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5.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6.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comments5.xml" ContentType="application/vnd.openxmlformats-officedocument.spreadsheetml.comment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comments6.xml" ContentType="application/vnd.openxmlformats-officedocument.spreadsheetml.comments+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https://vermontelectriccoop.sharepoint.com/sites/InnovationandTechnology/Shared Documents/Integrated Resource Plan (IRP)/IRP 2025/Appendix/"/>
    </mc:Choice>
  </mc:AlternateContent>
  <xr:revisionPtr revIDLastSave="16" documentId="8_{026FFD80-F07F-4EC7-AAD4-A7B7FA106E09}" xr6:coauthVersionLast="47" xr6:coauthVersionMax="47" xr10:uidLastSave="{7618CF23-6343-47C7-AA57-85CFB0294239}"/>
  <bookViews>
    <workbookView xWindow="25695" yWindow="0" windowWidth="26010" windowHeight="20985" firstSheet="9" activeTab="12" xr2:uid="{00000000-000D-0000-FFFF-FFFF00000000}"/>
  </bookViews>
  <sheets>
    <sheet name="Monthly Cap Data" sheetId="19" state="hidden" r:id="rId1"/>
    <sheet name="Annual Cap Data" sheetId="20" state="hidden" r:id="rId2"/>
    <sheet name="Committed Capacity Data" sheetId="21" state="hidden" r:id="rId3"/>
    <sheet name="Committed Cap Plot" sheetId="22" state="hidden" r:id="rId4"/>
    <sheet name="Committted + Pending Cap Data" sheetId="23" state="hidden" r:id="rId5"/>
    <sheet name="Committed + Pending Cap Plot" sheetId="24" state="hidden" r:id="rId6"/>
    <sheet name="Monthly Energy Data" sheetId="1" r:id="rId7"/>
    <sheet name="Annual Energy Data" sheetId="2" r:id="rId8"/>
    <sheet name="2015 Fuel Type Chart" sheetId="25" state="hidden" r:id="rId9"/>
    <sheet name="100% CF Chart - By Resource" sheetId="62" r:id="rId10"/>
    <sheet name="100% CF Chart - Total" sheetId="67" r:id="rId11"/>
    <sheet name="100% Renew Chart - By Resource" sheetId="63" r:id="rId12"/>
    <sheet name="100% Renew Chart - Total" sheetId="68" r:id="rId13"/>
    <sheet name="Total Sys Chart - By Resource" sheetId="47" r:id="rId14"/>
    <sheet name="Total Sys Chart - Total" sheetId="69" r:id="rId15"/>
    <sheet name="Cat 4 Chart" sheetId="65" r:id="rId16"/>
    <sheet name="Tier 1 Chart - Pre-REC Sales" sheetId="64" r:id="rId17"/>
    <sheet name="Tier 1 Chart - Post-REC Sales" sheetId="54" r:id="rId18"/>
    <sheet name="Total Sys Data - MOU I.2" sheetId="43" r:id="rId19"/>
    <sheet name="Tier 1 Data - MOU I.4" sheetId="27" r:id="rId20"/>
    <sheet name="Tier 2 Chart - Existing NM" sheetId="60" r:id="rId21"/>
    <sheet name="Tier 2 Chart - Existing+New NM" sheetId="38" r:id="rId22"/>
    <sheet name="Tier 1 Data - MOU 1.5" sheetId="50" r:id="rId23"/>
    <sheet name="Tier 2 Data - MOU I.6" sheetId="29" r:id="rId24"/>
    <sheet name="SPEED Plot" sheetId="18" state="hidden" r:id="rId25"/>
    <sheet name="Tier 3 Data" sheetId="34" r:id="rId26"/>
    <sheet name="Tier 4 Data" sheetId="66" r:id="rId27"/>
    <sheet name="Pre-Post Tier 3 Comp Tables" sheetId="39" r:id="rId28"/>
    <sheet name="Renewable Analysis" sheetId="59" r:id="rId29"/>
    <sheet name="Emissions Data" sheetId="55" r:id="rId30"/>
    <sheet name="Annual Emissions" sheetId="57" r:id="rId31"/>
    <sheet name="Peak Load Projections" sheetId="70" r:id="rId32"/>
    <sheet name="Peak Loads - 2022-2024" sheetId="71" r:id="rId33"/>
    <sheet name="100% Renew Chart - Total (2)" sheetId="72" r:id="rId34"/>
  </sheets>
  <externalReferences>
    <externalReference r:id="rId35"/>
  </externalReferences>
  <definedNames>
    <definedName name="_xlnm.Print_Area" localSheetId="4">'Committted + Pending Cap Data'!$A$2:$J$17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66" l="1"/>
  <c r="J15" i="66"/>
  <c r="K15" i="66"/>
  <c r="L15" i="66"/>
  <c r="M15" i="66"/>
  <c r="N15" i="66"/>
  <c r="X15" i="66"/>
  <c r="Y15" i="66"/>
  <c r="I16" i="66"/>
  <c r="J16" i="66"/>
  <c r="K16" i="66"/>
  <c r="L16" i="66"/>
  <c r="M16" i="66"/>
  <c r="N16" i="66"/>
  <c r="X16" i="66"/>
  <c r="Y16" i="66"/>
  <c r="I17" i="66"/>
  <c r="J17" i="66"/>
  <c r="K17" i="66"/>
  <c r="L17" i="66"/>
  <c r="M17" i="66"/>
  <c r="N17" i="66"/>
  <c r="X17" i="66"/>
  <c r="Y17" i="66"/>
  <c r="I18" i="66"/>
  <c r="J18" i="66"/>
  <c r="K18" i="66"/>
  <c r="L18" i="66"/>
  <c r="M18" i="66"/>
  <c r="N18" i="66"/>
  <c r="X18" i="66"/>
  <c r="Y18" i="66"/>
  <c r="I19" i="66"/>
  <c r="J19" i="66"/>
  <c r="K19" i="66"/>
  <c r="L19" i="66"/>
  <c r="M19" i="66"/>
  <c r="N19" i="66"/>
  <c r="X19" i="66"/>
  <c r="Y19" i="66"/>
  <c r="I20" i="66"/>
  <c r="J20" i="66"/>
  <c r="K20" i="66"/>
  <c r="L20" i="66"/>
  <c r="M20" i="66"/>
  <c r="N20" i="66"/>
  <c r="X20" i="66"/>
  <c r="Y20" i="66"/>
  <c r="I21" i="66"/>
  <c r="J21" i="66"/>
  <c r="K21" i="66"/>
  <c r="L21" i="66"/>
  <c r="M21" i="66"/>
  <c r="N21" i="66"/>
  <c r="X21" i="66"/>
  <c r="Y21" i="66"/>
  <c r="I22" i="66"/>
  <c r="J22" i="66"/>
  <c r="K22" i="66"/>
  <c r="L22" i="66"/>
  <c r="M22" i="66"/>
  <c r="N22" i="66"/>
  <c r="X22" i="66"/>
  <c r="Y22" i="66"/>
  <c r="I23" i="66"/>
  <c r="J23" i="66"/>
  <c r="K23" i="66"/>
  <c r="L23" i="66"/>
  <c r="M23" i="66"/>
  <c r="N23" i="66"/>
  <c r="X23" i="66"/>
  <c r="Y23" i="66"/>
  <c r="I24" i="66"/>
  <c r="J24" i="66"/>
  <c r="K24" i="66"/>
  <c r="L24" i="66"/>
  <c r="M24" i="66"/>
  <c r="N24" i="66"/>
  <c r="X24" i="66"/>
  <c r="Y24" i="66"/>
  <c r="I25" i="66"/>
  <c r="J25" i="66"/>
  <c r="K25" i="66"/>
  <c r="L25" i="66"/>
  <c r="M25" i="66"/>
  <c r="N25" i="66"/>
  <c r="X25" i="66"/>
  <c r="Y25" i="66"/>
  <c r="I26" i="66"/>
  <c r="J26" i="66"/>
  <c r="K26" i="66"/>
  <c r="L26" i="66"/>
  <c r="M26" i="66"/>
  <c r="N26" i="66"/>
  <c r="X26" i="66"/>
  <c r="Y26" i="66"/>
  <c r="I27" i="66"/>
  <c r="J27" i="66"/>
  <c r="K27" i="66"/>
  <c r="L27" i="66"/>
  <c r="M27" i="66"/>
  <c r="N27" i="66"/>
  <c r="X27" i="66"/>
  <c r="Y27" i="66"/>
  <c r="I28" i="66"/>
  <c r="J28" i="66"/>
  <c r="K28" i="66"/>
  <c r="L28" i="66"/>
  <c r="M28" i="66"/>
  <c r="N28" i="66"/>
  <c r="X28" i="66"/>
  <c r="Y28" i="66"/>
  <c r="I29" i="66"/>
  <c r="J29" i="66"/>
  <c r="K29" i="66"/>
  <c r="L29" i="66"/>
  <c r="M29" i="66"/>
  <c r="N29" i="66"/>
  <c r="X29" i="66"/>
  <c r="Y29" i="66"/>
  <c r="I30" i="66"/>
  <c r="J30" i="66"/>
  <c r="K30" i="66"/>
  <c r="L30" i="66"/>
  <c r="M30" i="66"/>
  <c r="N30" i="66"/>
  <c r="X30" i="66"/>
  <c r="Y30" i="66"/>
  <c r="I31" i="66"/>
  <c r="J31" i="66"/>
  <c r="K31" i="66"/>
  <c r="L31" i="66"/>
  <c r="M31" i="66"/>
  <c r="N31" i="66"/>
  <c r="X31" i="66"/>
  <c r="Y31" i="66"/>
  <c r="I32" i="66"/>
  <c r="J32" i="66"/>
  <c r="K32" i="66"/>
  <c r="L32" i="66"/>
  <c r="M32" i="66"/>
  <c r="N32" i="66"/>
  <c r="X32" i="66"/>
  <c r="Y32" i="66"/>
  <c r="I33" i="66"/>
  <c r="J33" i="66"/>
  <c r="K33" i="66"/>
  <c r="L33" i="66"/>
  <c r="M33" i="66"/>
  <c r="N33" i="66"/>
  <c r="X33" i="66"/>
  <c r="Y33" i="66"/>
  <c r="I34" i="66"/>
  <c r="J34" i="66"/>
  <c r="K34" i="66"/>
  <c r="L34" i="66"/>
  <c r="M34" i="66"/>
  <c r="N34" i="66"/>
  <c r="X34" i="66"/>
  <c r="Y34" i="66"/>
  <c r="I35" i="66"/>
  <c r="J35" i="66"/>
  <c r="K35" i="66"/>
  <c r="L35" i="66"/>
  <c r="M35" i="66"/>
  <c r="N35" i="66"/>
  <c r="X35" i="66"/>
  <c r="Y35" i="66"/>
  <c r="I36" i="66"/>
  <c r="J36" i="66"/>
  <c r="K36" i="66"/>
  <c r="L36" i="66"/>
  <c r="M36" i="66"/>
  <c r="N36" i="66"/>
  <c r="X36" i="66"/>
  <c r="Y36" i="66"/>
  <c r="I37" i="66"/>
  <c r="J37" i="66"/>
  <c r="K37" i="66"/>
  <c r="L37" i="66"/>
  <c r="M37" i="66"/>
  <c r="N37" i="66"/>
  <c r="X37" i="66"/>
  <c r="Y37" i="66"/>
  <c r="I38" i="66"/>
  <c r="J38" i="66"/>
  <c r="K38" i="66"/>
  <c r="L38" i="66"/>
  <c r="M38" i="66"/>
  <c r="N38" i="66"/>
  <c r="X38" i="66"/>
  <c r="Y38" i="66"/>
  <c r="I39" i="66"/>
  <c r="J39" i="66"/>
  <c r="K39" i="66"/>
  <c r="L39" i="66"/>
  <c r="M39" i="66"/>
  <c r="N39" i="66"/>
  <c r="X39" i="66"/>
  <c r="Y39" i="66"/>
  <c r="I40" i="66"/>
  <c r="J40" i="66"/>
  <c r="K40" i="66"/>
  <c r="L40" i="66"/>
  <c r="M40" i="66"/>
  <c r="N40" i="66"/>
  <c r="X40" i="66"/>
  <c r="Y40" i="66"/>
  <c r="Y14" i="66"/>
  <c r="X14" i="66"/>
  <c r="N14" i="66"/>
  <c r="M14" i="66"/>
  <c r="L14" i="66"/>
  <c r="K14" i="66"/>
  <c r="J14" i="66"/>
  <c r="I13" i="66"/>
  <c r="I12" i="66"/>
  <c r="I14" i="66"/>
  <c r="EA17" i="2" l="1"/>
  <c r="DZ17" i="2"/>
  <c r="EA16" i="2"/>
  <c r="DZ16" i="2"/>
  <c r="EA15" i="2"/>
  <c r="DZ15" i="2"/>
  <c r="EA14" i="2"/>
  <c r="DZ14" i="2"/>
  <c r="EA13" i="2"/>
  <c r="DZ13" i="2"/>
  <c r="EA12" i="2"/>
  <c r="DZ12" i="2"/>
  <c r="EA11" i="2"/>
  <c r="DZ11" i="2"/>
  <c r="EB17" i="2"/>
  <c r="EB16" i="2"/>
  <c r="EB15" i="2"/>
  <c r="EB14" i="2"/>
  <c r="EB13" i="2"/>
  <c r="EB12" i="2"/>
  <c r="EB11" i="2"/>
  <c r="BJ3" i="2"/>
  <c r="BJ4" i="2"/>
  <c r="BA364" i="1" l="1"/>
  <c r="BA362" i="1"/>
  <c r="BA361" i="1"/>
  <c r="BA360" i="1"/>
  <c r="BA356" i="1"/>
  <c r="BA355" i="1"/>
  <c r="BA354" i="1"/>
  <c r="BA367" i="1" s="1"/>
  <c r="BA353" i="1"/>
  <c r="BA366" i="1" s="1"/>
  <c r="BA352" i="1"/>
  <c r="BA365" i="1" s="1"/>
  <c r="BA351" i="1"/>
  <c r="BA350" i="1"/>
  <c r="BA363" i="1" s="1"/>
  <c r="BA349" i="1"/>
  <c r="BA348" i="1"/>
  <c r="BA347" i="1"/>
  <c r="BA346" i="1"/>
  <c r="BA359" i="1" s="1"/>
  <c r="BA345" i="1"/>
  <c r="BA358" i="1" s="1"/>
  <c r="BA344" i="1"/>
  <c r="BA357" i="1" s="1"/>
  <c r="AU235" i="1" l="1"/>
  <c r="AU247" i="1" s="1"/>
  <c r="AU259" i="1" s="1"/>
  <c r="AU271" i="1" s="1"/>
  <c r="AU283" i="1" s="1"/>
  <c r="AU295" i="1" s="1"/>
  <c r="AU307" i="1" s="1"/>
  <c r="AU319" i="1" s="1"/>
  <c r="AU331" i="1" s="1"/>
  <c r="AU343" i="1" s="1"/>
  <c r="AU355" i="1" s="1"/>
  <c r="AU367" i="1" s="1"/>
  <c r="AU379" i="1" s="1"/>
  <c r="AU391" i="1" s="1"/>
  <c r="AU403" i="1" s="1"/>
  <c r="AU415" i="1" s="1"/>
  <c r="AU427" i="1" s="1"/>
  <c r="AU439" i="1" s="1"/>
  <c r="AU451" i="1" s="1"/>
  <c r="AU463" i="1" s="1"/>
  <c r="AU475" i="1" s="1"/>
  <c r="AU487" i="1" s="1"/>
  <c r="AU499" i="1" s="1"/>
  <c r="AU511" i="1" s="1"/>
  <c r="AU523" i="1" s="1"/>
  <c r="AU535" i="1" s="1"/>
  <c r="AU547" i="1" s="1"/>
  <c r="AU559" i="1" s="1"/>
  <c r="AU571" i="1" s="1"/>
  <c r="AU583" i="1" s="1"/>
  <c r="AU595" i="1" s="1"/>
  <c r="AU234" i="1"/>
  <c r="AU246" i="1" s="1"/>
  <c r="AU258" i="1" s="1"/>
  <c r="AU270" i="1" s="1"/>
  <c r="AU282" i="1" s="1"/>
  <c r="AU294" i="1" s="1"/>
  <c r="AU306" i="1" s="1"/>
  <c r="AU318" i="1" s="1"/>
  <c r="AU330" i="1" s="1"/>
  <c r="AU342" i="1" s="1"/>
  <c r="AU354" i="1" s="1"/>
  <c r="AU366" i="1" s="1"/>
  <c r="AU378" i="1" s="1"/>
  <c r="AU390" i="1" s="1"/>
  <c r="AU402" i="1" s="1"/>
  <c r="AU414" i="1" s="1"/>
  <c r="AU426" i="1" s="1"/>
  <c r="AU438" i="1" s="1"/>
  <c r="AU450" i="1" s="1"/>
  <c r="AU462" i="1" s="1"/>
  <c r="AU474" i="1" s="1"/>
  <c r="AU486" i="1" s="1"/>
  <c r="AU498" i="1" s="1"/>
  <c r="AU510" i="1" s="1"/>
  <c r="AU522" i="1" s="1"/>
  <c r="AU534" i="1" s="1"/>
  <c r="AU546" i="1" s="1"/>
  <c r="AU558" i="1" s="1"/>
  <c r="AU570" i="1" s="1"/>
  <c r="AU582" i="1" s="1"/>
  <c r="AU594" i="1" s="1"/>
  <c r="AU233" i="1"/>
  <c r="AU245" i="1" s="1"/>
  <c r="AU257" i="1" s="1"/>
  <c r="AU269" i="1" s="1"/>
  <c r="AU281" i="1" s="1"/>
  <c r="AU293" i="1" s="1"/>
  <c r="AU305" i="1" s="1"/>
  <c r="AU317" i="1" s="1"/>
  <c r="AU329" i="1" s="1"/>
  <c r="AU341" i="1" s="1"/>
  <c r="AU353" i="1" s="1"/>
  <c r="AU365" i="1" s="1"/>
  <c r="AU377" i="1" s="1"/>
  <c r="AU389" i="1" s="1"/>
  <c r="AU401" i="1" s="1"/>
  <c r="AU413" i="1" s="1"/>
  <c r="AU425" i="1" s="1"/>
  <c r="AU437" i="1" s="1"/>
  <c r="AU449" i="1" s="1"/>
  <c r="AU461" i="1" s="1"/>
  <c r="AU473" i="1" s="1"/>
  <c r="AU485" i="1" s="1"/>
  <c r="AU497" i="1" s="1"/>
  <c r="AU509" i="1" s="1"/>
  <c r="AU521" i="1" s="1"/>
  <c r="AU533" i="1" s="1"/>
  <c r="AU545" i="1" s="1"/>
  <c r="AU557" i="1" s="1"/>
  <c r="AU569" i="1" s="1"/>
  <c r="AU581" i="1" s="1"/>
  <c r="AU593" i="1" s="1"/>
  <c r="AU232" i="1"/>
  <c r="AU244" i="1" s="1"/>
  <c r="AU256" i="1" s="1"/>
  <c r="AU268" i="1" s="1"/>
  <c r="AU280" i="1" s="1"/>
  <c r="AU292" i="1" s="1"/>
  <c r="AU304" i="1" s="1"/>
  <c r="AU316" i="1" s="1"/>
  <c r="AU328" i="1" s="1"/>
  <c r="AU340" i="1" s="1"/>
  <c r="AU352" i="1" s="1"/>
  <c r="AU364" i="1" s="1"/>
  <c r="AU376" i="1" s="1"/>
  <c r="AU388" i="1" s="1"/>
  <c r="AU400" i="1" s="1"/>
  <c r="AU412" i="1" s="1"/>
  <c r="AU424" i="1" s="1"/>
  <c r="AU436" i="1" s="1"/>
  <c r="AU448" i="1" s="1"/>
  <c r="AU460" i="1" s="1"/>
  <c r="AU472" i="1" s="1"/>
  <c r="AU484" i="1" s="1"/>
  <c r="AU496" i="1" s="1"/>
  <c r="AU508" i="1" s="1"/>
  <c r="AU520" i="1" s="1"/>
  <c r="AU532" i="1" s="1"/>
  <c r="AU544" i="1" s="1"/>
  <c r="AU556" i="1" s="1"/>
  <c r="AU568" i="1" s="1"/>
  <c r="AU580" i="1" s="1"/>
  <c r="AU592" i="1" s="1"/>
  <c r="AU231" i="1"/>
  <c r="AU243" i="1" s="1"/>
  <c r="AU255" i="1" s="1"/>
  <c r="AU267" i="1" s="1"/>
  <c r="AU279" i="1" s="1"/>
  <c r="AU291" i="1" s="1"/>
  <c r="AU303" i="1" s="1"/>
  <c r="AU315" i="1" s="1"/>
  <c r="AU327" i="1" s="1"/>
  <c r="AU339" i="1" s="1"/>
  <c r="AU351" i="1" s="1"/>
  <c r="AU363" i="1" s="1"/>
  <c r="AU375" i="1" s="1"/>
  <c r="AU387" i="1" s="1"/>
  <c r="AU399" i="1" s="1"/>
  <c r="AU411" i="1" s="1"/>
  <c r="AU423" i="1" s="1"/>
  <c r="AU435" i="1" s="1"/>
  <c r="AU447" i="1" s="1"/>
  <c r="AU459" i="1" s="1"/>
  <c r="AU471" i="1" s="1"/>
  <c r="AU483" i="1" s="1"/>
  <c r="AU495" i="1" s="1"/>
  <c r="AU507" i="1" s="1"/>
  <c r="AU519" i="1" s="1"/>
  <c r="AU531" i="1" s="1"/>
  <c r="AU543" i="1" s="1"/>
  <c r="AU555" i="1" s="1"/>
  <c r="AU567" i="1" s="1"/>
  <c r="AU579" i="1" s="1"/>
  <c r="AU591" i="1" s="1"/>
  <c r="AU230" i="1"/>
  <c r="AU242" i="1" s="1"/>
  <c r="AU254" i="1" s="1"/>
  <c r="AU266" i="1" s="1"/>
  <c r="AU278" i="1" s="1"/>
  <c r="AU290" i="1" s="1"/>
  <c r="AU302" i="1" s="1"/>
  <c r="AU314" i="1" s="1"/>
  <c r="AU326" i="1" s="1"/>
  <c r="AU338" i="1" s="1"/>
  <c r="AU350" i="1" s="1"/>
  <c r="AU362" i="1" s="1"/>
  <c r="AU374" i="1" s="1"/>
  <c r="AU386" i="1" s="1"/>
  <c r="AU398" i="1" s="1"/>
  <c r="AU410" i="1" s="1"/>
  <c r="AU422" i="1" s="1"/>
  <c r="AU434" i="1" s="1"/>
  <c r="AU446" i="1" s="1"/>
  <c r="AU458" i="1" s="1"/>
  <c r="AU470" i="1" s="1"/>
  <c r="AU482" i="1" s="1"/>
  <c r="AU494" i="1" s="1"/>
  <c r="AU506" i="1" s="1"/>
  <c r="AU518" i="1" s="1"/>
  <c r="AU530" i="1" s="1"/>
  <c r="AU542" i="1" s="1"/>
  <c r="AU554" i="1" s="1"/>
  <c r="AU566" i="1" s="1"/>
  <c r="AU578" i="1" s="1"/>
  <c r="AU590" i="1" s="1"/>
  <c r="AU229" i="1"/>
  <c r="AU241" i="1" s="1"/>
  <c r="AU253" i="1" s="1"/>
  <c r="AU265" i="1" s="1"/>
  <c r="AU277" i="1" s="1"/>
  <c r="AU289" i="1" s="1"/>
  <c r="AU301" i="1" s="1"/>
  <c r="AU313" i="1" s="1"/>
  <c r="AU325" i="1" s="1"/>
  <c r="AU337" i="1" s="1"/>
  <c r="AU349" i="1" s="1"/>
  <c r="AU361" i="1" s="1"/>
  <c r="AU373" i="1" s="1"/>
  <c r="AU385" i="1" s="1"/>
  <c r="AU397" i="1" s="1"/>
  <c r="AU409" i="1" s="1"/>
  <c r="AU421" i="1" s="1"/>
  <c r="AU433" i="1" s="1"/>
  <c r="AU445" i="1" s="1"/>
  <c r="AU457" i="1" s="1"/>
  <c r="AU469" i="1" s="1"/>
  <c r="AU481" i="1" s="1"/>
  <c r="AU493" i="1" s="1"/>
  <c r="AU505" i="1" s="1"/>
  <c r="AU517" i="1" s="1"/>
  <c r="AU529" i="1" s="1"/>
  <c r="AU541" i="1" s="1"/>
  <c r="AU553" i="1" s="1"/>
  <c r="AU565" i="1" s="1"/>
  <c r="AU577" i="1" s="1"/>
  <c r="AU589" i="1" s="1"/>
  <c r="AU228" i="1"/>
  <c r="AU240" i="1" s="1"/>
  <c r="AU252" i="1" s="1"/>
  <c r="AU264" i="1" s="1"/>
  <c r="AU276" i="1" s="1"/>
  <c r="AU288" i="1" s="1"/>
  <c r="AU300" i="1" s="1"/>
  <c r="AU312" i="1" s="1"/>
  <c r="AU324" i="1" s="1"/>
  <c r="AU336" i="1" s="1"/>
  <c r="AU348" i="1" s="1"/>
  <c r="AU360" i="1" s="1"/>
  <c r="AU372" i="1" s="1"/>
  <c r="AU384" i="1" s="1"/>
  <c r="AU396" i="1" s="1"/>
  <c r="AU408" i="1" s="1"/>
  <c r="AU420" i="1" s="1"/>
  <c r="AU432" i="1" s="1"/>
  <c r="AU444" i="1" s="1"/>
  <c r="AU456" i="1" s="1"/>
  <c r="AU468" i="1" s="1"/>
  <c r="AU480" i="1" s="1"/>
  <c r="AU492" i="1" s="1"/>
  <c r="AU504" i="1" s="1"/>
  <c r="AU516" i="1" s="1"/>
  <c r="AU528" i="1" s="1"/>
  <c r="AU540" i="1" s="1"/>
  <c r="AU552" i="1" s="1"/>
  <c r="AU564" i="1" s="1"/>
  <c r="AU576" i="1" s="1"/>
  <c r="AU588" i="1" s="1"/>
  <c r="AU227" i="1"/>
  <c r="AU239" i="1" s="1"/>
  <c r="AU251" i="1" s="1"/>
  <c r="AU263" i="1" s="1"/>
  <c r="AU275" i="1" s="1"/>
  <c r="AU287" i="1" s="1"/>
  <c r="AU299" i="1" s="1"/>
  <c r="AU311" i="1" s="1"/>
  <c r="AU323" i="1" s="1"/>
  <c r="AU335" i="1" s="1"/>
  <c r="AU347" i="1" s="1"/>
  <c r="AU359" i="1" s="1"/>
  <c r="AU371" i="1" s="1"/>
  <c r="AU383" i="1" s="1"/>
  <c r="AU395" i="1" s="1"/>
  <c r="AU407" i="1" s="1"/>
  <c r="AU419" i="1" s="1"/>
  <c r="AU431" i="1" s="1"/>
  <c r="AU443" i="1" s="1"/>
  <c r="AU455" i="1" s="1"/>
  <c r="AU467" i="1" s="1"/>
  <c r="AU479" i="1" s="1"/>
  <c r="AU491" i="1" s="1"/>
  <c r="AU503" i="1" s="1"/>
  <c r="AU515" i="1" s="1"/>
  <c r="AU527" i="1" s="1"/>
  <c r="AU539" i="1" s="1"/>
  <c r="AU551" i="1" s="1"/>
  <c r="AU563" i="1" s="1"/>
  <c r="AU575" i="1" s="1"/>
  <c r="AU587" i="1" s="1"/>
  <c r="AU226" i="1"/>
  <c r="AU238" i="1" s="1"/>
  <c r="AU250" i="1" s="1"/>
  <c r="AU262" i="1" s="1"/>
  <c r="AU274" i="1" s="1"/>
  <c r="AU286" i="1" s="1"/>
  <c r="AU298" i="1" s="1"/>
  <c r="AU310" i="1" s="1"/>
  <c r="AU322" i="1" s="1"/>
  <c r="AU334" i="1" s="1"/>
  <c r="AU346" i="1" s="1"/>
  <c r="AU358" i="1" s="1"/>
  <c r="AU370" i="1" s="1"/>
  <c r="AU382" i="1" s="1"/>
  <c r="AU394" i="1" s="1"/>
  <c r="AU406" i="1" s="1"/>
  <c r="AU418" i="1" s="1"/>
  <c r="AU430" i="1" s="1"/>
  <c r="AU442" i="1" s="1"/>
  <c r="AU454" i="1" s="1"/>
  <c r="AU466" i="1" s="1"/>
  <c r="AU478" i="1" s="1"/>
  <c r="AU490" i="1" s="1"/>
  <c r="AU502" i="1" s="1"/>
  <c r="AU514" i="1" s="1"/>
  <c r="AU526" i="1" s="1"/>
  <c r="AU538" i="1" s="1"/>
  <c r="AU550" i="1" s="1"/>
  <c r="AU562" i="1" s="1"/>
  <c r="AU574" i="1" s="1"/>
  <c r="AU586" i="1" s="1"/>
  <c r="AU225" i="1"/>
  <c r="AU237" i="1" s="1"/>
  <c r="AU249" i="1" s="1"/>
  <c r="AU261" i="1" s="1"/>
  <c r="AU273" i="1" s="1"/>
  <c r="AU285" i="1" s="1"/>
  <c r="AU297" i="1" s="1"/>
  <c r="AU309" i="1" s="1"/>
  <c r="AU321" i="1" s="1"/>
  <c r="AU333" i="1" s="1"/>
  <c r="AU345" i="1" s="1"/>
  <c r="AU357" i="1" s="1"/>
  <c r="AU369" i="1" s="1"/>
  <c r="AU381" i="1" s="1"/>
  <c r="AU393" i="1" s="1"/>
  <c r="AU405" i="1" s="1"/>
  <c r="AU417" i="1" s="1"/>
  <c r="AU429" i="1" s="1"/>
  <c r="AU441" i="1" s="1"/>
  <c r="AU453" i="1" s="1"/>
  <c r="AU465" i="1" s="1"/>
  <c r="AU477" i="1" s="1"/>
  <c r="AU489" i="1" s="1"/>
  <c r="AU501" i="1" s="1"/>
  <c r="AU513" i="1" s="1"/>
  <c r="AU525" i="1" s="1"/>
  <c r="AU537" i="1" s="1"/>
  <c r="AU549" i="1" s="1"/>
  <c r="AU561" i="1" s="1"/>
  <c r="AU573" i="1" s="1"/>
  <c r="AU585" i="1" s="1"/>
  <c r="AU224" i="1"/>
  <c r="AU236" i="1" s="1"/>
  <c r="AU248" i="1" s="1"/>
  <c r="AU260" i="1" s="1"/>
  <c r="AU272" i="1" s="1"/>
  <c r="AU284" i="1" s="1"/>
  <c r="AU296" i="1" s="1"/>
  <c r="AU308" i="1" s="1"/>
  <c r="AU320" i="1" s="1"/>
  <c r="AU332" i="1" s="1"/>
  <c r="AU344" i="1" s="1"/>
  <c r="AU356" i="1" s="1"/>
  <c r="AU368" i="1" s="1"/>
  <c r="AU380" i="1" s="1"/>
  <c r="AU392" i="1" s="1"/>
  <c r="AU404" i="1" s="1"/>
  <c r="AU416" i="1" s="1"/>
  <c r="AU428" i="1" s="1"/>
  <c r="AU440" i="1" s="1"/>
  <c r="AU452" i="1" s="1"/>
  <c r="AU464" i="1" s="1"/>
  <c r="AU476" i="1" s="1"/>
  <c r="AU488" i="1" s="1"/>
  <c r="AU500" i="1" s="1"/>
  <c r="AU512" i="1" s="1"/>
  <c r="AU524" i="1" s="1"/>
  <c r="AU536" i="1" s="1"/>
  <c r="AU548" i="1" s="1"/>
  <c r="AU560" i="1" s="1"/>
  <c r="AU572" i="1" s="1"/>
  <c r="AU584" i="1" s="1"/>
  <c r="AV247" i="1"/>
  <c r="AV259" i="1" s="1"/>
  <c r="AV271" i="1" s="1"/>
  <c r="AV283" i="1" s="1"/>
  <c r="AV295" i="1" s="1"/>
  <c r="AV307" i="1" s="1"/>
  <c r="AV319" i="1" s="1"/>
  <c r="AV331" i="1" s="1"/>
  <c r="AV343" i="1" s="1"/>
  <c r="AV355" i="1" s="1"/>
  <c r="AV367" i="1" s="1"/>
  <c r="AV379" i="1" s="1"/>
  <c r="AV391" i="1" s="1"/>
  <c r="AV403" i="1" s="1"/>
  <c r="AV415" i="1" s="1"/>
  <c r="AV427" i="1" s="1"/>
  <c r="AV439" i="1" s="1"/>
  <c r="AV451" i="1" s="1"/>
  <c r="AV463" i="1" s="1"/>
  <c r="AV475" i="1" s="1"/>
  <c r="AV487" i="1" s="1"/>
  <c r="AV499" i="1" s="1"/>
  <c r="AV511" i="1" s="1"/>
  <c r="AV523" i="1" s="1"/>
  <c r="AV535" i="1" s="1"/>
  <c r="AV547" i="1" s="1"/>
  <c r="AV559" i="1" s="1"/>
  <c r="AV571" i="1" s="1"/>
  <c r="AV583" i="1" s="1"/>
  <c r="AV595" i="1" s="1"/>
  <c r="AV240" i="1"/>
  <c r="AV252" i="1" s="1"/>
  <c r="AV264" i="1" s="1"/>
  <c r="AV276" i="1" s="1"/>
  <c r="AV288" i="1" s="1"/>
  <c r="AV300" i="1" s="1"/>
  <c r="AV312" i="1" s="1"/>
  <c r="AV324" i="1" s="1"/>
  <c r="AV336" i="1" s="1"/>
  <c r="AV348" i="1" s="1"/>
  <c r="AV360" i="1" s="1"/>
  <c r="AV372" i="1" s="1"/>
  <c r="AV384" i="1" s="1"/>
  <c r="AV396" i="1" s="1"/>
  <c r="AV408" i="1" s="1"/>
  <c r="AV420" i="1" s="1"/>
  <c r="AV432" i="1" s="1"/>
  <c r="AV444" i="1" s="1"/>
  <c r="AV456" i="1" s="1"/>
  <c r="AV468" i="1" s="1"/>
  <c r="AV480" i="1" s="1"/>
  <c r="AV492" i="1" s="1"/>
  <c r="AV504" i="1" s="1"/>
  <c r="AV516" i="1" s="1"/>
  <c r="AV528" i="1" s="1"/>
  <c r="AV540" i="1" s="1"/>
  <c r="AV552" i="1" s="1"/>
  <c r="AV564" i="1" s="1"/>
  <c r="AV576" i="1" s="1"/>
  <c r="AV588" i="1" s="1"/>
  <c r="AV235" i="1"/>
  <c r="AV234" i="1"/>
  <c r="AV246" i="1" s="1"/>
  <c r="AV258" i="1" s="1"/>
  <c r="AV270" i="1" s="1"/>
  <c r="AV282" i="1" s="1"/>
  <c r="AV294" i="1" s="1"/>
  <c r="AV306" i="1" s="1"/>
  <c r="AV318" i="1" s="1"/>
  <c r="AV330" i="1" s="1"/>
  <c r="AV342" i="1" s="1"/>
  <c r="AV354" i="1" s="1"/>
  <c r="AV366" i="1" s="1"/>
  <c r="AV378" i="1" s="1"/>
  <c r="AV390" i="1" s="1"/>
  <c r="AV402" i="1" s="1"/>
  <c r="AV414" i="1" s="1"/>
  <c r="AV426" i="1" s="1"/>
  <c r="AV438" i="1" s="1"/>
  <c r="AV450" i="1" s="1"/>
  <c r="AV462" i="1" s="1"/>
  <c r="AV474" i="1" s="1"/>
  <c r="AV486" i="1" s="1"/>
  <c r="AV498" i="1" s="1"/>
  <c r="AV510" i="1" s="1"/>
  <c r="AV522" i="1" s="1"/>
  <c r="AV534" i="1" s="1"/>
  <c r="AV546" i="1" s="1"/>
  <c r="AV558" i="1" s="1"/>
  <c r="AV570" i="1" s="1"/>
  <c r="AV582" i="1" s="1"/>
  <c r="AV594" i="1" s="1"/>
  <c r="AV233" i="1"/>
  <c r="AV245" i="1" s="1"/>
  <c r="AV257" i="1" s="1"/>
  <c r="AV269" i="1" s="1"/>
  <c r="AV281" i="1" s="1"/>
  <c r="AV293" i="1" s="1"/>
  <c r="AV305" i="1" s="1"/>
  <c r="AV317" i="1" s="1"/>
  <c r="AV329" i="1" s="1"/>
  <c r="AV341" i="1" s="1"/>
  <c r="AV353" i="1" s="1"/>
  <c r="AV365" i="1" s="1"/>
  <c r="AV377" i="1" s="1"/>
  <c r="AV389" i="1" s="1"/>
  <c r="AV401" i="1" s="1"/>
  <c r="AV413" i="1" s="1"/>
  <c r="AV425" i="1" s="1"/>
  <c r="AV437" i="1" s="1"/>
  <c r="AV449" i="1" s="1"/>
  <c r="AV461" i="1" s="1"/>
  <c r="AV473" i="1" s="1"/>
  <c r="AV485" i="1" s="1"/>
  <c r="AV497" i="1" s="1"/>
  <c r="AV509" i="1" s="1"/>
  <c r="AV521" i="1" s="1"/>
  <c r="AV533" i="1" s="1"/>
  <c r="AV545" i="1" s="1"/>
  <c r="AV557" i="1" s="1"/>
  <c r="AV569" i="1" s="1"/>
  <c r="AV581" i="1" s="1"/>
  <c r="AV593" i="1" s="1"/>
  <c r="AV232" i="1"/>
  <c r="AV244" i="1" s="1"/>
  <c r="AV256" i="1" s="1"/>
  <c r="AV268" i="1" s="1"/>
  <c r="AV280" i="1" s="1"/>
  <c r="AV292" i="1" s="1"/>
  <c r="AV304" i="1" s="1"/>
  <c r="AV316" i="1" s="1"/>
  <c r="AV328" i="1" s="1"/>
  <c r="AV340" i="1" s="1"/>
  <c r="AV352" i="1" s="1"/>
  <c r="AV364" i="1" s="1"/>
  <c r="AV376" i="1" s="1"/>
  <c r="AV388" i="1" s="1"/>
  <c r="AV400" i="1" s="1"/>
  <c r="AV412" i="1" s="1"/>
  <c r="AV424" i="1" s="1"/>
  <c r="AV436" i="1" s="1"/>
  <c r="AV448" i="1" s="1"/>
  <c r="AV460" i="1" s="1"/>
  <c r="AV472" i="1" s="1"/>
  <c r="AV484" i="1" s="1"/>
  <c r="AV496" i="1" s="1"/>
  <c r="AV508" i="1" s="1"/>
  <c r="AV520" i="1" s="1"/>
  <c r="AV532" i="1" s="1"/>
  <c r="AV544" i="1" s="1"/>
  <c r="AV556" i="1" s="1"/>
  <c r="AV568" i="1" s="1"/>
  <c r="AV580" i="1" s="1"/>
  <c r="AV592" i="1" s="1"/>
  <c r="AV231" i="1"/>
  <c r="AV243" i="1" s="1"/>
  <c r="AV255" i="1" s="1"/>
  <c r="AV267" i="1" s="1"/>
  <c r="AV279" i="1" s="1"/>
  <c r="AV291" i="1" s="1"/>
  <c r="AV303" i="1" s="1"/>
  <c r="AV315" i="1" s="1"/>
  <c r="AV327" i="1" s="1"/>
  <c r="AV339" i="1" s="1"/>
  <c r="AV351" i="1" s="1"/>
  <c r="AV363" i="1" s="1"/>
  <c r="AV375" i="1" s="1"/>
  <c r="AV387" i="1" s="1"/>
  <c r="AV399" i="1" s="1"/>
  <c r="AV411" i="1" s="1"/>
  <c r="AV423" i="1" s="1"/>
  <c r="AV435" i="1" s="1"/>
  <c r="AV447" i="1" s="1"/>
  <c r="AV459" i="1" s="1"/>
  <c r="AV471" i="1" s="1"/>
  <c r="AV483" i="1" s="1"/>
  <c r="AV495" i="1" s="1"/>
  <c r="AV507" i="1" s="1"/>
  <c r="AV519" i="1" s="1"/>
  <c r="AV531" i="1" s="1"/>
  <c r="AV543" i="1" s="1"/>
  <c r="AV555" i="1" s="1"/>
  <c r="AV567" i="1" s="1"/>
  <c r="AV579" i="1" s="1"/>
  <c r="AV591" i="1" s="1"/>
  <c r="AV230" i="1"/>
  <c r="AV242" i="1" s="1"/>
  <c r="AV254" i="1" s="1"/>
  <c r="AV266" i="1" s="1"/>
  <c r="AV278" i="1" s="1"/>
  <c r="AV290" i="1" s="1"/>
  <c r="AV302" i="1" s="1"/>
  <c r="AV314" i="1" s="1"/>
  <c r="AV326" i="1" s="1"/>
  <c r="AV338" i="1" s="1"/>
  <c r="AV350" i="1" s="1"/>
  <c r="AV362" i="1" s="1"/>
  <c r="AV374" i="1" s="1"/>
  <c r="AV386" i="1" s="1"/>
  <c r="AV398" i="1" s="1"/>
  <c r="AV410" i="1" s="1"/>
  <c r="AV422" i="1" s="1"/>
  <c r="AV434" i="1" s="1"/>
  <c r="AV446" i="1" s="1"/>
  <c r="AV458" i="1" s="1"/>
  <c r="AV470" i="1" s="1"/>
  <c r="AV482" i="1" s="1"/>
  <c r="AV494" i="1" s="1"/>
  <c r="AV506" i="1" s="1"/>
  <c r="AV518" i="1" s="1"/>
  <c r="AV530" i="1" s="1"/>
  <c r="AV542" i="1" s="1"/>
  <c r="AV554" i="1" s="1"/>
  <c r="AV566" i="1" s="1"/>
  <c r="AV578" i="1" s="1"/>
  <c r="AV590" i="1" s="1"/>
  <c r="AV229" i="1"/>
  <c r="AV241" i="1" s="1"/>
  <c r="AV253" i="1" s="1"/>
  <c r="AV265" i="1" s="1"/>
  <c r="AV277" i="1" s="1"/>
  <c r="AV289" i="1" s="1"/>
  <c r="AV301" i="1" s="1"/>
  <c r="AV313" i="1" s="1"/>
  <c r="AV325" i="1" s="1"/>
  <c r="AV337" i="1" s="1"/>
  <c r="AV349" i="1" s="1"/>
  <c r="AV361" i="1" s="1"/>
  <c r="AV373" i="1" s="1"/>
  <c r="AV385" i="1" s="1"/>
  <c r="AV397" i="1" s="1"/>
  <c r="AV409" i="1" s="1"/>
  <c r="AV421" i="1" s="1"/>
  <c r="AV433" i="1" s="1"/>
  <c r="AV445" i="1" s="1"/>
  <c r="AV457" i="1" s="1"/>
  <c r="AV469" i="1" s="1"/>
  <c r="AV481" i="1" s="1"/>
  <c r="AV493" i="1" s="1"/>
  <c r="AV505" i="1" s="1"/>
  <c r="AV517" i="1" s="1"/>
  <c r="AV529" i="1" s="1"/>
  <c r="AV541" i="1" s="1"/>
  <c r="AV553" i="1" s="1"/>
  <c r="AV565" i="1" s="1"/>
  <c r="AV577" i="1" s="1"/>
  <c r="AV589" i="1" s="1"/>
  <c r="AV228" i="1"/>
  <c r="AV227" i="1"/>
  <c r="AV239" i="1" s="1"/>
  <c r="AV251" i="1" s="1"/>
  <c r="AV263" i="1" s="1"/>
  <c r="AV275" i="1" s="1"/>
  <c r="AV287" i="1" s="1"/>
  <c r="AV299" i="1" s="1"/>
  <c r="AV311" i="1" s="1"/>
  <c r="AV323" i="1" s="1"/>
  <c r="AV335" i="1" s="1"/>
  <c r="AV347" i="1" s="1"/>
  <c r="AV359" i="1" s="1"/>
  <c r="AV371" i="1" s="1"/>
  <c r="AV383" i="1" s="1"/>
  <c r="AV395" i="1" s="1"/>
  <c r="AV407" i="1" s="1"/>
  <c r="AV419" i="1" s="1"/>
  <c r="AV431" i="1" s="1"/>
  <c r="AV443" i="1" s="1"/>
  <c r="AV455" i="1" s="1"/>
  <c r="AV467" i="1" s="1"/>
  <c r="AV479" i="1" s="1"/>
  <c r="AV491" i="1" s="1"/>
  <c r="AV503" i="1" s="1"/>
  <c r="AV515" i="1" s="1"/>
  <c r="AV527" i="1" s="1"/>
  <c r="AV539" i="1" s="1"/>
  <c r="AV551" i="1" s="1"/>
  <c r="AV563" i="1" s="1"/>
  <c r="AV575" i="1" s="1"/>
  <c r="AV587" i="1" s="1"/>
  <c r="AV226" i="1"/>
  <c r="AV238" i="1" s="1"/>
  <c r="AV250" i="1" s="1"/>
  <c r="AV262" i="1" s="1"/>
  <c r="AV274" i="1" s="1"/>
  <c r="AV286" i="1" s="1"/>
  <c r="AV298" i="1" s="1"/>
  <c r="AV310" i="1" s="1"/>
  <c r="AV322" i="1" s="1"/>
  <c r="AV334" i="1" s="1"/>
  <c r="AV346" i="1" s="1"/>
  <c r="AV358" i="1" s="1"/>
  <c r="AV370" i="1" s="1"/>
  <c r="AV382" i="1" s="1"/>
  <c r="AV394" i="1" s="1"/>
  <c r="AV406" i="1" s="1"/>
  <c r="AV418" i="1" s="1"/>
  <c r="AV430" i="1" s="1"/>
  <c r="AV442" i="1" s="1"/>
  <c r="AV454" i="1" s="1"/>
  <c r="AV466" i="1" s="1"/>
  <c r="AV478" i="1" s="1"/>
  <c r="AV490" i="1" s="1"/>
  <c r="AV502" i="1" s="1"/>
  <c r="AV514" i="1" s="1"/>
  <c r="AV526" i="1" s="1"/>
  <c r="AV538" i="1" s="1"/>
  <c r="AV550" i="1" s="1"/>
  <c r="AV562" i="1" s="1"/>
  <c r="AV574" i="1" s="1"/>
  <c r="AV586" i="1" s="1"/>
  <c r="AV225" i="1"/>
  <c r="AV237" i="1" s="1"/>
  <c r="AV249" i="1" s="1"/>
  <c r="AV261" i="1" s="1"/>
  <c r="AV273" i="1" s="1"/>
  <c r="AV285" i="1" s="1"/>
  <c r="AV297" i="1" s="1"/>
  <c r="AV309" i="1" s="1"/>
  <c r="AV321" i="1" s="1"/>
  <c r="AV333" i="1" s="1"/>
  <c r="AV345" i="1" s="1"/>
  <c r="AV357" i="1" s="1"/>
  <c r="AV369" i="1" s="1"/>
  <c r="AV381" i="1" s="1"/>
  <c r="AV393" i="1" s="1"/>
  <c r="AV405" i="1" s="1"/>
  <c r="AV417" i="1" s="1"/>
  <c r="AV429" i="1" s="1"/>
  <c r="AV441" i="1" s="1"/>
  <c r="AV453" i="1" s="1"/>
  <c r="AV465" i="1" s="1"/>
  <c r="AV477" i="1" s="1"/>
  <c r="AV489" i="1" s="1"/>
  <c r="AV501" i="1" s="1"/>
  <c r="AV513" i="1" s="1"/>
  <c r="AV525" i="1" s="1"/>
  <c r="AV537" i="1" s="1"/>
  <c r="AV549" i="1" s="1"/>
  <c r="AV561" i="1" s="1"/>
  <c r="AV573" i="1" s="1"/>
  <c r="AV585" i="1" s="1"/>
  <c r="AV224" i="1"/>
  <c r="AV236" i="1" s="1"/>
  <c r="AV248" i="1" s="1"/>
  <c r="AV260" i="1" s="1"/>
  <c r="AV272" i="1" s="1"/>
  <c r="AV284" i="1" s="1"/>
  <c r="AV296" i="1" s="1"/>
  <c r="AV308" i="1" s="1"/>
  <c r="AV320" i="1" s="1"/>
  <c r="AV332" i="1" s="1"/>
  <c r="AV344" i="1" s="1"/>
  <c r="AV356" i="1" s="1"/>
  <c r="AV368" i="1" s="1"/>
  <c r="AV380" i="1" s="1"/>
  <c r="AV392" i="1" s="1"/>
  <c r="AV404" i="1" s="1"/>
  <c r="AV416" i="1" s="1"/>
  <c r="AV428" i="1" s="1"/>
  <c r="AV440" i="1" s="1"/>
  <c r="AV452" i="1" s="1"/>
  <c r="AV464" i="1" s="1"/>
  <c r="AV476" i="1" s="1"/>
  <c r="AV488" i="1" s="1"/>
  <c r="AV500" i="1" s="1"/>
  <c r="AV512" i="1" s="1"/>
  <c r="AV524" i="1" s="1"/>
  <c r="AV536" i="1" s="1"/>
  <c r="AV548" i="1" s="1"/>
  <c r="AV560" i="1" s="1"/>
  <c r="AV572" i="1" s="1"/>
  <c r="AV584" i="1" s="1"/>
  <c r="I7" i="43" l="1"/>
  <c r="I6" i="43"/>
  <c r="X53" i="2"/>
  <c r="X52" i="2"/>
  <c r="X51" i="2"/>
  <c r="X7" i="2"/>
  <c r="I5" i="43" s="1"/>
  <c r="AJ12" i="43" s="1"/>
  <c r="AJ46" i="43" s="1"/>
  <c r="AJ55" i="43" s="1"/>
  <c r="AJ64" i="43" s="1"/>
  <c r="AJ70" i="43" s="1"/>
  <c r="AJ82" i="43" s="1"/>
  <c r="I12" i="34"/>
  <c r="I11" i="34"/>
  <c r="N5" i="71"/>
  <c r="N6" i="71"/>
  <c r="N7" i="71"/>
  <c r="N8" i="71"/>
  <c r="N13" i="71"/>
  <c r="N14" i="71"/>
  <c r="N15" i="71"/>
  <c r="H5" i="71"/>
  <c r="H6" i="71"/>
  <c r="H7" i="71"/>
  <c r="H8" i="71"/>
  <c r="H9" i="71"/>
  <c r="N9" i="71" s="1"/>
  <c r="H10" i="71"/>
  <c r="N10" i="71" s="1"/>
  <c r="H11" i="71"/>
  <c r="N11" i="71" s="1"/>
  <c r="H12" i="71"/>
  <c r="N12" i="71" s="1"/>
  <c r="H13" i="71"/>
  <c r="H14" i="71"/>
  <c r="H15" i="71"/>
  <c r="H16" i="71"/>
  <c r="H17" i="71"/>
  <c r="H18" i="71"/>
  <c r="H19" i="71"/>
  <c r="H20" i="71"/>
  <c r="H21" i="71"/>
  <c r="H22" i="71"/>
  <c r="H23" i="71"/>
  <c r="H24" i="71"/>
  <c r="H25" i="71"/>
  <c r="H26" i="71"/>
  <c r="H27" i="71"/>
  <c r="H28" i="71"/>
  <c r="N4" i="71" s="1"/>
  <c r="H29" i="71"/>
  <c r="H30" i="71"/>
  <c r="H31" i="71"/>
  <c r="H32" i="71"/>
  <c r="H33" i="71"/>
  <c r="H34" i="71"/>
  <c r="H35" i="71"/>
  <c r="H36" i="71"/>
  <c r="H37" i="71"/>
  <c r="H38" i="71"/>
  <c r="H39" i="71"/>
  <c r="H4" i="71"/>
  <c r="AH4" i="70" l="1"/>
  <c r="AH5" i="70" s="1"/>
  <c r="AH6" i="70" s="1"/>
  <c r="AH7" i="70" s="1"/>
  <c r="AH8" i="70" s="1"/>
  <c r="AH9" i="70" s="1"/>
  <c r="AH10" i="70" s="1"/>
  <c r="AH11" i="70" s="1"/>
  <c r="AH12" i="70" s="1"/>
  <c r="AH13" i="70" s="1"/>
  <c r="AH14" i="70" s="1"/>
  <c r="AH15" i="70" s="1"/>
  <c r="AH16" i="70" s="1"/>
  <c r="AH17" i="70" s="1"/>
  <c r="AH18" i="70" s="1"/>
  <c r="AH19" i="70" s="1"/>
  <c r="AH20" i="70" s="1"/>
  <c r="AH21" i="70" s="1"/>
  <c r="AH22" i="70" s="1"/>
  <c r="AH23" i="70" s="1"/>
  <c r="AC374" i="70"/>
  <c r="AC373" i="70"/>
  <c r="AC372" i="70"/>
  <c r="AC371" i="70"/>
  <c r="AC370" i="70"/>
  <c r="AC369" i="70"/>
  <c r="AC368" i="70"/>
  <c r="AC367" i="70"/>
  <c r="AC366" i="70"/>
  <c r="AC365" i="70"/>
  <c r="AC364" i="70"/>
  <c r="AC363" i="70"/>
  <c r="AC362" i="70"/>
  <c r="AC361" i="70"/>
  <c r="AC360" i="70"/>
  <c r="AC359" i="70"/>
  <c r="AC358" i="70"/>
  <c r="AC357" i="70"/>
  <c r="AC356" i="70"/>
  <c r="AC355" i="70"/>
  <c r="AC354" i="70"/>
  <c r="AC353" i="70"/>
  <c r="AC352" i="70"/>
  <c r="AC351" i="70"/>
  <c r="AC350" i="70"/>
  <c r="AC349" i="70"/>
  <c r="AC348" i="70"/>
  <c r="AC347" i="70"/>
  <c r="AC346" i="70"/>
  <c r="AC345" i="70"/>
  <c r="AC344" i="70"/>
  <c r="AC343" i="70"/>
  <c r="AC342" i="70"/>
  <c r="AC341" i="70"/>
  <c r="AC340" i="70"/>
  <c r="AC339" i="70"/>
  <c r="AC338" i="70"/>
  <c r="AC337" i="70"/>
  <c r="AC336" i="70"/>
  <c r="AC335" i="70"/>
  <c r="AC334" i="70"/>
  <c r="AC333" i="70"/>
  <c r="AC332" i="70"/>
  <c r="AC331" i="70"/>
  <c r="AC330" i="70"/>
  <c r="AC329" i="70"/>
  <c r="AC328" i="70"/>
  <c r="AC327" i="70"/>
  <c r="AC326" i="70"/>
  <c r="AC325" i="70"/>
  <c r="AC324" i="70"/>
  <c r="AC323" i="70"/>
  <c r="AC322" i="70"/>
  <c r="AC321" i="70"/>
  <c r="AC320" i="70"/>
  <c r="AC319" i="70"/>
  <c r="AC318" i="70"/>
  <c r="AC317" i="70"/>
  <c r="AC316" i="70"/>
  <c r="AC315" i="70"/>
  <c r="AC314" i="70"/>
  <c r="AC313" i="70"/>
  <c r="AC312" i="70"/>
  <c r="AC311" i="70"/>
  <c r="AC310" i="70"/>
  <c r="AC309" i="70"/>
  <c r="AC308" i="70"/>
  <c r="AC307" i="70"/>
  <c r="AC306" i="70"/>
  <c r="AC305" i="70"/>
  <c r="AC304" i="70"/>
  <c r="AC303" i="70"/>
  <c r="AC302" i="70"/>
  <c r="AC301" i="70"/>
  <c r="AC300" i="70"/>
  <c r="AC299" i="70"/>
  <c r="AC298" i="70"/>
  <c r="AC297" i="70"/>
  <c r="AC296" i="70"/>
  <c r="AC295" i="70"/>
  <c r="AC294" i="70"/>
  <c r="AC293" i="70"/>
  <c r="AC292" i="70"/>
  <c r="AC291" i="70"/>
  <c r="AC290" i="70"/>
  <c r="AC289" i="70"/>
  <c r="AC288" i="70"/>
  <c r="AC287" i="70"/>
  <c r="AC286" i="70"/>
  <c r="AC285" i="70"/>
  <c r="AC284" i="70"/>
  <c r="AC283" i="70"/>
  <c r="AC282" i="70"/>
  <c r="AC281" i="70"/>
  <c r="AC280" i="70"/>
  <c r="AC279" i="70"/>
  <c r="AC278" i="70"/>
  <c r="AC277" i="70"/>
  <c r="AC276" i="70"/>
  <c r="AC275" i="70"/>
  <c r="AC274" i="70"/>
  <c r="AC273" i="70"/>
  <c r="AC272" i="70"/>
  <c r="AC271" i="70"/>
  <c r="AC270" i="70"/>
  <c r="AC269" i="70"/>
  <c r="AC268" i="70"/>
  <c r="AC267" i="70"/>
  <c r="AC266" i="70"/>
  <c r="AC265" i="70"/>
  <c r="AC264" i="70"/>
  <c r="AC263" i="70"/>
  <c r="AC262" i="70"/>
  <c r="AC261" i="70"/>
  <c r="AC260" i="70"/>
  <c r="AC259" i="70"/>
  <c r="AC258" i="70"/>
  <c r="AC257" i="70"/>
  <c r="AC256" i="70"/>
  <c r="AC255" i="70"/>
  <c r="AC254" i="70"/>
  <c r="AC253" i="70"/>
  <c r="AC252" i="70"/>
  <c r="AC251" i="70"/>
  <c r="AC250" i="70"/>
  <c r="AC249" i="70"/>
  <c r="AC248" i="70"/>
  <c r="AC247" i="70"/>
  <c r="AC246" i="70"/>
  <c r="AC245" i="70"/>
  <c r="AC244" i="70"/>
  <c r="AC243" i="70"/>
  <c r="AC242" i="70"/>
  <c r="AC241" i="70"/>
  <c r="AC240" i="70"/>
  <c r="AC239" i="70"/>
  <c r="AC238" i="70"/>
  <c r="AC237" i="70"/>
  <c r="AC236" i="70"/>
  <c r="AC235" i="70"/>
  <c r="AC234" i="70"/>
  <c r="AC233" i="70"/>
  <c r="AC232" i="70"/>
  <c r="AC231" i="70"/>
  <c r="AC230" i="70"/>
  <c r="AC229" i="70"/>
  <c r="AC228" i="70"/>
  <c r="AC227" i="70"/>
  <c r="AC226" i="70"/>
  <c r="AC225" i="70"/>
  <c r="AC224" i="70"/>
  <c r="AC223" i="70"/>
  <c r="AC222" i="70"/>
  <c r="AC221" i="70"/>
  <c r="AC220" i="70"/>
  <c r="AC219" i="70"/>
  <c r="AC218" i="70"/>
  <c r="AC217" i="70"/>
  <c r="AC216" i="70"/>
  <c r="AC215" i="70"/>
  <c r="AC214" i="70"/>
  <c r="AC213" i="70"/>
  <c r="AC212" i="70"/>
  <c r="AC211" i="70"/>
  <c r="AC210" i="70"/>
  <c r="AC209" i="70"/>
  <c r="AC208" i="70"/>
  <c r="AC207" i="70"/>
  <c r="AC206" i="70"/>
  <c r="AC205" i="70"/>
  <c r="AC204" i="70"/>
  <c r="AC203" i="70"/>
  <c r="AC202" i="70"/>
  <c r="AC201" i="70"/>
  <c r="AC200" i="70"/>
  <c r="AC199" i="70"/>
  <c r="AC198" i="70"/>
  <c r="AC197" i="70"/>
  <c r="AC196" i="70"/>
  <c r="AC195" i="70"/>
  <c r="AC194" i="70"/>
  <c r="AC193" i="70"/>
  <c r="AC192" i="70"/>
  <c r="AC191" i="70"/>
  <c r="AC190" i="70"/>
  <c r="AC189" i="70"/>
  <c r="AC188" i="70"/>
  <c r="AC187" i="70"/>
  <c r="AC186" i="70"/>
  <c r="AC185" i="70"/>
  <c r="AC184" i="70"/>
  <c r="AC183" i="70"/>
  <c r="AC182" i="70"/>
  <c r="AC181" i="70"/>
  <c r="AC180" i="70"/>
  <c r="AC179" i="70"/>
  <c r="AC178" i="70"/>
  <c r="AC177" i="70"/>
  <c r="AC176" i="70"/>
  <c r="AC175" i="70"/>
  <c r="AC174" i="70"/>
  <c r="AC173" i="70"/>
  <c r="AC172" i="70"/>
  <c r="AC171" i="70"/>
  <c r="AC170" i="70"/>
  <c r="AC169" i="70"/>
  <c r="AC168" i="70"/>
  <c r="AC167" i="70"/>
  <c r="AC166" i="70"/>
  <c r="AC165" i="70"/>
  <c r="AC164" i="70"/>
  <c r="AC163" i="70"/>
  <c r="AC162" i="70"/>
  <c r="AC161" i="70"/>
  <c r="AC160" i="70"/>
  <c r="AC159" i="70"/>
  <c r="AC158" i="70"/>
  <c r="AC157" i="70"/>
  <c r="AC156" i="70"/>
  <c r="AC155" i="70"/>
  <c r="AC154" i="70"/>
  <c r="AC153" i="70"/>
  <c r="AC152" i="70"/>
  <c r="AC151" i="70"/>
  <c r="AC150" i="70"/>
  <c r="AC149" i="70"/>
  <c r="AC148" i="70"/>
  <c r="AC147" i="70"/>
  <c r="AC146" i="70"/>
  <c r="AC145" i="70"/>
  <c r="AC144" i="70"/>
  <c r="AC143" i="70"/>
  <c r="AC142" i="70"/>
  <c r="AC141" i="70"/>
  <c r="AC140" i="70"/>
  <c r="AC139" i="70"/>
  <c r="AC138" i="70"/>
  <c r="AC137" i="70"/>
  <c r="AC136" i="70"/>
  <c r="AC135" i="70"/>
  <c r="AC134" i="70"/>
  <c r="AC133" i="70"/>
  <c r="AC132" i="70"/>
  <c r="AC131" i="70"/>
  <c r="AC130" i="70"/>
  <c r="AC129" i="70"/>
  <c r="AC128" i="70"/>
  <c r="AC127" i="70"/>
  <c r="AC126" i="70"/>
  <c r="AC125" i="70"/>
  <c r="AC124" i="70"/>
  <c r="AC123" i="70"/>
  <c r="AC122" i="70"/>
  <c r="AC121" i="70"/>
  <c r="AC120" i="70"/>
  <c r="AC119" i="70"/>
  <c r="AC118" i="70"/>
  <c r="AC117" i="70"/>
  <c r="AC116" i="70"/>
  <c r="AC115" i="70"/>
  <c r="AC114" i="70"/>
  <c r="AC113" i="70"/>
  <c r="AC112" i="70"/>
  <c r="AC111" i="70"/>
  <c r="AC110" i="70"/>
  <c r="AC109" i="70"/>
  <c r="AC108" i="70"/>
  <c r="AC107" i="70"/>
  <c r="AC106" i="70"/>
  <c r="AC105" i="70"/>
  <c r="AC104" i="70"/>
  <c r="AC103" i="70"/>
  <c r="AC102" i="70"/>
  <c r="AC101" i="70"/>
  <c r="AC100" i="70"/>
  <c r="AC99" i="70"/>
  <c r="AC98" i="70"/>
  <c r="AC97" i="70"/>
  <c r="AC96" i="70"/>
  <c r="AC95" i="70"/>
  <c r="AC94" i="70"/>
  <c r="AC93" i="70"/>
  <c r="AC92" i="70"/>
  <c r="AC91" i="70"/>
  <c r="AC90" i="70"/>
  <c r="AC89" i="70"/>
  <c r="AC88" i="70"/>
  <c r="AC87" i="70"/>
  <c r="AC86" i="70"/>
  <c r="AC85" i="70"/>
  <c r="AC84" i="70"/>
  <c r="AC83" i="70"/>
  <c r="AC82" i="70"/>
  <c r="AC81" i="70"/>
  <c r="AC80" i="70"/>
  <c r="AC79" i="70"/>
  <c r="AC78" i="70"/>
  <c r="AC77" i="70"/>
  <c r="AC76" i="70"/>
  <c r="AC75" i="70"/>
  <c r="AC74" i="70"/>
  <c r="AC73" i="70"/>
  <c r="AC72" i="70"/>
  <c r="AC71" i="70"/>
  <c r="AC70" i="70"/>
  <c r="AC69" i="70"/>
  <c r="AC68" i="70"/>
  <c r="AC67" i="70"/>
  <c r="AC66" i="70"/>
  <c r="AC65" i="70"/>
  <c r="AC64" i="70"/>
  <c r="AC63" i="70"/>
  <c r="AC62" i="70"/>
  <c r="AC61" i="70"/>
  <c r="AC60" i="70"/>
  <c r="AC59" i="70"/>
  <c r="AC58" i="70"/>
  <c r="AC57" i="70"/>
  <c r="AC56" i="70"/>
  <c r="AC55" i="70"/>
  <c r="AC54" i="70"/>
  <c r="AC53" i="70"/>
  <c r="AC52" i="70"/>
  <c r="AC51" i="70"/>
  <c r="AC50" i="70"/>
  <c r="AC49" i="70"/>
  <c r="AC48" i="70"/>
  <c r="AC47" i="70"/>
  <c r="AC46" i="70"/>
  <c r="AC45" i="70"/>
  <c r="AC44" i="70"/>
  <c r="AC43" i="70"/>
  <c r="AC42" i="70"/>
  <c r="AC41" i="70"/>
  <c r="AC40" i="70"/>
  <c r="AC39" i="70"/>
  <c r="AC38" i="70"/>
  <c r="AC37" i="70"/>
  <c r="AC36" i="70"/>
  <c r="AC35" i="70"/>
  <c r="AC34" i="70"/>
  <c r="AC33" i="70"/>
  <c r="AC32" i="70"/>
  <c r="AC31" i="70"/>
  <c r="AC30" i="70"/>
  <c r="AC29" i="70"/>
  <c r="AC28" i="70"/>
  <c r="AC27" i="70"/>
  <c r="AC26" i="70"/>
  <c r="AC25" i="70"/>
  <c r="AC24" i="70"/>
  <c r="AC23" i="70"/>
  <c r="AC22" i="70"/>
  <c r="AC21" i="70"/>
  <c r="AC20" i="70"/>
  <c r="AC19" i="70"/>
  <c r="AC18" i="70"/>
  <c r="AC17" i="70"/>
  <c r="AC16" i="70"/>
  <c r="AC15" i="70"/>
  <c r="AC14" i="70"/>
  <c r="AC13" i="70"/>
  <c r="AC12" i="70"/>
  <c r="AC11" i="70"/>
  <c r="AC10" i="70"/>
  <c r="AC9" i="70"/>
  <c r="AC8" i="70"/>
  <c r="AC7" i="70"/>
  <c r="AC6" i="70"/>
  <c r="AC5" i="70"/>
  <c r="AC4" i="70"/>
  <c r="J27" i="71"/>
  <c r="I27" i="71"/>
  <c r="J26" i="71"/>
  <c r="I26" i="71"/>
  <c r="J25" i="71"/>
  <c r="I25" i="71"/>
  <c r="J24" i="71"/>
  <c r="I24" i="71"/>
  <c r="J23" i="71"/>
  <c r="I23" i="71"/>
  <c r="J22" i="71"/>
  <c r="I22" i="71"/>
  <c r="J21" i="71"/>
  <c r="I21" i="71"/>
  <c r="J20" i="71"/>
  <c r="I20" i="71"/>
  <c r="J19" i="71"/>
  <c r="I19" i="71"/>
  <c r="J18" i="71"/>
  <c r="I18" i="71"/>
  <c r="J17" i="71"/>
  <c r="I17" i="71"/>
  <c r="J16" i="71"/>
  <c r="I16" i="71"/>
  <c r="J15" i="71"/>
  <c r="I15" i="71"/>
  <c r="J14" i="71"/>
  <c r="I14" i="71"/>
  <c r="J13" i="71"/>
  <c r="I13" i="71"/>
  <c r="J12" i="71"/>
  <c r="I12" i="71"/>
  <c r="J11" i="71"/>
  <c r="I11" i="71"/>
  <c r="J10" i="71"/>
  <c r="I10" i="71"/>
  <c r="J9" i="71"/>
  <c r="I9" i="71"/>
  <c r="J8" i="71"/>
  <c r="I8" i="71"/>
  <c r="J7" i="71"/>
  <c r="I7" i="71"/>
  <c r="J6" i="71"/>
  <c r="I6" i="71"/>
  <c r="J5" i="71"/>
  <c r="I5" i="71"/>
  <c r="J4" i="71"/>
  <c r="I4" i="71"/>
  <c r="M10" i="71" l="1"/>
  <c r="M13" i="71"/>
  <c r="A27" i="71"/>
  <c r="A26" i="71"/>
  <c r="A25" i="71"/>
  <c r="A24" i="71"/>
  <c r="A23" i="71"/>
  <c r="A22" i="71"/>
  <c r="A21" i="71"/>
  <c r="A20" i="71"/>
  <c r="A19" i="71"/>
  <c r="A18" i="71"/>
  <c r="A17" i="71"/>
  <c r="A16" i="71"/>
  <c r="A15" i="71"/>
  <c r="L15" i="71" s="1"/>
  <c r="A14" i="71"/>
  <c r="L14" i="71" s="1"/>
  <c r="A13" i="71"/>
  <c r="L13" i="71" s="1"/>
  <c r="A12" i="71"/>
  <c r="L12" i="71" s="1"/>
  <c r="A11" i="71"/>
  <c r="L11" i="71" s="1"/>
  <c r="A10" i="71"/>
  <c r="L10" i="71" s="1"/>
  <c r="A9" i="71"/>
  <c r="L9" i="71" s="1"/>
  <c r="A8" i="71"/>
  <c r="L8" i="71" s="1"/>
  <c r="A7" i="71"/>
  <c r="L7" i="71" s="1"/>
  <c r="A6" i="71"/>
  <c r="L6" i="71" s="1"/>
  <c r="A5" i="71"/>
  <c r="L5" i="71" s="1"/>
  <c r="A4" i="71"/>
  <c r="L4" i="71" s="1"/>
  <c r="A29" i="71"/>
  <c r="A30" i="71"/>
  <c r="A31" i="71"/>
  <c r="A32" i="71"/>
  <c r="A33" i="71"/>
  <c r="A34" i="71"/>
  <c r="A35" i="71"/>
  <c r="A36" i="71"/>
  <c r="A37" i="71"/>
  <c r="A38" i="71"/>
  <c r="A39" i="71"/>
  <c r="A28" i="71"/>
  <c r="J29" i="71"/>
  <c r="M5" i="71" s="1"/>
  <c r="J30" i="71"/>
  <c r="M6" i="71" s="1"/>
  <c r="J31" i="71"/>
  <c r="M7" i="71" s="1"/>
  <c r="J32" i="71"/>
  <c r="M8" i="71" s="1"/>
  <c r="J33" i="71"/>
  <c r="M9" i="71" s="1"/>
  <c r="J34" i="71"/>
  <c r="J35" i="71"/>
  <c r="M11" i="71" s="1"/>
  <c r="J36" i="71"/>
  <c r="M12" i="71" s="1"/>
  <c r="J37" i="71"/>
  <c r="J38" i="71"/>
  <c r="M14" i="71" s="1"/>
  <c r="J39" i="71"/>
  <c r="M15" i="71" s="1"/>
  <c r="J28" i="71"/>
  <c r="M4" i="71" s="1"/>
  <c r="AC3" i="70" l="1"/>
  <c r="I29" i="71" l="1"/>
  <c r="I30" i="71"/>
  <c r="I31" i="71"/>
  <c r="I32" i="71"/>
  <c r="I33" i="71"/>
  <c r="I34" i="71"/>
  <c r="I35" i="71"/>
  <c r="I36" i="71"/>
  <c r="I37" i="71"/>
  <c r="I38" i="71"/>
  <c r="I39" i="71"/>
  <c r="I28" i="71"/>
  <c r="V30" i="70" l="1"/>
  <c r="AH30" i="70" s="1"/>
  <c r="V29" i="70"/>
  <c r="AH29" i="70" s="1"/>
  <c r="V28" i="70"/>
  <c r="AH28" i="70" s="1"/>
  <c r="V27" i="70"/>
  <c r="AH27" i="70" s="1"/>
  <c r="V26" i="70"/>
  <c r="AH26" i="70" s="1"/>
  <c r="H4" i="70"/>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 i="70"/>
  <c r="M2" i="70"/>
  <c r="L2" i="70"/>
  <c r="K2" i="70"/>
  <c r="A4" i="70"/>
  <c r="A5" i="70"/>
  <c r="A6" i="70"/>
  <c r="A7" i="70"/>
  <c r="A8" i="70"/>
  <c r="A9" i="70"/>
  <c r="A10" i="70"/>
  <c r="A11" i="70"/>
  <c r="A12" i="70"/>
  <c r="A13" i="70"/>
  <c r="A14" i="70"/>
  <c r="I3" i="70"/>
  <c r="I4" i="70"/>
  <c r="I5" i="70"/>
  <c r="I6" i="70"/>
  <c r="I7" i="70"/>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I60" i="70"/>
  <c r="I61" i="7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112" i="70"/>
  <c r="I113" i="70"/>
  <c r="I114" i="70"/>
  <c r="I115" i="70"/>
  <c r="I116" i="70"/>
  <c r="I117" i="70"/>
  <c r="I118" i="70"/>
  <c r="I119" i="70"/>
  <c r="I120" i="70"/>
  <c r="I121" i="70"/>
  <c r="I122" i="70"/>
  <c r="I123" i="70"/>
  <c r="I124" i="70"/>
  <c r="I125" i="70"/>
  <c r="I126" i="70"/>
  <c r="I127" i="70"/>
  <c r="I128" i="70"/>
  <c r="I129" i="70"/>
  <c r="I130" i="70"/>
  <c r="I131" i="70"/>
  <c r="I132" i="70"/>
  <c r="I133" i="70"/>
  <c r="I134" i="70"/>
  <c r="I135" i="70"/>
  <c r="I136" i="70"/>
  <c r="I137" i="70"/>
  <c r="I138" i="70"/>
  <c r="I139" i="70"/>
  <c r="I140" i="70"/>
  <c r="I141" i="70"/>
  <c r="I142" i="70"/>
  <c r="I143" i="70"/>
  <c r="I144" i="70"/>
  <c r="I145" i="70"/>
  <c r="I146" i="70"/>
  <c r="I147" i="70"/>
  <c r="I148" i="70"/>
  <c r="I149" i="70"/>
  <c r="I150" i="70"/>
  <c r="I151" i="70"/>
  <c r="I152" i="70"/>
  <c r="I153" i="70"/>
  <c r="I154" i="70"/>
  <c r="I155" i="70"/>
  <c r="I156" i="70"/>
  <c r="I157" i="70"/>
  <c r="I158" i="70"/>
  <c r="I159" i="70"/>
  <c r="I160" i="70"/>
  <c r="I161" i="70"/>
  <c r="I162" i="70"/>
  <c r="I163" i="70"/>
  <c r="I164" i="70"/>
  <c r="I165" i="70"/>
  <c r="I166" i="70"/>
  <c r="I167" i="70"/>
  <c r="I168" i="70"/>
  <c r="I169" i="70"/>
  <c r="I170" i="70"/>
  <c r="I171" i="70"/>
  <c r="I172" i="70"/>
  <c r="I173" i="70"/>
  <c r="I174" i="70"/>
  <c r="I175" i="70"/>
  <c r="I176" i="70"/>
  <c r="I177" i="70"/>
  <c r="I178" i="70"/>
  <c r="I179" i="70"/>
  <c r="I180" i="70"/>
  <c r="I181" i="70"/>
  <c r="I182" i="70"/>
  <c r="I183" i="70"/>
  <c r="I184" i="70"/>
  <c r="I185" i="70"/>
  <c r="I186" i="70"/>
  <c r="I187" i="70"/>
  <c r="I188" i="70"/>
  <c r="I189" i="70"/>
  <c r="I190" i="70"/>
  <c r="I191" i="70"/>
  <c r="I192" i="70"/>
  <c r="I193" i="70"/>
  <c r="I194" i="70"/>
  <c r="I195" i="70"/>
  <c r="I196" i="70"/>
  <c r="I197" i="70"/>
  <c r="I198" i="70"/>
  <c r="I199" i="70"/>
  <c r="I200" i="70"/>
  <c r="I201" i="70"/>
  <c r="I202" i="70"/>
  <c r="I203" i="70"/>
  <c r="I204" i="70"/>
  <c r="I205" i="70"/>
  <c r="I206" i="70"/>
  <c r="I207" i="70"/>
  <c r="I208" i="70"/>
  <c r="I209" i="70"/>
  <c r="I210" i="70"/>
  <c r="I211" i="70"/>
  <c r="I212" i="70"/>
  <c r="I213" i="70"/>
  <c r="I214" i="70"/>
  <c r="I215" i="70"/>
  <c r="I216" i="70"/>
  <c r="I217" i="70"/>
  <c r="I218" i="70"/>
  <c r="I219" i="70"/>
  <c r="I220" i="70"/>
  <c r="I221" i="70"/>
  <c r="I222" i="70"/>
  <c r="I223" i="70"/>
  <c r="I224" i="70"/>
  <c r="I225" i="70"/>
  <c r="I226" i="70"/>
  <c r="I227" i="70"/>
  <c r="I228" i="70"/>
  <c r="I229" i="70"/>
  <c r="I230" i="70"/>
  <c r="I231" i="70"/>
  <c r="I232" i="70"/>
  <c r="I233" i="70"/>
  <c r="I234" i="70"/>
  <c r="I235" i="70"/>
  <c r="I236" i="70"/>
  <c r="I237" i="70"/>
  <c r="I238" i="70"/>
  <c r="I239" i="70"/>
  <c r="I240" i="70"/>
  <c r="I241" i="70"/>
  <c r="I242" i="70"/>
  <c r="I243" i="70"/>
  <c r="I244" i="70"/>
  <c r="I245" i="70"/>
  <c r="I246" i="70"/>
  <c r="I247" i="70"/>
  <c r="I248" i="70"/>
  <c r="I249" i="70"/>
  <c r="I250" i="70"/>
  <c r="I251" i="70"/>
  <c r="I252" i="70"/>
  <c r="I253" i="70"/>
  <c r="I254" i="70"/>
  <c r="I255" i="70"/>
  <c r="I256" i="70"/>
  <c r="I257" i="70"/>
  <c r="I258" i="70"/>
  <c r="I259" i="70"/>
  <c r="I260" i="70"/>
  <c r="I261" i="70"/>
  <c r="I262" i="70"/>
  <c r="I263" i="70"/>
  <c r="I264" i="70"/>
  <c r="I265" i="70"/>
  <c r="I266" i="70"/>
  <c r="I267" i="70"/>
  <c r="I268" i="70"/>
  <c r="I269" i="70"/>
  <c r="I270"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356" i="70"/>
  <c r="I357" i="70"/>
  <c r="I358" i="70"/>
  <c r="I359" i="70"/>
  <c r="I360" i="70"/>
  <c r="I361" i="70"/>
  <c r="I362" i="70"/>
  <c r="I363" i="70"/>
  <c r="I364" i="70"/>
  <c r="I365" i="70"/>
  <c r="I366" i="70"/>
  <c r="I367" i="70"/>
  <c r="I368" i="70"/>
  <c r="I369" i="70"/>
  <c r="I370" i="70"/>
  <c r="I371" i="70"/>
  <c r="I372" i="70"/>
  <c r="I373" i="70"/>
  <c r="I374" i="70"/>
  <c r="A3" i="70"/>
  <c r="E4" i="70"/>
  <c r="E5" i="70"/>
  <c r="E6" i="70"/>
  <c r="E7" i="70"/>
  <c r="E8" i="70"/>
  <c r="E9" i="70"/>
  <c r="E10" i="70"/>
  <c r="E11" i="70"/>
  <c r="E12" i="70"/>
  <c r="E13" i="70"/>
  <c r="E14" i="70"/>
  <c r="E3" i="70"/>
  <c r="AA310" i="70" l="1"/>
  <c r="AA94" i="70"/>
  <c r="AA333" i="70"/>
  <c r="AA201" i="70"/>
  <c r="AA105" i="70"/>
  <c r="AA368" i="70"/>
  <c r="AA356" i="70"/>
  <c r="AA344" i="70"/>
  <c r="AA332" i="70"/>
  <c r="AA320" i="70"/>
  <c r="AA308" i="70"/>
  <c r="AA296" i="70"/>
  <c r="AA284" i="70"/>
  <c r="AA272" i="70"/>
  <c r="AA260" i="70"/>
  <c r="AA248" i="70"/>
  <c r="AA236" i="70"/>
  <c r="AA224" i="70"/>
  <c r="AA212" i="70"/>
  <c r="AA200" i="70"/>
  <c r="AA188" i="70"/>
  <c r="AA176" i="70"/>
  <c r="AA164" i="70"/>
  <c r="AA152" i="70"/>
  <c r="AA140" i="70"/>
  <c r="AA128" i="70"/>
  <c r="AA116" i="70"/>
  <c r="AA104" i="70"/>
  <c r="AA92" i="70"/>
  <c r="AA80" i="70"/>
  <c r="AA68" i="70"/>
  <c r="AA56" i="70"/>
  <c r="AA44" i="70"/>
  <c r="AA32" i="70"/>
  <c r="AA20" i="70"/>
  <c r="AA8" i="70"/>
  <c r="AA346" i="70"/>
  <c r="AA58" i="70"/>
  <c r="AA273" i="70"/>
  <c r="AA141" i="70"/>
  <c r="AA93" i="70"/>
  <c r="AA319" i="70"/>
  <c r="AA307" i="70"/>
  <c r="AA283" i="70"/>
  <c r="AA199" i="70"/>
  <c r="AA187" i="70"/>
  <c r="AA175" i="70"/>
  <c r="AA163" i="70"/>
  <c r="AA151" i="70"/>
  <c r="AA139" i="70"/>
  <c r="AA127" i="70"/>
  <c r="AA115" i="70"/>
  <c r="AA103" i="70"/>
  <c r="AA91" i="70"/>
  <c r="AA79" i="70"/>
  <c r="AA67" i="70"/>
  <c r="AA55" i="70"/>
  <c r="AA43" i="70"/>
  <c r="AA31" i="70"/>
  <c r="AA19" i="70"/>
  <c r="AA7" i="70"/>
  <c r="AA298" i="70"/>
  <c r="AA106" i="70"/>
  <c r="AA309" i="70"/>
  <c r="AA177" i="70"/>
  <c r="AA81" i="70"/>
  <c r="AA355" i="70"/>
  <c r="AA271" i="70"/>
  <c r="AA366" i="70"/>
  <c r="AA354" i="70"/>
  <c r="AA342" i="70"/>
  <c r="AA330" i="70"/>
  <c r="AA318" i="70"/>
  <c r="AA306" i="70"/>
  <c r="AA294" i="70"/>
  <c r="AA282" i="70"/>
  <c r="AA270" i="70"/>
  <c r="AA258" i="70"/>
  <c r="AA246" i="70"/>
  <c r="AA234" i="70"/>
  <c r="AA222" i="70"/>
  <c r="AA210" i="70"/>
  <c r="AA198" i="70"/>
  <c r="AA186" i="70"/>
  <c r="AA174" i="70"/>
  <c r="AA162" i="70"/>
  <c r="AA150" i="70"/>
  <c r="AA138" i="70"/>
  <c r="AA126" i="70"/>
  <c r="AA114" i="70"/>
  <c r="AA102" i="70"/>
  <c r="AA90" i="70"/>
  <c r="AA78" i="70"/>
  <c r="AA66" i="70"/>
  <c r="AA54" i="70"/>
  <c r="AA42" i="70"/>
  <c r="AA30" i="70"/>
  <c r="AA18" i="70"/>
  <c r="AA6" i="70"/>
  <c r="AA334" i="70"/>
  <c r="AA82" i="70"/>
  <c r="AA297" i="70"/>
  <c r="AA189" i="70"/>
  <c r="AA69" i="70"/>
  <c r="AA367" i="70"/>
  <c r="AA211" i="70"/>
  <c r="AA365" i="70"/>
  <c r="AA353" i="70"/>
  <c r="AA341" i="70"/>
  <c r="AA329" i="70"/>
  <c r="AA317" i="70"/>
  <c r="AA305" i="70"/>
  <c r="AA293" i="70"/>
  <c r="AA281" i="70"/>
  <c r="AA269" i="70"/>
  <c r="AA257" i="70"/>
  <c r="AA245" i="70"/>
  <c r="AA233" i="70"/>
  <c r="AA221" i="70"/>
  <c r="AA209" i="70"/>
  <c r="AA197" i="70"/>
  <c r="AA185" i="70"/>
  <c r="AA173" i="70"/>
  <c r="AA161" i="70"/>
  <c r="AA149" i="70"/>
  <c r="AA137" i="70"/>
  <c r="AA125" i="70"/>
  <c r="AA113" i="70"/>
  <c r="AA101" i="70"/>
  <c r="AA89" i="70"/>
  <c r="AA77" i="70"/>
  <c r="AA65" i="70"/>
  <c r="AA53" i="70"/>
  <c r="AA41" i="70"/>
  <c r="AA29" i="70"/>
  <c r="AA17" i="70"/>
  <c r="AA5" i="70"/>
  <c r="AA226" i="70"/>
  <c r="AA34" i="70"/>
  <c r="AA237" i="70"/>
  <c r="AA9" i="70"/>
  <c r="AA235" i="70"/>
  <c r="AA340" i="70"/>
  <c r="AA196" i="70"/>
  <c r="AA100" i="70"/>
  <c r="AA88" i="70"/>
  <c r="AA76" i="70"/>
  <c r="AA4" i="70"/>
  <c r="AA262" i="70"/>
  <c r="AA70" i="70"/>
  <c r="AA321" i="70"/>
  <c r="AA165" i="70"/>
  <c r="AA57" i="70"/>
  <c r="AA259" i="70"/>
  <c r="AA316" i="70"/>
  <c r="AA220" i="70"/>
  <c r="AA136" i="70"/>
  <c r="AA64" i="70"/>
  <c r="AA3" i="70"/>
  <c r="AA363" i="70"/>
  <c r="AA351" i="70"/>
  <c r="AA339" i="70"/>
  <c r="AA327" i="70"/>
  <c r="AA315" i="70"/>
  <c r="AA303" i="70"/>
  <c r="AA291" i="70"/>
  <c r="AA279" i="70"/>
  <c r="AA267" i="70"/>
  <c r="AA255" i="70"/>
  <c r="AA243" i="70"/>
  <c r="AA231" i="70"/>
  <c r="AA219" i="70"/>
  <c r="AA207" i="70"/>
  <c r="AA195" i="70"/>
  <c r="AA183" i="70"/>
  <c r="AA171" i="70"/>
  <c r="AA159" i="70"/>
  <c r="AA147" i="70"/>
  <c r="AA135" i="70"/>
  <c r="AA123" i="70"/>
  <c r="AA111" i="70"/>
  <c r="AA99" i="70"/>
  <c r="AA87" i="70"/>
  <c r="AA75" i="70"/>
  <c r="AA63" i="70"/>
  <c r="AA51" i="70"/>
  <c r="AA39" i="70"/>
  <c r="AA27" i="70"/>
  <c r="AA15" i="70"/>
  <c r="AA238" i="70"/>
  <c r="AA118" i="70"/>
  <c r="AA225" i="70"/>
  <c r="AA33" i="70"/>
  <c r="AA247" i="70"/>
  <c r="AA280" i="70"/>
  <c r="AA148" i="70"/>
  <c r="AA40" i="70"/>
  <c r="AA374" i="70"/>
  <c r="AA362" i="70"/>
  <c r="AA350" i="70"/>
  <c r="AA338" i="70"/>
  <c r="AA326" i="70"/>
  <c r="AA314" i="70"/>
  <c r="AA302" i="70"/>
  <c r="AA290" i="70"/>
  <c r="AA278" i="70"/>
  <c r="AA266" i="70"/>
  <c r="AA254" i="70"/>
  <c r="AA242" i="70"/>
  <c r="AA230" i="70"/>
  <c r="AA218" i="70"/>
  <c r="AA206" i="70"/>
  <c r="AA194" i="70"/>
  <c r="AA182" i="70"/>
  <c r="AA170" i="70"/>
  <c r="AA158" i="70"/>
  <c r="AA146" i="70"/>
  <c r="AA134" i="70"/>
  <c r="AA122" i="70"/>
  <c r="AA110" i="70"/>
  <c r="AA98" i="70"/>
  <c r="AA86" i="70"/>
  <c r="AA74" i="70"/>
  <c r="AA62" i="70"/>
  <c r="AA50" i="70"/>
  <c r="AA38" i="70"/>
  <c r="AA26" i="70"/>
  <c r="AA14" i="70"/>
  <c r="AA190" i="70"/>
  <c r="AA46" i="70"/>
  <c r="AA249" i="70"/>
  <c r="AA21" i="70"/>
  <c r="AA343" i="70"/>
  <c r="AA295" i="70"/>
  <c r="AA364" i="70"/>
  <c r="AA244" i="70"/>
  <c r="AA160" i="70"/>
  <c r="AA52" i="70"/>
  <c r="AA373" i="70"/>
  <c r="AA361" i="70"/>
  <c r="AA349" i="70"/>
  <c r="AA337" i="70"/>
  <c r="AA325" i="70"/>
  <c r="AA313" i="70"/>
  <c r="AA301" i="70"/>
  <c r="AA289" i="70"/>
  <c r="AA277" i="70"/>
  <c r="AA265" i="70"/>
  <c r="AA253" i="70"/>
  <c r="AA241" i="70"/>
  <c r="AA229" i="70"/>
  <c r="AA217" i="70"/>
  <c r="AA205" i="70"/>
  <c r="AA193" i="70"/>
  <c r="AA181" i="70"/>
  <c r="AA169" i="70"/>
  <c r="AA157" i="70"/>
  <c r="AA145" i="70"/>
  <c r="AA133" i="70"/>
  <c r="AA121" i="70"/>
  <c r="AA109" i="70"/>
  <c r="AA97" i="70"/>
  <c r="AA85" i="70"/>
  <c r="AA73" i="70"/>
  <c r="AA61" i="70"/>
  <c r="AA49" i="70"/>
  <c r="AA37" i="70"/>
  <c r="AA25" i="70"/>
  <c r="AA13" i="70"/>
  <c r="AA370" i="70"/>
  <c r="AA322" i="70"/>
  <c r="AA274" i="70"/>
  <c r="AA214" i="70"/>
  <c r="AA178" i="70"/>
  <c r="AA142" i="70"/>
  <c r="AA10" i="70"/>
  <c r="AA357" i="70"/>
  <c r="AA345" i="70"/>
  <c r="AA285" i="70"/>
  <c r="AA261" i="70"/>
  <c r="AA213" i="70"/>
  <c r="AA153" i="70"/>
  <c r="AA117" i="70"/>
  <c r="AA45" i="70"/>
  <c r="AA331" i="70"/>
  <c r="AA223" i="70"/>
  <c r="AA352" i="70"/>
  <c r="AA304" i="70"/>
  <c r="AA292" i="70"/>
  <c r="AA268" i="70"/>
  <c r="AA232" i="70"/>
  <c r="AA172" i="70"/>
  <c r="AA112" i="70"/>
  <c r="AA16" i="70"/>
  <c r="AA372" i="70"/>
  <c r="AA360" i="70"/>
  <c r="AA348" i="70"/>
  <c r="AA336" i="70"/>
  <c r="AA324" i="70"/>
  <c r="AA312" i="70"/>
  <c r="AA300" i="70"/>
  <c r="AA288" i="70"/>
  <c r="AA276" i="70"/>
  <c r="AA264" i="70"/>
  <c r="AA252" i="70"/>
  <c r="AA240" i="70"/>
  <c r="AA228" i="70"/>
  <c r="AA216" i="70"/>
  <c r="AA204" i="70"/>
  <c r="AA192" i="70"/>
  <c r="AA180" i="70"/>
  <c r="AA168" i="70"/>
  <c r="AA156" i="70"/>
  <c r="AA144" i="70"/>
  <c r="AA132" i="70"/>
  <c r="AA120" i="70"/>
  <c r="AA108" i="70"/>
  <c r="AA96" i="70"/>
  <c r="AA84" i="70"/>
  <c r="AA72" i="70"/>
  <c r="AA60" i="70"/>
  <c r="AA48" i="70"/>
  <c r="AA36" i="70"/>
  <c r="AA24" i="70"/>
  <c r="AA12" i="70"/>
  <c r="AA358" i="70"/>
  <c r="AA286" i="70"/>
  <c r="AA250" i="70"/>
  <c r="AA202" i="70"/>
  <c r="AA166" i="70"/>
  <c r="AA154" i="70"/>
  <c r="AA130" i="70"/>
  <c r="AA22" i="70"/>
  <c r="AA369" i="70"/>
  <c r="AA129" i="70"/>
  <c r="AA328" i="70"/>
  <c r="AA256" i="70"/>
  <c r="AA208" i="70"/>
  <c r="AA184" i="70"/>
  <c r="AA124" i="70"/>
  <c r="AA28" i="70"/>
  <c r="AA371" i="70"/>
  <c r="AA359" i="70"/>
  <c r="AA347" i="70"/>
  <c r="AA335" i="70"/>
  <c r="AA323" i="70"/>
  <c r="AA311" i="70"/>
  <c r="AA299" i="70"/>
  <c r="AA287" i="70"/>
  <c r="AA275" i="70"/>
  <c r="AA263" i="70"/>
  <c r="AA251" i="70"/>
  <c r="AA239" i="70"/>
  <c r="AA227" i="70"/>
  <c r="AA215" i="70"/>
  <c r="AA203" i="70"/>
  <c r="AA191" i="70"/>
  <c r="AA179" i="70"/>
  <c r="AA167" i="70"/>
  <c r="AA155" i="70"/>
  <c r="AA143" i="70"/>
  <c r="AA131" i="70"/>
  <c r="AA119" i="70"/>
  <c r="AA107" i="70"/>
  <c r="AA95" i="70"/>
  <c r="AA83" i="70"/>
  <c r="AA71" i="70"/>
  <c r="AA59" i="70"/>
  <c r="AA47" i="70"/>
  <c r="AA35" i="70"/>
  <c r="AA23" i="70"/>
  <c r="AA11" i="70"/>
  <c r="O304" i="70"/>
  <c r="AB304" i="70"/>
  <c r="O363" i="70"/>
  <c r="AB363" i="70"/>
  <c r="O291" i="70"/>
  <c r="AB291" i="70"/>
  <c r="O243" i="70"/>
  <c r="AB243" i="70"/>
  <c r="O314" i="70"/>
  <c r="AB314" i="70"/>
  <c r="O242" i="70"/>
  <c r="AB242" i="70"/>
  <c r="O194" i="70"/>
  <c r="AB194" i="70"/>
  <c r="O313" i="70"/>
  <c r="AB313" i="70"/>
  <c r="O289" i="70"/>
  <c r="AB289" i="70"/>
  <c r="O217" i="70"/>
  <c r="AB217" i="70"/>
  <c r="O181" i="70"/>
  <c r="AB181" i="70"/>
  <c r="O312" i="70"/>
  <c r="AB312" i="70"/>
  <c r="O264" i="70"/>
  <c r="AB264" i="70"/>
  <c r="O180" i="70"/>
  <c r="AB180" i="70"/>
  <c r="O347" i="70"/>
  <c r="AB347" i="70"/>
  <c r="AB263" i="70"/>
  <c r="O227" i="70"/>
  <c r="AB227" i="70"/>
  <c r="O167" i="70"/>
  <c r="AB167" i="70"/>
  <c r="AB370" i="70"/>
  <c r="O322" i="70"/>
  <c r="AB322" i="70"/>
  <c r="O262" i="70"/>
  <c r="AB262" i="70"/>
  <c r="O202" i="70"/>
  <c r="AB202" i="70"/>
  <c r="O106" i="70"/>
  <c r="AB106" i="70"/>
  <c r="O333" i="70"/>
  <c r="AB333" i="70"/>
  <c r="O285" i="70"/>
  <c r="AB285" i="70"/>
  <c r="O237" i="70"/>
  <c r="AB237" i="70"/>
  <c r="O177" i="70"/>
  <c r="AB177" i="70"/>
  <c r="O129" i="70"/>
  <c r="AB129" i="70"/>
  <c r="O45" i="70"/>
  <c r="AB45" i="70"/>
  <c r="O367" i="70"/>
  <c r="AB367" i="70"/>
  <c r="O355" i="70"/>
  <c r="AB355" i="70"/>
  <c r="O343" i="70"/>
  <c r="AB343" i="70"/>
  <c r="O331" i="70"/>
  <c r="AB331" i="70"/>
  <c r="O319" i="70"/>
  <c r="AB319" i="70"/>
  <c r="O307" i="70"/>
  <c r="AB307" i="70"/>
  <c r="O295" i="70"/>
  <c r="AB295" i="70"/>
  <c r="O283" i="70"/>
  <c r="AB283" i="70"/>
  <c r="O271" i="70"/>
  <c r="AB271" i="70"/>
  <c r="O259" i="70"/>
  <c r="AB259" i="70"/>
  <c r="O247" i="70"/>
  <c r="AB247" i="70"/>
  <c r="O235" i="70"/>
  <c r="AB235" i="70"/>
  <c r="O223" i="70"/>
  <c r="AB223" i="70"/>
  <c r="O211" i="70"/>
  <c r="AB211" i="70"/>
  <c r="O199" i="70"/>
  <c r="AB199" i="70"/>
  <c r="O187" i="70"/>
  <c r="AB187" i="70"/>
  <c r="O175" i="70"/>
  <c r="AB175" i="70"/>
  <c r="O163" i="70"/>
  <c r="AB163" i="70"/>
  <c r="O151" i="70"/>
  <c r="AB151" i="70"/>
  <c r="O139" i="70"/>
  <c r="AB139" i="70"/>
  <c r="O127" i="70"/>
  <c r="AB127" i="70"/>
  <c r="O115" i="70"/>
  <c r="AB115" i="70"/>
  <c r="O103" i="70"/>
  <c r="AB103" i="70"/>
  <c r="O91" i="70"/>
  <c r="AB91" i="70"/>
  <c r="O79" i="70"/>
  <c r="AB79" i="70"/>
  <c r="O67" i="70"/>
  <c r="AB67" i="70"/>
  <c r="O55" i="70"/>
  <c r="AB55" i="70"/>
  <c r="O43" i="70"/>
  <c r="AB43" i="70"/>
  <c r="O31" i="70"/>
  <c r="AB31" i="70"/>
  <c r="O19" i="70"/>
  <c r="AB19" i="70"/>
  <c r="O7" i="70"/>
  <c r="AB7" i="70"/>
  <c r="O316" i="70"/>
  <c r="AB316" i="70"/>
  <c r="O303" i="70"/>
  <c r="AB303" i="70"/>
  <c r="O231" i="70"/>
  <c r="AB231" i="70"/>
  <c r="O326" i="70"/>
  <c r="AB326" i="70"/>
  <c r="O266" i="70"/>
  <c r="AB266" i="70"/>
  <c r="O182" i="70"/>
  <c r="AB182" i="70"/>
  <c r="O325" i="70"/>
  <c r="AB325" i="70"/>
  <c r="O277" i="70"/>
  <c r="AB277" i="70"/>
  <c r="O157" i="70"/>
  <c r="AB157" i="70"/>
  <c r="O324" i="70"/>
  <c r="AB324" i="70"/>
  <c r="O276" i="70"/>
  <c r="AB276" i="70"/>
  <c r="O192" i="70"/>
  <c r="AB192" i="70"/>
  <c r="O371" i="70"/>
  <c r="AB371" i="70"/>
  <c r="O335" i="70"/>
  <c r="AB335" i="70"/>
  <c r="O275" i="70"/>
  <c r="AB275" i="70"/>
  <c r="O239" i="70"/>
  <c r="AB239" i="70"/>
  <c r="O155" i="70"/>
  <c r="AB155" i="70"/>
  <c r="O358" i="70"/>
  <c r="AB358" i="70"/>
  <c r="O334" i="70"/>
  <c r="AB334" i="70"/>
  <c r="O286" i="70"/>
  <c r="AB286" i="70"/>
  <c r="O226" i="70"/>
  <c r="AB226" i="70"/>
  <c r="O166" i="70"/>
  <c r="AB166" i="70"/>
  <c r="O118" i="70"/>
  <c r="AB118" i="70"/>
  <c r="O369" i="70"/>
  <c r="AB369" i="70"/>
  <c r="O321" i="70"/>
  <c r="AB321" i="70"/>
  <c r="O273" i="70"/>
  <c r="AB273" i="70"/>
  <c r="O213" i="70"/>
  <c r="AB213" i="70"/>
  <c r="O165" i="70"/>
  <c r="AB165" i="70"/>
  <c r="O117" i="70"/>
  <c r="AB117" i="70"/>
  <c r="O81" i="70"/>
  <c r="AB81" i="70"/>
  <c r="O366" i="70"/>
  <c r="AB366" i="70"/>
  <c r="O354" i="70"/>
  <c r="AB354" i="70"/>
  <c r="O342" i="70"/>
  <c r="AB342" i="70"/>
  <c r="O330" i="70"/>
  <c r="AB330" i="70"/>
  <c r="O318" i="70"/>
  <c r="AB318" i="70"/>
  <c r="O306" i="70"/>
  <c r="AB306" i="70"/>
  <c r="O294" i="70"/>
  <c r="AB294" i="70"/>
  <c r="O282" i="70"/>
  <c r="AB282" i="70"/>
  <c r="O270" i="70"/>
  <c r="AB270" i="70"/>
  <c r="O258" i="70"/>
  <c r="AB258" i="70"/>
  <c r="O246" i="70"/>
  <c r="AB246" i="70"/>
  <c r="O234" i="70"/>
  <c r="AB234" i="70"/>
  <c r="O222" i="70"/>
  <c r="AB222" i="70"/>
  <c r="O210" i="70"/>
  <c r="AB210" i="70"/>
  <c r="O198" i="70"/>
  <c r="AB198" i="70"/>
  <c r="O186" i="70"/>
  <c r="AB186" i="70"/>
  <c r="O174" i="70"/>
  <c r="AB174" i="70"/>
  <c r="O162" i="70"/>
  <c r="AB162" i="70"/>
  <c r="O150" i="70"/>
  <c r="AB150" i="70"/>
  <c r="O138" i="70"/>
  <c r="AB138" i="70"/>
  <c r="O126" i="70"/>
  <c r="AB126" i="70"/>
  <c r="O114" i="70"/>
  <c r="AB114" i="70"/>
  <c r="O102" i="70"/>
  <c r="AB102" i="70"/>
  <c r="O90" i="70"/>
  <c r="AB90" i="70"/>
  <c r="O78" i="70"/>
  <c r="AB78" i="70"/>
  <c r="O66" i="70"/>
  <c r="AB66" i="70"/>
  <c r="O54" i="70"/>
  <c r="AB54" i="70"/>
  <c r="O42" i="70"/>
  <c r="AB42" i="70"/>
  <c r="O30" i="70"/>
  <c r="AB30" i="70"/>
  <c r="O18" i="70"/>
  <c r="AB18" i="70"/>
  <c r="O6" i="70"/>
  <c r="AB6" i="70"/>
  <c r="O310" i="70"/>
  <c r="AB310" i="70"/>
  <c r="O250" i="70"/>
  <c r="AB250" i="70"/>
  <c r="O190" i="70"/>
  <c r="AB190" i="70"/>
  <c r="O130" i="70"/>
  <c r="AB130" i="70"/>
  <c r="O357" i="70"/>
  <c r="AB357" i="70"/>
  <c r="O297" i="70"/>
  <c r="AB297" i="70"/>
  <c r="O249" i="70"/>
  <c r="AB249" i="70"/>
  <c r="O189" i="70"/>
  <c r="AB189" i="70"/>
  <c r="O141" i="70"/>
  <c r="AB141" i="70"/>
  <c r="O69" i="70"/>
  <c r="AB69" i="70"/>
  <c r="O365" i="70"/>
  <c r="AB365" i="70"/>
  <c r="O353" i="70"/>
  <c r="AB353" i="70"/>
  <c r="O341" i="70"/>
  <c r="AB341" i="70"/>
  <c r="O329" i="70"/>
  <c r="AB329" i="70"/>
  <c r="O317" i="70"/>
  <c r="AB317" i="70"/>
  <c r="O305" i="70"/>
  <c r="AB305" i="70"/>
  <c r="O293" i="70"/>
  <c r="AB293" i="70"/>
  <c r="O281" i="70"/>
  <c r="AB281" i="70"/>
  <c r="O269" i="70"/>
  <c r="AB269" i="70"/>
  <c r="O257" i="70"/>
  <c r="AB257" i="70"/>
  <c r="O245" i="70"/>
  <c r="AB245" i="70"/>
  <c r="O233" i="70"/>
  <c r="AB233" i="70"/>
  <c r="O221" i="70"/>
  <c r="AB221" i="70"/>
  <c r="O209" i="70"/>
  <c r="AB209" i="70"/>
  <c r="O197" i="70"/>
  <c r="AB197" i="70"/>
  <c r="O185" i="70"/>
  <c r="AB185" i="70"/>
  <c r="O173" i="70"/>
  <c r="AB173" i="70"/>
  <c r="O161" i="70"/>
  <c r="AB161" i="70"/>
  <c r="O149" i="70"/>
  <c r="AB149" i="70"/>
  <c r="O137" i="70"/>
  <c r="AB137" i="70"/>
  <c r="O125" i="70"/>
  <c r="AB125" i="70"/>
  <c r="O113" i="70"/>
  <c r="AB113" i="70"/>
  <c r="O101" i="70"/>
  <c r="AB101" i="70"/>
  <c r="O89" i="70"/>
  <c r="AB89" i="70"/>
  <c r="O77" i="70"/>
  <c r="AB77" i="70"/>
  <c r="O65" i="70"/>
  <c r="AB65" i="70"/>
  <c r="O53" i="70"/>
  <c r="AB53" i="70"/>
  <c r="O41" i="70"/>
  <c r="AB41" i="70"/>
  <c r="O29" i="70"/>
  <c r="AB29" i="70"/>
  <c r="O17" i="70"/>
  <c r="AB17" i="70"/>
  <c r="O5" i="70"/>
  <c r="AB5" i="70"/>
  <c r="O280" i="70"/>
  <c r="AB280" i="70"/>
  <c r="O268" i="70"/>
  <c r="AB268" i="70"/>
  <c r="O256" i="70"/>
  <c r="AB256" i="70"/>
  <c r="O244" i="70"/>
  <c r="AB244" i="70"/>
  <c r="O232" i="70"/>
  <c r="AB232" i="70"/>
  <c r="O220" i="70"/>
  <c r="AB220" i="70"/>
  <c r="O208" i="70"/>
  <c r="AB208" i="70"/>
  <c r="O196" i="70"/>
  <c r="AB196" i="70"/>
  <c r="O184" i="70"/>
  <c r="AB184" i="70"/>
  <c r="O172" i="70"/>
  <c r="AB172" i="70"/>
  <c r="O160" i="70"/>
  <c r="AB160" i="70"/>
  <c r="O148" i="70"/>
  <c r="AB148" i="70"/>
  <c r="O136" i="70"/>
  <c r="AB136" i="70"/>
  <c r="O124" i="70"/>
  <c r="AB124" i="70"/>
  <c r="O112" i="70"/>
  <c r="AB112" i="70"/>
  <c r="O100" i="70"/>
  <c r="AB100" i="70"/>
  <c r="O88" i="70"/>
  <c r="AB88" i="70"/>
  <c r="O76" i="70"/>
  <c r="AB76" i="70"/>
  <c r="O64" i="70"/>
  <c r="AB64" i="70"/>
  <c r="O52" i="70"/>
  <c r="AB52" i="70"/>
  <c r="O40" i="70"/>
  <c r="AB40" i="70"/>
  <c r="O28" i="70"/>
  <c r="AB28" i="70"/>
  <c r="O16" i="70"/>
  <c r="AB16" i="70"/>
  <c r="O4" i="70"/>
  <c r="AB4" i="70"/>
  <c r="O339" i="70"/>
  <c r="AB339" i="70"/>
  <c r="O219" i="70"/>
  <c r="AB219" i="70"/>
  <c r="O195" i="70"/>
  <c r="AB195" i="70"/>
  <c r="O183" i="70"/>
  <c r="AB183" i="70"/>
  <c r="O171" i="70"/>
  <c r="AB171" i="70"/>
  <c r="O159" i="70"/>
  <c r="AB159" i="70"/>
  <c r="O147" i="70"/>
  <c r="AB147" i="70"/>
  <c r="O135" i="70"/>
  <c r="AB135" i="70"/>
  <c r="O123" i="70"/>
  <c r="AB123" i="70"/>
  <c r="O111" i="70"/>
  <c r="AB111" i="70"/>
  <c r="O99" i="70"/>
  <c r="AB99" i="70"/>
  <c r="O87" i="70"/>
  <c r="AB87" i="70"/>
  <c r="O75" i="70"/>
  <c r="AB75" i="70"/>
  <c r="O63" i="70"/>
  <c r="AB63" i="70"/>
  <c r="O51" i="70"/>
  <c r="AB51" i="70"/>
  <c r="O39" i="70"/>
  <c r="AB39" i="70"/>
  <c r="O27" i="70"/>
  <c r="AB27" i="70"/>
  <c r="O15" i="70"/>
  <c r="AB15" i="70"/>
  <c r="O3" i="70"/>
  <c r="AB3" i="70"/>
  <c r="O364" i="70"/>
  <c r="AB364" i="70"/>
  <c r="O350" i="70"/>
  <c r="AB350" i="70"/>
  <c r="O218" i="70"/>
  <c r="AB218" i="70"/>
  <c r="O170" i="70"/>
  <c r="AB170" i="70"/>
  <c r="O158" i="70"/>
  <c r="AB158" i="70"/>
  <c r="O146" i="70"/>
  <c r="AB146" i="70"/>
  <c r="O134" i="70"/>
  <c r="AB134" i="70"/>
  <c r="O122" i="70"/>
  <c r="AB122" i="70"/>
  <c r="O110" i="70"/>
  <c r="AB110" i="70"/>
  <c r="O98" i="70"/>
  <c r="AB98" i="70"/>
  <c r="O86" i="70"/>
  <c r="AB86" i="70"/>
  <c r="O74" i="70"/>
  <c r="AB74" i="70"/>
  <c r="O62" i="70"/>
  <c r="AB62" i="70"/>
  <c r="O50" i="70"/>
  <c r="AB50" i="70"/>
  <c r="O38" i="70"/>
  <c r="AB38" i="70"/>
  <c r="O26" i="70"/>
  <c r="AB26" i="70"/>
  <c r="O14" i="70"/>
  <c r="AB14" i="70"/>
  <c r="O340" i="70"/>
  <c r="AB340" i="70"/>
  <c r="O207" i="70"/>
  <c r="AB207" i="70"/>
  <c r="O349" i="70"/>
  <c r="AB349" i="70"/>
  <c r="O193" i="70"/>
  <c r="AB193" i="70"/>
  <c r="O145" i="70"/>
  <c r="AB145" i="70"/>
  <c r="O133" i="70"/>
  <c r="AB133" i="70"/>
  <c r="O121" i="70"/>
  <c r="AB121" i="70"/>
  <c r="O109" i="70"/>
  <c r="AB109" i="70"/>
  <c r="O97" i="70"/>
  <c r="AB97" i="70"/>
  <c r="O85" i="70"/>
  <c r="AB85" i="70"/>
  <c r="O73" i="70"/>
  <c r="AB73" i="70"/>
  <c r="O61" i="70"/>
  <c r="AB61" i="70"/>
  <c r="O49" i="70"/>
  <c r="AB49" i="70"/>
  <c r="O37" i="70"/>
  <c r="AB37" i="70"/>
  <c r="O25" i="70"/>
  <c r="AB25" i="70"/>
  <c r="O13" i="70"/>
  <c r="AB13" i="70"/>
  <c r="O279" i="70"/>
  <c r="AB279" i="70"/>
  <c r="O302" i="70"/>
  <c r="AB302" i="70"/>
  <c r="O373" i="70"/>
  <c r="AB373" i="70"/>
  <c r="O241" i="70"/>
  <c r="AB241" i="70"/>
  <c r="O300" i="70"/>
  <c r="AB300" i="70"/>
  <c r="O204" i="70"/>
  <c r="AB204" i="70"/>
  <c r="O168" i="70"/>
  <c r="AB168" i="70"/>
  <c r="O156" i="70"/>
  <c r="AB156" i="70"/>
  <c r="O144" i="70"/>
  <c r="AB144" i="70"/>
  <c r="O132" i="70"/>
  <c r="AB132" i="70"/>
  <c r="O120" i="70"/>
  <c r="AB120" i="70"/>
  <c r="O108" i="70"/>
  <c r="AB108" i="70"/>
  <c r="O96" i="70"/>
  <c r="AB96" i="70"/>
  <c r="O84" i="70"/>
  <c r="AB84" i="70"/>
  <c r="O72" i="70"/>
  <c r="AB72" i="70"/>
  <c r="O60" i="70"/>
  <c r="AB60" i="70"/>
  <c r="O48" i="70"/>
  <c r="AB48" i="70"/>
  <c r="O36" i="70"/>
  <c r="AB36" i="70"/>
  <c r="O24" i="70"/>
  <c r="AB24" i="70"/>
  <c r="O12" i="70"/>
  <c r="AB12" i="70"/>
  <c r="O352" i="70"/>
  <c r="AB352" i="70"/>
  <c r="O351" i="70"/>
  <c r="AB351" i="70"/>
  <c r="O374" i="70"/>
  <c r="AB374" i="70"/>
  <c r="O254" i="70"/>
  <c r="AB254" i="70"/>
  <c r="O205" i="70"/>
  <c r="AB205" i="70"/>
  <c r="O348" i="70"/>
  <c r="AB348" i="70"/>
  <c r="O240" i="70"/>
  <c r="AB240" i="70"/>
  <c r="O287" i="70"/>
  <c r="AB287" i="70"/>
  <c r="O179" i="70"/>
  <c r="AB179" i="70"/>
  <c r="O131" i="70"/>
  <c r="AB131" i="70"/>
  <c r="O119" i="70"/>
  <c r="AB119" i="70"/>
  <c r="O107" i="70"/>
  <c r="AB107" i="70"/>
  <c r="O95" i="70"/>
  <c r="AB95" i="70"/>
  <c r="O83" i="70"/>
  <c r="AB83" i="70"/>
  <c r="O71" i="70"/>
  <c r="AB71" i="70"/>
  <c r="O59" i="70"/>
  <c r="AB59" i="70"/>
  <c r="O47" i="70"/>
  <c r="AB47" i="70"/>
  <c r="O35" i="70"/>
  <c r="AB35" i="70"/>
  <c r="O23" i="70"/>
  <c r="AB23" i="70"/>
  <c r="O11" i="70"/>
  <c r="AB11" i="70"/>
  <c r="O328" i="70"/>
  <c r="AB328" i="70"/>
  <c r="O267" i="70"/>
  <c r="AB267" i="70"/>
  <c r="O278" i="70"/>
  <c r="AB278" i="70"/>
  <c r="O337" i="70"/>
  <c r="AB337" i="70"/>
  <c r="O229" i="70"/>
  <c r="AB229" i="70"/>
  <c r="O360" i="70"/>
  <c r="AB360" i="70"/>
  <c r="O252" i="70"/>
  <c r="AB252" i="70"/>
  <c r="O323" i="70"/>
  <c r="AB323" i="70"/>
  <c r="O203" i="70"/>
  <c r="AB203" i="70"/>
  <c r="AB346" i="70"/>
  <c r="O214" i="70"/>
  <c r="AB214" i="70"/>
  <c r="O142" i="70"/>
  <c r="AB142" i="70"/>
  <c r="O82" i="70"/>
  <c r="AB82" i="70"/>
  <c r="O70" i="70"/>
  <c r="AB70" i="70"/>
  <c r="O58" i="70"/>
  <c r="AB58" i="70"/>
  <c r="O46" i="70"/>
  <c r="AB46" i="70"/>
  <c r="O34" i="70"/>
  <c r="AB34" i="70"/>
  <c r="O22" i="70"/>
  <c r="AB22" i="70"/>
  <c r="O10" i="70"/>
  <c r="AB10" i="70"/>
  <c r="O315" i="70"/>
  <c r="AB315" i="70"/>
  <c r="O338" i="70"/>
  <c r="AB338" i="70"/>
  <c r="O206" i="70"/>
  <c r="AB206" i="70"/>
  <c r="O253" i="70"/>
  <c r="AB253" i="70"/>
  <c r="O372" i="70"/>
  <c r="AB372" i="70"/>
  <c r="O228" i="70"/>
  <c r="AB228" i="70"/>
  <c r="O299" i="70"/>
  <c r="AB299" i="70"/>
  <c r="O191" i="70"/>
  <c r="AB191" i="70"/>
  <c r="O274" i="70"/>
  <c r="AB274" i="70"/>
  <c r="O154" i="70"/>
  <c r="AB154" i="70"/>
  <c r="O225" i="70"/>
  <c r="AB225" i="70"/>
  <c r="O105" i="70"/>
  <c r="AB105" i="70"/>
  <c r="O57" i="70"/>
  <c r="AB57" i="70"/>
  <c r="O21" i="70"/>
  <c r="AB21" i="70"/>
  <c r="O9" i="70"/>
  <c r="AB9" i="70"/>
  <c r="O292" i="70"/>
  <c r="AB292" i="70"/>
  <c r="O327" i="70"/>
  <c r="AB327" i="70"/>
  <c r="O255" i="70"/>
  <c r="AB255" i="70"/>
  <c r="O362" i="70"/>
  <c r="AB362" i="70"/>
  <c r="O290" i="70"/>
  <c r="AB290" i="70"/>
  <c r="O230" i="70"/>
  <c r="AB230" i="70"/>
  <c r="O361" i="70"/>
  <c r="AB361" i="70"/>
  <c r="O301" i="70"/>
  <c r="AB301" i="70"/>
  <c r="O265" i="70"/>
  <c r="AB265" i="70"/>
  <c r="O169" i="70"/>
  <c r="AB169" i="70"/>
  <c r="O336" i="70"/>
  <c r="AB336" i="70"/>
  <c r="O288" i="70"/>
  <c r="AB288" i="70"/>
  <c r="O216" i="70"/>
  <c r="AB216" i="70"/>
  <c r="O359" i="70"/>
  <c r="AB359" i="70"/>
  <c r="O311" i="70"/>
  <c r="AB311" i="70"/>
  <c r="O251" i="70"/>
  <c r="AB251" i="70"/>
  <c r="O215" i="70"/>
  <c r="AB215" i="70"/>
  <c r="O143" i="70"/>
  <c r="AB143" i="70"/>
  <c r="O298" i="70"/>
  <c r="AB298" i="70"/>
  <c r="O238" i="70"/>
  <c r="AB238" i="70"/>
  <c r="O178" i="70"/>
  <c r="AB178" i="70"/>
  <c r="O94" i="70"/>
  <c r="AB94" i="70"/>
  <c r="O345" i="70"/>
  <c r="AB345" i="70"/>
  <c r="O309" i="70"/>
  <c r="AB309" i="70"/>
  <c r="O261" i="70"/>
  <c r="AB261" i="70"/>
  <c r="O201" i="70"/>
  <c r="AB201" i="70"/>
  <c r="O153" i="70"/>
  <c r="AB153" i="70"/>
  <c r="O93" i="70"/>
  <c r="AB93" i="70"/>
  <c r="O33" i="70"/>
  <c r="AB33" i="70"/>
  <c r="O368" i="70"/>
  <c r="AB368" i="70"/>
  <c r="O356" i="70"/>
  <c r="AB356" i="70"/>
  <c r="O344" i="70"/>
  <c r="AB344" i="70"/>
  <c r="O332" i="70"/>
  <c r="AB332" i="70"/>
  <c r="O320" i="70"/>
  <c r="AB320" i="70"/>
  <c r="O308" i="70"/>
  <c r="AB308" i="70"/>
  <c r="O296" i="70"/>
  <c r="AB296" i="70"/>
  <c r="O284" i="70"/>
  <c r="AB284" i="70"/>
  <c r="O272" i="70"/>
  <c r="AB272" i="70"/>
  <c r="O260" i="70"/>
  <c r="AB260" i="70"/>
  <c r="O248" i="70"/>
  <c r="AB248" i="70"/>
  <c r="O236" i="70"/>
  <c r="AB236" i="70"/>
  <c r="O224" i="70"/>
  <c r="AB224" i="70"/>
  <c r="O212" i="70"/>
  <c r="AB212" i="70"/>
  <c r="O200" i="70"/>
  <c r="AB200" i="70"/>
  <c r="O188" i="70"/>
  <c r="AB188" i="70"/>
  <c r="O176" i="70"/>
  <c r="AB176" i="70"/>
  <c r="O164" i="70"/>
  <c r="AB164" i="70"/>
  <c r="O152" i="70"/>
  <c r="AB152" i="70"/>
  <c r="O140" i="70"/>
  <c r="AB140" i="70"/>
  <c r="O128" i="70"/>
  <c r="AB128" i="70"/>
  <c r="O116" i="70"/>
  <c r="AB116" i="70"/>
  <c r="O104" i="70"/>
  <c r="AB104" i="70"/>
  <c r="O92" i="70"/>
  <c r="AB92" i="70"/>
  <c r="O80" i="70"/>
  <c r="AB80" i="70"/>
  <c r="O68" i="70"/>
  <c r="AB68" i="70"/>
  <c r="O56" i="70"/>
  <c r="AB56" i="70"/>
  <c r="O44" i="70"/>
  <c r="AB44" i="70"/>
  <c r="O32" i="70"/>
  <c r="AB32" i="70"/>
  <c r="O20" i="70"/>
  <c r="AB20" i="70"/>
  <c r="O8" i="70"/>
  <c r="AB8" i="70"/>
  <c r="S2" i="70"/>
  <c r="X2" i="70" s="1"/>
  <c r="AE2" i="70"/>
  <c r="AJ2" i="70" s="1"/>
  <c r="T2" i="70"/>
  <c r="Y2" i="70" s="1"/>
  <c r="AF2" i="70"/>
  <c r="AK2" i="70" s="1"/>
  <c r="R2" i="70"/>
  <c r="W2" i="70" s="1"/>
  <c r="AD2" i="70"/>
  <c r="AI2" i="70" s="1"/>
  <c r="Q3" i="70"/>
  <c r="O346" i="70"/>
  <c r="O370" i="70"/>
  <c r="O263" i="70"/>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212" i="1"/>
  <c r="Q4" i="70" l="1"/>
  <c r="V3" i="70"/>
  <c r="V4" i="70" l="1"/>
  <c r="Q5" i="70"/>
  <c r="A16" i="29"/>
  <c r="A17" i="29" s="1"/>
  <c r="A18" i="29" s="1"/>
  <c r="A19" i="29" s="1"/>
  <c r="A20" i="29" s="1"/>
  <c r="A21" i="29" s="1"/>
  <c r="Q6" i="70" l="1"/>
  <c r="V5" i="70"/>
  <c r="V6" i="70" l="1"/>
  <c r="Q7" i="70"/>
  <c r="F5" i="29"/>
  <c r="W53" i="2"/>
  <c r="V53" i="2"/>
  <c r="U53" i="2"/>
  <c r="W52" i="2"/>
  <c r="V52" i="2"/>
  <c r="U52" i="2"/>
  <c r="W51" i="2"/>
  <c r="V51" i="2"/>
  <c r="U51" i="2"/>
  <c r="Q8" i="70" l="1"/>
  <c r="V7" i="70"/>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212" i="1"/>
  <c r="V8" i="70" l="1"/>
  <c r="Q9" i="70"/>
  <c r="BV4" i="2"/>
  <c r="BU4" i="2"/>
  <c r="BT4" i="2"/>
  <c r="BS4" i="2"/>
  <c r="BR4" i="2"/>
  <c r="BQ4" i="2"/>
  <c r="BP4" i="2"/>
  <c r="BO4" i="2"/>
  <c r="BN4" i="2"/>
  <c r="BM4" i="2"/>
  <c r="BL4" i="2"/>
  <c r="BV2" i="2"/>
  <c r="BN2" i="2"/>
  <c r="BV1" i="2"/>
  <c r="BK4" i="2"/>
  <c r="AS2" i="2"/>
  <c r="AL2" i="2"/>
  <c r="AK2" i="2"/>
  <c r="AL1" i="2"/>
  <c r="AK1" i="2"/>
  <c r="Z4" i="2"/>
  <c r="AA4" i="2"/>
  <c r="AB4" i="2"/>
  <c r="AC4" i="2"/>
  <c r="AD4" i="2"/>
  <c r="AE4" i="2"/>
  <c r="AF4" i="2"/>
  <c r="AG4" i="2"/>
  <c r="AH4" i="2"/>
  <c r="AI4" i="2"/>
  <c r="AJ4" i="2"/>
  <c r="AK4" i="2"/>
  <c r="AL4" i="2"/>
  <c r="AM4" i="2"/>
  <c r="AN4" i="2"/>
  <c r="AO4" i="2"/>
  <c r="AP4" i="2"/>
  <c r="AQ4" i="2"/>
  <c r="AR4" i="2"/>
  <c r="AS4" i="2"/>
  <c r="AT4" i="2"/>
  <c r="AU4" i="2"/>
  <c r="AV4" i="2"/>
  <c r="AW4" i="2"/>
  <c r="AX4" i="2"/>
  <c r="AY4" i="2"/>
  <c r="AZ4" i="2"/>
  <c r="BA4" i="2"/>
  <c r="BB4" i="2"/>
  <c r="BC4" i="2"/>
  <c r="BD4" i="2"/>
  <c r="BE4" i="2"/>
  <c r="BF4" i="2"/>
  <c r="BG4" i="2"/>
  <c r="BH4" i="2"/>
  <c r="BI4" i="2"/>
  <c r="CH4" i="2"/>
  <c r="CI4" i="2"/>
  <c r="CJ4" i="2"/>
  <c r="CK4" i="2"/>
  <c r="CL4" i="2"/>
  <c r="CM4" i="2"/>
  <c r="CN4" i="2"/>
  <c r="CO4" i="2"/>
  <c r="CP4" i="2"/>
  <c r="Z5" i="1"/>
  <c r="CP2" i="2"/>
  <c r="CO2" i="2"/>
  <c r="CN2" i="2"/>
  <c r="CM2" i="2"/>
  <c r="CL2" i="2"/>
  <c r="CK2" i="2"/>
  <c r="CJ2" i="2"/>
  <c r="CI2" i="2"/>
  <c r="CH2" i="2"/>
  <c r="CP1" i="2"/>
  <c r="CO1" i="2"/>
  <c r="CN1" i="2"/>
  <c r="CM1" i="2"/>
  <c r="CL1" i="2"/>
  <c r="CK1" i="2"/>
  <c r="CJ1" i="2"/>
  <c r="CI1" i="2"/>
  <c r="CH1" i="2"/>
  <c r="EP171" i="1"/>
  <c r="EO168" i="1"/>
  <c r="EP168" i="1" s="1"/>
  <c r="EP163" i="1"/>
  <c r="EO163" i="1"/>
  <c r="EO175" i="1" s="1"/>
  <c r="EO162" i="1"/>
  <c r="EP162" i="1" s="1"/>
  <c r="EO161" i="1"/>
  <c r="EO173" i="1" s="1"/>
  <c r="EO160" i="1"/>
  <c r="EP160" i="1" s="1"/>
  <c r="EO159" i="1"/>
  <c r="EO171" i="1" s="1"/>
  <c r="EO183" i="1" s="1"/>
  <c r="EO195" i="1" s="1"/>
  <c r="EO207" i="1" s="1"/>
  <c r="EO219" i="1" s="1"/>
  <c r="EO231" i="1" s="1"/>
  <c r="EO158" i="1"/>
  <c r="EO170" i="1" s="1"/>
  <c r="EP170" i="1" s="1"/>
  <c r="EO157" i="1"/>
  <c r="EO169" i="1" s="1"/>
  <c r="EO181" i="1" s="1"/>
  <c r="EP156" i="1"/>
  <c r="EO156" i="1"/>
  <c r="EO155" i="1"/>
  <c r="EO167" i="1" s="1"/>
  <c r="EO154" i="1"/>
  <c r="EP154" i="1" s="1"/>
  <c r="EO153" i="1"/>
  <c r="EO165" i="1" s="1"/>
  <c r="EO177" i="1" s="1"/>
  <c r="EO189" i="1" s="1"/>
  <c r="EO201" i="1" s="1"/>
  <c r="EO213" i="1" s="1"/>
  <c r="EO225" i="1" s="1"/>
  <c r="EO237" i="1" s="1"/>
  <c r="EO249" i="1" s="1"/>
  <c r="EO261" i="1" s="1"/>
  <c r="EP261" i="1" s="1"/>
  <c r="EO152" i="1"/>
  <c r="EO164" i="1" s="1"/>
  <c r="EP151" i="1"/>
  <c r="EP150" i="1"/>
  <c r="EP149" i="1"/>
  <c r="EP148" i="1"/>
  <c r="EP147" i="1"/>
  <c r="EP146" i="1"/>
  <c r="EP145" i="1"/>
  <c r="EP144" i="1"/>
  <c r="EP143" i="1"/>
  <c r="EP142" i="1"/>
  <c r="EP141" i="1"/>
  <c r="EP140"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DL2" i="1"/>
  <c r="DK2" i="1"/>
  <c r="DJ2" i="1"/>
  <c r="DI2" i="1"/>
  <c r="DH2" i="1"/>
  <c r="DG2" i="1"/>
  <c r="DF2" i="1"/>
  <c r="DE2" i="1"/>
  <c r="DD2" i="1"/>
  <c r="CI2" i="1"/>
  <c r="BU2" i="2" s="1"/>
  <c r="CH2" i="1"/>
  <c r="BT2" i="2" s="1"/>
  <c r="CG2" i="1"/>
  <c r="BS2" i="2" s="1"/>
  <c r="CF2" i="1"/>
  <c r="BR2" i="2" s="1"/>
  <c r="CE2" i="1"/>
  <c r="BQ2" i="2" s="1"/>
  <c r="CD2" i="1"/>
  <c r="BP2" i="2" s="1"/>
  <c r="CC2" i="1"/>
  <c r="BO2" i="2" s="1"/>
  <c r="CB2" i="1"/>
  <c r="CA2" i="1"/>
  <c r="BM2" i="2" s="1"/>
  <c r="BZ2" i="1"/>
  <c r="BY2" i="1"/>
  <c r="BK2" i="2" s="1"/>
  <c r="BX2" i="1"/>
  <c r="BJ2" i="2" s="1"/>
  <c r="BW2" i="1"/>
  <c r="BV2" i="1"/>
  <c r="BU2" i="1"/>
  <c r="BI2" i="2" s="1"/>
  <c r="BT2" i="1"/>
  <c r="BH2" i="2" s="1"/>
  <c r="BS2" i="1"/>
  <c r="BG2" i="2" s="1"/>
  <c r="BR2" i="1"/>
  <c r="BF2" i="2" s="1"/>
  <c r="BQ2" i="1"/>
  <c r="BE2" i="2" s="1"/>
  <c r="BP2" i="1"/>
  <c r="BD2" i="2" s="1"/>
  <c r="BO2" i="1"/>
  <c r="BC2" i="2" s="1"/>
  <c r="BN2" i="1"/>
  <c r="BB2" i="2" s="1"/>
  <c r="BM2" i="1"/>
  <c r="BA2" i="2" s="1"/>
  <c r="BL2" i="1"/>
  <c r="AZ2" i="2" s="1"/>
  <c r="BK2" i="1"/>
  <c r="AY2" i="2" s="1"/>
  <c r="BJ2" i="1"/>
  <c r="AX2" i="2" s="1"/>
  <c r="BI2" i="1"/>
  <c r="AW2" i="2" s="1"/>
  <c r="BH2" i="1"/>
  <c r="AV2" i="2" s="1"/>
  <c r="BG2" i="1"/>
  <c r="AU2" i="2" s="1"/>
  <c r="BF2" i="1"/>
  <c r="AT2" i="2" s="1"/>
  <c r="BE2" i="1"/>
  <c r="BD2" i="1"/>
  <c r="AR2" i="2" s="1"/>
  <c r="BC2" i="1"/>
  <c r="AQ2" i="2" s="1"/>
  <c r="BB2" i="1"/>
  <c r="AP2" i="2" s="1"/>
  <c r="BA2" i="1"/>
  <c r="AO2" i="2" s="1"/>
  <c r="AZ2" i="1"/>
  <c r="AN2" i="2" s="1"/>
  <c r="AY2" i="1"/>
  <c r="AM2" i="2" s="1"/>
  <c r="AV2" i="1"/>
  <c r="AJ2" i="2" s="1"/>
  <c r="AU2" i="1"/>
  <c r="AI2" i="2" s="1"/>
  <c r="AT2" i="1"/>
  <c r="AH2" i="2" s="1"/>
  <c r="AS2" i="1"/>
  <c r="AG2" i="2" s="1"/>
  <c r="AR2" i="1"/>
  <c r="AF2" i="2" s="1"/>
  <c r="AQ2" i="1"/>
  <c r="AE2" i="2" s="1"/>
  <c r="AP2" i="1"/>
  <c r="AD2" i="2" s="1"/>
  <c r="AO2" i="1"/>
  <c r="AC2" i="2" s="1"/>
  <c r="AN2" i="1"/>
  <c r="AM2" i="1"/>
  <c r="AL2" i="1"/>
  <c r="DL1" i="1"/>
  <c r="DK1" i="1"/>
  <c r="DJ1" i="1"/>
  <c r="DI1" i="1"/>
  <c r="DH1" i="1"/>
  <c r="DG1" i="1"/>
  <c r="DF1" i="1"/>
  <c r="DE1" i="1"/>
  <c r="DD1" i="1"/>
  <c r="CI1" i="1"/>
  <c r="BU1" i="2" s="1"/>
  <c r="CH1" i="1"/>
  <c r="BT1" i="2" s="1"/>
  <c r="CG1" i="1"/>
  <c r="BS1" i="2" s="1"/>
  <c r="CF1" i="1"/>
  <c r="BR1" i="2" s="1"/>
  <c r="CE1" i="1"/>
  <c r="BQ1" i="2" s="1"/>
  <c r="CD1" i="1"/>
  <c r="BP1" i="2" s="1"/>
  <c r="CC1" i="1"/>
  <c r="BO1" i="2" s="1"/>
  <c r="CB1" i="1"/>
  <c r="BN1" i="2" s="1"/>
  <c r="CA1" i="1"/>
  <c r="BM1" i="2" s="1"/>
  <c r="BZ1" i="1"/>
  <c r="BL1" i="2" s="1"/>
  <c r="BY1" i="1"/>
  <c r="BK1" i="2" s="1"/>
  <c r="BX1" i="1"/>
  <c r="BJ1" i="2" s="1"/>
  <c r="BW1" i="1"/>
  <c r="BV1" i="1"/>
  <c r="BU1" i="1"/>
  <c r="BI1" i="2" s="1"/>
  <c r="BT1" i="1"/>
  <c r="BH1" i="2" s="1"/>
  <c r="BS1" i="1"/>
  <c r="BG1" i="2" s="1"/>
  <c r="BR1" i="1"/>
  <c r="BF1" i="2" s="1"/>
  <c r="BQ1" i="1"/>
  <c r="BE1" i="2" s="1"/>
  <c r="BP1" i="1"/>
  <c r="BD1" i="2" s="1"/>
  <c r="BO1" i="1"/>
  <c r="BC1" i="2" s="1"/>
  <c r="BN1" i="1"/>
  <c r="BB1" i="2" s="1"/>
  <c r="BM1" i="1"/>
  <c r="BA1" i="2" s="1"/>
  <c r="BL1" i="1"/>
  <c r="AZ1" i="2" s="1"/>
  <c r="BK1" i="1"/>
  <c r="AY1" i="2" s="1"/>
  <c r="BJ1" i="1"/>
  <c r="AX1" i="2" s="1"/>
  <c r="BI1" i="1"/>
  <c r="AW1" i="2" s="1"/>
  <c r="BH1" i="1"/>
  <c r="AV1" i="2" s="1"/>
  <c r="BG1" i="1"/>
  <c r="AU1" i="2" s="1"/>
  <c r="BF1" i="1"/>
  <c r="AT1" i="2" s="1"/>
  <c r="BE1" i="1"/>
  <c r="AS1" i="2" s="1"/>
  <c r="BD1" i="1"/>
  <c r="AR1" i="2" s="1"/>
  <c r="BC1" i="1"/>
  <c r="AQ1" i="2" s="1"/>
  <c r="BB1" i="1"/>
  <c r="AP1" i="2" s="1"/>
  <c r="BA1" i="1"/>
  <c r="AO1" i="2" s="1"/>
  <c r="AZ1" i="1"/>
  <c r="AN1" i="2" s="1"/>
  <c r="AY1" i="1"/>
  <c r="AM1" i="2" s="1"/>
  <c r="AV1" i="1"/>
  <c r="AJ1" i="2" s="1"/>
  <c r="AU1" i="1"/>
  <c r="AI1" i="2" s="1"/>
  <c r="AT1" i="1"/>
  <c r="AH1" i="2" s="1"/>
  <c r="AS1" i="1"/>
  <c r="AG1" i="2" s="1"/>
  <c r="AR1" i="1"/>
  <c r="AF1" i="2" s="1"/>
  <c r="AQ1" i="1"/>
  <c r="AE1" i="2" s="1"/>
  <c r="AP1" i="1"/>
  <c r="AD1" i="2" s="1"/>
  <c r="AO1" i="1"/>
  <c r="AC1" i="2" s="1"/>
  <c r="AN1" i="1"/>
  <c r="AB1" i="2" s="1"/>
  <c r="AM1" i="1"/>
  <c r="AA1" i="2" s="1"/>
  <c r="AL1" i="1"/>
  <c r="EB84" i="2"/>
  <c r="DX84" i="2"/>
  <c r="EB83" i="2"/>
  <c r="DX83" i="2"/>
  <c r="EB82" i="2"/>
  <c r="DX82" i="2"/>
  <c r="EB81" i="2"/>
  <c r="DX81" i="2"/>
  <c r="EB80" i="2"/>
  <c r="DX80" i="2"/>
  <c r="EB79" i="2"/>
  <c r="DX79" i="2"/>
  <c r="EB78" i="2"/>
  <c r="DX78" i="2"/>
  <c r="EB77" i="2"/>
  <c r="DX77" i="2"/>
  <c r="EB76" i="2"/>
  <c r="DX76" i="2"/>
  <c r="EB75" i="2"/>
  <c r="DX75" i="2"/>
  <c r="EB74" i="2"/>
  <c r="DX74" i="2"/>
  <c r="EB73" i="2"/>
  <c r="DX73" i="2"/>
  <c r="EB72" i="2"/>
  <c r="DX72" i="2"/>
  <c r="EB71" i="2"/>
  <c r="DX71" i="2"/>
  <c r="EB70" i="2"/>
  <c r="DX70" i="2"/>
  <c r="EB69" i="2"/>
  <c r="DX69" i="2"/>
  <c r="EB68" i="2"/>
  <c r="DX68" i="2"/>
  <c r="EB67" i="2"/>
  <c r="DX67" i="2"/>
  <c r="EB66" i="2"/>
  <c r="DX66" i="2"/>
  <c r="EB65" i="2"/>
  <c r="DX65" i="2"/>
  <c r="EB64" i="2"/>
  <c r="DX64" i="2"/>
  <c r="DX63" i="2"/>
  <c r="DX62" i="2"/>
  <c r="DX61" i="2"/>
  <c r="DX60" i="2"/>
  <c r="DX59" i="2"/>
  <c r="DX58" i="2"/>
  <c r="EB57" i="2"/>
  <c r="DX57" i="2"/>
  <c r="EE53" i="2"/>
  <c r="EH53" i="2" s="1"/>
  <c r="ED53" i="2"/>
  <c r="EE52" i="2"/>
  <c r="EH52" i="2" s="1"/>
  <c r="ED52" i="2"/>
  <c r="EE51" i="2"/>
  <c r="EH51" i="2" s="1"/>
  <c r="ED51" i="2"/>
  <c r="EE50" i="2"/>
  <c r="ED50" i="2"/>
  <c r="EE49" i="2"/>
  <c r="ED49" i="2"/>
  <c r="EE48" i="2"/>
  <c r="ED48" i="2"/>
  <c r="EE47" i="2"/>
  <c r="ED47" i="2"/>
  <c r="EE46" i="2"/>
  <c r="ED46" i="2"/>
  <c r="EE45" i="2"/>
  <c r="ED45" i="2"/>
  <c r="EE44" i="2"/>
  <c r="ED44" i="2"/>
  <c r="EE43" i="2"/>
  <c r="ED43" i="2"/>
  <c r="EE42" i="2"/>
  <c r="ED42" i="2"/>
  <c r="EE41" i="2"/>
  <c r="ED41" i="2"/>
  <c r="EE40" i="2"/>
  <c r="ED40" i="2"/>
  <c r="EE39" i="2"/>
  <c r="ED39" i="2"/>
  <c r="EE38" i="2"/>
  <c r="ED38" i="2"/>
  <c r="EE37" i="2"/>
  <c r="ED37" i="2"/>
  <c r="EE36" i="2"/>
  <c r="ED36" i="2"/>
  <c r="EE35" i="2"/>
  <c r="ED35" i="2"/>
  <c r="EE34" i="2"/>
  <c r="ED34" i="2"/>
  <c r="EE33" i="2"/>
  <c r="ED33" i="2"/>
  <c r="EE32" i="2"/>
  <c r="ED32" i="2"/>
  <c r="EE31" i="2"/>
  <c r="ED31" i="2"/>
  <c r="EE30" i="2"/>
  <c r="ED30" i="2"/>
  <c r="EE29" i="2"/>
  <c r="ED29" i="2"/>
  <c r="EE28" i="2"/>
  <c r="ED28" i="2"/>
  <c r="EE27" i="2"/>
  <c r="ED27" i="2"/>
  <c r="EE26" i="2"/>
  <c r="ED26" i="2"/>
  <c r="EE25" i="2"/>
  <c r="ED25" i="2"/>
  <c r="EE24" i="2"/>
  <c r="ED24" i="2"/>
  <c r="DX17" i="2"/>
  <c r="DX16" i="2"/>
  <c r="EM118" i="1" l="1"/>
  <c r="EL118" i="1" s="1"/>
  <c r="EO174" i="1"/>
  <c r="EO186" i="1" s="1"/>
  <c r="EP219" i="1"/>
  <c r="V9" i="70"/>
  <c r="Q10" i="70"/>
  <c r="EM13" i="1"/>
  <c r="EL13" i="1" s="1"/>
  <c r="EJ83" i="1"/>
  <c r="EK83" i="1" s="1"/>
  <c r="EH45" i="1"/>
  <c r="EI45" i="1" s="1"/>
  <c r="EJ79" i="1"/>
  <c r="EK79" i="1" s="1"/>
  <c r="EM51" i="1"/>
  <c r="EM105" i="1"/>
  <c r="EL105" i="1" s="1"/>
  <c r="EP159" i="1"/>
  <c r="EP169" i="1"/>
  <c r="EJ85" i="1"/>
  <c r="EK85" i="1" s="1"/>
  <c r="EP153" i="1"/>
  <c r="EJ8" i="1"/>
  <c r="EK8" i="1" s="1"/>
  <c r="EJ56" i="1"/>
  <c r="EK56" i="1" s="1"/>
  <c r="EJ96" i="1"/>
  <c r="EK96" i="1" s="1"/>
  <c r="EP177" i="1"/>
  <c r="EJ53" i="1"/>
  <c r="EK53" i="1" s="1"/>
  <c r="EJ89" i="1"/>
  <c r="EK89" i="1" s="1"/>
  <c r="EP174" i="1"/>
  <c r="EM8" i="1"/>
  <c r="EL8" i="1" s="1"/>
  <c r="EJ60" i="1"/>
  <c r="EK60" i="1" s="1"/>
  <c r="EM96" i="1"/>
  <c r="EP155" i="1"/>
  <c r="EO180" i="1"/>
  <c r="EO192" i="1" s="1"/>
  <c r="EP192" i="1" s="1"/>
  <c r="EH8" i="1"/>
  <c r="EI8" i="1" s="1"/>
  <c r="EH55" i="1"/>
  <c r="EI55" i="1" s="1"/>
  <c r="EP161" i="1"/>
  <c r="EM10" i="1"/>
  <c r="EL10" i="1" s="1"/>
  <c r="EJ33" i="1"/>
  <c r="EK33" i="1" s="1"/>
  <c r="EJ63" i="1"/>
  <c r="EK63" i="1" s="1"/>
  <c r="EM97" i="1"/>
  <c r="EL97" i="1" s="1"/>
  <c r="EP195" i="1"/>
  <c r="Z1" i="2"/>
  <c r="Z2" i="2"/>
  <c r="EJ11" i="1"/>
  <c r="EK11" i="1" s="1"/>
  <c r="EJ67" i="1"/>
  <c r="EK67" i="1" s="1"/>
  <c r="AA2" i="2"/>
  <c r="EJ36" i="1"/>
  <c r="EK36" i="1" s="1"/>
  <c r="EJ64" i="1"/>
  <c r="EK64" i="1" s="1"/>
  <c r="EP201" i="1"/>
  <c r="EJ12" i="1"/>
  <c r="EK12" i="1" s="1"/>
  <c r="EJ41" i="1"/>
  <c r="EK41" i="1" s="1"/>
  <c r="EJ108" i="1"/>
  <c r="EK108" i="1" s="1"/>
  <c r="EH13" i="1"/>
  <c r="EI13" i="1" s="1"/>
  <c r="EJ42" i="1"/>
  <c r="EK42" i="1" s="1"/>
  <c r="EJ69" i="1"/>
  <c r="EK69" i="1" s="1"/>
  <c r="EP157" i="1"/>
  <c r="EO166" i="1"/>
  <c r="EO178" i="1" s="1"/>
  <c r="EP178" i="1" s="1"/>
  <c r="AB2" i="2"/>
  <c r="EJ44" i="1"/>
  <c r="EK44" i="1" s="1"/>
  <c r="EJ70" i="1"/>
  <c r="EK70" i="1" s="1"/>
  <c r="EJ72" i="1"/>
  <c r="EK72" i="1" s="1"/>
  <c r="BL2" i="2"/>
  <c r="EJ47" i="1"/>
  <c r="EK47" i="1" s="1"/>
  <c r="EH56" i="1"/>
  <c r="EI56" i="1" s="1"/>
  <c r="EH120" i="1"/>
  <c r="EI120" i="1" s="1"/>
  <c r="EH14" i="1"/>
  <c r="EI14" i="1" s="1"/>
  <c r="EH98" i="1"/>
  <c r="EI98" i="1" s="1"/>
  <c r="EH15" i="1"/>
  <c r="EI15" i="1" s="1"/>
  <c r="EH48" i="1"/>
  <c r="EI48" i="1" s="1"/>
  <c r="EM65" i="1"/>
  <c r="EJ86" i="1"/>
  <c r="EK86" i="1" s="1"/>
  <c r="EJ9" i="1"/>
  <c r="EK9" i="1" s="1"/>
  <c r="EM16" i="1"/>
  <c r="EL16" i="1" s="1"/>
  <c r="EJ32" i="1"/>
  <c r="EK32" i="1" s="1"/>
  <c r="EH50" i="1"/>
  <c r="EI50" i="1" s="1"/>
  <c r="EJ75" i="1"/>
  <c r="EK75" i="1" s="1"/>
  <c r="EJ101" i="1"/>
  <c r="EK101" i="1" s="1"/>
  <c r="EH10" i="1"/>
  <c r="EI10" i="1" s="1"/>
  <c r="EJ17" i="1"/>
  <c r="EK17" i="1" s="1"/>
  <c r="EM32" i="1"/>
  <c r="EH40" i="1"/>
  <c r="EI40" i="1" s="1"/>
  <c r="EJ50" i="1"/>
  <c r="EK50" i="1" s="1"/>
  <c r="EJ59" i="1"/>
  <c r="EK59" i="1" s="1"/>
  <c r="EJ66" i="1"/>
  <c r="EK66" i="1" s="1"/>
  <c r="EH76" i="1"/>
  <c r="EI76" i="1" s="1"/>
  <c r="EH88" i="1"/>
  <c r="EI88" i="1" s="1"/>
  <c r="EH102" i="1"/>
  <c r="EI102" i="1" s="1"/>
  <c r="EJ129" i="1"/>
  <c r="EK129" i="1" s="1"/>
  <c r="EM38" i="1"/>
  <c r="EM47" i="1"/>
  <c r="EL47" i="1" s="1"/>
  <c r="EM72" i="1"/>
  <c r="EH122" i="1"/>
  <c r="EI122" i="1" s="1"/>
  <c r="EH9" i="1"/>
  <c r="EI9" i="1" s="1"/>
  <c r="EH39" i="1"/>
  <c r="EI39" i="1" s="1"/>
  <c r="EM56" i="1"/>
  <c r="EL56" i="1" s="1"/>
  <c r="EH75" i="1"/>
  <c r="EI75" i="1" s="1"/>
  <c r="EH99" i="1"/>
  <c r="EI99" i="1" s="1"/>
  <c r="EM125" i="1"/>
  <c r="EN125" i="1" s="1"/>
  <c r="EJ39" i="1"/>
  <c r="EK39" i="1" s="1"/>
  <c r="EH59" i="1"/>
  <c r="EI59" i="1" s="1"/>
  <c r="EH66" i="1"/>
  <c r="EI66" i="1" s="1"/>
  <c r="EH87" i="1"/>
  <c r="EI87" i="1" s="1"/>
  <c r="EH126" i="1"/>
  <c r="EI126" i="1" s="1"/>
  <c r="EH33" i="1"/>
  <c r="EI33" i="1" s="1"/>
  <c r="EH41" i="1"/>
  <c r="EI41" i="1" s="1"/>
  <c r="EH51" i="1"/>
  <c r="EI51" i="1" s="1"/>
  <c r="EM59" i="1"/>
  <c r="EL59" i="1" s="1"/>
  <c r="EH67" i="1"/>
  <c r="EI67" i="1" s="1"/>
  <c r="EH77" i="1"/>
  <c r="EI77" i="1" s="1"/>
  <c r="EH89" i="1"/>
  <c r="EI89" i="1" s="1"/>
  <c r="EH103" i="1"/>
  <c r="EI103" i="1" s="1"/>
  <c r="EJ134" i="1"/>
  <c r="EK134" i="1" s="1"/>
  <c r="EH60" i="1"/>
  <c r="EI60" i="1" s="1"/>
  <c r="EH135" i="1"/>
  <c r="EI135" i="1" s="1"/>
  <c r="EH11" i="1"/>
  <c r="EI11" i="1" s="1"/>
  <c r="EM33" i="1"/>
  <c r="EL33" i="1" s="1"/>
  <c r="EH52" i="1"/>
  <c r="EI52" i="1" s="1"/>
  <c r="EM68" i="1"/>
  <c r="EL68" i="1" s="1"/>
  <c r="EJ90" i="1"/>
  <c r="EK90" i="1" s="1"/>
  <c r="EM106" i="1"/>
  <c r="EL106" i="1" s="1"/>
  <c r="EH62" i="1"/>
  <c r="EI62" i="1" s="1"/>
  <c r="EH34" i="1"/>
  <c r="EI34" i="1" s="1"/>
  <c r="EH43" i="1"/>
  <c r="EI43" i="1" s="1"/>
  <c r="EH80" i="1"/>
  <c r="EI80" i="1" s="1"/>
  <c r="EH92" i="1"/>
  <c r="EI92" i="1" s="1"/>
  <c r="EH12" i="1"/>
  <c r="EI12" i="1" s="1"/>
  <c r="EH44" i="1"/>
  <c r="EI44" i="1" s="1"/>
  <c r="EM53" i="1"/>
  <c r="EN53" i="1" s="1"/>
  <c r="EM62" i="1"/>
  <c r="EM69" i="1"/>
  <c r="EL69" i="1" s="1"/>
  <c r="EH81" i="1"/>
  <c r="EI81" i="1" s="1"/>
  <c r="EJ93" i="1"/>
  <c r="EK93" i="1" s="1"/>
  <c r="EH112" i="1"/>
  <c r="EI112" i="1" s="1"/>
  <c r="EH79" i="1"/>
  <c r="EI79" i="1" s="1"/>
  <c r="EM35" i="1"/>
  <c r="EH54" i="1"/>
  <c r="EI54" i="1" s="1"/>
  <c r="EH63" i="1"/>
  <c r="EI63" i="1" s="1"/>
  <c r="EH82" i="1"/>
  <c r="EI82" i="1" s="1"/>
  <c r="EH113" i="1"/>
  <c r="EI113" i="1" s="1"/>
  <c r="EN32" i="1"/>
  <c r="EL32" i="1"/>
  <c r="EN47" i="1"/>
  <c r="EN118" i="1"/>
  <c r="EM82" i="1"/>
  <c r="EM85" i="1"/>
  <c r="EM107" i="1"/>
  <c r="EM126" i="1"/>
  <c r="EM11" i="1"/>
  <c r="EL11" i="1" s="1"/>
  <c r="EM14" i="1"/>
  <c r="EL14" i="1" s="1"/>
  <c r="EM41" i="1"/>
  <c r="EJ45" i="1"/>
  <c r="EK45" i="1" s="1"/>
  <c r="EJ48" i="1"/>
  <c r="EK48" i="1" s="1"/>
  <c r="EJ51" i="1"/>
  <c r="EK51" i="1" s="1"/>
  <c r="EJ54" i="1"/>
  <c r="EK54" i="1" s="1"/>
  <c r="EH57" i="1"/>
  <c r="EI57" i="1" s="1"/>
  <c r="EM63" i="1"/>
  <c r="EM66" i="1"/>
  <c r="EN66" i="1" s="1"/>
  <c r="EH70" i="1"/>
  <c r="EI70" i="1" s="1"/>
  <c r="EH73" i="1"/>
  <c r="EI73" i="1" s="1"/>
  <c r="EJ76" i="1"/>
  <c r="EK76" i="1" s="1"/>
  <c r="EM79" i="1"/>
  <c r="EH83" i="1"/>
  <c r="EI83" i="1" s="1"/>
  <c r="EM93" i="1"/>
  <c r="EJ97" i="1"/>
  <c r="EK97" i="1" s="1"/>
  <c r="EM101" i="1"/>
  <c r="EH115" i="1"/>
  <c r="EI115" i="1" s="1"/>
  <c r="EJ139" i="1"/>
  <c r="EK139" i="1" s="1"/>
  <c r="EM136" i="1"/>
  <c r="EM131" i="1"/>
  <c r="EM128" i="1"/>
  <c r="EL128" i="1" s="1"/>
  <c r="EM138" i="1"/>
  <c r="EM127" i="1"/>
  <c r="EM109" i="1"/>
  <c r="EM135" i="1"/>
  <c r="EN135" i="1" s="1"/>
  <c r="EM132" i="1"/>
  <c r="EN132" i="1" s="1"/>
  <c r="EM129" i="1"/>
  <c r="EM119" i="1"/>
  <c r="EM114" i="1"/>
  <c r="EM111" i="1"/>
  <c r="EM99" i="1"/>
  <c r="EN99" i="1" s="1"/>
  <c r="EM94" i="1"/>
  <c r="EM75" i="1"/>
  <c r="EM134" i="1"/>
  <c r="EM108" i="1"/>
  <c r="EM103" i="1"/>
  <c r="EM98" i="1"/>
  <c r="EM137" i="1"/>
  <c r="EM133" i="1"/>
  <c r="EM110" i="1"/>
  <c r="EM95" i="1"/>
  <c r="EM120" i="1"/>
  <c r="EL120" i="1" s="1"/>
  <c r="EM117" i="1"/>
  <c r="EN117" i="1" s="1"/>
  <c r="EM123" i="1"/>
  <c r="EN123" i="1" s="1"/>
  <c r="EM113" i="1"/>
  <c r="EN113" i="1" s="1"/>
  <c r="EM100" i="1"/>
  <c r="EM92" i="1"/>
  <c r="EM89" i="1"/>
  <c r="EM50" i="1"/>
  <c r="EL50" i="1" s="1"/>
  <c r="EM17" i="1"/>
  <c r="EL17" i="1" s="1"/>
  <c r="EM116" i="1"/>
  <c r="EL116" i="1" s="1"/>
  <c r="EM122" i="1"/>
  <c r="EL122" i="1" s="1"/>
  <c r="EM112" i="1"/>
  <c r="EM102" i="1"/>
  <c r="EN102" i="1" s="1"/>
  <c r="EM88" i="1"/>
  <c r="EM83" i="1"/>
  <c r="EM78" i="1"/>
  <c r="EM130" i="1"/>
  <c r="EN130" i="1" s="1"/>
  <c r="EM115" i="1"/>
  <c r="EM67" i="1"/>
  <c r="EM54" i="1"/>
  <c r="EM49" i="1"/>
  <c r="EM44" i="1"/>
  <c r="EM48" i="1"/>
  <c r="EM60" i="1"/>
  <c r="EN60" i="1" s="1"/>
  <c r="EM9" i="1"/>
  <c r="EL9" i="1" s="1"/>
  <c r="EM90" i="1"/>
  <c r="EN90" i="1" s="1"/>
  <c r="EJ103" i="1"/>
  <c r="EK103" i="1" s="1"/>
  <c r="EN96" i="1"/>
  <c r="EL96" i="1"/>
  <c r="EM70" i="1"/>
  <c r="EJ98" i="1"/>
  <c r="EK98" i="1" s="1"/>
  <c r="EM139" i="1"/>
  <c r="EM12" i="1"/>
  <c r="EL12" i="1" s="1"/>
  <c r="EJ34" i="1"/>
  <c r="EK34" i="1" s="1"/>
  <c r="EH37" i="1"/>
  <c r="EI37" i="1" s="1"/>
  <c r="EM42" i="1"/>
  <c r="EM46" i="1"/>
  <c r="EH49" i="1"/>
  <c r="EI49" i="1" s="1"/>
  <c r="EJ52" i="1"/>
  <c r="EK52" i="1" s="1"/>
  <c r="EH58" i="1"/>
  <c r="EI58" i="1" s="1"/>
  <c r="EJ61" i="1"/>
  <c r="EK61" i="1" s="1"/>
  <c r="EM64" i="1"/>
  <c r="EJ71" i="1"/>
  <c r="EK71" i="1" s="1"/>
  <c r="EJ77" i="1"/>
  <c r="EK77" i="1" s="1"/>
  <c r="EM80" i="1"/>
  <c r="EL80" i="1" s="1"/>
  <c r="EH84" i="1"/>
  <c r="EI84" i="1" s="1"/>
  <c r="EM87" i="1"/>
  <c r="EN87" i="1" s="1"/>
  <c r="EH91" i="1"/>
  <c r="EI91" i="1" s="1"/>
  <c r="EH116" i="1"/>
  <c r="EI116" i="1" s="1"/>
  <c r="EH123" i="1"/>
  <c r="EI123" i="1" s="1"/>
  <c r="EJ131" i="1"/>
  <c r="EK131" i="1" s="1"/>
  <c r="EM45" i="1"/>
  <c r="EL45" i="1" s="1"/>
  <c r="EM86" i="1"/>
  <c r="EM39" i="1"/>
  <c r="EM73" i="1"/>
  <c r="EM34" i="1"/>
  <c r="EL34" i="1" s="1"/>
  <c r="EJ49" i="1"/>
  <c r="EK49" i="1" s="1"/>
  <c r="EN97" i="1"/>
  <c r="EM57" i="1"/>
  <c r="EM76" i="1"/>
  <c r="EM121" i="1"/>
  <c r="EJ80" i="1"/>
  <c r="EK80" i="1" s="1"/>
  <c r="EM15" i="1"/>
  <c r="EL15" i="1" s="1"/>
  <c r="EJ55" i="1"/>
  <c r="EK55" i="1" s="1"/>
  <c r="EJ74" i="1"/>
  <c r="EK74" i="1" s="1"/>
  <c r="EJ91" i="1"/>
  <c r="EK91" i="1" s="1"/>
  <c r="EM104" i="1"/>
  <c r="EL104" i="1" s="1"/>
  <c r="EH139" i="1"/>
  <c r="EI139" i="1" s="1"/>
  <c r="EH134" i="1"/>
  <c r="EI134" i="1" s="1"/>
  <c r="EH118" i="1"/>
  <c r="EI118" i="1" s="1"/>
  <c r="EH130" i="1"/>
  <c r="EI130" i="1" s="1"/>
  <c r="EH125" i="1"/>
  <c r="EI125" i="1" s="1"/>
  <c r="EH138" i="1"/>
  <c r="EI138" i="1" s="1"/>
  <c r="EH127" i="1"/>
  <c r="EI127" i="1" s="1"/>
  <c r="EH117" i="1"/>
  <c r="EI117" i="1" s="1"/>
  <c r="EH97" i="1"/>
  <c r="EI97" i="1" s="1"/>
  <c r="EH90" i="1"/>
  <c r="EI90" i="1" s="1"/>
  <c r="EH85" i="1"/>
  <c r="EI85" i="1" s="1"/>
  <c r="EH78" i="1"/>
  <c r="EI78" i="1" s="1"/>
  <c r="EH71" i="1"/>
  <c r="EI71" i="1" s="1"/>
  <c r="EH64" i="1"/>
  <c r="EI64" i="1" s="1"/>
  <c r="EH132" i="1"/>
  <c r="EI132" i="1" s="1"/>
  <c r="EH129" i="1"/>
  <c r="EI129" i="1" s="1"/>
  <c r="EH124" i="1"/>
  <c r="EI124" i="1" s="1"/>
  <c r="EH119" i="1"/>
  <c r="EI119" i="1" s="1"/>
  <c r="EH114" i="1"/>
  <c r="EI114" i="1" s="1"/>
  <c r="EH111" i="1"/>
  <c r="EI111" i="1" s="1"/>
  <c r="EH121" i="1"/>
  <c r="EI121" i="1" s="1"/>
  <c r="EH108" i="1"/>
  <c r="EI108" i="1" s="1"/>
  <c r="EH104" i="1"/>
  <c r="EI104" i="1" s="1"/>
  <c r="EH101" i="1"/>
  <c r="EI101" i="1" s="1"/>
  <c r="EH93" i="1"/>
  <c r="EI93" i="1" s="1"/>
  <c r="EH133" i="1"/>
  <c r="EI133" i="1" s="1"/>
  <c r="EH128" i="1"/>
  <c r="EI128" i="1" s="1"/>
  <c r="EH110" i="1"/>
  <c r="EI110" i="1" s="1"/>
  <c r="EH95" i="1"/>
  <c r="EI95" i="1" s="1"/>
  <c r="EH74" i="1"/>
  <c r="EI74" i="1" s="1"/>
  <c r="EH72" i="1"/>
  <c r="EI72" i="1" s="1"/>
  <c r="EH69" i="1"/>
  <c r="EI69" i="1" s="1"/>
  <c r="EH61" i="1"/>
  <c r="EI61" i="1" s="1"/>
  <c r="EH46" i="1"/>
  <c r="EI46" i="1" s="1"/>
  <c r="EH36" i="1"/>
  <c r="EI36" i="1" s="1"/>
  <c r="EH137" i="1"/>
  <c r="EI137" i="1" s="1"/>
  <c r="EH107" i="1"/>
  <c r="EI107" i="1" s="1"/>
  <c r="EH136" i="1"/>
  <c r="EI136" i="1" s="1"/>
  <c r="EH131" i="1"/>
  <c r="EI131" i="1" s="1"/>
  <c r="EH100" i="1"/>
  <c r="EI100" i="1" s="1"/>
  <c r="EH86" i="1"/>
  <c r="EI86" i="1" s="1"/>
  <c r="EH109" i="1"/>
  <c r="EI109" i="1" s="1"/>
  <c r="EH106" i="1"/>
  <c r="EI106" i="1" s="1"/>
  <c r="EH94" i="1"/>
  <c r="EI94" i="1" s="1"/>
  <c r="EH42" i="1"/>
  <c r="EI42" i="1" s="1"/>
  <c r="EH17" i="1"/>
  <c r="EI17" i="1" s="1"/>
  <c r="EJ10" i="1"/>
  <c r="EK10" i="1" s="1"/>
  <c r="EH16" i="1"/>
  <c r="EI16" i="1" s="1"/>
  <c r="EH35" i="1"/>
  <c r="EI35" i="1" s="1"/>
  <c r="EM37" i="1"/>
  <c r="EN37" i="1" s="1"/>
  <c r="EJ40" i="1"/>
  <c r="EK40" i="1" s="1"/>
  <c r="EJ43" i="1"/>
  <c r="EK43" i="1" s="1"/>
  <c r="EH47" i="1"/>
  <c r="EI47" i="1" s="1"/>
  <c r="EM61" i="1"/>
  <c r="EH65" i="1"/>
  <c r="EI65" i="1" s="1"/>
  <c r="EH68" i="1"/>
  <c r="EI68" i="1" s="1"/>
  <c r="EM71" i="1"/>
  <c r="EM74" i="1"/>
  <c r="EM91" i="1"/>
  <c r="EJ100" i="1"/>
  <c r="EK100" i="1" s="1"/>
  <c r="EH105" i="1"/>
  <c r="EI105" i="1" s="1"/>
  <c r="EM124" i="1"/>
  <c r="EN124" i="1" s="1"/>
  <c r="EM36" i="1"/>
  <c r="EJ138" i="1"/>
  <c r="EK138" i="1" s="1"/>
  <c r="EJ136" i="1"/>
  <c r="EK136" i="1" s="1"/>
  <c r="EJ133" i="1"/>
  <c r="EK133" i="1" s="1"/>
  <c r="EJ130" i="1"/>
  <c r="EK130" i="1" s="1"/>
  <c r="EJ125" i="1"/>
  <c r="EK125" i="1" s="1"/>
  <c r="EJ122" i="1"/>
  <c r="EK122" i="1" s="1"/>
  <c r="EJ115" i="1"/>
  <c r="EK115" i="1" s="1"/>
  <c r="EJ102" i="1"/>
  <c r="EK102" i="1" s="1"/>
  <c r="EJ109" i="1"/>
  <c r="EK109" i="1" s="1"/>
  <c r="EJ107" i="1"/>
  <c r="EK107" i="1" s="1"/>
  <c r="EJ104" i="1"/>
  <c r="EK104" i="1" s="1"/>
  <c r="EJ92" i="1"/>
  <c r="EK92" i="1" s="1"/>
  <c r="EJ87" i="1"/>
  <c r="EK87" i="1" s="1"/>
  <c r="EJ73" i="1"/>
  <c r="EK73" i="1" s="1"/>
  <c r="EJ121" i="1"/>
  <c r="EK121" i="1" s="1"/>
  <c r="EJ116" i="1"/>
  <c r="EK116" i="1" s="1"/>
  <c r="EJ128" i="1"/>
  <c r="EK128" i="1" s="1"/>
  <c r="EJ124" i="1"/>
  <c r="EK124" i="1" s="1"/>
  <c r="EJ118" i="1"/>
  <c r="EK118" i="1" s="1"/>
  <c r="EJ114" i="1"/>
  <c r="EK114" i="1" s="1"/>
  <c r="EJ110" i="1"/>
  <c r="EK110" i="1" s="1"/>
  <c r="EJ137" i="1"/>
  <c r="EK137" i="1" s="1"/>
  <c r="EJ132" i="1"/>
  <c r="EK132" i="1" s="1"/>
  <c r="EJ117" i="1"/>
  <c r="EK117" i="1" s="1"/>
  <c r="EJ84" i="1"/>
  <c r="EK84" i="1" s="1"/>
  <c r="EJ82" i="1"/>
  <c r="EK82" i="1" s="1"/>
  <c r="EJ58" i="1"/>
  <c r="EK58" i="1" s="1"/>
  <c r="EJ38" i="1"/>
  <c r="EK38" i="1" s="1"/>
  <c r="EJ15" i="1"/>
  <c r="EK15" i="1" s="1"/>
  <c r="EJ127" i="1"/>
  <c r="EK127" i="1" s="1"/>
  <c r="EJ123" i="1"/>
  <c r="EK123" i="1" s="1"/>
  <c r="EJ120" i="1"/>
  <c r="EK120" i="1" s="1"/>
  <c r="EJ113" i="1"/>
  <c r="EK113" i="1" s="1"/>
  <c r="EJ126" i="1"/>
  <c r="EK126" i="1" s="1"/>
  <c r="EJ106" i="1"/>
  <c r="EK106" i="1" s="1"/>
  <c r="EJ94" i="1"/>
  <c r="EK94" i="1" s="1"/>
  <c r="EJ81" i="1"/>
  <c r="EK81" i="1" s="1"/>
  <c r="EJ135" i="1"/>
  <c r="EK135" i="1" s="1"/>
  <c r="EJ119" i="1"/>
  <c r="EK119" i="1" s="1"/>
  <c r="EJ112" i="1"/>
  <c r="EK112" i="1" s="1"/>
  <c r="EJ99" i="1"/>
  <c r="EK99" i="1" s="1"/>
  <c r="EJ78" i="1"/>
  <c r="EK78" i="1" s="1"/>
  <c r="EJ65" i="1"/>
  <c r="EK65" i="1" s="1"/>
  <c r="EJ62" i="1"/>
  <c r="EK62" i="1" s="1"/>
  <c r="EJ57" i="1"/>
  <c r="EK57" i="1" s="1"/>
  <c r="EJ37" i="1"/>
  <c r="EK37" i="1" s="1"/>
  <c r="EJ14" i="1"/>
  <c r="EK14" i="1" s="1"/>
  <c r="EJ46" i="1"/>
  <c r="EK46" i="1" s="1"/>
  <c r="EM52" i="1"/>
  <c r="EJ95" i="1"/>
  <c r="EK95" i="1" s="1"/>
  <c r="EJ13" i="1"/>
  <c r="EK13" i="1" s="1"/>
  <c r="EJ16" i="1"/>
  <c r="EK16" i="1" s="1"/>
  <c r="EH32" i="1"/>
  <c r="EI32" i="1" s="1"/>
  <c r="EJ35" i="1"/>
  <c r="EK35" i="1" s="1"/>
  <c r="EH38" i="1"/>
  <c r="EI38" i="1" s="1"/>
  <c r="EM40" i="1"/>
  <c r="EN40" i="1" s="1"/>
  <c r="EM43" i="1"/>
  <c r="EH53" i="1"/>
  <c r="EI53" i="1" s="1"/>
  <c r="EM55" i="1"/>
  <c r="EM58" i="1"/>
  <c r="EJ68" i="1"/>
  <c r="EK68" i="1" s="1"/>
  <c r="EM77" i="1"/>
  <c r="EM81" i="1"/>
  <c r="EM84" i="1"/>
  <c r="EN84" i="1" s="1"/>
  <c r="EJ88" i="1"/>
  <c r="EK88" i="1" s="1"/>
  <c r="EH96" i="1"/>
  <c r="EI96" i="1" s="1"/>
  <c r="EJ105" i="1"/>
  <c r="EK105" i="1" s="1"/>
  <c r="EJ111" i="1"/>
  <c r="EK111" i="1" s="1"/>
  <c r="EG51" i="2"/>
  <c r="EO176" i="1"/>
  <c r="EP164" i="1"/>
  <c r="EN45" i="1"/>
  <c r="EL98" i="1"/>
  <c r="EN98" i="1"/>
  <c r="EP152" i="1"/>
  <c r="EN56" i="1"/>
  <c r="EL132" i="1"/>
  <c r="EL134" i="1"/>
  <c r="EN134" i="1"/>
  <c r="EO190" i="1"/>
  <c r="EN105" i="1"/>
  <c r="EO185" i="1"/>
  <c r="EP173" i="1"/>
  <c r="EP166" i="1"/>
  <c r="EL130" i="1"/>
  <c r="EO187" i="1"/>
  <c r="EP175" i="1"/>
  <c r="EN50" i="1"/>
  <c r="EP158" i="1"/>
  <c r="EL124" i="1"/>
  <c r="EO182" i="1"/>
  <c r="EO179" i="1"/>
  <c r="EP167" i="1"/>
  <c r="EN51" i="1"/>
  <c r="EL51" i="1"/>
  <c r="EO193" i="1"/>
  <c r="EP181" i="1"/>
  <c r="EO172" i="1"/>
  <c r="EO204" i="1"/>
  <c r="EL62" i="1"/>
  <c r="EN62" i="1"/>
  <c r="EN78" i="1"/>
  <c r="EL78" i="1"/>
  <c r="EP186" i="1"/>
  <c r="EO198" i="1"/>
  <c r="EL87" i="1"/>
  <c r="EL102" i="1"/>
  <c r="EL123" i="1"/>
  <c r="EP225" i="1"/>
  <c r="EN104" i="1"/>
  <c r="EP213" i="1"/>
  <c r="EP249" i="1"/>
  <c r="EP231" i="1"/>
  <c r="EO243" i="1"/>
  <c r="EP165" i="1"/>
  <c r="EP189" i="1"/>
  <c r="EL135" i="1"/>
  <c r="EO273" i="1"/>
  <c r="EP183" i="1"/>
  <c r="EP207" i="1"/>
  <c r="EP237" i="1"/>
  <c r="EG53" i="2"/>
  <c r="EF53" i="2"/>
  <c r="EF51" i="2"/>
  <c r="EF52" i="2"/>
  <c r="EG52" i="2"/>
  <c r="EL37" i="1" l="1"/>
  <c r="EN33" i="1"/>
  <c r="EL99" i="1"/>
  <c r="Q11" i="70"/>
  <c r="V10" i="70"/>
  <c r="EL84" i="1"/>
  <c r="EN69" i="1"/>
  <c r="EL90" i="1"/>
  <c r="EN116" i="1"/>
  <c r="EN68" i="1"/>
  <c r="EP180" i="1"/>
  <c r="EN80" i="1"/>
  <c r="EN128" i="1"/>
  <c r="EN106" i="1"/>
  <c r="EL117" i="1"/>
  <c r="EL63" i="1"/>
  <c r="EN63" i="1"/>
  <c r="EL43" i="1"/>
  <c r="EN43" i="1"/>
  <c r="EL66" i="1"/>
  <c r="EN138" i="1"/>
  <c r="EL138" i="1"/>
  <c r="EN114" i="1"/>
  <c r="EL114" i="1"/>
  <c r="EL53" i="1"/>
  <c r="EL125" i="1"/>
  <c r="EN65" i="1"/>
  <c r="EL65" i="1"/>
  <c r="EN72" i="1"/>
  <c r="EL72" i="1"/>
  <c r="EN38" i="1"/>
  <c r="EL38" i="1"/>
  <c r="EN59" i="1"/>
  <c r="EN35" i="1"/>
  <c r="EL35" i="1"/>
  <c r="EN89" i="1"/>
  <c r="EL89" i="1"/>
  <c r="EN64" i="1"/>
  <c r="EL64" i="1"/>
  <c r="EN93" i="1"/>
  <c r="EL93" i="1"/>
  <c r="EL40" i="1"/>
  <c r="EN85" i="1"/>
  <c r="EL85" i="1"/>
  <c r="EN122" i="1"/>
  <c r="EN111" i="1"/>
  <c r="EL111" i="1"/>
  <c r="EL127" i="1"/>
  <c r="EN127" i="1"/>
  <c r="EN82" i="1"/>
  <c r="EL82" i="1"/>
  <c r="EN81" i="1"/>
  <c r="EL81" i="1"/>
  <c r="EN73" i="1"/>
  <c r="EL73" i="1"/>
  <c r="EN70" i="1"/>
  <c r="EL70" i="1"/>
  <c r="EL92" i="1"/>
  <c r="EN92" i="1"/>
  <c r="EN109" i="1"/>
  <c r="EL109" i="1"/>
  <c r="EN126" i="1"/>
  <c r="EL126" i="1"/>
  <c r="EN121" i="1"/>
  <c r="EL121" i="1"/>
  <c r="EL39" i="1"/>
  <c r="EN39" i="1"/>
  <c r="EL46" i="1"/>
  <c r="EN46" i="1"/>
  <c r="EL95" i="1"/>
  <c r="EN95" i="1"/>
  <c r="EL103" i="1"/>
  <c r="EN103" i="1"/>
  <c r="EL119" i="1"/>
  <c r="EN119" i="1"/>
  <c r="EL131" i="1"/>
  <c r="EN131" i="1"/>
  <c r="EN115" i="1"/>
  <c r="EL115" i="1"/>
  <c r="EN75" i="1"/>
  <c r="EL75" i="1"/>
  <c r="EN107" i="1"/>
  <c r="EL107" i="1"/>
  <c r="EL60" i="1"/>
  <c r="EN120" i="1"/>
  <c r="EL91" i="1"/>
  <c r="EN91" i="1"/>
  <c r="EL76" i="1"/>
  <c r="EN76" i="1"/>
  <c r="EL86" i="1"/>
  <c r="EN86" i="1"/>
  <c r="EN42" i="1"/>
  <c r="EL42" i="1"/>
  <c r="EL110" i="1"/>
  <c r="EN110" i="1"/>
  <c r="EN108" i="1"/>
  <c r="EL108" i="1"/>
  <c r="EN129" i="1"/>
  <c r="EL129" i="1"/>
  <c r="EL136" i="1"/>
  <c r="EN136" i="1"/>
  <c r="EN100" i="1"/>
  <c r="EL100" i="1"/>
  <c r="EN139" i="1"/>
  <c r="EL139" i="1"/>
  <c r="EL79" i="1"/>
  <c r="EN79" i="1"/>
  <c r="EN34" i="1"/>
  <c r="EN58" i="1"/>
  <c r="EL58" i="1"/>
  <c r="EL74" i="1"/>
  <c r="EN74" i="1"/>
  <c r="EL57" i="1"/>
  <c r="EN57" i="1"/>
  <c r="EN44" i="1"/>
  <c r="EL44" i="1"/>
  <c r="EL133" i="1"/>
  <c r="EN133" i="1"/>
  <c r="EL52" i="1"/>
  <c r="EN52" i="1"/>
  <c r="EN61" i="1"/>
  <c r="EL61" i="1"/>
  <c r="EL112" i="1"/>
  <c r="EN112" i="1"/>
  <c r="EN48" i="1"/>
  <c r="EL48" i="1"/>
  <c r="EN94" i="1"/>
  <c r="EL94" i="1"/>
  <c r="EN77" i="1"/>
  <c r="EL77" i="1"/>
  <c r="EL55" i="1"/>
  <c r="EN55" i="1"/>
  <c r="EN71" i="1"/>
  <c r="EL71" i="1"/>
  <c r="EN49" i="1"/>
  <c r="EL49" i="1"/>
  <c r="EL83" i="1"/>
  <c r="EN83" i="1"/>
  <c r="EN137" i="1"/>
  <c r="EL137" i="1"/>
  <c r="EN36" i="1"/>
  <c r="EL36" i="1"/>
  <c r="EN54" i="1"/>
  <c r="EL54" i="1"/>
  <c r="EN88" i="1"/>
  <c r="EL88" i="1"/>
  <c r="EN41" i="1"/>
  <c r="EL41" i="1"/>
  <c r="EL113" i="1"/>
  <c r="EN67" i="1"/>
  <c r="EL67" i="1"/>
  <c r="EN101" i="1"/>
  <c r="EL101" i="1"/>
  <c r="EP243" i="1"/>
  <c r="EO255" i="1"/>
  <c r="EO210" i="1"/>
  <c r="EP198" i="1"/>
  <c r="EO205" i="1"/>
  <c r="EP193" i="1"/>
  <c r="EP273" i="1"/>
  <c r="EO285" i="1"/>
  <c r="EO197" i="1"/>
  <c r="EP185" i="1"/>
  <c r="EP204" i="1"/>
  <c r="EO216" i="1"/>
  <c r="EO191" i="1"/>
  <c r="EP179" i="1"/>
  <c r="EO202" i="1"/>
  <c r="EP190" i="1"/>
  <c r="EO184" i="1"/>
  <c r="EP172" i="1"/>
  <c r="EO194" i="1"/>
  <c r="EP182" i="1"/>
  <c r="EO199" i="1"/>
  <c r="EP187" i="1"/>
  <c r="EP176" i="1"/>
  <c r="EO188" i="1"/>
  <c r="Q12" i="70" l="1"/>
  <c r="V11" i="70"/>
  <c r="EO200" i="1"/>
  <c r="EP188" i="1"/>
  <c r="EO211" i="1"/>
  <c r="EP199" i="1"/>
  <c r="EO209" i="1"/>
  <c r="EP197" i="1"/>
  <c r="EP285" i="1"/>
  <c r="EO297" i="1"/>
  <c r="EP216" i="1"/>
  <c r="EO228" i="1"/>
  <c r="EP184" i="1"/>
  <c r="EO196" i="1"/>
  <c r="EO217" i="1"/>
  <c r="EP205" i="1"/>
  <c r="EP194" i="1"/>
  <c r="EO206" i="1"/>
  <c r="EP202" i="1"/>
  <c r="EO214" i="1"/>
  <c r="EP210" i="1"/>
  <c r="EO222" i="1"/>
  <c r="EO267" i="1"/>
  <c r="EP255" i="1"/>
  <c r="EO203" i="1"/>
  <c r="EP191" i="1"/>
  <c r="V12" i="70" l="1"/>
  <c r="Q13" i="70"/>
  <c r="EO215" i="1"/>
  <c r="EP203" i="1"/>
  <c r="EO208" i="1"/>
  <c r="EP196" i="1"/>
  <c r="EO240" i="1"/>
  <c r="EP228" i="1"/>
  <c r="EP267" i="1"/>
  <c r="EO279" i="1"/>
  <c r="EP222" i="1"/>
  <c r="EO234" i="1"/>
  <c r="EO309" i="1"/>
  <c r="EP297" i="1"/>
  <c r="EO226" i="1"/>
  <c r="EP214" i="1"/>
  <c r="EO221" i="1"/>
  <c r="EP209" i="1"/>
  <c r="EO218" i="1"/>
  <c r="EP206" i="1"/>
  <c r="EO223" i="1"/>
  <c r="EP211" i="1"/>
  <c r="EO229" i="1"/>
  <c r="EP217" i="1"/>
  <c r="EP200" i="1"/>
  <c r="EO212" i="1"/>
  <c r="Q14" i="70" l="1"/>
  <c r="V13" i="70"/>
  <c r="EP234" i="1"/>
  <c r="EO246" i="1"/>
  <c r="EO224" i="1"/>
  <c r="EP212" i="1"/>
  <c r="EO241" i="1"/>
  <c r="EP229" i="1"/>
  <c r="EP279" i="1"/>
  <c r="EO291" i="1"/>
  <c r="EP223" i="1"/>
  <c r="EO235" i="1"/>
  <c r="EP218" i="1"/>
  <c r="EO230" i="1"/>
  <c r="EP240" i="1"/>
  <c r="EO252" i="1"/>
  <c r="EO321" i="1"/>
  <c r="EP309" i="1"/>
  <c r="EO233" i="1"/>
  <c r="EP221" i="1"/>
  <c r="EO220" i="1"/>
  <c r="EP208" i="1"/>
  <c r="EP226" i="1"/>
  <c r="EO238" i="1"/>
  <c r="EO227" i="1"/>
  <c r="EP215" i="1"/>
  <c r="V14" i="70" l="1"/>
  <c r="Q15" i="70"/>
  <c r="EP230" i="1"/>
  <c r="EO242" i="1"/>
  <c r="EP238" i="1"/>
  <c r="EO250" i="1"/>
  <c r="EP235" i="1"/>
  <c r="EO247" i="1"/>
  <c r="EP291" i="1"/>
  <c r="EO303" i="1"/>
  <c r="EP227" i="1"/>
  <c r="EO239" i="1"/>
  <c r="EP220" i="1"/>
  <c r="EO232" i="1"/>
  <c r="EO245" i="1"/>
  <c r="EP233" i="1"/>
  <c r="EP321" i="1"/>
  <c r="EO333" i="1"/>
  <c r="EP224" i="1"/>
  <c r="EO236" i="1"/>
  <c r="EO253" i="1"/>
  <c r="EP241" i="1"/>
  <c r="EO264" i="1"/>
  <c r="EP252" i="1"/>
  <c r="EP246" i="1"/>
  <c r="EO258" i="1"/>
  <c r="Q16" i="70" l="1"/>
  <c r="V15" i="70"/>
  <c r="EO270" i="1"/>
  <c r="EP258" i="1"/>
  <c r="EO244" i="1"/>
  <c r="EP232" i="1"/>
  <c r="EP239" i="1"/>
  <c r="EO251" i="1"/>
  <c r="EP264" i="1"/>
  <c r="EO276" i="1"/>
  <c r="EO315" i="1"/>
  <c r="EP303" i="1"/>
  <c r="EP253" i="1"/>
  <c r="EO265" i="1"/>
  <c r="EO248" i="1"/>
  <c r="EP236" i="1"/>
  <c r="EP247" i="1"/>
  <c r="EO259" i="1"/>
  <c r="EP333" i="1"/>
  <c r="EO345" i="1"/>
  <c r="EP250" i="1"/>
  <c r="EO262" i="1"/>
  <c r="EP242" i="1"/>
  <c r="EO254" i="1"/>
  <c r="EO257" i="1"/>
  <c r="EP245" i="1"/>
  <c r="V16" i="70" l="1"/>
  <c r="Q17" i="70"/>
  <c r="EP257" i="1"/>
  <c r="EO269" i="1"/>
  <c r="EP254" i="1"/>
  <c r="EO266" i="1"/>
  <c r="EO327" i="1"/>
  <c r="EP315" i="1"/>
  <c r="EO274" i="1"/>
  <c r="EP262" i="1"/>
  <c r="EP276" i="1"/>
  <c r="EO288" i="1"/>
  <c r="EP270" i="1"/>
  <c r="EO282" i="1"/>
  <c r="EO260" i="1"/>
  <c r="EP248" i="1"/>
  <c r="EO357" i="1"/>
  <c r="EP345" i="1"/>
  <c r="EO263" i="1"/>
  <c r="EP251" i="1"/>
  <c r="EO277" i="1"/>
  <c r="EP265" i="1"/>
  <c r="EO271" i="1"/>
  <c r="EP259" i="1"/>
  <c r="EP244" i="1"/>
  <c r="EO256" i="1"/>
  <c r="Q18" i="70" l="1"/>
  <c r="V17" i="70"/>
  <c r="EO300" i="1"/>
  <c r="EP288" i="1"/>
  <c r="EO283" i="1"/>
  <c r="EP271" i="1"/>
  <c r="EP277" i="1"/>
  <c r="EO289" i="1"/>
  <c r="EP274" i="1"/>
  <c r="EO286" i="1"/>
  <c r="EO294" i="1"/>
  <c r="EP282" i="1"/>
  <c r="EO275" i="1"/>
  <c r="EP263" i="1"/>
  <c r="EP327" i="1"/>
  <c r="EO339" i="1"/>
  <c r="EO278" i="1"/>
  <c r="EP266" i="1"/>
  <c r="EO268" i="1"/>
  <c r="EP256" i="1"/>
  <c r="EO369" i="1"/>
  <c r="EP357" i="1"/>
  <c r="EP269" i="1"/>
  <c r="EO281" i="1"/>
  <c r="EP260" i="1"/>
  <c r="EO272" i="1"/>
  <c r="V18" i="70" l="1"/>
  <c r="Q19" i="70"/>
  <c r="EP272" i="1"/>
  <c r="EO284" i="1"/>
  <c r="EP275" i="1"/>
  <c r="EO287" i="1"/>
  <c r="EP281" i="1"/>
  <c r="EO293" i="1"/>
  <c r="EO306" i="1"/>
  <c r="EP294" i="1"/>
  <c r="EP286" i="1"/>
  <c r="EO298" i="1"/>
  <c r="EP289" i="1"/>
  <c r="EO301" i="1"/>
  <c r="EO280" i="1"/>
  <c r="EP268" i="1"/>
  <c r="EP278" i="1"/>
  <c r="EO290" i="1"/>
  <c r="EP283" i="1"/>
  <c r="EO295" i="1"/>
  <c r="EO351" i="1"/>
  <c r="EP339" i="1"/>
  <c r="EO381" i="1"/>
  <c r="EP369" i="1"/>
  <c r="EO312" i="1"/>
  <c r="EP300" i="1"/>
  <c r="Q20" i="70" l="1"/>
  <c r="V19" i="70"/>
  <c r="EP298" i="1"/>
  <c r="EO310" i="1"/>
  <c r="EO393" i="1"/>
  <c r="EP381" i="1"/>
  <c r="EO324" i="1"/>
  <c r="EP312" i="1"/>
  <c r="EP351" i="1"/>
  <c r="EO363" i="1"/>
  <c r="EO318" i="1"/>
  <c r="EP306" i="1"/>
  <c r="EP295" i="1"/>
  <c r="EO307" i="1"/>
  <c r="EP293" i="1"/>
  <c r="EO305" i="1"/>
  <c r="EP290" i="1"/>
  <c r="EO302" i="1"/>
  <c r="EP287" i="1"/>
  <c r="EO299" i="1"/>
  <c r="EP284" i="1"/>
  <c r="EO296" i="1"/>
  <c r="EP301" i="1"/>
  <c r="EO313" i="1"/>
  <c r="EP280" i="1"/>
  <c r="EO292" i="1"/>
  <c r="V20" i="70" l="1"/>
  <c r="Q21" i="70"/>
  <c r="EP313" i="1"/>
  <c r="EO325" i="1"/>
  <c r="EO375" i="1"/>
  <c r="EP363" i="1"/>
  <c r="EP292" i="1"/>
  <c r="EO304" i="1"/>
  <c r="EP296" i="1"/>
  <c r="EO308" i="1"/>
  <c r="EP324" i="1"/>
  <c r="EO336" i="1"/>
  <c r="EP302" i="1"/>
  <c r="EO314" i="1"/>
  <c r="EP299" i="1"/>
  <c r="EO311" i="1"/>
  <c r="EO405" i="1"/>
  <c r="EP393" i="1"/>
  <c r="EP307" i="1"/>
  <c r="EO319" i="1"/>
  <c r="EP318" i="1"/>
  <c r="EO330" i="1"/>
  <c r="EP305" i="1"/>
  <c r="EO317" i="1"/>
  <c r="EP310" i="1"/>
  <c r="EO322" i="1"/>
  <c r="Q22" i="70" l="1"/>
  <c r="V21" i="70"/>
  <c r="EP317" i="1"/>
  <c r="EO329" i="1"/>
  <c r="EP336" i="1"/>
  <c r="EO348" i="1"/>
  <c r="EP314" i="1"/>
  <c r="EO326" i="1"/>
  <c r="EP319" i="1"/>
  <c r="EO331" i="1"/>
  <c r="EP304" i="1"/>
  <c r="EO316" i="1"/>
  <c r="EP330" i="1"/>
  <c r="EO342" i="1"/>
  <c r="EO417" i="1"/>
  <c r="EP405" i="1"/>
  <c r="EO387" i="1"/>
  <c r="EP375" i="1"/>
  <c r="EP322" i="1"/>
  <c r="EO334" i="1"/>
  <c r="EP308" i="1"/>
  <c r="EO320" i="1"/>
  <c r="EP311" i="1"/>
  <c r="EO323" i="1"/>
  <c r="EP325" i="1"/>
  <c r="EO337" i="1"/>
  <c r="V22" i="70" l="1"/>
  <c r="Q23" i="70"/>
  <c r="EP316" i="1"/>
  <c r="EO328" i="1"/>
  <c r="EO332" i="1"/>
  <c r="EP320" i="1"/>
  <c r="EO346" i="1"/>
  <c r="EP334" i="1"/>
  <c r="EP337" i="1"/>
  <c r="EO349" i="1"/>
  <c r="EO354" i="1"/>
  <c r="EP342" i="1"/>
  <c r="EO335" i="1"/>
  <c r="EP323" i="1"/>
  <c r="EO343" i="1"/>
  <c r="EP331" i="1"/>
  <c r="EO338" i="1"/>
  <c r="EP326" i="1"/>
  <c r="EO360" i="1"/>
  <c r="EP348" i="1"/>
  <c r="EP387" i="1"/>
  <c r="EO399" i="1"/>
  <c r="EP329" i="1"/>
  <c r="EO341" i="1"/>
  <c r="EO429" i="1"/>
  <c r="EP417" i="1"/>
  <c r="Q24" i="70" l="1"/>
  <c r="V23" i="70"/>
  <c r="EO361" i="1"/>
  <c r="EP349" i="1"/>
  <c r="EP335" i="1"/>
  <c r="EO347" i="1"/>
  <c r="EO366" i="1"/>
  <c r="EP354" i="1"/>
  <c r="EO441" i="1"/>
  <c r="EP429" i="1"/>
  <c r="EP341" i="1"/>
  <c r="EO353" i="1"/>
  <c r="EO411" i="1"/>
  <c r="EP399" i="1"/>
  <c r="EO372" i="1"/>
  <c r="EP360" i="1"/>
  <c r="EO358" i="1"/>
  <c r="EP346" i="1"/>
  <c r="EP338" i="1"/>
  <c r="EO350" i="1"/>
  <c r="EO344" i="1"/>
  <c r="EP332" i="1"/>
  <c r="EP328" i="1"/>
  <c r="EO340" i="1"/>
  <c r="EP343" i="1"/>
  <c r="EO355" i="1"/>
  <c r="V24" i="70" l="1"/>
  <c r="EP355" i="1"/>
  <c r="EO367" i="1"/>
  <c r="EP411" i="1"/>
  <c r="EO423" i="1"/>
  <c r="EO352" i="1"/>
  <c r="EP340" i="1"/>
  <c r="EO365" i="1"/>
  <c r="EP353" i="1"/>
  <c r="EO356" i="1"/>
  <c r="EP344" i="1"/>
  <c r="EO453" i="1"/>
  <c r="EP441" i="1"/>
  <c r="EO362" i="1"/>
  <c r="EP350" i="1"/>
  <c r="EO378" i="1"/>
  <c r="EP366" i="1"/>
  <c r="EP347" i="1"/>
  <c r="EO359" i="1"/>
  <c r="EP358" i="1"/>
  <c r="EO370" i="1"/>
  <c r="EO384" i="1"/>
  <c r="EP372" i="1"/>
  <c r="EO373" i="1"/>
  <c r="EP361" i="1"/>
  <c r="EO385" i="1" l="1"/>
  <c r="EP373" i="1"/>
  <c r="EO368" i="1"/>
  <c r="EP356" i="1"/>
  <c r="EP359" i="1"/>
  <c r="EO371" i="1"/>
  <c r="EO465" i="1"/>
  <c r="EP453" i="1"/>
  <c r="EO396" i="1"/>
  <c r="EP384" i="1"/>
  <c r="EO382" i="1"/>
  <c r="EP370" i="1"/>
  <c r="EO377" i="1"/>
  <c r="EP365" i="1"/>
  <c r="EO364" i="1"/>
  <c r="EP352" i="1"/>
  <c r="EO435" i="1"/>
  <c r="EP423" i="1"/>
  <c r="EO390" i="1"/>
  <c r="EP378" i="1"/>
  <c r="EO379" i="1"/>
  <c r="EP367" i="1"/>
  <c r="EO374" i="1"/>
  <c r="EP362" i="1"/>
  <c r="EP371" i="1" l="1"/>
  <c r="EO383" i="1"/>
  <c r="EP390" i="1"/>
  <c r="EO402" i="1"/>
  <c r="EO447" i="1"/>
  <c r="EP435" i="1"/>
  <c r="EP374" i="1"/>
  <c r="EO386" i="1"/>
  <c r="EO394" i="1"/>
  <c r="EP382" i="1"/>
  <c r="EO391" i="1"/>
  <c r="EP379" i="1"/>
  <c r="EP396" i="1"/>
  <c r="EO408" i="1"/>
  <c r="EO477" i="1"/>
  <c r="EP465" i="1"/>
  <c r="EP364" i="1"/>
  <c r="EO376" i="1"/>
  <c r="EO380" i="1"/>
  <c r="EP368" i="1"/>
  <c r="EO389" i="1"/>
  <c r="EP377" i="1"/>
  <c r="EO397" i="1"/>
  <c r="EP385" i="1"/>
  <c r="EO409" i="1" l="1"/>
  <c r="EP397" i="1"/>
  <c r="EO403" i="1"/>
  <c r="EP391" i="1"/>
  <c r="EO398" i="1"/>
  <c r="EP386" i="1"/>
  <c r="EO406" i="1"/>
  <c r="EP394" i="1"/>
  <c r="EO392" i="1"/>
  <c r="EP380" i="1"/>
  <c r="EO420" i="1"/>
  <c r="EP408" i="1"/>
  <c r="EO401" i="1"/>
  <c r="EP389" i="1"/>
  <c r="EO388" i="1"/>
  <c r="EP376" i="1"/>
  <c r="EO459" i="1"/>
  <c r="EP447" i="1"/>
  <c r="EP402" i="1"/>
  <c r="EO414" i="1"/>
  <c r="EO489" i="1"/>
  <c r="EP477" i="1"/>
  <c r="EP383" i="1"/>
  <c r="EO395" i="1"/>
  <c r="EO407" i="1" l="1"/>
  <c r="EP395" i="1"/>
  <c r="EO426" i="1"/>
  <c r="EP414" i="1"/>
  <c r="EO501" i="1"/>
  <c r="EP489" i="1"/>
  <c r="EP406" i="1"/>
  <c r="EO418" i="1"/>
  <c r="EO415" i="1"/>
  <c r="EP403" i="1"/>
  <c r="EO432" i="1"/>
  <c r="EP420" i="1"/>
  <c r="EO404" i="1"/>
  <c r="EP392" i="1"/>
  <c r="EO471" i="1"/>
  <c r="EP459" i="1"/>
  <c r="EO410" i="1"/>
  <c r="EP398" i="1"/>
  <c r="EO400" i="1"/>
  <c r="EP388" i="1"/>
  <c r="EO413" i="1"/>
  <c r="EP401" i="1"/>
  <c r="EP409" i="1"/>
  <c r="EO421" i="1"/>
  <c r="EP413" i="1" l="1"/>
  <c r="EO425" i="1"/>
  <c r="EO412" i="1"/>
  <c r="EP400" i="1"/>
  <c r="EO483" i="1"/>
  <c r="EP471" i="1"/>
  <c r="EP421" i="1"/>
  <c r="EO433" i="1"/>
  <c r="EO444" i="1"/>
  <c r="EP432" i="1"/>
  <c r="EP418" i="1"/>
  <c r="EO430" i="1"/>
  <c r="EP415" i="1"/>
  <c r="EO427" i="1"/>
  <c r="EP410" i="1"/>
  <c r="EO422" i="1"/>
  <c r="EO513" i="1"/>
  <c r="EP501" i="1"/>
  <c r="EP426" i="1"/>
  <c r="EO438" i="1"/>
  <c r="EO416" i="1"/>
  <c r="EP404" i="1"/>
  <c r="EO419" i="1"/>
  <c r="EP407" i="1"/>
  <c r="EP430" i="1" l="1"/>
  <c r="EO442" i="1"/>
  <c r="EO456" i="1"/>
  <c r="EP444" i="1"/>
  <c r="EO437" i="1"/>
  <c r="EP425" i="1"/>
  <c r="EP419" i="1"/>
  <c r="EO431" i="1"/>
  <c r="EO428" i="1"/>
  <c r="EP416" i="1"/>
  <c r="EP438" i="1"/>
  <c r="EO450" i="1"/>
  <c r="EO445" i="1"/>
  <c r="EP433" i="1"/>
  <c r="EO525" i="1"/>
  <c r="EP513" i="1"/>
  <c r="EP483" i="1"/>
  <c r="EO495" i="1"/>
  <c r="EP422" i="1"/>
  <c r="EO434" i="1"/>
  <c r="EO424" i="1"/>
  <c r="EP412" i="1"/>
  <c r="EO439" i="1"/>
  <c r="EP427" i="1"/>
  <c r="EP450" i="1" l="1"/>
  <c r="EO462" i="1"/>
  <c r="EP424" i="1"/>
  <c r="EO436" i="1"/>
  <c r="EP434" i="1"/>
  <c r="EO446" i="1"/>
  <c r="EO468" i="1"/>
  <c r="EP456" i="1"/>
  <c r="EP439" i="1"/>
  <c r="EO451" i="1"/>
  <c r="EO440" i="1"/>
  <c r="EP428" i="1"/>
  <c r="EP431" i="1"/>
  <c r="EO443" i="1"/>
  <c r="EP495" i="1"/>
  <c r="EO507" i="1"/>
  <c r="EO449" i="1"/>
  <c r="EP437" i="1"/>
  <c r="EO537" i="1"/>
  <c r="EP525" i="1"/>
  <c r="EP442" i="1"/>
  <c r="EO454" i="1"/>
  <c r="EO457" i="1"/>
  <c r="EP445" i="1"/>
  <c r="EO448" i="1" l="1"/>
  <c r="EP436" i="1"/>
  <c r="EO469" i="1"/>
  <c r="EP457" i="1"/>
  <c r="EP454" i="1"/>
  <c r="EO466" i="1"/>
  <c r="EP451" i="1"/>
  <c r="EO463" i="1"/>
  <c r="EO549" i="1"/>
  <c r="EP537" i="1"/>
  <c r="EP446" i="1"/>
  <c r="EO458" i="1"/>
  <c r="EO461" i="1"/>
  <c r="EP449" i="1"/>
  <c r="EP440" i="1"/>
  <c r="EO452" i="1"/>
  <c r="EO480" i="1"/>
  <c r="EP468" i="1"/>
  <c r="EP507" i="1"/>
  <c r="EO519" i="1"/>
  <c r="EP443" i="1"/>
  <c r="EO455" i="1"/>
  <c r="EP462" i="1"/>
  <c r="EO474" i="1"/>
  <c r="EO561" i="1" l="1"/>
  <c r="EP549" i="1"/>
  <c r="EO475" i="1"/>
  <c r="EP463" i="1"/>
  <c r="EP480" i="1"/>
  <c r="EO492" i="1"/>
  <c r="EP466" i="1"/>
  <c r="EO478" i="1"/>
  <c r="EP474" i="1"/>
  <c r="EO486" i="1"/>
  <c r="EP458" i="1"/>
  <c r="EO470" i="1"/>
  <c r="EP455" i="1"/>
  <c r="EO467" i="1"/>
  <c r="EO531" i="1"/>
  <c r="EP519" i="1"/>
  <c r="EP452" i="1"/>
  <c r="EO464" i="1"/>
  <c r="EO481" i="1"/>
  <c r="EP469" i="1"/>
  <c r="EO473" i="1"/>
  <c r="EP461" i="1"/>
  <c r="EO460" i="1"/>
  <c r="EP448" i="1"/>
  <c r="EP531" i="1" l="1"/>
  <c r="EO543" i="1"/>
  <c r="EO485" i="1"/>
  <c r="EP473" i="1"/>
  <c r="EP470" i="1"/>
  <c r="EO482" i="1"/>
  <c r="EO472" i="1"/>
  <c r="EP460" i="1"/>
  <c r="EO498" i="1"/>
  <c r="EP486" i="1"/>
  <c r="EO490" i="1"/>
  <c r="EP478" i="1"/>
  <c r="EO493" i="1"/>
  <c r="EP481" i="1"/>
  <c r="EP464" i="1"/>
  <c r="EO476" i="1"/>
  <c r="EO504" i="1"/>
  <c r="EP492" i="1"/>
  <c r="EP475" i="1"/>
  <c r="EO487" i="1"/>
  <c r="EP467" i="1"/>
  <c r="EO479" i="1"/>
  <c r="EO573" i="1"/>
  <c r="EP561" i="1"/>
  <c r="EO585" i="1" l="1"/>
  <c r="EP585" i="1" s="1"/>
  <c r="EP573" i="1"/>
  <c r="EP490" i="1"/>
  <c r="EO502" i="1"/>
  <c r="EO491" i="1"/>
  <c r="EP479" i="1"/>
  <c r="EO510" i="1"/>
  <c r="EP498" i="1"/>
  <c r="EP487" i="1"/>
  <c r="EO499" i="1"/>
  <c r="EP472" i="1"/>
  <c r="EO484" i="1"/>
  <c r="EO494" i="1"/>
  <c r="EP482" i="1"/>
  <c r="EO516" i="1"/>
  <c r="EP504" i="1"/>
  <c r="EP476" i="1"/>
  <c r="EO488" i="1"/>
  <c r="EO497" i="1"/>
  <c r="EP485" i="1"/>
  <c r="EP543" i="1"/>
  <c r="EO555" i="1"/>
  <c r="EO505" i="1"/>
  <c r="EP493" i="1"/>
  <c r="EP499" i="1" l="1"/>
  <c r="EO511" i="1"/>
  <c r="EO528" i="1"/>
  <c r="EP516" i="1"/>
  <c r="EO517" i="1"/>
  <c r="EP505" i="1"/>
  <c r="EO509" i="1"/>
  <c r="EP497" i="1"/>
  <c r="EO496" i="1"/>
  <c r="EP484" i="1"/>
  <c r="EO567" i="1"/>
  <c r="EP555" i="1"/>
  <c r="EO522" i="1"/>
  <c r="EP510" i="1"/>
  <c r="EO500" i="1"/>
  <c r="EP488" i="1"/>
  <c r="EP491" i="1"/>
  <c r="EO503" i="1"/>
  <c r="EO514" i="1"/>
  <c r="EP502" i="1"/>
  <c r="EO506" i="1"/>
  <c r="EP494" i="1"/>
  <c r="EO579" i="1" l="1"/>
  <c r="EP567" i="1"/>
  <c r="EP506" i="1"/>
  <c r="EO518" i="1"/>
  <c r="EP496" i="1"/>
  <c r="EO508" i="1"/>
  <c r="EO526" i="1"/>
  <c r="EP514" i="1"/>
  <c r="EO521" i="1"/>
  <c r="EP509" i="1"/>
  <c r="EO515" i="1"/>
  <c r="EP503" i="1"/>
  <c r="EO529" i="1"/>
  <c r="EP517" i="1"/>
  <c r="EO512" i="1"/>
  <c r="EP500" i="1"/>
  <c r="EP528" i="1"/>
  <c r="EO540" i="1"/>
  <c r="EP511" i="1"/>
  <c r="EO523" i="1"/>
  <c r="EP522" i="1"/>
  <c r="EO534" i="1"/>
  <c r="EO533" i="1" l="1"/>
  <c r="EP521" i="1"/>
  <c r="EO538" i="1"/>
  <c r="EP526" i="1"/>
  <c r="EO520" i="1"/>
  <c r="EP508" i="1"/>
  <c r="EO535" i="1"/>
  <c r="EP523" i="1"/>
  <c r="EP515" i="1"/>
  <c r="EO527" i="1"/>
  <c r="EO546" i="1"/>
  <c r="EP534" i="1"/>
  <c r="EO552" i="1"/>
  <c r="EP540" i="1"/>
  <c r="EP512" i="1"/>
  <c r="EO524" i="1"/>
  <c r="EO530" i="1"/>
  <c r="EP518" i="1"/>
  <c r="EO541" i="1"/>
  <c r="EP529" i="1"/>
  <c r="EP579" i="1"/>
  <c r="EO591" i="1"/>
  <c r="EP591" i="1" s="1"/>
  <c r="EO558" i="1" l="1"/>
  <c r="EP546" i="1"/>
  <c r="EO553" i="1"/>
  <c r="EP541" i="1"/>
  <c r="EP527" i="1"/>
  <c r="EO539" i="1"/>
  <c r="EO547" i="1"/>
  <c r="EP535" i="1"/>
  <c r="EO542" i="1"/>
  <c r="EP530" i="1"/>
  <c r="EO532" i="1"/>
  <c r="EP520" i="1"/>
  <c r="EO536" i="1"/>
  <c r="EP524" i="1"/>
  <c r="EP538" i="1"/>
  <c r="EO550" i="1"/>
  <c r="EO564" i="1"/>
  <c r="EP552" i="1"/>
  <c r="EO545" i="1"/>
  <c r="EP533" i="1"/>
  <c r="EO544" i="1" l="1"/>
  <c r="EP532" i="1"/>
  <c r="EO554" i="1"/>
  <c r="EP542" i="1"/>
  <c r="EO557" i="1"/>
  <c r="EP545" i="1"/>
  <c r="EO559" i="1"/>
  <c r="EP547" i="1"/>
  <c r="EO551" i="1"/>
  <c r="EP539" i="1"/>
  <c r="EO576" i="1"/>
  <c r="EP564" i="1"/>
  <c r="EO562" i="1"/>
  <c r="EP550" i="1"/>
  <c r="EO565" i="1"/>
  <c r="EP553" i="1"/>
  <c r="EO548" i="1"/>
  <c r="EP536" i="1"/>
  <c r="EO570" i="1"/>
  <c r="EP558" i="1"/>
  <c r="EP576" i="1" l="1"/>
  <c r="EO588" i="1"/>
  <c r="EP588" i="1" s="1"/>
  <c r="EO563" i="1"/>
  <c r="EP551" i="1"/>
  <c r="EP570" i="1"/>
  <c r="EO582" i="1"/>
  <c r="EO577" i="1"/>
  <c r="EP565" i="1"/>
  <c r="EP554" i="1"/>
  <c r="EO566" i="1"/>
  <c r="EO560" i="1"/>
  <c r="EP548" i="1"/>
  <c r="EP559" i="1"/>
  <c r="EO571" i="1"/>
  <c r="EO569" i="1"/>
  <c r="EP557" i="1"/>
  <c r="EO574" i="1"/>
  <c r="EP562" i="1"/>
  <c r="EP544" i="1"/>
  <c r="EO556" i="1"/>
  <c r="EP560" i="1" l="1"/>
  <c r="EO572" i="1"/>
  <c r="EO578" i="1"/>
  <c r="EP566" i="1"/>
  <c r="EO568" i="1"/>
  <c r="EP556" i="1"/>
  <c r="EO589" i="1"/>
  <c r="EP589" i="1" s="1"/>
  <c r="EP577" i="1"/>
  <c r="EO594" i="1"/>
  <c r="EP594" i="1" s="1"/>
  <c r="EP582" i="1"/>
  <c r="EO586" i="1"/>
  <c r="EP586" i="1" s="1"/>
  <c r="EP574" i="1"/>
  <c r="EO581" i="1"/>
  <c r="EP569" i="1"/>
  <c r="EO575" i="1"/>
  <c r="EP563" i="1"/>
  <c r="EO583" i="1"/>
  <c r="EP571" i="1"/>
  <c r="EO595" i="1" l="1"/>
  <c r="EP595" i="1" s="1"/>
  <c r="EP583" i="1"/>
  <c r="EO580" i="1"/>
  <c r="EP568" i="1"/>
  <c r="EP575" i="1"/>
  <c r="EO587" i="1"/>
  <c r="EP587" i="1" s="1"/>
  <c r="EO590" i="1"/>
  <c r="EP590" i="1" s="1"/>
  <c r="EP578" i="1"/>
  <c r="EO584" i="1"/>
  <c r="EP584" i="1" s="1"/>
  <c r="EP572" i="1"/>
  <c r="EO593" i="1"/>
  <c r="EP593" i="1" s="1"/>
  <c r="EP581" i="1"/>
  <c r="EO592" i="1" l="1"/>
  <c r="EP592" i="1" s="1"/>
  <c r="EP580" i="1"/>
  <c r="CJ293" i="1" l="1"/>
  <c r="A26" i="66" l="1"/>
  <c r="A27" i="66" s="1"/>
  <c r="A28" i="66" s="1"/>
  <c r="A29" i="66" s="1"/>
  <c r="A30" i="66" s="1"/>
  <c r="A31" i="66" s="1"/>
  <c r="A32" i="66" s="1"/>
  <c r="A33" i="66" s="1"/>
  <c r="A34" i="66" s="1"/>
  <c r="A35" i="66" s="1"/>
  <c r="A36" i="66" s="1"/>
  <c r="A37" i="66" s="1"/>
  <c r="A38" i="66" s="1"/>
  <c r="A39" i="66" s="1"/>
  <c r="A40" i="66" s="1"/>
  <c r="AP8" i="66"/>
  <c r="U7" i="66"/>
  <c r="T7" i="66"/>
  <c r="S7" i="66"/>
  <c r="R7" i="66"/>
  <c r="Q7" i="66"/>
  <c r="P7" i="66"/>
  <c r="O7" i="66"/>
  <c r="N7" i="66"/>
  <c r="M7" i="66"/>
  <c r="L7" i="66"/>
  <c r="K7" i="66"/>
  <c r="J7" i="66"/>
  <c r="I7" i="66"/>
  <c r="H7" i="66"/>
  <c r="G7" i="66"/>
  <c r="F7" i="66"/>
  <c r="E7" i="66"/>
  <c r="D7" i="66"/>
  <c r="C7" i="66"/>
  <c r="U6" i="66"/>
  <c r="T6" i="66"/>
  <c r="S6" i="66"/>
  <c r="R6" i="66"/>
  <c r="Q6" i="66"/>
  <c r="P6" i="66"/>
  <c r="O6" i="66"/>
  <c r="N6" i="66"/>
  <c r="M6" i="66"/>
  <c r="L6" i="66"/>
  <c r="K6" i="66"/>
  <c r="I6" i="66"/>
  <c r="X3" i="66"/>
  <c r="Z6" i="66" l="1"/>
  <c r="Z7" i="66"/>
  <c r="AD7" i="66" s="1"/>
  <c r="AP9" i="66"/>
  <c r="AC7" i="66" l="1"/>
  <c r="AB7" i="66"/>
  <c r="AF7" i="66"/>
  <c r="AA7" i="66"/>
  <c r="AG27" i="66" s="1"/>
  <c r="AE7" i="66"/>
  <c r="AP10" i="66"/>
  <c r="AG26" i="66"/>
  <c r="AG20" i="66"/>
  <c r="AG36" i="66" l="1"/>
  <c r="AG32" i="66"/>
  <c r="AG40" i="66"/>
  <c r="AG11" i="66"/>
  <c r="AG28" i="66"/>
  <c r="AG39" i="66"/>
  <c r="AG19" i="66"/>
  <c r="AG25" i="66"/>
  <c r="AG10" i="66"/>
  <c r="AG13" i="66"/>
  <c r="AG18" i="66"/>
  <c r="AG30" i="66"/>
  <c r="AG38" i="66"/>
  <c r="AG17" i="66"/>
  <c r="AG23" i="66"/>
  <c r="AG16" i="66"/>
  <c r="AG7" i="66"/>
  <c r="AG14" i="66"/>
  <c r="AG31" i="66"/>
  <c r="AG35" i="66"/>
  <c r="AG9" i="66"/>
  <c r="AG29" i="66"/>
  <c r="AG12" i="66"/>
  <c r="AG33" i="66"/>
  <c r="AG37" i="66"/>
  <c r="AG22" i="66"/>
  <c r="AG24" i="66"/>
  <c r="AG15" i="66"/>
  <c r="AG21" i="66"/>
  <c r="AG8" i="66"/>
  <c r="AG34" i="66"/>
  <c r="AP11" i="66"/>
  <c r="AP12" i="66" l="1"/>
  <c r="AP13" i="66" l="1"/>
  <c r="AP14" i="66" l="1"/>
  <c r="AP15" i="66" l="1"/>
  <c r="AP16" i="66" l="1"/>
  <c r="AP17" i="66" l="1"/>
  <c r="AP18" i="66" l="1"/>
  <c r="AP19" i="66" l="1"/>
  <c r="AP20" i="66" l="1"/>
  <c r="AP21" i="66" l="1"/>
  <c r="AP22" i="66" l="1"/>
  <c r="AP23" i="66" l="1"/>
  <c r="AP24" i="66" l="1"/>
  <c r="AP25" i="66" l="1"/>
  <c r="AP26" i="66" l="1"/>
  <c r="AP27" i="66" l="1"/>
  <c r="AP28" i="66" l="1"/>
  <c r="AP29" i="66" l="1"/>
  <c r="AP30" i="66" l="1"/>
  <c r="AP31" i="66" l="1"/>
  <c r="AP32" i="66" l="1"/>
  <c r="AP33" i="66" l="1"/>
  <c r="AP34" i="66" l="1"/>
  <c r="AP35" i="66" l="1"/>
  <c r="AP36" i="66" l="1"/>
  <c r="AP37" i="66" l="1"/>
  <c r="AP38" i="66" l="1"/>
  <c r="AP39" i="66" l="1"/>
  <c r="AP40" i="66" l="1"/>
  <c r="AG7" i="43" l="1"/>
  <c r="AG6" i="43"/>
  <c r="A23" i="29" l="1"/>
  <c r="A24" i="29" s="1"/>
  <c r="A25" i="29" s="1"/>
  <c r="A26" i="29" s="1"/>
  <c r="A27" i="29" s="1"/>
  <c r="A28" i="29" s="1"/>
  <c r="A29" i="29" s="1"/>
  <c r="A30" i="29" s="1"/>
  <c r="A31" i="29" s="1"/>
  <c r="A32" i="29" s="1"/>
  <c r="A33" i="29" s="1"/>
  <c r="CF219" i="1"/>
  <c r="CF231" i="1" s="1"/>
  <c r="CF243" i="1" s="1"/>
  <c r="CF255" i="1" s="1"/>
  <c r="CF267" i="1" s="1"/>
  <c r="CF279" i="1" s="1"/>
  <c r="CF291" i="1" s="1"/>
  <c r="CF303" i="1" s="1"/>
  <c r="CF315" i="1" s="1"/>
  <c r="CF327" i="1" s="1"/>
  <c r="CF210" i="1"/>
  <c r="CF222" i="1" s="1"/>
  <c r="CF234" i="1" s="1"/>
  <c r="CF246" i="1" s="1"/>
  <c r="CF258" i="1" s="1"/>
  <c r="CF270" i="1" s="1"/>
  <c r="CF282" i="1" s="1"/>
  <c r="CF294" i="1" s="1"/>
  <c r="CF306" i="1" s="1"/>
  <c r="CF318" i="1" s="1"/>
  <c r="CF209" i="1"/>
  <c r="CF221" i="1" s="1"/>
  <c r="CF233" i="1" s="1"/>
  <c r="CF245" i="1" s="1"/>
  <c r="CF257" i="1" s="1"/>
  <c r="CF269" i="1" s="1"/>
  <c r="CF281" i="1" s="1"/>
  <c r="CF293" i="1" s="1"/>
  <c r="CF305" i="1" s="1"/>
  <c r="CF317" i="1" s="1"/>
  <c r="CF208" i="1"/>
  <c r="CF220" i="1" s="1"/>
  <c r="CF232" i="1" s="1"/>
  <c r="CF244" i="1" s="1"/>
  <c r="CF256" i="1" s="1"/>
  <c r="CF268" i="1" s="1"/>
  <c r="CF280" i="1" s="1"/>
  <c r="CF292" i="1" s="1"/>
  <c r="CF304" i="1" s="1"/>
  <c r="CF316" i="1" s="1"/>
  <c r="CF207" i="1"/>
  <c r="CF206" i="1"/>
  <c r="CF218" i="1" s="1"/>
  <c r="CF230" i="1" s="1"/>
  <c r="CF242" i="1" s="1"/>
  <c r="CF254" i="1" s="1"/>
  <c r="CF266" i="1" s="1"/>
  <c r="CF278" i="1" s="1"/>
  <c r="CF290" i="1" s="1"/>
  <c r="CF302" i="1" s="1"/>
  <c r="CF314" i="1" s="1"/>
  <c r="CF326" i="1" s="1"/>
  <c r="CF205" i="1"/>
  <c r="CF217" i="1" s="1"/>
  <c r="CF229" i="1" s="1"/>
  <c r="CF241" i="1" s="1"/>
  <c r="CF253" i="1" s="1"/>
  <c r="CF265" i="1" s="1"/>
  <c r="CF277" i="1" s="1"/>
  <c r="CF289" i="1" s="1"/>
  <c r="CF301" i="1" s="1"/>
  <c r="CF313" i="1" s="1"/>
  <c r="CF325" i="1" s="1"/>
  <c r="CF204" i="1"/>
  <c r="CF216" i="1" s="1"/>
  <c r="CF228" i="1" s="1"/>
  <c r="CF240" i="1" s="1"/>
  <c r="CF252" i="1" s="1"/>
  <c r="CF264" i="1" s="1"/>
  <c r="CF276" i="1" s="1"/>
  <c r="CF288" i="1" s="1"/>
  <c r="CF300" i="1" s="1"/>
  <c r="CF312" i="1" s="1"/>
  <c r="CF324" i="1" s="1"/>
  <c r="CF203" i="1"/>
  <c r="CF215" i="1" s="1"/>
  <c r="CF227" i="1" s="1"/>
  <c r="CF239" i="1" s="1"/>
  <c r="CF251" i="1" s="1"/>
  <c r="CF263" i="1" s="1"/>
  <c r="CF275" i="1" s="1"/>
  <c r="CF287" i="1" s="1"/>
  <c r="CF299" i="1" s="1"/>
  <c r="CF311" i="1" s="1"/>
  <c r="CF323" i="1" s="1"/>
  <c r="CF202" i="1"/>
  <c r="CF214" i="1" s="1"/>
  <c r="CF226" i="1" s="1"/>
  <c r="CF238" i="1" s="1"/>
  <c r="CF250" i="1" s="1"/>
  <c r="CF262" i="1" s="1"/>
  <c r="CF274" i="1" s="1"/>
  <c r="CF286" i="1" s="1"/>
  <c r="CF298" i="1" s="1"/>
  <c r="CF310" i="1" s="1"/>
  <c r="CF322" i="1" s="1"/>
  <c r="CF201" i="1"/>
  <c r="CF213" i="1" s="1"/>
  <c r="CF225" i="1" s="1"/>
  <c r="CF237" i="1" s="1"/>
  <c r="CF249" i="1" s="1"/>
  <c r="CF261" i="1" s="1"/>
  <c r="CF273" i="1" s="1"/>
  <c r="CF285" i="1" s="1"/>
  <c r="CF297" i="1" s="1"/>
  <c r="CF309" i="1" s="1"/>
  <c r="CF321" i="1" s="1"/>
  <c r="CF200" i="1"/>
  <c r="CF212" i="1" s="1"/>
  <c r="CF224" i="1" s="1"/>
  <c r="CF236" i="1" s="1"/>
  <c r="CF248" i="1" s="1"/>
  <c r="CF260" i="1" s="1"/>
  <c r="CF272" i="1" s="1"/>
  <c r="CF284" i="1" s="1"/>
  <c r="CF296" i="1" s="1"/>
  <c r="CF308" i="1" s="1"/>
  <c r="CF320" i="1" s="1"/>
  <c r="CF199" i="1"/>
  <c r="CF211" i="1" s="1"/>
  <c r="CF223" i="1" s="1"/>
  <c r="CF235" i="1" s="1"/>
  <c r="CF247" i="1" s="1"/>
  <c r="CF259" i="1" s="1"/>
  <c r="CF271" i="1" s="1"/>
  <c r="CF283" i="1" s="1"/>
  <c r="CF295" i="1" s="1"/>
  <c r="CF307" i="1" s="1"/>
  <c r="CF319" i="1" s="1"/>
  <c r="A34" i="29" l="1"/>
  <c r="Z7" i="43"/>
  <c r="Z6" i="43"/>
  <c r="CJ199" i="1"/>
  <c r="CJ198" i="1"/>
  <c r="CJ197" i="1"/>
  <c r="CJ196" i="1"/>
  <c r="CJ195" i="1"/>
  <c r="CJ194" i="1"/>
  <c r="CJ193" i="1"/>
  <c r="CJ192" i="1"/>
  <c r="CJ191" i="1"/>
  <c r="CJ190" i="1"/>
  <c r="CJ189" i="1"/>
  <c r="CJ188" i="1"/>
  <c r="BB211" i="1"/>
  <c r="BB210" i="1"/>
  <c r="BB209" i="1"/>
  <c r="BB208" i="1"/>
  <c r="BB207" i="1"/>
  <c r="BB206" i="1"/>
  <c r="BB205" i="1"/>
  <c r="BB204" i="1"/>
  <c r="BB203" i="1"/>
  <c r="BB202" i="1"/>
  <c r="BB201" i="1"/>
  <c r="BB200" i="1"/>
  <c r="CG211" i="1"/>
  <c r="CG210" i="1"/>
  <c r="CG209" i="1"/>
  <c r="CG221" i="1" s="1"/>
  <c r="CG233" i="1" s="1"/>
  <c r="CG245" i="1" s="1"/>
  <c r="CG208" i="1"/>
  <c r="CG220" i="1" s="1"/>
  <c r="CG232" i="1" s="1"/>
  <c r="CG244" i="1" s="1"/>
  <c r="CG207" i="1"/>
  <c r="CG219" i="1" s="1"/>
  <c r="CG231" i="1" s="1"/>
  <c r="CG243" i="1" s="1"/>
  <c r="CG206" i="1"/>
  <c r="CG218" i="1" s="1"/>
  <c r="CG230" i="1" s="1"/>
  <c r="CG242" i="1" s="1"/>
  <c r="CG205" i="1"/>
  <c r="CG217" i="1" s="1"/>
  <c r="CG229" i="1" s="1"/>
  <c r="CG241" i="1" s="1"/>
  <c r="CG204" i="1"/>
  <c r="CG216" i="1" s="1"/>
  <c r="CG228" i="1" s="1"/>
  <c r="CG240" i="1" s="1"/>
  <c r="CG203" i="1"/>
  <c r="CG215" i="1" s="1"/>
  <c r="CG227" i="1" s="1"/>
  <c r="CG239" i="1" s="1"/>
  <c r="CG202" i="1"/>
  <c r="CG214" i="1" s="1"/>
  <c r="CG226" i="1" s="1"/>
  <c r="CG238" i="1" s="1"/>
  <c r="CG201" i="1"/>
  <c r="CG213" i="1" s="1"/>
  <c r="CG225" i="1" s="1"/>
  <c r="CG237" i="1" s="1"/>
  <c r="CG200" i="1"/>
  <c r="CG212" i="1" s="1"/>
  <c r="CG224" i="1" s="1"/>
  <c r="CG236" i="1" s="1"/>
  <c r="A35" i="29" l="1"/>
  <c r="BB221" i="1"/>
  <c r="BB216" i="1"/>
  <c r="BB218" i="1"/>
  <c r="BB230" i="1" s="1"/>
  <c r="CJ230" i="1" s="1"/>
  <c r="BB212" i="1"/>
  <c r="CJ212" i="1" s="1"/>
  <c r="BB220" i="1"/>
  <c r="BB232" i="1" s="1"/>
  <c r="CJ232" i="1" s="1"/>
  <c r="CJ200" i="1"/>
  <c r="BB219" i="1"/>
  <c r="BB222" i="1"/>
  <c r="BB234" i="1" s="1"/>
  <c r="CJ234" i="1" s="1"/>
  <c r="BB223" i="1"/>
  <c r="BB235" i="1" s="1"/>
  <c r="CJ235" i="1" s="1"/>
  <c r="BB213" i="1"/>
  <c r="BB225" i="1" s="1"/>
  <c r="CJ225" i="1" s="1"/>
  <c r="BB214" i="1"/>
  <c r="BB226" i="1" s="1"/>
  <c r="CJ226" i="1" s="1"/>
  <c r="BB217" i="1"/>
  <c r="BB229" i="1" s="1"/>
  <c r="CJ229" i="1" s="1"/>
  <c r="BB215" i="1"/>
  <c r="BB227" i="1" s="1"/>
  <c r="CJ227" i="1" s="1"/>
  <c r="CG223" i="1"/>
  <c r="CG222" i="1"/>
  <c r="CJ202" i="1"/>
  <c r="CJ204" i="1"/>
  <c r="CJ205" i="1"/>
  <c r="CJ218" i="1"/>
  <c r="CJ207" i="1"/>
  <c r="CJ208" i="1"/>
  <c r="BB228" i="1"/>
  <c r="CJ228" i="1" s="1"/>
  <c r="BB233" i="1"/>
  <c r="CJ233" i="1" s="1"/>
  <c r="CJ209" i="1"/>
  <c r="CJ221" i="1"/>
  <c r="CJ210" i="1"/>
  <c r="BB224" i="1"/>
  <c r="CJ224" i="1" s="1"/>
  <c r="CJ211" i="1"/>
  <c r="CJ223" i="1"/>
  <c r="CJ206" i="1"/>
  <c r="CJ203" i="1"/>
  <c r="CJ201" i="1"/>
  <c r="BP297" i="1"/>
  <c r="BP261" i="1"/>
  <c r="BP249" i="1"/>
  <c r="BP213" i="1"/>
  <c r="BP225" i="1"/>
  <c r="BP237" i="1" s="1"/>
  <c r="BP204" i="1"/>
  <c r="BP216" i="1" s="1"/>
  <c r="BP228" i="1" s="1"/>
  <c r="BP240" i="1" s="1"/>
  <c r="BP252" i="1" s="1"/>
  <c r="BP264" i="1" s="1"/>
  <c r="BP276" i="1" s="1"/>
  <c r="BP288" i="1" s="1"/>
  <c r="BP300" i="1" s="1"/>
  <c r="BP202" i="1"/>
  <c r="BP201" i="1"/>
  <c r="BP200" i="1"/>
  <c r="BP199" i="1"/>
  <c r="BP211" i="1" s="1"/>
  <c r="BP197" i="1"/>
  <c r="BP209" i="1" s="1"/>
  <c r="A36" i="29" l="1"/>
  <c r="BB240" i="1"/>
  <c r="CJ213" i="1"/>
  <c r="CJ222" i="1"/>
  <c r="BP221" i="1"/>
  <c r="BP233" i="1" s="1"/>
  <c r="BP245" i="1" s="1"/>
  <c r="BP257" i="1" s="1"/>
  <c r="BP269" i="1" s="1"/>
  <c r="BP281" i="1" s="1"/>
  <c r="BP293" i="1" s="1"/>
  <c r="BP305" i="1" s="1"/>
  <c r="BP223" i="1"/>
  <c r="BP235" i="1" s="1"/>
  <c r="BP247" i="1" s="1"/>
  <c r="BP259" i="1" s="1"/>
  <c r="BP271" i="1" s="1"/>
  <c r="BP283" i="1" s="1"/>
  <c r="BP295" i="1" s="1"/>
  <c r="BP307" i="1" s="1"/>
  <c r="CJ219" i="1"/>
  <c r="CJ215" i="1"/>
  <c r="BP214" i="1"/>
  <c r="BP226" i="1" s="1"/>
  <c r="BP238" i="1" s="1"/>
  <c r="BP250" i="1" s="1"/>
  <c r="BP262" i="1" s="1"/>
  <c r="BP274" i="1" s="1"/>
  <c r="BP286" i="1" s="1"/>
  <c r="BP298" i="1" s="1"/>
  <c r="CJ217" i="1"/>
  <c r="BP212" i="1"/>
  <c r="BP224" i="1" s="1"/>
  <c r="BP236" i="1" s="1"/>
  <c r="BP248" i="1" s="1"/>
  <c r="BP260" i="1" s="1"/>
  <c r="BP272" i="1" s="1"/>
  <c r="BP284" i="1" s="1"/>
  <c r="BP296" i="1" s="1"/>
  <c r="CJ220" i="1"/>
  <c r="CJ214" i="1"/>
  <c r="BB231" i="1"/>
  <c r="CJ231" i="1" s="1"/>
  <c r="CJ216" i="1"/>
  <c r="CG234" i="1"/>
  <c r="CG235" i="1"/>
  <c r="BB241" i="1"/>
  <c r="BB253" i="1" s="1"/>
  <c r="BB242" i="1"/>
  <c r="BB254" i="1" s="1"/>
  <c r="BB237" i="1"/>
  <c r="BB247" i="1"/>
  <c r="BB236" i="1"/>
  <c r="BB239" i="1"/>
  <c r="BB252" i="1"/>
  <c r="CJ240" i="1"/>
  <c r="BB246" i="1"/>
  <c r="BB244" i="1"/>
  <c r="BB238" i="1"/>
  <c r="BB245" i="1"/>
  <c r="CJ242" i="1"/>
  <c r="BP273" i="1"/>
  <c r="BP285" i="1" s="1"/>
  <c r="A37" i="29" l="1"/>
  <c r="CJ241" i="1"/>
  <c r="BB243" i="1"/>
  <c r="CG247" i="1"/>
  <c r="CG246" i="1"/>
  <c r="BB258" i="1"/>
  <c r="CJ246" i="1"/>
  <c r="BB256" i="1"/>
  <c r="CJ244" i="1"/>
  <c r="BB264" i="1"/>
  <c r="CJ252" i="1"/>
  <c r="BB251" i="1"/>
  <c r="CJ239" i="1"/>
  <c r="BB248" i="1"/>
  <c r="CJ236" i="1"/>
  <c r="BB266" i="1"/>
  <c r="CJ254" i="1"/>
  <c r="BB265" i="1"/>
  <c r="CJ253" i="1"/>
  <c r="BB257" i="1"/>
  <c r="CJ245" i="1"/>
  <c r="BB259" i="1"/>
  <c r="CJ247" i="1"/>
  <c r="BB250" i="1"/>
  <c r="CJ238" i="1"/>
  <c r="BB249" i="1"/>
  <c r="CJ237" i="1"/>
  <c r="BP195" i="1"/>
  <c r="BP194" i="1"/>
  <c r="BP203" i="1"/>
  <c r="BP198" i="1"/>
  <c r="BP196" i="1"/>
  <c r="BP193" i="1"/>
  <c r="A38" i="29" l="1"/>
  <c r="BP205" i="1"/>
  <c r="BP215" i="1"/>
  <c r="BP208" i="1"/>
  <c r="CJ243" i="1"/>
  <c r="BB255" i="1"/>
  <c r="BP210" i="1"/>
  <c r="BP206" i="1"/>
  <c r="BP207" i="1"/>
  <c r="BB261" i="1"/>
  <c r="CJ249" i="1"/>
  <c r="BB262" i="1"/>
  <c r="CJ250" i="1"/>
  <c r="BB276" i="1"/>
  <c r="CJ264" i="1"/>
  <c r="BB260" i="1"/>
  <c r="CJ248" i="1"/>
  <c r="BB263" i="1"/>
  <c r="CJ251" i="1"/>
  <c r="BB269" i="1"/>
  <c r="CJ257" i="1"/>
  <c r="BB268" i="1"/>
  <c r="CJ256" i="1"/>
  <c r="BB271" i="1"/>
  <c r="CJ259" i="1"/>
  <c r="BB277" i="1"/>
  <c r="CJ265" i="1"/>
  <c r="BB278" i="1"/>
  <c r="CJ266" i="1"/>
  <c r="BB270" i="1"/>
  <c r="CJ258" i="1"/>
  <c r="AH11" i="34"/>
  <c r="AG11" i="34"/>
  <c r="AF11" i="34"/>
  <c r="A39" i="29" l="1"/>
  <c r="BP220" i="1"/>
  <c r="BP227" i="1"/>
  <c r="BP239" i="1" s="1"/>
  <c r="BP251" i="1" s="1"/>
  <c r="BP263" i="1" s="1"/>
  <c r="BP275" i="1" s="1"/>
  <c r="BP287" i="1" s="1"/>
  <c r="BP299" i="1" s="1"/>
  <c r="BP219" i="1"/>
  <c r="BP218" i="1"/>
  <c r="BP217" i="1"/>
  <c r="CJ255" i="1"/>
  <c r="BB267" i="1"/>
  <c r="BP222" i="1"/>
  <c r="BB272" i="1"/>
  <c r="CJ260" i="1"/>
  <c r="BB288" i="1"/>
  <c r="CJ288" i="1" s="1"/>
  <c r="CJ276" i="1"/>
  <c r="BB275" i="1"/>
  <c r="CJ263" i="1"/>
  <c r="BB283" i="1"/>
  <c r="CJ283" i="1" s="1"/>
  <c r="CJ271" i="1"/>
  <c r="BB282" i="1"/>
  <c r="CJ282" i="1" s="1"/>
  <c r="CJ270" i="1"/>
  <c r="BB289" i="1"/>
  <c r="CJ289" i="1" s="1"/>
  <c r="CJ277" i="1"/>
  <c r="BB280" i="1"/>
  <c r="CJ268" i="1"/>
  <c r="BB274" i="1"/>
  <c r="CJ262" i="1"/>
  <c r="BB290" i="1"/>
  <c r="CJ290" i="1" s="1"/>
  <c r="CJ278" i="1"/>
  <c r="BB281" i="1"/>
  <c r="CJ281" i="1" s="1"/>
  <c r="CJ269" i="1"/>
  <c r="BB273" i="1"/>
  <c r="CJ261" i="1"/>
  <c r="A53" i="2"/>
  <c r="A52" i="2"/>
  <c r="A51" i="2"/>
  <c r="A50" i="2"/>
  <c r="A45" i="34" s="1"/>
  <c r="A49" i="2"/>
  <c r="A44" i="34" s="1"/>
  <c r="A48" i="2"/>
  <c r="A43" i="34" s="1"/>
  <c r="A47" i="2"/>
  <c r="A42" i="34" s="1"/>
  <c r="A46" i="2"/>
  <c r="A41" i="34" s="1"/>
  <c r="AA41" i="34" l="1"/>
  <c r="V41" i="34"/>
  <c r="C41" i="34"/>
  <c r="K41" i="34" s="1"/>
  <c r="Q41" i="34"/>
  <c r="T41" i="34"/>
  <c r="S41" i="34" s="1"/>
  <c r="Q44" i="34"/>
  <c r="V44" i="34"/>
  <c r="T44" i="34"/>
  <c r="S44" i="34" s="1"/>
  <c r="AA44" i="34"/>
  <c r="C44" i="34"/>
  <c r="K44" i="34" s="1"/>
  <c r="D39" i="66" s="1"/>
  <c r="Q43" i="34"/>
  <c r="C43" i="34"/>
  <c r="K43" i="34" s="1"/>
  <c r="V43" i="34"/>
  <c r="T43" i="34"/>
  <c r="S43" i="34" s="1"/>
  <c r="AA43" i="34"/>
  <c r="V42" i="34"/>
  <c r="AA42" i="34"/>
  <c r="C42" i="34"/>
  <c r="K42" i="34" s="1"/>
  <c r="Q42" i="34"/>
  <c r="T42" i="34"/>
  <c r="S42" i="34" s="1"/>
  <c r="T45" i="34"/>
  <c r="S45" i="34" s="1"/>
  <c r="Q45" i="34"/>
  <c r="AA45" i="34"/>
  <c r="C45" i="34"/>
  <c r="K45" i="34" s="1"/>
  <c r="D40" i="66" s="1"/>
  <c r="V45" i="34"/>
  <c r="A40" i="29"/>
  <c r="CJ267" i="1"/>
  <c r="BB279" i="1"/>
  <c r="BP229" i="1"/>
  <c r="BP241" i="1" s="1"/>
  <c r="BP253" i="1" s="1"/>
  <c r="BP265" i="1" s="1"/>
  <c r="BP277" i="1" s="1"/>
  <c r="BP289" i="1" s="1"/>
  <c r="BP301" i="1" s="1"/>
  <c r="BP230" i="1"/>
  <c r="BP242" i="1" s="1"/>
  <c r="BP254" i="1" s="1"/>
  <c r="BP266" i="1" s="1"/>
  <c r="BP278" i="1" s="1"/>
  <c r="BP290" i="1" s="1"/>
  <c r="BP302" i="1" s="1"/>
  <c r="BP231" i="1"/>
  <c r="BP243" i="1" s="1"/>
  <c r="BP255" i="1" s="1"/>
  <c r="BP267" i="1" s="1"/>
  <c r="BP279" i="1" s="1"/>
  <c r="BP291" i="1" s="1"/>
  <c r="BP303" i="1" s="1"/>
  <c r="BP234" i="1"/>
  <c r="BP246" i="1" s="1"/>
  <c r="BP258" i="1" s="1"/>
  <c r="BP270" i="1" s="1"/>
  <c r="BP282" i="1" s="1"/>
  <c r="BP294" i="1" s="1"/>
  <c r="BP306" i="1" s="1"/>
  <c r="BP232" i="1"/>
  <c r="BP244" i="1" s="1"/>
  <c r="BP256" i="1" s="1"/>
  <c r="BP268" i="1" s="1"/>
  <c r="BP280" i="1" s="1"/>
  <c r="BP292" i="1" s="1"/>
  <c r="BP304" i="1" s="1"/>
  <c r="BB287" i="1"/>
  <c r="CJ287" i="1" s="1"/>
  <c r="CJ275" i="1"/>
  <c r="BB285" i="1"/>
  <c r="CJ285" i="1" s="1"/>
  <c r="CJ273" i="1"/>
  <c r="BB286" i="1"/>
  <c r="CJ286" i="1" s="1"/>
  <c r="CJ274" i="1"/>
  <c r="BB292" i="1"/>
  <c r="CJ292" i="1" s="1"/>
  <c r="CJ280" i="1"/>
  <c r="BB284" i="1"/>
  <c r="CJ284" i="1" s="1"/>
  <c r="CJ272" i="1"/>
  <c r="B38" i="66"/>
  <c r="B38" i="29"/>
  <c r="F38" i="29" s="1"/>
  <c r="B40" i="66"/>
  <c r="B40" i="29"/>
  <c r="F40" i="29" s="1"/>
  <c r="B36" i="66"/>
  <c r="B36" i="29"/>
  <c r="F36" i="29" s="1"/>
  <c r="B37" i="29"/>
  <c r="F37" i="29" s="1"/>
  <c r="B37" i="66"/>
  <c r="B39" i="29"/>
  <c r="F39" i="29" s="1"/>
  <c r="B39" i="66"/>
  <c r="D39" i="29" l="1"/>
  <c r="D37" i="66"/>
  <c r="D37" i="29"/>
  <c r="D36" i="66"/>
  <c r="D36" i="29"/>
  <c r="D38" i="66"/>
  <c r="D38" i="29"/>
  <c r="D40" i="29"/>
  <c r="BB291" i="1"/>
  <c r="CJ291" i="1" s="1"/>
  <c r="CJ279" i="1"/>
  <c r="AC10" i="59" l="1"/>
  <c r="V11" i="59" l="1"/>
  <c r="U11" i="59"/>
  <c r="T10" i="59"/>
  <c r="S11" i="59"/>
  <c r="BB11" i="59" l="1"/>
  <c r="BB12" i="59" s="1"/>
  <c r="BB13" i="59" s="1"/>
  <c r="BB14" i="59" s="1"/>
  <c r="BB15" i="59" s="1"/>
  <c r="BB16" i="59" s="1"/>
  <c r="BB17" i="59" s="1"/>
  <c r="BB18" i="59" s="1"/>
  <c r="BB19" i="59" s="1"/>
  <c r="BB20" i="59" s="1"/>
  <c r="BB21" i="59" s="1"/>
  <c r="BB22" i="59" s="1"/>
  <c r="BB23" i="59" s="1"/>
  <c r="BB24" i="59" s="1"/>
  <c r="BB25" i="59" s="1"/>
  <c r="BB26" i="59" s="1"/>
  <c r="BB27" i="59" s="1"/>
  <c r="BB28" i="59" s="1"/>
  <c r="BB29" i="59" s="1"/>
  <c r="BB30" i="59" s="1"/>
  <c r="AO11" i="59"/>
  <c r="AP11" i="59"/>
  <c r="AQ11" i="59"/>
  <c r="AP10" i="59"/>
  <c r="AQ10" i="59"/>
  <c r="AO10" i="59"/>
  <c r="AO7" i="59"/>
  <c r="AQ7" i="59"/>
  <c r="AP7" i="59"/>
  <c r="Y13" i="59"/>
  <c r="Y14" i="59" s="1"/>
  <c r="Y15" i="59" s="1"/>
  <c r="Y16" i="59" s="1"/>
  <c r="Y17" i="59" s="1"/>
  <c r="Y18" i="59" s="1"/>
  <c r="Y19" i="59" s="1"/>
  <c r="Y20" i="59" s="1"/>
  <c r="Y21" i="59" s="1"/>
  <c r="Y22" i="59" s="1"/>
  <c r="Y23" i="59" s="1"/>
  <c r="Y24" i="59" s="1"/>
  <c r="Y25" i="59" s="1"/>
  <c r="Y26" i="59" s="1"/>
  <c r="Y27" i="59" s="1"/>
  <c r="Y28" i="59" s="1"/>
  <c r="Y29" i="59" s="1"/>
  <c r="Y30" i="59" s="1"/>
  <c r="Q10" i="59" l="1"/>
  <c r="AE10" i="59"/>
  <c r="AD11" i="59"/>
  <c r="AC11" i="59" s="1"/>
  <c r="AA11" i="59"/>
  <c r="AA12" i="59" s="1"/>
  <c r="AA13" i="59" s="1"/>
  <c r="AA14" i="59" s="1"/>
  <c r="AA15" i="59" s="1"/>
  <c r="AA16" i="59" s="1"/>
  <c r="AA17" i="59" s="1"/>
  <c r="AA18" i="59" s="1"/>
  <c r="AA19" i="59" s="1"/>
  <c r="AA20" i="59" s="1"/>
  <c r="AA21" i="59" s="1"/>
  <c r="AA22" i="59" s="1"/>
  <c r="AA23" i="59" s="1"/>
  <c r="AA24" i="59" s="1"/>
  <c r="AA25" i="59" s="1"/>
  <c r="AA26" i="59" s="1"/>
  <c r="AA27" i="59" s="1"/>
  <c r="AA28" i="59" s="1"/>
  <c r="AA29" i="59" s="1"/>
  <c r="AA30" i="59" s="1"/>
  <c r="R11" i="59"/>
  <c r="Q11" i="59" s="1"/>
  <c r="AB10" i="59"/>
  <c r="AD12" i="59" l="1"/>
  <c r="Z13" i="59"/>
  <c r="AN15" i="59"/>
  <c r="AM15" i="59"/>
  <c r="AN14" i="59"/>
  <c r="AM14" i="59"/>
  <c r="AN13" i="59"/>
  <c r="AM13" i="59"/>
  <c r="AN12" i="59"/>
  <c r="AM12" i="59"/>
  <c r="AL13" i="59"/>
  <c r="AL14" i="59"/>
  <c r="AL15" i="59"/>
  <c r="AL12" i="59"/>
  <c r="Z14" i="59" l="1"/>
  <c r="Z15" i="59" s="1"/>
  <c r="Z16" i="59" s="1"/>
  <c r="Z17" i="59" s="1"/>
  <c r="Z18" i="59" s="1"/>
  <c r="Z19" i="59" s="1"/>
  <c r="Z20" i="59" s="1"/>
  <c r="Z21" i="59" s="1"/>
  <c r="Z22" i="59" s="1"/>
  <c r="Z23" i="59" s="1"/>
  <c r="Z24" i="59" s="1"/>
  <c r="Z25" i="59" s="1"/>
  <c r="Z26" i="59" s="1"/>
  <c r="Z27" i="59" s="1"/>
  <c r="Z28" i="59" s="1"/>
  <c r="Z29" i="59" s="1"/>
  <c r="Z30" i="59" s="1"/>
  <c r="AD13" i="59"/>
  <c r="AC12" i="59"/>
  <c r="BA30" i="59"/>
  <c r="BA29" i="59"/>
  <c r="BA28" i="59"/>
  <c r="BA27" i="59"/>
  <c r="AD14" i="59" l="1"/>
  <c r="AC13" i="59"/>
  <c r="G5" i="59"/>
  <c r="AD15" i="59" l="1"/>
  <c r="AC14" i="59"/>
  <c r="AD16" i="59" l="1"/>
  <c r="AC15" i="59"/>
  <c r="H11" i="34"/>
  <c r="G11" i="34"/>
  <c r="F11" i="34"/>
  <c r="W7" i="2"/>
  <c r="H5" i="66" s="1"/>
  <c r="AF5" i="66" s="1"/>
  <c r="V7" i="2"/>
  <c r="G5" i="66" s="1"/>
  <c r="AE5" i="66" s="1"/>
  <c r="U7" i="2"/>
  <c r="F5" i="66" s="1"/>
  <c r="AD5" i="66" s="1"/>
  <c r="F5" i="43" l="1"/>
  <c r="EB7" i="2"/>
  <c r="DU7" i="2"/>
  <c r="DO7" i="2"/>
  <c r="H5" i="50"/>
  <c r="DP7" i="2"/>
  <c r="DV7" i="2"/>
  <c r="DZ7" i="2"/>
  <c r="I5" i="50"/>
  <c r="DW7" i="2"/>
  <c r="EA7" i="2"/>
  <c r="DQ7" i="2"/>
  <c r="AD17" i="59"/>
  <c r="AC16" i="59"/>
  <c r="G5" i="43"/>
  <c r="G5" i="27"/>
  <c r="F5" i="27"/>
  <c r="H5" i="27"/>
  <c r="H5" i="43"/>
  <c r="G5" i="50"/>
  <c r="AD18" i="59" l="1"/>
  <c r="AC17" i="59"/>
  <c r="AD19" i="59" l="1"/>
  <c r="AC18" i="59"/>
  <c r="AD20" i="59" l="1"/>
  <c r="AC19" i="59"/>
  <c r="BV380" i="1"/>
  <c r="BW380" i="1"/>
  <c r="BX380" i="1"/>
  <c r="BV381" i="1"/>
  <c r="BW381" i="1"/>
  <c r="BX381" i="1"/>
  <c r="BV382" i="1"/>
  <c r="BW382" i="1"/>
  <c r="BX382" i="1"/>
  <c r="BV383" i="1"/>
  <c r="BW383" i="1"/>
  <c r="BX383" i="1"/>
  <c r="BV384" i="1"/>
  <c r="BW384" i="1"/>
  <c r="BX384" i="1"/>
  <c r="BV385" i="1"/>
  <c r="BW385" i="1"/>
  <c r="BX385" i="1"/>
  <c r="BV386" i="1"/>
  <c r="BW386" i="1"/>
  <c r="BX386" i="1"/>
  <c r="BV387" i="1"/>
  <c r="BW387" i="1"/>
  <c r="BX387" i="1"/>
  <c r="BV388" i="1"/>
  <c r="BW388" i="1"/>
  <c r="BX388" i="1"/>
  <c r="BV389" i="1"/>
  <c r="BW389" i="1"/>
  <c r="BX389" i="1"/>
  <c r="BV390" i="1"/>
  <c r="BW390" i="1"/>
  <c r="BX390" i="1"/>
  <c r="BV391" i="1"/>
  <c r="BW391" i="1"/>
  <c r="BX391" i="1"/>
  <c r="BV392" i="1"/>
  <c r="BW392" i="1"/>
  <c r="EM392" i="1" s="1"/>
  <c r="BX392" i="1"/>
  <c r="BV393" i="1"/>
  <c r="BW393" i="1"/>
  <c r="BX393" i="1"/>
  <c r="BV394" i="1"/>
  <c r="BW394" i="1"/>
  <c r="BX394" i="1"/>
  <c r="BV395" i="1"/>
  <c r="BW395" i="1"/>
  <c r="BX395" i="1"/>
  <c r="BV396" i="1"/>
  <c r="BW396" i="1"/>
  <c r="BX396" i="1"/>
  <c r="BV397" i="1"/>
  <c r="BW397" i="1"/>
  <c r="BX397" i="1"/>
  <c r="BV398" i="1"/>
  <c r="BW398" i="1"/>
  <c r="BX398" i="1"/>
  <c r="BV399" i="1"/>
  <c r="BW399" i="1"/>
  <c r="BX399" i="1"/>
  <c r="BV400" i="1"/>
  <c r="BW400" i="1"/>
  <c r="EM400" i="1" s="1"/>
  <c r="BX400" i="1"/>
  <c r="BV401" i="1"/>
  <c r="BW401" i="1"/>
  <c r="BX401" i="1"/>
  <c r="BV402" i="1"/>
  <c r="BW402" i="1"/>
  <c r="BX402" i="1"/>
  <c r="BV403" i="1"/>
  <c r="BW403" i="1"/>
  <c r="BX403" i="1"/>
  <c r="BV404" i="1"/>
  <c r="BW404" i="1"/>
  <c r="BX404" i="1"/>
  <c r="BV405" i="1"/>
  <c r="BW405" i="1"/>
  <c r="BX405" i="1"/>
  <c r="BV406" i="1"/>
  <c r="BW406" i="1"/>
  <c r="BX406" i="1"/>
  <c r="BV407" i="1"/>
  <c r="BW407" i="1"/>
  <c r="BX407" i="1"/>
  <c r="BV408" i="1"/>
  <c r="BW408" i="1"/>
  <c r="EM408" i="1" s="1"/>
  <c r="BX408" i="1"/>
  <c r="BV409" i="1"/>
  <c r="BW409" i="1"/>
  <c r="BX409" i="1"/>
  <c r="BV410" i="1"/>
  <c r="BW410" i="1"/>
  <c r="BX410" i="1"/>
  <c r="BV411" i="1"/>
  <c r="BW411" i="1"/>
  <c r="BX411" i="1"/>
  <c r="BV412" i="1"/>
  <c r="BW412" i="1"/>
  <c r="BX412" i="1"/>
  <c r="BV413" i="1"/>
  <c r="BW413" i="1"/>
  <c r="BX413" i="1"/>
  <c r="BV414" i="1"/>
  <c r="BW414" i="1"/>
  <c r="BX414" i="1"/>
  <c r="BV415" i="1"/>
  <c r="BW415" i="1"/>
  <c r="BX415" i="1"/>
  <c r="BV416" i="1"/>
  <c r="BW416" i="1"/>
  <c r="EM416" i="1" s="1"/>
  <c r="BX416" i="1"/>
  <c r="BV417" i="1"/>
  <c r="BW417" i="1"/>
  <c r="BX417" i="1"/>
  <c r="BV418" i="1"/>
  <c r="BW418" i="1"/>
  <c r="BX418" i="1"/>
  <c r="BV419" i="1"/>
  <c r="BW419" i="1"/>
  <c r="BX419" i="1"/>
  <c r="BV420" i="1"/>
  <c r="BW420" i="1"/>
  <c r="BX420" i="1"/>
  <c r="BV421" i="1"/>
  <c r="BW421" i="1"/>
  <c r="BX421" i="1"/>
  <c r="BV422" i="1"/>
  <c r="BW422" i="1"/>
  <c r="BX422" i="1"/>
  <c r="BV423" i="1"/>
  <c r="BW423" i="1"/>
  <c r="BX423" i="1"/>
  <c r="BV424" i="1"/>
  <c r="BW424" i="1"/>
  <c r="EM424" i="1" s="1"/>
  <c r="BX424" i="1"/>
  <c r="BV425" i="1"/>
  <c r="BW425" i="1"/>
  <c r="BX425" i="1"/>
  <c r="BV426" i="1"/>
  <c r="BW426" i="1"/>
  <c r="BX426" i="1"/>
  <c r="BV427" i="1"/>
  <c r="BW427" i="1"/>
  <c r="BX427" i="1"/>
  <c r="BV428" i="1"/>
  <c r="BW428" i="1"/>
  <c r="BX428" i="1"/>
  <c r="BV429" i="1"/>
  <c r="BW429" i="1"/>
  <c r="BX429" i="1"/>
  <c r="BV430" i="1"/>
  <c r="BW430" i="1"/>
  <c r="BX430" i="1"/>
  <c r="BV431" i="1"/>
  <c r="BW431" i="1"/>
  <c r="BX431" i="1"/>
  <c r="BV432" i="1"/>
  <c r="BW432" i="1"/>
  <c r="EM432" i="1" s="1"/>
  <c r="EL432" i="1" s="1"/>
  <c r="BX432" i="1"/>
  <c r="BV433" i="1"/>
  <c r="BW433" i="1"/>
  <c r="BX433" i="1"/>
  <c r="BV434" i="1"/>
  <c r="BW434" i="1"/>
  <c r="BX434" i="1"/>
  <c r="BV435" i="1"/>
  <c r="BW435" i="1"/>
  <c r="BX435" i="1"/>
  <c r="BV436" i="1"/>
  <c r="BW436" i="1"/>
  <c r="BX436" i="1"/>
  <c r="BV437" i="1"/>
  <c r="BW437" i="1"/>
  <c r="BX437" i="1"/>
  <c r="BV438" i="1"/>
  <c r="BW438" i="1"/>
  <c r="BX438" i="1"/>
  <c r="BV439" i="1"/>
  <c r="BW439" i="1"/>
  <c r="BX439" i="1"/>
  <c r="BV440" i="1"/>
  <c r="BW440" i="1"/>
  <c r="EM440" i="1" s="1"/>
  <c r="EL440" i="1" s="1"/>
  <c r="BX440" i="1"/>
  <c r="BV441" i="1"/>
  <c r="BW441" i="1"/>
  <c r="BX441" i="1"/>
  <c r="BV442" i="1"/>
  <c r="BW442" i="1"/>
  <c r="BX442" i="1"/>
  <c r="BV443" i="1"/>
  <c r="BW443" i="1"/>
  <c r="BX443" i="1"/>
  <c r="BV444" i="1"/>
  <c r="BW444" i="1"/>
  <c r="BX444" i="1"/>
  <c r="BV445" i="1"/>
  <c r="BW445" i="1"/>
  <c r="BX445" i="1"/>
  <c r="BV446" i="1"/>
  <c r="BW446" i="1"/>
  <c r="BX446" i="1"/>
  <c r="BV447" i="1"/>
  <c r="BW447" i="1"/>
  <c r="BX447" i="1"/>
  <c r="BV448" i="1"/>
  <c r="BW448" i="1"/>
  <c r="EM448" i="1" s="1"/>
  <c r="EL448" i="1" s="1"/>
  <c r="BX448" i="1"/>
  <c r="BV449" i="1"/>
  <c r="BW449" i="1"/>
  <c r="BX449" i="1"/>
  <c r="BV450" i="1"/>
  <c r="BW450" i="1"/>
  <c r="BX450" i="1"/>
  <c r="BV451" i="1"/>
  <c r="BW451" i="1"/>
  <c r="BX451" i="1"/>
  <c r="BV452" i="1"/>
  <c r="BW452" i="1"/>
  <c r="BX452" i="1"/>
  <c r="BV453" i="1"/>
  <c r="BW453" i="1"/>
  <c r="BX453" i="1"/>
  <c r="BV454" i="1"/>
  <c r="BW454" i="1"/>
  <c r="BX454" i="1"/>
  <c r="BV455" i="1"/>
  <c r="BW455" i="1"/>
  <c r="BX455" i="1"/>
  <c r="BV456" i="1"/>
  <c r="BW456" i="1"/>
  <c r="EM456" i="1" s="1"/>
  <c r="EL456" i="1" s="1"/>
  <c r="BX456" i="1"/>
  <c r="BV457" i="1"/>
  <c r="BW457" i="1"/>
  <c r="BX457" i="1"/>
  <c r="BV458" i="1"/>
  <c r="BW458" i="1"/>
  <c r="BX458" i="1"/>
  <c r="BV459" i="1"/>
  <c r="BW459" i="1"/>
  <c r="BX459" i="1"/>
  <c r="BV460" i="1"/>
  <c r="BW460" i="1"/>
  <c r="BX460" i="1"/>
  <c r="BV461" i="1"/>
  <c r="BW461" i="1"/>
  <c r="BX461" i="1"/>
  <c r="BV462" i="1"/>
  <c r="BW462" i="1"/>
  <c r="BX462" i="1"/>
  <c r="BV463" i="1"/>
  <c r="BW463" i="1"/>
  <c r="BX463" i="1"/>
  <c r="BV464" i="1"/>
  <c r="BW464" i="1"/>
  <c r="EM464" i="1" s="1"/>
  <c r="BX464" i="1"/>
  <c r="BV465" i="1"/>
  <c r="BW465" i="1"/>
  <c r="BX465" i="1"/>
  <c r="BV466" i="1"/>
  <c r="BW466" i="1"/>
  <c r="BX466" i="1"/>
  <c r="BV467" i="1"/>
  <c r="BW467" i="1"/>
  <c r="BX467" i="1"/>
  <c r="BV468" i="1"/>
  <c r="BW468" i="1"/>
  <c r="BX468" i="1"/>
  <c r="BV469" i="1"/>
  <c r="BW469" i="1"/>
  <c r="BX469" i="1"/>
  <c r="BV470" i="1"/>
  <c r="BW470" i="1"/>
  <c r="BX470" i="1"/>
  <c r="BV471" i="1"/>
  <c r="BW471" i="1"/>
  <c r="BX471" i="1"/>
  <c r="BV472" i="1"/>
  <c r="BW472" i="1"/>
  <c r="EM472" i="1" s="1"/>
  <c r="BX472" i="1"/>
  <c r="BV473" i="1"/>
  <c r="BW473" i="1"/>
  <c r="BX473" i="1"/>
  <c r="BV474" i="1"/>
  <c r="BW474" i="1"/>
  <c r="BX474" i="1"/>
  <c r="BV475" i="1"/>
  <c r="BW475" i="1"/>
  <c r="BX475" i="1"/>
  <c r="BV476" i="1"/>
  <c r="BW476" i="1"/>
  <c r="BX476" i="1"/>
  <c r="BV477" i="1"/>
  <c r="BW477" i="1"/>
  <c r="BX477" i="1"/>
  <c r="BV478" i="1"/>
  <c r="BW478" i="1"/>
  <c r="BX478" i="1"/>
  <c r="BV479" i="1"/>
  <c r="BW479" i="1"/>
  <c r="BX479" i="1"/>
  <c r="BV480" i="1"/>
  <c r="BW480" i="1"/>
  <c r="EM480" i="1" s="1"/>
  <c r="BX480" i="1"/>
  <c r="BV481" i="1"/>
  <c r="BW481" i="1"/>
  <c r="EM481" i="1" s="1"/>
  <c r="BX481" i="1"/>
  <c r="BV482" i="1"/>
  <c r="BW482" i="1"/>
  <c r="BX482" i="1"/>
  <c r="BV483" i="1"/>
  <c r="BW483" i="1"/>
  <c r="BX483" i="1"/>
  <c r="BV484" i="1"/>
  <c r="BW484" i="1"/>
  <c r="BX484" i="1"/>
  <c r="BV485" i="1"/>
  <c r="BW485" i="1"/>
  <c r="BX485" i="1"/>
  <c r="BV486" i="1"/>
  <c r="BW486" i="1"/>
  <c r="BX486" i="1"/>
  <c r="BV487" i="1"/>
  <c r="BW487" i="1"/>
  <c r="BX487" i="1"/>
  <c r="BV488" i="1"/>
  <c r="BW488" i="1"/>
  <c r="EM488" i="1" s="1"/>
  <c r="BX488" i="1"/>
  <c r="BV489" i="1"/>
  <c r="BW489" i="1"/>
  <c r="EM489" i="1" s="1"/>
  <c r="BX489" i="1"/>
  <c r="BV490" i="1"/>
  <c r="BW490" i="1"/>
  <c r="BX490" i="1"/>
  <c r="BV491" i="1"/>
  <c r="BW491" i="1"/>
  <c r="BX491" i="1"/>
  <c r="BV492" i="1"/>
  <c r="BW492" i="1"/>
  <c r="BX492" i="1"/>
  <c r="BV493" i="1"/>
  <c r="BW493" i="1"/>
  <c r="BX493" i="1"/>
  <c r="BV494" i="1"/>
  <c r="BW494" i="1"/>
  <c r="BX494" i="1"/>
  <c r="BV495" i="1"/>
  <c r="BW495" i="1"/>
  <c r="BX495" i="1"/>
  <c r="BV496" i="1"/>
  <c r="BW496" i="1"/>
  <c r="EM496" i="1" s="1"/>
  <c r="BX496" i="1"/>
  <c r="BV497" i="1"/>
  <c r="BW497" i="1"/>
  <c r="EM497" i="1" s="1"/>
  <c r="BX497" i="1"/>
  <c r="BV498" i="1"/>
  <c r="BW498" i="1"/>
  <c r="BX498" i="1"/>
  <c r="BV499" i="1"/>
  <c r="BW499" i="1"/>
  <c r="BX499" i="1"/>
  <c r="BV500" i="1"/>
  <c r="BW500" i="1"/>
  <c r="BX500" i="1"/>
  <c r="BV501" i="1"/>
  <c r="BW501" i="1"/>
  <c r="BX501" i="1"/>
  <c r="BV502" i="1"/>
  <c r="BW502" i="1"/>
  <c r="BX502" i="1"/>
  <c r="BV503" i="1"/>
  <c r="BW503" i="1"/>
  <c r="BX503" i="1"/>
  <c r="BV504" i="1"/>
  <c r="BW504" i="1"/>
  <c r="EM504" i="1" s="1"/>
  <c r="BX504" i="1"/>
  <c r="BV505" i="1"/>
  <c r="BW505" i="1"/>
  <c r="BX505" i="1"/>
  <c r="BV506" i="1"/>
  <c r="BW506" i="1"/>
  <c r="BX506" i="1"/>
  <c r="BV507" i="1"/>
  <c r="BW507" i="1"/>
  <c r="BX507" i="1"/>
  <c r="BV508" i="1"/>
  <c r="BW508" i="1"/>
  <c r="BX508" i="1"/>
  <c r="BV509" i="1"/>
  <c r="BW509" i="1"/>
  <c r="BX509" i="1"/>
  <c r="BV510" i="1"/>
  <c r="BW510" i="1"/>
  <c r="BX510" i="1"/>
  <c r="BV511" i="1"/>
  <c r="BW511" i="1"/>
  <c r="BX511" i="1"/>
  <c r="BV512" i="1"/>
  <c r="BW512" i="1"/>
  <c r="EM512" i="1" s="1"/>
  <c r="BX512" i="1"/>
  <c r="BV513" i="1"/>
  <c r="BW513" i="1"/>
  <c r="BX513" i="1"/>
  <c r="BV514" i="1"/>
  <c r="BW514" i="1"/>
  <c r="BX514" i="1"/>
  <c r="BV515" i="1"/>
  <c r="BW515" i="1"/>
  <c r="BX515" i="1"/>
  <c r="BV516" i="1"/>
  <c r="BW516" i="1"/>
  <c r="BX516" i="1"/>
  <c r="BV517" i="1"/>
  <c r="BW517" i="1"/>
  <c r="BX517" i="1"/>
  <c r="BV518" i="1"/>
  <c r="BW518" i="1"/>
  <c r="BX518" i="1"/>
  <c r="BV519" i="1"/>
  <c r="BW519" i="1"/>
  <c r="BX519" i="1"/>
  <c r="BV520" i="1"/>
  <c r="BW520" i="1"/>
  <c r="EM520" i="1" s="1"/>
  <c r="BX520" i="1"/>
  <c r="BV521" i="1"/>
  <c r="BW521" i="1"/>
  <c r="BX521" i="1"/>
  <c r="BV522" i="1"/>
  <c r="BW522" i="1"/>
  <c r="BX522" i="1"/>
  <c r="BV523" i="1"/>
  <c r="BW523" i="1"/>
  <c r="BX523" i="1"/>
  <c r="BV524" i="1"/>
  <c r="BW524" i="1"/>
  <c r="BX524" i="1"/>
  <c r="BV525" i="1"/>
  <c r="BW525" i="1"/>
  <c r="BX525" i="1"/>
  <c r="BV526" i="1"/>
  <c r="BW526" i="1"/>
  <c r="BX526" i="1"/>
  <c r="BV527" i="1"/>
  <c r="BW527" i="1"/>
  <c r="BX527" i="1"/>
  <c r="BV528" i="1"/>
  <c r="BW528" i="1"/>
  <c r="EM528" i="1" s="1"/>
  <c r="BX528" i="1"/>
  <c r="BV529" i="1"/>
  <c r="BW529" i="1"/>
  <c r="BX529" i="1"/>
  <c r="BV530" i="1"/>
  <c r="BW530" i="1"/>
  <c r="BX530" i="1"/>
  <c r="BV531" i="1"/>
  <c r="BW531" i="1"/>
  <c r="BX531" i="1"/>
  <c r="BV532" i="1"/>
  <c r="BW532" i="1"/>
  <c r="BX532" i="1"/>
  <c r="BV533" i="1"/>
  <c r="BW533" i="1"/>
  <c r="BX533" i="1"/>
  <c r="BV534" i="1"/>
  <c r="BW534" i="1"/>
  <c r="BX534" i="1"/>
  <c r="BV535" i="1"/>
  <c r="BW535" i="1"/>
  <c r="BX535" i="1"/>
  <c r="BV536" i="1"/>
  <c r="BW536" i="1"/>
  <c r="EM536" i="1" s="1"/>
  <c r="BX536" i="1"/>
  <c r="BV537" i="1"/>
  <c r="BW537" i="1"/>
  <c r="BX537" i="1"/>
  <c r="BV538" i="1"/>
  <c r="BW538" i="1"/>
  <c r="BX538" i="1"/>
  <c r="BV539" i="1"/>
  <c r="BW539" i="1"/>
  <c r="BX539" i="1"/>
  <c r="BV540" i="1"/>
  <c r="BW540" i="1"/>
  <c r="BX540" i="1"/>
  <c r="BV541" i="1"/>
  <c r="BW541" i="1"/>
  <c r="BX541" i="1"/>
  <c r="BV542" i="1"/>
  <c r="BW542" i="1"/>
  <c r="BX542" i="1"/>
  <c r="BV543" i="1"/>
  <c r="BW543" i="1"/>
  <c r="BX543" i="1"/>
  <c r="BV544" i="1"/>
  <c r="BW544" i="1"/>
  <c r="EM544" i="1" s="1"/>
  <c r="BX544" i="1"/>
  <c r="BV545" i="1"/>
  <c r="BW545" i="1"/>
  <c r="BX545" i="1"/>
  <c r="BV546" i="1"/>
  <c r="BW546" i="1"/>
  <c r="BX546" i="1"/>
  <c r="BV547" i="1"/>
  <c r="BW547" i="1"/>
  <c r="BX547" i="1"/>
  <c r="BV548" i="1"/>
  <c r="BW548" i="1"/>
  <c r="BX548" i="1"/>
  <c r="BV549" i="1"/>
  <c r="BW549" i="1"/>
  <c r="BX549" i="1"/>
  <c r="BV550" i="1"/>
  <c r="BW550" i="1"/>
  <c r="BX550" i="1"/>
  <c r="BV551" i="1"/>
  <c r="BW551" i="1"/>
  <c r="BX551" i="1"/>
  <c r="BV552" i="1"/>
  <c r="BW552" i="1"/>
  <c r="EM552" i="1" s="1"/>
  <c r="BX552" i="1"/>
  <c r="BV553" i="1"/>
  <c r="BW553" i="1"/>
  <c r="BX553" i="1"/>
  <c r="BV554" i="1"/>
  <c r="BW554" i="1"/>
  <c r="BX554" i="1"/>
  <c r="BV555" i="1"/>
  <c r="BW555" i="1"/>
  <c r="BX555" i="1"/>
  <c r="BV556" i="1"/>
  <c r="BW556" i="1"/>
  <c r="BX556" i="1"/>
  <c r="BV557" i="1"/>
  <c r="BW557" i="1"/>
  <c r="BX557" i="1"/>
  <c r="BV558" i="1"/>
  <c r="BW558" i="1"/>
  <c r="BX558" i="1"/>
  <c r="BV559" i="1"/>
  <c r="BW559" i="1"/>
  <c r="BX559" i="1"/>
  <c r="BV560" i="1"/>
  <c r="BW560" i="1"/>
  <c r="EM560" i="1" s="1"/>
  <c r="BX560" i="1"/>
  <c r="BV561" i="1"/>
  <c r="BW561" i="1"/>
  <c r="BX561" i="1"/>
  <c r="BV562" i="1"/>
  <c r="BW562" i="1"/>
  <c r="BX562" i="1"/>
  <c r="BV563" i="1"/>
  <c r="BW563" i="1"/>
  <c r="BX563" i="1"/>
  <c r="BV564" i="1"/>
  <c r="BW564" i="1"/>
  <c r="BX564" i="1"/>
  <c r="BV565" i="1"/>
  <c r="BW565" i="1"/>
  <c r="BX565" i="1"/>
  <c r="BV566" i="1"/>
  <c r="BW566" i="1"/>
  <c r="BX566" i="1"/>
  <c r="BV567" i="1"/>
  <c r="BW567" i="1"/>
  <c r="BX567" i="1"/>
  <c r="BV568" i="1"/>
  <c r="BW568" i="1"/>
  <c r="EM568" i="1" s="1"/>
  <c r="BX568" i="1"/>
  <c r="BV569" i="1"/>
  <c r="BW569" i="1"/>
  <c r="BX569" i="1"/>
  <c r="BV570" i="1"/>
  <c r="BW570" i="1"/>
  <c r="BX570" i="1"/>
  <c r="BV571" i="1"/>
  <c r="BW571" i="1"/>
  <c r="BX571" i="1"/>
  <c r="BV572" i="1"/>
  <c r="BW572" i="1"/>
  <c r="BX572" i="1"/>
  <c r="BV573" i="1"/>
  <c r="BW573" i="1"/>
  <c r="BX573" i="1"/>
  <c r="BV574" i="1"/>
  <c r="BW574" i="1"/>
  <c r="BX574" i="1"/>
  <c r="BV575" i="1"/>
  <c r="BW575" i="1"/>
  <c r="BX575" i="1"/>
  <c r="BV576" i="1"/>
  <c r="BW576" i="1"/>
  <c r="EM576" i="1" s="1"/>
  <c r="BX576" i="1"/>
  <c r="BV577" i="1"/>
  <c r="BW577" i="1"/>
  <c r="BX577" i="1"/>
  <c r="BV578" i="1"/>
  <c r="BW578" i="1"/>
  <c r="BX578" i="1"/>
  <c r="BV579" i="1"/>
  <c r="BW579" i="1"/>
  <c r="BX579" i="1"/>
  <c r="BV580" i="1"/>
  <c r="BW580" i="1"/>
  <c r="BX580" i="1"/>
  <c r="BV581" i="1"/>
  <c r="BW581" i="1"/>
  <c r="BX581" i="1"/>
  <c r="BV582" i="1"/>
  <c r="BW582" i="1"/>
  <c r="BX582" i="1"/>
  <c r="BV583" i="1"/>
  <c r="BW583" i="1"/>
  <c r="BX583" i="1"/>
  <c r="BV584" i="1"/>
  <c r="BW584" i="1"/>
  <c r="EM584" i="1" s="1"/>
  <c r="BX584" i="1"/>
  <c r="BV585" i="1"/>
  <c r="BW585" i="1"/>
  <c r="BX585" i="1"/>
  <c r="BV586" i="1"/>
  <c r="BW586" i="1"/>
  <c r="BX586" i="1"/>
  <c r="BV587" i="1"/>
  <c r="BW587" i="1"/>
  <c r="BX587" i="1"/>
  <c r="BV588" i="1"/>
  <c r="BW588" i="1"/>
  <c r="BX588" i="1"/>
  <c r="BV589" i="1"/>
  <c r="BW589" i="1"/>
  <c r="BX589" i="1"/>
  <c r="BV590" i="1"/>
  <c r="BW590" i="1"/>
  <c r="BX590" i="1"/>
  <c r="BV591" i="1"/>
  <c r="BW591" i="1"/>
  <c r="BX591" i="1"/>
  <c r="BV592" i="1"/>
  <c r="BW592" i="1"/>
  <c r="EM592" i="1" s="1"/>
  <c r="BX592" i="1"/>
  <c r="BV593" i="1"/>
  <c r="BW593" i="1"/>
  <c r="BX593" i="1"/>
  <c r="BV594" i="1"/>
  <c r="BW594" i="1"/>
  <c r="BX594" i="1"/>
  <c r="BV595" i="1"/>
  <c r="BW595" i="1"/>
  <c r="BX595" i="1"/>
  <c r="EM589" i="1" l="1"/>
  <c r="EM581" i="1"/>
  <c r="EM573" i="1"/>
  <c r="EM565" i="1"/>
  <c r="EM557" i="1"/>
  <c r="EL557" i="1" s="1"/>
  <c r="EM549" i="1"/>
  <c r="EM541" i="1"/>
  <c r="EM533" i="1"/>
  <c r="EM525" i="1"/>
  <c r="EM517" i="1"/>
  <c r="EL517" i="1" s="1"/>
  <c r="EM509" i="1"/>
  <c r="EM501" i="1"/>
  <c r="EM493" i="1"/>
  <c r="EM485" i="1"/>
  <c r="EL485" i="1" s="1"/>
  <c r="EM477" i="1"/>
  <c r="EM469" i="1"/>
  <c r="EM461" i="1"/>
  <c r="EL461" i="1" s="1"/>
  <c r="EM453" i="1"/>
  <c r="EL453" i="1" s="1"/>
  <c r="EM445" i="1"/>
  <c r="EL445" i="1" s="1"/>
  <c r="EM437" i="1"/>
  <c r="EL437" i="1" s="1"/>
  <c r="EM583" i="1"/>
  <c r="EM567" i="1"/>
  <c r="EL567" i="1" s="1"/>
  <c r="EM551" i="1"/>
  <c r="EM535" i="1"/>
  <c r="EL535" i="1" s="1"/>
  <c r="EM519" i="1"/>
  <c r="EM503" i="1"/>
  <c r="EM479" i="1"/>
  <c r="EM463" i="1"/>
  <c r="EL463" i="1" s="1"/>
  <c r="EM447" i="1"/>
  <c r="EL447" i="1" s="1"/>
  <c r="EM500" i="1"/>
  <c r="EM492" i="1"/>
  <c r="EM484" i="1"/>
  <c r="EM476" i="1"/>
  <c r="EM468" i="1"/>
  <c r="EM460" i="1"/>
  <c r="EL460" i="1" s="1"/>
  <c r="EM452" i="1"/>
  <c r="EL452" i="1" s="1"/>
  <c r="EM444" i="1"/>
  <c r="EL444" i="1" s="1"/>
  <c r="EM436" i="1"/>
  <c r="EL436" i="1" s="1"/>
  <c r="EM428" i="1"/>
  <c r="EL428" i="1" s="1"/>
  <c r="EM420" i="1"/>
  <c r="EM412" i="1"/>
  <c r="EM404" i="1"/>
  <c r="EM396" i="1"/>
  <c r="EM591" i="1"/>
  <c r="EM575" i="1"/>
  <c r="EL575" i="1" s="1"/>
  <c r="EM559" i="1"/>
  <c r="EM543" i="1"/>
  <c r="EM527" i="1"/>
  <c r="EM511" i="1"/>
  <c r="EM495" i="1"/>
  <c r="EM487" i="1"/>
  <c r="EM471" i="1"/>
  <c r="EM455" i="1"/>
  <c r="EL455" i="1" s="1"/>
  <c r="EM439" i="1"/>
  <c r="EL439" i="1" s="1"/>
  <c r="EM431" i="1"/>
  <c r="EL431" i="1" s="1"/>
  <c r="EM423" i="1"/>
  <c r="EM415" i="1"/>
  <c r="EM407" i="1"/>
  <c r="EL407" i="1" s="1"/>
  <c r="EM399" i="1"/>
  <c r="EM391" i="1"/>
  <c r="EM588" i="1"/>
  <c r="EM580" i="1"/>
  <c r="EL580" i="1" s="1"/>
  <c r="EM572" i="1"/>
  <c r="EM564" i="1"/>
  <c r="EL564" i="1" s="1"/>
  <c r="EM556" i="1"/>
  <c r="EM548" i="1"/>
  <c r="EM540" i="1"/>
  <c r="EM532" i="1"/>
  <c r="EM524" i="1"/>
  <c r="EL524" i="1" s="1"/>
  <c r="EM516" i="1"/>
  <c r="EL516" i="1" s="1"/>
  <c r="EM508" i="1"/>
  <c r="EM593" i="1"/>
  <c r="EM585" i="1"/>
  <c r="EM577" i="1"/>
  <c r="EL577" i="1" s="1"/>
  <c r="EM569" i="1"/>
  <c r="EM561" i="1"/>
  <c r="EM553" i="1"/>
  <c r="EM545" i="1"/>
  <c r="EL545" i="1" s="1"/>
  <c r="EM537" i="1"/>
  <c r="EM529" i="1"/>
  <c r="EL529" i="1" s="1"/>
  <c r="EM521" i="1"/>
  <c r="EM513" i="1"/>
  <c r="EL513" i="1" s="1"/>
  <c r="EM505" i="1"/>
  <c r="EM473" i="1"/>
  <c r="EM465" i="1"/>
  <c r="EL465" i="1" s="1"/>
  <c r="EM457" i="1"/>
  <c r="EL457" i="1" s="1"/>
  <c r="EM449" i="1"/>
  <c r="EL449" i="1" s="1"/>
  <c r="EM441" i="1"/>
  <c r="EL441" i="1" s="1"/>
  <c r="EM433" i="1"/>
  <c r="EL433" i="1" s="1"/>
  <c r="EM595" i="1"/>
  <c r="EM587" i="1"/>
  <c r="EM579" i="1"/>
  <c r="EM571" i="1"/>
  <c r="EL571" i="1" s="1"/>
  <c r="EM563" i="1"/>
  <c r="EL563" i="1" s="1"/>
  <c r="EM555" i="1"/>
  <c r="EM547" i="1"/>
  <c r="EL547" i="1" s="1"/>
  <c r="EM539" i="1"/>
  <c r="EM531" i="1"/>
  <c r="EM523" i="1"/>
  <c r="EM515" i="1"/>
  <c r="EM507" i="1"/>
  <c r="EL507" i="1" s="1"/>
  <c r="EM499" i="1"/>
  <c r="EL499" i="1" s="1"/>
  <c r="EM491" i="1"/>
  <c r="EM483" i="1"/>
  <c r="EL483" i="1" s="1"/>
  <c r="EM475" i="1"/>
  <c r="EM467" i="1"/>
  <c r="EM459" i="1"/>
  <c r="EL459" i="1" s="1"/>
  <c r="EM451" i="1"/>
  <c r="EL451" i="1" s="1"/>
  <c r="EM443" i="1"/>
  <c r="EL443" i="1" s="1"/>
  <c r="EM435" i="1"/>
  <c r="EL435" i="1" s="1"/>
  <c r="EM427" i="1"/>
  <c r="EM419" i="1"/>
  <c r="EM411" i="1"/>
  <c r="EM403" i="1"/>
  <c r="EL403" i="1" s="1"/>
  <c r="EM395" i="1"/>
  <c r="EM429" i="1"/>
  <c r="EL429" i="1" s="1"/>
  <c r="EM387" i="1"/>
  <c r="EL387" i="1" s="1"/>
  <c r="EM388" i="1"/>
  <c r="EL388" i="1" s="1"/>
  <c r="EM383" i="1"/>
  <c r="EM578" i="1"/>
  <c r="EL578" i="1" s="1"/>
  <c r="EM554" i="1"/>
  <c r="EM542" i="1"/>
  <c r="EM530" i="1"/>
  <c r="EM514" i="1"/>
  <c r="EM506" i="1"/>
  <c r="EM494" i="1"/>
  <c r="EL494" i="1" s="1"/>
  <c r="EM486" i="1"/>
  <c r="EL486" i="1" s="1"/>
  <c r="EM478" i="1"/>
  <c r="EL478" i="1" s="1"/>
  <c r="EM466" i="1"/>
  <c r="EL466" i="1" s="1"/>
  <c r="EM458" i="1"/>
  <c r="EL458" i="1" s="1"/>
  <c r="EM450" i="1"/>
  <c r="EL450" i="1" s="1"/>
  <c r="EM438" i="1"/>
  <c r="EL438" i="1" s="1"/>
  <c r="EM430" i="1"/>
  <c r="EL430" i="1" s="1"/>
  <c r="EM418" i="1"/>
  <c r="EL418" i="1" s="1"/>
  <c r="EM410" i="1"/>
  <c r="EM398" i="1"/>
  <c r="EL398" i="1" s="1"/>
  <c r="EM390" i="1"/>
  <c r="EL390" i="1" s="1"/>
  <c r="EM590" i="1"/>
  <c r="EL590" i="1" s="1"/>
  <c r="EM570" i="1"/>
  <c r="EL570" i="1" s="1"/>
  <c r="EM558" i="1"/>
  <c r="EL558" i="1" s="1"/>
  <c r="EM550" i="1"/>
  <c r="EL550" i="1" s="1"/>
  <c r="EM534" i="1"/>
  <c r="EL534" i="1" s="1"/>
  <c r="EM526" i="1"/>
  <c r="EL526" i="1" s="1"/>
  <c r="EM518" i="1"/>
  <c r="EL518" i="1" s="1"/>
  <c r="EM510" i="1"/>
  <c r="EM502" i="1"/>
  <c r="EL502" i="1" s="1"/>
  <c r="EM498" i="1"/>
  <c r="EM490" i="1"/>
  <c r="EL490" i="1" s="1"/>
  <c r="EM482" i="1"/>
  <c r="EL482" i="1" s="1"/>
  <c r="EM474" i="1"/>
  <c r="EL474" i="1" s="1"/>
  <c r="EM470" i="1"/>
  <c r="EL470" i="1" s="1"/>
  <c r="EM462" i="1"/>
  <c r="EL462" i="1" s="1"/>
  <c r="EM454" i="1"/>
  <c r="EL454" i="1" s="1"/>
  <c r="EM446" i="1"/>
  <c r="EL446" i="1" s="1"/>
  <c r="EM442" i="1"/>
  <c r="EL442" i="1" s="1"/>
  <c r="EM434" i="1"/>
  <c r="EL434" i="1" s="1"/>
  <c r="EM426" i="1"/>
  <c r="EL426" i="1" s="1"/>
  <c r="EM422" i="1"/>
  <c r="EL422" i="1" s="1"/>
  <c r="EM414" i="1"/>
  <c r="EL414" i="1" s="1"/>
  <c r="EM406" i="1"/>
  <c r="EL406" i="1" s="1"/>
  <c r="EM402" i="1"/>
  <c r="EL402" i="1" s="1"/>
  <c r="EM394" i="1"/>
  <c r="EL394" i="1" s="1"/>
  <c r="EM386" i="1"/>
  <c r="EL386" i="1" s="1"/>
  <c r="EM586" i="1"/>
  <c r="EL586" i="1" s="1"/>
  <c r="EM546" i="1"/>
  <c r="EL546" i="1" s="1"/>
  <c r="EM562" i="1"/>
  <c r="EL562" i="1" s="1"/>
  <c r="EM522" i="1"/>
  <c r="EL522" i="1" s="1"/>
  <c r="EM574" i="1"/>
  <c r="EM538" i="1"/>
  <c r="EL538" i="1" s="1"/>
  <c r="EM566" i="1"/>
  <c r="EL566" i="1" s="1"/>
  <c r="EM384" i="1"/>
  <c r="EL384" i="1" s="1"/>
  <c r="EM380" i="1"/>
  <c r="EL380" i="1" s="1"/>
  <c r="EM594" i="1"/>
  <c r="EL594" i="1" s="1"/>
  <c r="EM582" i="1"/>
  <c r="EL582" i="1" s="1"/>
  <c r="EL554" i="1"/>
  <c r="EL506" i="1"/>
  <c r="EL514" i="1"/>
  <c r="EL510" i="1"/>
  <c r="EL589" i="1"/>
  <c r="EL565" i="1"/>
  <c r="EL553" i="1"/>
  <c r="EL541" i="1"/>
  <c r="EL501" i="1"/>
  <c r="EL489" i="1"/>
  <c r="EL477" i="1"/>
  <c r="EL574" i="1"/>
  <c r="EL530" i="1"/>
  <c r="EL569" i="1"/>
  <c r="EL533" i="1"/>
  <c r="EL521" i="1"/>
  <c r="EL509" i="1"/>
  <c r="EL497" i="1"/>
  <c r="EL473" i="1"/>
  <c r="EL573" i="1"/>
  <c r="EL561" i="1"/>
  <c r="EL549" i="1"/>
  <c r="EL537" i="1"/>
  <c r="EL525" i="1"/>
  <c r="EL505" i="1"/>
  <c r="EL493" i="1"/>
  <c r="EL481" i="1"/>
  <c r="EL469" i="1"/>
  <c r="EL584" i="1"/>
  <c r="EL544" i="1"/>
  <c r="EL532" i="1"/>
  <c r="EL504" i="1"/>
  <c r="EL492" i="1"/>
  <c r="EL480" i="1"/>
  <c r="EL468" i="1"/>
  <c r="EL464" i="1"/>
  <c r="EL592" i="1"/>
  <c r="EL568" i="1"/>
  <c r="EL548" i="1"/>
  <c r="EL536" i="1"/>
  <c r="EL512" i="1"/>
  <c r="EL500" i="1"/>
  <c r="EL488" i="1"/>
  <c r="EL476" i="1"/>
  <c r="EL498" i="1"/>
  <c r="EL585" i="1"/>
  <c r="EL576" i="1"/>
  <c r="EL556" i="1"/>
  <c r="EL540" i="1"/>
  <c r="EL528" i="1"/>
  <c r="EL520" i="1"/>
  <c r="EL508" i="1"/>
  <c r="EL496" i="1"/>
  <c r="EL484" i="1"/>
  <c r="EL472" i="1"/>
  <c r="EL542" i="1"/>
  <c r="EL593" i="1"/>
  <c r="EL581" i="1"/>
  <c r="EL588" i="1"/>
  <c r="EL572" i="1"/>
  <c r="EL560" i="1"/>
  <c r="EL552" i="1"/>
  <c r="EL595" i="1"/>
  <c r="EL591" i="1"/>
  <c r="EL587" i="1"/>
  <c r="EL583" i="1"/>
  <c r="EL579" i="1"/>
  <c r="EL559" i="1"/>
  <c r="EL555" i="1"/>
  <c r="EL551" i="1"/>
  <c r="EL543" i="1"/>
  <c r="EL539" i="1"/>
  <c r="EL531" i="1"/>
  <c r="EL527" i="1"/>
  <c r="EL523" i="1"/>
  <c r="EL519" i="1"/>
  <c r="EL515" i="1"/>
  <c r="EL511" i="1"/>
  <c r="EL503" i="1"/>
  <c r="EL495" i="1"/>
  <c r="EL491" i="1"/>
  <c r="EL487" i="1"/>
  <c r="EL479" i="1"/>
  <c r="EL475" i="1"/>
  <c r="EL471" i="1"/>
  <c r="EL467" i="1"/>
  <c r="EM421" i="1"/>
  <c r="EM413" i="1"/>
  <c r="EM409" i="1"/>
  <c r="EM405" i="1"/>
  <c r="EM393" i="1"/>
  <c r="EM389" i="1"/>
  <c r="EM385" i="1"/>
  <c r="EM381" i="1"/>
  <c r="EM417" i="1"/>
  <c r="EM401" i="1"/>
  <c r="EM425" i="1"/>
  <c r="EM397" i="1"/>
  <c r="EL424" i="1"/>
  <c r="EL412" i="1"/>
  <c r="EL408" i="1"/>
  <c r="EL404" i="1"/>
  <c r="EL392" i="1"/>
  <c r="EL420" i="1"/>
  <c r="EL396" i="1"/>
  <c r="EL416" i="1"/>
  <c r="EL400" i="1"/>
  <c r="BJ39" i="2"/>
  <c r="EL423" i="1"/>
  <c r="EL411" i="1"/>
  <c r="EL399" i="1"/>
  <c r="EL391" i="1"/>
  <c r="EL383" i="1"/>
  <c r="BJ40" i="2"/>
  <c r="EL427" i="1"/>
  <c r="EL419" i="1"/>
  <c r="BJ41" i="2"/>
  <c r="EL415" i="1"/>
  <c r="EL395" i="1"/>
  <c r="BJ42" i="2"/>
  <c r="EL410" i="1"/>
  <c r="EM382" i="1"/>
  <c r="AD21" i="59"/>
  <c r="AC20" i="59"/>
  <c r="P32" i="50"/>
  <c r="P31" i="50"/>
  <c r="P30" i="50"/>
  <c r="P29" i="50"/>
  <c r="EL397" i="1" l="1"/>
  <c r="EL425" i="1"/>
  <c r="EL401" i="1"/>
  <c r="EL382" i="1"/>
  <c r="EL417" i="1"/>
  <c r="EL381" i="1"/>
  <c r="EL385" i="1"/>
  <c r="EL389" i="1"/>
  <c r="EL393" i="1"/>
  <c r="EL405" i="1"/>
  <c r="EL409" i="1"/>
  <c r="EL413" i="1"/>
  <c r="EL421" i="1"/>
  <c r="AD22" i="59"/>
  <c r="AC21" i="59"/>
  <c r="DM595" i="1"/>
  <c r="DM594" i="1"/>
  <c r="DM593" i="1"/>
  <c r="DM592" i="1"/>
  <c r="DM591" i="1"/>
  <c r="DM590" i="1"/>
  <c r="DM589" i="1"/>
  <c r="DM588" i="1"/>
  <c r="DM587" i="1"/>
  <c r="DM586" i="1"/>
  <c r="DM585" i="1"/>
  <c r="DM584" i="1"/>
  <c r="DM583" i="1"/>
  <c r="DM582" i="1"/>
  <c r="DM581" i="1"/>
  <c r="DM580" i="1"/>
  <c r="DM579" i="1"/>
  <c r="DM578" i="1"/>
  <c r="DM577" i="1"/>
  <c r="DM576" i="1"/>
  <c r="DM575" i="1"/>
  <c r="DM574" i="1"/>
  <c r="DM573" i="1"/>
  <c r="DM572" i="1"/>
  <c r="DM571" i="1"/>
  <c r="DM570" i="1"/>
  <c r="DM569" i="1"/>
  <c r="DM568" i="1"/>
  <c r="DM567" i="1"/>
  <c r="DM566" i="1"/>
  <c r="DM565" i="1"/>
  <c r="DM564" i="1"/>
  <c r="DM563" i="1"/>
  <c r="DM562" i="1"/>
  <c r="DM561" i="1"/>
  <c r="DM560" i="1"/>
  <c r="DM559" i="1"/>
  <c r="DM558" i="1"/>
  <c r="DM557" i="1"/>
  <c r="DM556" i="1"/>
  <c r="DM555" i="1"/>
  <c r="DM554" i="1"/>
  <c r="DM553" i="1"/>
  <c r="DM552" i="1"/>
  <c r="DM551" i="1"/>
  <c r="DM550" i="1"/>
  <c r="DM549" i="1"/>
  <c r="DM548" i="1"/>
  <c r="DM547" i="1"/>
  <c r="DM546" i="1"/>
  <c r="DM545" i="1"/>
  <c r="DM544" i="1"/>
  <c r="DM543" i="1"/>
  <c r="DM542" i="1"/>
  <c r="DM541" i="1"/>
  <c r="DM540" i="1"/>
  <c r="DM539" i="1"/>
  <c r="DM538" i="1"/>
  <c r="DM537" i="1"/>
  <c r="DM536" i="1"/>
  <c r="DM535" i="1"/>
  <c r="DM534" i="1"/>
  <c r="DM533" i="1"/>
  <c r="DM532" i="1"/>
  <c r="DM531" i="1"/>
  <c r="DM530" i="1"/>
  <c r="DM529" i="1"/>
  <c r="DM528" i="1"/>
  <c r="DM527" i="1"/>
  <c r="DM526" i="1"/>
  <c r="DM525" i="1"/>
  <c r="DM524" i="1"/>
  <c r="DM523" i="1"/>
  <c r="DM522" i="1"/>
  <c r="DM521" i="1"/>
  <c r="DM520" i="1"/>
  <c r="DM519" i="1"/>
  <c r="DM518" i="1"/>
  <c r="DM517" i="1"/>
  <c r="DM516" i="1"/>
  <c r="DM515" i="1"/>
  <c r="DM514" i="1"/>
  <c r="DM513" i="1"/>
  <c r="DM512" i="1"/>
  <c r="DM511" i="1"/>
  <c r="DM510" i="1"/>
  <c r="DM509" i="1"/>
  <c r="DM508" i="1"/>
  <c r="DM507" i="1"/>
  <c r="DM506" i="1"/>
  <c r="DM505" i="1"/>
  <c r="DM504" i="1"/>
  <c r="DM503" i="1"/>
  <c r="DM502" i="1"/>
  <c r="DM501" i="1"/>
  <c r="DM500" i="1"/>
  <c r="DM499" i="1"/>
  <c r="DM498" i="1"/>
  <c r="DM497" i="1"/>
  <c r="DM496" i="1"/>
  <c r="DM495" i="1"/>
  <c r="DM494" i="1"/>
  <c r="DM493" i="1"/>
  <c r="DM492" i="1"/>
  <c r="DM491" i="1"/>
  <c r="DM490" i="1"/>
  <c r="DM489" i="1"/>
  <c r="DM488" i="1"/>
  <c r="DM487" i="1"/>
  <c r="DM486" i="1"/>
  <c r="DM485" i="1"/>
  <c r="DM484" i="1"/>
  <c r="DM483" i="1"/>
  <c r="DM482" i="1"/>
  <c r="DM481" i="1"/>
  <c r="DM480" i="1"/>
  <c r="DM479" i="1"/>
  <c r="DM478" i="1"/>
  <c r="DM477" i="1"/>
  <c r="DM476" i="1"/>
  <c r="DM475" i="1"/>
  <c r="DM474" i="1"/>
  <c r="DM473" i="1"/>
  <c r="DM472" i="1"/>
  <c r="DM471" i="1"/>
  <c r="DM470" i="1"/>
  <c r="DM469" i="1"/>
  <c r="DM468" i="1"/>
  <c r="DM467" i="1"/>
  <c r="DM466" i="1"/>
  <c r="DM465" i="1"/>
  <c r="DM464" i="1"/>
  <c r="DM463" i="1"/>
  <c r="DM462" i="1"/>
  <c r="DM461" i="1"/>
  <c r="DM460" i="1"/>
  <c r="DM459" i="1"/>
  <c r="DM458" i="1"/>
  <c r="DM457" i="1"/>
  <c r="DM456" i="1"/>
  <c r="DM455" i="1"/>
  <c r="DM454" i="1"/>
  <c r="DM453" i="1"/>
  <c r="DM452" i="1"/>
  <c r="DM451" i="1"/>
  <c r="DM450" i="1"/>
  <c r="DM449" i="1"/>
  <c r="DM448" i="1"/>
  <c r="DM447" i="1"/>
  <c r="DM446" i="1"/>
  <c r="DM445" i="1"/>
  <c r="DM444" i="1"/>
  <c r="DM443" i="1"/>
  <c r="DM442" i="1"/>
  <c r="DM441" i="1"/>
  <c r="DM440" i="1"/>
  <c r="DM439" i="1"/>
  <c r="DM438" i="1"/>
  <c r="DM437" i="1"/>
  <c r="DM436" i="1"/>
  <c r="DM435" i="1"/>
  <c r="DM434" i="1"/>
  <c r="DM433" i="1"/>
  <c r="DM432" i="1"/>
  <c r="DM431" i="1"/>
  <c r="DM430" i="1"/>
  <c r="DM429" i="1"/>
  <c r="DM428" i="1"/>
  <c r="DM427" i="1"/>
  <c r="DM426" i="1"/>
  <c r="DM425" i="1"/>
  <c r="DM424" i="1"/>
  <c r="DM423" i="1"/>
  <c r="DM422" i="1"/>
  <c r="DM421" i="1"/>
  <c r="DM420" i="1"/>
  <c r="DM419" i="1"/>
  <c r="DM418" i="1"/>
  <c r="DM417" i="1"/>
  <c r="DM416" i="1"/>
  <c r="DM415" i="1"/>
  <c r="DM414" i="1"/>
  <c r="DM413" i="1"/>
  <c r="DM412" i="1"/>
  <c r="DM411" i="1"/>
  <c r="DM410" i="1"/>
  <c r="DM409" i="1"/>
  <c r="DM408" i="1"/>
  <c r="DM407" i="1"/>
  <c r="DM406" i="1"/>
  <c r="DM405" i="1"/>
  <c r="DM404" i="1"/>
  <c r="DM403" i="1"/>
  <c r="DM402" i="1"/>
  <c r="DM401" i="1"/>
  <c r="DM400" i="1"/>
  <c r="DM399" i="1"/>
  <c r="DM398" i="1"/>
  <c r="DM397" i="1"/>
  <c r="DM396" i="1"/>
  <c r="DM395" i="1"/>
  <c r="DM394" i="1"/>
  <c r="DM393" i="1"/>
  <c r="DM392" i="1"/>
  <c r="DM391" i="1"/>
  <c r="DM390" i="1"/>
  <c r="DM389" i="1"/>
  <c r="DM388" i="1"/>
  <c r="CK388" i="1"/>
  <c r="DN388" i="1" s="1"/>
  <c r="DM387" i="1"/>
  <c r="CK387" i="1"/>
  <c r="DM386" i="1"/>
  <c r="DM385" i="1"/>
  <c r="DM384" i="1"/>
  <c r="DM383" i="1"/>
  <c r="DM382" i="1"/>
  <c r="DM381" i="1"/>
  <c r="DM380" i="1"/>
  <c r="CK386" i="1"/>
  <c r="CK382" i="1"/>
  <c r="CK381" i="1"/>
  <c r="Q380" i="1"/>
  <c r="W380" i="1"/>
  <c r="Q381" i="1"/>
  <c r="W381" i="1"/>
  <c r="Q382" i="1"/>
  <c r="W382" i="1"/>
  <c r="Q383" i="1"/>
  <c r="W383" i="1"/>
  <c r="Q384" i="1"/>
  <c r="W384" i="1"/>
  <c r="Q385" i="1"/>
  <c r="W385" i="1"/>
  <c r="Q386" i="1"/>
  <c r="W386" i="1"/>
  <c r="Q387" i="1"/>
  <c r="W387" i="1"/>
  <c r="Q388" i="1"/>
  <c r="W388" i="1"/>
  <c r="Q389" i="1"/>
  <c r="W389" i="1"/>
  <c r="Q390" i="1"/>
  <c r="W390" i="1"/>
  <c r="Q391" i="1"/>
  <c r="W391" i="1"/>
  <c r="Q392" i="1"/>
  <c r="W392" i="1"/>
  <c r="Q393" i="1"/>
  <c r="W393" i="1"/>
  <c r="Q394" i="1"/>
  <c r="W394" i="1"/>
  <c r="Q395" i="1"/>
  <c r="W395" i="1"/>
  <c r="Q396" i="1"/>
  <c r="W396" i="1"/>
  <c r="Q397" i="1"/>
  <c r="W397" i="1"/>
  <c r="Q398" i="1"/>
  <c r="W398" i="1"/>
  <c r="Q399" i="1"/>
  <c r="W399" i="1"/>
  <c r="Q400" i="1"/>
  <c r="W400" i="1"/>
  <c r="Q401" i="1"/>
  <c r="W401" i="1"/>
  <c r="Q402" i="1"/>
  <c r="W402" i="1"/>
  <c r="Q403" i="1"/>
  <c r="W403" i="1"/>
  <c r="Q404" i="1"/>
  <c r="W404" i="1"/>
  <c r="Q405" i="1"/>
  <c r="W405" i="1"/>
  <c r="Q406" i="1"/>
  <c r="W406" i="1"/>
  <c r="Q407" i="1"/>
  <c r="W407" i="1"/>
  <c r="Q408" i="1"/>
  <c r="W408" i="1"/>
  <c r="Q409" i="1"/>
  <c r="W409" i="1"/>
  <c r="Q410" i="1"/>
  <c r="W410" i="1"/>
  <c r="Q411" i="1"/>
  <c r="W411" i="1"/>
  <c r="Q412" i="1"/>
  <c r="W412" i="1"/>
  <c r="Q413" i="1"/>
  <c r="W413" i="1"/>
  <c r="Q414" i="1"/>
  <c r="W414" i="1"/>
  <c r="Q415" i="1"/>
  <c r="W415" i="1"/>
  <c r="Q416" i="1"/>
  <c r="W416" i="1"/>
  <c r="Q417" i="1"/>
  <c r="W417" i="1"/>
  <c r="Q418" i="1"/>
  <c r="W418" i="1"/>
  <c r="Q419" i="1"/>
  <c r="W419" i="1"/>
  <c r="Q420" i="1"/>
  <c r="W420" i="1"/>
  <c r="Q421" i="1"/>
  <c r="W421" i="1"/>
  <c r="Q422" i="1"/>
  <c r="W422" i="1"/>
  <c r="Q423" i="1"/>
  <c r="W423" i="1"/>
  <c r="Q424" i="1"/>
  <c r="W424" i="1"/>
  <c r="Q425" i="1"/>
  <c r="W425" i="1"/>
  <c r="Q426" i="1"/>
  <c r="W426" i="1"/>
  <c r="Q427" i="1"/>
  <c r="W427" i="1"/>
  <c r="Q428" i="1"/>
  <c r="W428" i="1"/>
  <c r="Q429" i="1"/>
  <c r="W429" i="1"/>
  <c r="Q430" i="1"/>
  <c r="W430" i="1"/>
  <c r="Q431" i="1"/>
  <c r="W431" i="1"/>
  <c r="Q432" i="1"/>
  <c r="W432" i="1"/>
  <c r="Q433" i="1"/>
  <c r="W433" i="1"/>
  <c r="Q434" i="1"/>
  <c r="W434" i="1"/>
  <c r="Q435" i="1"/>
  <c r="W435" i="1"/>
  <c r="Q436" i="1"/>
  <c r="W436" i="1"/>
  <c r="Q437" i="1"/>
  <c r="W437" i="1"/>
  <c r="Q438" i="1"/>
  <c r="W438" i="1"/>
  <c r="Q439" i="1"/>
  <c r="W439" i="1"/>
  <c r="Q440" i="1"/>
  <c r="W440" i="1"/>
  <c r="Q441" i="1"/>
  <c r="W441" i="1"/>
  <c r="Q442" i="1"/>
  <c r="W442" i="1"/>
  <c r="Q443" i="1"/>
  <c r="W443" i="1"/>
  <c r="Q444" i="1"/>
  <c r="W444" i="1"/>
  <c r="Q445" i="1"/>
  <c r="W445" i="1"/>
  <c r="Q446" i="1"/>
  <c r="W446" i="1"/>
  <c r="Q447" i="1"/>
  <c r="W447" i="1"/>
  <c r="Q448" i="1"/>
  <c r="W448" i="1"/>
  <c r="Q449" i="1"/>
  <c r="W449" i="1"/>
  <c r="Q450" i="1"/>
  <c r="W450" i="1"/>
  <c r="Q451" i="1"/>
  <c r="W451" i="1"/>
  <c r="Q452" i="1"/>
  <c r="W452" i="1"/>
  <c r="Q453" i="1"/>
  <c r="W453" i="1"/>
  <c r="Q454" i="1"/>
  <c r="W454" i="1"/>
  <c r="Q455" i="1"/>
  <c r="W455" i="1"/>
  <c r="Q456" i="1"/>
  <c r="W456" i="1"/>
  <c r="Q457" i="1"/>
  <c r="W457" i="1"/>
  <c r="Q458" i="1"/>
  <c r="W458" i="1"/>
  <c r="Q459" i="1"/>
  <c r="W459" i="1"/>
  <c r="Q460" i="1"/>
  <c r="W460" i="1"/>
  <c r="Q461" i="1"/>
  <c r="W461" i="1"/>
  <c r="Q462" i="1"/>
  <c r="W462" i="1"/>
  <c r="Q463" i="1"/>
  <c r="W463" i="1"/>
  <c r="Q464" i="1"/>
  <c r="W464" i="1"/>
  <c r="Q465" i="1"/>
  <c r="W465" i="1"/>
  <c r="Q466" i="1"/>
  <c r="W466" i="1"/>
  <c r="Q467" i="1"/>
  <c r="W467" i="1"/>
  <c r="Q468" i="1"/>
  <c r="W468" i="1"/>
  <c r="Q469" i="1"/>
  <c r="W469" i="1"/>
  <c r="Q470" i="1"/>
  <c r="W470" i="1"/>
  <c r="Q471" i="1"/>
  <c r="W471" i="1"/>
  <c r="Q472" i="1"/>
  <c r="W472" i="1"/>
  <c r="Q473" i="1"/>
  <c r="W473" i="1"/>
  <c r="Q474" i="1"/>
  <c r="W474" i="1"/>
  <c r="Q475" i="1"/>
  <c r="W475" i="1"/>
  <c r="Q476" i="1"/>
  <c r="W476" i="1"/>
  <c r="Q477" i="1"/>
  <c r="W477" i="1"/>
  <c r="Q478" i="1"/>
  <c r="W478" i="1"/>
  <c r="Q479" i="1"/>
  <c r="W479" i="1"/>
  <c r="Q480" i="1"/>
  <c r="W480" i="1"/>
  <c r="Q481" i="1"/>
  <c r="W481" i="1"/>
  <c r="Q482" i="1"/>
  <c r="W482" i="1"/>
  <c r="Q483" i="1"/>
  <c r="W483" i="1"/>
  <c r="Q484" i="1"/>
  <c r="W484" i="1"/>
  <c r="Q485" i="1"/>
  <c r="W485" i="1"/>
  <c r="Q486" i="1"/>
  <c r="W486" i="1"/>
  <c r="Q487" i="1"/>
  <c r="W487" i="1"/>
  <c r="Q488" i="1"/>
  <c r="W488" i="1"/>
  <c r="Q489" i="1"/>
  <c r="W489" i="1"/>
  <c r="Q490" i="1"/>
  <c r="W490" i="1"/>
  <c r="Q491" i="1"/>
  <c r="W491" i="1"/>
  <c r="Q492" i="1"/>
  <c r="W492" i="1"/>
  <c r="Q493" i="1"/>
  <c r="W493" i="1"/>
  <c r="Q494" i="1"/>
  <c r="W494" i="1"/>
  <c r="Q495" i="1"/>
  <c r="W495" i="1"/>
  <c r="X495" i="1"/>
  <c r="Q496" i="1"/>
  <c r="W496" i="1"/>
  <c r="Q497" i="1"/>
  <c r="W497" i="1"/>
  <c r="Q498" i="1"/>
  <c r="W498" i="1"/>
  <c r="Q499" i="1"/>
  <c r="W499" i="1"/>
  <c r="Q500" i="1"/>
  <c r="W500" i="1"/>
  <c r="Q501" i="1"/>
  <c r="W501" i="1"/>
  <c r="Q502" i="1"/>
  <c r="W502" i="1"/>
  <c r="Q503" i="1"/>
  <c r="W503" i="1"/>
  <c r="Q504" i="1"/>
  <c r="W504" i="1"/>
  <c r="Q505" i="1"/>
  <c r="W505" i="1"/>
  <c r="Q506" i="1"/>
  <c r="W506" i="1"/>
  <c r="Q507" i="1"/>
  <c r="W507" i="1"/>
  <c r="Q508" i="1"/>
  <c r="W508" i="1"/>
  <c r="Q509" i="1"/>
  <c r="W509" i="1"/>
  <c r="Q510" i="1"/>
  <c r="W510" i="1"/>
  <c r="Q511" i="1"/>
  <c r="W511" i="1"/>
  <c r="Q512" i="1"/>
  <c r="W512" i="1"/>
  <c r="Q513" i="1"/>
  <c r="W513" i="1"/>
  <c r="Q514" i="1"/>
  <c r="W514" i="1"/>
  <c r="Q515" i="1"/>
  <c r="W515" i="1"/>
  <c r="Q516" i="1"/>
  <c r="W516" i="1"/>
  <c r="Q517" i="1"/>
  <c r="W517" i="1"/>
  <c r="Q518" i="1"/>
  <c r="W518" i="1"/>
  <c r="Q519" i="1"/>
  <c r="W519" i="1"/>
  <c r="Q520" i="1"/>
  <c r="W520" i="1"/>
  <c r="Q521" i="1"/>
  <c r="W521" i="1"/>
  <c r="Q522" i="1"/>
  <c r="W522" i="1"/>
  <c r="Q523" i="1"/>
  <c r="W523" i="1"/>
  <c r="Q524" i="1"/>
  <c r="W524" i="1"/>
  <c r="Q525" i="1"/>
  <c r="W525" i="1"/>
  <c r="Q526" i="1"/>
  <c r="W526" i="1"/>
  <c r="Q527" i="1"/>
  <c r="W527" i="1"/>
  <c r="Q528" i="1"/>
  <c r="W528" i="1"/>
  <c r="Q529" i="1"/>
  <c r="W529" i="1"/>
  <c r="Q530" i="1"/>
  <c r="W530" i="1"/>
  <c r="Q531" i="1"/>
  <c r="W531" i="1"/>
  <c r="Q532" i="1"/>
  <c r="W532" i="1"/>
  <c r="Q533" i="1"/>
  <c r="W533" i="1"/>
  <c r="Q534" i="1"/>
  <c r="W534" i="1"/>
  <c r="Q535" i="1"/>
  <c r="W535" i="1"/>
  <c r="Q536" i="1"/>
  <c r="W536" i="1"/>
  <c r="Q537" i="1"/>
  <c r="W537" i="1"/>
  <c r="Q538" i="1"/>
  <c r="W538" i="1"/>
  <c r="Q539" i="1"/>
  <c r="W539" i="1"/>
  <c r="Q540" i="1"/>
  <c r="W540" i="1"/>
  <c r="Q541" i="1"/>
  <c r="W541" i="1"/>
  <c r="Q542" i="1"/>
  <c r="W542" i="1"/>
  <c r="Q543" i="1"/>
  <c r="W543" i="1"/>
  <c r="Q544" i="1"/>
  <c r="W544" i="1"/>
  <c r="Q545" i="1"/>
  <c r="W545" i="1"/>
  <c r="Q546" i="1"/>
  <c r="W546" i="1"/>
  <c r="Q547" i="1"/>
  <c r="W547" i="1"/>
  <c r="Q548" i="1"/>
  <c r="W548" i="1"/>
  <c r="Q549" i="1"/>
  <c r="W549" i="1"/>
  <c r="Q550" i="1"/>
  <c r="W550" i="1"/>
  <c r="Q551" i="1"/>
  <c r="W551" i="1"/>
  <c r="Q552" i="1"/>
  <c r="W552" i="1"/>
  <c r="Q553" i="1"/>
  <c r="W553" i="1"/>
  <c r="Q554" i="1"/>
  <c r="W554" i="1"/>
  <c r="Q555" i="1"/>
  <c r="W555" i="1"/>
  <c r="Q556" i="1"/>
  <c r="W556" i="1"/>
  <c r="Q557" i="1"/>
  <c r="W557" i="1"/>
  <c r="Q558" i="1"/>
  <c r="V558" i="1"/>
  <c r="W558" i="1"/>
  <c r="Q559" i="1"/>
  <c r="W559" i="1"/>
  <c r="Q560" i="1"/>
  <c r="W560" i="1"/>
  <c r="Q561" i="1"/>
  <c r="W561" i="1"/>
  <c r="Q562" i="1"/>
  <c r="W562" i="1"/>
  <c r="Q563" i="1"/>
  <c r="W563" i="1"/>
  <c r="Q564" i="1"/>
  <c r="W564" i="1"/>
  <c r="Q565" i="1"/>
  <c r="W565" i="1"/>
  <c r="Q566" i="1"/>
  <c r="W566" i="1"/>
  <c r="Q567" i="1"/>
  <c r="W567" i="1"/>
  <c r="Q568" i="1"/>
  <c r="W568" i="1"/>
  <c r="Q569" i="1"/>
  <c r="W569" i="1"/>
  <c r="Q570" i="1"/>
  <c r="W570" i="1"/>
  <c r="Q571" i="1"/>
  <c r="W571" i="1"/>
  <c r="Q572" i="1"/>
  <c r="W572" i="1"/>
  <c r="Q573" i="1"/>
  <c r="W573" i="1"/>
  <c r="Q574" i="1"/>
  <c r="W574" i="1"/>
  <c r="Q575" i="1"/>
  <c r="W575" i="1"/>
  <c r="Q576" i="1"/>
  <c r="W576" i="1"/>
  <c r="Q577" i="1"/>
  <c r="W577" i="1"/>
  <c r="Q578" i="1"/>
  <c r="W578" i="1"/>
  <c r="Q579" i="1"/>
  <c r="W579" i="1"/>
  <c r="Q580" i="1"/>
  <c r="W580" i="1"/>
  <c r="Q581" i="1"/>
  <c r="W581" i="1"/>
  <c r="Q582" i="1"/>
  <c r="W582" i="1"/>
  <c r="Q583" i="1"/>
  <c r="W583" i="1"/>
  <c r="Q584" i="1"/>
  <c r="W584" i="1"/>
  <c r="Q585" i="1"/>
  <c r="W585" i="1"/>
  <c r="Q586" i="1"/>
  <c r="W586" i="1"/>
  <c r="Q587" i="1"/>
  <c r="W587" i="1"/>
  <c r="Q588" i="1"/>
  <c r="W588" i="1"/>
  <c r="Q589" i="1"/>
  <c r="W589" i="1"/>
  <c r="Q590" i="1"/>
  <c r="W590" i="1"/>
  <c r="Q591" i="1"/>
  <c r="W591" i="1"/>
  <c r="Q592" i="1"/>
  <c r="W592" i="1"/>
  <c r="Q593" i="1"/>
  <c r="W593" i="1"/>
  <c r="Q594" i="1"/>
  <c r="AF594" i="1"/>
  <c r="W594" i="1"/>
  <c r="AJ594" i="1" s="1"/>
  <c r="Q595" i="1"/>
  <c r="AC595" i="1" s="1"/>
  <c r="AF595" i="1"/>
  <c r="W595" i="1"/>
  <c r="AJ595" i="1" s="1"/>
  <c r="L380" i="1"/>
  <c r="U380" i="1" s="1"/>
  <c r="L381" i="1"/>
  <c r="L382" i="1"/>
  <c r="L383" i="1"/>
  <c r="L384" i="1"/>
  <c r="L385" i="1"/>
  <c r="L386" i="1"/>
  <c r="L387" i="1"/>
  <c r="L388" i="1"/>
  <c r="L389" i="1"/>
  <c r="L390" i="1"/>
  <c r="L391" i="1"/>
  <c r="L392" i="1"/>
  <c r="U392" i="1" s="1"/>
  <c r="L393" i="1"/>
  <c r="L394" i="1"/>
  <c r="L395" i="1"/>
  <c r="L396" i="1"/>
  <c r="L397" i="1"/>
  <c r="L398" i="1"/>
  <c r="L399" i="1"/>
  <c r="L400" i="1"/>
  <c r="L401" i="1"/>
  <c r="L402" i="1"/>
  <c r="L403" i="1"/>
  <c r="L404" i="1"/>
  <c r="U404" i="1" s="1"/>
  <c r="L405" i="1"/>
  <c r="L406" i="1"/>
  <c r="L407" i="1"/>
  <c r="L408" i="1"/>
  <c r="L409" i="1"/>
  <c r="L410" i="1"/>
  <c r="L411" i="1"/>
  <c r="L412" i="1"/>
  <c r="L413" i="1"/>
  <c r="L414" i="1"/>
  <c r="L415" i="1"/>
  <c r="L416" i="1"/>
  <c r="U416" i="1" s="1"/>
  <c r="L417" i="1"/>
  <c r="L418" i="1"/>
  <c r="L419" i="1"/>
  <c r="L420" i="1"/>
  <c r="L421" i="1"/>
  <c r="L422" i="1"/>
  <c r="L423" i="1"/>
  <c r="L424" i="1"/>
  <c r="L425" i="1"/>
  <c r="L426" i="1"/>
  <c r="L427" i="1"/>
  <c r="L428" i="1"/>
  <c r="U428" i="1" s="1"/>
  <c r="L429" i="1"/>
  <c r="U429" i="1" s="1"/>
  <c r="L430" i="1"/>
  <c r="U430" i="1" s="1"/>
  <c r="L431" i="1"/>
  <c r="U431" i="1" s="1"/>
  <c r="L432" i="1"/>
  <c r="U432" i="1" s="1"/>
  <c r="L433" i="1"/>
  <c r="U433" i="1" s="1"/>
  <c r="L434" i="1"/>
  <c r="U434" i="1" s="1"/>
  <c r="L435" i="1"/>
  <c r="U435" i="1" s="1"/>
  <c r="L436" i="1"/>
  <c r="U436" i="1" s="1"/>
  <c r="L437" i="1"/>
  <c r="U437" i="1" s="1"/>
  <c r="L438" i="1"/>
  <c r="U438" i="1" s="1"/>
  <c r="L439" i="1"/>
  <c r="U439" i="1" s="1"/>
  <c r="L440" i="1"/>
  <c r="U440" i="1" s="1"/>
  <c r="L441" i="1"/>
  <c r="U441" i="1" s="1"/>
  <c r="L442" i="1"/>
  <c r="U442" i="1" s="1"/>
  <c r="L443" i="1"/>
  <c r="U443" i="1" s="1"/>
  <c r="L444" i="1"/>
  <c r="U444" i="1" s="1"/>
  <c r="L445" i="1"/>
  <c r="U445" i="1" s="1"/>
  <c r="L446" i="1"/>
  <c r="U446" i="1" s="1"/>
  <c r="L447" i="1"/>
  <c r="U447" i="1" s="1"/>
  <c r="L448" i="1"/>
  <c r="U448" i="1" s="1"/>
  <c r="L449" i="1"/>
  <c r="U449" i="1" s="1"/>
  <c r="L450" i="1"/>
  <c r="U450" i="1" s="1"/>
  <c r="L451" i="1"/>
  <c r="U451" i="1" s="1"/>
  <c r="L452" i="1"/>
  <c r="U452" i="1" s="1"/>
  <c r="L453" i="1"/>
  <c r="U453" i="1" s="1"/>
  <c r="L454" i="1"/>
  <c r="U454" i="1" s="1"/>
  <c r="L455" i="1"/>
  <c r="U455" i="1" s="1"/>
  <c r="L456" i="1"/>
  <c r="U456" i="1" s="1"/>
  <c r="L457" i="1"/>
  <c r="U457" i="1" s="1"/>
  <c r="L458" i="1"/>
  <c r="U458" i="1" s="1"/>
  <c r="L459" i="1"/>
  <c r="U459" i="1" s="1"/>
  <c r="L460" i="1"/>
  <c r="U460" i="1" s="1"/>
  <c r="L461" i="1"/>
  <c r="U461" i="1" s="1"/>
  <c r="L462" i="1"/>
  <c r="U462" i="1" s="1"/>
  <c r="L463" i="1"/>
  <c r="U463" i="1" s="1"/>
  <c r="L464" i="1"/>
  <c r="U464" i="1" s="1"/>
  <c r="L465" i="1"/>
  <c r="U465" i="1" s="1"/>
  <c r="L466" i="1"/>
  <c r="U466" i="1" s="1"/>
  <c r="L467" i="1"/>
  <c r="U467" i="1" s="1"/>
  <c r="L468" i="1"/>
  <c r="U468" i="1" s="1"/>
  <c r="L469" i="1"/>
  <c r="U469" i="1" s="1"/>
  <c r="L470" i="1"/>
  <c r="U470" i="1" s="1"/>
  <c r="L471" i="1"/>
  <c r="U471" i="1" s="1"/>
  <c r="L472" i="1"/>
  <c r="U472" i="1" s="1"/>
  <c r="L473" i="1"/>
  <c r="U473" i="1" s="1"/>
  <c r="L474" i="1"/>
  <c r="U474" i="1" s="1"/>
  <c r="L475" i="1"/>
  <c r="U475" i="1" s="1"/>
  <c r="L476" i="1"/>
  <c r="U476" i="1" s="1"/>
  <c r="L477" i="1"/>
  <c r="U477" i="1" s="1"/>
  <c r="L478" i="1"/>
  <c r="U478" i="1" s="1"/>
  <c r="L479" i="1"/>
  <c r="U479" i="1" s="1"/>
  <c r="L480" i="1"/>
  <c r="U480" i="1" s="1"/>
  <c r="L481" i="1"/>
  <c r="U481" i="1" s="1"/>
  <c r="L482" i="1"/>
  <c r="L483" i="1"/>
  <c r="U483" i="1" s="1"/>
  <c r="L484" i="1"/>
  <c r="L485" i="1"/>
  <c r="U485" i="1" s="1"/>
  <c r="L486" i="1"/>
  <c r="U486" i="1" s="1"/>
  <c r="L487" i="1"/>
  <c r="U487" i="1" s="1"/>
  <c r="L488" i="1"/>
  <c r="U488" i="1" s="1"/>
  <c r="L489" i="1"/>
  <c r="U489" i="1" s="1"/>
  <c r="L490" i="1"/>
  <c r="U490" i="1" s="1"/>
  <c r="L491" i="1"/>
  <c r="L492" i="1"/>
  <c r="U492" i="1" s="1"/>
  <c r="L493" i="1"/>
  <c r="L494" i="1"/>
  <c r="L495" i="1"/>
  <c r="L496" i="1"/>
  <c r="U496" i="1" s="1"/>
  <c r="L497" i="1"/>
  <c r="U497" i="1" s="1"/>
  <c r="L498" i="1"/>
  <c r="L499" i="1"/>
  <c r="L500" i="1"/>
  <c r="U500" i="1" s="1"/>
  <c r="L501" i="1"/>
  <c r="U501" i="1" s="1"/>
  <c r="L502" i="1"/>
  <c r="U502" i="1" s="1"/>
  <c r="L503" i="1"/>
  <c r="U503" i="1" s="1"/>
  <c r="L504" i="1"/>
  <c r="U504" i="1" s="1"/>
  <c r="L505" i="1"/>
  <c r="U505" i="1" s="1"/>
  <c r="L506" i="1"/>
  <c r="L507" i="1"/>
  <c r="L508" i="1"/>
  <c r="L509" i="1"/>
  <c r="U509" i="1" s="1"/>
  <c r="L510" i="1"/>
  <c r="L511" i="1"/>
  <c r="L512" i="1"/>
  <c r="U512" i="1" s="1"/>
  <c r="L513" i="1"/>
  <c r="U513" i="1" s="1"/>
  <c r="L514" i="1"/>
  <c r="U514" i="1" s="1"/>
  <c r="L515" i="1"/>
  <c r="L516" i="1"/>
  <c r="U516" i="1" s="1"/>
  <c r="L517" i="1"/>
  <c r="U517" i="1" s="1"/>
  <c r="L518" i="1"/>
  <c r="L519" i="1"/>
  <c r="U519" i="1" s="1"/>
  <c r="L520" i="1"/>
  <c r="L521" i="1"/>
  <c r="U521" i="1" s="1"/>
  <c r="L522" i="1"/>
  <c r="L523" i="1"/>
  <c r="L524" i="1"/>
  <c r="U524" i="1" s="1"/>
  <c r="L525" i="1"/>
  <c r="U525" i="1" s="1"/>
  <c r="L526" i="1"/>
  <c r="U526" i="1" s="1"/>
  <c r="L527" i="1"/>
  <c r="L528" i="1"/>
  <c r="U528" i="1" s="1"/>
  <c r="L529" i="1"/>
  <c r="U529" i="1" s="1"/>
  <c r="L530" i="1"/>
  <c r="L531" i="1"/>
  <c r="L532" i="1"/>
  <c r="L533" i="1"/>
  <c r="U533" i="1" s="1"/>
  <c r="L534" i="1"/>
  <c r="L535" i="1"/>
  <c r="L536" i="1"/>
  <c r="U536" i="1" s="1"/>
  <c r="L537" i="1"/>
  <c r="U537" i="1" s="1"/>
  <c r="L538" i="1"/>
  <c r="U538" i="1" s="1"/>
  <c r="L539" i="1"/>
  <c r="L540" i="1"/>
  <c r="L541" i="1"/>
  <c r="L542" i="1"/>
  <c r="L543" i="1"/>
  <c r="L544" i="1"/>
  <c r="U544" i="1" s="1"/>
  <c r="L545" i="1"/>
  <c r="U545" i="1" s="1"/>
  <c r="L546" i="1"/>
  <c r="X546" i="1" s="1"/>
  <c r="L547" i="1"/>
  <c r="L548" i="1"/>
  <c r="L549" i="1"/>
  <c r="L550" i="1"/>
  <c r="L551" i="1"/>
  <c r="L552" i="1"/>
  <c r="U552" i="1" s="1"/>
  <c r="L553" i="1"/>
  <c r="L554" i="1"/>
  <c r="L555" i="1"/>
  <c r="L556" i="1"/>
  <c r="U556" i="1" s="1"/>
  <c r="L557" i="1"/>
  <c r="U557" i="1" s="1"/>
  <c r="L558" i="1"/>
  <c r="L559" i="1"/>
  <c r="L560" i="1"/>
  <c r="L561" i="1"/>
  <c r="L562" i="1"/>
  <c r="L563" i="1"/>
  <c r="L564" i="1"/>
  <c r="U564" i="1" s="1"/>
  <c r="L565" i="1"/>
  <c r="L566" i="1"/>
  <c r="L567" i="1"/>
  <c r="L568" i="1"/>
  <c r="U568" i="1" s="1"/>
  <c r="L569" i="1"/>
  <c r="U569" i="1" s="1"/>
  <c r="L570" i="1"/>
  <c r="L571" i="1"/>
  <c r="L572" i="1"/>
  <c r="L573" i="1"/>
  <c r="L574" i="1"/>
  <c r="L575" i="1"/>
  <c r="L576" i="1"/>
  <c r="L577" i="1"/>
  <c r="L578" i="1"/>
  <c r="L579" i="1"/>
  <c r="L580" i="1"/>
  <c r="U580" i="1" s="1"/>
  <c r="L581" i="1"/>
  <c r="U581" i="1" s="1"/>
  <c r="L582" i="1"/>
  <c r="L583" i="1"/>
  <c r="L584" i="1"/>
  <c r="L585" i="1"/>
  <c r="L586" i="1"/>
  <c r="U586" i="1" s="1"/>
  <c r="L587" i="1"/>
  <c r="L588" i="1"/>
  <c r="L589" i="1"/>
  <c r="L590" i="1"/>
  <c r="L591" i="1"/>
  <c r="L592" i="1"/>
  <c r="U592" i="1" s="1"/>
  <c r="L593" i="1"/>
  <c r="U593" i="1" s="1"/>
  <c r="L594" i="1"/>
  <c r="L595"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S428" i="1" s="1"/>
  <c r="J429" i="1"/>
  <c r="S429" i="1" s="1"/>
  <c r="J430" i="1"/>
  <c r="S430" i="1" s="1"/>
  <c r="J431" i="1"/>
  <c r="S431" i="1" s="1"/>
  <c r="J432" i="1"/>
  <c r="S432" i="1" s="1"/>
  <c r="J433" i="1"/>
  <c r="S433" i="1" s="1"/>
  <c r="J434" i="1"/>
  <c r="S434" i="1" s="1"/>
  <c r="J435" i="1"/>
  <c r="S435" i="1" s="1"/>
  <c r="J436" i="1"/>
  <c r="S436" i="1" s="1"/>
  <c r="J437" i="1"/>
  <c r="S437" i="1" s="1"/>
  <c r="J438" i="1"/>
  <c r="S438" i="1" s="1"/>
  <c r="J439" i="1"/>
  <c r="S439" i="1" s="1"/>
  <c r="J440" i="1"/>
  <c r="S440" i="1" s="1"/>
  <c r="J441" i="1"/>
  <c r="S441" i="1" s="1"/>
  <c r="J442" i="1"/>
  <c r="S442" i="1" s="1"/>
  <c r="J443" i="1"/>
  <c r="S443" i="1" s="1"/>
  <c r="J444" i="1"/>
  <c r="S444" i="1" s="1"/>
  <c r="J445" i="1"/>
  <c r="S445" i="1" s="1"/>
  <c r="J446" i="1"/>
  <c r="S446" i="1" s="1"/>
  <c r="J447" i="1"/>
  <c r="S447" i="1" s="1"/>
  <c r="J448" i="1"/>
  <c r="S448" i="1" s="1"/>
  <c r="J449" i="1"/>
  <c r="S449" i="1" s="1"/>
  <c r="J450" i="1"/>
  <c r="S450" i="1" s="1"/>
  <c r="J451" i="1"/>
  <c r="S451" i="1" s="1"/>
  <c r="J452" i="1"/>
  <c r="S452" i="1" s="1"/>
  <c r="J453" i="1"/>
  <c r="S453" i="1" s="1"/>
  <c r="J454" i="1"/>
  <c r="S454" i="1" s="1"/>
  <c r="J455" i="1"/>
  <c r="S455" i="1" s="1"/>
  <c r="J456" i="1"/>
  <c r="S456" i="1" s="1"/>
  <c r="J457" i="1"/>
  <c r="S457" i="1" s="1"/>
  <c r="J458" i="1"/>
  <c r="S458" i="1" s="1"/>
  <c r="J459" i="1"/>
  <c r="S459" i="1" s="1"/>
  <c r="J460" i="1"/>
  <c r="S460" i="1" s="1"/>
  <c r="J461" i="1"/>
  <c r="S461" i="1" s="1"/>
  <c r="J462" i="1"/>
  <c r="S462" i="1" s="1"/>
  <c r="J463" i="1"/>
  <c r="S463" i="1" s="1"/>
  <c r="J464" i="1"/>
  <c r="S464" i="1" s="1"/>
  <c r="J465" i="1"/>
  <c r="S465" i="1" s="1"/>
  <c r="J466" i="1"/>
  <c r="S466" i="1" s="1"/>
  <c r="J467" i="1"/>
  <c r="S467" i="1" s="1"/>
  <c r="J468" i="1"/>
  <c r="S468" i="1" s="1"/>
  <c r="J469" i="1"/>
  <c r="S469" i="1" s="1"/>
  <c r="J470" i="1"/>
  <c r="S470" i="1" s="1"/>
  <c r="J471" i="1"/>
  <c r="S471" i="1" s="1"/>
  <c r="J472" i="1"/>
  <c r="J473" i="1"/>
  <c r="S473" i="1" s="1"/>
  <c r="J474" i="1"/>
  <c r="S474" i="1" s="1"/>
  <c r="J475" i="1"/>
  <c r="S475" i="1" s="1"/>
  <c r="J476" i="1"/>
  <c r="S476" i="1" s="1"/>
  <c r="J477" i="1"/>
  <c r="S477" i="1" s="1"/>
  <c r="J478" i="1"/>
  <c r="S478" i="1" s="1"/>
  <c r="J479" i="1"/>
  <c r="S479" i="1" s="1"/>
  <c r="J480" i="1"/>
  <c r="S480" i="1" s="1"/>
  <c r="J481" i="1"/>
  <c r="S481" i="1" s="1"/>
  <c r="J482" i="1"/>
  <c r="J483" i="1"/>
  <c r="S483" i="1" s="1"/>
  <c r="J484" i="1"/>
  <c r="S484" i="1" s="1"/>
  <c r="J485" i="1"/>
  <c r="S485" i="1" s="1"/>
  <c r="J486" i="1"/>
  <c r="S486" i="1" s="1"/>
  <c r="J487" i="1"/>
  <c r="S487" i="1" s="1"/>
  <c r="J488" i="1"/>
  <c r="S488" i="1" s="1"/>
  <c r="J489" i="1"/>
  <c r="S489" i="1" s="1"/>
  <c r="J490" i="1"/>
  <c r="S490" i="1" s="1"/>
  <c r="J491" i="1"/>
  <c r="S491" i="1" s="1"/>
  <c r="J492" i="1"/>
  <c r="S492" i="1" s="1"/>
  <c r="J493" i="1"/>
  <c r="S493" i="1" s="1"/>
  <c r="J494" i="1"/>
  <c r="J495" i="1"/>
  <c r="S495" i="1" s="1"/>
  <c r="J496" i="1"/>
  <c r="S496" i="1" s="1"/>
  <c r="J497" i="1"/>
  <c r="S497" i="1" s="1"/>
  <c r="J498" i="1"/>
  <c r="S498" i="1" s="1"/>
  <c r="J499" i="1"/>
  <c r="J500" i="1"/>
  <c r="S500" i="1" s="1"/>
  <c r="J501" i="1"/>
  <c r="J502" i="1"/>
  <c r="S502" i="1" s="1"/>
  <c r="J503" i="1"/>
  <c r="J504" i="1"/>
  <c r="S504" i="1" s="1"/>
  <c r="J505" i="1"/>
  <c r="J506" i="1"/>
  <c r="J507" i="1"/>
  <c r="S507" i="1" s="1"/>
  <c r="J508" i="1"/>
  <c r="J509" i="1"/>
  <c r="S509" i="1" s="1"/>
  <c r="J510" i="1"/>
  <c r="S510" i="1" s="1"/>
  <c r="J511" i="1"/>
  <c r="S511" i="1" s="1"/>
  <c r="J512" i="1"/>
  <c r="S512" i="1" s="1"/>
  <c r="J513" i="1"/>
  <c r="J514" i="1"/>
  <c r="S514" i="1" s="1"/>
  <c r="J515" i="1"/>
  <c r="J516" i="1"/>
  <c r="S516" i="1" s="1"/>
  <c r="J517" i="1"/>
  <c r="J518" i="1"/>
  <c r="J519" i="1"/>
  <c r="S519" i="1" s="1"/>
  <c r="J520" i="1"/>
  <c r="S520" i="1" s="1"/>
  <c r="J521" i="1"/>
  <c r="S521" i="1" s="1"/>
  <c r="J522" i="1"/>
  <c r="S522" i="1" s="1"/>
  <c r="J523" i="1"/>
  <c r="S523" i="1" s="1"/>
  <c r="J524" i="1"/>
  <c r="S524" i="1" s="1"/>
  <c r="J525" i="1"/>
  <c r="J526" i="1"/>
  <c r="S526" i="1" s="1"/>
  <c r="J527" i="1"/>
  <c r="S527" i="1" s="1"/>
  <c r="J528" i="1"/>
  <c r="S528" i="1" s="1"/>
  <c r="J529" i="1"/>
  <c r="S529" i="1" s="1"/>
  <c r="J530" i="1"/>
  <c r="J531" i="1"/>
  <c r="S531" i="1" s="1"/>
  <c r="J532" i="1"/>
  <c r="J533" i="1"/>
  <c r="S533" i="1" s="1"/>
  <c r="J534" i="1"/>
  <c r="S534" i="1" s="1"/>
  <c r="J535" i="1"/>
  <c r="S535" i="1" s="1"/>
  <c r="J536" i="1"/>
  <c r="S536" i="1" s="1"/>
  <c r="J537" i="1"/>
  <c r="S537" i="1" s="1"/>
  <c r="J538" i="1"/>
  <c r="S538" i="1" s="1"/>
  <c r="J539" i="1"/>
  <c r="J540" i="1"/>
  <c r="J541" i="1"/>
  <c r="J542" i="1"/>
  <c r="J543" i="1"/>
  <c r="J544" i="1"/>
  <c r="S544" i="1" s="1"/>
  <c r="J545" i="1"/>
  <c r="S545" i="1" s="1"/>
  <c r="J546" i="1"/>
  <c r="J547" i="1"/>
  <c r="J548" i="1"/>
  <c r="J549" i="1"/>
  <c r="J550" i="1"/>
  <c r="J551" i="1"/>
  <c r="J552" i="1"/>
  <c r="S552" i="1" s="1"/>
  <c r="J553" i="1"/>
  <c r="J554" i="1"/>
  <c r="J555" i="1"/>
  <c r="J556" i="1"/>
  <c r="S556" i="1" s="1"/>
  <c r="J557" i="1"/>
  <c r="S557" i="1" s="1"/>
  <c r="J558" i="1"/>
  <c r="S558" i="1" s="1"/>
  <c r="J559" i="1"/>
  <c r="J560" i="1"/>
  <c r="J561" i="1"/>
  <c r="J562" i="1"/>
  <c r="J563" i="1"/>
  <c r="J564" i="1"/>
  <c r="S564" i="1" s="1"/>
  <c r="J565" i="1"/>
  <c r="J566" i="1"/>
  <c r="V566" i="1" s="1"/>
  <c r="J567" i="1"/>
  <c r="J568" i="1"/>
  <c r="S568" i="1" s="1"/>
  <c r="J569" i="1"/>
  <c r="S569" i="1" s="1"/>
  <c r="J570" i="1"/>
  <c r="S570" i="1" s="1"/>
  <c r="J571" i="1"/>
  <c r="J572" i="1"/>
  <c r="J573" i="1"/>
  <c r="J574" i="1"/>
  <c r="J575" i="1"/>
  <c r="J576" i="1"/>
  <c r="S576" i="1" s="1"/>
  <c r="J577" i="1"/>
  <c r="J578" i="1"/>
  <c r="J579" i="1"/>
  <c r="J580" i="1"/>
  <c r="S580" i="1" s="1"/>
  <c r="J581" i="1"/>
  <c r="S581" i="1" s="1"/>
  <c r="J582" i="1"/>
  <c r="J583" i="1"/>
  <c r="J584" i="1"/>
  <c r="J585" i="1"/>
  <c r="J586" i="1"/>
  <c r="J587" i="1"/>
  <c r="J588" i="1"/>
  <c r="J589" i="1"/>
  <c r="J590" i="1"/>
  <c r="J591" i="1"/>
  <c r="J592" i="1"/>
  <c r="S592" i="1" s="1"/>
  <c r="J593" i="1"/>
  <c r="J594" i="1"/>
  <c r="J595" i="1"/>
  <c r="P578" i="1" l="1"/>
  <c r="S578" i="1"/>
  <c r="V546" i="1"/>
  <c r="S546" i="1"/>
  <c r="R554" i="1"/>
  <c r="U554" i="1"/>
  <c r="V577" i="1"/>
  <c r="S577" i="1"/>
  <c r="X553" i="1"/>
  <c r="U553" i="1"/>
  <c r="P588" i="1"/>
  <c r="S588" i="1"/>
  <c r="P572" i="1"/>
  <c r="S572" i="1"/>
  <c r="P548" i="1"/>
  <c r="S548" i="1"/>
  <c r="P540" i="1"/>
  <c r="S540" i="1"/>
  <c r="V532" i="1"/>
  <c r="S532" i="1"/>
  <c r="P508" i="1"/>
  <c r="S508" i="1"/>
  <c r="B42" i="34"/>
  <c r="J42" i="34" s="1"/>
  <c r="R588" i="1"/>
  <c r="U588" i="1"/>
  <c r="R572" i="1"/>
  <c r="U572" i="1"/>
  <c r="R548" i="1"/>
  <c r="U548" i="1"/>
  <c r="R540" i="1"/>
  <c r="U540" i="1"/>
  <c r="R532" i="1"/>
  <c r="U532" i="1"/>
  <c r="R508" i="1"/>
  <c r="U508" i="1"/>
  <c r="V562" i="1"/>
  <c r="S562" i="1"/>
  <c r="V482" i="1"/>
  <c r="S482" i="1"/>
  <c r="R570" i="1"/>
  <c r="U570" i="1"/>
  <c r="X530" i="1"/>
  <c r="U530" i="1"/>
  <c r="X498" i="1"/>
  <c r="U498" i="1"/>
  <c r="X585" i="1"/>
  <c r="U585" i="1"/>
  <c r="X484" i="1"/>
  <c r="U484" i="1"/>
  <c r="P595" i="1"/>
  <c r="AB595" i="1" s="1"/>
  <c r="S595" i="1"/>
  <c r="P587" i="1"/>
  <c r="S587" i="1"/>
  <c r="P579" i="1"/>
  <c r="S579" i="1"/>
  <c r="P571" i="1"/>
  <c r="S571" i="1"/>
  <c r="P563" i="1"/>
  <c r="S563" i="1"/>
  <c r="P555" i="1"/>
  <c r="S555" i="1"/>
  <c r="P547" i="1"/>
  <c r="S547" i="1"/>
  <c r="P539" i="1"/>
  <c r="S539" i="1"/>
  <c r="V515" i="1"/>
  <c r="S515" i="1"/>
  <c r="V499" i="1"/>
  <c r="S499" i="1"/>
  <c r="R595" i="1"/>
  <c r="U595" i="1"/>
  <c r="R587" i="1"/>
  <c r="U587" i="1"/>
  <c r="R579" i="1"/>
  <c r="U579" i="1"/>
  <c r="R571" i="1"/>
  <c r="U571" i="1"/>
  <c r="R563" i="1"/>
  <c r="U563" i="1"/>
  <c r="R555" i="1"/>
  <c r="U555" i="1"/>
  <c r="R547" i="1"/>
  <c r="U547" i="1"/>
  <c r="R539" i="1"/>
  <c r="U539" i="1"/>
  <c r="R531" i="1"/>
  <c r="U531" i="1"/>
  <c r="R523" i="1"/>
  <c r="U523" i="1"/>
  <c r="X515" i="1"/>
  <c r="U515" i="1"/>
  <c r="D45" i="34" s="1"/>
  <c r="L45" i="34" s="1"/>
  <c r="R507" i="1"/>
  <c r="U507" i="1"/>
  <c r="X499" i="1"/>
  <c r="U499" i="1"/>
  <c r="R491" i="1"/>
  <c r="U491" i="1"/>
  <c r="P530" i="1"/>
  <c r="S530" i="1"/>
  <c r="R594" i="1"/>
  <c r="AD594" i="1" s="1"/>
  <c r="U594" i="1"/>
  <c r="R578" i="1"/>
  <c r="U578" i="1"/>
  <c r="X522" i="1"/>
  <c r="U522" i="1"/>
  <c r="R482" i="1"/>
  <c r="U482" i="1"/>
  <c r="D42" i="34" s="1"/>
  <c r="L42" i="34" s="1"/>
  <c r="V585" i="1"/>
  <c r="S585" i="1"/>
  <c r="V553" i="1"/>
  <c r="S553" i="1"/>
  <c r="P560" i="1"/>
  <c r="S560" i="1"/>
  <c r="B43" i="34"/>
  <c r="J43" i="34" s="1"/>
  <c r="P472" i="1"/>
  <c r="S472" i="1"/>
  <c r="D41" i="34"/>
  <c r="L41" i="34" s="1"/>
  <c r="P580" i="1"/>
  <c r="V586" i="1"/>
  <c r="S586" i="1"/>
  <c r="P506" i="1"/>
  <c r="S506" i="1"/>
  <c r="X562" i="1"/>
  <c r="U562" i="1"/>
  <c r="B41" i="34"/>
  <c r="J41" i="34" s="1"/>
  <c r="R584" i="1"/>
  <c r="U584" i="1"/>
  <c r="R576" i="1"/>
  <c r="U576" i="1"/>
  <c r="R560" i="1"/>
  <c r="U560" i="1"/>
  <c r="R520" i="1"/>
  <c r="U520" i="1"/>
  <c r="P591" i="1"/>
  <c r="S591" i="1"/>
  <c r="P583" i="1"/>
  <c r="S583" i="1"/>
  <c r="P575" i="1"/>
  <c r="S575" i="1"/>
  <c r="P567" i="1"/>
  <c r="S567" i="1"/>
  <c r="P559" i="1"/>
  <c r="S559" i="1"/>
  <c r="P551" i="1"/>
  <c r="S551" i="1"/>
  <c r="P543" i="1"/>
  <c r="S543" i="1"/>
  <c r="V503" i="1"/>
  <c r="S503" i="1"/>
  <c r="R591" i="1"/>
  <c r="U591" i="1"/>
  <c r="R583" i="1"/>
  <c r="U583" i="1"/>
  <c r="R575" i="1"/>
  <c r="U575" i="1"/>
  <c r="R567" i="1"/>
  <c r="U567" i="1"/>
  <c r="R559" i="1"/>
  <c r="U559" i="1"/>
  <c r="R551" i="1"/>
  <c r="U551" i="1"/>
  <c r="R543" i="1"/>
  <c r="U543" i="1"/>
  <c r="X535" i="1"/>
  <c r="U535" i="1"/>
  <c r="X527" i="1"/>
  <c r="U527" i="1"/>
  <c r="R511" i="1"/>
  <c r="U511" i="1"/>
  <c r="R495" i="1"/>
  <c r="U495" i="1"/>
  <c r="R530" i="1"/>
  <c r="P594" i="1"/>
  <c r="AB594" i="1" s="1"/>
  <c r="S594" i="1"/>
  <c r="R546" i="1"/>
  <c r="U546" i="1"/>
  <c r="X506" i="1"/>
  <c r="U506" i="1"/>
  <c r="D44" i="34" s="1"/>
  <c r="L44" i="34" s="1"/>
  <c r="V505" i="1"/>
  <c r="S505" i="1"/>
  <c r="X577" i="1"/>
  <c r="U577" i="1"/>
  <c r="P584" i="1"/>
  <c r="S584" i="1"/>
  <c r="P590" i="1"/>
  <c r="S590" i="1"/>
  <c r="V582" i="1"/>
  <c r="S582" i="1"/>
  <c r="V574" i="1"/>
  <c r="S574" i="1"/>
  <c r="P566" i="1"/>
  <c r="S566" i="1"/>
  <c r="V550" i="1"/>
  <c r="S550" i="1"/>
  <c r="P542" i="1"/>
  <c r="S542" i="1"/>
  <c r="P518" i="1"/>
  <c r="S518" i="1"/>
  <c r="V494" i="1"/>
  <c r="S494" i="1"/>
  <c r="R590" i="1"/>
  <c r="U590" i="1"/>
  <c r="R582" i="1"/>
  <c r="U582" i="1"/>
  <c r="X574" i="1"/>
  <c r="U574" i="1"/>
  <c r="R566" i="1"/>
  <c r="U566" i="1"/>
  <c r="R558" i="1"/>
  <c r="U558" i="1"/>
  <c r="X550" i="1"/>
  <c r="U550" i="1"/>
  <c r="R542" i="1"/>
  <c r="U542" i="1"/>
  <c r="X534" i="1"/>
  <c r="U534" i="1"/>
  <c r="X518" i="1"/>
  <c r="U518" i="1"/>
  <c r="X510" i="1"/>
  <c r="U510" i="1"/>
  <c r="X494" i="1"/>
  <c r="U494" i="1"/>
  <c r="V590" i="1"/>
  <c r="X563" i="1"/>
  <c r="P553" i="1"/>
  <c r="P554" i="1"/>
  <c r="S554" i="1"/>
  <c r="V593" i="1"/>
  <c r="S593" i="1"/>
  <c r="V561" i="1"/>
  <c r="S561" i="1"/>
  <c r="V513" i="1"/>
  <c r="S513" i="1"/>
  <c r="B45" i="34" s="1"/>
  <c r="J45" i="34" s="1"/>
  <c r="X561" i="1"/>
  <c r="U561" i="1"/>
  <c r="V589" i="1"/>
  <c r="S589" i="1"/>
  <c r="V573" i="1"/>
  <c r="S573" i="1"/>
  <c r="V565" i="1"/>
  <c r="S565" i="1"/>
  <c r="V549" i="1"/>
  <c r="S549" i="1"/>
  <c r="V541" i="1"/>
  <c r="S541" i="1"/>
  <c r="P525" i="1"/>
  <c r="S525" i="1"/>
  <c r="V517" i="1"/>
  <c r="S517" i="1"/>
  <c r="V501" i="1"/>
  <c r="S501" i="1"/>
  <c r="B44" i="34" s="1"/>
  <c r="J44" i="34" s="1"/>
  <c r="X589" i="1"/>
  <c r="U589" i="1"/>
  <c r="X573" i="1"/>
  <c r="U573" i="1"/>
  <c r="X565" i="1"/>
  <c r="U565" i="1"/>
  <c r="X549" i="1"/>
  <c r="U549" i="1"/>
  <c r="X541" i="1"/>
  <c r="U541" i="1"/>
  <c r="R493" i="1"/>
  <c r="U493" i="1"/>
  <c r="D43" i="34" s="1"/>
  <c r="L43" i="34" s="1"/>
  <c r="X422" i="1"/>
  <c r="U422" i="1"/>
  <c r="V423" i="1"/>
  <c r="S423" i="1"/>
  <c r="R423" i="1"/>
  <c r="U423" i="1"/>
  <c r="S422" i="1"/>
  <c r="AE422" i="1" s="1"/>
  <c r="V427" i="1"/>
  <c r="S427" i="1"/>
  <c r="AE427" i="1" s="1"/>
  <c r="R427" i="1"/>
  <c r="U427" i="1"/>
  <c r="S426" i="1"/>
  <c r="AE426" i="1" s="1"/>
  <c r="X426" i="1"/>
  <c r="U426" i="1"/>
  <c r="P425" i="1"/>
  <c r="S425" i="1"/>
  <c r="AE425" i="1" s="1"/>
  <c r="X425" i="1"/>
  <c r="U425" i="1"/>
  <c r="AG425" i="1" s="1"/>
  <c r="V424" i="1"/>
  <c r="S424" i="1"/>
  <c r="AG424" i="1"/>
  <c r="U424" i="1"/>
  <c r="V411" i="1"/>
  <c r="S411" i="1"/>
  <c r="AE411" i="1" s="1"/>
  <c r="V399" i="1"/>
  <c r="S399" i="1"/>
  <c r="V387" i="1"/>
  <c r="S387" i="1"/>
  <c r="AE387" i="1" s="1"/>
  <c r="R411" i="1"/>
  <c r="U411" i="1"/>
  <c r="R399" i="1"/>
  <c r="U399" i="1"/>
  <c r="AG399" i="1" s="1"/>
  <c r="R387" i="1"/>
  <c r="U387" i="1"/>
  <c r="X398" i="1"/>
  <c r="U398" i="1"/>
  <c r="X409" i="1"/>
  <c r="U409" i="1"/>
  <c r="V420" i="1"/>
  <c r="S420" i="1"/>
  <c r="AE420" i="1" s="1"/>
  <c r="V408" i="1"/>
  <c r="S408" i="1"/>
  <c r="AE408" i="1" s="1"/>
  <c r="V396" i="1"/>
  <c r="S396" i="1"/>
  <c r="AE396" i="1" s="1"/>
  <c r="V384" i="1"/>
  <c r="S384" i="1"/>
  <c r="U420" i="1"/>
  <c r="AG420" i="1" s="1"/>
  <c r="U408" i="1"/>
  <c r="AG408" i="1" s="1"/>
  <c r="U396" i="1"/>
  <c r="AG396" i="1" s="1"/>
  <c r="U384" i="1"/>
  <c r="AG384" i="1" s="1"/>
  <c r="V419" i="1"/>
  <c r="S419" i="1"/>
  <c r="AE419" i="1" s="1"/>
  <c r="V407" i="1"/>
  <c r="S407" i="1"/>
  <c r="AE407" i="1" s="1"/>
  <c r="V395" i="1"/>
  <c r="S395" i="1"/>
  <c r="AE395" i="1" s="1"/>
  <c r="V383" i="1"/>
  <c r="S383" i="1"/>
  <c r="R419" i="1"/>
  <c r="U419" i="1"/>
  <c r="AG419" i="1" s="1"/>
  <c r="R407" i="1"/>
  <c r="U407" i="1"/>
  <c r="AG407" i="1" s="1"/>
  <c r="R395" i="1"/>
  <c r="U395" i="1"/>
  <c r="AG395" i="1" s="1"/>
  <c r="R383" i="1"/>
  <c r="U383" i="1"/>
  <c r="AG383" i="1" s="1"/>
  <c r="P385" i="1"/>
  <c r="S385" i="1"/>
  <c r="S418" i="1"/>
  <c r="AE418" i="1" s="1"/>
  <c r="S406" i="1"/>
  <c r="AE406" i="1" s="1"/>
  <c r="S394" i="1"/>
  <c r="AE394" i="1" s="1"/>
  <c r="S382" i="1"/>
  <c r="AE382" i="1" s="1"/>
  <c r="X418" i="1"/>
  <c r="U418" i="1"/>
  <c r="AG418" i="1" s="1"/>
  <c r="X406" i="1"/>
  <c r="U406" i="1"/>
  <c r="AG406" i="1" s="1"/>
  <c r="X394" i="1"/>
  <c r="U394" i="1"/>
  <c r="AG394" i="1" s="1"/>
  <c r="X382" i="1"/>
  <c r="U382" i="1"/>
  <c r="AG382" i="1" s="1"/>
  <c r="X410" i="1"/>
  <c r="U410" i="1"/>
  <c r="P417" i="1"/>
  <c r="S417" i="1"/>
  <c r="AE417" i="1" s="1"/>
  <c r="P405" i="1"/>
  <c r="S405" i="1"/>
  <c r="P393" i="1"/>
  <c r="S393" i="1"/>
  <c r="AE393" i="1" s="1"/>
  <c r="P381" i="1"/>
  <c r="S381" i="1"/>
  <c r="AE381" i="1" s="1"/>
  <c r="X417" i="1"/>
  <c r="U417" i="1"/>
  <c r="AG417" i="1" s="1"/>
  <c r="X405" i="1"/>
  <c r="U405" i="1"/>
  <c r="X393" i="1"/>
  <c r="U393" i="1"/>
  <c r="AG393" i="1" s="1"/>
  <c r="X381" i="1"/>
  <c r="U381" i="1"/>
  <c r="V404" i="1"/>
  <c r="S404" i="1"/>
  <c r="V392" i="1"/>
  <c r="S392" i="1"/>
  <c r="V380" i="1"/>
  <c r="S380" i="1"/>
  <c r="P421" i="1"/>
  <c r="S421" i="1"/>
  <c r="V416" i="1"/>
  <c r="S416" i="1"/>
  <c r="V415" i="1"/>
  <c r="S415" i="1"/>
  <c r="V403" i="1"/>
  <c r="S403" i="1"/>
  <c r="AE403" i="1" s="1"/>
  <c r="V391" i="1"/>
  <c r="S391" i="1"/>
  <c r="AE391" i="1" s="1"/>
  <c r="R415" i="1"/>
  <c r="U415" i="1"/>
  <c r="AG415" i="1" s="1"/>
  <c r="R403" i="1"/>
  <c r="U403" i="1"/>
  <c r="R391" i="1"/>
  <c r="U391" i="1"/>
  <c r="AG391" i="1" s="1"/>
  <c r="P397" i="1"/>
  <c r="S397" i="1"/>
  <c r="S414" i="1"/>
  <c r="AE414" i="1" s="1"/>
  <c r="S402" i="1"/>
  <c r="AE402" i="1" s="1"/>
  <c r="S390" i="1"/>
  <c r="AE390" i="1" s="1"/>
  <c r="X414" i="1"/>
  <c r="U414" i="1"/>
  <c r="AG414" i="1" s="1"/>
  <c r="X402" i="1"/>
  <c r="U402" i="1"/>
  <c r="AG402" i="1" s="1"/>
  <c r="X390" i="1"/>
  <c r="U390" i="1"/>
  <c r="X385" i="1"/>
  <c r="U385" i="1"/>
  <c r="P413" i="1"/>
  <c r="S413" i="1"/>
  <c r="P401" i="1"/>
  <c r="S401" i="1"/>
  <c r="AE401" i="1" s="1"/>
  <c r="P389" i="1"/>
  <c r="S389" i="1"/>
  <c r="AE389" i="1" s="1"/>
  <c r="X413" i="1"/>
  <c r="U413" i="1"/>
  <c r="AG413" i="1" s="1"/>
  <c r="X401" i="1"/>
  <c r="U401" i="1"/>
  <c r="AG401" i="1" s="1"/>
  <c r="X389" i="1"/>
  <c r="U389" i="1"/>
  <c r="AG389" i="1" s="1"/>
  <c r="S410" i="1"/>
  <c r="AE410" i="1" s="1"/>
  <c r="S398" i="1"/>
  <c r="AE398" i="1" s="1"/>
  <c r="S386" i="1"/>
  <c r="AE386" i="1" s="1"/>
  <c r="X386" i="1"/>
  <c r="U386" i="1"/>
  <c r="AG386" i="1" s="1"/>
  <c r="P409" i="1"/>
  <c r="S409" i="1"/>
  <c r="AE409" i="1" s="1"/>
  <c r="X421" i="1"/>
  <c r="U421" i="1"/>
  <c r="X397" i="1"/>
  <c r="U397" i="1"/>
  <c r="AG397" i="1" s="1"/>
  <c r="V412" i="1"/>
  <c r="S412" i="1"/>
  <c r="AE412" i="1" s="1"/>
  <c r="V400" i="1"/>
  <c r="S400" i="1"/>
  <c r="AE400" i="1" s="1"/>
  <c r="V388" i="1"/>
  <c r="S388" i="1"/>
  <c r="AE388" i="1" s="1"/>
  <c r="U412" i="1"/>
  <c r="AG412" i="1" s="1"/>
  <c r="U400" i="1"/>
  <c r="AG400" i="1" s="1"/>
  <c r="U388" i="1"/>
  <c r="AG388" i="1" s="1"/>
  <c r="X590" i="1"/>
  <c r="V583" i="1"/>
  <c r="R580" i="1"/>
  <c r="V575" i="1"/>
  <c r="P573" i="1"/>
  <c r="X558" i="1"/>
  <c r="P556" i="1"/>
  <c r="P544" i="1"/>
  <c r="V527" i="1"/>
  <c r="X587" i="1"/>
  <c r="X582" i="1"/>
  <c r="P527" i="1"/>
  <c r="R537" i="1"/>
  <c r="V579" i="1"/>
  <c r="V563" i="1"/>
  <c r="P561" i="1"/>
  <c r="X554" i="1"/>
  <c r="X542" i="1"/>
  <c r="P537" i="1"/>
  <c r="CK380" i="1"/>
  <c r="DN380" i="1" s="1"/>
  <c r="DN386" i="1"/>
  <c r="V595" i="1"/>
  <c r="AI595" i="1" s="1"/>
  <c r="R592" i="1"/>
  <c r="V587" i="1"/>
  <c r="V571" i="1"/>
  <c r="R568" i="1"/>
  <c r="P585" i="1"/>
  <c r="P577" i="1"/>
  <c r="V554" i="1"/>
  <c r="V542" i="1"/>
  <c r="V539" i="1"/>
  <c r="R529" i="1"/>
  <c r="P592" i="1"/>
  <c r="X578" i="1"/>
  <c r="P568" i="1"/>
  <c r="V551" i="1"/>
  <c r="X594" i="1"/>
  <c r="AK594" i="1" s="1"/>
  <c r="X570" i="1"/>
  <c r="V591" i="1"/>
  <c r="V578" i="1"/>
  <c r="V559" i="1"/>
  <c r="V535" i="1"/>
  <c r="X575" i="1"/>
  <c r="P565" i="1"/>
  <c r="R556" i="1"/>
  <c r="R544" i="1"/>
  <c r="P589" i="1"/>
  <c r="X566" i="1"/>
  <c r="V569" i="1"/>
  <c r="P569" i="1"/>
  <c r="P485" i="1"/>
  <c r="V485" i="1"/>
  <c r="R533" i="1"/>
  <c r="X533" i="1"/>
  <c r="P593" i="1"/>
  <c r="V581" i="1"/>
  <c r="P581" i="1"/>
  <c r="V545" i="1"/>
  <c r="P545" i="1"/>
  <c r="V521" i="1"/>
  <c r="P521" i="1"/>
  <c r="P497" i="1"/>
  <c r="V497" i="1"/>
  <c r="X581" i="1"/>
  <c r="R581" i="1"/>
  <c r="X557" i="1"/>
  <c r="R557" i="1"/>
  <c r="R521" i="1"/>
  <c r="X521" i="1"/>
  <c r="R497" i="1"/>
  <c r="X497" i="1"/>
  <c r="X485" i="1"/>
  <c r="R485" i="1"/>
  <c r="V594" i="1"/>
  <c r="AI594" i="1" s="1"/>
  <c r="X473" i="1"/>
  <c r="R473" i="1"/>
  <c r="V588" i="1"/>
  <c r="V576" i="1"/>
  <c r="V564" i="1"/>
  <c r="V552" i="1"/>
  <c r="V540" i="1"/>
  <c r="V528" i="1"/>
  <c r="P528" i="1"/>
  <c r="V516" i="1"/>
  <c r="P516" i="1"/>
  <c r="V504" i="1"/>
  <c r="P504" i="1"/>
  <c r="V492" i="1"/>
  <c r="P492" i="1"/>
  <c r="V480" i="1"/>
  <c r="P480" i="1"/>
  <c r="V468" i="1"/>
  <c r="P468" i="1"/>
  <c r="V456" i="1"/>
  <c r="P456" i="1"/>
  <c r="V444" i="1"/>
  <c r="P444" i="1"/>
  <c r="V432" i="1"/>
  <c r="P432" i="1"/>
  <c r="X588" i="1"/>
  <c r="X576" i="1"/>
  <c r="X564" i="1"/>
  <c r="X552" i="1"/>
  <c r="X540" i="1"/>
  <c r="R528" i="1"/>
  <c r="X528" i="1"/>
  <c r="R516" i="1"/>
  <c r="X516" i="1"/>
  <c r="R504" i="1"/>
  <c r="X504" i="1"/>
  <c r="R492" i="1"/>
  <c r="X492" i="1"/>
  <c r="R480" i="1"/>
  <c r="X480" i="1"/>
  <c r="X468" i="1"/>
  <c r="R468" i="1"/>
  <c r="X456" i="1"/>
  <c r="R456" i="1"/>
  <c r="R564" i="1"/>
  <c r="R552" i="1"/>
  <c r="X461" i="1"/>
  <c r="R461" i="1"/>
  <c r="P576" i="1"/>
  <c r="P586" i="1"/>
  <c r="P574" i="1"/>
  <c r="P562" i="1"/>
  <c r="P550" i="1"/>
  <c r="P538" i="1"/>
  <c r="V538" i="1"/>
  <c r="P526" i="1"/>
  <c r="V526" i="1"/>
  <c r="P514" i="1"/>
  <c r="V514" i="1"/>
  <c r="P502" i="1"/>
  <c r="V502" i="1"/>
  <c r="P490" i="1"/>
  <c r="V490" i="1"/>
  <c r="P478" i="1"/>
  <c r="V478" i="1"/>
  <c r="P466" i="1"/>
  <c r="V466" i="1"/>
  <c r="P454" i="1"/>
  <c r="V454" i="1"/>
  <c r="P442" i="1"/>
  <c r="V442" i="1"/>
  <c r="P430" i="1"/>
  <c r="V430" i="1"/>
  <c r="R586" i="1"/>
  <c r="R574" i="1"/>
  <c r="R562" i="1"/>
  <c r="R550" i="1"/>
  <c r="X538" i="1"/>
  <c r="R538" i="1"/>
  <c r="X526" i="1"/>
  <c r="R526" i="1"/>
  <c r="X514" i="1"/>
  <c r="R514" i="1"/>
  <c r="X502" i="1"/>
  <c r="R502" i="1"/>
  <c r="X490" i="1"/>
  <c r="R490" i="1"/>
  <c r="X478" i="1"/>
  <c r="R478" i="1"/>
  <c r="R466" i="1"/>
  <c r="X466" i="1"/>
  <c r="R454" i="1"/>
  <c r="X454" i="1"/>
  <c r="R442" i="1"/>
  <c r="X442" i="1"/>
  <c r="R430" i="1"/>
  <c r="X430" i="1"/>
  <c r="P564" i="1"/>
  <c r="P552" i="1"/>
  <c r="X449" i="1"/>
  <c r="R449" i="1"/>
  <c r="V584" i="1"/>
  <c r="V572" i="1"/>
  <c r="V560" i="1"/>
  <c r="V548" i="1"/>
  <c r="V536" i="1"/>
  <c r="P536" i="1"/>
  <c r="V524" i="1"/>
  <c r="P524" i="1"/>
  <c r="V512" i="1"/>
  <c r="P512" i="1"/>
  <c r="V500" i="1"/>
  <c r="P500" i="1"/>
  <c r="V488" i="1"/>
  <c r="P488" i="1"/>
  <c r="V476" i="1"/>
  <c r="P476" i="1"/>
  <c r="V464" i="1"/>
  <c r="P464" i="1"/>
  <c r="V452" i="1"/>
  <c r="P452" i="1"/>
  <c r="V440" i="1"/>
  <c r="P440" i="1"/>
  <c r="V428" i="1"/>
  <c r="P428" i="1"/>
  <c r="X584" i="1"/>
  <c r="X572" i="1"/>
  <c r="X560" i="1"/>
  <c r="X548" i="1"/>
  <c r="R536" i="1"/>
  <c r="X536" i="1"/>
  <c r="R524" i="1"/>
  <c r="X524" i="1"/>
  <c r="R512" i="1"/>
  <c r="X512" i="1"/>
  <c r="R500" i="1"/>
  <c r="X500" i="1"/>
  <c r="R488" i="1"/>
  <c r="X488" i="1"/>
  <c r="R476" i="1"/>
  <c r="X476" i="1"/>
  <c r="X464" i="1"/>
  <c r="R464" i="1"/>
  <c r="X452" i="1"/>
  <c r="R452" i="1"/>
  <c r="X440" i="1"/>
  <c r="R440" i="1"/>
  <c r="X428" i="1"/>
  <c r="R428" i="1"/>
  <c r="X437" i="1"/>
  <c r="R437" i="1"/>
  <c r="V557" i="1"/>
  <c r="P557" i="1"/>
  <c r="P533" i="1"/>
  <c r="V533" i="1"/>
  <c r="V509" i="1"/>
  <c r="P509" i="1"/>
  <c r="P473" i="1"/>
  <c r="V473" i="1"/>
  <c r="P461" i="1"/>
  <c r="V461" i="1"/>
  <c r="P449" i="1"/>
  <c r="V449" i="1"/>
  <c r="P437" i="1"/>
  <c r="V437" i="1"/>
  <c r="X593" i="1"/>
  <c r="R593" i="1"/>
  <c r="X569" i="1"/>
  <c r="R569" i="1"/>
  <c r="X545" i="1"/>
  <c r="R545" i="1"/>
  <c r="R509" i="1"/>
  <c r="X509" i="1"/>
  <c r="P582" i="1"/>
  <c r="P570" i="1"/>
  <c r="P558" i="1"/>
  <c r="P546" i="1"/>
  <c r="P534" i="1"/>
  <c r="V534" i="1"/>
  <c r="P522" i="1"/>
  <c r="V522" i="1"/>
  <c r="P510" i="1"/>
  <c r="V510" i="1"/>
  <c r="P498" i="1"/>
  <c r="V498" i="1"/>
  <c r="P486" i="1"/>
  <c r="V486" i="1"/>
  <c r="P474" i="1"/>
  <c r="V474" i="1"/>
  <c r="P462" i="1"/>
  <c r="V462" i="1"/>
  <c r="P450" i="1"/>
  <c r="V450" i="1"/>
  <c r="P438" i="1"/>
  <c r="V438" i="1"/>
  <c r="X586" i="1"/>
  <c r="V570" i="1"/>
  <c r="P489" i="1"/>
  <c r="V489" i="1"/>
  <c r="P477" i="1"/>
  <c r="V477" i="1"/>
  <c r="P465" i="1"/>
  <c r="V465" i="1"/>
  <c r="P453" i="1"/>
  <c r="V453" i="1"/>
  <c r="P441" i="1"/>
  <c r="V441" i="1"/>
  <c r="P429" i="1"/>
  <c r="V429" i="1"/>
  <c r="X489" i="1"/>
  <c r="R489" i="1"/>
  <c r="X477" i="1"/>
  <c r="R477" i="1"/>
  <c r="X465" i="1"/>
  <c r="R465" i="1"/>
  <c r="X453" i="1"/>
  <c r="R453" i="1"/>
  <c r="X441" i="1"/>
  <c r="R441" i="1"/>
  <c r="X429" i="1"/>
  <c r="R429" i="1"/>
  <c r="V530" i="1"/>
  <c r="X525" i="1"/>
  <c r="R519" i="1"/>
  <c r="X513" i="1"/>
  <c r="V506" i="1"/>
  <c r="P505" i="1"/>
  <c r="R503" i="1"/>
  <c r="P529" i="1"/>
  <c r="X520" i="1"/>
  <c r="R517" i="1"/>
  <c r="X511" i="1"/>
  <c r="R510" i="1"/>
  <c r="R501" i="1"/>
  <c r="P511" i="1"/>
  <c r="P499" i="1"/>
  <c r="V487" i="1"/>
  <c r="P487" i="1"/>
  <c r="V475" i="1"/>
  <c r="P475" i="1"/>
  <c r="V463" i="1"/>
  <c r="P463" i="1"/>
  <c r="V451" i="1"/>
  <c r="P451" i="1"/>
  <c r="V439" i="1"/>
  <c r="P439" i="1"/>
  <c r="R487" i="1"/>
  <c r="X487" i="1"/>
  <c r="R475" i="1"/>
  <c r="X475" i="1"/>
  <c r="R463" i="1"/>
  <c r="X463" i="1"/>
  <c r="R451" i="1"/>
  <c r="X451" i="1"/>
  <c r="R439" i="1"/>
  <c r="X439" i="1"/>
  <c r="X595" i="1"/>
  <c r="AK595" i="1" s="1"/>
  <c r="X591" i="1"/>
  <c r="R589" i="1"/>
  <c r="R585" i="1"/>
  <c r="X583" i="1"/>
  <c r="X579" i="1"/>
  <c r="R577" i="1"/>
  <c r="R573" i="1"/>
  <c r="X571" i="1"/>
  <c r="X567" i="1"/>
  <c r="R565" i="1"/>
  <c r="R561" i="1"/>
  <c r="X559" i="1"/>
  <c r="X555" i="1"/>
  <c r="R553" i="1"/>
  <c r="X551" i="1"/>
  <c r="R549" i="1"/>
  <c r="X547" i="1"/>
  <c r="X543" i="1"/>
  <c r="R541" i="1"/>
  <c r="X539" i="1"/>
  <c r="R535" i="1"/>
  <c r="P532" i="1"/>
  <c r="R527" i="1"/>
  <c r="V525" i="1"/>
  <c r="X486" i="1"/>
  <c r="X474" i="1"/>
  <c r="R462" i="1"/>
  <c r="X462" i="1"/>
  <c r="R450" i="1"/>
  <c r="X450" i="1"/>
  <c r="R438" i="1"/>
  <c r="X438" i="1"/>
  <c r="EN594" i="1"/>
  <c r="X531" i="1"/>
  <c r="X523" i="1"/>
  <c r="V518" i="1"/>
  <c r="P517" i="1"/>
  <c r="R515" i="1"/>
  <c r="V511" i="1"/>
  <c r="P501" i="1"/>
  <c r="R499" i="1"/>
  <c r="V567" i="1"/>
  <c r="V555" i="1"/>
  <c r="P549" i="1"/>
  <c r="V547" i="1"/>
  <c r="V543" i="1"/>
  <c r="P541" i="1"/>
  <c r="P535" i="1"/>
  <c r="R522" i="1"/>
  <c r="R513" i="1"/>
  <c r="X507" i="1"/>
  <c r="R506" i="1"/>
  <c r="R474" i="1"/>
  <c r="V520" i="1"/>
  <c r="V508" i="1"/>
  <c r="V496" i="1"/>
  <c r="V484" i="1"/>
  <c r="V472" i="1"/>
  <c r="V460" i="1"/>
  <c r="P460" i="1"/>
  <c r="V448" i="1"/>
  <c r="P448" i="1"/>
  <c r="V436" i="1"/>
  <c r="P436" i="1"/>
  <c r="R496" i="1"/>
  <c r="R484" i="1"/>
  <c r="X472" i="1"/>
  <c r="R472" i="1"/>
  <c r="X460" i="1"/>
  <c r="R460" i="1"/>
  <c r="X448" i="1"/>
  <c r="R448" i="1"/>
  <c r="X436" i="1"/>
  <c r="R436" i="1"/>
  <c r="X592" i="1"/>
  <c r="X580" i="1"/>
  <c r="X568" i="1"/>
  <c r="X556" i="1"/>
  <c r="X544" i="1"/>
  <c r="V531" i="1"/>
  <c r="R525" i="1"/>
  <c r="V523" i="1"/>
  <c r="P519" i="1"/>
  <c r="P507" i="1"/>
  <c r="V495" i="1"/>
  <c r="P495" i="1"/>
  <c r="V483" i="1"/>
  <c r="P483" i="1"/>
  <c r="V471" i="1"/>
  <c r="P471" i="1"/>
  <c r="V459" i="1"/>
  <c r="P459" i="1"/>
  <c r="V447" i="1"/>
  <c r="P447" i="1"/>
  <c r="V435" i="1"/>
  <c r="P435" i="1"/>
  <c r="R483" i="1"/>
  <c r="X483" i="1"/>
  <c r="R471" i="1"/>
  <c r="X471" i="1"/>
  <c r="R459" i="1"/>
  <c r="X459" i="1"/>
  <c r="R447" i="1"/>
  <c r="X447" i="1"/>
  <c r="R435" i="1"/>
  <c r="X435" i="1"/>
  <c r="EN595" i="1"/>
  <c r="X537" i="1"/>
  <c r="X529" i="1"/>
  <c r="P520" i="1"/>
  <c r="P513" i="1"/>
  <c r="V507" i="1"/>
  <c r="X505" i="1"/>
  <c r="X496" i="1"/>
  <c r="P494" i="1"/>
  <c r="P482" i="1"/>
  <c r="P470" i="1"/>
  <c r="V470" i="1"/>
  <c r="P458" i="1"/>
  <c r="V458" i="1"/>
  <c r="P446" i="1"/>
  <c r="V446" i="1"/>
  <c r="P434" i="1"/>
  <c r="V434" i="1"/>
  <c r="X482" i="1"/>
  <c r="R470" i="1"/>
  <c r="X470" i="1"/>
  <c r="R458" i="1"/>
  <c r="X458" i="1"/>
  <c r="R446" i="1"/>
  <c r="X446" i="1"/>
  <c r="R434" i="1"/>
  <c r="X434" i="1"/>
  <c r="V592" i="1"/>
  <c r="V580" i="1"/>
  <c r="V568" i="1"/>
  <c r="V556" i="1"/>
  <c r="V544" i="1"/>
  <c r="X519" i="1"/>
  <c r="R518" i="1"/>
  <c r="X503" i="1"/>
  <c r="P493" i="1"/>
  <c r="V493" i="1"/>
  <c r="P481" i="1"/>
  <c r="V481" i="1"/>
  <c r="P469" i="1"/>
  <c r="V469" i="1"/>
  <c r="P457" i="1"/>
  <c r="V457" i="1"/>
  <c r="P445" i="1"/>
  <c r="V445" i="1"/>
  <c r="P433" i="1"/>
  <c r="V433" i="1"/>
  <c r="X493" i="1"/>
  <c r="X481" i="1"/>
  <c r="R481" i="1"/>
  <c r="X469" i="1"/>
  <c r="R469" i="1"/>
  <c r="X457" i="1"/>
  <c r="R457" i="1"/>
  <c r="X445" i="1"/>
  <c r="R445" i="1"/>
  <c r="X433" i="1"/>
  <c r="R433" i="1"/>
  <c r="V537" i="1"/>
  <c r="X532" i="1"/>
  <c r="V529" i="1"/>
  <c r="R494" i="1"/>
  <c r="X491" i="1"/>
  <c r="P484" i="1"/>
  <c r="CK383" i="1"/>
  <c r="DN383" i="1" s="1"/>
  <c r="CK389" i="1"/>
  <c r="DN389" i="1" s="1"/>
  <c r="X444" i="1"/>
  <c r="R444" i="1"/>
  <c r="X432" i="1"/>
  <c r="R432" i="1"/>
  <c r="V519" i="1"/>
  <c r="X517" i="1"/>
  <c r="X501" i="1"/>
  <c r="P515" i="1"/>
  <c r="P503" i="1"/>
  <c r="V491" i="1"/>
  <c r="P491" i="1"/>
  <c r="V479" i="1"/>
  <c r="P479" i="1"/>
  <c r="V467" i="1"/>
  <c r="P467" i="1"/>
  <c r="V455" i="1"/>
  <c r="P455" i="1"/>
  <c r="V443" i="1"/>
  <c r="P443" i="1"/>
  <c r="V431" i="1"/>
  <c r="P431" i="1"/>
  <c r="R479" i="1"/>
  <c r="X479" i="1"/>
  <c r="R467" i="1"/>
  <c r="X467" i="1"/>
  <c r="R455" i="1"/>
  <c r="X455" i="1"/>
  <c r="R443" i="1"/>
  <c r="X443" i="1"/>
  <c r="R431" i="1"/>
  <c r="X431" i="1"/>
  <c r="R534" i="1"/>
  <c r="P531" i="1"/>
  <c r="P523" i="1"/>
  <c r="X508" i="1"/>
  <c r="R505" i="1"/>
  <c r="R498" i="1"/>
  <c r="P496" i="1"/>
  <c r="R486" i="1"/>
  <c r="EH384" i="1"/>
  <c r="EJ384" i="1"/>
  <c r="EH390" i="1"/>
  <c r="EJ390" i="1"/>
  <c r="EJ385" i="1"/>
  <c r="EH385" i="1"/>
  <c r="EJ391" i="1"/>
  <c r="EH391" i="1"/>
  <c r="EH380" i="1"/>
  <c r="EJ380" i="1"/>
  <c r="EJ386" i="1"/>
  <c r="EH386" i="1"/>
  <c r="EJ381" i="1"/>
  <c r="EH381" i="1"/>
  <c r="EJ387" i="1"/>
  <c r="EH387" i="1"/>
  <c r="EH382" i="1"/>
  <c r="EJ382" i="1"/>
  <c r="EH388" i="1"/>
  <c r="EJ388" i="1"/>
  <c r="CK384" i="1"/>
  <c r="DN384" i="1" s="1"/>
  <c r="CK390" i="1"/>
  <c r="DN390" i="1" s="1"/>
  <c r="EH383" i="1"/>
  <c r="EJ383" i="1"/>
  <c r="EH389" i="1"/>
  <c r="EJ389" i="1"/>
  <c r="CK385" i="1"/>
  <c r="DN385" i="1" s="1"/>
  <c r="CK391" i="1"/>
  <c r="DN391" i="1" s="1"/>
  <c r="AG416" i="1"/>
  <c r="AG404" i="1"/>
  <c r="AG392" i="1"/>
  <c r="AG380" i="1"/>
  <c r="AG427" i="1"/>
  <c r="V426" i="1"/>
  <c r="R426" i="1"/>
  <c r="X424" i="1"/>
  <c r="P424" i="1"/>
  <c r="AG423" i="1"/>
  <c r="V422" i="1"/>
  <c r="R422" i="1"/>
  <c r="AE421" i="1"/>
  <c r="X420" i="1"/>
  <c r="P420" i="1"/>
  <c r="V418" i="1"/>
  <c r="R418" i="1"/>
  <c r="X416" i="1"/>
  <c r="P416" i="1"/>
  <c r="V414" i="1"/>
  <c r="R414" i="1"/>
  <c r="AE413" i="1"/>
  <c r="X412" i="1"/>
  <c r="P412" i="1"/>
  <c r="AG411" i="1"/>
  <c r="V410" i="1"/>
  <c r="R410" i="1"/>
  <c r="X408" i="1"/>
  <c r="P408" i="1"/>
  <c r="V406" i="1"/>
  <c r="R406" i="1"/>
  <c r="AE405" i="1"/>
  <c r="X404" i="1"/>
  <c r="P404" i="1"/>
  <c r="AG403" i="1"/>
  <c r="V402" i="1"/>
  <c r="R402" i="1"/>
  <c r="X400" i="1"/>
  <c r="P400" i="1"/>
  <c r="V398" i="1"/>
  <c r="R398" i="1"/>
  <c r="AE397" i="1"/>
  <c r="X396" i="1"/>
  <c r="P396" i="1"/>
  <c r="V394" i="1"/>
  <c r="R394" i="1"/>
  <c r="X392" i="1"/>
  <c r="P392" i="1"/>
  <c r="V390" i="1"/>
  <c r="R390" i="1"/>
  <c r="X388" i="1"/>
  <c r="P388" i="1"/>
  <c r="AG387" i="1"/>
  <c r="V386" i="1"/>
  <c r="R386" i="1"/>
  <c r="AE385" i="1"/>
  <c r="X384" i="1"/>
  <c r="P384" i="1"/>
  <c r="V382" i="1"/>
  <c r="R382" i="1"/>
  <c r="X380" i="1"/>
  <c r="P380" i="1"/>
  <c r="X427" i="1"/>
  <c r="P427" i="1"/>
  <c r="AG426" i="1"/>
  <c r="V425" i="1"/>
  <c r="R425" i="1"/>
  <c r="AE424" i="1"/>
  <c r="X423" i="1"/>
  <c r="P423" i="1"/>
  <c r="AG422" i="1"/>
  <c r="V421" i="1"/>
  <c r="R421" i="1"/>
  <c r="X419" i="1"/>
  <c r="P419" i="1"/>
  <c r="V417" i="1"/>
  <c r="R417" i="1"/>
  <c r="X415" i="1"/>
  <c r="P415" i="1"/>
  <c r="V413" i="1"/>
  <c r="R413" i="1"/>
  <c r="X411" i="1"/>
  <c r="P411" i="1"/>
  <c r="AG410" i="1"/>
  <c r="V409" i="1"/>
  <c r="R409" i="1"/>
  <c r="X407" i="1"/>
  <c r="P407" i="1"/>
  <c r="V405" i="1"/>
  <c r="R405" i="1"/>
  <c r="X403" i="1"/>
  <c r="P403" i="1"/>
  <c r="V401" i="1"/>
  <c r="R401" i="1"/>
  <c r="X399" i="1"/>
  <c r="P399" i="1"/>
  <c r="AG398" i="1"/>
  <c r="V397" i="1"/>
  <c r="R397" i="1"/>
  <c r="X395" i="1"/>
  <c r="P395" i="1"/>
  <c r="V393" i="1"/>
  <c r="R393" i="1"/>
  <c r="X391" i="1"/>
  <c r="P391" i="1"/>
  <c r="AG390" i="1"/>
  <c r="V389" i="1"/>
  <c r="R389" i="1"/>
  <c r="X387" i="1"/>
  <c r="P387" i="1"/>
  <c r="V385" i="1"/>
  <c r="R385" i="1"/>
  <c r="AE384" i="1"/>
  <c r="X383" i="1"/>
  <c r="P383" i="1"/>
  <c r="V381" i="1"/>
  <c r="R381" i="1"/>
  <c r="P426" i="1"/>
  <c r="R424" i="1"/>
  <c r="AE423" i="1"/>
  <c r="P422" i="1"/>
  <c r="AG421" i="1"/>
  <c r="R420" i="1"/>
  <c r="P418" i="1"/>
  <c r="R416" i="1"/>
  <c r="AE415" i="1"/>
  <c r="P414" i="1"/>
  <c r="R412" i="1"/>
  <c r="P410" i="1"/>
  <c r="AG409" i="1"/>
  <c r="R408" i="1"/>
  <c r="P406" i="1"/>
  <c r="AG405" i="1"/>
  <c r="R404" i="1"/>
  <c r="P402" i="1"/>
  <c r="R400" i="1"/>
  <c r="AE399" i="1"/>
  <c r="P398" i="1"/>
  <c r="R396" i="1"/>
  <c r="P394" i="1"/>
  <c r="R392" i="1"/>
  <c r="P390" i="1"/>
  <c r="R388" i="1"/>
  <c r="P386" i="1"/>
  <c r="AG385" i="1"/>
  <c r="R384" i="1"/>
  <c r="AE383" i="1"/>
  <c r="P382" i="1"/>
  <c r="AG381" i="1"/>
  <c r="R380" i="1"/>
  <c r="AD23" i="59"/>
  <c r="AC22" i="59"/>
  <c r="DN387" i="1"/>
  <c r="DN382" i="1"/>
  <c r="AC594" i="1"/>
  <c r="AD595" i="1"/>
  <c r="DN381" i="1"/>
  <c r="E38" i="66" l="1"/>
  <c r="E38" i="29"/>
  <c r="E37" i="66"/>
  <c r="E37" i="29"/>
  <c r="E40" i="66"/>
  <c r="E40" i="29"/>
  <c r="E39" i="66"/>
  <c r="E39" i="29"/>
  <c r="C39" i="66"/>
  <c r="C39" i="29"/>
  <c r="C40" i="66"/>
  <c r="C40" i="29"/>
  <c r="C36" i="66"/>
  <c r="C36" i="29"/>
  <c r="E36" i="66"/>
  <c r="E36" i="29"/>
  <c r="C37" i="29"/>
  <c r="C37" i="66"/>
  <c r="C38" i="29"/>
  <c r="C38" i="66"/>
  <c r="EJ400" i="1"/>
  <c r="EH400" i="1"/>
  <c r="CK400" i="1"/>
  <c r="DN400" i="1" s="1"/>
  <c r="EJ403" i="1"/>
  <c r="EH403" i="1"/>
  <c r="CK403" i="1"/>
  <c r="DN403" i="1" s="1"/>
  <c r="EH398" i="1"/>
  <c r="EJ398" i="1"/>
  <c r="CK398" i="1"/>
  <c r="DN398" i="1" s="1"/>
  <c r="EJ396" i="1"/>
  <c r="EH396" i="1"/>
  <c r="CK396" i="1"/>
  <c r="DN396" i="1" s="1"/>
  <c r="EJ394" i="1"/>
  <c r="EH394" i="1"/>
  <c r="CK394" i="1"/>
  <c r="DN394" i="1" s="1"/>
  <c r="EJ401" i="1"/>
  <c r="EH401" i="1"/>
  <c r="CK401" i="1"/>
  <c r="DN401" i="1" s="1"/>
  <c r="EJ395" i="1"/>
  <c r="EH395" i="1"/>
  <c r="CK395" i="1"/>
  <c r="DN395" i="1" s="1"/>
  <c r="EJ402" i="1"/>
  <c r="EH402" i="1"/>
  <c r="CK402" i="1"/>
  <c r="DN402" i="1" s="1"/>
  <c r="EH397" i="1"/>
  <c r="EJ397" i="1"/>
  <c r="CK397" i="1"/>
  <c r="DN397" i="1" s="1"/>
  <c r="EH399" i="1"/>
  <c r="EJ399" i="1"/>
  <c r="CK399" i="1"/>
  <c r="DN399" i="1" s="1"/>
  <c r="EJ393" i="1"/>
  <c r="EH393" i="1"/>
  <c r="CK393" i="1"/>
  <c r="DN393" i="1" s="1"/>
  <c r="EJ392" i="1"/>
  <c r="EH392" i="1"/>
  <c r="CK392" i="1"/>
  <c r="DN392" i="1" s="1"/>
  <c r="AE380" i="1"/>
  <c r="AE404" i="1"/>
  <c r="AE392" i="1"/>
  <c r="AE416" i="1"/>
  <c r="AD24" i="59"/>
  <c r="AC23" i="59"/>
  <c r="EH405" i="1" l="1"/>
  <c r="EJ405" i="1"/>
  <c r="CK405" i="1"/>
  <c r="DN405" i="1" s="1"/>
  <c r="EJ414" i="1"/>
  <c r="EH414" i="1"/>
  <c r="CK414" i="1"/>
  <c r="DN414" i="1" s="1"/>
  <c r="EJ410" i="1"/>
  <c r="EH410" i="1"/>
  <c r="CK410" i="1"/>
  <c r="DN410" i="1" s="1"/>
  <c r="EJ415" i="1"/>
  <c r="EH415" i="1"/>
  <c r="CK415" i="1"/>
  <c r="DN415" i="1" s="1"/>
  <c r="EJ404" i="1"/>
  <c r="EH404" i="1"/>
  <c r="CK404" i="1"/>
  <c r="DN404" i="1" s="1"/>
  <c r="EJ411" i="1"/>
  <c r="EH411" i="1"/>
  <c r="CK411" i="1"/>
  <c r="DN411" i="1" s="1"/>
  <c r="EH407" i="1"/>
  <c r="EJ407" i="1"/>
  <c r="CK407" i="1"/>
  <c r="DN407" i="1" s="1"/>
  <c r="EJ406" i="1"/>
  <c r="EH406" i="1"/>
  <c r="CK406" i="1"/>
  <c r="DN406" i="1" s="1"/>
  <c r="EH408" i="1"/>
  <c r="EJ408" i="1"/>
  <c r="CK408" i="1"/>
  <c r="DN408" i="1" s="1"/>
  <c r="EJ412" i="1"/>
  <c r="EH412" i="1"/>
  <c r="CK412" i="1"/>
  <c r="DN412" i="1" s="1"/>
  <c r="EJ409" i="1"/>
  <c r="EH409" i="1"/>
  <c r="CK409" i="1"/>
  <c r="DN409" i="1" s="1"/>
  <c r="EH413" i="1"/>
  <c r="EJ413" i="1"/>
  <c r="CK413" i="1"/>
  <c r="DN413" i="1" s="1"/>
  <c r="AD25" i="59"/>
  <c r="AC24" i="59"/>
  <c r="EJ423" i="1" l="1"/>
  <c r="EH423" i="1"/>
  <c r="CK423" i="1"/>
  <c r="DN423" i="1" s="1"/>
  <c r="EJ421" i="1"/>
  <c r="EH421" i="1"/>
  <c r="CK421" i="1"/>
  <c r="DN421" i="1" s="1"/>
  <c r="EH416" i="1"/>
  <c r="EJ416" i="1"/>
  <c r="CK416" i="1"/>
  <c r="DN416" i="1" s="1"/>
  <c r="EJ426" i="1"/>
  <c r="EH426" i="1"/>
  <c r="CK426" i="1"/>
  <c r="DN426" i="1" s="1"/>
  <c r="EJ420" i="1"/>
  <c r="EH420" i="1"/>
  <c r="CK420" i="1"/>
  <c r="DN420" i="1" s="1"/>
  <c r="EJ418" i="1"/>
  <c r="EH418" i="1"/>
  <c r="CK418" i="1"/>
  <c r="DN418" i="1" s="1"/>
  <c r="EJ425" i="1"/>
  <c r="EH425" i="1"/>
  <c r="CK425" i="1"/>
  <c r="DN425" i="1" s="1"/>
  <c r="EH422" i="1"/>
  <c r="EJ422" i="1"/>
  <c r="CK422" i="1"/>
  <c r="DN422" i="1" s="1"/>
  <c r="EH424" i="1"/>
  <c r="EJ424" i="1"/>
  <c r="CK424" i="1"/>
  <c r="DN424" i="1" s="1"/>
  <c r="EH419" i="1"/>
  <c r="EJ419" i="1"/>
  <c r="CK419" i="1"/>
  <c r="DN419" i="1" s="1"/>
  <c r="EH427" i="1"/>
  <c r="EJ427" i="1"/>
  <c r="CK427" i="1"/>
  <c r="DN427" i="1" s="1"/>
  <c r="EJ417" i="1"/>
  <c r="EH417" i="1"/>
  <c r="CK417" i="1"/>
  <c r="DN417" i="1" s="1"/>
  <c r="AD26" i="59"/>
  <c r="AC25" i="59"/>
  <c r="EJ436" i="1" l="1"/>
  <c r="EH436" i="1"/>
  <c r="CK436" i="1"/>
  <c r="DN436" i="1" s="1"/>
  <c r="EJ428" i="1"/>
  <c r="EH428" i="1"/>
  <c r="CK428" i="1"/>
  <c r="DN428" i="1" s="1"/>
  <c r="EH434" i="1"/>
  <c r="EJ434" i="1"/>
  <c r="CK434" i="1"/>
  <c r="DN434" i="1" s="1"/>
  <c r="EJ432" i="1"/>
  <c r="EH432" i="1"/>
  <c r="CK432" i="1"/>
  <c r="DN432" i="1" s="1"/>
  <c r="EJ433" i="1"/>
  <c r="EH433" i="1"/>
  <c r="CK433" i="1"/>
  <c r="DN433" i="1" s="1"/>
  <c r="EH430" i="1"/>
  <c r="EJ430" i="1"/>
  <c r="CK430" i="1"/>
  <c r="DN430" i="1" s="1"/>
  <c r="EJ429" i="1"/>
  <c r="EH429" i="1"/>
  <c r="CK429" i="1"/>
  <c r="DN429" i="1" s="1"/>
  <c r="EJ439" i="1"/>
  <c r="EH439" i="1"/>
  <c r="CK439" i="1"/>
  <c r="DN439" i="1" s="1"/>
  <c r="EH431" i="1"/>
  <c r="EJ431" i="1"/>
  <c r="CK431" i="1"/>
  <c r="DN431" i="1" s="1"/>
  <c r="EJ437" i="1"/>
  <c r="EH437" i="1"/>
  <c r="CK437" i="1"/>
  <c r="DN437" i="1" s="1"/>
  <c r="EH438" i="1"/>
  <c r="EJ438" i="1"/>
  <c r="CK438" i="1"/>
  <c r="DN438" i="1" s="1"/>
  <c r="EJ435" i="1"/>
  <c r="EH435" i="1"/>
  <c r="CK435" i="1"/>
  <c r="DN435" i="1" s="1"/>
  <c r="AD27" i="59"/>
  <c r="AC26" i="59"/>
  <c r="EJ446" i="1" l="1"/>
  <c r="EH446" i="1"/>
  <c r="CK446" i="1"/>
  <c r="DN446" i="1" s="1"/>
  <c r="EH451" i="1"/>
  <c r="EJ451" i="1"/>
  <c r="CK451" i="1"/>
  <c r="DN451" i="1" s="1"/>
  <c r="EJ445" i="1"/>
  <c r="EH445" i="1"/>
  <c r="CK445" i="1"/>
  <c r="DN445" i="1" s="1"/>
  <c r="EJ440" i="1"/>
  <c r="EH440" i="1"/>
  <c r="CK440" i="1"/>
  <c r="DN440" i="1" s="1"/>
  <c r="EJ447" i="1"/>
  <c r="EH447" i="1"/>
  <c r="CK447" i="1"/>
  <c r="DN447" i="1" s="1"/>
  <c r="EJ442" i="1"/>
  <c r="EH442" i="1"/>
  <c r="CK442" i="1"/>
  <c r="DN442" i="1" s="1"/>
  <c r="EJ450" i="1"/>
  <c r="EH450" i="1"/>
  <c r="CK450" i="1"/>
  <c r="DN450" i="1" s="1"/>
  <c r="EJ443" i="1"/>
  <c r="EH443" i="1"/>
  <c r="CK443" i="1"/>
  <c r="DN443" i="1" s="1"/>
  <c r="EJ449" i="1"/>
  <c r="EH449" i="1"/>
  <c r="CK449" i="1"/>
  <c r="DN449" i="1" s="1"/>
  <c r="EJ441" i="1"/>
  <c r="EH441" i="1"/>
  <c r="CK441" i="1"/>
  <c r="DN441" i="1" s="1"/>
  <c r="EJ444" i="1"/>
  <c r="EH444" i="1"/>
  <c r="CK444" i="1"/>
  <c r="DN444" i="1" s="1"/>
  <c r="EJ448" i="1"/>
  <c r="EH448" i="1"/>
  <c r="CK448" i="1"/>
  <c r="DN448" i="1" s="1"/>
  <c r="AD28" i="59"/>
  <c r="AC27" i="59"/>
  <c r="EH460" i="1" l="1"/>
  <c r="EJ460" i="1"/>
  <c r="CK460" i="1"/>
  <c r="DN460" i="1" s="1"/>
  <c r="EH461" i="1"/>
  <c r="EJ461" i="1"/>
  <c r="CK461" i="1"/>
  <c r="DN461" i="1" s="1"/>
  <c r="EH454" i="1"/>
  <c r="EJ454" i="1"/>
  <c r="CK454" i="1"/>
  <c r="DN454" i="1" s="1"/>
  <c r="EH457" i="1"/>
  <c r="EJ457" i="1"/>
  <c r="CK457" i="1"/>
  <c r="DN457" i="1" s="1"/>
  <c r="EH456" i="1"/>
  <c r="EJ456" i="1"/>
  <c r="CK456" i="1"/>
  <c r="DN456" i="1" s="1"/>
  <c r="EJ455" i="1"/>
  <c r="EH455" i="1"/>
  <c r="CK455" i="1"/>
  <c r="DN455" i="1" s="1"/>
  <c r="EJ459" i="1"/>
  <c r="EH459" i="1"/>
  <c r="CK459" i="1"/>
  <c r="DN459" i="1" s="1"/>
  <c r="EH463" i="1"/>
  <c r="EJ463" i="1"/>
  <c r="CK463" i="1"/>
  <c r="DN463" i="1" s="1"/>
  <c r="EJ453" i="1"/>
  <c r="EH453" i="1"/>
  <c r="CK453" i="1"/>
  <c r="DN453" i="1" s="1"/>
  <c r="EH462" i="1"/>
  <c r="EJ462" i="1"/>
  <c r="CK462" i="1"/>
  <c r="DN462" i="1" s="1"/>
  <c r="EJ452" i="1"/>
  <c r="EH452" i="1"/>
  <c r="CK452" i="1"/>
  <c r="DN452" i="1" s="1"/>
  <c r="EH458" i="1"/>
  <c r="EJ458" i="1"/>
  <c r="CK458" i="1"/>
  <c r="DN458" i="1" s="1"/>
  <c r="AD29" i="59"/>
  <c r="AC28" i="59"/>
  <c r="EH470" i="1" l="1"/>
  <c r="EJ470" i="1"/>
  <c r="CK470" i="1"/>
  <c r="DN470" i="1" s="1"/>
  <c r="EJ465" i="1"/>
  <c r="EH465" i="1"/>
  <c r="CK465" i="1"/>
  <c r="DN465" i="1" s="1"/>
  <c r="EJ467" i="1"/>
  <c r="EH467" i="1"/>
  <c r="CK467" i="1"/>
  <c r="DN467" i="1" s="1"/>
  <c r="EJ466" i="1"/>
  <c r="EH466" i="1"/>
  <c r="CK466" i="1"/>
  <c r="DN466" i="1" s="1"/>
  <c r="EJ464" i="1"/>
  <c r="EH464" i="1"/>
  <c r="CK464" i="1"/>
  <c r="DN464" i="1" s="1"/>
  <c r="EJ475" i="1"/>
  <c r="EH475" i="1"/>
  <c r="CK475" i="1"/>
  <c r="DN475" i="1" s="1"/>
  <c r="EH468" i="1"/>
  <c r="EJ468" i="1"/>
  <c r="CK468" i="1"/>
  <c r="DN468" i="1" s="1"/>
  <c r="EH473" i="1"/>
  <c r="EJ473" i="1"/>
  <c r="CK473" i="1"/>
  <c r="DN473" i="1" s="1"/>
  <c r="EH474" i="1"/>
  <c r="EJ474" i="1"/>
  <c r="CK474" i="1"/>
  <c r="DN474" i="1" s="1"/>
  <c r="EJ471" i="1"/>
  <c r="EH471" i="1"/>
  <c r="CK471" i="1"/>
  <c r="DN471" i="1" s="1"/>
  <c r="EJ469" i="1"/>
  <c r="EH469" i="1"/>
  <c r="CK469" i="1"/>
  <c r="DN469" i="1" s="1"/>
  <c r="EH472" i="1"/>
  <c r="EJ472" i="1"/>
  <c r="CK472" i="1"/>
  <c r="DN472" i="1" s="1"/>
  <c r="AD30" i="59"/>
  <c r="AC30" i="59" s="1"/>
  <c r="AC29" i="59"/>
  <c r="EH484" i="1" l="1"/>
  <c r="EJ484" i="1"/>
  <c r="CK484" i="1"/>
  <c r="DN484" i="1" s="1"/>
  <c r="EH486" i="1"/>
  <c r="EJ486" i="1"/>
  <c r="CK486" i="1"/>
  <c r="DN486" i="1" s="1"/>
  <c r="EH487" i="1"/>
  <c r="EJ487" i="1"/>
  <c r="CK487" i="1"/>
  <c r="DN487" i="1" s="1"/>
  <c r="EJ479" i="1"/>
  <c r="EH479" i="1"/>
  <c r="CK479" i="1"/>
  <c r="DN479" i="1" s="1"/>
  <c r="EH481" i="1"/>
  <c r="EJ481" i="1"/>
  <c r="CK481" i="1"/>
  <c r="DN481" i="1" s="1"/>
  <c r="EH485" i="1"/>
  <c r="EJ485" i="1"/>
  <c r="CK485" i="1"/>
  <c r="DN485" i="1" s="1"/>
  <c r="EH476" i="1"/>
  <c r="EJ476" i="1"/>
  <c r="CK476" i="1"/>
  <c r="DN476" i="1" s="1"/>
  <c r="EJ477" i="1"/>
  <c r="EH477" i="1"/>
  <c r="CK477" i="1"/>
  <c r="DN477" i="1" s="1"/>
  <c r="EJ483" i="1"/>
  <c r="EH483" i="1"/>
  <c r="CK483" i="1"/>
  <c r="DN483" i="1" s="1"/>
  <c r="EH480" i="1"/>
  <c r="EJ480" i="1"/>
  <c r="CK480" i="1"/>
  <c r="DN480" i="1" s="1"/>
  <c r="EJ478" i="1"/>
  <c r="EH478" i="1"/>
  <c r="CK478" i="1"/>
  <c r="DN478" i="1" s="1"/>
  <c r="EJ482" i="1"/>
  <c r="EH482" i="1"/>
  <c r="CK482" i="1"/>
  <c r="DN482" i="1" s="1"/>
  <c r="AA7" i="27"/>
  <c r="AA6" i="27"/>
  <c r="J7" i="43"/>
  <c r="J6" i="43"/>
  <c r="W29" i="27"/>
  <c r="X29" i="27"/>
  <c r="Y29" i="27"/>
  <c r="Z29" i="27"/>
  <c r="W30" i="27"/>
  <c r="X30" i="27"/>
  <c r="Y30" i="27"/>
  <c r="Z30" i="27"/>
  <c r="W31" i="27"/>
  <c r="X31" i="27"/>
  <c r="Y31" i="27"/>
  <c r="Z31" i="27"/>
  <c r="W32" i="27"/>
  <c r="X32" i="27"/>
  <c r="Y32" i="27"/>
  <c r="Z32" i="27"/>
  <c r="W33" i="27"/>
  <c r="X33" i="27"/>
  <c r="Y33" i="27"/>
  <c r="Z33" i="27"/>
  <c r="W34" i="27"/>
  <c r="X34" i="27"/>
  <c r="Y34" i="27"/>
  <c r="Z34" i="27"/>
  <c r="W35" i="27"/>
  <c r="X35" i="27"/>
  <c r="Y35" i="27"/>
  <c r="Z35" i="27"/>
  <c r="W36" i="27"/>
  <c r="X36" i="27"/>
  <c r="Y36" i="27"/>
  <c r="Z36" i="27"/>
  <c r="W37" i="27"/>
  <c r="X37" i="27"/>
  <c r="Y37" i="27"/>
  <c r="Z37" i="27"/>
  <c r="W38" i="27"/>
  <c r="X38" i="27"/>
  <c r="Y38" i="27"/>
  <c r="Z38" i="27"/>
  <c r="W39" i="27"/>
  <c r="X39" i="27"/>
  <c r="Y39" i="27"/>
  <c r="Z39" i="27"/>
  <c r="W40" i="27"/>
  <c r="X40" i="27"/>
  <c r="Y40" i="27"/>
  <c r="Z40" i="27"/>
  <c r="W41" i="27"/>
  <c r="X41" i="27"/>
  <c r="Y41" i="27"/>
  <c r="Z41" i="27"/>
  <c r="W42" i="27"/>
  <c r="X42" i="27"/>
  <c r="Y42" i="27"/>
  <c r="Z42" i="27"/>
  <c r="W43" i="27"/>
  <c r="X43" i="27"/>
  <c r="Y43" i="27"/>
  <c r="Z43" i="27"/>
  <c r="N43" i="27"/>
  <c r="M43" i="27"/>
  <c r="L43" i="27"/>
  <c r="K43" i="27"/>
  <c r="J43" i="27"/>
  <c r="I43" i="27"/>
  <c r="H43" i="27"/>
  <c r="G43" i="27"/>
  <c r="F43" i="27"/>
  <c r="N42" i="27"/>
  <c r="M42" i="27"/>
  <c r="L42" i="27"/>
  <c r="K42" i="27"/>
  <c r="J42" i="27"/>
  <c r="I42" i="27"/>
  <c r="H42" i="27"/>
  <c r="G42" i="27"/>
  <c r="F42" i="27"/>
  <c r="N41" i="27"/>
  <c r="M41" i="27"/>
  <c r="L41" i="27"/>
  <c r="K41" i="27"/>
  <c r="J41" i="27"/>
  <c r="I41" i="27"/>
  <c r="H41" i="27"/>
  <c r="G41" i="27"/>
  <c r="F41" i="27"/>
  <c r="K40" i="27"/>
  <c r="J40" i="27"/>
  <c r="I40" i="27"/>
  <c r="K39" i="27"/>
  <c r="J39" i="27"/>
  <c r="I39" i="27"/>
  <c r="K38" i="27"/>
  <c r="J38" i="27"/>
  <c r="I38" i="27"/>
  <c r="K37" i="27"/>
  <c r="J37" i="27"/>
  <c r="I37" i="27"/>
  <c r="K36" i="27"/>
  <c r="J36" i="27"/>
  <c r="I36" i="27"/>
  <c r="BL53" i="2"/>
  <c r="P53" i="2"/>
  <c r="CN51" i="2"/>
  <c r="BS51" i="2"/>
  <c r="AH41" i="27" s="1"/>
  <c r="BF51" i="2"/>
  <c r="AX51" i="2"/>
  <c r="AA51" i="2"/>
  <c r="J51" i="2"/>
  <c r="B51" i="2"/>
  <c r="CO50" i="2"/>
  <c r="T40" i="66" s="1"/>
  <c r="BQ50" i="2"/>
  <c r="X41" i="43" s="1"/>
  <c r="BS27" i="43" s="1"/>
  <c r="BI50" i="2"/>
  <c r="AY50" i="2"/>
  <c r="AS50" i="2"/>
  <c r="AJ50" i="2"/>
  <c r="AE50" i="2"/>
  <c r="P50" i="2"/>
  <c r="K50" i="2"/>
  <c r="C50" i="2"/>
  <c r="CK49" i="2"/>
  <c r="P39" i="66" s="1"/>
  <c r="BO49" i="2"/>
  <c r="V40" i="43" s="1"/>
  <c r="BR25" i="43" s="1"/>
  <c r="BD49" i="2"/>
  <c r="AC39" i="27" s="1"/>
  <c r="AS49" i="2"/>
  <c r="S49" i="2"/>
  <c r="H49" i="2"/>
  <c r="CO47" i="2"/>
  <c r="T37" i="66" s="1"/>
  <c r="CH47" i="2"/>
  <c r="BS47" i="2"/>
  <c r="BL47" i="2"/>
  <c r="S38" i="43" s="1"/>
  <c r="BP22" i="43" s="1"/>
  <c r="BH47" i="2"/>
  <c r="BA47" i="2"/>
  <c r="AW47" i="2"/>
  <c r="AQ47" i="2"/>
  <c r="AM47" i="2"/>
  <c r="AE37" i="27" s="1"/>
  <c r="AO37" i="27" s="1"/>
  <c r="AF47" i="2"/>
  <c r="AB47" i="2"/>
  <c r="P47" i="2"/>
  <c r="L47" i="2"/>
  <c r="F47" i="2"/>
  <c r="B47" i="2"/>
  <c r="CQ46" i="2"/>
  <c r="CJ46" i="2"/>
  <c r="O36" i="66" s="1"/>
  <c r="BU46" i="2"/>
  <c r="BN46" i="2"/>
  <c r="U37" i="43" s="1"/>
  <c r="BO24" i="43" s="1"/>
  <c r="BK46" i="2"/>
  <c r="BF46" i="2"/>
  <c r="BE46" i="2"/>
  <c r="AY46" i="2"/>
  <c r="AX46" i="2"/>
  <c r="AS46" i="2"/>
  <c r="AP46" i="2"/>
  <c r="W36" i="66" s="1"/>
  <c r="AK46" i="2"/>
  <c r="AI46" i="2"/>
  <c r="AD46" i="2"/>
  <c r="AA36" i="27" s="1"/>
  <c r="AC46" i="2"/>
  <c r="P46" i="2"/>
  <c r="J46" i="2"/>
  <c r="I46" i="2"/>
  <c r="C37" i="43" s="1"/>
  <c r="BO6" i="43" s="1"/>
  <c r="D46" i="2"/>
  <c r="B46" i="2"/>
  <c r="AA33" i="43"/>
  <c r="BK30" i="43" s="1"/>
  <c r="AA32" i="43"/>
  <c r="BJ30" i="43" s="1"/>
  <c r="AA31" i="43"/>
  <c r="BI30" i="43" s="1"/>
  <c r="B38" i="43"/>
  <c r="A45" i="2"/>
  <c r="A40" i="34" s="1"/>
  <c r="A44" i="2"/>
  <c r="A39" i="34" s="1"/>
  <c r="A43" i="2"/>
  <c r="A39" i="2"/>
  <c r="A40" i="2"/>
  <c r="A41" i="2"/>
  <c r="A42" i="2"/>
  <c r="T21" i="2"/>
  <c r="T20" i="2"/>
  <c r="T19" i="2"/>
  <c r="T18" i="2"/>
  <c r="T10" i="2"/>
  <c r="T9" i="2"/>
  <c r="T8" i="2"/>
  <c r="T7" i="2"/>
  <c r="R21" i="2"/>
  <c r="R20" i="2"/>
  <c r="R19" i="2"/>
  <c r="R18" i="2"/>
  <c r="R10" i="2"/>
  <c r="R9" i="2"/>
  <c r="R8" i="2"/>
  <c r="R7" i="2"/>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Y464" i="1"/>
  <c r="Y465" i="1"/>
  <c r="AE465" i="1" s="1"/>
  <c r="Y466" i="1"/>
  <c r="AE466" i="1" s="1"/>
  <c r="Y467" i="1"/>
  <c r="AE467" i="1" s="1"/>
  <c r="Y468" i="1"/>
  <c r="AE468" i="1" s="1"/>
  <c r="Y469" i="1"/>
  <c r="AE469" i="1" s="1"/>
  <c r="Y470" i="1"/>
  <c r="AE470" i="1" s="1"/>
  <c r="Y471" i="1"/>
  <c r="AE471" i="1" s="1"/>
  <c r="Y472" i="1"/>
  <c r="AE472" i="1" s="1"/>
  <c r="Y473" i="1"/>
  <c r="AE473" i="1" s="1"/>
  <c r="Y474" i="1"/>
  <c r="AE474" i="1" s="1"/>
  <c r="Y475" i="1"/>
  <c r="AE475" i="1" s="1"/>
  <c r="Y476" i="1"/>
  <c r="Y477" i="1"/>
  <c r="AE477" i="1" s="1"/>
  <c r="Y478" i="1"/>
  <c r="AE478" i="1" s="1"/>
  <c r="Y479" i="1"/>
  <c r="AE479" i="1" s="1"/>
  <c r="Y480" i="1"/>
  <c r="AE480" i="1" s="1"/>
  <c r="Y481" i="1"/>
  <c r="AE481" i="1" s="1"/>
  <c r="Y482" i="1"/>
  <c r="AE482" i="1" s="1"/>
  <c r="Y483" i="1"/>
  <c r="AE483" i="1" s="1"/>
  <c r="Y484" i="1"/>
  <c r="AE484" i="1" s="1"/>
  <c r="Y485" i="1"/>
  <c r="AE485" i="1" s="1"/>
  <c r="Y486" i="1"/>
  <c r="AE486" i="1" s="1"/>
  <c r="Y487" i="1"/>
  <c r="AE487" i="1" s="1"/>
  <c r="Y488" i="1"/>
  <c r="Y489" i="1"/>
  <c r="AE489" i="1" s="1"/>
  <c r="Y490" i="1"/>
  <c r="AE490" i="1" s="1"/>
  <c r="Y491" i="1"/>
  <c r="AE491" i="1" s="1"/>
  <c r="Y492" i="1"/>
  <c r="AE492" i="1" s="1"/>
  <c r="Y493" i="1"/>
  <c r="AE493" i="1" s="1"/>
  <c r="Y494" i="1"/>
  <c r="AE494" i="1" s="1"/>
  <c r="Y495" i="1"/>
  <c r="AE495" i="1" s="1"/>
  <c r="Y496" i="1"/>
  <c r="AE496" i="1" s="1"/>
  <c r="Y497" i="1"/>
  <c r="AE497" i="1" s="1"/>
  <c r="Y498" i="1"/>
  <c r="AE498" i="1" s="1"/>
  <c r="Y499" i="1"/>
  <c r="AE499" i="1" s="1"/>
  <c r="Y500" i="1"/>
  <c r="Y501" i="1"/>
  <c r="AE501" i="1" s="1"/>
  <c r="Y502" i="1"/>
  <c r="AE502" i="1" s="1"/>
  <c r="Y503" i="1"/>
  <c r="AE503" i="1" s="1"/>
  <c r="Y504" i="1"/>
  <c r="AE504" i="1" s="1"/>
  <c r="Y505" i="1"/>
  <c r="AE505" i="1" s="1"/>
  <c r="Y506" i="1"/>
  <c r="AE506" i="1" s="1"/>
  <c r="Y507" i="1"/>
  <c r="AE507" i="1" s="1"/>
  <c r="Y508" i="1"/>
  <c r="AE508" i="1" s="1"/>
  <c r="Y509" i="1"/>
  <c r="AE509" i="1" s="1"/>
  <c r="Y510" i="1"/>
  <c r="AE510" i="1" s="1"/>
  <c r="Y511" i="1"/>
  <c r="AE511" i="1" s="1"/>
  <c r="Y512" i="1"/>
  <c r="Y513" i="1"/>
  <c r="AE513" i="1" s="1"/>
  <c r="Y514" i="1"/>
  <c r="AE514" i="1" s="1"/>
  <c r="Y515" i="1"/>
  <c r="AE515" i="1" s="1"/>
  <c r="Y516" i="1"/>
  <c r="AE516" i="1" s="1"/>
  <c r="Y517" i="1"/>
  <c r="AE517" i="1" s="1"/>
  <c r="Y518" i="1"/>
  <c r="AE518" i="1" s="1"/>
  <c r="Y519" i="1"/>
  <c r="AE519" i="1" s="1"/>
  <c r="Y520" i="1"/>
  <c r="AE520" i="1" s="1"/>
  <c r="Y521" i="1"/>
  <c r="AE521" i="1" s="1"/>
  <c r="Y522" i="1"/>
  <c r="AE522" i="1" s="1"/>
  <c r="Y523" i="1"/>
  <c r="AE523" i="1" s="1"/>
  <c r="Y524" i="1"/>
  <c r="AE524" i="1" s="1"/>
  <c r="Y525" i="1"/>
  <c r="AE525" i="1" s="1"/>
  <c r="Y526" i="1"/>
  <c r="AE526" i="1" s="1"/>
  <c r="Y527" i="1"/>
  <c r="AE527" i="1" s="1"/>
  <c r="Y528" i="1"/>
  <c r="AE528" i="1" s="1"/>
  <c r="Y529" i="1"/>
  <c r="AE529" i="1" s="1"/>
  <c r="Y530" i="1"/>
  <c r="AE530" i="1" s="1"/>
  <c r="Y531" i="1"/>
  <c r="AE531" i="1" s="1"/>
  <c r="Y532" i="1"/>
  <c r="AE532" i="1" s="1"/>
  <c r="Y533" i="1"/>
  <c r="AE533" i="1" s="1"/>
  <c r="Y534" i="1"/>
  <c r="AE534" i="1" s="1"/>
  <c r="Y535" i="1"/>
  <c r="AE535" i="1" s="1"/>
  <c r="Y536" i="1"/>
  <c r="AE536" i="1" s="1"/>
  <c r="Y537" i="1"/>
  <c r="AE537" i="1" s="1"/>
  <c r="Y538" i="1"/>
  <c r="AE538" i="1" s="1"/>
  <c r="Y539" i="1"/>
  <c r="AE539" i="1" s="1"/>
  <c r="Y540" i="1"/>
  <c r="AE540" i="1" s="1"/>
  <c r="Y541" i="1"/>
  <c r="AE541" i="1" s="1"/>
  <c r="Y542" i="1"/>
  <c r="AE542" i="1" s="1"/>
  <c r="Y543" i="1"/>
  <c r="AE543" i="1" s="1"/>
  <c r="Y544" i="1"/>
  <c r="AE544" i="1" s="1"/>
  <c r="Y545" i="1"/>
  <c r="AE545" i="1" s="1"/>
  <c r="Y546" i="1"/>
  <c r="AE546" i="1" s="1"/>
  <c r="Y547" i="1"/>
  <c r="AE547" i="1" s="1"/>
  <c r="Y548" i="1"/>
  <c r="AE548" i="1" s="1"/>
  <c r="Y549" i="1"/>
  <c r="AE549" i="1" s="1"/>
  <c r="Y550" i="1"/>
  <c r="AE550" i="1" s="1"/>
  <c r="Y551" i="1"/>
  <c r="AE551" i="1" s="1"/>
  <c r="Y552" i="1"/>
  <c r="AE552" i="1" s="1"/>
  <c r="Y553" i="1"/>
  <c r="AE553" i="1" s="1"/>
  <c r="Y554" i="1"/>
  <c r="AE554" i="1" s="1"/>
  <c r="Y555" i="1"/>
  <c r="AE555" i="1" s="1"/>
  <c r="Y556" i="1"/>
  <c r="AE556" i="1" s="1"/>
  <c r="Y557" i="1"/>
  <c r="AE557" i="1" s="1"/>
  <c r="Y558" i="1"/>
  <c r="AE558" i="1" s="1"/>
  <c r="Y559" i="1"/>
  <c r="AE559" i="1" s="1"/>
  <c r="Y560" i="1"/>
  <c r="AE560" i="1" s="1"/>
  <c r="Y561" i="1"/>
  <c r="AE561" i="1" s="1"/>
  <c r="Y562" i="1"/>
  <c r="AE562" i="1" s="1"/>
  <c r="Y563" i="1"/>
  <c r="AE563" i="1" s="1"/>
  <c r="Y564" i="1"/>
  <c r="AE564" i="1" s="1"/>
  <c r="Y565" i="1"/>
  <c r="AE565" i="1" s="1"/>
  <c r="Y566" i="1"/>
  <c r="AE566" i="1" s="1"/>
  <c r="Y567" i="1"/>
  <c r="AE567" i="1" s="1"/>
  <c r="Y568" i="1"/>
  <c r="AE568" i="1" s="1"/>
  <c r="Y569" i="1"/>
  <c r="AE569" i="1" s="1"/>
  <c r="Y570" i="1"/>
  <c r="AE570" i="1" s="1"/>
  <c r="Y571" i="1"/>
  <c r="AE571" i="1" s="1"/>
  <c r="Y572" i="1"/>
  <c r="AE572" i="1" s="1"/>
  <c r="Y573" i="1"/>
  <c r="AE573" i="1" s="1"/>
  <c r="Y574" i="1"/>
  <c r="AE574" i="1" s="1"/>
  <c r="Y575" i="1"/>
  <c r="AE575" i="1" s="1"/>
  <c r="Y576" i="1"/>
  <c r="AE576" i="1" s="1"/>
  <c r="Y577" i="1"/>
  <c r="AE577" i="1" s="1"/>
  <c r="Y578" i="1"/>
  <c r="AE578" i="1" s="1"/>
  <c r="Y579" i="1"/>
  <c r="AE579" i="1" s="1"/>
  <c r="Y580" i="1"/>
  <c r="AE580" i="1" s="1"/>
  <c r="Y581" i="1"/>
  <c r="AE581" i="1" s="1"/>
  <c r="Y582" i="1"/>
  <c r="AE582" i="1" s="1"/>
  <c r="Y583" i="1"/>
  <c r="AE583" i="1" s="1"/>
  <c r="Y584" i="1"/>
  <c r="AE584" i="1" s="1"/>
  <c r="Y585" i="1"/>
  <c r="AE585" i="1" s="1"/>
  <c r="Y586" i="1"/>
  <c r="AE586" i="1" s="1"/>
  <c r="Y587" i="1"/>
  <c r="AE587" i="1" s="1"/>
  <c r="Y588" i="1"/>
  <c r="AE588" i="1" s="1"/>
  <c r="Y589" i="1"/>
  <c r="AE589" i="1" s="1"/>
  <c r="Y590" i="1"/>
  <c r="AE590" i="1" s="1"/>
  <c r="Y591" i="1"/>
  <c r="AE591" i="1" s="1"/>
  <c r="Y592" i="1"/>
  <c r="AE592" i="1" s="1"/>
  <c r="Y593" i="1"/>
  <c r="AE593" i="1" s="1"/>
  <c r="Y594" i="1"/>
  <c r="AE594" i="1" s="1"/>
  <c r="Y595" i="1"/>
  <c r="AE595" i="1" s="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A464" i="1"/>
  <c r="AA465" i="1"/>
  <c r="AG465" i="1" s="1"/>
  <c r="AA466" i="1"/>
  <c r="AG466" i="1" s="1"/>
  <c r="AA467" i="1"/>
  <c r="AG467" i="1" s="1"/>
  <c r="AA468" i="1"/>
  <c r="AG468" i="1" s="1"/>
  <c r="AA469" i="1"/>
  <c r="AG469" i="1" s="1"/>
  <c r="AA470" i="1"/>
  <c r="AG470" i="1" s="1"/>
  <c r="AA471" i="1"/>
  <c r="AG471" i="1" s="1"/>
  <c r="AA472" i="1"/>
  <c r="AG472" i="1" s="1"/>
  <c r="AA473" i="1"/>
  <c r="AG473" i="1" s="1"/>
  <c r="AA474" i="1"/>
  <c r="AG474" i="1" s="1"/>
  <c r="AA475" i="1"/>
  <c r="AG475" i="1" s="1"/>
  <c r="AA476" i="1"/>
  <c r="AA477" i="1"/>
  <c r="AG477" i="1" s="1"/>
  <c r="AA478" i="1"/>
  <c r="AG478" i="1" s="1"/>
  <c r="AA479" i="1"/>
  <c r="AG479" i="1" s="1"/>
  <c r="AA480" i="1"/>
  <c r="AG480" i="1" s="1"/>
  <c r="AA481" i="1"/>
  <c r="AG481" i="1" s="1"/>
  <c r="AA482" i="1"/>
  <c r="AG482" i="1" s="1"/>
  <c r="AA483" i="1"/>
  <c r="AG483" i="1" s="1"/>
  <c r="AA484" i="1"/>
  <c r="AG484" i="1" s="1"/>
  <c r="AA485" i="1"/>
  <c r="AG485" i="1" s="1"/>
  <c r="AA486" i="1"/>
  <c r="AG486" i="1" s="1"/>
  <c r="AA487" i="1"/>
  <c r="AG487" i="1" s="1"/>
  <c r="AA488" i="1"/>
  <c r="AA489" i="1"/>
  <c r="AG489" i="1" s="1"/>
  <c r="AA490" i="1"/>
  <c r="AG490" i="1" s="1"/>
  <c r="AA491" i="1"/>
  <c r="AG491" i="1" s="1"/>
  <c r="AA492" i="1"/>
  <c r="AG492" i="1" s="1"/>
  <c r="AA493" i="1"/>
  <c r="AG493" i="1" s="1"/>
  <c r="AA494" i="1"/>
  <c r="AG494" i="1" s="1"/>
  <c r="AA495" i="1"/>
  <c r="AG495" i="1" s="1"/>
  <c r="AA496" i="1"/>
  <c r="AG496" i="1" s="1"/>
  <c r="AA497" i="1"/>
  <c r="AG497" i="1" s="1"/>
  <c r="AA498" i="1"/>
  <c r="AG498" i="1" s="1"/>
  <c r="AA499" i="1"/>
  <c r="AG499" i="1" s="1"/>
  <c r="AA500" i="1"/>
  <c r="AA501" i="1"/>
  <c r="AG501" i="1" s="1"/>
  <c r="AA502" i="1"/>
  <c r="AG502" i="1" s="1"/>
  <c r="AA503" i="1"/>
  <c r="AG503" i="1" s="1"/>
  <c r="AA504" i="1"/>
  <c r="AG504" i="1" s="1"/>
  <c r="AA505" i="1"/>
  <c r="AG505" i="1" s="1"/>
  <c r="AA506" i="1"/>
  <c r="AG506" i="1" s="1"/>
  <c r="AA507" i="1"/>
  <c r="AG507" i="1" s="1"/>
  <c r="AA508" i="1"/>
  <c r="AG508" i="1" s="1"/>
  <c r="AA509" i="1"/>
  <c r="AG509" i="1" s="1"/>
  <c r="AA510" i="1"/>
  <c r="AG510" i="1" s="1"/>
  <c r="AA511" i="1"/>
  <c r="AG511" i="1" s="1"/>
  <c r="AA512" i="1"/>
  <c r="AA513" i="1"/>
  <c r="AG513" i="1" s="1"/>
  <c r="AA514" i="1"/>
  <c r="AG514" i="1" s="1"/>
  <c r="AA515" i="1"/>
  <c r="AG515" i="1" s="1"/>
  <c r="AA516" i="1"/>
  <c r="AG516" i="1" s="1"/>
  <c r="AA517" i="1"/>
  <c r="AG517" i="1" s="1"/>
  <c r="AA518" i="1"/>
  <c r="AG518" i="1" s="1"/>
  <c r="AA519" i="1"/>
  <c r="AG519" i="1" s="1"/>
  <c r="AA520" i="1"/>
  <c r="AG520" i="1" s="1"/>
  <c r="AA521" i="1"/>
  <c r="AG521" i="1" s="1"/>
  <c r="AA522" i="1"/>
  <c r="AG522" i="1" s="1"/>
  <c r="AA523" i="1"/>
  <c r="AG523" i="1" s="1"/>
  <c r="AA524" i="1"/>
  <c r="AG524" i="1" s="1"/>
  <c r="AA525" i="1"/>
  <c r="AG525" i="1" s="1"/>
  <c r="AA526" i="1"/>
  <c r="AG526" i="1" s="1"/>
  <c r="AA527" i="1"/>
  <c r="AG527" i="1" s="1"/>
  <c r="AA528" i="1"/>
  <c r="AG528" i="1" s="1"/>
  <c r="AA529" i="1"/>
  <c r="AG529" i="1" s="1"/>
  <c r="AA530" i="1"/>
  <c r="AG530" i="1" s="1"/>
  <c r="AA531" i="1"/>
  <c r="AG531" i="1" s="1"/>
  <c r="AA532" i="1"/>
  <c r="AG532" i="1" s="1"/>
  <c r="AA533" i="1"/>
  <c r="AG533" i="1" s="1"/>
  <c r="AA534" i="1"/>
  <c r="AG534" i="1" s="1"/>
  <c r="AA535" i="1"/>
  <c r="AG535" i="1" s="1"/>
  <c r="AA536" i="1"/>
  <c r="AG536" i="1" s="1"/>
  <c r="AA537" i="1"/>
  <c r="AG537" i="1" s="1"/>
  <c r="AA538" i="1"/>
  <c r="AG538" i="1" s="1"/>
  <c r="AA539" i="1"/>
  <c r="AG539" i="1" s="1"/>
  <c r="AA540" i="1"/>
  <c r="AG540" i="1" s="1"/>
  <c r="AA541" i="1"/>
  <c r="AG541" i="1" s="1"/>
  <c r="AA542" i="1"/>
  <c r="AG542" i="1" s="1"/>
  <c r="AA543" i="1"/>
  <c r="AG543" i="1" s="1"/>
  <c r="AA544" i="1"/>
  <c r="AG544" i="1" s="1"/>
  <c r="AA545" i="1"/>
  <c r="AG545" i="1" s="1"/>
  <c r="AA546" i="1"/>
  <c r="AG546" i="1" s="1"/>
  <c r="AA547" i="1"/>
  <c r="AG547" i="1" s="1"/>
  <c r="AA548" i="1"/>
  <c r="AG548" i="1" s="1"/>
  <c r="AA549" i="1"/>
  <c r="AG549" i="1" s="1"/>
  <c r="AA550" i="1"/>
  <c r="AG550" i="1" s="1"/>
  <c r="AA551" i="1"/>
  <c r="AG551" i="1" s="1"/>
  <c r="AA552" i="1"/>
  <c r="AG552" i="1" s="1"/>
  <c r="AA553" i="1"/>
  <c r="AG553" i="1" s="1"/>
  <c r="AA554" i="1"/>
  <c r="AG554" i="1" s="1"/>
  <c r="AA555" i="1"/>
  <c r="AG555" i="1" s="1"/>
  <c r="AA556" i="1"/>
  <c r="AG556" i="1" s="1"/>
  <c r="AA557" i="1"/>
  <c r="AG557" i="1" s="1"/>
  <c r="AA558" i="1"/>
  <c r="AG558" i="1" s="1"/>
  <c r="AA559" i="1"/>
  <c r="AG559" i="1" s="1"/>
  <c r="AA560" i="1"/>
  <c r="AG560" i="1" s="1"/>
  <c r="AA561" i="1"/>
  <c r="AG561" i="1" s="1"/>
  <c r="AA562" i="1"/>
  <c r="AG562" i="1" s="1"/>
  <c r="AA563" i="1"/>
  <c r="AG563" i="1" s="1"/>
  <c r="AA564" i="1"/>
  <c r="AG564" i="1" s="1"/>
  <c r="AA565" i="1"/>
  <c r="AG565" i="1" s="1"/>
  <c r="AA566" i="1"/>
  <c r="AG566" i="1" s="1"/>
  <c r="AA567" i="1"/>
  <c r="AG567" i="1" s="1"/>
  <c r="AA568" i="1"/>
  <c r="AG568" i="1" s="1"/>
  <c r="AA569" i="1"/>
  <c r="AG569" i="1" s="1"/>
  <c r="AA570" i="1"/>
  <c r="AG570" i="1" s="1"/>
  <c r="AA571" i="1"/>
  <c r="AG571" i="1" s="1"/>
  <c r="AA572" i="1"/>
  <c r="AG572" i="1" s="1"/>
  <c r="AA573" i="1"/>
  <c r="AG573" i="1" s="1"/>
  <c r="AA574" i="1"/>
  <c r="AG574" i="1" s="1"/>
  <c r="AA575" i="1"/>
  <c r="AG575" i="1" s="1"/>
  <c r="AA576" i="1"/>
  <c r="AG576" i="1" s="1"/>
  <c r="AA577" i="1"/>
  <c r="AG577" i="1" s="1"/>
  <c r="AA578" i="1"/>
  <c r="AG578" i="1" s="1"/>
  <c r="AA579" i="1"/>
  <c r="AG579" i="1" s="1"/>
  <c r="AA580" i="1"/>
  <c r="AG580" i="1" s="1"/>
  <c r="AA581" i="1"/>
  <c r="AG581" i="1" s="1"/>
  <c r="AA582" i="1"/>
  <c r="AG582" i="1" s="1"/>
  <c r="AA583" i="1"/>
  <c r="AG583" i="1" s="1"/>
  <c r="AA584" i="1"/>
  <c r="AG584" i="1" s="1"/>
  <c r="AA585" i="1"/>
  <c r="AG585" i="1" s="1"/>
  <c r="AA586" i="1"/>
  <c r="AG586" i="1" s="1"/>
  <c r="AA587" i="1"/>
  <c r="AG587" i="1" s="1"/>
  <c r="AA588" i="1"/>
  <c r="AG588" i="1" s="1"/>
  <c r="AA589" i="1"/>
  <c r="AG589" i="1" s="1"/>
  <c r="AA590" i="1"/>
  <c r="AG590" i="1" s="1"/>
  <c r="AA591" i="1"/>
  <c r="AG591" i="1" s="1"/>
  <c r="AA592" i="1"/>
  <c r="AG592" i="1" s="1"/>
  <c r="AA593" i="1"/>
  <c r="AG593" i="1" s="1"/>
  <c r="AA594" i="1"/>
  <c r="AG594" i="1" s="1"/>
  <c r="AA595" i="1"/>
  <c r="AG595" i="1" s="1"/>
  <c r="S37" i="2"/>
  <c r="S36" i="2"/>
  <c r="S35" i="2"/>
  <c r="S34" i="2"/>
  <c r="S33" i="2"/>
  <c r="S32" i="2"/>
  <c r="S31" i="2"/>
  <c r="S30" i="2"/>
  <c r="S29" i="2"/>
  <c r="S28" i="2"/>
  <c r="S27" i="2"/>
  <c r="S26" i="2"/>
  <c r="S25" i="2"/>
  <c r="S24" i="2"/>
  <c r="S23" i="2"/>
  <c r="S22" i="2"/>
  <c r="S21" i="2"/>
  <c r="S20" i="2"/>
  <c r="S19" i="2"/>
  <c r="S18" i="2"/>
  <c r="S10" i="2"/>
  <c r="S9" i="2"/>
  <c r="S8" i="2"/>
  <c r="S7" i="2"/>
  <c r="AG512" i="1" l="1"/>
  <c r="H45" i="34" s="1"/>
  <c r="AD45" i="34"/>
  <c r="AC45" i="34" s="1"/>
  <c r="AG488" i="1"/>
  <c r="H43" i="34" s="1"/>
  <c r="AD43" i="34"/>
  <c r="AC43" i="34" s="1"/>
  <c r="AG464" i="1"/>
  <c r="AD41" i="34"/>
  <c r="AC41" i="34" s="1"/>
  <c r="AE512" i="1"/>
  <c r="Y45" i="34"/>
  <c r="X45" i="34" s="1"/>
  <c r="AE488" i="1"/>
  <c r="Y43" i="34"/>
  <c r="X43" i="34" s="1"/>
  <c r="AE464" i="1"/>
  <c r="Y41" i="34"/>
  <c r="X41" i="34" s="1"/>
  <c r="AH594" i="1"/>
  <c r="AG476" i="1"/>
  <c r="H42" i="34" s="1"/>
  <c r="AD42" i="34"/>
  <c r="AC42" i="34" s="1"/>
  <c r="AE500" i="1"/>
  <c r="Y44" i="34"/>
  <c r="X44" i="34" s="1"/>
  <c r="AE476" i="1"/>
  <c r="Y42" i="34"/>
  <c r="X42" i="34" s="1"/>
  <c r="AG500" i="1"/>
  <c r="H44" i="34" s="1"/>
  <c r="AD44" i="34"/>
  <c r="AC44" i="34" s="1"/>
  <c r="AH595" i="1"/>
  <c r="H41" i="34"/>
  <c r="F41" i="34"/>
  <c r="AA39" i="34"/>
  <c r="AD39" i="34"/>
  <c r="AC39" i="34" s="1"/>
  <c r="T39" i="34"/>
  <c r="S39" i="34" s="1"/>
  <c r="Q39" i="34"/>
  <c r="V39" i="34"/>
  <c r="Y39" i="34"/>
  <c r="X39" i="34" s="1"/>
  <c r="C39" i="34"/>
  <c r="K39" i="34" s="1"/>
  <c r="B39" i="34"/>
  <c r="J39" i="34" s="1"/>
  <c r="D39" i="34"/>
  <c r="L39" i="34" s="1"/>
  <c r="AA40" i="34"/>
  <c r="AD40" i="34"/>
  <c r="AC40" i="34" s="1"/>
  <c r="Y40" i="34"/>
  <c r="X40" i="34" s="1"/>
  <c r="Q40" i="34"/>
  <c r="V40" i="34"/>
  <c r="T40" i="34"/>
  <c r="S40" i="34" s="1"/>
  <c r="C40" i="34"/>
  <c r="K40" i="34" s="1"/>
  <c r="D40" i="34"/>
  <c r="L40" i="34" s="1"/>
  <c r="B40" i="34"/>
  <c r="J40" i="34" s="1"/>
  <c r="F40" i="34"/>
  <c r="M40" i="34" s="1"/>
  <c r="F39" i="34"/>
  <c r="M39" i="34" s="1"/>
  <c r="H40" i="34"/>
  <c r="O40" i="34" s="1"/>
  <c r="H39" i="34"/>
  <c r="O39" i="34" s="1"/>
  <c r="BW47" i="2"/>
  <c r="EH497" i="1"/>
  <c r="EJ497" i="1"/>
  <c r="CK497" i="1"/>
  <c r="DN497" i="1" s="1"/>
  <c r="EH494" i="1"/>
  <c r="EJ494" i="1"/>
  <c r="CK494" i="1"/>
  <c r="DN494" i="1" s="1"/>
  <c r="EH495" i="1"/>
  <c r="EJ495" i="1"/>
  <c r="CK495" i="1"/>
  <c r="DN495" i="1" s="1"/>
  <c r="DR495" i="1" s="1"/>
  <c r="EA495" i="1" s="1"/>
  <c r="EH498" i="1"/>
  <c r="EJ498" i="1"/>
  <c r="CK498" i="1"/>
  <c r="DN498" i="1" s="1"/>
  <c r="DT498" i="1" s="1"/>
  <c r="EC498" i="1" s="1"/>
  <c r="R46" i="2"/>
  <c r="EH489" i="1"/>
  <c r="EJ489" i="1"/>
  <c r="CK489" i="1"/>
  <c r="DN489" i="1" s="1"/>
  <c r="DT489" i="1" s="1"/>
  <c r="EC489" i="1" s="1"/>
  <c r="EH493" i="1"/>
  <c r="EJ493" i="1"/>
  <c r="CK493" i="1"/>
  <c r="DN493" i="1" s="1"/>
  <c r="DR493" i="1" s="1"/>
  <c r="EA493" i="1" s="1"/>
  <c r="EJ490" i="1"/>
  <c r="EH490" i="1"/>
  <c r="CK490" i="1"/>
  <c r="DN490" i="1" s="1"/>
  <c r="DT490" i="1" s="1"/>
  <c r="EC490" i="1" s="1"/>
  <c r="EJ491" i="1"/>
  <c r="EH491" i="1"/>
  <c r="CK491" i="1"/>
  <c r="DN491" i="1" s="1"/>
  <c r="DT491" i="1" s="1"/>
  <c r="EC491" i="1" s="1"/>
  <c r="EJ496" i="1"/>
  <c r="EH496" i="1"/>
  <c r="CK496" i="1"/>
  <c r="DN496" i="1" s="1"/>
  <c r="DR496" i="1" s="1"/>
  <c r="EA496" i="1" s="1"/>
  <c r="EJ488" i="1"/>
  <c r="EH488" i="1"/>
  <c r="CK488" i="1"/>
  <c r="DN488" i="1" s="1"/>
  <c r="DT488" i="1" s="1"/>
  <c r="EH492" i="1"/>
  <c r="EJ492" i="1"/>
  <c r="CK492" i="1"/>
  <c r="DN492" i="1" s="1"/>
  <c r="DR492" i="1" s="1"/>
  <c r="EA492" i="1" s="1"/>
  <c r="EH499" i="1"/>
  <c r="EJ499" i="1"/>
  <c r="CK499" i="1"/>
  <c r="DN499" i="1" s="1"/>
  <c r="DR499" i="1" s="1"/>
  <c r="EA499" i="1" s="1"/>
  <c r="DT437" i="1"/>
  <c r="EC437" i="1" s="1"/>
  <c r="CQ437" i="1"/>
  <c r="CZ437" i="1" s="1"/>
  <c r="DT484" i="1"/>
  <c r="EC484" i="1" s="1"/>
  <c r="CQ484" i="1"/>
  <c r="CZ484" i="1" s="1"/>
  <c r="DT481" i="1"/>
  <c r="EC481" i="1" s="1"/>
  <c r="CQ481" i="1"/>
  <c r="CZ481" i="1" s="1"/>
  <c r="DR457" i="1"/>
  <c r="EA457" i="1" s="1"/>
  <c r="CO457" i="1"/>
  <c r="CX457" i="1" s="1"/>
  <c r="DT480" i="1"/>
  <c r="EC480" i="1" s="1"/>
  <c r="CQ480" i="1"/>
  <c r="CZ480" i="1" s="1"/>
  <c r="DR444" i="1"/>
  <c r="EA444" i="1" s="1"/>
  <c r="CO444" i="1"/>
  <c r="CX444" i="1" s="1"/>
  <c r="DT455" i="1"/>
  <c r="EC455" i="1" s="1"/>
  <c r="CQ455" i="1"/>
  <c r="CZ455" i="1" s="1"/>
  <c r="DT443" i="1"/>
  <c r="EC443" i="1" s="1"/>
  <c r="CQ443" i="1"/>
  <c r="CZ443" i="1" s="1"/>
  <c r="DT431" i="1"/>
  <c r="EC431" i="1" s="1"/>
  <c r="CQ431" i="1"/>
  <c r="CZ431" i="1" s="1"/>
  <c r="CO491" i="1"/>
  <c r="CX491" i="1" s="1"/>
  <c r="DR479" i="1"/>
  <c r="EA479" i="1" s="1"/>
  <c r="CO479" i="1"/>
  <c r="CX479" i="1" s="1"/>
  <c r="DR467" i="1"/>
  <c r="EA467" i="1" s="1"/>
  <c r="CO467" i="1"/>
  <c r="CX467" i="1" s="1"/>
  <c r="DR455" i="1"/>
  <c r="EA455" i="1" s="1"/>
  <c r="CO455" i="1"/>
  <c r="CX455" i="1" s="1"/>
  <c r="DR443" i="1"/>
  <c r="EA443" i="1" s="1"/>
  <c r="CO443" i="1"/>
  <c r="CX443" i="1" s="1"/>
  <c r="DR431" i="1"/>
  <c r="EA431" i="1" s="1"/>
  <c r="CO431" i="1"/>
  <c r="CX431" i="1" s="1"/>
  <c r="DT461" i="1"/>
  <c r="EC461" i="1" s="1"/>
  <c r="CQ461" i="1"/>
  <c r="CZ461" i="1" s="1"/>
  <c r="DR497" i="1"/>
  <c r="EA497" i="1" s="1"/>
  <c r="CO497" i="1"/>
  <c r="CX497" i="1" s="1"/>
  <c r="DT448" i="1"/>
  <c r="EC448" i="1" s="1"/>
  <c r="CQ448" i="1"/>
  <c r="CZ448" i="1" s="1"/>
  <c r="DT457" i="1"/>
  <c r="EC457" i="1" s="1"/>
  <c r="CQ457" i="1"/>
  <c r="CZ457" i="1" s="1"/>
  <c r="DR445" i="1"/>
  <c r="EA445" i="1" s="1"/>
  <c r="CO445" i="1"/>
  <c r="CX445" i="1" s="1"/>
  <c r="DR433" i="1"/>
  <c r="EA433" i="1" s="1"/>
  <c r="CO433" i="1"/>
  <c r="CX433" i="1" s="1"/>
  <c r="DT468" i="1"/>
  <c r="EC468" i="1" s="1"/>
  <c r="CQ468" i="1"/>
  <c r="CZ468" i="1" s="1"/>
  <c r="DT444" i="1"/>
  <c r="EC444" i="1" s="1"/>
  <c r="CQ444" i="1"/>
  <c r="CZ444" i="1" s="1"/>
  <c r="DR480" i="1"/>
  <c r="EA480" i="1" s="1"/>
  <c r="CO480" i="1"/>
  <c r="CX480" i="1" s="1"/>
  <c r="DR432" i="1"/>
  <c r="EA432" i="1" s="1"/>
  <c r="CO432" i="1"/>
  <c r="CX432" i="1" s="1"/>
  <c r="DT467" i="1"/>
  <c r="EC467" i="1" s="1"/>
  <c r="CQ467" i="1"/>
  <c r="CZ467" i="1" s="1"/>
  <c r="DT466" i="1"/>
  <c r="EC466" i="1" s="1"/>
  <c r="CQ466" i="1"/>
  <c r="CZ466" i="1" s="1"/>
  <c r="DT442" i="1"/>
  <c r="EC442" i="1" s="1"/>
  <c r="CQ442" i="1"/>
  <c r="CZ442" i="1" s="1"/>
  <c r="DR490" i="1"/>
  <c r="EA490" i="1" s="1"/>
  <c r="DR466" i="1"/>
  <c r="EA466" i="1" s="1"/>
  <c r="CO466" i="1"/>
  <c r="CX466" i="1" s="1"/>
  <c r="DT477" i="1"/>
  <c r="EC477" i="1" s="1"/>
  <c r="CQ477" i="1"/>
  <c r="CZ477" i="1" s="1"/>
  <c r="DT465" i="1"/>
  <c r="EC465" i="1" s="1"/>
  <c r="CQ465" i="1"/>
  <c r="CZ465" i="1" s="1"/>
  <c r="DT453" i="1"/>
  <c r="EC453" i="1" s="1"/>
  <c r="CQ453" i="1"/>
  <c r="CZ453" i="1" s="1"/>
  <c r="DT441" i="1"/>
  <c r="EC441" i="1" s="1"/>
  <c r="CQ441" i="1"/>
  <c r="CZ441" i="1" s="1"/>
  <c r="DT429" i="1"/>
  <c r="EC429" i="1" s="1"/>
  <c r="CQ429" i="1"/>
  <c r="CZ429" i="1" s="1"/>
  <c r="DR489" i="1"/>
  <c r="EA489" i="1" s="1"/>
  <c r="DR477" i="1"/>
  <c r="EA477" i="1" s="1"/>
  <c r="CO477" i="1"/>
  <c r="CX477" i="1" s="1"/>
  <c r="DR465" i="1"/>
  <c r="EA465" i="1" s="1"/>
  <c r="CO465" i="1"/>
  <c r="CX465" i="1" s="1"/>
  <c r="DR453" i="1"/>
  <c r="EA453" i="1" s="1"/>
  <c r="CO453" i="1"/>
  <c r="CX453" i="1" s="1"/>
  <c r="DR441" i="1"/>
  <c r="EA441" i="1" s="1"/>
  <c r="CO441" i="1"/>
  <c r="CX441" i="1" s="1"/>
  <c r="DR429" i="1"/>
  <c r="EA429" i="1" s="1"/>
  <c r="CO429" i="1"/>
  <c r="CX429" i="1" s="1"/>
  <c r="DT478" i="1"/>
  <c r="EC478" i="1" s="1"/>
  <c r="CQ478" i="1"/>
  <c r="CZ478" i="1" s="1"/>
  <c r="DT430" i="1"/>
  <c r="EC430" i="1" s="1"/>
  <c r="CQ430" i="1"/>
  <c r="CZ430" i="1" s="1"/>
  <c r="DR478" i="1"/>
  <c r="EA478" i="1" s="1"/>
  <c r="CO478" i="1"/>
  <c r="CX478" i="1" s="1"/>
  <c r="DR454" i="1"/>
  <c r="EA454" i="1" s="1"/>
  <c r="CO454" i="1"/>
  <c r="CX454" i="1" s="1"/>
  <c r="DT476" i="1"/>
  <c r="EC476" i="1" s="1"/>
  <c r="CQ476" i="1"/>
  <c r="DT464" i="1"/>
  <c r="EC464" i="1" s="1"/>
  <c r="CQ464" i="1"/>
  <c r="CZ464" i="1" s="1"/>
  <c r="DT452" i="1"/>
  <c r="EC452" i="1" s="1"/>
  <c r="CQ452" i="1"/>
  <c r="CZ452" i="1" s="1"/>
  <c r="DT440" i="1"/>
  <c r="EC440" i="1" s="1"/>
  <c r="CQ440" i="1"/>
  <c r="CZ440" i="1" s="1"/>
  <c r="DT428" i="1"/>
  <c r="EC428" i="1" s="1"/>
  <c r="CQ428" i="1"/>
  <c r="CZ428" i="1" s="1"/>
  <c r="DR476" i="1"/>
  <c r="EA476" i="1" s="1"/>
  <c r="CO476" i="1"/>
  <c r="CX476" i="1" s="1"/>
  <c r="DR464" i="1"/>
  <c r="EA464" i="1" s="1"/>
  <c r="CO464" i="1"/>
  <c r="CX464" i="1" s="1"/>
  <c r="DR452" i="1"/>
  <c r="EA452" i="1" s="1"/>
  <c r="CO452" i="1"/>
  <c r="CX452" i="1" s="1"/>
  <c r="DR440" i="1"/>
  <c r="EA440" i="1" s="1"/>
  <c r="CO440" i="1"/>
  <c r="CX440" i="1" s="1"/>
  <c r="DR428" i="1"/>
  <c r="EA428" i="1" s="1"/>
  <c r="CO428" i="1"/>
  <c r="CX428" i="1" s="1"/>
  <c r="DT449" i="1"/>
  <c r="EC449" i="1" s="1"/>
  <c r="CQ449" i="1"/>
  <c r="CZ449" i="1" s="1"/>
  <c r="DT472" i="1"/>
  <c r="EC472" i="1" s="1"/>
  <c r="CQ472" i="1"/>
  <c r="CZ472" i="1" s="1"/>
  <c r="DT445" i="1"/>
  <c r="EC445" i="1" s="1"/>
  <c r="CQ445" i="1"/>
  <c r="CZ445" i="1" s="1"/>
  <c r="DT432" i="1"/>
  <c r="EC432" i="1" s="1"/>
  <c r="CQ432" i="1"/>
  <c r="CZ432" i="1" s="1"/>
  <c r="DR456" i="1"/>
  <c r="EA456" i="1" s="1"/>
  <c r="CO456" i="1"/>
  <c r="CX456" i="1" s="1"/>
  <c r="DT479" i="1"/>
  <c r="EC479" i="1" s="1"/>
  <c r="CQ479" i="1"/>
  <c r="CZ479" i="1" s="1"/>
  <c r="DR430" i="1"/>
  <c r="EA430" i="1" s="1"/>
  <c r="CO430" i="1"/>
  <c r="CX430" i="1" s="1"/>
  <c r="DT487" i="1"/>
  <c r="EC487" i="1" s="1"/>
  <c r="CQ487" i="1"/>
  <c r="CZ487" i="1" s="1"/>
  <c r="DT475" i="1"/>
  <c r="EC475" i="1" s="1"/>
  <c r="CQ475" i="1"/>
  <c r="CZ475" i="1" s="1"/>
  <c r="DT463" i="1"/>
  <c r="EC463" i="1" s="1"/>
  <c r="CQ463" i="1"/>
  <c r="CZ463" i="1" s="1"/>
  <c r="DT451" i="1"/>
  <c r="EC451" i="1" s="1"/>
  <c r="CQ451" i="1"/>
  <c r="CZ451" i="1" s="1"/>
  <c r="DT439" i="1"/>
  <c r="EC439" i="1" s="1"/>
  <c r="CQ439" i="1"/>
  <c r="CZ439" i="1" s="1"/>
  <c r="DR487" i="1"/>
  <c r="EA487" i="1" s="1"/>
  <c r="CO487" i="1"/>
  <c r="CX487" i="1" s="1"/>
  <c r="DR475" i="1"/>
  <c r="EA475" i="1" s="1"/>
  <c r="CO475" i="1"/>
  <c r="CX475" i="1" s="1"/>
  <c r="DR463" i="1"/>
  <c r="EA463" i="1" s="1"/>
  <c r="CO463" i="1"/>
  <c r="CX463" i="1" s="1"/>
  <c r="DR451" i="1"/>
  <c r="EA451" i="1" s="1"/>
  <c r="CO451" i="1"/>
  <c r="CX451" i="1" s="1"/>
  <c r="DR439" i="1"/>
  <c r="EA439" i="1" s="1"/>
  <c r="CO439" i="1"/>
  <c r="CX439" i="1" s="1"/>
  <c r="DT469" i="1"/>
  <c r="EC469" i="1" s="1"/>
  <c r="CQ469" i="1"/>
  <c r="CZ469" i="1" s="1"/>
  <c r="DT433" i="1"/>
  <c r="EC433" i="1" s="1"/>
  <c r="CQ433" i="1"/>
  <c r="CZ433" i="1" s="1"/>
  <c r="DR469" i="1"/>
  <c r="EA469" i="1" s="1"/>
  <c r="CO469" i="1"/>
  <c r="CX469" i="1" s="1"/>
  <c r="DT456" i="1"/>
  <c r="EC456" i="1" s="1"/>
  <c r="CQ456" i="1"/>
  <c r="CZ456" i="1" s="1"/>
  <c r="DR468" i="1"/>
  <c r="EA468" i="1" s="1"/>
  <c r="CO468" i="1"/>
  <c r="CX468" i="1" s="1"/>
  <c r="CQ491" i="1"/>
  <c r="CZ491" i="1" s="1"/>
  <c r="DT454" i="1"/>
  <c r="EC454" i="1" s="1"/>
  <c r="CQ454" i="1"/>
  <c r="CZ454" i="1" s="1"/>
  <c r="DR442" i="1"/>
  <c r="EA442" i="1" s="1"/>
  <c r="CO442" i="1"/>
  <c r="CX442" i="1" s="1"/>
  <c r="DT486" i="1"/>
  <c r="EC486" i="1" s="1"/>
  <c r="CQ486" i="1"/>
  <c r="CZ486" i="1" s="1"/>
  <c r="DT474" i="1"/>
  <c r="EC474" i="1" s="1"/>
  <c r="CQ474" i="1"/>
  <c r="CZ474" i="1" s="1"/>
  <c r="DT462" i="1"/>
  <c r="EC462" i="1" s="1"/>
  <c r="CQ462" i="1"/>
  <c r="CZ462" i="1" s="1"/>
  <c r="DT450" i="1"/>
  <c r="EC450" i="1" s="1"/>
  <c r="CQ450" i="1"/>
  <c r="CZ450" i="1" s="1"/>
  <c r="DT438" i="1"/>
  <c r="EC438" i="1" s="1"/>
  <c r="CQ438" i="1"/>
  <c r="CZ438" i="1" s="1"/>
  <c r="DR498" i="1"/>
  <c r="EA498" i="1" s="1"/>
  <c r="DR486" i="1"/>
  <c r="EA486" i="1" s="1"/>
  <c r="CO486" i="1"/>
  <c r="CX486" i="1" s="1"/>
  <c r="DR474" i="1"/>
  <c r="EA474" i="1" s="1"/>
  <c r="CO474" i="1"/>
  <c r="CX474" i="1" s="1"/>
  <c r="DR462" i="1"/>
  <c r="EA462" i="1" s="1"/>
  <c r="CO462" i="1"/>
  <c r="CX462" i="1" s="1"/>
  <c r="DR450" i="1"/>
  <c r="EA450" i="1" s="1"/>
  <c r="CO450" i="1"/>
  <c r="CX450" i="1" s="1"/>
  <c r="DR438" i="1"/>
  <c r="EA438" i="1" s="1"/>
  <c r="CO438" i="1"/>
  <c r="CX438" i="1" s="1"/>
  <c r="DT485" i="1"/>
  <c r="EC485" i="1" s="1"/>
  <c r="CQ485" i="1"/>
  <c r="CZ485" i="1" s="1"/>
  <c r="DR485" i="1"/>
  <c r="EA485" i="1" s="1"/>
  <c r="CO485" i="1"/>
  <c r="CX485" i="1" s="1"/>
  <c r="DR473" i="1"/>
  <c r="EA473" i="1" s="1"/>
  <c r="CO473" i="1"/>
  <c r="CX473" i="1" s="1"/>
  <c r="DR461" i="1"/>
  <c r="EA461" i="1" s="1"/>
  <c r="CO461" i="1"/>
  <c r="CX461" i="1" s="1"/>
  <c r="DR449" i="1"/>
  <c r="EA449" i="1" s="1"/>
  <c r="CO449" i="1"/>
  <c r="CX449" i="1" s="1"/>
  <c r="DR437" i="1"/>
  <c r="EA437" i="1" s="1"/>
  <c r="CO437" i="1"/>
  <c r="CX437" i="1" s="1"/>
  <c r="DT497" i="1"/>
  <c r="EC497" i="1" s="1"/>
  <c r="CQ497" i="1"/>
  <c r="CZ497" i="1" s="1"/>
  <c r="DT460" i="1"/>
  <c r="EC460" i="1" s="1"/>
  <c r="CQ460" i="1"/>
  <c r="CZ460" i="1" s="1"/>
  <c r="DT436" i="1"/>
  <c r="EC436" i="1" s="1"/>
  <c r="CQ436" i="1"/>
  <c r="CZ436" i="1" s="1"/>
  <c r="DR484" i="1"/>
  <c r="EA484" i="1" s="1"/>
  <c r="CO484" i="1"/>
  <c r="CX484" i="1" s="1"/>
  <c r="DR472" i="1"/>
  <c r="EA472" i="1" s="1"/>
  <c r="CO472" i="1"/>
  <c r="CX472" i="1" s="1"/>
  <c r="DR460" i="1"/>
  <c r="EA460" i="1" s="1"/>
  <c r="CO460" i="1"/>
  <c r="CX460" i="1" s="1"/>
  <c r="DR448" i="1"/>
  <c r="EA448" i="1" s="1"/>
  <c r="CO448" i="1"/>
  <c r="CX448" i="1" s="1"/>
  <c r="DR436" i="1"/>
  <c r="EA436" i="1" s="1"/>
  <c r="CO436" i="1"/>
  <c r="CX436" i="1" s="1"/>
  <c r="DT483" i="1"/>
  <c r="EC483" i="1" s="1"/>
  <c r="CQ483" i="1"/>
  <c r="CZ483" i="1" s="1"/>
  <c r="DT471" i="1"/>
  <c r="EC471" i="1" s="1"/>
  <c r="CQ471" i="1"/>
  <c r="CZ471" i="1" s="1"/>
  <c r="DT459" i="1"/>
  <c r="EC459" i="1" s="1"/>
  <c r="CQ459" i="1"/>
  <c r="CZ459" i="1" s="1"/>
  <c r="DT447" i="1"/>
  <c r="EC447" i="1" s="1"/>
  <c r="CQ447" i="1"/>
  <c r="CZ447" i="1" s="1"/>
  <c r="DT435" i="1"/>
  <c r="EC435" i="1" s="1"/>
  <c r="CQ435" i="1"/>
  <c r="CZ435" i="1" s="1"/>
  <c r="DR483" i="1"/>
  <c r="EA483" i="1" s="1"/>
  <c r="CO483" i="1"/>
  <c r="CX483" i="1" s="1"/>
  <c r="DR471" i="1"/>
  <c r="EA471" i="1" s="1"/>
  <c r="CO471" i="1"/>
  <c r="CX471" i="1" s="1"/>
  <c r="DR459" i="1"/>
  <c r="EA459" i="1" s="1"/>
  <c r="CO459" i="1"/>
  <c r="CX459" i="1" s="1"/>
  <c r="DR447" i="1"/>
  <c r="EA447" i="1" s="1"/>
  <c r="CO447" i="1"/>
  <c r="CX447" i="1" s="1"/>
  <c r="DR435" i="1"/>
  <c r="EA435" i="1" s="1"/>
  <c r="CO435" i="1"/>
  <c r="CX435" i="1" s="1"/>
  <c r="DT482" i="1"/>
  <c r="EC482" i="1" s="1"/>
  <c r="CQ482" i="1"/>
  <c r="CZ482" i="1" s="1"/>
  <c r="DT470" i="1"/>
  <c r="EC470" i="1" s="1"/>
  <c r="CQ470" i="1"/>
  <c r="CZ470" i="1" s="1"/>
  <c r="DT458" i="1"/>
  <c r="EC458" i="1" s="1"/>
  <c r="CQ458" i="1"/>
  <c r="CZ458" i="1" s="1"/>
  <c r="DT446" i="1"/>
  <c r="EC446" i="1" s="1"/>
  <c r="CQ446" i="1"/>
  <c r="CZ446" i="1" s="1"/>
  <c r="DT434" i="1"/>
  <c r="EC434" i="1" s="1"/>
  <c r="CQ434" i="1"/>
  <c r="CZ434" i="1" s="1"/>
  <c r="DR482" i="1"/>
  <c r="EA482" i="1" s="1"/>
  <c r="CO482" i="1"/>
  <c r="CX482" i="1" s="1"/>
  <c r="DR470" i="1"/>
  <c r="EA470" i="1" s="1"/>
  <c r="CO470" i="1"/>
  <c r="CX470" i="1" s="1"/>
  <c r="DR458" i="1"/>
  <c r="EA458" i="1" s="1"/>
  <c r="CO458" i="1"/>
  <c r="CX458" i="1" s="1"/>
  <c r="DR446" i="1"/>
  <c r="EA446" i="1" s="1"/>
  <c r="CO446" i="1"/>
  <c r="CX446" i="1" s="1"/>
  <c r="DR434" i="1"/>
  <c r="EA434" i="1" s="1"/>
  <c r="CO434" i="1"/>
  <c r="CX434" i="1" s="1"/>
  <c r="DT473" i="1"/>
  <c r="EC473" i="1" s="1"/>
  <c r="CQ473" i="1"/>
  <c r="CZ473" i="1" s="1"/>
  <c r="DR481" i="1"/>
  <c r="EA481" i="1" s="1"/>
  <c r="CO481" i="1"/>
  <c r="CX481" i="1" s="1"/>
  <c r="AV45" i="2"/>
  <c r="CL43" i="2"/>
  <c r="Q33" i="66" s="1"/>
  <c r="BW42" i="2"/>
  <c r="AS41" i="2"/>
  <c r="BP40" i="2"/>
  <c r="W31" i="43" s="1"/>
  <c r="BI26" i="43" s="1"/>
  <c r="AB40" i="2"/>
  <c r="BT40" i="2"/>
  <c r="AI30" i="27" s="1"/>
  <c r="E42" i="2"/>
  <c r="CN42" i="2"/>
  <c r="S32" i="66" s="1"/>
  <c r="AB42" i="2"/>
  <c r="P43" i="2"/>
  <c r="AD42" i="2"/>
  <c r="AA32" i="27" s="1"/>
  <c r="AX43" i="2"/>
  <c r="K33" i="29" s="1"/>
  <c r="AE42" i="2"/>
  <c r="AZ43" i="2"/>
  <c r="AJ42" i="2"/>
  <c r="BN43" i="2"/>
  <c r="U34" i="43" s="1"/>
  <c r="BL24" i="43" s="1"/>
  <c r="CM42" i="2"/>
  <c r="R32" i="66" s="1"/>
  <c r="AQ42" i="2"/>
  <c r="AU42" i="2"/>
  <c r="O45" i="2"/>
  <c r="BK42" i="2"/>
  <c r="BR42" i="2"/>
  <c r="AG32" i="27" s="1"/>
  <c r="CJ42" i="2"/>
  <c r="AR42" i="2"/>
  <c r="CQ42" i="2"/>
  <c r="D42" i="2"/>
  <c r="AT42" i="2"/>
  <c r="G43" i="2"/>
  <c r="G42" i="2"/>
  <c r="AZ42" i="2"/>
  <c r="L32" i="29" s="1"/>
  <c r="S43" i="2"/>
  <c r="AA45" i="2"/>
  <c r="H42" i="2"/>
  <c r="BG42" i="2"/>
  <c r="AD33" i="43" s="1"/>
  <c r="BK33" i="43" s="1"/>
  <c r="T43" i="2"/>
  <c r="AG45" i="2"/>
  <c r="M42" i="2"/>
  <c r="D33" i="43" s="1"/>
  <c r="BK7" i="43" s="1"/>
  <c r="BH42" i="2"/>
  <c r="AJ43" i="2"/>
  <c r="AO45" i="2"/>
  <c r="AA42" i="2"/>
  <c r="AT43" i="2"/>
  <c r="BQ45" i="2"/>
  <c r="X36" i="43" s="1"/>
  <c r="BN27" i="43" s="1"/>
  <c r="E40" i="2"/>
  <c r="BH40" i="2"/>
  <c r="BE41" i="2"/>
  <c r="O42" i="2"/>
  <c r="AL42" i="2"/>
  <c r="BB42" i="2"/>
  <c r="BS42" i="2"/>
  <c r="H43" i="2"/>
  <c r="AK43" i="2"/>
  <c r="BP43" i="2"/>
  <c r="W34" i="43" s="1"/>
  <c r="BL26" i="43" s="1"/>
  <c r="I40" i="2"/>
  <c r="D30" i="50" s="1"/>
  <c r="BI41" i="2"/>
  <c r="P42" i="2"/>
  <c r="AM42" i="2"/>
  <c r="BC42" i="2"/>
  <c r="BV42" i="2"/>
  <c r="K43" i="2"/>
  <c r="AN43" i="2"/>
  <c r="BT43" i="2"/>
  <c r="T36" i="29"/>
  <c r="M37" i="29"/>
  <c r="M40" i="2"/>
  <c r="E30" i="50" s="1"/>
  <c r="BL40" i="2"/>
  <c r="Q42" i="2"/>
  <c r="E33" i="43" s="1"/>
  <c r="BK8" i="43" s="1"/>
  <c r="AN42" i="2"/>
  <c r="BD42" i="2"/>
  <c r="L33" i="43" s="1"/>
  <c r="BK15" i="43" s="1"/>
  <c r="L43" i="2"/>
  <c r="AO43" i="2"/>
  <c r="BU43" i="2"/>
  <c r="D45" i="2"/>
  <c r="CN45" i="2"/>
  <c r="S35" i="66" s="1"/>
  <c r="AE38" i="43"/>
  <c r="BP34" i="43" s="1"/>
  <c r="R37" i="29"/>
  <c r="BD40" i="2"/>
  <c r="AD30" i="50" s="1"/>
  <c r="A37" i="34"/>
  <c r="F37" i="34" s="1"/>
  <c r="B32" i="66"/>
  <c r="C28" i="57"/>
  <c r="C57" i="57" s="1"/>
  <c r="Q40" i="2"/>
  <c r="E31" i="43" s="1"/>
  <c r="BI8" i="43" s="1"/>
  <c r="B42" i="2"/>
  <c r="Z42" i="2"/>
  <c r="AP42" i="2"/>
  <c r="BF42" i="2"/>
  <c r="CI42" i="2"/>
  <c r="O43" i="2"/>
  <c r="AS43" i="2"/>
  <c r="I45" i="2"/>
  <c r="C36" i="43" s="1"/>
  <c r="BN6" i="43" s="1"/>
  <c r="AF41" i="43"/>
  <c r="BS35" i="43" s="1"/>
  <c r="S40" i="29"/>
  <c r="K36" i="29"/>
  <c r="AH37" i="27"/>
  <c r="Z38" i="43"/>
  <c r="BP29" i="43" s="1"/>
  <c r="B31" i="66"/>
  <c r="C27" i="57"/>
  <c r="C56" i="57" s="1"/>
  <c r="AB37" i="43"/>
  <c r="BO31" i="43" s="1"/>
  <c r="O36" i="29"/>
  <c r="U39" i="29"/>
  <c r="Y40" i="29"/>
  <c r="B30" i="66"/>
  <c r="C26" i="57"/>
  <c r="C55" i="57" s="1"/>
  <c r="AF40" i="2"/>
  <c r="CK40" i="2"/>
  <c r="P30" i="66" s="1"/>
  <c r="B29" i="66"/>
  <c r="C25" i="57"/>
  <c r="C54" i="57" s="1"/>
  <c r="AJ40" i="2"/>
  <c r="CO40" i="2"/>
  <c r="T30" i="66" s="1"/>
  <c r="AC37" i="43"/>
  <c r="BO32" i="43" s="1"/>
  <c r="P36" i="29"/>
  <c r="BD43" i="2"/>
  <c r="L34" i="43" s="1"/>
  <c r="BL15" i="43" s="1"/>
  <c r="B34" i="66"/>
  <c r="B34" i="29"/>
  <c r="F34" i="29" s="1"/>
  <c r="AR40" i="2"/>
  <c r="S41" i="2"/>
  <c r="I42" i="2"/>
  <c r="C32" i="27" s="1"/>
  <c r="AF42" i="2"/>
  <c r="AV42" i="2"/>
  <c r="BL42" i="2"/>
  <c r="CR42" i="2"/>
  <c r="AC43" i="2"/>
  <c r="BE43" i="2"/>
  <c r="Y37" i="29"/>
  <c r="B33" i="43"/>
  <c r="B33" i="29"/>
  <c r="F33" i="29" s="1"/>
  <c r="B33" i="66"/>
  <c r="AN40" i="2"/>
  <c r="F41" i="2"/>
  <c r="B35" i="29"/>
  <c r="F35" i="29" s="1"/>
  <c r="B35" i="66"/>
  <c r="AV40" i="2"/>
  <c r="AC41" i="2"/>
  <c r="K42" i="2"/>
  <c r="AH42" i="2"/>
  <c r="AX42" i="2"/>
  <c r="BN42" i="2"/>
  <c r="U33" i="43" s="1"/>
  <c r="BK24" i="43" s="1"/>
  <c r="C43" i="2"/>
  <c r="AF43" i="2"/>
  <c r="BI43" i="2"/>
  <c r="CP43" i="2"/>
  <c r="U33" i="66" s="1"/>
  <c r="BC45" i="2"/>
  <c r="W32" i="29"/>
  <c r="AB43" i="2"/>
  <c r="CK43" i="2"/>
  <c r="P33" i="66" s="1"/>
  <c r="AZ40" i="2"/>
  <c r="AO41" i="2"/>
  <c r="L42" i="2"/>
  <c r="AI42" i="2"/>
  <c r="AY42" i="2"/>
  <c r="BO42" i="2"/>
  <c r="V33" i="43" s="1"/>
  <c r="BK25" i="43" s="1"/>
  <c r="D43" i="2"/>
  <c r="AG43" i="2"/>
  <c r="BJ43" i="2"/>
  <c r="AA34" i="43" s="1"/>
  <c r="BL30" i="43" s="1"/>
  <c r="CQ43" i="2"/>
  <c r="BK45" i="2"/>
  <c r="T40" i="2"/>
  <c r="A36" i="34"/>
  <c r="B32" i="43"/>
  <c r="CO41" i="2"/>
  <c r="T31" i="66" s="1"/>
  <c r="CK41" i="2"/>
  <c r="P31" i="66" s="1"/>
  <c r="BT41" i="2"/>
  <c r="BP41" i="2"/>
  <c r="W32" i="43" s="1"/>
  <c r="BJ26" i="43" s="1"/>
  <c r="BL41" i="2"/>
  <c r="BH41" i="2"/>
  <c r="BD41" i="2"/>
  <c r="L32" i="43" s="1"/>
  <c r="BJ15" i="43" s="1"/>
  <c r="AZ41" i="2"/>
  <c r="AV41" i="2"/>
  <c r="AR41" i="2"/>
  <c r="AN41" i="2"/>
  <c r="AJ41" i="2"/>
  <c r="AF41" i="2"/>
  <c r="AB41" i="2"/>
  <c r="Q41" i="2"/>
  <c r="E31" i="27" s="1"/>
  <c r="M41" i="2"/>
  <c r="I41" i="2"/>
  <c r="C32" i="43" s="1"/>
  <c r="BJ6" i="43" s="1"/>
  <c r="E41" i="2"/>
  <c r="CR41" i="2"/>
  <c r="CN41" i="2"/>
  <c r="S31" i="66" s="1"/>
  <c r="CJ41" i="2"/>
  <c r="O31" i="66" s="1"/>
  <c r="BW41" i="2"/>
  <c r="BS41" i="2"/>
  <c r="BO41" i="2"/>
  <c r="V32" i="43" s="1"/>
  <c r="BJ25" i="43" s="1"/>
  <c r="BK41" i="2"/>
  <c r="BG41" i="2"/>
  <c r="BC41" i="2"/>
  <c r="AY41" i="2"/>
  <c r="AU41" i="2"/>
  <c r="AQ41" i="2"/>
  <c r="AM41" i="2"/>
  <c r="AI41" i="2"/>
  <c r="AE41" i="2"/>
  <c r="AA41" i="2"/>
  <c r="P41" i="2"/>
  <c r="L41" i="2"/>
  <c r="H41" i="2"/>
  <c r="D41" i="2"/>
  <c r="CQ41" i="2"/>
  <c r="CM41" i="2"/>
  <c r="R31" i="66" s="1"/>
  <c r="CI41" i="2"/>
  <c r="BV41" i="2"/>
  <c r="BR41" i="2"/>
  <c r="BN41" i="2"/>
  <c r="U32" i="43" s="1"/>
  <c r="BJ24" i="43" s="1"/>
  <c r="BF41" i="2"/>
  <c r="BB41" i="2"/>
  <c r="AX41" i="2"/>
  <c r="AT41" i="2"/>
  <c r="AP41" i="2"/>
  <c r="W31" i="66" s="1"/>
  <c r="AL41" i="2"/>
  <c r="AH41" i="2"/>
  <c r="AD41" i="2"/>
  <c r="AA31" i="27" s="1"/>
  <c r="Z41" i="2"/>
  <c r="O41" i="2"/>
  <c r="K41" i="2"/>
  <c r="G41" i="2"/>
  <c r="B41" i="2"/>
  <c r="CP41" i="2"/>
  <c r="U31" i="66" s="1"/>
  <c r="CL41" i="2"/>
  <c r="Q31" i="66" s="1"/>
  <c r="CH41" i="2"/>
  <c r="BU41" i="2"/>
  <c r="BQ41" i="2"/>
  <c r="X32" i="43" s="1"/>
  <c r="BJ27" i="43" s="1"/>
  <c r="B35" i="43"/>
  <c r="B34" i="27"/>
  <c r="P34" i="27" s="1"/>
  <c r="CP44" i="2"/>
  <c r="U34" i="66" s="1"/>
  <c r="CL44" i="2"/>
  <c r="Q34" i="66" s="1"/>
  <c r="CH44" i="2"/>
  <c r="BU44" i="2"/>
  <c r="BQ44" i="2"/>
  <c r="X35" i="43" s="1"/>
  <c r="BM27" i="43" s="1"/>
  <c r="BM44" i="2"/>
  <c r="T35" i="43" s="1"/>
  <c r="BM23" i="43" s="1"/>
  <c r="BI44" i="2"/>
  <c r="BE44" i="2"/>
  <c r="BA44" i="2"/>
  <c r="AW44" i="2"/>
  <c r="AS44" i="2"/>
  <c r="AO44" i="2"/>
  <c r="AK44" i="2"/>
  <c r="AG44" i="2"/>
  <c r="AC44" i="2"/>
  <c r="T44" i="2"/>
  <c r="P44" i="2"/>
  <c r="L44" i="2"/>
  <c r="H44" i="2"/>
  <c r="D44" i="2"/>
  <c r="CR44" i="2"/>
  <c r="CM44" i="2"/>
  <c r="R34" i="66" s="1"/>
  <c r="BV44" i="2"/>
  <c r="BP44" i="2"/>
  <c r="W35" i="43" s="1"/>
  <c r="BM26" i="43" s="1"/>
  <c r="BK44" i="2"/>
  <c r="BF44" i="2"/>
  <c r="AZ44" i="2"/>
  <c r="AU44" i="2"/>
  <c r="AP44" i="2"/>
  <c r="W34" i="66" s="1"/>
  <c r="AJ44" i="2"/>
  <c r="AE44" i="2"/>
  <c r="Z44" i="2"/>
  <c r="O44" i="2"/>
  <c r="J44" i="2"/>
  <c r="E44" i="2"/>
  <c r="CQ44" i="2"/>
  <c r="CK44" i="2"/>
  <c r="P34" i="66" s="1"/>
  <c r="BT44" i="2"/>
  <c r="BO44" i="2"/>
  <c r="V35" i="43" s="1"/>
  <c r="BM25" i="43" s="1"/>
  <c r="BJ44" i="2"/>
  <c r="AA35" i="43" s="1"/>
  <c r="BM30" i="43" s="1"/>
  <c r="BD44" i="2"/>
  <c r="L35" i="43" s="1"/>
  <c r="BM15" i="43" s="1"/>
  <c r="AY44" i="2"/>
  <c r="AT44" i="2"/>
  <c r="AN44" i="2"/>
  <c r="AI44" i="2"/>
  <c r="AD44" i="2"/>
  <c r="J35" i="43" s="1"/>
  <c r="S44" i="2"/>
  <c r="N44" i="2"/>
  <c r="I44" i="2"/>
  <c r="C35" i="43" s="1"/>
  <c r="BM6" i="43" s="1"/>
  <c r="C44" i="2"/>
  <c r="CO44" i="2"/>
  <c r="T34" i="66" s="1"/>
  <c r="CJ44" i="2"/>
  <c r="O34" i="66" s="1"/>
  <c r="BS44" i="2"/>
  <c r="BN44" i="2"/>
  <c r="U35" i="43" s="1"/>
  <c r="BM24" i="43" s="1"/>
  <c r="BH44" i="2"/>
  <c r="BC44" i="2"/>
  <c r="AX44" i="2"/>
  <c r="AR44" i="2"/>
  <c r="AM44" i="2"/>
  <c r="AE34" i="27" s="1"/>
  <c r="AO34" i="27" s="1"/>
  <c r="AH44" i="2"/>
  <c r="AB44" i="2"/>
  <c r="R44" i="2"/>
  <c r="M44" i="2"/>
  <c r="D35" i="43" s="1"/>
  <c r="BM7" i="43" s="1"/>
  <c r="G44" i="2"/>
  <c r="B44" i="2"/>
  <c r="CN44" i="2"/>
  <c r="S34" i="66" s="1"/>
  <c r="CI44" i="2"/>
  <c r="BW44" i="2"/>
  <c r="BR44" i="2"/>
  <c r="BL44" i="2"/>
  <c r="S35" i="43" s="1"/>
  <c r="BM22" i="43" s="1"/>
  <c r="BG44" i="2"/>
  <c r="BB44" i="2"/>
  <c r="AV44" i="2"/>
  <c r="AQ44" i="2"/>
  <c r="AL44" i="2"/>
  <c r="AF44" i="2"/>
  <c r="AA44" i="2"/>
  <c r="Q44" i="2"/>
  <c r="E34" i="27" s="1"/>
  <c r="K44" i="2"/>
  <c r="F44" i="2"/>
  <c r="B39" i="43"/>
  <c r="CO48" i="2"/>
  <c r="T38" i="66" s="1"/>
  <c r="CK48" i="2"/>
  <c r="P38" i="66" s="1"/>
  <c r="BT48" i="2"/>
  <c r="BP48" i="2"/>
  <c r="W39" i="43" s="1"/>
  <c r="BQ26" i="43" s="1"/>
  <c r="BL48" i="2"/>
  <c r="S39" i="43" s="1"/>
  <c r="BQ22" i="43" s="1"/>
  <c r="BH48" i="2"/>
  <c r="BD48" i="2"/>
  <c r="L39" i="43" s="1"/>
  <c r="BQ15" i="43" s="1"/>
  <c r="AZ48" i="2"/>
  <c r="AV48" i="2"/>
  <c r="AR48" i="2"/>
  <c r="AN48" i="2"/>
  <c r="AJ48" i="2"/>
  <c r="AF48" i="2"/>
  <c r="AB48" i="2"/>
  <c r="S48" i="2"/>
  <c r="O48" i="2"/>
  <c r="K48" i="2"/>
  <c r="G48" i="2"/>
  <c r="C48" i="2"/>
  <c r="CP48" i="2"/>
  <c r="U38" i="66" s="1"/>
  <c r="CJ48" i="2"/>
  <c r="O38" i="66" s="1"/>
  <c r="BS48" i="2"/>
  <c r="BN48" i="2"/>
  <c r="U39" i="43" s="1"/>
  <c r="BQ24" i="43" s="1"/>
  <c r="BI48" i="2"/>
  <c r="BC48" i="2"/>
  <c r="AX48" i="2"/>
  <c r="AS48" i="2"/>
  <c r="AM48" i="2"/>
  <c r="AE38" i="27" s="1"/>
  <c r="AO38" i="27" s="1"/>
  <c r="AH48" i="2"/>
  <c r="AC48" i="2"/>
  <c r="R48" i="2"/>
  <c r="M48" i="2"/>
  <c r="D38" i="27" s="1"/>
  <c r="H48" i="2"/>
  <c r="B48" i="2"/>
  <c r="B38" i="27"/>
  <c r="P38" i="27" s="1"/>
  <c r="CN48" i="2"/>
  <c r="S38" i="66" s="1"/>
  <c r="CI48" i="2"/>
  <c r="BR48" i="2"/>
  <c r="BM48" i="2"/>
  <c r="T39" i="43" s="1"/>
  <c r="BQ23" i="43" s="1"/>
  <c r="BG48" i="2"/>
  <c r="BB48" i="2"/>
  <c r="AW48" i="2"/>
  <c r="AQ48" i="2"/>
  <c r="AL48" i="2"/>
  <c r="AG48" i="2"/>
  <c r="AA48" i="2"/>
  <c r="Q48" i="2"/>
  <c r="E38" i="27" s="1"/>
  <c r="L48" i="2"/>
  <c r="F48" i="2"/>
  <c r="CL48" i="2"/>
  <c r="Q38" i="66" s="1"/>
  <c r="BO48" i="2"/>
  <c r="V39" i="43" s="1"/>
  <c r="BQ25" i="43" s="1"/>
  <c r="BE48" i="2"/>
  <c r="AT48" i="2"/>
  <c r="AI48" i="2"/>
  <c r="T48" i="2"/>
  <c r="I48" i="2"/>
  <c r="C39" i="43" s="1"/>
  <c r="BQ6" i="43" s="1"/>
  <c r="CH48" i="2"/>
  <c r="BV48" i="2"/>
  <c r="BK48" i="2"/>
  <c r="BA48" i="2"/>
  <c r="AP48" i="2"/>
  <c r="W38" i="66" s="1"/>
  <c r="AE48" i="2"/>
  <c r="P48" i="2"/>
  <c r="E48" i="2"/>
  <c r="CQ48" i="2"/>
  <c r="BU48" i="2"/>
  <c r="BJ48" i="2"/>
  <c r="AA39" i="43" s="1"/>
  <c r="BQ30" i="43" s="1"/>
  <c r="AY48" i="2"/>
  <c r="AO48" i="2"/>
  <c r="AD48" i="2"/>
  <c r="J39" i="43" s="1"/>
  <c r="N48" i="2"/>
  <c r="D48" i="2"/>
  <c r="AK48" i="2"/>
  <c r="J48" i="2"/>
  <c r="CM48" i="2"/>
  <c r="R38" i="66" s="1"/>
  <c r="BQ48" i="2"/>
  <c r="X39" i="43" s="1"/>
  <c r="BQ27" i="43" s="1"/>
  <c r="BF48" i="2"/>
  <c r="AU48" i="2"/>
  <c r="AP38" i="27" s="1"/>
  <c r="Z48" i="2"/>
  <c r="CP52" i="2"/>
  <c r="CL52" i="2"/>
  <c r="CH52" i="2"/>
  <c r="BU52" i="2"/>
  <c r="BQ52" i="2"/>
  <c r="BM52" i="2"/>
  <c r="CO52" i="2"/>
  <c r="CK52" i="2"/>
  <c r="BT52" i="2"/>
  <c r="AI42" i="27" s="1"/>
  <c r="BP52" i="2"/>
  <c r="BL52" i="2"/>
  <c r="BH52" i="2"/>
  <c r="BD52" i="2"/>
  <c r="AC42" i="27" s="1"/>
  <c r="AZ52" i="2"/>
  <c r="AV52" i="2"/>
  <c r="AR52" i="2"/>
  <c r="AN52" i="2"/>
  <c r="AJ52" i="2"/>
  <c r="AF52" i="2"/>
  <c r="AB52" i="2"/>
  <c r="S52" i="2"/>
  <c r="O52" i="2"/>
  <c r="CQ52" i="2"/>
  <c r="CI52" i="2"/>
  <c r="BR52" i="2"/>
  <c r="BJ52" i="2"/>
  <c r="BE52" i="2"/>
  <c r="AY52" i="2"/>
  <c r="AT52" i="2"/>
  <c r="AO52" i="2"/>
  <c r="AF42" i="27" s="1"/>
  <c r="AM42" i="27" s="1"/>
  <c r="AD52" i="2"/>
  <c r="AA42" i="27" s="1"/>
  <c r="T52" i="2"/>
  <c r="N52" i="2"/>
  <c r="J52" i="2"/>
  <c r="F52" i="2"/>
  <c r="B52" i="2"/>
  <c r="B42" i="27"/>
  <c r="P42" i="27" s="1"/>
  <c r="CN52" i="2"/>
  <c r="BO52" i="2"/>
  <c r="BI52" i="2"/>
  <c r="BC52" i="2"/>
  <c r="AX52" i="2"/>
  <c r="AS52" i="2"/>
  <c r="AM52" i="2"/>
  <c r="AE42" i="27" s="1"/>
  <c r="AO42" i="27" s="1"/>
  <c r="AH52" i="2"/>
  <c r="AC52" i="2"/>
  <c r="R52" i="2"/>
  <c r="M52" i="2"/>
  <c r="D42" i="27" s="1"/>
  <c r="I52" i="2"/>
  <c r="C42" i="27" s="1"/>
  <c r="E52" i="2"/>
  <c r="BK52" i="2"/>
  <c r="BA52" i="2"/>
  <c r="AP52" i="2"/>
  <c r="AJ42" i="27" s="1"/>
  <c r="AN42" i="27" s="1"/>
  <c r="AE52" i="2"/>
  <c r="P52" i="2"/>
  <c r="G52" i="2"/>
  <c r="CJ52" i="2"/>
  <c r="BN52" i="2"/>
  <c r="AW52" i="2"/>
  <c r="AK52" i="2"/>
  <c r="Q52" i="2"/>
  <c r="E42" i="27" s="1"/>
  <c r="D52" i="2"/>
  <c r="BG52" i="2"/>
  <c r="AU52" i="2"/>
  <c r="AG52" i="2"/>
  <c r="L52" i="2"/>
  <c r="C52" i="2"/>
  <c r="BS52" i="2"/>
  <c r="AH42" i="27" s="1"/>
  <c r="AL52" i="2"/>
  <c r="H52" i="2"/>
  <c r="BF52" i="2"/>
  <c r="AA52" i="2"/>
  <c r="CM52" i="2"/>
  <c r="BB52" i="2"/>
  <c r="Z52" i="2"/>
  <c r="BV52" i="2"/>
  <c r="AQ52" i="2"/>
  <c r="AP42" i="27" s="1"/>
  <c r="K52" i="2"/>
  <c r="J41" i="2"/>
  <c r="AG41" i="2"/>
  <c r="AW41" i="2"/>
  <c r="L31" i="43"/>
  <c r="BI15" i="43" s="1"/>
  <c r="N41" i="2"/>
  <c r="AK41" i="2"/>
  <c r="BA41" i="2"/>
  <c r="BM41" i="2"/>
  <c r="T32" i="43" s="1"/>
  <c r="BJ23" i="43" s="1"/>
  <c r="AJ36" i="27"/>
  <c r="AN36" i="27" s="1"/>
  <c r="Q37" i="43"/>
  <c r="BO20" i="43" s="1"/>
  <c r="A35" i="34"/>
  <c r="B31" i="43"/>
  <c r="B35" i="27"/>
  <c r="P35" i="27" s="1"/>
  <c r="B36" i="43"/>
  <c r="CQ45" i="2"/>
  <c r="CM45" i="2"/>
  <c r="R35" i="66" s="1"/>
  <c r="CI45" i="2"/>
  <c r="BV45" i="2"/>
  <c r="BR45" i="2"/>
  <c r="BN45" i="2"/>
  <c r="U36" i="43" s="1"/>
  <c r="BN24" i="43" s="1"/>
  <c r="BJ45" i="2"/>
  <c r="AA36" i="43" s="1"/>
  <c r="BN30" i="43" s="1"/>
  <c r="BF45" i="2"/>
  <c r="BB45" i="2"/>
  <c r="AX45" i="2"/>
  <c r="AT45" i="2"/>
  <c r="AP45" i="2"/>
  <c r="W35" i="66" s="1"/>
  <c r="AL45" i="2"/>
  <c r="AH45" i="2"/>
  <c r="AD45" i="2"/>
  <c r="AA35" i="27" s="1"/>
  <c r="Z45" i="2"/>
  <c r="Q45" i="2"/>
  <c r="E35" i="27" s="1"/>
  <c r="CP45" i="2"/>
  <c r="U35" i="66" s="1"/>
  <c r="CK45" i="2"/>
  <c r="P35" i="66" s="1"/>
  <c r="BT45" i="2"/>
  <c r="BO45" i="2"/>
  <c r="V36" i="43" s="1"/>
  <c r="BN25" i="43" s="1"/>
  <c r="BI45" i="2"/>
  <c r="BD45" i="2"/>
  <c r="AC35" i="27" s="1"/>
  <c r="AY45" i="2"/>
  <c r="AS45" i="2"/>
  <c r="AN45" i="2"/>
  <c r="AI45" i="2"/>
  <c r="AC45" i="2"/>
  <c r="S45" i="2"/>
  <c r="N45" i="2"/>
  <c r="J45" i="2"/>
  <c r="F45" i="2"/>
  <c r="B45" i="2"/>
  <c r="B39" i="27"/>
  <c r="P39" i="27" s="1"/>
  <c r="B40" i="43"/>
  <c r="CQ49" i="2"/>
  <c r="CM49" i="2"/>
  <c r="R39" i="66" s="1"/>
  <c r="CI49" i="2"/>
  <c r="BV49" i="2"/>
  <c r="BR49" i="2"/>
  <c r="BN49" i="2"/>
  <c r="U40" i="43" s="1"/>
  <c r="BR24" i="43" s="1"/>
  <c r="BJ49" i="2"/>
  <c r="AA40" i="43" s="1"/>
  <c r="BR30" i="43" s="1"/>
  <c r="BF49" i="2"/>
  <c r="BB49" i="2"/>
  <c r="AX49" i="2"/>
  <c r="AT49" i="2"/>
  <c r="AP49" i="2"/>
  <c r="W39" i="66" s="1"/>
  <c r="AL49" i="2"/>
  <c r="AH49" i="2"/>
  <c r="AD49" i="2"/>
  <c r="AA39" i="27" s="1"/>
  <c r="Z49" i="2"/>
  <c r="Q49" i="2"/>
  <c r="E39" i="27" s="1"/>
  <c r="M49" i="2"/>
  <c r="D39" i="27" s="1"/>
  <c r="I49" i="2"/>
  <c r="C40" i="43" s="1"/>
  <c r="BR6" i="43" s="1"/>
  <c r="E49" i="2"/>
  <c r="CN49" i="2"/>
  <c r="S39" i="66" s="1"/>
  <c r="CH49" i="2"/>
  <c r="BQ49" i="2"/>
  <c r="X40" i="43" s="1"/>
  <c r="BR27" i="43" s="1"/>
  <c r="BL49" i="2"/>
  <c r="S40" i="43" s="1"/>
  <c r="BR22" i="43" s="1"/>
  <c r="BG49" i="2"/>
  <c r="BA49" i="2"/>
  <c r="AV49" i="2"/>
  <c r="AQ49" i="2"/>
  <c r="AK49" i="2"/>
  <c r="AF49" i="2"/>
  <c r="AA49" i="2"/>
  <c r="P49" i="2"/>
  <c r="K49" i="2"/>
  <c r="F49" i="2"/>
  <c r="CL49" i="2"/>
  <c r="Q39" i="66" s="1"/>
  <c r="BU49" i="2"/>
  <c r="BP49" i="2"/>
  <c r="W40" i="43" s="1"/>
  <c r="BR26" i="43" s="1"/>
  <c r="BK49" i="2"/>
  <c r="BE49" i="2"/>
  <c r="AZ49" i="2"/>
  <c r="AU49" i="2"/>
  <c r="AO49" i="2"/>
  <c r="AJ49" i="2"/>
  <c r="AE49" i="2"/>
  <c r="T49" i="2"/>
  <c r="O49" i="2"/>
  <c r="J49" i="2"/>
  <c r="D49" i="2"/>
  <c r="B43" i="27"/>
  <c r="P43" i="27" s="1"/>
  <c r="CN53" i="2"/>
  <c r="CJ53" i="2"/>
  <c r="BS53" i="2"/>
  <c r="AH43" i="27" s="1"/>
  <c r="BO53" i="2"/>
  <c r="BK53" i="2"/>
  <c r="BG53" i="2"/>
  <c r="BC53" i="2"/>
  <c r="AY53" i="2"/>
  <c r="AU53" i="2"/>
  <c r="AQ53" i="2"/>
  <c r="AM53" i="2"/>
  <c r="AE43" i="27" s="1"/>
  <c r="AO43" i="27" s="1"/>
  <c r="AE53" i="2"/>
  <c r="AA53" i="2"/>
  <c r="R53" i="2"/>
  <c r="N53" i="2"/>
  <c r="J53" i="2"/>
  <c r="F53" i="2"/>
  <c r="B53" i="2"/>
  <c r="CQ53" i="2"/>
  <c r="CM53" i="2"/>
  <c r="CI53" i="2"/>
  <c r="BV53" i="2"/>
  <c r="BR53" i="2"/>
  <c r="BN53" i="2"/>
  <c r="BJ53" i="2"/>
  <c r="BF53" i="2"/>
  <c r="BB53" i="2"/>
  <c r="AX53" i="2"/>
  <c r="AT53" i="2"/>
  <c r="AP53" i="2"/>
  <c r="AJ43" i="27" s="1"/>
  <c r="AN43" i="27" s="1"/>
  <c r="AL53" i="2"/>
  <c r="AH53" i="2"/>
  <c r="AD53" i="2"/>
  <c r="AA43" i="27" s="1"/>
  <c r="Z53" i="2"/>
  <c r="Q53" i="2"/>
  <c r="E43" i="27" s="1"/>
  <c r="M53" i="2"/>
  <c r="D43" i="27" s="1"/>
  <c r="I53" i="2"/>
  <c r="C43" i="27" s="1"/>
  <c r="E53" i="2"/>
  <c r="CO53" i="2"/>
  <c r="BP53" i="2"/>
  <c r="BH53" i="2"/>
  <c r="AZ53" i="2"/>
  <c r="AR53" i="2"/>
  <c r="AJ53" i="2"/>
  <c r="AB53" i="2"/>
  <c r="O53" i="2"/>
  <c r="G53" i="2"/>
  <c r="CL53" i="2"/>
  <c r="BU53" i="2"/>
  <c r="BM53" i="2"/>
  <c r="BE53" i="2"/>
  <c r="AW53" i="2"/>
  <c r="AO53" i="2"/>
  <c r="AF43" i="27" s="1"/>
  <c r="AM43" i="27" s="1"/>
  <c r="AG53" i="2"/>
  <c r="T53" i="2"/>
  <c r="L53" i="2"/>
  <c r="D53" i="2"/>
  <c r="CP53" i="2"/>
  <c r="BI53" i="2"/>
  <c r="AS53" i="2"/>
  <c r="AC53" i="2"/>
  <c r="H53" i="2"/>
  <c r="BT53" i="2"/>
  <c r="AI43" i="27" s="1"/>
  <c r="BA53" i="2"/>
  <c r="AF53" i="2"/>
  <c r="C53" i="2"/>
  <c r="CK53" i="2"/>
  <c r="BQ53" i="2"/>
  <c r="AV53" i="2"/>
  <c r="S53" i="2"/>
  <c r="F40" i="2"/>
  <c r="J40" i="2"/>
  <c r="N40" i="2"/>
  <c r="S40" i="2"/>
  <c r="AC40" i="2"/>
  <c r="AG40" i="2"/>
  <c r="AK40" i="2"/>
  <c r="AO40" i="2"/>
  <c r="AS40" i="2"/>
  <c r="AW40" i="2"/>
  <c r="BA40" i="2"/>
  <c r="BE40" i="2"/>
  <c r="BI40" i="2"/>
  <c r="BM40" i="2"/>
  <c r="T31" i="43" s="1"/>
  <c r="BI23" i="43" s="1"/>
  <c r="BQ40" i="2"/>
  <c r="X31" i="43" s="1"/>
  <c r="BI27" i="43" s="1"/>
  <c r="BU40" i="2"/>
  <c r="CH40" i="2"/>
  <c r="CL40" i="2"/>
  <c r="Q30" i="66" s="1"/>
  <c r="CP40" i="2"/>
  <c r="U30" i="66" s="1"/>
  <c r="E45" i="2"/>
  <c r="K45" i="2"/>
  <c r="P45" i="2"/>
  <c r="AB45" i="2"/>
  <c r="AJ45" i="2"/>
  <c r="AQ45" i="2"/>
  <c r="AW45" i="2"/>
  <c r="BE45" i="2"/>
  <c r="BL45" i="2"/>
  <c r="S36" i="43" s="1"/>
  <c r="BN22" i="43" s="1"/>
  <c r="BS45" i="2"/>
  <c r="CH45" i="2"/>
  <c r="CO45" i="2"/>
  <c r="T35" i="66" s="1"/>
  <c r="B49" i="2"/>
  <c r="L49" i="2"/>
  <c r="AB49" i="2"/>
  <c r="AM49" i="2"/>
  <c r="AE39" i="27" s="1"/>
  <c r="AO39" i="27" s="1"/>
  <c r="AW49" i="2"/>
  <c r="BH49" i="2"/>
  <c r="BS49" i="2"/>
  <c r="CO49" i="2"/>
  <c r="T39" i="66" s="1"/>
  <c r="AK53" i="2"/>
  <c r="A34" i="34"/>
  <c r="B30" i="43"/>
  <c r="B36" i="27"/>
  <c r="P36" i="27" s="1"/>
  <c r="B37" i="43"/>
  <c r="CO46" i="2"/>
  <c r="T36" i="66" s="1"/>
  <c r="CK46" i="2"/>
  <c r="P36" i="66" s="1"/>
  <c r="BT46" i="2"/>
  <c r="BP46" i="2"/>
  <c r="W37" i="43" s="1"/>
  <c r="BO26" i="43" s="1"/>
  <c r="BL46" i="2"/>
  <c r="S37" i="43" s="1"/>
  <c r="BO22" i="43" s="1"/>
  <c r="BH46" i="2"/>
  <c r="BD46" i="2"/>
  <c r="AC36" i="27" s="1"/>
  <c r="AZ46" i="2"/>
  <c r="AV46" i="2"/>
  <c r="AR46" i="2"/>
  <c r="AN46" i="2"/>
  <c r="AJ46" i="2"/>
  <c r="AD36" i="27" s="1"/>
  <c r="AF46" i="2"/>
  <c r="AB46" i="2"/>
  <c r="S46" i="2"/>
  <c r="O46" i="2"/>
  <c r="K46" i="2"/>
  <c r="G46" i="2"/>
  <c r="C46" i="2"/>
  <c r="CN46" i="2"/>
  <c r="S36" i="66" s="1"/>
  <c r="CI46" i="2"/>
  <c r="BW46" i="2"/>
  <c r="BR46" i="2"/>
  <c r="BM46" i="2"/>
  <c r="T37" i="43" s="1"/>
  <c r="BO23" i="43" s="1"/>
  <c r="BG46" i="2"/>
  <c r="BB46" i="2"/>
  <c r="AW46" i="2"/>
  <c r="AQ46" i="2"/>
  <c r="AL46" i="2"/>
  <c r="N37" i="43" s="1"/>
  <c r="BO17" i="43" s="1"/>
  <c r="AG46" i="2"/>
  <c r="AA46" i="2"/>
  <c r="Q46" i="2"/>
  <c r="E37" i="43" s="1"/>
  <c r="BO8" i="43" s="1"/>
  <c r="L46" i="2"/>
  <c r="F46" i="2"/>
  <c r="CR46" i="2"/>
  <c r="CM46" i="2"/>
  <c r="R36" i="66" s="1"/>
  <c r="CH46" i="2"/>
  <c r="BV46" i="2"/>
  <c r="BQ46" i="2"/>
  <c r="X37" i="43" s="1"/>
  <c r="BO27" i="43" s="1"/>
  <c r="B40" i="27"/>
  <c r="P40" i="27" s="1"/>
  <c r="B41" i="43"/>
  <c r="CN50" i="2"/>
  <c r="S40" i="66" s="1"/>
  <c r="CJ50" i="2"/>
  <c r="O40" i="66" s="1"/>
  <c r="BS50" i="2"/>
  <c r="BO50" i="2"/>
  <c r="V41" i="43" s="1"/>
  <c r="BS25" i="43" s="1"/>
  <c r="BK50" i="2"/>
  <c r="BG50" i="2"/>
  <c r="BC50" i="2"/>
  <c r="CQ50" i="2"/>
  <c r="CM50" i="2"/>
  <c r="R40" i="66" s="1"/>
  <c r="CI50" i="2"/>
  <c r="BV50" i="2"/>
  <c r="BR50" i="2"/>
  <c r="BN50" i="2"/>
  <c r="U41" i="43" s="1"/>
  <c r="BS24" i="43" s="1"/>
  <c r="BJ50" i="2"/>
  <c r="AA41" i="43" s="1"/>
  <c r="BS30" i="43" s="1"/>
  <c r="BF50" i="2"/>
  <c r="BB50" i="2"/>
  <c r="AX50" i="2"/>
  <c r="AT50" i="2"/>
  <c r="AP50" i="2"/>
  <c r="W40" i="66" s="1"/>
  <c r="AL50" i="2"/>
  <c r="AH50" i="2"/>
  <c r="AD50" i="2"/>
  <c r="AA40" i="27" s="1"/>
  <c r="Z50" i="2"/>
  <c r="Q50" i="2"/>
  <c r="E41" i="43" s="1"/>
  <c r="BS8" i="43" s="1"/>
  <c r="M50" i="2"/>
  <c r="D40" i="27" s="1"/>
  <c r="I50" i="2"/>
  <c r="C40" i="27" s="1"/>
  <c r="E50" i="2"/>
  <c r="CK50" i="2"/>
  <c r="P40" i="66" s="1"/>
  <c r="BT50" i="2"/>
  <c r="BL50" i="2"/>
  <c r="S41" i="43" s="1"/>
  <c r="BS22" i="43" s="1"/>
  <c r="BD50" i="2"/>
  <c r="AC40" i="27" s="1"/>
  <c r="AW50" i="2"/>
  <c r="AR50" i="2"/>
  <c r="AM50" i="2"/>
  <c r="AE40" i="27" s="1"/>
  <c r="AO40" i="27" s="1"/>
  <c r="AG50" i="2"/>
  <c r="AB50" i="2"/>
  <c r="R50" i="2"/>
  <c r="L50" i="2"/>
  <c r="G50" i="2"/>
  <c r="B50" i="2"/>
  <c r="CL50" i="2"/>
  <c r="Q40" i="66" s="1"/>
  <c r="BP50" i="2"/>
  <c r="W41" i="43" s="1"/>
  <c r="BS26" i="43" s="1"/>
  <c r="BE50" i="2"/>
  <c r="AV50" i="2"/>
  <c r="AO50" i="2"/>
  <c r="AA50" i="2"/>
  <c r="O50" i="2"/>
  <c r="H50" i="2"/>
  <c r="CH50" i="2"/>
  <c r="BM50" i="2"/>
  <c r="T41" i="43" s="1"/>
  <c r="BS23" i="43" s="1"/>
  <c r="BA50" i="2"/>
  <c r="AU50" i="2"/>
  <c r="AN50" i="2"/>
  <c r="AF50" i="2"/>
  <c r="T50" i="2"/>
  <c r="N50" i="2"/>
  <c r="F50" i="2"/>
  <c r="B40" i="2"/>
  <c r="G40" i="2"/>
  <c r="K40" i="2"/>
  <c r="O40" i="2"/>
  <c r="Z40" i="2"/>
  <c r="AD40" i="2"/>
  <c r="J31" i="43" s="1"/>
  <c r="AH40" i="2"/>
  <c r="AL40" i="2"/>
  <c r="AP40" i="2"/>
  <c r="W30" i="66" s="1"/>
  <c r="AT40" i="2"/>
  <c r="AX40" i="2"/>
  <c r="BB40" i="2"/>
  <c r="BF40" i="2"/>
  <c r="BN40" i="2"/>
  <c r="U31" i="43" s="1"/>
  <c r="BI24" i="43" s="1"/>
  <c r="BR40" i="2"/>
  <c r="BV40" i="2"/>
  <c r="CI40" i="2"/>
  <c r="CM40" i="2"/>
  <c r="R30" i="66" s="1"/>
  <c r="CQ40" i="2"/>
  <c r="BP42" i="2"/>
  <c r="W33" i="43" s="1"/>
  <c r="BK26" i="43" s="1"/>
  <c r="BT42" i="2"/>
  <c r="CK42" i="2"/>
  <c r="P32" i="66" s="1"/>
  <c r="CO42" i="2"/>
  <c r="T32" i="66" s="1"/>
  <c r="E43" i="2"/>
  <c r="I43" i="2"/>
  <c r="C33" i="27" s="1"/>
  <c r="M43" i="2"/>
  <c r="D34" i="43" s="1"/>
  <c r="BL7" i="43" s="1"/>
  <c r="Q43" i="2"/>
  <c r="E33" i="27" s="1"/>
  <c r="Z43" i="2"/>
  <c r="AD43" i="2"/>
  <c r="J34" i="43" s="1"/>
  <c r="AH43" i="2"/>
  <c r="AL43" i="2"/>
  <c r="N34" i="43" s="1"/>
  <c r="BL17" i="43" s="1"/>
  <c r="AP43" i="2"/>
  <c r="W33" i="66" s="1"/>
  <c r="AV43" i="2"/>
  <c r="BA43" i="2"/>
  <c r="BF43" i="2"/>
  <c r="BL43" i="2"/>
  <c r="S34" i="43" s="1"/>
  <c r="BL22" i="43" s="1"/>
  <c r="BQ43" i="2"/>
  <c r="X34" i="43" s="1"/>
  <c r="BL27" i="43" s="1"/>
  <c r="BV43" i="2"/>
  <c r="CH43" i="2"/>
  <c r="CM43" i="2"/>
  <c r="R33" i="66" s="1"/>
  <c r="G45" i="2"/>
  <c r="L45" i="2"/>
  <c r="R45" i="2"/>
  <c r="AE45" i="2"/>
  <c r="AK45" i="2"/>
  <c r="AR45" i="2"/>
  <c r="AZ45" i="2"/>
  <c r="BG45" i="2"/>
  <c r="BM45" i="2"/>
  <c r="T36" i="43" s="1"/>
  <c r="BN23" i="43" s="1"/>
  <c r="BU45" i="2"/>
  <c r="CJ45" i="2"/>
  <c r="O35" i="66" s="1"/>
  <c r="CR45" i="2"/>
  <c r="E46" i="2"/>
  <c r="M46" i="2"/>
  <c r="D36" i="27" s="1"/>
  <c r="T46" i="2"/>
  <c r="AE46" i="2"/>
  <c r="AM46" i="2"/>
  <c r="AE36" i="27" s="1"/>
  <c r="AO36" i="27" s="1"/>
  <c r="AT46" i="2"/>
  <c r="BA46" i="2"/>
  <c r="BI46" i="2"/>
  <c r="BO46" i="2"/>
  <c r="V37" i="43" s="1"/>
  <c r="BO25" i="43" s="1"/>
  <c r="CL46" i="2"/>
  <c r="Q36" i="66" s="1"/>
  <c r="G47" i="2"/>
  <c r="R47" i="2"/>
  <c r="AG47" i="2"/>
  <c r="AR47" i="2"/>
  <c r="BC47" i="2"/>
  <c r="BM47" i="2"/>
  <c r="T38" i="43" s="1"/>
  <c r="BP23" i="43" s="1"/>
  <c r="CJ47" i="2"/>
  <c r="O37" i="66" s="1"/>
  <c r="C49" i="2"/>
  <c r="N49" i="2"/>
  <c r="AC49" i="2"/>
  <c r="AN49" i="2"/>
  <c r="AY49" i="2"/>
  <c r="BI49" i="2"/>
  <c r="BT49" i="2"/>
  <c r="CP49" i="2"/>
  <c r="U39" i="66" s="1"/>
  <c r="D50" i="2"/>
  <c r="S50" i="2"/>
  <c r="AK50" i="2"/>
  <c r="AZ50" i="2"/>
  <c r="BU50" i="2"/>
  <c r="CP50" i="2"/>
  <c r="U40" i="66" s="1"/>
  <c r="M51" i="2"/>
  <c r="D41" i="27" s="1"/>
  <c r="AM51" i="2"/>
  <c r="AE41" i="27" s="1"/>
  <c r="AO41" i="27" s="1"/>
  <c r="BG51" i="2"/>
  <c r="AN53" i="2"/>
  <c r="CH53" i="2"/>
  <c r="A38" i="34"/>
  <c r="B33" i="27"/>
  <c r="B34" i="43"/>
  <c r="CR43" i="2"/>
  <c r="CN43" i="2"/>
  <c r="S33" i="66" s="1"/>
  <c r="CJ43" i="2"/>
  <c r="O33" i="66" s="1"/>
  <c r="BW43" i="2"/>
  <c r="BS43" i="2"/>
  <c r="BO43" i="2"/>
  <c r="V34" i="43" s="1"/>
  <c r="BL25" i="43" s="1"/>
  <c r="BK43" i="2"/>
  <c r="BG43" i="2"/>
  <c r="BC43" i="2"/>
  <c r="AY43" i="2"/>
  <c r="AU43" i="2"/>
  <c r="AQ43" i="2"/>
  <c r="B37" i="27"/>
  <c r="P37" i="27" s="1"/>
  <c r="CQ47" i="2"/>
  <c r="CM47" i="2"/>
  <c r="R37" i="66" s="1"/>
  <c r="CI47" i="2"/>
  <c r="BV47" i="2"/>
  <c r="BR47" i="2"/>
  <c r="BN47" i="2"/>
  <c r="U38" i="43" s="1"/>
  <c r="BP24" i="43" s="1"/>
  <c r="BJ47" i="2"/>
  <c r="AA38" i="43" s="1"/>
  <c r="BP30" i="43" s="1"/>
  <c r="BF47" i="2"/>
  <c r="BB47" i="2"/>
  <c r="AX47" i="2"/>
  <c r="AT47" i="2"/>
  <c r="AP47" i="2"/>
  <c r="W37" i="66" s="1"/>
  <c r="AL47" i="2"/>
  <c r="AH47" i="2"/>
  <c r="AD47" i="2"/>
  <c r="J38" i="43" s="1"/>
  <c r="Z47" i="2"/>
  <c r="Q47" i="2"/>
  <c r="E37" i="27" s="1"/>
  <c r="M47" i="2"/>
  <c r="D37" i="27" s="1"/>
  <c r="I47" i="2"/>
  <c r="C37" i="27" s="1"/>
  <c r="E47" i="2"/>
  <c r="CR47" i="2"/>
  <c r="CL47" i="2"/>
  <c r="Q37" i="66" s="1"/>
  <c r="BU47" i="2"/>
  <c r="BP47" i="2"/>
  <c r="W38" i="43" s="1"/>
  <c r="BP26" i="43" s="1"/>
  <c r="BK47" i="2"/>
  <c r="BE47" i="2"/>
  <c r="AZ47" i="2"/>
  <c r="AU47" i="2"/>
  <c r="AO47" i="2"/>
  <c r="AJ47" i="2"/>
  <c r="AE47" i="2"/>
  <c r="T47" i="2"/>
  <c r="O47" i="2"/>
  <c r="J47" i="2"/>
  <c r="D47" i="2"/>
  <c r="CP47" i="2"/>
  <c r="U37" i="66" s="1"/>
  <c r="CK47" i="2"/>
  <c r="P37" i="66" s="1"/>
  <c r="BT47" i="2"/>
  <c r="BO47" i="2"/>
  <c r="V38" i="43" s="1"/>
  <c r="BP25" i="43" s="1"/>
  <c r="BI47" i="2"/>
  <c r="BD47" i="2"/>
  <c r="L38" i="43" s="1"/>
  <c r="BP15" i="43" s="1"/>
  <c r="AY47" i="2"/>
  <c r="AS47" i="2"/>
  <c r="AN47" i="2"/>
  <c r="O38" i="43" s="1"/>
  <c r="BP18" i="43" s="1"/>
  <c r="AI47" i="2"/>
  <c r="AC47" i="2"/>
  <c r="S47" i="2"/>
  <c r="N47" i="2"/>
  <c r="H47" i="2"/>
  <c r="C47" i="2"/>
  <c r="B41" i="27"/>
  <c r="P41" i="27" s="1"/>
  <c r="CP51" i="2"/>
  <c r="CL51" i="2"/>
  <c r="CH51" i="2"/>
  <c r="BU51" i="2"/>
  <c r="BQ51" i="2"/>
  <c r="BM51" i="2"/>
  <c r="BI51" i="2"/>
  <c r="BE51" i="2"/>
  <c r="BA51" i="2"/>
  <c r="AW51" i="2"/>
  <c r="AS51" i="2"/>
  <c r="AO51" i="2"/>
  <c r="AF41" i="27" s="1"/>
  <c r="AM41" i="27" s="1"/>
  <c r="AK51" i="2"/>
  <c r="AG51" i="2"/>
  <c r="AC51" i="2"/>
  <c r="T51" i="2"/>
  <c r="P51" i="2"/>
  <c r="L51" i="2"/>
  <c r="H51" i="2"/>
  <c r="D51" i="2"/>
  <c r="CO51" i="2"/>
  <c r="CK51" i="2"/>
  <c r="BT51" i="2"/>
  <c r="AI41" i="27" s="1"/>
  <c r="BP51" i="2"/>
  <c r="BL51" i="2"/>
  <c r="BH51" i="2"/>
  <c r="BD51" i="2"/>
  <c r="AC41" i="27" s="1"/>
  <c r="AZ51" i="2"/>
  <c r="AV51" i="2"/>
  <c r="AR51" i="2"/>
  <c r="AN51" i="2"/>
  <c r="AJ51" i="2"/>
  <c r="AF51" i="2"/>
  <c r="AB51" i="2"/>
  <c r="S51" i="2"/>
  <c r="O51" i="2"/>
  <c r="K51" i="2"/>
  <c r="G51" i="2"/>
  <c r="C51" i="2"/>
  <c r="CQ51" i="2"/>
  <c r="CI51" i="2"/>
  <c r="BR51" i="2"/>
  <c r="BJ51" i="2"/>
  <c r="BB51" i="2"/>
  <c r="AT51" i="2"/>
  <c r="AL51" i="2"/>
  <c r="AD51" i="2"/>
  <c r="AA41" i="27" s="1"/>
  <c r="Q51" i="2"/>
  <c r="E41" i="27" s="1"/>
  <c r="I51" i="2"/>
  <c r="C41" i="27" s="1"/>
  <c r="CJ51" i="2"/>
  <c r="BN51" i="2"/>
  <c r="BC51" i="2"/>
  <c r="AQ51" i="2"/>
  <c r="AH51" i="2"/>
  <c r="R51" i="2"/>
  <c r="F51" i="2"/>
  <c r="BV51" i="2"/>
  <c r="BK51" i="2"/>
  <c r="AY51" i="2"/>
  <c r="AP51" i="2"/>
  <c r="AJ41" i="27" s="1"/>
  <c r="AN41" i="27" s="1"/>
  <c r="AE51" i="2"/>
  <c r="N51" i="2"/>
  <c r="E51" i="2"/>
  <c r="D40" i="2"/>
  <c r="H40" i="2"/>
  <c r="L40" i="2"/>
  <c r="P40" i="2"/>
  <c r="AA40" i="2"/>
  <c r="AE40" i="2"/>
  <c r="AI40" i="2"/>
  <c r="M31" i="43" s="1"/>
  <c r="BI16" i="43" s="1"/>
  <c r="AM40" i="2"/>
  <c r="AQ40" i="2"/>
  <c r="AU40" i="2"/>
  <c r="AY40" i="2"/>
  <c r="BC40" i="2"/>
  <c r="BG40" i="2"/>
  <c r="BK40" i="2"/>
  <c r="BO40" i="2"/>
  <c r="V31" i="43" s="1"/>
  <c r="BI25" i="43" s="1"/>
  <c r="BS40" i="2"/>
  <c r="BW40" i="2"/>
  <c r="CJ40" i="2"/>
  <c r="O30" i="66" s="1"/>
  <c r="CN40" i="2"/>
  <c r="S30" i="66" s="1"/>
  <c r="CR40" i="2"/>
  <c r="F42" i="2"/>
  <c r="J42" i="2"/>
  <c r="N42" i="2"/>
  <c r="S42" i="2"/>
  <c r="AC42" i="2"/>
  <c r="AG42" i="2"/>
  <c r="AK42" i="2"/>
  <c r="AO42" i="2"/>
  <c r="AS42" i="2"/>
  <c r="AW42" i="2"/>
  <c r="BA42" i="2"/>
  <c r="BE42" i="2"/>
  <c r="BI42" i="2"/>
  <c r="BM42" i="2"/>
  <c r="T33" i="43" s="1"/>
  <c r="BK23" i="43" s="1"/>
  <c r="BQ42" i="2"/>
  <c r="X33" i="43" s="1"/>
  <c r="BK27" i="43" s="1"/>
  <c r="BU42" i="2"/>
  <c r="CH42" i="2"/>
  <c r="CL42" i="2"/>
  <c r="Q32" i="66" s="1"/>
  <c r="CP42" i="2"/>
  <c r="U32" i="66" s="1"/>
  <c r="B43" i="2"/>
  <c r="F43" i="2"/>
  <c r="J43" i="2"/>
  <c r="N43" i="2"/>
  <c r="R43" i="2"/>
  <c r="AA43" i="2"/>
  <c r="AE43" i="2"/>
  <c r="AI43" i="2"/>
  <c r="AM43" i="2"/>
  <c r="AR43" i="2"/>
  <c r="AW43" i="2"/>
  <c r="BB43" i="2"/>
  <c r="BH43" i="2"/>
  <c r="BM43" i="2"/>
  <c r="T34" i="43" s="1"/>
  <c r="BL23" i="43" s="1"/>
  <c r="BR43" i="2"/>
  <c r="CI43" i="2"/>
  <c r="CO43" i="2"/>
  <c r="T33" i="66" s="1"/>
  <c r="C45" i="2"/>
  <c r="H45" i="2"/>
  <c r="M45" i="2"/>
  <c r="D36" i="43" s="1"/>
  <c r="BN7" i="43" s="1"/>
  <c r="T45" i="2"/>
  <c r="AF45" i="2"/>
  <c r="AM45" i="2"/>
  <c r="AU45" i="2"/>
  <c r="BA45" i="2"/>
  <c r="BH45" i="2"/>
  <c r="BP45" i="2"/>
  <c r="W36" i="43" s="1"/>
  <c r="BN26" i="43" s="1"/>
  <c r="BW45" i="2"/>
  <c r="CL45" i="2"/>
  <c r="Q35" i="66" s="1"/>
  <c r="H46" i="2"/>
  <c r="N46" i="2"/>
  <c r="Z46" i="2"/>
  <c r="AH46" i="2"/>
  <c r="AO46" i="2"/>
  <c r="AU46" i="2"/>
  <c r="BC46" i="2"/>
  <c r="BJ46" i="2"/>
  <c r="AA37" i="43" s="1"/>
  <c r="BO30" i="43" s="1"/>
  <c r="BS46" i="2"/>
  <c r="CP46" i="2"/>
  <c r="U36" i="66" s="1"/>
  <c r="K47" i="2"/>
  <c r="AA47" i="2"/>
  <c r="AK47" i="2"/>
  <c r="AV47" i="2"/>
  <c r="BG47" i="2"/>
  <c r="BQ47" i="2"/>
  <c r="X38" i="43" s="1"/>
  <c r="BP27" i="43" s="1"/>
  <c r="CN47" i="2"/>
  <c r="S37" i="66" s="1"/>
  <c r="G49" i="2"/>
  <c r="R49" i="2"/>
  <c r="AG49" i="2"/>
  <c r="AR49" i="2"/>
  <c r="BC49" i="2"/>
  <c r="BM49" i="2"/>
  <c r="T40" i="43" s="1"/>
  <c r="BR23" i="43" s="1"/>
  <c r="CJ49" i="2"/>
  <c r="O39" i="66" s="1"/>
  <c r="J50" i="2"/>
  <c r="AC50" i="2"/>
  <c r="AQ50" i="2"/>
  <c r="BH50" i="2"/>
  <c r="Z51" i="2"/>
  <c r="AU51" i="2"/>
  <c r="BO51" i="2"/>
  <c r="CM51" i="2"/>
  <c r="K53" i="2"/>
  <c r="BD53" i="2"/>
  <c r="AC43" i="27" s="1"/>
  <c r="T42" i="2"/>
  <c r="R40" i="2"/>
  <c r="T41" i="2"/>
  <c r="R42" i="2"/>
  <c r="R41" i="2"/>
  <c r="AP33" i="27"/>
  <c r="R34" i="2"/>
  <c r="AC32" i="43"/>
  <c r="BJ32" i="43" s="1"/>
  <c r="P31" i="29"/>
  <c r="AP32" i="27"/>
  <c r="AP30" i="27"/>
  <c r="L30" i="29"/>
  <c r="AC33" i="27"/>
  <c r="L40" i="43"/>
  <c r="BR15" i="43" s="1"/>
  <c r="R30" i="2"/>
  <c r="T37" i="2"/>
  <c r="T26" i="2"/>
  <c r="T36" i="2"/>
  <c r="T35" i="2"/>
  <c r="T34" i="2"/>
  <c r="T33" i="2"/>
  <c r="T32" i="2"/>
  <c r="T31" i="2"/>
  <c r="T30" i="2"/>
  <c r="T29" i="2"/>
  <c r="T28" i="2"/>
  <c r="T27" i="2"/>
  <c r="T25" i="2"/>
  <c r="T24" i="2"/>
  <c r="T23" i="2"/>
  <c r="T22" i="2"/>
  <c r="R35" i="2"/>
  <c r="R31" i="2"/>
  <c r="R27" i="2"/>
  <c r="R23" i="2"/>
  <c r="R36" i="2"/>
  <c r="R32" i="2"/>
  <c r="R28" i="2"/>
  <c r="R24" i="2"/>
  <c r="R26" i="2"/>
  <c r="R22" i="2"/>
  <c r="R37" i="2"/>
  <c r="R33" i="2"/>
  <c r="R29" i="2"/>
  <c r="R25" i="2"/>
  <c r="P32" i="43"/>
  <c r="BJ19" i="43" s="1"/>
  <c r="P34" i="43"/>
  <c r="BL19" i="43" s="1"/>
  <c r="P36" i="43"/>
  <c r="BN19" i="43" s="1"/>
  <c r="J37" i="43"/>
  <c r="AA38" i="27"/>
  <c r="J32" i="43"/>
  <c r="E35" i="43"/>
  <c r="BM8" i="43" s="1"/>
  <c r="C36" i="27"/>
  <c r="B32" i="27"/>
  <c r="P32" i="27" s="1"/>
  <c r="B30" i="50"/>
  <c r="Q30" i="50" s="1"/>
  <c r="B32" i="50"/>
  <c r="Q32" i="50" s="1"/>
  <c r="B31" i="50"/>
  <c r="Q31" i="50" s="1"/>
  <c r="AC13" i="34"/>
  <c r="X13" i="34"/>
  <c r="C31" i="43" l="1"/>
  <c r="BI6" i="43" s="1"/>
  <c r="DT495" i="1"/>
  <c r="EC495" i="1" s="1"/>
  <c r="W49" i="2"/>
  <c r="O44" i="34"/>
  <c r="O43" i="34"/>
  <c r="W48" i="2"/>
  <c r="CO495" i="1"/>
  <c r="CX495" i="1" s="1"/>
  <c r="F44" i="34"/>
  <c r="W50" i="2"/>
  <c r="O45" i="34"/>
  <c r="O42" i="34"/>
  <c r="W47" i="2"/>
  <c r="EA47" i="2" s="1"/>
  <c r="F45" i="34"/>
  <c r="C30" i="27"/>
  <c r="CQ495" i="1"/>
  <c r="CZ495" i="1" s="1"/>
  <c r="CO490" i="1"/>
  <c r="CX490" i="1" s="1"/>
  <c r="DT492" i="1"/>
  <c r="EC492" i="1" s="1"/>
  <c r="DR491" i="1"/>
  <c r="EA491" i="1" s="1"/>
  <c r="F42" i="34"/>
  <c r="F43" i="34"/>
  <c r="X32" i="29"/>
  <c r="AF33" i="27"/>
  <c r="AM33" i="27" s="1"/>
  <c r="V33" i="66"/>
  <c r="T32" i="29"/>
  <c r="O32" i="66"/>
  <c r="Q32" i="29"/>
  <c r="N35" i="43"/>
  <c r="BM17" i="43" s="1"/>
  <c r="P35" i="43"/>
  <c r="BM19" i="43" s="1"/>
  <c r="V34" i="66"/>
  <c r="AF36" i="27"/>
  <c r="AM36" i="27" s="1"/>
  <c r="V36" i="66"/>
  <c r="AF37" i="27"/>
  <c r="AM37" i="27" s="1"/>
  <c r="V37" i="66"/>
  <c r="AF35" i="27"/>
  <c r="AM35" i="27" s="1"/>
  <c r="V35" i="66"/>
  <c r="AF40" i="27"/>
  <c r="AM40" i="27" s="1"/>
  <c r="V40" i="66"/>
  <c r="AF31" i="27"/>
  <c r="AM31" i="27" s="1"/>
  <c r="V31" i="66"/>
  <c r="AF32" i="27"/>
  <c r="AM32" i="27" s="1"/>
  <c r="V32" i="66"/>
  <c r="P31" i="43"/>
  <c r="BI19" i="43" s="1"/>
  <c r="V30" i="66"/>
  <c r="P39" i="43"/>
  <c r="BQ19" i="43" s="1"/>
  <c r="V38" i="66"/>
  <c r="AF39" i="27"/>
  <c r="AM39" i="27" s="1"/>
  <c r="V39" i="66"/>
  <c r="AJ32" i="27"/>
  <c r="AN32" i="27" s="1"/>
  <c r="W32" i="66"/>
  <c r="Y33" i="43"/>
  <c r="BK28" i="43" s="1"/>
  <c r="DT41" i="2"/>
  <c r="DN41" i="2"/>
  <c r="AE32" i="43"/>
  <c r="BJ34" i="43" s="1"/>
  <c r="DN43" i="2"/>
  <c r="DT43" i="2"/>
  <c r="R31" i="29"/>
  <c r="DN46" i="2"/>
  <c r="DT46" i="2"/>
  <c r="DN47" i="2"/>
  <c r="DT47" i="2"/>
  <c r="DN44" i="2"/>
  <c r="DT44" i="2"/>
  <c r="DT42" i="2"/>
  <c r="DN42" i="2"/>
  <c r="DN40" i="2"/>
  <c r="DT40" i="2"/>
  <c r="N36" i="43"/>
  <c r="BN17" i="43" s="1"/>
  <c r="DT45" i="2"/>
  <c r="DN45" i="2"/>
  <c r="DN48" i="2"/>
  <c r="DT48" i="2"/>
  <c r="DS48" i="2" s="1"/>
  <c r="AF30" i="27"/>
  <c r="AM30" i="27" s="1"/>
  <c r="CV47" i="2"/>
  <c r="CQ499" i="1"/>
  <c r="CZ499" i="1" s="1"/>
  <c r="CO499" i="1"/>
  <c r="CX499" i="1" s="1"/>
  <c r="DT499" i="1"/>
  <c r="EC499" i="1" s="1"/>
  <c r="CQ490" i="1"/>
  <c r="CZ490" i="1" s="1"/>
  <c r="DT493" i="1"/>
  <c r="EC493" i="1" s="1"/>
  <c r="CX46" i="2"/>
  <c r="CR48" i="2"/>
  <c r="CO489" i="1"/>
  <c r="CX489" i="1" s="1"/>
  <c r="CQ489" i="1"/>
  <c r="CZ489" i="1" s="1"/>
  <c r="CO498" i="1"/>
  <c r="CX498" i="1" s="1"/>
  <c r="CQ498" i="1"/>
  <c r="CZ498" i="1" s="1"/>
  <c r="AD33" i="27"/>
  <c r="AE32" i="50"/>
  <c r="W46" i="2"/>
  <c r="O41" i="34"/>
  <c r="M41" i="34"/>
  <c r="U46" i="2"/>
  <c r="J33" i="43"/>
  <c r="BK13" i="43" s="1"/>
  <c r="V33" i="29"/>
  <c r="AE31" i="43"/>
  <c r="BI34" i="43" s="1"/>
  <c r="B37" i="34"/>
  <c r="J37" i="34" s="1"/>
  <c r="N33" i="43"/>
  <c r="BK17" i="43" s="1"/>
  <c r="Q37" i="34"/>
  <c r="E34" i="29"/>
  <c r="E34" i="66"/>
  <c r="K34" i="27"/>
  <c r="AD31" i="27"/>
  <c r="C34" i="66"/>
  <c r="C34" i="29"/>
  <c r="I34" i="27"/>
  <c r="D34" i="66"/>
  <c r="D34" i="29"/>
  <c r="J34" i="27"/>
  <c r="C35" i="66"/>
  <c r="C35" i="29"/>
  <c r="I35" i="27"/>
  <c r="E35" i="29"/>
  <c r="E35" i="66"/>
  <c r="K35" i="27"/>
  <c r="D35" i="66"/>
  <c r="D35" i="29"/>
  <c r="J35" i="27"/>
  <c r="U44" i="2"/>
  <c r="W45" i="2"/>
  <c r="EA45" i="2" s="1"/>
  <c r="U45" i="2"/>
  <c r="W44" i="2"/>
  <c r="EA44" i="2" s="1"/>
  <c r="D31" i="50"/>
  <c r="E30" i="27"/>
  <c r="C31" i="27"/>
  <c r="C30" i="59"/>
  <c r="U42" i="2"/>
  <c r="G34" i="29"/>
  <c r="F34" i="66"/>
  <c r="L34" i="27"/>
  <c r="I34" i="29"/>
  <c r="H34" i="66"/>
  <c r="N34" i="27"/>
  <c r="I35" i="29"/>
  <c r="H35" i="66"/>
  <c r="N35" i="27"/>
  <c r="G35" i="29"/>
  <c r="F35" i="66"/>
  <c r="L35" i="27"/>
  <c r="CX47" i="2"/>
  <c r="D30" i="27"/>
  <c r="CX45" i="2"/>
  <c r="CV46" i="2"/>
  <c r="CC45" i="2"/>
  <c r="CX44" i="2"/>
  <c r="C33" i="43"/>
  <c r="BK6" i="43" s="1"/>
  <c r="CV43" i="2"/>
  <c r="E40" i="43"/>
  <c r="BR8" i="43" s="1"/>
  <c r="E32" i="50"/>
  <c r="D32" i="50"/>
  <c r="E36" i="43"/>
  <c r="BN8" i="43" s="1"/>
  <c r="D32" i="27"/>
  <c r="F32" i="50"/>
  <c r="J40" i="43"/>
  <c r="BR13" i="43" s="1"/>
  <c r="L33" i="29"/>
  <c r="AA34" i="27"/>
  <c r="K32" i="43"/>
  <c r="BJ14" i="43" s="1"/>
  <c r="DT496" i="1"/>
  <c r="EC496" i="1" s="1"/>
  <c r="CQ493" i="1"/>
  <c r="CZ493" i="1" s="1"/>
  <c r="CO492" i="1"/>
  <c r="CX492" i="1" s="1"/>
  <c r="CA46" i="2"/>
  <c r="BW48" i="2"/>
  <c r="CO494" i="1"/>
  <c r="CX494" i="1" s="1"/>
  <c r="CQ494" i="1"/>
  <c r="CZ494" i="1" s="1"/>
  <c r="DR494" i="1"/>
  <c r="EA494" i="1" s="1"/>
  <c r="DT494" i="1"/>
  <c r="EC494" i="1" s="1"/>
  <c r="CQ492" i="1"/>
  <c r="CZ492" i="1" s="1"/>
  <c r="EC488" i="1"/>
  <c r="EH506" i="1"/>
  <c r="EJ506" i="1"/>
  <c r="CK506" i="1"/>
  <c r="EH508" i="1"/>
  <c r="EJ508" i="1"/>
  <c r="CK508" i="1"/>
  <c r="AG31" i="43"/>
  <c r="BI36" i="43" s="1"/>
  <c r="EH500" i="1"/>
  <c r="EJ500" i="1"/>
  <c r="CK500" i="1"/>
  <c r="AI49" i="2"/>
  <c r="M40" i="43" s="1"/>
  <c r="BR16" i="43" s="1"/>
  <c r="CO488" i="1"/>
  <c r="CX488" i="1" s="1"/>
  <c r="EH511" i="1"/>
  <c r="EJ511" i="1"/>
  <c r="CK511" i="1"/>
  <c r="DR488" i="1"/>
  <c r="EJ510" i="1"/>
  <c r="EH510" i="1"/>
  <c r="CK510" i="1"/>
  <c r="D31" i="43"/>
  <c r="BI7" i="43" s="1"/>
  <c r="Q31" i="29"/>
  <c r="R32" i="29"/>
  <c r="EJ503" i="1"/>
  <c r="EH503" i="1"/>
  <c r="CK503" i="1"/>
  <c r="EH505" i="1"/>
  <c r="EJ505" i="1"/>
  <c r="CK505" i="1"/>
  <c r="AE30" i="50"/>
  <c r="CO496" i="1"/>
  <c r="CX496" i="1" s="1"/>
  <c r="CQ488" i="1"/>
  <c r="CZ488" i="1" s="1"/>
  <c r="EH504" i="1"/>
  <c r="EJ504" i="1"/>
  <c r="CK504" i="1"/>
  <c r="EH509" i="1"/>
  <c r="EJ509" i="1"/>
  <c r="CK509" i="1"/>
  <c r="AE33" i="43"/>
  <c r="BK34" i="43" s="1"/>
  <c r="N38" i="43"/>
  <c r="BP17" i="43" s="1"/>
  <c r="EH507" i="1"/>
  <c r="EJ507" i="1"/>
  <c r="CK507" i="1"/>
  <c r="E32" i="27"/>
  <c r="P38" i="43"/>
  <c r="BP19" i="43" s="1"/>
  <c r="N31" i="43"/>
  <c r="BI17" i="43" s="1"/>
  <c r="CQ496" i="1"/>
  <c r="CZ496" i="1" s="1"/>
  <c r="CO493" i="1"/>
  <c r="CX493" i="1" s="1"/>
  <c r="EJ502" i="1"/>
  <c r="EH502" i="1"/>
  <c r="CK502" i="1"/>
  <c r="EH501" i="1"/>
  <c r="EJ501" i="1"/>
  <c r="CK501" i="1"/>
  <c r="D34" i="27"/>
  <c r="F30" i="50"/>
  <c r="CV44" i="2"/>
  <c r="CV45" i="2"/>
  <c r="CX43" i="2"/>
  <c r="AE31" i="50"/>
  <c r="CZ476" i="1"/>
  <c r="CC47" i="2"/>
  <c r="CC43" i="2"/>
  <c r="CA47" i="2"/>
  <c r="CA43" i="2"/>
  <c r="CC46" i="2"/>
  <c r="CA45" i="2"/>
  <c r="CC44" i="2"/>
  <c r="CA44" i="2"/>
  <c r="H37" i="34"/>
  <c r="AA37" i="34"/>
  <c r="D37" i="34"/>
  <c r="L37" i="34" s="1"/>
  <c r="C35" i="27"/>
  <c r="V37" i="34"/>
  <c r="T37" i="34"/>
  <c r="S37" i="34" s="1"/>
  <c r="AD38" i="27"/>
  <c r="B30" i="59"/>
  <c r="AD32" i="50"/>
  <c r="AD37" i="34"/>
  <c r="AC37" i="34" s="1"/>
  <c r="AC31" i="43"/>
  <c r="BI32" i="43" s="1"/>
  <c r="AB32" i="50"/>
  <c r="AC32" i="27"/>
  <c r="Y37" i="34"/>
  <c r="X37" i="34" s="1"/>
  <c r="P30" i="29"/>
  <c r="C38" i="27"/>
  <c r="AG41" i="27"/>
  <c r="AB33" i="27"/>
  <c r="AG43" i="27"/>
  <c r="AG42" i="27"/>
  <c r="C37" i="34"/>
  <c r="K37" i="34" s="1"/>
  <c r="AD32" i="43"/>
  <c r="BJ33" i="43" s="1"/>
  <c r="DX46" i="2"/>
  <c r="AB38" i="27"/>
  <c r="DX43" i="2"/>
  <c r="DX40" i="2"/>
  <c r="DX48" i="2"/>
  <c r="DX47" i="2"/>
  <c r="DX45" i="2"/>
  <c r="DX41" i="2"/>
  <c r="DX44" i="2"/>
  <c r="DX42" i="2"/>
  <c r="O31" i="29"/>
  <c r="R33" i="43"/>
  <c r="BK21" i="43" s="1"/>
  <c r="D37" i="43"/>
  <c r="BO7" i="43" s="1"/>
  <c r="R30" i="29"/>
  <c r="E32" i="43"/>
  <c r="BJ8" i="43" s="1"/>
  <c r="D33" i="27"/>
  <c r="D38" i="43"/>
  <c r="BP7" i="43" s="1"/>
  <c r="AB32" i="43"/>
  <c r="BJ31" i="43" s="1"/>
  <c r="F31" i="50"/>
  <c r="AC33" i="43"/>
  <c r="BK32" i="43" s="1"/>
  <c r="AD30" i="27"/>
  <c r="Q30" i="29"/>
  <c r="E34" i="43"/>
  <c r="BL8" i="43" s="1"/>
  <c r="AD31" i="43"/>
  <c r="BI33" i="43" s="1"/>
  <c r="AD32" i="27"/>
  <c r="P32" i="29"/>
  <c r="K36" i="43"/>
  <c r="BN14" i="43" s="1"/>
  <c r="N41" i="43"/>
  <c r="BS17" i="43" s="1"/>
  <c r="D41" i="43"/>
  <c r="BS7" i="43" s="1"/>
  <c r="AA33" i="27"/>
  <c r="M33" i="43"/>
  <c r="BK16" i="43" s="1"/>
  <c r="AC32" i="50"/>
  <c r="E40" i="27"/>
  <c r="AC30" i="27"/>
  <c r="K35" i="43"/>
  <c r="BM14" i="43" s="1"/>
  <c r="R35" i="43"/>
  <c r="BM21" i="43" s="1"/>
  <c r="AB37" i="27"/>
  <c r="K31" i="43"/>
  <c r="BI14" i="43" s="1"/>
  <c r="AF33" i="43"/>
  <c r="BK35" i="43" s="1"/>
  <c r="Q33" i="43"/>
  <c r="BK20" i="43" s="1"/>
  <c r="AD34" i="27"/>
  <c r="S31" i="29"/>
  <c r="AF32" i="43"/>
  <c r="BJ35" i="43" s="1"/>
  <c r="M37" i="43"/>
  <c r="BO16" i="43" s="1"/>
  <c r="K39" i="43"/>
  <c r="BQ14" i="43" s="1"/>
  <c r="N40" i="43"/>
  <c r="BR17" i="43" s="1"/>
  <c r="R36" i="43"/>
  <c r="BN21" i="43" s="1"/>
  <c r="N32" i="43"/>
  <c r="BJ17" i="43" s="1"/>
  <c r="S32" i="29"/>
  <c r="C39" i="27"/>
  <c r="K34" i="43"/>
  <c r="BL14" i="43" s="1"/>
  <c r="V34" i="29"/>
  <c r="X31" i="29"/>
  <c r="J40" i="29"/>
  <c r="AH36" i="27"/>
  <c r="Z37" i="43"/>
  <c r="BO29" i="43" s="1"/>
  <c r="O34" i="43"/>
  <c r="BL18" i="43" s="1"/>
  <c r="AE33" i="27"/>
  <c r="AO33" i="27" s="1"/>
  <c r="Z37" i="29"/>
  <c r="AB38" i="43"/>
  <c r="BP31" i="43" s="1"/>
  <c r="O37" i="29"/>
  <c r="Y38" i="43"/>
  <c r="BP28" i="43" s="1"/>
  <c r="AG37" i="27"/>
  <c r="R34" i="43"/>
  <c r="BL21" i="43" s="1"/>
  <c r="Z39" i="29"/>
  <c r="AD36" i="43"/>
  <c r="BN33" i="43" s="1"/>
  <c r="Q35" i="29"/>
  <c r="W40" i="29"/>
  <c r="T40" i="29"/>
  <c r="AI36" i="27"/>
  <c r="AG37" i="43"/>
  <c r="BO36" i="43" s="1"/>
  <c r="AB40" i="43"/>
  <c r="BR31" i="43" s="1"/>
  <c r="O39" i="29"/>
  <c r="X39" i="29"/>
  <c r="Z35" i="29"/>
  <c r="AC36" i="43"/>
  <c r="BN32" i="43" s="1"/>
  <c r="P35" i="29"/>
  <c r="W38" i="29"/>
  <c r="J31" i="29"/>
  <c r="J37" i="29"/>
  <c r="AF37" i="43"/>
  <c r="BO35" i="43" s="1"/>
  <c r="S36" i="29"/>
  <c r="X37" i="29"/>
  <c r="L35" i="29"/>
  <c r="U40" i="29"/>
  <c r="X40" i="29"/>
  <c r="Y37" i="43"/>
  <c r="BO28" i="43" s="1"/>
  <c r="AG36" i="27"/>
  <c r="Y35" i="29"/>
  <c r="R31" i="43"/>
  <c r="BI21" i="43" s="1"/>
  <c r="K39" i="29"/>
  <c r="M36" i="43"/>
  <c r="BN16" i="43" s="1"/>
  <c r="N39" i="43"/>
  <c r="BQ17" i="43" s="1"/>
  <c r="AF39" i="43"/>
  <c r="BQ35" i="43" s="1"/>
  <c r="S38" i="29"/>
  <c r="AI34" i="27"/>
  <c r="AG35" i="43"/>
  <c r="BM36" i="43" s="1"/>
  <c r="M34" i="29"/>
  <c r="S32" i="43"/>
  <c r="BJ22" i="43" s="1"/>
  <c r="F27" i="57"/>
  <c r="F29" i="59"/>
  <c r="S33" i="43"/>
  <c r="BK22" i="43" s="1"/>
  <c r="F28" i="57"/>
  <c r="F30" i="59"/>
  <c r="Y30" i="29"/>
  <c r="AI33" i="27"/>
  <c r="AG34" i="43"/>
  <c r="BL36" i="43" s="1"/>
  <c r="Z36" i="29"/>
  <c r="T37" i="29"/>
  <c r="L31" i="29"/>
  <c r="Y33" i="29"/>
  <c r="AD34" i="43"/>
  <c r="BL33" i="43" s="1"/>
  <c r="Q33" i="29"/>
  <c r="AI39" i="27"/>
  <c r="AG40" i="43"/>
  <c r="BR36" i="43" s="1"/>
  <c r="AB36" i="27"/>
  <c r="N30" i="29"/>
  <c r="K40" i="29"/>
  <c r="AB32" i="27"/>
  <c r="N39" i="29"/>
  <c r="J38" i="29"/>
  <c r="AI38" i="27"/>
  <c r="AG39" i="43"/>
  <c r="BQ36" i="43" s="1"/>
  <c r="K34" i="29"/>
  <c r="AB35" i="43"/>
  <c r="BM31" i="43" s="1"/>
  <c r="O34" i="29"/>
  <c r="W31" i="29"/>
  <c r="Z33" i="29"/>
  <c r="AE36" i="43"/>
  <c r="BN34" i="43" s="1"/>
  <c r="R35" i="29"/>
  <c r="J30" i="29"/>
  <c r="AF40" i="43"/>
  <c r="BR35" i="43" s="1"/>
  <c r="S39" i="29"/>
  <c r="AC34" i="43"/>
  <c r="BL32" i="43" s="1"/>
  <c r="P33" i="29"/>
  <c r="Y32" i="29"/>
  <c r="K30" i="29"/>
  <c r="N40" i="29"/>
  <c r="Y39" i="29"/>
  <c r="Z30" i="29"/>
  <c r="J39" i="29"/>
  <c r="AC40" i="43"/>
  <c r="BR32" i="43" s="1"/>
  <c r="P39" i="29"/>
  <c r="Y36" i="43"/>
  <c r="BN28" i="43" s="1"/>
  <c r="AG35" i="27"/>
  <c r="AB39" i="43"/>
  <c r="BQ31" i="43" s="1"/>
  <c r="O38" i="29"/>
  <c r="AH38" i="27"/>
  <c r="Z39" i="43"/>
  <c r="BQ29" i="43" s="1"/>
  <c r="X34" i="29"/>
  <c r="AF35" i="43"/>
  <c r="BM35" i="43" s="1"/>
  <c r="S34" i="29"/>
  <c r="AI31" i="27"/>
  <c r="AG32" i="43"/>
  <c r="BJ36" i="43" s="1"/>
  <c r="AF34" i="43"/>
  <c r="BL35" i="43" s="1"/>
  <c r="S33" i="29"/>
  <c r="S31" i="43"/>
  <c r="BI22" i="43" s="1"/>
  <c r="F26" i="57"/>
  <c r="F28" i="59"/>
  <c r="AH32" i="27"/>
  <c r="Z33" i="43"/>
  <c r="BK29" i="43" s="1"/>
  <c r="T39" i="29"/>
  <c r="AD38" i="43"/>
  <c r="BP33" i="43" s="1"/>
  <c r="Q37" i="29"/>
  <c r="M35" i="29"/>
  <c r="AB33" i="43"/>
  <c r="BK31" i="43" s="1"/>
  <c r="O31" i="43"/>
  <c r="BI18" i="43" s="1"/>
  <c r="AE30" i="27"/>
  <c r="AO30" i="27" s="1"/>
  <c r="M33" i="29"/>
  <c r="U32" i="29"/>
  <c r="AC41" i="43"/>
  <c r="BS32" i="43" s="1"/>
  <c r="P40" i="29"/>
  <c r="U36" i="29"/>
  <c r="AH35" i="27"/>
  <c r="Z36" i="43"/>
  <c r="BN29" i="43" s="1"/>
  <c r="V30" i="29"/>
  <c r="N38" i="29"/>
  <c r="AE35" i="43"/>
  <c r="BM34" i="43" s="1"/>
  <c r="R34" i="29"/>
  <c r="U34" i="29"/>
  <c r="L34" i="29"/>
  <c r="U31" i="29"/>
  <c r="N32" i="29"/>
  <c r="J33" i="29"/>
  <c r="V40" i="29"/>
  <c r="M32" i="29"/>
  <c r="X30" i="29"/>
  <c r="W37" i="29"/>
  <c r="AH33" i="27"/>
  <c r="Z34" i="43"/>
  <c r="BL29" i="43" s="1"/>
  <c r="AI32" i="27"/>
  <c r="AG33" i="43"/>
  <c r="BK36" i="43" s="1"/>
  <c r="AB40" i="27"/>
  <c r="AD41" i="43"/>
  <c r="BS33" i="43" s="1"/>
  <c r="Q40" i="29"/>
  <c r="X36" i="29"/>
  <c r="Y36" i="29"/>
  <c r="AH39" i="27"/>
  <c r="Z40" i="43"/>
  <c r="BR29" i="43" s="1"/>
  <c r="M39" i="29"/>
  <c r="AD39" i="43"/>
  <c r="BQ33" i="43" s="1"/>
  <c r="Q38" i="29"/>
  <c r="AC35" i="43"/>
  <c r="BM32" i="43" s="1"/>
  <c r="P34" i="29"/>
  <c r="Y31" i="29"/>
  <c r="U30" i="29"/>
  <c r="J32" i="29"/>
  <c r="O36" i="43"/>
  <c r="BN18" i="43" s="1"/>
  <c r="AE35" i="27"/>
  <c r="AO35" i="27" s="1"/>
  <c r="Y34" i="43"/>
  <c r="BL28" i="43" s="1"/>
  <c r="AG33" i="27"/>
  <c r="T30" i="29"/>
  <c r="AF38" i="43"/>
  <c r="BP35" i="43" s="1"/>
  <c r="S37" i="29"/>
  <c r="V37" i="29"/>
  <c r="Z40" i="29"/>
  <c r="AE40" i="43"/>
  <c r="BR34" i="43" s="1"/>
  <c r="R39" i="29"/>
  <c r="AB36" i="43"/>
  <c r="BN31" i="43" s="1"/>
  <c r="O35" i="29"/>
  <c r="V39" i="29"/>
  <c r="AD40" i="43"/>
  <c r="BR33" i="43" s="1"/>
  <c r="Q39" i="29"/>
  <c r="Y40" i="43"/>
  <c r="BR28" i="43" s="1"/>
  <c r="AG39" i="27"/>
  <c r="AF36" i="43"/>
  <c r="BN35" i="43" s="1"/>
  <c r="S35" i="29"/>
  <c r="M38" i="29"/>
  <c r="V38" i="29"/>
  <c r="T38" i="29"/>
  <c r="U38" i="29"/>
  <c r="AP34" i="27"/>
  <c r="J34" i="29"/>
  <c r="AH34" i="27"/>
  <c r="Z35" i="43"/>
  <c r="BM29" i="43" s="1"/>
  <c r="R32" i="43"/>
  <c r="BJ21" i="43" s="1"/>
  <c r="O33" i="43"/>
  <c r="BK18" i="43" s="1"/>
  <c r="AE32" i="27"/>
  <c r="AO32" i="27" s="1"/>
  <c r="AT32" i="27" s="1"/>
  <c r="O30" i="29"/>
  <c r="K38" i="43"/>
  <c r="BP14" i="43" s="1"/>
  <c r="K37" i="29"/>
  <c r="V36" i="29"/>
  <c r="AB41" i="43"/>
  <c r="BS31" i="43" s="1"/>
  <c r="O40" i="29"/>
  <c r="Y41" i="43"/>
  <c r="BS28" i="43" s="1"/>
  <c r="AG40" i="27"/>
  <c r="L36" i="29"/>
  <c r="Y39" i="43"/>
  <c r="BQ28" i="43" s="1"/>
  <c r="AG38" i="27"/>
  <c r="Z38" i="29"/>
  <c r="Y38" i="29"/>
  <c r="V31" i="29"/>
  <c r="K31" i="29"/>
  <c r="AH31" i="27"/>
  <c r="Z32" i="43"/>
  <c r="BJ29" i="43" s="1"/>
  <c r="U33" i="29"/>
  <c r="K32" i="29"/>
  <c r="X35" i="29"/>
  <c r="X33" i="29"/>
  <c r="AC34" i="27"/>
  <c r="AB31" i="43"/>
  <c r="BI31" i="43" s="1"/>
  <c r="AE34" i="43"/>
  <c r="BL34" i="43" s="1"/>
  <c r="R33" i="29"/>
  <c r="AH30" i="27"/>
  <c r="Z31" i="43"/>
  <c r="BI29" i="43" s="1"/>
  <c r="AI37" i="27"/>
  <c r="AG38" i="43"/>
  <c r="BP36" i="43" s="1"/>
  <c r="N37" i="29"/>
  <c r="L40" i="29"/>
  <c r="T35" i="29"/>
  <c r="W30" i="29"/>
  <c r="M40" i="29"/>
  <c r="AH40" i="27"/>
  <c r="Z41" i="43"/>
  <c r="BS29" i="43" s="1"/>
  <c r="J36" i="29"/>
  <c r="J35" i="29"/>
  <c r="AI35" i="27"/>
  <c r="AG36" i="43"/>
  <c r="BN36" i="43" s="1"/>
  <c r="W35" i="29"/>
  <c r="N34" i="29"/>
  <c r="Z31" i="29"/>
  <c r="N31" i="29"/>
  <c r="AF34" i="27"/>
  <c r="AM34" i="27" s="1"/>
  <c r="K33" i="43"/>
  <c r="BK14" i="43" s="1"/>
  <c r="N33" i="29"/>
  <c r="Z32" i="29"/>
  <c r="AC38" i="43"/>
  <c r="BP32" i="43" s="1"/>
  <c r="P37" i="29"/>
  <c r="T33" i="29"/>
  <c r="W33" i="29"/>
  <c r="AE37" i="43"/>
  <c r="BO34" i="43" s="1"/>
  <c r="AH36" i="66"/>
  <c r="R36" i="29"/>
  <c r="AF31" i="43"/>
  <c r="BI35" i="43" s="1"/>
  <c r="M31" i="29"/>
  <c r="L38" i="29"/>
  <c r="AD35" i="43"/>
  <c r="BM33" i="43" s="1"/>
  <c r="Q34" i="29"/>
  <c r="T34" i="29"/>
  <c r="T31" i="29"/>
  <c r="AB34" i="43"/>
  <c r="BL31" i="43" s="1"/>
  <c r="O33" i="29"/>
  <c r="V32" i="29"/>
  <c r="N36" i="29"/>
  <c r="K35" i="29"/>
  <c r="AC39" i="43"/>
  <c r="BQ32" i="43" s="1"/>
  <c r="P38" i="29"/>
  <c r="Y34" i="29"/>
  <c r="AE41" i="43"/>
  <c r="BS34" i="43" s="1"/>
  <c r="R40" i="29"/>
  <c r="V35" i="29"/>
  <c r="U37" i="29"/>
  <c r="L37" i="29"/>
  <c r="M36" i="29"/>
  <c r="Y31" i="43"/>
  <c r="BI28" i="43" s="1"/>
  <c r="AG30" i="27"/>
  <c r="AI40" i="27"/>
  <c r="AG41" i="43"/>
  <c r="BS36" i="43" s="1"/>
  <c r="W36" i="29"/>
  <c r="AD37" i="43"/>
  <c r="BO33" i="43" s="1"/>
  <c r="Q36" i="29"/>
  <c r="M30" i="29"/>
  <c r="L39" i="29"/>
  <c r="W39" i="29"/>
  <c r="U35" i="29"/>
  <c r="N35" i="29"/>
  <c r="X38" i="29"/>
  <c r="K38" i="29"/>
  <c r="AE39" i="43"/>
  <c r="BQ34" i="43" s="1"/>
  <c r="R38" i="29"/>
  <c r="Y35" i="43"/>
  <c r="BM28" i="43" s="1"/>
  <c r="AG34" i="27"/>
  <c r="W34" i="29"/>
  <c r="Z34" i="29"/>
  <c r="Y32" i="43"/>
  <c r="BJ28" i="43" s="1"/>
  <c r="AG31" i="27"/>
  <c r="O32" i="43"/>
  <c r="BJ18" i="43" s="1"/>
  <c r="AE31" i="27"/>
  <c r="AO31" i="27" s="1"/>
  <c r="BP13" i="43"/>
  <c r="BJ13" i="43"/>
  <c r="BO13" i="43"/>
  <c r="BM13" i="43"/>
  <c r="BQ13" i="43"/>
  <c r="BI13" i="43"/>
  <c r="BL13" i="43"/>
  <c r="AD36" i="34"/>
  <c r="Y36" i="34"/>
  <c r="B29" i="59"/>
  <c r="B36" i="34"/>
  <c r="D36" i="34"/>
  <c r="H36" i="34"/>
  <c r="F36" i="34"/>
  <c r="AD38" i="34"/>
  <c r="Y38" i="34"/>
  <c r="H38" i="34"/>
  <c r="W43" i="2" s="1"/>
  <c r="F38" i="34"/>
  <c r="U43" i="2" s="1"/>
  <c r="DM43" i="2" s="1"/>
  <c r="D38" i="34"/>
  <c r="B38" i="34"/>
  <c r="Y34" i="34"/>
  <c r="AD34" i="34"/>
  <c r="B27" i="59"/>
  <c r="B34" i="34"/>
  <c r="D34" i="34"/>
  <c r="H34" i="34"/>
  <c r="F34" i="34"/>
  <c r="AD35" i="34"/>
  <c r="Y35" i="34"/>
  <c r="B28" i="59"/>
  <c r="D35" i="34"/>
  <c r="H35" i="34"/>
  <c r="B35" i="34"/>
  <c r="F35" i="34"/>
  <c r="AC37" i="27"/>
  <c r="C34" i="43"/>
  <c r="BL6" i="43" s="1"/>
  <c r="C41" i="43"/>
  <c r="BS6" i="43" s="1"/>
  <c r="AT42" i="27"/>
  <c r="AP41" i="27"/>
  <c r="AT41" i="27" s="1"/>
  <c r="P41" i="43"/>
  <c r="BS19" i="43" s="1"/>
  <c r="J41" i="43"/>
  <c r="L41" i="43"/>
  <c r="BS15" i="43" s="1"/>
  <c r="K41" i="43"/>
  <c r="BS14" i="43" s="1"/>
  <c r="R41" i="43"/>
  <c r="BS21" i="43" s="1"/>
  <c r="K40" i="43"/>
  <c r="BR14" i="43" s="1"/>
  <c r="R40" i="43"/>
  <c r="BR21" i="43" s="1"/>
  <c r="O40" i="43"/>
  <c r="BR18" i="43" s="1"/>
  <c r="M39" i="43"/>
  <c r="BQ16" i="43" s="1"/>
  <c r="R39" i="43"/>
  <c r="BQ21" i="43" s="1"/>
  <c r="AF38" i="27"/>
  <c r="AM38" i="27" s="1"/>
  <c r="D39" i="43"/>
  <c r="BQ7" i="43" s="1"/>
  <c r="R38" i="43"/>
  <c r="BP21" i="43" s="1"/>
  <c r="AA37" i="27"/>
  <c r="C38" i="43"/>
  <c r="BP6" i="43" s="1"/>
  <c r="M38" i="43"/>
  <c r="BP16" i="43" s="1"/>
  <c r="R37" i="43"/>
  <c r="BO21" i="43" s="1"/>
  <c r="Q35" i="43"/>
  <c r="BM20" i="43" s="1"/>
  <c r="AJ34" i="27"/>
  <c r="AN34" i="27" s="1"/>
  <c r="E39" i="43"/>
  <c r="BQ8" i="43" s="1"/>
  <c r="AJ37" i="27"/>
  <c r="AN37" i="27" s="1"/>
  <c r="Q38" i="43"/>
  <c r="BP20" i="43" s="1"/>
  <c r="Q31" i="43"/>
  <c r="AJ30" i="27"/>
  <c r="AN30" i="27" s="1"/>
  <c r="AB30" i="50"/>
  <c r="AP35" i="27"/>
  <c r="AP43" i="27"/>
  <c r="AT43" i="27" s="1"/>
  <c r="AC31" i="27"/>
  <c r="AD31" i="50"/>
  <c r="AJ40" i="27"/>
  <c r="AN40" i="27" s="1"/>
  <c r="Q41" i="43"/>
  <c r="BS20" i="43" s="1"/>
  <c r="AP37" i="27"/>
  <c r="AB30" i="27"/>
  <c r="AC30" i="50"/>
  <c r="AB41" i="27"/>
  <c r="AB35" i="27"/>
  <c r="O41" i="43"/>
  <c r="AB43" i="27"/>
  <c r="AB39" i="27"/>
  <c r="AP39" i="27"/>
  <c r="Q40" i="43"/>
  <c r="AJ39" i="27"/>
  <c r="AN39" i="27" s="1"/>
  <c r="V35" i="34"/>
  <c r="T35" i="34"/>
  <c r="AA35" i="34"/>
  <c r="Q35" i="34"/>
  <c r="C35" i="34"/>
  <c r="AB42" i="27"/>
  <c r="O35" i="43"/>
  <c r="BM18" i="43" s="1"/>
  <c r="AB34" i="27"/>
  <c r="AP31" i="27"/>
  <c r="Q38" i="34"/>
  <c r="C38" i="34"/>
  <c r="T38" i="34"/>
  <c r="AA38" i="34"/>
  <c r="V38" i="34"/>
  <c r="AJ33" i="27"/>
  <c r="AN33" i="27" s="1"/>
  <c r="Q34" i="43"/>
  <c r="BL20" i="43" s="1"/>
  <c r="T34" i="34"/>
  <c r="Q34" i="34"/>
  <c r="AA34" i="34"/>
  <c r="V34" i="34"/>
  <c r="C34" i="34"/>
  <c r="M32" i="43"/>
  <c r="BJ16" i="43" s="1"/>
  <c r="J36" i="43"/>
  <c r="AD35" i="27"/>
  <c r="P37" i="43"/>
  <c r="BO19" i="43" s="1"/>
  <c r="AD37" i="27"/>
  <c r="L37" i="43"/>
  <c r="BO15" i="43" s="1"/>
  <c r="AC38" i="27"/>
  <c r="E31" i="50"/>
  <c r="AP40" i="27"/>
  <c r="D35" i="27"/>
  <c r="D32" i="43"/>
  <c r="BJ7" i="43" s="1"/>
  <c r="E38" i="43"/>
  <c r="BP8" i="43" s="1"/>
  <c r="E36" i="27"/>
  <c r="M35" i="43"/>
  <c r="BM16" i="43" s="1"/>
  <c r="P33" i="43"/>
  <c r="BK19" i="43" s="1"/>
  <c r="P40" i="43"/>
  <c r="BR19" i="43" s="1"/>
  <c r="L36" i="43"/>
  <c r="D31" i="27"/>
  <c r="O32" i="29"/>
  <c r="S30" i="29"/>
  <c r="C34" i="27"/>
  <c r="D40" i="43"/>
  <c r="BR7" i="43" s="1"/>
  <c r="AA30" i="27"/>
  <c r="M34" i="43"/>
  <c r="BL16" i="43" s="1"/>
  <c r="K37" i="43"/>
  <c r="AP36" i="27"/>
  <c r="O37" i="43"/>
  <c r="BO18" i="43" s="1"/>
  <c r="Q36" i="43"/>
  <c r="BN20" i="43" s="1"/>
  <c r="AJ35" i="27"/>
  <c r="AN35" i="27" s="1"/>
  <c r="Q39" i="43"/>
  <c r="BQ20" i="43" s="1"/>
  <c r="AJ38" i="27"/>
  <c r="AN38" i="27" s="1"/>
  <c r="O39" i="43"/>
  <c r="AB31" i="50"/>
  <c r="Q32" i="43"/>
  <c r="BJ20" i="43" s="1"/>
  <c r="AJ31" i="27"/>
  <c r="AN31" i="27" s="1"/>
  <c r="AB31" i="27"/>
  <c r="AC31" i="50"/>
  <c r="T36" i="34"/>
  <c r="AA36" i="34"/>
  <c r="Q36" i="34"/>
  <c r="V36" i="34"/>
  <c r="C36" i="34"/>
  <c r="S39" i="2"/>
  <c r="CQ39" i="2"/>
  <c r="CM39" i="2"/>
  <c r="R29" i="66" s="1"/>
  <c r="CI39" i="2"/>
  <c r="BV39" i="2"/>
  <c r="BR39" i="2"/>
  <c r="BN39" i="2"/>
  <c r="U30" i="43" s="1"/>
  <c r="BH24" i="43" s="1"/>
  <c r="AA30" i="43"/>
  <c r="BH30" i="43" s="1"/>
  <c r="BF39" i="2"/>
  <c r="BB39" i="2"/>
  <c r="AX39" i="2"/>
  <c r="AT39" i="2"/>
  <c r="AP39" i="2"/>
  <c r="W29" i="66" s="1"/>
  <c r="AL39" i="2"/>
  <c r="AH39" i="2"/>
  <c r="AD39" i="2"/>
  <c r="Z39" i="2"/>
  <c r="T39" i="2"/>
  <c r="CO39" i="2"/>
  <c r="T29" i="66" s="1"/>
  <c r="BP39" i="2"/>
  <c r="W30" i="43" s="1"/>
  <c r="BH26" i="43" s="1"/>
  <c r="BH39" i="2"/>
  <c r="AZ39" i="2"/>
  <c r="AR39" i="2"/>
  <c r="AJ39" i="2"/>
  <c r="AF39" i="2"/>
  <c r="CN39" i="2"/>
  <c r="S29" i="66" s="1"/>
  <c r="BW39" i="2"/>
  <c r="BO39" i="2"/>
  <c r="V30" i="43" s="1"/>
  <c r="BH25" i="43" s="1"/>
  <c r="BG39" i="2"/>
  <c r="AY39" i="2"/>
  <c r="AQ39" i="2"/>
  <c r="AI39" i="2"/>
  <c r="AA39" i="2"/>
  <c r="CP39" i="2"/>
  <c r="U29" i="66" s="1"/>
  <c r="CL39" i="2"/>
  <c r="Q29" i="66" s="1"/>
  <c r="CH39" i="2"/>
  <c r="BU39" i="2"/>
  <c r="BQ39" i="2"/>
  <c r="X30" i="43" s="1"/>
  <c r="BH27" i="43" s="1"/>
  <c r="BM39" i="2"/>
  <c r="T30" i="43" s="1"/>
  <c r="BH23" i="43" s="1"/>
  <c r="BI39" i="2"/>
  <c r="BE39" i="2"/>
  <c r="BA39" i="2"/>
  <c r="AW39" i="2"/>
  <c r="AS39" i="2"/>
  <c r="AO39" i="2"/>
  <c r="V29" i="66" s="1"/>
  <c r="AK39" i="2"/>
  <c r="AG39" i="2"/>
  <c r="AC39" i="2"/>
  <c r="R39" i="2"/>
  <c r="CK39" i="2"/>
  <c r="P29" i="66" s="1"/>
  <c r="BT39" i="2"/>
  <c r="BL39" i="2"/>
  <c r="BD39" i="2"/>
  <c r="AD29" i="50" s="1"/>
  <c r="AV39" i="2"/>
  <c r="AN39" i="2"/>
  <c r="AB39" i="2"/>
  <c r="CR39" i="2"/>
  <c r="CJ39" i="2"/>
  <c r="O29" i="66" s="1"/>
  <c r="BS39" i="2"/>
  <c r="BK39" i="2"/>
  <c r="BC39" i="2"/>
  <c r="AU39" i="2"/>
  <c r="AM39" i="2"/>
  <c r="AE39" i="2"/>
  <c r="B31" i="27"/>
  <c r="P31" i="27" s="1"/>
  <c r="B30" i="27"/>
  <c r="P30" i="27" s="1"/>
  <c r="B30" i="29"/>
  <c r="F30" i="29" s="1"/>
  <c r="B31" i="29"/>
  <c r="F31" i="29" s="1"/>
  <c r="N39" i="2"/>
  <c r="J39" i="2"/>
  <c r="F39" i="2"/>
  <c r="B39" i="2"/>
  <c r="L39" i="2"/>
  <c r="H39" i="2"/>
  <c r="K39" i="2"/>
  <c r="Q39" i="2"/>
  <c r="F29" i="50" s="1"/>
  <c r="M39" i="2"/>
  <c r="E29" i="50" s="1"/>
  <c r="I39" i="2"/>
  <c r="D29" i="50" s="1"/>
  <c r="E39" i="2"/>
  <c r="O39" i="2"/>
  <c r="P39" i="2"/>
  <c r="D39" i="2"/>
  <c r="G39" i="2"/>
  <c r="B29" i="27"/>
  <c r="P29" i="27" s="1"/>
  <c r="B32" i="29"/>
  <c r="F32" i="29" s="1"/>
  <c r="P33" i="27"/>
  <c r="B29" i="50"/>
  <c r="Q29" i="50" s="1"/>
  <c r="B29" i="29"/>
  <c r="F29" i="29" s="1"/>
  <c r="AJ21" i="43"/>
  <c r="AJ20" i="43"/>
  <c r="AJ19" i="43"/>
  <c r="AJ18" i="43"/>
  <c r="AJ17" i="43"/>
  <c r="AJ16" i="43"/>
  <c r="AJ15" i="43"/>
  <c r="AJ8" i="43"/>
  <c r="AJ42" i="43" s="1"/>
  <c r="AJ7" i="43"/>
  <c r="AJ41" i="43" s="1"/>
  <c r="AJ6" i="43"/>
  <c r="AJ40" i="43" s="1"/>
  <c r="AJ14" i="43"/>
  <c r="AJ13" i="43"/>
  <c r="AJ11" i="43"/>
  <c r="AJ45" i="43" s="1"/>
  <c r="AJ10" i="43"/>
  <c r="AJ44" i="43" s="1"/>
  <c r="AJ9" i="43"/>
  <c r="AJ43" i="43" s="1"/>
  <c r="EB46" i="2" l="1"/>
  <c r="DM46" i="2"/>
  <c r="M43" i="34"/>
  <c r="U48" i="2"/>
  <c r="M45" i="34"/>
  <c r="U50" i="2"/>
  <c r="EB45" i="2"/>
  <c r="DM45" i="2"/>
  <c r="I37" i="29"/>
  <c r="H37" i="66"/>
  <c r="N37" i="27"/>
  <c r="H39" i="66"/>
  <c r="I39" i="29"/>
  <c r="N39" i="27"/>
  <c r="U47" i="2"/>
  <c r="M42" i="34"/>
  <c r="DL48" i="2"/>
  <c r="EH47" i="2"/>
  <c r="H37" i="27"/>
  <c r="H38" i="43"/>
  <c r="BP11" i="43" s="1"/>
  <c r="EB42" i="2"/>
  <c r="DM42" i="2"/>
  <c r="F34" i="27"/>
  <c r="DM44" i="2"/>
  <c r="DS47" i="2"/>
  <c r="I40" i="29"/>
  <c r="H40" i="66"/>
  <c r="N40" i="27"/>
  <c r="EH49" i="2"/>
  <c r="H39" i="27"/>
  <c r="H40" i="43"/>
  <c r="BR11" i="43" s="1"/>
  <c r="DL47" i="2"/>
  <c r="EH50" i="2"/>
  <c r="H40" i="27"/>
  <c r="H41" i="43"/>
  <c r="BS11" i="43" s="1"/>
  <c r="EH48" i="2"/>
  <c r="H38" i="27"/>
  <c r="H39" i="43"/>
  <c r="BQ11" i="43" s="1"/>
  <c r="CX48" i="2"/>
  <c r="H38" i="66"/>
  <c r="I38" i="29"/>
  <c r="N38" i="27"/>
  <c r="M44" i="34"/>
  <c r="U49" i="2"/>
  <c r="DQ45" i="2"/>
  <c r="AT36" i="27"/>
  <c r="DO43" i="2"/>
  <c r="F35" i="43"/>
  <c r="BM9" i="43" s="1"/>
  <c r="EF44" i="2"/>
  <c r="EB44" i="2"/>
  <c r="DT39" i="2"/>
  <c r="DN39" i="2"/>
  <c r="EB48" i="2"/>
  <c r="EA48" i="2"/>
  <c r="DN49" i="2"/>
  <c r="DL49" i="2" s="1"/>
  <c r="DQ43" i="2"/>
  <c r="DL43" i="2"/>
  <c r="DS43" i="2"/>
  <c r="EH44" i="2"/>
  <c r="DL44" i="2"/>
  <c r="DS44" i="2"/>
  <c r="EB43" i="2"/>
  <c r="EF45" i="2"/>
  <c r="EH45" i="2"/>
  <c r="DL45" i="2"/>
  <c r="DS45" i="2"/>
  <c r="EA43" i="2"/>
  <c r="DS46" i="2"/>
  <c r="DL46" i="2"/>
  <c r="EA46" i="2"/>
  <c r="DT49" i="2"/>
  <c r="DS49" i="2" s="1"/>
  <c r="H35" i="43"/>
  <c r="BM11" i="43" s="1"/>
  <c r="CA48" i="2"/>
  <c r="EF46" i="2"/>
  <c r="F36" i="27"/>
  <c r="F37" i="43"/>
  <c r="BO9" i="43" s="1"/>
  <c r="F36" i="66"/>
  <c r="AK36" i="66" s="1"/>
  <c r="G36" i="29"/>
  <c r="L36" i="27"/>
  <c r="H36" i="66"/>
  <c r="I36" i="29"/>
  <c r="N36" i="27"/>
  <c r="EH46" i="2"/>
  <c r="H36" i="27"/>
  <c r="H37" i="43"/>
  <c r="BO11" i="43" s="1"/>
  <c r="DO44" i="2"/>
  <c r="AH37" i="66"/>
  <c r="H34" i="27"/>
  <c r="F35" i="27"/>
  <c r="DQ44" i="2"/>
  <c r="F36" i="43"/>
  <c r="BN9" i="43" s="1"/>
  <c r="DO45" i="2"/>
  <c r="H36" i="43"/>
  <c r="BN11" i="43" s="1"/>
  <c r="H35" i="27"/>
  <c r="E30" i="59"/>
  <c r="W42" i="2"/>
  <c r="C28" i="59"/>
  <c r="U40" i="2"/>
  <c r="C29" i="59"/>
  <c r="U41" i="2"/>
  <c r="E28" i="59"/>
  <c r="W40" i="2"/>
  <c r="W62" i="2" s="1"/>
  <c r="EF43" i="2"/>
  <c r="F33" i="27"/>
  <c r="F34" i="43"/>
  <c r="BL9" i="43" s="1"/>
  <c r="EH43" i="2"/>
  <c r="H33" i="27"/>
  <c r="H34" i="43"/>
  <c r="BL11" i="43" s="1"/>
  <c r="E27" i="59"/>
  <c r="W39" i="2"/>
  <c r="EA39" i="2" s="1"/>
  <c r="E29" i="59"/>
  <c r="W41" i="2"/>
  <c r="C27" i="59"/>
  <c r="U39" i="2"/>
  <c r="AD39" i="27"/>
  <c r="AL39" i="27" s="1"/>
  <c r="EJ515" i="1"/>
  <c r="EH515" i="1"/>
  <c r="CK515" i="1"/>
  <c r="DN501" i="1"/>
  <c r="CO501" i="1"/>
  <c r="CX501" i="1" s="1"/>
  <c r="CQ501" i="1"/>
  <c r="CZ501" i="1" s="1"/>
  <c r="DN506" i="1"/>
  <c r="CQ506" i="1"/>
  <c r="CZ506" i="1" s="1"/>
  <c r="CO506" i="1"/>
  <c r="CX506" i="1" s="1"/>
  <c r="EH521" i="1"/>
  <c r="EJ521" i="1"/>
  <c r="CK521" i="1"/>
  <c r="EJ512" i="1"/>
  <c r="EH512" i="1"/>
  <c r="CK512" i="1"/>
  <c r="AI50" i="2"/>
  <c r="BP58" i="43"/>
  <c r="DN507" i="1"/>
  <c r="CQ507" i="1"/>
  <c r="CZ507" i="1" s="1"/>
  <c r="CO507" i="1"/>
  <c r="CX507" i="1" s="1"/>
  <c r="EJ513" i="1"/>
  <c r="EH513" i="1"/>
  <c r="CK513" i="1"/>
  <c r="DN511" i="1"/>
  <c r="CO511" i="1"/>
  <c r="CX511" i="1" s="1"/>
  <c r="CQ511" i="1"/>
  <c r="CZ511" i="1" s="1"/>
  <c r="EH518" i="1"/>
  <c r="EJ518" i="1"/>
  <c r="CK518" i="1"/>
  <c r="DN502" i="1"/>
  <c r="CQ502" i="1"/>
  <c r="CZ502" i="1" s="1"/>
  <c r="CO502" i="1"/>
  <c r="CX502" i="1" s="1"/>
  <c r="DN505" i="1"/>
  <c r="CQ505" i="1"/>
  <c r="CZ505" i="1" s="1"/>
  <c r="CO505" i="1"/>
  <c r="CX505" i="1" s="1"/>
  <c r="DN510" i="1"/>
  <c r="CO510" i="1"/>
  <c r="CX510" i="1" s="1"/>
  <c r="CQ510" i="1"/>
  <c r="CZ510" i="1" s="1"/>
  <c r="EH519" i="1"/>
  <c r="EJ519" i="1"/>
  <c r="CK519" i="1"/>
  <c r="DN504" i="1"/>
  <c r="CO504" i="1"/>
  <c r="CX504" i="1" s="1"/>
  <c r="CQ504" i="1"/>
  <c r="CZ504" i="1" s="1"/>
  <c r="DN508" i="1"/>
  <c r="CO508" i="1"/>
  <c r="CX508" i="1" s="1"/>
  <c r="CQ508" i="1"/>
  <c r="CZ508" i="1" s="1"/>
  <c r="EJ523" i="1"/>
  <c r="EH523" i="1"/>
  <c r="CK523" i="1"/>
  <c r="EH514" i="1"/>
  <c r="EJ514" i="1"/>
  <c r="CK514" i="1"/>
  <c r="EH517" i="1"/>
  <c r="EJ517" i="1"/>
  <c r="CK517" i="1"/>
  <c r="EH522" i="1"/>
  <c r="EJ522" i="1"/>
  <c r="CK522" i="1"/>
  <c r="EJ516" i="1"/>
  <c r="EH516" i="1"/>
  <c r="CK516" i="1"/>
  <c r="DN503" i="1"/>
  <c r="CQ503" i="1"/>
  <c r="CZ503" i="1" s="1"/>
  <c r="CO503" i="1"/>
  <c r="CX503" i="1" s="1"/>
  <c r="EJ520" i="1"/>
  <c r="EH520" i="1"/>
  <c r="CK520" i="1"/>
  <c r="CC48" i="2"/>
  <c r="DN509" i="1"/>
  <c r="CO509" i="1"/>
  <c r="CX509" i="1" s="1"/>
  <c r="CQ509" i="1"/>
  <c r="CZ509" i="1" s="1"/>
  <c r="EA488" i="1"/>
  <c r="CV48" i="2"/>
  <c r="DN500" i="1"/>
  <c r="CQ500" i="1"/>
  <c r="CO500" i="1"/>
  <c r="BW49" i="2"/>
  <c r="AJ32" i="50"/>
  <c r="DQ46" i="2"/>
  <c r="DO46" i="2"/>
  <c r="DW47" i="2"/>
  <c r="DU47" i="2"/>
  <c r="DQ47" i="2"/>
  <c r="DO47" i="2"/>
  <c r="DW44" i="2"/>
  <c r="DU44" i="2"/>
  <c r="DW45" i="2"/>
  <c r="DU45" i="2"/>
  <c r="BI58" i="43"/>
  <c r="DQ48" i="2"/>
  <c r="DO48" i="2"/>
  <c r="DU43" i="2"/>
  <c r="DW43" i="2"/>
  <c r="DW48" i="2"/>
  <c r="DU48" i="2"/>
  <c r="DW46" i="2"/>
  <c r="DU46" i="2"/>
  <c r="AH40" i="66"/>
  <c r="AT30" i="27"/>
  <c r="DX39" i="2"/>
  <c r="AT33" i="27"/>
  <c r="AL32" i="27"/>
  <c r="AU32" i="27" s="1"/>
  <c r="BK37" i="43"/>
  <c r="BI57" i="43"/>
  <c r="BL58" i="43"/>
  <c r="BL37" i="43"/>
  <c r="AH31" i="43"/>
  <c r="AE29" i="50"/>
  <c r="AH32" i="66"/>
  <c r="AH39" i="66"/>
  <c r="AH30" i="66"/>
  <c r="BJ37" i="43"/>
  <c r="AT34" i="27"/>
  <c r="AH35" i="43"/>
  <c r="Z32" i="66"/>
  <c r="AM32" i="66" s="1"/>
  <c r="AH37" i="43"/>
  <c r="Z37" i="66"/>
  <c r="AB37" i="66" s="1"/>
  <c r="E32" i="66"/>
  <c r="O30" i="43"/>
  <c r="BH18" i="43" s="1"/>
  <c r="AE29" i="27"/>
  <c r="AO29" i="27" s="1"/>
  <c r="Z38" i="66"/>
  <c r="AH35" i="66"/>
  <c r="AH29" i="27"/>
  <c r="Z30" i="43"/>
  <c r="BH29" i="43" s="1"/>
  <c r="V29" i="29"/>
  <c r="K29" i="29"/>
  <c r="BJ57" i="43"/>
  <c r="AH33" i="43"/>
  <c r="Z39" i="66"/>
  <c r="T29" i="29"/>
  <c r="Z29" i="29"/>
  <c r="N29" i="29"/>
  <c r="BM37" i="43"/>
  <c r="Z33" i="66"/>
  <c r="AM33" i="66" s="1"/>
  <c r="AI29" i="27"/>
  <c r="AG30" i="43"/>
  <c r="BH36" i="43" s="1"/>
  <c r="Z31" i="66"/>
  <c r="AM31" i="66" s="1"/>
  <c r="Z40" i="66"/>
  <c r="J29" i="29"/>
  <c r="Y29" i="29"/>
  <c r="AK34" i="66"/>
  <c r="M29" i="29"/>
  <c r="Y30" i="43"/>
  <c r="BH28" i="43" s="1"/>
  <c r="AG29" i="27"/>
  <c r="C32" i="66"/>
  <c r="AH31" i="66"/>
  <c r="AH34" i="66"/>
  <c r="AH38" i="66"/>
  <c r="Z35" i="66"/>
  <c r="AH29" i="66"/>
  <c r="AC29" i="50"/>
  <c r="S30" i="43"/>
  <c r="BH22" i="43" s="1"/>
  <c r="F25" i="57"/>
  <c r="F27" i="59"/>
  <c r="D32" i="66"/>
  <c r="AK35" i="66"/>
  <c r="AH33" i="66"/>
  <c r="Z30" i="66"/>
  <c r="AM30" i="66" s="1"/>
  <c r="Z36" i="66"/>
  <c r="W29" i="29"/>
  <c r="U29" i="29"/>
  <c r="X29" i="29"/>
  <c r="BP37" i="43"/>
  <c r="Z34" i="66"/>
  <c r="AL35" i="27"/>
  <c r="AH34" i="43"/>
  <c r="AH32" i="43"/>
  <c r="BP57" i="43"/>
  <c r="BS13" i="43"/>
  <c r="AH40" i="43"/>
  <c r="BK58" i="43"/>
  <c r="AH39" i="43"/>
  <c r="AH38" i="43"/>
  <c r="BM58" i="43"/>
  <c r="BN13" i="43"/>
  <c r="AH36" i="43"/>
  <c r="AL30" i="27"/>
  <c r="AT39" i="27"/>
  <c r="BJ58" i="43"/>
  <c r="BR58" i="43"/>
  <c r="BK57" i="43"/>
  <c r="BM57" i="43"/>
  <c r="BR57" i="43"/>
  <c r="BL57" i="43"/>
  <c r="BI20" i="43"/>
  <c r="AL34" i="27"/>
  <c r="AL31" i="27"/>
  <c r="BN15" i="43"/>
  <c r="BS18" i="43"/>
  <c r="BR20" i="43"/>
  <c r="BQ18" i="43"/>
  <c r="BQ37" i="43" s="1"/>
  <c r="AT38" i="27"/>
  <c r="AL38" i="27"/>
  <c r="AT37" i="27"/>
  <c r="AL37" i="27"/>
  <c r="BO14" i="43"/>
  <c r="BO37" i="43" s="1"/>
  <c r="J35" i="34"/>
  <c r="AB29" i="50"/>
  <c r="AJ29" i="27"/>
  <c r="AN29" i="27" s="1"/>
  <c r="Q30" i="43"/>
  <c r="BH20" i="43" s="1"/>
  <c r="J36" i="34"/>
  <c r="AC36" i="34"/>
  <c r="S36" i="34"/>
  <c r="X36" i="34"/>
  <c r="AT31" i="27"/>
  <c r="AL33" i="27"/>
  <c r="K34" i="34"/>
  <c r="L38" i="34"/>
  <c r="E33" i="66" s="1"/>
  <c r="K35" i="34"/>
  <c r="S35" i="34"/>
  <c r="X35" i="34"/>
  <c r="AC35" i="34"/>
  <c r="J34" i="34"/>
  <c r="D32" i="29"/>
  <c r="K32" i="50"/>
  <c r="S32" i="50" s="1"/>
  <c r="J32" i="27"/>
  <c r="AT40" i="27"/>
  <c r="L34" i="34"/>
  <c r="AC34" i="34"/>
  <c r="S34" i="34"/>
  <c r="X34" i="34"/>
  <c r="L35" i="34"/>
  <c r="AJ30" i="50"/>
  <c r="E32" i="29"/>
  <c r="L32" i="50"/>
  <c r="T32" i="50" s="1"/>
  <c r="K32" i="27"/>
  <c r="L36" i="34"/>
  <c r="K38" i="34"/>
  <c r="D33" i="66" s="1"/>
  <c r="N30" i="43"/>
  <c r="BH17" i="43" s="1"/>
  <c r="K36" i="34"/>
  <c r="AJ31" i="50"/>
  <c r="AT35" i="27"/>
  <c r="AL36" i="27"/>
  <c r="AC38" i="34"/>
  <c r="X38" i="34"/>
  <c r="S38" i="34"/>
  <c r="J38" i="34"/>
  <c r="C33" i="66" s="1"/>
  <c r="J32" i="50"/>
  <c r="R32" i="50" s="1"/>
  <c r="C32" i="29"/>
  <c r="I32" i="27"/>
  <c r="AF30" i="43"/>
  <c r="BH35" i="43" s="1"/>
  <c r="S29" i="29"/>
  <c r="AE30" i="43"/>
  <c r="BH34" i="43" s="1"/>
  <c r="R29" i="29"/>
  <c r="AD30" i="43"/>
  <c r="BH33" i="43" s="1"/>
  <c r="Q29" i="29"/>
  <c r="AC30" i="43"/>
  <c r="BH32" i="43" s="1"/>
  <c r="P29" i="29"/>
  <c r="AB30" i="43"/>
  <c r="BH31" i="43" s="1"/>
  <c r="O29" i="29"/>
  <c r="L29" i="29"/>
  <c r="AP29" i="27"/>
  <c r="R30" i="43"/>
  <c r="BH21" i="43" s="1"/>
  <c r="L30" i="43"/>
  <c r="BH15" i="43" s="1"/>
  <c r="AC29" i="27"/>
  <c r="AD29" i="27"/>
  <c r="K30" i="43"/>
  <c r="BH14" i="43" s="1"/>
  <c r="AB29" i="27"/>
  <c r="AF29" i="27"/>
  <c r="AM29" i="27" s="1"/>
  <c r="P30" i="43"/>
  <c r="BH19" i="43" s="1"/>
  <c r="J30" i="43"/>
  <c r="AA29" i="27"/>
  <c r="D30" i="43"/>
  <c r="BH7" i="43" s="1"/>
  <c r="D29" i="27"/>
  <c r="E30" i="43"/>
  <c r="BH8" i="43" s="1"/>
  <c r="E29" i="27"/>
  <c r="C29" i="27"/>
  <c r="C30" i="43"/>
  <c r="BH6" i="43" s="1"/>
  <c r="M30" i="43"/>
  <c r="BH16" i="43" s="1"/>
  <c r="AS8" i="29"/>
  <c r="AS9" i="29" s="1"/>
  <c r="F37" i="66" l="1"/>
  <c r="AK37" i="66" s="1"/>
  <c r="G37" i="29"/>
  <c r="L37" i="27"/>
  <c r="EF47" i="2"/>
  <c r="DM47" i="2"/>
  <c r="F38" i="43"/>
  <c r="BP9" i="43" s="1"/>
  <c r="F37" i="27"/>
  <c r="EB47" i="2"/>
  <c r="F40" i="66"/>
  <c r="AK40" i="66" s="1"/>
  <c r="G40" i="29"/>
  <c r="L40" i="27"/>
  <c r="EF50" i="2"/>
  <c r="DM50" i="2"/>
  <c r="F41" i="43"/>
  <c r="BS9" i="43" s="1"/>
  <c r="F40" i="27"/>
  <c r="EF49" i="2"/>
  <c r="DM49" i="2"/>
  <c r="F39" i="27"/>
  <c r="F40" i="43"/>
  <c r="BR9" i="43" s="1"/>
  <c r="EF48" i="2"/>
  <c r="DM48" i="2"/>
  <c r="F39" i="43"/>
  <c r="BQ9" i="43" s="1"/>
  <c r="F38" i="27"/>
  <c r="EB41" i="2"/>
  <c r="DM41" i="2"/>
  <c r="F39" i="66"/>
  <c r="AK39" i="66" s="1"/>
  <c r="G39" i="29"/>
  <c r="L39" i="27"/>
  <c r="G38" i="29"/>
  <c r="F38" i="66"/>
  <c r="AK38" i="66" s="1"/>
  <c r="L38" i="27"/>
  <c r="EB39" i="2"/>
  <c r="DM39" i="2"/>
  <c r="U62" i="2"/>
  <c r="DM40" i="2"/>
  <c r="DL41" i="2"/>
  <c r="DS41" i="2"/>
  <c r="EA41" i="2"/>
  <c r="DN50" i="2"/>
  <c r="DL50" i="2" s="1"/>
  <c r="DT50" i="2"/>
  <c r="DS50" i="2" s="1"/>
  <c r="DS39" i="2"/>
  <c r="DL39" i="2"/>
  <c r="DL42" i="2"/>
  <c r="DS42" i="2"/>
  <c r="EA42" i="2"/>
  <c r="EB40" i="2"/>
  <c r="EA49" i="2"/>
  <c r="EB49" i="2"/>
  <c r="DS40" i="2"/>
  <c r="DL40" i="2"/>
  <c r="EA40" i="2"/>
  <c r="BM81" i="43"/>
  <c r="BR69" i="43"/>
  <c r="BP63" i="43"/>
  <c r="BR75" i="43"/>
  <c r="BM75" i="43"/>
  <c r="BK49" i="43"/>
  <c r="BP41" i="43"/>
  <c r="BM51" i="43"/>
  <c r="BJ51" i="43"/>
  <c r="BP79" i="43"/>
  <c r="BP81" i="43"/>
  <c r="BP69" i="43"/>
  <c r="DU49" i="2"/>
  <c r="BL42" i="43"/>
  <c r="DW49" i="2"/>
  <c r="BP67" i="43"/>
  <c r="DT506" i="1"/>
  <c r="EC506" i="1" s="1"/>
  <c r="DR506" i="1"/>
  <c r="EA506" i="1" s="1"/>
  <c r="DT502" i="1"/>
  <c r="EC502" i="1" s="1"/>
  <c r="DR502" i="1"/>
  <c r="EA502" i="1" s="1"/>
  <c r="EJ525" i="1"/>
  <c r="EH525" i="1"/>
  <c r="CK525" i="1"/>
  <c r="BL79" i="43"/>
  <c r="CX500" i="1"/>
  <c r="CA49" i="2"/>
  <c r="DN518" i="1"/>
  <c r="CQ518" i="1"/>
  <c r="CZ518" i="1" s="1"/>
  <c r="CO518" i="1"/>
  <c r="CX518" i="1" s="1"/>
  <c r="EH526" i="1"/>
  <c r="EJ526" i="1"/>
  <c r="CK526" i="1"/>
  <c r="CZ500" i="1"/>
  <c r="CC49" i="2"/>
  <c r="DN523" i="1"/>
  <c r="CO523" i="1"/>
  <c r="CX523" i="1" s="1"/>
  <c r="CQ523" i="1"/>
  <c r="CZ523" i="1" s="1"/>
  <c r="EH524" i="1"/>
  <c r="EJ524" i="1"/>
  <c r="CK524" i="1"/>
  <c r="AI51" i="2"/>
  <c r="DR508" i="1"/>
  <c r="EA508" i="1" s="1"/>
  <c r="DT508" i="1"/>
  <c r="EC508" i="1" s="1"/>
  <c r="BL81" i="43"/>
  <c r="DT500" i="1"/>
  <c r="DR500" i="1"/>
  <c r="CR49" i="2"/>
  <c r="EH532" i="1"/>
  <c r="EJ532" i="1"/>
  <c r="CK532" i="1"/>
  <c r="EH534" i="1"/>
  <c r="EJ534" i="1"/>
  <c r="CK534" i="1"/>
  <c r="DN521" i="1"/>
  <c r="CQ521" i="1"/>
  <c r="CZ521" i="1" s="1"/>
  <c r="CO521" i="1"/>
  <c r="CX521" i="1" s="1"/>
  <c r="DN517" i="1"/>
  <c r="CQ517" i="1"/>
  <c r="CZ517" i="1" s="1"/>
  <c r="CO517" i="1"/>
  <c r="CX517" i="1" s="1"/>
  <c r="EJ530" i="1"/>
  <c r="EH530" i="1"/>
  <c r="CK530" i="1"/>
  <c r="DR501" i="1"/>
  <c r="EA501" i="1" s="1"/>
  <c r="DT501" i="1"/>
  <c r="EC501" i="1" s="1"/>
  <c r="BL69" i="43"/>
  <c r="DO49" i="2"/>
  <c r="EJ535" i="1"/>
  <c r="EH535" i="1"/>
  <c r="CK535" i="1"/>
  <c r="DR510" i="1"/>
  <c r="EA510" i="1" s="1"/>
  <c r="DT510" i="1"/>
  <c r="EC510" i="1" s="1"/>
  <c r="DT507" i="1"/>
  <c r="EC507" i="1" s="1"/>
  <c r="DR507" i="1"/>
  <c r="EA507" i="1" s="1"/>
  <c r="DN515" i="1"/>
  <c r="CO515" i="1"/>
  <c r="CX515" i="1" s="1"/>
  <c r="CQ515" i="1"/>
  <c r="CZ515" i="1" s="1"/>
  <c r="DR509" i="1"/>
  <c r="EA509" i="1" s="1"/>
  <c r="DT509" i="1"/>
  <c r="EC509" i="1" s="1"/>
  <c r="DN513" i="1"/>
  <c r="CQ513" i="1"/>
  <c r="CZ513" i="1" s="1"/>
  <c r="CO513" i="1"/>
  <c r="CX513" i="1" s="1"/>
  <c r="EJ528" i="1"/>
  <c r="EH528" i="1"/>
  <c r="CK528" i="1"/>
  <c r="EH531" i="1"/>
  <c r="EJ531" i="1"/>
  <c r="CK531" i="1"/>
  <c r="BL67" i="43"/>
  <c r="DQ49" i="2"/>
  <c r="DT503" i="1"/>
  <c r="EC503" i="1" s="1"/>
  <c r="DR503" i="1"/>
  <c r="EA503" i="1" s="1"/>
  <c r="DR504" i="1"/>
  <c r="EA504" i="1" s="1"/>
  <c r="DT504" i="1"/>
  <c r="EC504" i="1" s="1"/>
  <c r="EH533" i="1"/>
  <c r="EJ533" i="1"/>
  <c r="CK533" i="1"/>
  <c r="DN514" i="1"/>
  <c r="CO514" i="1"/>
  <c r="CX514" i="1" s="1"/>
  <c r="CQ514" i="1"/>
  <c r="CZ514" i="1" s="1"/>
  <c r="DN522" i="1"/>
  <c r="CO522" i="1"/>
  <c r="CX522" i="1" s="1"/>
  <c r="CQ522" i="1"/>
  <c r="CZ522" i="1" s="1"/>
  <c r="BL49" i="43"/>
  <c r="BL51" i="43"/>
  <c r="DN516" i="1"/>
  <c r="CO516" i="1"/>
  <c r="CX516" i="1" s="1"/>
  <c r="CQ516" i="1"/>
  <c r="CZ516" i="1" s="1"/>
  <c r="EJ529" i="1"/>
  <c r="EH529" i="1"/>
  <c r="CK529" i="1"/>
  <c r="DN519" i="1"/>
  <c r="CQ519" i="1"/>
  <c r="CZ519" i="1" s="1"/>
  <c r="CO519" i="1"/>
  <c r="CX519" i="1" s="1"/>
  <c r="DR511" i="1"/>
  <c r="EA511" i="1" s="1"/>
  <c r="DT511" i="1"/>
  <c r="EC511" i="1" s="1"/>
  <c r="M41" i="43"/>
  <c r="AD40" i="27"/>
  <c r="AL40" i="27" s="1"/>
  <c r="DN512" i="1"/>
  <c r="CO512" i="1"/>
  <c r="BW50" i="2"/>
  <c r="CQ512" i="1"/>
  <c r="DN520" i="1"/>
  <c r="CQ520" i="1"/>
  <c r="CZ520" i="1" s="1"/>
  <c r="CO520" i="1"/>
  <c r="CX520" i="1" s="1"/>
  <c r="DT505" i="1"/>
  <c r="EC505" i="1" s="1"/>
  <c r="DR505" i="1"/>
  <c r="EA505" i="1" s="1"/>
  <c r="EJ527" i="1"/>
  <c r="EH527" i="1"/>
  <c r="CK527" i="1"/>
  <c r="AU30" i="27"/>
  <c r="AB32" i="66"/>
  <c r="AC32" i="66"/>
  <c r="BP75" i="43"/>
  <c r="AA32" i="66"/>
  <c r="AC37" i="66"/>
  <c r="AA37" i="66"/>
  <c r="AF37" i="66"/>
  <c r="BP73" i="43"/>
  <c r="BN37" i="43"/>
  <c r="AD37" i="66"/>
  <c r="BP61" i="43"/>
  <c r="AM37" i="66"/>
  <c r="AJ29" i="50"/>
  <c r="AU34" i="27"/>
  <c r="AU35" i="27"/>
  <c r="E29" i="66"/>
  <c r="D29" i="66"/>
  <c r="E31" i="66"/>
  <c r="AC31" i="66" s="1"/>
  <c r="AF34" i="66"/>
  <c r="AA34" i="66"/>
  <c r="AM34" i="66"/>
  <c r="AD34" i="66"/>
  <c r="AB34" i="66"/>
  <c r="AC34" i="66"/>
  <c r="AA35" i="66"/>
  <c r="AM35" i="66"/>
  <c r="AB35" i="66"/>
  <c r="AD35" i="66"/>
  <c r="AC35" i="66"/>
  <c r="AF35" i="66"/>
  <c r="C29" i="66"/>
  <c r="C31" i="66"/>
  <c r="AA31" i="66" s="1"/>
  <c r="Z29" i="66"/>
  <c r="AM29" i="66" s="1"/>
  <c r="E30" i="66"/>
  <c r="AC30" i="66" s="1"/>
  <c r="AD40" i="66"/>
  <c r="AC40" i="66"/>
  <c r="AM40" i="66"/>
  <c r="AF40" i="66"/>
  <c r="AB40" i="66"/>
  <c r="AA40" i="66"/>
  <c r="D31" i="66"/>
  <c r="AB31" i="66" s="1"/>
  <c r="D30" i="66"/>
  <c r="AB30" i="66" s="1"/>
  <c r="C30" i="66"/>
  <c r="AA30" i="66" s="1"/>
  <c r="AM36" i="66"/>
  <c r="AA36" i="66"/>
  <c r="AB36" i="66"/>
  <c r="AF36" i="66"/>
  <c r="AD36" i="66"/>
  <c r="AC36" i="66"/>
  <c r="AB38" i="66"/>
  <c r="AF38" i="66"/>
  <c r="AD38" i="66"/>
  <c r="AC38" i="66"/>
  <c r="AM38" i="66"/>
  <c r="AA38" i="66"/>
  <c r="BQ51" i="43"/>
  <c r="AA39" i="66"/>
  <c r="AM39" i="66"/>
  <c r="AB39" i="66"/>
  <c r="AF39" i="66"/>
  <c r="AD39" i="66"/>
  <c r="AC39" i="66"/>
  <c r="BR37" i="43"/>
  <c r="BI37" i="43"/>
  <c r="I33" i="27"/>
  <c r="AA33" i="66"/>
  <c r="C33" i="29"/>
  <c r="K33" i="27"/>
  <c r="AC33" i="66"/>
  <c r="E33" i="29"/>
  <c r="J33" i="27"/>
  <c r="AB33" i="66"/>
  <c r="D33" i="29"/>
  <c r="BR81" i="43"/>
  <c r="BH13" i="43"/>
  <c r="BH37" i="43" s="1"/>
  <c r="AH30" i="43"/>
  <c r="BM79" i="43"/>
  <c r="BM67" i="43"/>
  <c r="BM69" i="43"/>
  <c r="BR73" i="43"/>
  <c r="BR61" i="43"/>
  <c r="BL43" i="43"/>
  <c r="BL40" i="43"/>
  <c r="BL52" i="43"/>
  <c r="BL45" i="43"/>
  <c r="BJ41" i="43"/>
  <c r="BJ50" i="43"/>
  <c r="BL50" i="43"/>
  <c r="BL41" i="43"/>
  <c r="BL54" i="43"/>
  <c r="BJ42" i="43"/>
  <c r="BR63" i="43"/>
  <c r="BR67" i="43"/>
  <c r="BJ49" i="43"/>
  <c r="BR79" i="43"/>
  <c r="BJ40" i="43"/>
  <c r="BP51" i="43"/>
  <c r="BP42" i="43"/>
  <c r="BP50" i="43"/>
  <c r="BP43" i="43"/>
  <c r="BP54" i="43"/>
  <c r="BK41" i="43"/>
  <c r="BM42" i="43"/>
  <c r="BK51" i="43"/>
  <c r="BM49" i="43"/>
  <c r="BK42" i="43"/>
  <c r="BM73" i="43"/>
  <c r="BM63" i="43"/>
  <c r="BM61" i="43"/>
  <c r="BM40" i="43"/>
  <c r="BM50" i="43"/>
  <c r="BO57" i="43"/>
  <c r="BO58" i="43"/>
  <c r="BM43" i="43"/>
  <c r="BM52" i="43"/>
  <c r="BK50" i="43"/>
  <c r="BM45" i="43"/>
  <c r="BP52" i="43"/>
  <c r="BK40" i="43"/>
  <c r="BM54" i="43"/>
  <c r="BL63" i="43"/>
  <c r="BL75" i="43"/>
  <c r="BL73" i="43"/>
  <c r="BL61" i="43"/>
  <c r="BP40" i="43"/>
  <c r="BP49" i="43"/>
  <c r="BM41" i="43"/>
  <c r="BP45" i="43"/>
  <c r="BQ57" i="43"/>
  <c r="BQ58" i="43"/>
  <c r="AU31" i="27"/>
  <c r="AU37" i="27"/>
  <c r="BN58" i="43"/>
  <c r="BN57" i="43"/>
  <c r="AU38" i="27"/>
  <c r="BQ54" i="43"/>
  <c r="BQ45" i="43"/>
  <c r="BQ52" i="43"/>
  <c r="BQ43" i="43"/>
  <c r="BQ49" i="43"/>
  <c r="BQ40" i="43"/>
  <c r="BQ50" i="43"/>
  <c r="BO54" i="43"/>
  <c r="BO45" i="43"/>
  <c r="BO52" i="43"/>
  <c r="BO43" i="43"/>
  <c r="BO49" i="43"/>
  <c r="BO40" i="43"/>
  <c r="BO50" i="43"/>
  <c r="BO41" i="43"/>
  <c r="BO42" i="43"/>
  <c r="BO51" i="43"/>
  <c r="BQ41" i="43"/>
  <c r="BQ42" i="43"/>
  <c r="M38" i="34"/>
  <c r="AU40" i="27"/>
  <c r="AU36" i="27"/>
  <c r="K31" i="50"/>
  <c r="S31" i="50" s="1"/>
  <c r="D31" i="29"/>
  <c r="J31" i="27"/>
  <c r="E30" i="29"/>
  <c r="L30" i="50"/>
  <c r="T30" i="50" s="1"/>
  <c r="K30" i="27"/>
  <c r="O34" i="34"/>
  <c r="O36" i="34"/>
  <c r="M37" i="34"/>
  <c r="L29" i="50"/>
  <c r="T29" i="50" s="1"/>
  <c r="E29" i="29"/>
  <c r="K29" i="27"/>
  <c r="O37" i="34"/>
  <c r="M35" i="34"/>
  <c r="AL29" i="27"/>
  <c r="E31" i="29"/>
  <c r="L31" i="50"/>
  <c r="T31" i="50" s="1"/>
  <c r="K31" i="27"/>
  <c r="AU39" i="27"/>
  <c r="C29" i="29"/>
  <c r="J29" i="50"/>
  <c r="R29" i="50" s="1"/>
  <c r="I29" i="27"/>
  <c r="D30" i="29"/>
  <c r="K30" i="50"/>
  <c r="S30" i="50" s="1"/>
  <c r="J30" i="27"/>
  <c r="K29" i="50"/>
  <c r="S29" i="50" s="1"/>
  <c r="D29" i="29"/>
  <c r="J29" i="27"/>
  <c r="M36" i="34"/>
  <c r="C30" i="29"/>
  <c r="J30" i="50"/>
  <c r="R30" i="50" s="1"/>
  <c r="I30" i="27"/>
  <c r="O38" i="34"/>
  <c r="AU33" i="27"/>
  <c r="J31" i="50"/>
  <c r="R31" i="50" s="1"/>
  <c r="C31" i="29"/>
  <c r="I31" i="27"/>
  <c r="AT29" i="27"/>
  <c r="AS10" i="29"/>
  <c r="EA50" i="2" l="1"/>
  <c r="EB50" i="2"/>
  <c r="AD41" i="27"/>
  <c r="AL41" i="27" s="1"/>
  <c r="AU41" i="27" s="1"/>
  <c r="DT51" i="2"/>
  <c r="DS51" i="2" s="1"/>
  <c r="DN51" i="2"/>
  <c r="BO81" i="43"/>
  <c r="BO75" i="43"/>
  <c r="BR50" i="43"/>
  <c r="BH50" i="43"/>
  <c r="BI51" i="43"/>
  <c r="H32" i="66"/>
  <c r="AF32" i="66" s="1"/>
  <c r="I32" i="29"/>
  <c r="H33" i="66"/>
  <c r="AF33" i="66" s="1"/>
  <c r="I33" i="29"/>
  <c r="F32" i="66"/>
  <c r="G32" i="29"/>
  <c r="F30" i="66"/>
  <c r="G30" i="29"/>
  <c r="F33" i="66"/>
  <c r="G33" i="29"/>
  <c r="H29" i="66"/>
  <c r="I29" i="29"/>
  <c r="F31" i="66"/>
  <c r="G31" i="29"/>
  <c r="H31" i="66"/>
  <c r="AF31" i="66" s="1"/>
  <c r="I31" i="29"/>
  <c r="BI40" i="43"/>
  <c r="DT520" i="1"/>
  <c r="EC520" i="1" s="1"/>
  <c r="DR520" i="1"/>
  <c r="EA520" i="1" s="1"/>
  <c r="DT519" i="1"/>
  <c r="EC519" i="1" s="1"/>
  <c r="DR519" i="1"/>
  <c r="EA519" i="1" s="1"/>
  <c r="DN528" i="1"/>
  <c r="CO528" i="1"/>
  <c r="CX528" i="1" s="1"/>
  <c r="CQ528" i="1"/>
  <c r="CZ528" i="1" s="1"/>
  <c r="DX49" i="2"/>
  <c r="EH536" i="1"/>
  <c r="EJ536" i="1"/>
  <c r="CK536" i="1"/>
  <c r="AI52" i="2"/>
  <c r="DO50" i="2"/>
  <c r="DQ50" i="2"/>
  <c r="EA500" i="1"/>
  <c r="CV49" i="2"/>
  <c r="EH539" i="1"/>
  <c r="EJ539" i="1"/>
  <c r="CK539" i="1"/>
  <c r="DN535" i="1"/>
  <c r="CQ535" i="1"/>
  <c r="CZ535" i="1" s="1"/>
  <c r="CO535" i="1"/>
  <c r="CX535" i="1" s="1"/>
  <c r="EH537" i="1"/>
  <c r="EJ537" i="1"/>
  <c r="CK537" i="1"/>
  <c r="DR522" i="1"/>
  <c r="EA522" i="1" s="1"/>
  <c r="DT522" i="1"/>
  <c r="EC522" i="1" s="1"/>
  <c r="EH538" i="1"/>
  <c r="EJ538" i="1"/>
  <c r="CK538" i="1"/>
  <c r="DR512" i="1"/>
  <c r="CR50" i="2"/>
  <c r="DT512" i="1"/>
  <c r="EJ541" i="1"/>
  <c r="EH541" i="1"/>
  <c r="CK541" i="1"/>
  <c r="DN534" i="1"/>
  <c r="CQ534" i="1"/>
  <c r="CZ534" i="1" s="1"/>
  <c r="CO534" i="1"/>
  <c r="CX534" i="1" s="1"/>
  <c r="DR523" i="1"/>
  <c r="EA523" i="1" s="1"/>
  <c r="DT523" i="1"/>
  <c r="EC523" i="1" s="1"/>
  <c r="BS16" i="43"/>
  <c r="AH41" i="43"/>
  <c r="DR514" i="1"/>
  <c r="EA514" i="1" s="1"/>
  <c r="DT514" i="1"/>
  <c r="EC514" i="1" s="1"/>
  <c r="DT513" i="1"/>
  <c r="EC513" i="1" s="1"/>
  <c r="DR513" i="1"/>
  <c r="EA513" i="1" s="1"/>
  <c r="EJ542" i="1"/>
  <c r="EH542" i="1"/>
  <c r="CK542" i="1"/>
  <c r="DT518" i="1"/>
  <c r="EC518" i="1" s="1"/>
  <c r="DR518" i="1"/>
  <c r="EA518" i="1" s="1"/>
  <c r="DR516" i="1"/>
  <c r="EA516" i="1" s="1"/>
  <c r="DT516" i="1"/>
  <c r="EC516" i="1" s="1"/>
  <c r="EJ546" i="1"/>
  <c r="EH546" i="1"/>
  <c r="CK546" i="1"/>
  <c r="EC500" i="1"/>
  <c r="CX49" i="2"/>
  <c r="DN533" i="1"/>
  <c r="CQ533" i="1"/>
  <c r="CZ533" i="1" s="1"/>
  <c r="CO533" i="1"/>
  <c r="CX533" i="1" s="1"/>
  <c r="DN531" i="1"/>
  <c r="CO531" i="1"/>
  <c r="CX531" i="1" s="1"/>
  <c r="CQ531" i="1"/>
  <c r="CZ531" i="1" s="1"/>
  <c r="DN532" i="1"/>
  <c r="CQ532" i="1"/>
  <c r="CZ532" i="1" s="1"/>
  <c r="CO532" i="1"/>
  <c r="CX532" i="1" s="1"/>
  <c r="DN529" i="1"/>
  <c r="CQ529" i="1"/>
  <c r="CZ529" i="1" s="1"/>
  <c r="CO529" i="1"/>
  <c r="CX529" i="1" s="1"/>
  <c r="DT521" i="1"/>
  <c r="EC521" i="1" s="1"/>
  <c r="DR521" i="1"/>
  <c r="EA521" i="1" s="1"/>
  <c r="DN525" i="1"/>
  <c r="CQ525" i="1"/>
  <c r="CZ525" i="1" s="1"/>
  <c r="CO525" i="1"/>
  <c r="CX525" i="1" s="1"/>
  <c r="DN530" i="1"/>
  <c r="CO530" i="1"/>
  <c r="CX530" i="1" s="1"/>
  <c r="CQ530" i="1"/>
  <c r="CZ530" i="1" s="1"/>
  <c r="CZ512" i="1"/>
  <c r="CC50" i="2"/>
  <c r="DN527" i="1"/>
  <c r="CO527" i="1"/>
  <c r="CX527" i="1" s="1"/>
  <c r="CQ527" i="1"/>
  <c r="CZ527" i="1" s="1"/>
  <c r="CX512" i="1"/>
  <c r="CA50" i="2"/>
  <c r="EH540" i="1"/>
  <c r="EJ540" i="1"/>
  <c r="CK540" i="1"/>
  <c r="DN524" i="1"/>
  <c r="CO524" i="1"/>
  <c r="BW51" i="2"/>
  <c r="CQ524" i="1"/>
  <c r="DT517" i="1"/>
  <c r="EC517" i="1" s="1"/>
  <c r="DR517" i="1"/>
  <c r="EA517" i="1" s="1"/>
  <c r="DN526" i="1"/>
  <c r="CQ526" i="1"/>
  <c r="CZ526" i="1" s="1"/>
  <c r="CO526" i="1"/>
  <c r="CX526" i="1" s="1"/>
  <c r="DW50" i="2"/>
  <c r="DU50" i="2"/>
  <c r="EJ547" i="1"/>
  <c r="EH547" i="1"/>
  <c r="CK547" i="1"/>
  <c r="EH545" i="1"/>
  <c r="EJ545" i="1"/>
  <c r="CK545" i="1"/>
  <c r="EH543" i="1"/>
  <c r="EJ543" i="1"/>
  <c r="CK543" i="1"/>
  <c r="DR515" i="1"/>
  <c r="EA515" i="1" s="1"/>
  <c r="DT515" i="1"/>
  <c r="EC515" i="1" s="1"/>
  <c r="EH544" i="1"/>
  <c r="EJ544" i="1"/>
  <c r="CK544" i="1"/>
  <c r="AN37" i="66"/>
  <c r="AQ37" i="66" s="1"/>
  <c r="DU40" i="2"/>
  <c r="EF40" i="2"/>
  <c r="DO40" i="2"/>
  <c r="BR52" i="43"/>
  <c r="EH42" i="2"/>
  <c r="DW42" i="2"/>
  <c r="DQ42" i="2"/>
  <c r="BR51" i="43"/>
  <c r="BR40" i="43"/>
  <c r="EF42" i="2"/>
  <c r="DU42" i="2"/>
  <c r="DO42" i="2"/>
  <c r="BR45" i="43"/>
  <c r="DW39" i="2"/>
  <c r="DQ39" i="2"/>
  <c r="EH39" i="2"/>
  <c r="BR54" i="43"/>
  <c r="EF41" i="2"/>
  <c r="DO41" i="2"/>
  <c r="DU41" i="2"/>
  <c r="DQ41" i="2"/>
  <c r="DW41" i="2"/>
  <c r="EH41" i="2"/>
  <c r="BR43" i="43"/>
  <c r="BH58" i="43"/>
  <c r="BI50" i="43"/>
  <c r="AA29" i="66"/>
  <c r="BR49" i="43"/>
  <c r="BR42" i="43"/>
  <c r="BH57" i="43"/>
  <c r="AB29" i="66"/>
  <c r="AC29" i="66"/>
  <c r="AN36" i="66"/>
  <c r="AQ36" i="66" s="1"/>
  <c r="AN40" i="66"/>
  <c r="AQ40" i="66" s="1"/>
  <c r="AN38" i="66"/>
  <c r="AQ38" i="66" s="1"/>
  <c r="AN34" i="66"/>
  <c r="AQ34" i="66" s="1"/>
  <c r="BI49" i="43"/>
  <c r="BR41" i="43"/>
  <c r="AN35" i="66"/>
  <c r="AQ35" i="66" s="1"/>
  <c r="L33" i="27"/>
  <c r="BI41" i="43"/>
  <c r="AN39" i="66"/>
  <c r="AQ39" i="66" s="1"/>
  <c r="BI42" i="43"/>
  <c r="AF29" i="66"/>
  <c r="BO63" i="43"/>
  <c r="BO61" i="43"/>
  <c r="BO73" i="43"/>
  <c r="BO67" i="43"/>
  <c r="BO69" i="43"/>
  <c r="BO79" i="43"/>
  <c r="BQ81" i="43"/>
  <c r="BQ79" i="43"/>
  <c r="BQ67" i="43"/>
  <c r="BQ69" i="43"/>
  <c r="BQ75" i="43"/>
  <c r="BQ63" i="43"/>
  <c r="BQ61" i="43"/>
  <c r="BQ73" i="43"/>
  <c r="BH49" i="43"/>
  <c r="BH51" i="43"/>
  <c r="BH40" i="43"/>
  <c r="BN54" i="43"/>
  <c r="BN45" i="43"/>
  <c r="BN43" i="43"/>
  <c r="BN52" i="43"/>
  <c r="BN49" i="43"/>
  <c r="BN40" i="43"/>
  <c r="BN50" i="43"/>
  <c r="BN42" i="43"/>
  <c r="BN41" i="43"/>
  <c r="BN51" i="43"/>
  <c r="BH42" i="43"/>
  <c r="BN75" i="43"/>
  <c r="BN61" i="43"/>
  <c r="BN73" i="43"/>
  <c r="BN63" i="43"/>
  <c r="BN81" i="43"/>
  <c r="BN69" i="43"/>
  <c r="BN79" i="43"/>
  <c r="BN67" i="43"/>
  <c r="BH41" i="43"/>
  <c r="M31" i="50"/>
  <c r="U31" i="50" s="1"/>
  <c r="L31" i="27"/>
  <c r="G30" i="50"/>
  <c r="F30" i="27"/>
  <c r="F31" i="43"/>
  <c r="BI9" i="43" s="1"/>
  <c r="M34" i="34"/>
  <c r="G32" i="50"/>
  <c r="F32" i="27"/>
  <c r="F33" i="43"/>
  <c r="BK9" i="43" s="1"/>
  <c r="I29" i="50"/>
  <c r="H29" i="27"/>
  <c r="H30" i="43"/>
  <c r="BH11" i="43" s="1"/>
  <c r="M30" i="50"/>
  <c r="U30" i="50" s="1"/>
  <c r="L30" i="27"/>
  <c r="M32" i="50"/>
  <c r="U32" i="50" s="1"/>
  <c r="L32" i="27"/>
  <c r="O29" i="50"/>
  <c r="W29" i="50" s="1"/>
  <c r="N29" i="27"/>
  <c r="N33" i="27"/>
  <c r="I32" i="50"/>
  <c r="H33" i="43"/>
  <c r="BK11" i="43" s="1"/>
  <c r="H32" i="27"/>
  <c r="I31" i="50"/>
  <c r="H31" i="27"/>
  <c r="H32" i="43"/>
  <c r="BJ11" i="43" s="1"/>
  <c r="O35" i="34"/>
  <c r="G31" i="50"/>
  <c r="F31" i="27"/>
  <c r="F32" i="43"/>
  <c r="BJ9" i="43" s="1"/>
  <c r="O32" i="50"/>
  <c r="W32" i="50" s="1"/>
  <c r="N32" i="27"/>
  <c r="O31" i="50"/>
  <c r="W31" i="50" s="1"/>
  <c r="N31" i="27"/>
  <c r="AU29" i="27"/>
  <c r="AS11" i="29"/>
  <c r="DL51" i="2" l="1"/>
  <c r="DM51" i="2"/>
  <c r="DK51" i="2"/>
  <c r="EA51" i="2"/>
  <c r="DZ51" i="2"/>
  <c r="EB51" i="2"/>
  <c r="AD42" i="27"/>
  <c r="AL42" i="27" s="1"/>
  <c r="DT52" i="2"/>
  <c r="DS52" i="2" s="1"/>
  <c r="DN52" i="2"/>
  <c r="F29" i="66"/>
  <c r="G29" i="29"/>
  <c r="H30" i="66"/>
  <c r="AF30" i="66" s="1"/>
  <c r="I30" i="29"/>
  <c r="EH557" i="1"/>
  <c r="EJ557" i="1"/>
  <c r="CK557" i="1"/>
  <c r="CR51" i="2"/>
  <c r="DR524" i="1"/>
  <c r="DT524" i="1"/>
  <c r="DN538" i="1"/>
  <c r="CO538" i="1"/>
  <c r="CX538" i="1" s="1"/>
  <c r="CQ538" i="1"/>
  <c r="CZ538" i="1" s="1"/>
  <c r="DN540" i="1"/>
  <c r="CQ540" i="1"/>
  <c r="CZ540" i="1" s="1"/>
  <c r="CO540" i="1"/>
  <c r="CX540" i="1" s="1"/>
  <c r="EH556" i="1"/>
  <c r="EJ556" i="1"/>
  <c r="CK556" i="1"/>
  <c r="EJ554" i="1"/>
  <c r="EH554" i="1"/>
  <c r="CK554" i="1"/>
  <c r="DT535" i="1"/>
  <c r="EC535" i="1" s="1"/>
  <c r="DR535" i="1"/>
  <c r="EA535" i="1" s="1"/>
  <c r="DT534" i="1"/>
  <c r="EC534" i="1" s="1"/>
  <c r="DR534" i="1"/>
  <c r="EA534" i="1" s="1"/>
  <c r="EJ552" i="1"/>
  <c r="EH552" i="1"/>
  <c r="CK552" i="1"/>
  <c r="EJ558" i="1"/>
  <c r="EH558" i="1"/>
  <c r="CK558" i="1"/>
  <c r="DN541" i="1"/>
  <c r="CO541" i="1"/>
  <c r="CX541" i="1" s="1"/>
  <c r="CQ541" i="1"/>
  <c r="CZ541" i="1" s="1"/>
  <c r="DN543" i="1"/>
  <c r="CO543" i="1"/>
  <c r="CX543" i="1" s="1"/>
  <c r="CQ543" i="1"/>
  <c r="CZ543" i="1" s="1"/>
  <c r="DN537" i="1"/>
  <c r="CQ537" i="1"/>
  <c r="CZ537" i="1" s="1"/>
  <c r="CO537" i="1"/>
  <c r="CX537" i="1" s="1"/>
  <c r="EJ551" i="1"/>
  <c r="EH551" i="1"/>
  <c r="CK551" i="1"/>
  <c r="DU51" i="2"/>
  <c r="DV51" i="2"/>
  <c r="DW51" i="2"/>
  <c r="EH548" i="1"/>
  <c r="EJ548" i="1"/>
  <c r="CK548" i="1"/>
  <c r="AI53" i="2"/>
  <c r="DT532" i="1"/>
  <c r="EC532" i="1" s="1"/>
  <c r="DR532" i="1"/>
  <c r="EA532" i="1" s="1"/>
  <c r="DT525" i="1"/>
  <c r="EC525" i="1" s="1"/>
  <c r="DR525" i="1"/>
  <c r="EA525" i="1" s="1"/>
  <c r="DR531" i="1"/>
  <c r="EA531" i="1" s="1"/>
  <c r="DT531" i="1"/>
  <c r="EC531" i="1" s="1"/>
  <c r="EH553" i="1"/>
  <c r="EJ553" i="1"/>
  <c r="CK553" i="1"/>
  <c r="DR528" i="1"/>
  <c r="EA528" i="1" s="1"/>
  <c r="DT528" i="1"/>
  <c r="EC528" i="1" s="1"/>
  <c r="DT526" i="1"/>
  <c r="EC526" i="1" s="1"/>
  <c r="DR526" i="1"/>
  <c r="EA526" i="1" s="1"/>
  <c r="DT529" i="1"/>
  <c r="EC529" i="1" s="1"/>
  <c r="DR529" i="1"/>
  <c r="EA529" i="1" s="1"/>
  <c r="DN546" i="1"/>
  <c r="CQ546" i="1"/>
  <c r="CZ546" i="1" s="1"/>
  <c r="CO546" i="1"/>
  <c r="CX546" i="1" s="1"/>
  <c r="EJ550" i="1"/>
  <c r="EH550" i="1"/>
  <c r="CK550" i="1"/>
  <c r="DN539" i="1"/>
  <c r="CO539" i="1"/>
  <c r="CX539" i="1" s="1"/>
  <c r="CQ539" i="1"/>
  <c r="CZ539" i="1" s="1"/>
  <c r="DR530" i="1"/>
  <c r="EA530" i="1" s="1"/>
  <c r="DT530" i="1"/>
  <c r="EC530" i="1" s="1"/>
  <c r="EH559" i="1"/>
  <c r="EJ559" i="1"/>
  <c r="CK559" i="1"/>
  <c r="EH555" i="1"/>
  <c r="EJ555" i="1"/>
  <c r="CK555" i="1"/>
  <c r="EC512" i="1"/>
  <c r="CX50" i="2"/>
  <c r="DP51" i="2"/>
  <c r="DQ51" i="2"/>
  <c r="DO51" i="2"/>
  <c r="DN545" i="1"/>
  <c r="CO545" i="1"/>
  <c r="CX545" i="1" s="1"/>
  <c r="CQ545" i="1"/>
  <c r="CZ545" i="1" s="1"/>
  <c r="CZ524" i="1"/>
  <c r="CC51" i="2"/>
  <c r="DR527" i="1"/>
  <c r="EA527" i="1" s="1"/>
  <c r="DT527" i="1"/>
  <c r="EC527" i="1" s="1"/>
  <c r="BS57" i="43"/>
  <c r="BS37" i="43"/>
  <c r="BS58" i="43"/>
  <c r="DX50" i="2"/>
  <c r="EJ549" i="1"/>
  <c r="EH549" i="1"/>
  <c r="CK549" i="1"/>
  <c r="DT533" i="1"/>
  <c r="EC533" i="1" s="1"/>
  <c r="DR533" i="1"/>
  <c r="EA533" i="1" s="1"/>
  <c r="EA512" i="1"/>
  <c r="CV50" i="2"/>
  <c r="AU42" i="27"/>
  <c r="DN547" i="1"/>
  <c r="CQ547" i="1"/>
  <c r="CZ547" i="1" s="1"/>
  <c r="CO547" i="1"/>
  <c r="CX547" i="1" s="1"/>
  <c r="DN544" i="1"/>
  <c r="CQ544" i="1"/>
  <c r="CZ544" i="1" s="1"/>
  <c r="CO544" i="1"/>
  <c r="CX544" i="1" s="1"/>
  <c r="CX524" i="1"/>
  <c r="CA51" i="2"/>
  <c r="DN542" i="1"/>
  <c r="CO542" i="1"/>
  <c r="CX542" i="1" s="1"/>
  <c r="CQ542" i="1"/>
  <c r="CZ542" i="1" s="1"/>
  <c r="DN536" i="1"/>
  <c r="BW52" i="2"/>
  <c r="CQ536" i="1"/>
  <c r="CO536" i="1"/>
  <c r="DU39" i="2"/>
  <c r="DO39" i="2"/>
  <c r="EF39" i="2"/>
  <c r="EH40" i="2"/>
  <c r="DQ40" i="2"/>
  <c r="DW40" i="2"/>
  <c r="AK30" i="66"/>
  <c r="AN30" i="66" s="1"/>
  <c r="AQ30" i="66" s="1"/>
  <c r="AD30" i="66"/>
  <c r="AK31" i="66"/>
  <c r="AN31" i="66" s="1"/>
  <c r="AQ31" i="66" s="1"/>
  <c r="AD31" i="66"/>
  <c r="AK32" i="66"/>
  <c r="AN32" i="66" s="1"/>
  <c r="AQ32" i="66" s="1"/>
  <c r="AD32" i="66"/>
  <c r="AK33" i="66"/>
  <c r="AN33" i="66" s="1"/>
  <c r="AQ33" i="66" s="1"/>
  <c r="AD33" i="66"/>
  <c r="BH54" i="43"/>
  <c r="BH45" i="43"/>
  <c r="BH69" i="43"/>
  <c r="BH75" i="43"/>
  <c r="BH81" i="43"/>
  <c r="BH63" i="43"/>
  <c r="BJ52" i="43"/>
  <c r="BJ43" i="43"/>
  <c r="BJ61" i="43"/>
  <c r="BJ79" i="43"/>
  <c r="BJ67" i="43"/>
  <c r="BJ73" i="43"/>
  <c r="BI52" i="43"/>
  <c r="BI43" i="43"/>
  <c r="BI73" i="43"/>
  <c r="BI67" i="43"/>
  <c r="BI61" i="43"/>
  <c r="BI79" i="43"/>
  <c r="BJ54" i="43"/>
  <c r="BJ45" i="43"/>
  <c r="BJ75" i="43"/>
  <c r="BJ63" i="43"/>
  <c r="BJ81" i="43"/>
  <c r="BJ69" i="43"/>
  <c r="BK54" i="43"/>
  <c r="BK45" i="43"/>
  <c r="BK75" i="43"/>
  <c r="BK63" i="43"/>
  <c r="BK81" i="43"/>
  <c r="BK69" i="43"/>
  <c r="BK52" i="43"/>
  <c r="BK43" i="43"/>
  <c r="BK73" i="43"/>
  <c r="BK61" i="43"/>
  <c r="BK79" i="43"/>
  <c r="BK67" i="43"/>
  <c r="O30" i="50"/>
  <c r="W30" i="50" s="1"/>
  <c r="N30" i="27"/>
  <c r="G29" i="50"/>
  <c r="F30" i="43"/>
  <c r="BH9" i="43" s="1"/>
  <c r="F29" i="27"/>
  <c r="I30" i="50"/>
  <c r="H30" i="27"/>
  <c r="H31" i="43"/>
  <c r="BI11" i="43" s="1"/>
  <c r="M29" i="50"/>
  <c r="U29" i="50" s="1"/>
  <c r="L29" i="27"/>
  <c r="AS12" i="29"/>
  <c r="DL52" i="2" l="1"/>
  <c r="DK52" i="2"/>
  <c r="DM52" i="2"/>
  <c r="EB52" i="2"/>
  <c r="EA52" i="2"/>
  <c r="DZ52" i="2"/>
  <c r="AD43" i="27"/>
  <c r="AL43" i="27" s="1"/>
  <c r="AU43" i="27" s="1"/>
  <c r="DN53" i="2"/>
  <c r="DT53" i="2"/>
  <c r="DS53" i="2" s="1"/>
  <c r="DR542" i="1"/>
  <c r="EA542" i="1" s="1"/>
  <c r="DT542" i="1"/>
  <c r="EC542" i="1" s="1"/>
  <c r="EH571" i="1"/>
  <c r="EJ571" i="1"/>
  <c r="CK571" i="1"/>
  <c r="DT544" i="1"/>
  <c r="EC544" i="1" s="1"/>
  <c r="DR544" i="1"/>
  <c r="EA544" i="1" s="1"/>
  <c r="CZ536" i="1"/>
  <c r="CC52" i="2"/>
  <c r="DT547" i="1"/>
  <c r="EC547" i="1" s="1"/>
  <c r="DR547" i="1"/>
  <c r="EA547" i="1" s="1"/>
  <c r="DN550" i="1"/>
  <c r="CO550" i="1"/>
  <c r="CX550" i="1" s="1"/>
  <c r="CQ550" i="1"/>
  <c r="CZ550" i="1" s="1"/>
  <c r="EH564" i="1"/>
  <c r="EJ564" i="1"/>
  <c r="CK564" i="1"/>
  <c r="EH566" i="1"/>
  <c r="EJ566" i="1"/>
  <c r="CK566" i="1"/>
  <c r="EJ563" i="1"/>
  <c r="EH563" i="1"/>
  <c r="CK563" i="1"/>
  <c r="DN558" i="1"/>
  <c r="CQ558" i="1"/>
  <c r="CZ558" i="1" s="1"/>
  <c r="CO558" i="1"/>
  <c r="CX558" i="1" s="1"/>
  <c r="EH568" i="1"/>
  <c r="EJ568" i="1"/>
  <c r="CK568" i="1"/>
  <c r="EA524" i="1"/>
  <c r="CV51" i="2"/>
  <c r="DP52" i="2"/>
  <c r="DQ52" i="2"/>
  <c r="DO52" i="2"/>
  <c r="EC524" i="1"/>
  <c r="CX51" i="2"/>
  <c r="DX51" i="2"/>
  <c r="BS75" i="43"/>
  <c r="BS61" i="43"/>
  <c r="BS63" i="43"/>
  <c r="BS73" i="43"/>
  <c r="DN548" i="1"/>
  <c r="CQ548" i="1"/>
  <c r="BW53" i="2"/>
  <c r="CO548" i="1"/>
  <c r="DN557" i="1"/>
  <c r="CO557" i="1"/>
  <c r="CX557" i="1" s="1"/>
  <c r="CQ557" i="1"/>
  <c r="CZ557" i="1" s="1"/>
  <c r="EJ567" i="1"/>
  <c r="EH567" i="1"/>
  <c r="CK567" i="1"/>
  <c r="DN556" i="1"/>
  <c r="CO556" i="1"/>
  <c r="CX556" i="1" s="1"/>
  <c r="CQ556" i="1"/>
  <c r="CZ556" i="1" s="1"/>
  <c r="EH565" i="1"/>
  <c r="EJ565" i="1"/>
  <c r="CK565" i="1"/>
  <c r="DT537" i="1"/>
  <c r="EC537" i="1" s="1"/>
  <c r="DR537" i="1"/>
  <c r="EA537" i="1" s="1"/>
  <c r="EJ570" i="1"/>
  <c r="EH570" i="1"/>
  <c r="CK570" i="1"/>
  <c r="EH561" i="1"/>
  <c r="EJ561" i="1"/>
  <c r="CK561" i="1"/>
  <c r="DR538" i="1"/>
  <c r="EA538" i="1" s="1"/>
  <c r="DT538" i="1"/>
  <c r="EC538" i="1" s="1"/>
  <c r="EH562" i="1"/>
  <c r="EJ562" i="1"/>
  <c r="CK562" i="1"/>
  <c r="BS67" i="43"/>
  <c r="BS79" i="43"/>
  <c r="BS69" i="43"/>
  <c r="BS81" i="43"/>
  <c r="DT546" i="1"/>
  <c r="EC546" i="1" s="1"/>
  <c r="DR546" i="1"/>
  <c r="EA546" i="1" s="1"/>
  <c r="EH560" i="1"/>
  <c r="EJ560" i="1"/>
  <c r="CK560" i="1"/>
  <c r="DN552" i="1"/>
  <c r="CQ552" i="1"/>
  <c r="CZ552" i="1" s="1"/>
  <c r="CO552" i="1"/>
  <c r="CX552" i="1" s="1"/>
  <c r="DN554" i="1"/>
  <c r="CQ554" i="1"/>
  <c r="CZ554" i="1" s="1"/>
  <c r="CO554" i="1"/>
  <c r="CX554" i="1" s="1"/>
  <c r="DT540" i="1"/>
  <c r="EC540" i="1" s="1"/>
  <c r="DR540" i="1"/>
  <c r="EA540" i="1" s="1"/>
  <c r="DR543" i="1"/>
  <c r="EA543" i="1" s="1"/>
  <c r="DT543" i="1"/>
  <c r="EC543" i="1" s="1"/>
  <c r="DN559" i="1"/>
  <c r="CQ559" i="1"/>
  <c r="CZ559" i="1" s="1"/>
  <c r="CO559" i="1"/>
  <c r="CX559" i="1" s="1"/>
  <c r="DN551" i="1"/>
  <c r="CQ551" i="1"/>
  <c r="CZ551" i="1" s="1"/>
  <c r="CO551" i="1"/>
  <c r="CX551" i="1" s="1"/>
  <c r="DR541" i="1"/>
  <c r="EA541" i="1" s="1"/>
  <c r="DT541" i="1"/>
  <c r="EC541" i="1" s="1"/>
  <c r="BS52" i="43"/>
  <c r="BS42" i="43"/>
  <c r="BS49" i="43"/>
  <c r="BS51" i="43"/>
  <c r="BS45" i="43"/>
  <c r="BS41" i="43"/>
  <c r="BS50" i="43"/>
  <c r="BS43" i="43"/>
  <c r="BS40" i="43"/>
  <c r="BS54" i="43"/>
  <c r="DN553" i="1"/>
  <c r="CQ553" i="1"/>
  <c r="CZ553" i="1" s="1"/>
  <c r="CO553" i="1"/>
  <c r="CX553" i="1" s="1"/>
  <c r="CX536" i="1"/>
  <c r="CA52" i="2"/>
  <c r="DV52" i="2"/>
  <c r="DU52" i="2"/>
  <c r="DW52" i="2"/>
  <c r="EJ569" i="1"/>
  <c r="EH569" i="1"/>
  <c r="CK569" i="1"/>
  <c r="DR545" i="1"/>
  <c r="EA545" i="1" s="1"/>
  <c r="DT545" i="1"/>
  <c r="EC545" i="1" s="1"/>
  <c r="DN549" i="1"/>
  <c r="CQ549" i="1"/>
  <c r="CZ549" i="1" s="1"/>
  <c r="CO549" i="1"/>
  <c r="CX549" i="1" s="1"/>
  <c r="DN555" i="1"/>
  <c r="CO555" i="1"/>
  <c r="CX555" i="1" s="1"/>
  <c r="CQ555" i="1"/>
  <c r="CZ555" i="1" s="1"/>
  <c r="DT536" i="1"/>
  <c r="CR52" i="2"/>
  <c r="DR536" i="1"/>
  <c r="DT539" i="1"/>
  <c r="EC539" i="1" s="1"/>
  <c r="DR539" i="1"/>
  <c r="EA539" i="1" s="1"/>
  <c r="AK29" i="66"/>
  <c r="AN29" i="66" s="1"/>
  <c r="AQ29" i="66" s="1"/>
  <c r="AD29" i="66"/>
  <c r="BI54" i="43"/>
  <c r="BI45" i="43"/>
  <c r="BI75" i="43"/>
  <c r="BI63" i="43"/>
  <c r="BI81" i="43"/>
  <c r="BI69" i="43"/>
  <c r="BH52" i="43"/>
  <c r="BH43" i="43"/>
  <c r="BH79" i="43"/>
  <c r="BH67" i="43"/>
  <c r="BH61" i="43"/>
  <c r="BH73" i="43"/>
  <c r="AS13" i="29"/>
  <c r="DL53" i="2" l="1"/>
  <c r="DM53" i="2"/>
  <c r="DK53" i="2"/>
  <c r="EA53" i="2"/>
  <c r="DZ53" i="2"/>
  <c r="EB53" i="2"/>
  <c r="DN565" i="1"/>
  <c r="CO565" i="1"/>
  <c r="CX565" i="1" s="1"/>
  <c r="CQ565" i="1"/>
  <c r="CZ565" i="1" s="1"/>
  <c r="EH578" i="1"/>
  <c r="EJ578" i="1"/>
  <c r="CK578" i="1"/>
  <c r="DU53" i="2"/>
  <c r="DW53" i="2"/>
  <c r="DV53" i="2"/>
  <c r="DN571" i="1"/>
  <c r="CQ571" i="1"/>
  <c r="CZ571" i="1" s="1"/>
  <c r="CO571" i="1"/>
  <c r="CX571" i="1" s="1"/>
  <c r="DN560" i="1"/>
  <c r="CQ560" i="1"/>
  <c r="CZ560" i="1" s="1"/>
  <c r="CO560" i="1"/>
  <c r="CX560" i="1" s="1"/>
  <c r="DN562" i="1"/>
  <c r="CQ562" i="1"/>
  <c r="CZ562" i="1" s="1"/>
  <c r="CO562" i="1"/>
  <c r="CX562" i="1" s="1"/>
  <c r="EA536" i="1"/>
  <c r="CV52" i="2"/>
  <c r="DN564" i="1"/>
  <c r="CQ564" i="1"/>
  <c r="CZ564" i="1" s="1"/>
  <c r="CO564" i="1"/>
  <c r="CX564" i="1" s="1"/>
  <c r="EH575" i="1"/>
  <c r="EJ575" i="1"/>
  <c r="CK575" i="1"/>
  <c r="DX52" i="2"/>
  <c r="EH581" i="1"/>
  <c r="EJ581" i="1"/>
  <c r="CK581" i="1"/>
  <c r="EJ577" i="1"/>
  <c r="EH577" i="1"/>
  <c r="CK577" i="1"/>
  <c r="DN563" i="1"/>
  <c r="CQ563" i="1"/>
  <c r="CZ563" i="1" s="1"/>
  <c r="CO563" i="1"/>
  <c r="CX563" i="1" s="1"/>
  <c r="EH582" i="1"/>
  <c r="EJ582" i="1"/>
  <c r="CK582" i="1"/>
  <c r="DR556" i="1"/>
  <c r="EA556" i="1" s="1"/>
  <c r="DT556" i="1"/>
  <c r="EC556" i="1" s="1"/>
  <c r="DR550" i="1"/>
  <c r="EA550" i="1" s="1"/>
  <c r="DT550" i="1"/>
  <c r="EC550" i="1" s="1"/>
  <c r="EH583" i="1"/>
  <c r="EJ583" i="1"/>
  <c r="CK583" i="1"/>
  <c r="DN569" i="1"/>
  <c r="CQ569" i="1"/>
  <c r="CZ569" i="1" s="1"/>
  <c r="CO569" i="1"/>
  <c r="CX569" i="1" s="1"/>
  <c r="DT554" i="1"/>
  <c r="EC554" i="1" s="1"/>
  <c r="DR554" i="1"/>
  <c r="EA554" i="1" s="1"/>
  <c r="DR557" i="1"/>
  <c r="EA557" i="1" s="1"/>
  <c r="DT557" i="1"/>
  <c r="EC557" i="1" s="1"/>
  <c r="DT558" i="1"/>
  <c r="EC558" i="1" s="1"/>
  <c r="DR558" i="1"/>
  <c r="EA558" i="1" s="1"/>
  <c r="DT559" i="1"/>
  <c r="EC559" i="1" s="1"/>
  <c r="DR559" i="1"/>
  <c r="EA559" i="1" s="1"/>
  <c r="DT552" i="1"/>
  <c r="EC552" i="1" s="1"/>
  <c r="DR552" i="1"/>
  <c r="EA552" i="1" s="1"/>
  <c r="DN570" i="1"/>
  <c r="CQ570" i="1"/>
  <c r="CZ570" i="1" s="1"/>
  <c r="CO570" i="1"/>
  <c r="CX570" i="1" s="1"/>
  <c r="EH576" i="1"/>
  <c r="EJ576" i="1"/>
  <c r="CK576" i="1"/>
  <c r="DR555" i="1"/>
  <c r="EA555" i="1" s="1"/>
  <c r="DT555" i="1"/>
  <c r="EC555" i="1" s="1"/>
  <c r="EJ572" i="1"/>
  <c r="EH572" i="1"/>
  <c r="CK572" i="1"/>
  <c r="EH574" i="1"/>
  <c r="EJ574" i="1"/>
  <c r="CK574" i="1"/>
  <c r="DN567" i="1"/>
  <c r="CO567" i="1"/>
  <c r="CX567" i="1" s="1"/>
  <c r="CQ567" i="1"/>
  <c r="CZ567" i="1" s="1"/>
  <c r="CX548" i="1"/>
  <c r="CA53" i="2"/>
  <c r="DN568" i="1"/>
  <c r="CQ568" i="1"/>
  <c r="CZ568" i="1" s="1"/>
  <c r="CO568" i="1"/>
  <c r="CX568" i="1" s="1"/>
  <c r="DN566" i="1"/>
  <c r="CQ566" i="1"/>
  <c r="CZ566" i="1" s="1"/>
  <c r="CO566" i="1"/>
  <c r="CX566" i="1" s="1"/>
  <c r="DT553" i="1"/>
  <c r="EC553" i="1" s="1"/>
  <c r="DR553" i="1"/>
  <c r="EA553" i="1" s="1"/>
  <c r="DT551" i="1"/>
  <c r="EC551" i="1" s="1"/>
  <c r="DR551" i="1"/>
  <c r="EA551" i="1" s="1"/>
  <c r="EC536" i="1"/>
  <c r="CX52" i="2"/>
  <c r="EH573" i="1"/>
  <c r="EJ573" i="1"/>
  <c r="CK573" i="1"/>
  <c r="DT549" i="1"/>
  <c r="EC549" i="1" s="1"/>
  <c r="DR549" i="1"/>
  <c r="EA549" i="1" s="1"/>
  <c r="DQ53" i="2"/>
  <c r="DO53" i="2"/>
  <c r="DP53" i="2"/>
  <c r="CZ548" i="1"/>
  <c r="CC53" i="2"/>
  <c r="DN561" i="1"/>
  <c r="CO561" i="1"/>
  <c r="CX561" i="1" s="1"/>
  <c r="CQ561" i="1"/>
  <c r="CZ561" i="1" s="1"/>
  <c r="EH579" i="1"/>
  <c r="EJ579" i="1"/>
  <c r="CK579" i="1"/>
  <c r="CR53" i="2"/>
  <c r="DT548" i="1"/>
  <c r="DR548" i="1"/>
  <c r="EH580" i="1"/>
  <c r="EJ580" i="1"/>
  <c r="CK580" i="1"/>
  <c r="AS14" i="29"/>
  <c r="DN573" i="1" l="1"/>
  <c r="CO573" i="1"/>
  <c r="CX573" i="1" s="1"/>
  <c r="CQ573" i="1"/>
  <c r="CZ573" i="1" s="1"/>
  <c r="DN580" i="1"/>
  <c r="CO580" i="1"/>
  <c r="CX580" i="1" s="1"/>
  <c r="CQ580" i="1"/>
  <c r="CZ580" i="1" s="1"/>
  <c r="DN574" i="1"/>
  <c r="CQ574" i="1"/>
  <c r="CZ574" i="1" s="1"/>
  <c r="CO574" i="1"/>
  <c r="CX574" i="1" s="1"/>
  <c r="DN582" i="1"/>
  <c r="CO582" i="1"/>
  <c r="CX582" i="1" s="1"/>
  <c r="CQ582" i="1"/>
  <c r="CZ582" i="1" s="1"/>
  <c r="DN577" i="1"/>
  <c r="CO577" i="1"/>
  <c r="CX577" i="1" s="1"/>
  <c r="CQ577" i="1"/>
  <c r="CZ577" i="1" s="1"/>
  <c r="DR561" i="1"/>
  <c r="EA561" i="1" s="1"/>
  <c r="DT561" i="1"/>
  <c r="EC561" i="1" s="1"/>
  <c r="EJ595" i="1"/>
  <c r="EK595" i="1" s="1"/>
  <c r="EH595" i="1"/>
  <c r="EI595" i="1" s="1"/>
  <c r="CK595" i="1"/>
  <c r="EH588" i="1"/>
  <c r="EJ588" i="1"/>
  <c r="CK588" i="1"/>
  <c r="DN575" i="1"/>
  <c r="CQ575" i="1"/>
  <c r="CZ575" i="1" s="1"/>
  <c r="CO575" i="1"/>
  <c r="CX575" i="1" s="1"/>
  <c r="EJ592" i="1"/>
  <c r="EH592" i="1"/>
  <c r="CK592" i="1"/>
  <c r="DN581" i="1"/>
  <c r="CO581" i="1"/>
  <c r="CX581" i="1" s="1"/>
  <c r="CQ581" i="1"/>
  <c r="CZ581" i="1" s="1"/>
  <c r="DT570" i="1"/>
  <c r="EC570" i="1" s="1"/>
  <c r="DR570" i="1"/>
  <c r="EA570" i="1" s="1"/>
  <c r="EH587" i="1"/>
  <c r="EJ587" i="1"/>
  <c r="CK587" i="1"/>
  <c r="DR562" i="1"/>
  <c r="EA562" i="1" s="1"/>
  <c r="DT562" i="1"/>
  <c r="EC562" i="1" s="1"/>
  <c r="EH584" i="1"/>
  <c r="EJ584" i="1"/>
  <c r="CK584" i="1"/>
  <c r="EH593" i="1"/>
  <c r="EJ593" i="1"/>
  <c r="CK593" i="1"/>
  <c r="EJ590" i="1"/>
  <c r="EH590" i="1"/>
  <c r="CK590" i="1"/>
  <c r="DX53" i="2"/>
  <c r="DR568" i="1"/>
  <c r="EA568" i="1" s="1"/>
  <c r="DT568" i="1"/>
  <c r="EC568" i="1" s="1"/>
  <c r="DT564" i="1"/>
  <c r="EC564" i="1" s="1"/>
  <c r="DR564" i="1"/>
  <c r="EA564" i="1" s="1"/>
  <c r="DT560" i="1"/>
  <c r="EC560" i="1" s="1"/>
  <c r="DR560" i="1"/>
  <c r="EA560" i="1" s="1"/>
  <c r="DN572" i="1"/>
  <c r="CQ572" i="1"/>
  <c r="CZ572" i="1" s="1"/>
  <c r="CO572" i="1"/>
  <c r="CX572" i="1" s="1"/>
  <c r="EC548" i="1"/>
  <c r="CX53" i="2"/>
  <c r="EH585" i="1"/>
  <c r="EJ585" i="1"/>
  <c r="CK585" i="1"/>
  <c r="DN579" i="1"/>
  <c r="CQ579" i="1"/>
  <c r="CZ579" i="1" s="1"/>
  <c r="CO579" i="1"/>
  <c r="CX579" i="1" s="1"/>
  <c r="DT569" i="1"/>
  <c r="EC569" i="1" s="1"/>
  <c r="DR569" i="1"/>
  <c r="EA569" i="1" s="1"/>
  <c r="DR565" i="1"/>
  <c r="EA565" i="1" s="1"/>
  <c r="DT565" i="1"/>
  <c r="EC565" i="1" s="1"/>
  <c r="DT566" i="1"/>
  <c r="EC566" i="1" s="1"/>
  <c r="DR566" i="1"/>
  <c r="EA566" i="1" s="1"/>
  <c r="EH586" i="1"/>
  <c r="EJ586" i="1"/>
  <c r="CK586" i="1"/>
  <c r="EH594" i="1"/>
  <c r="EI594" i="1" s="1"/>
  <c r="EJ594" i="1"/>
  <c r="EK594" i="1" s="1"/>
  <c r="CK594" i="1"/>
  <c r="EJ589" i="1"/>
  <c r="EH589" i="1"/>
  <c r="CK589" i="1"/>
  <c r="EA548" i="1"/>
  <c r="CV53" i="2"/>
  <c r="DN578" i="1"/>
  <c r="CQ578" i="1"/>
  <c r="CZ578" i="1" s="1"/>
  <c r="CO578" i="1"/>
  <c r="CX578" i="1" s="1"/>
  <c r="EH591" i="1"/>
  <c r="EJ591" i="1"/>
  <c r="CK591" i="1"/>
  <c r="DN583" i="1"/>
  <c r="CO583" i="1"/>
  <c r="CX583" i="1" s="1"/>
  <c r="CQ583" i="1"/>
  <c r="CZ583" i="1" s="1"/>
  <c r="DR567" i="1"/>
  <c r="EA567" i="1" s="1"/>
  <c r="DT567" i="1"/>
  <c r="EC567" i="1" s="1"/>
  <c r="DN576" i="1"/>
  <c r="CO576" i="1"/>
  <c r="CX576" i="1" s="1"/>
  <c r="CQ576" i="1"/>
  <c r="CZ576" i="1" s="1"/>
  <c r="DT563" i="1"/>
  <c r="EC563" i="1" s="1"/>
  <c r="DR563" i="1"/>
  <c r="EA563" i="1" s="1"/>
  <c r="DR571" i="1"/>
  <c r="EA571" i="1" s="1"/>
  <c r="DT571" i="1"/>
  <c r="EC571" i="1" s="1"/>
  <c r="AS15" i="29"/>
  <c r="DT572" i="1" l="1"/>
  <c r="EC572" i="1" s="1"/>
  <c r="DR572" i="1"/>
  <c r="EA572" i="1" s="1"/>
  <c r="DN587" i="1"/>
  <c r="CO587" i="1"/>
  <c r="CX587" i="1" s="1"/>
  <c r="CQ587" i="1"/>
  <c r="CZ587" i="1" s="1"/>
  <c r="DN592" i="1"/>
  <c r="CO592" i="1"/>
  <c r="CX592" i="1" s="1"/>
  <c r="CQ592" i="1"/>
  <c r="CZ592" i="1" s="1"/>
  <c r="DT578" i="1"/>
  <c r="EC578" i="1" s="1"/>
  <c r="DR578" i="1"/>
  <c r="EA578" i="1" s="1"/>
  <c r="DT576" i="1"/>
  <c r="EC576" i="1" s="1"/>
  <c r="DR576" i="1"/>
  <c r="EA576" i="1" s="1"/>
  <c r="DN584" i="1"/>
  <c r="CO584" i="1"/>
  <c r="CX584" i="1" s="1"/>
  <c r="CQ584" i="1"/>
  <c r="CZ584" i="1" s="1"/>
  <c r="DT575" i="1"/>
  <c r="EC575" i="1" s="1"/>
  <c r="DR575" i="1"/>
  <c r="EA575" i="1" s="1"/>
  <c r="DR580" i="1"/>
  <c r="EA580" i="1" s="1"/>
  <c r="DT580" i="1"/>
  <c r="EC580" i="1" s="1"/>
  <c r="DN593" i="1"/>
  <c r="CO593" i="1"/>
  <c r="CX593" i="1" s="1"/>
  <c r="CQ593" i="1"/>
  <c r="CZ593" i="1" s="1"/>
  <c r="DR583" i="1"/>
  <c r="EA583" i="1" s="1"/>
  <c r="DT583" i="1"/>
  <c r="EC583" i="1" s="1"/>
  <c r="DN588" i="1"/>
  <c r="CQ588" i="1"/>
  <c r="CZ588" i="1" s="1"/>
  <c r="CO588" i="1"/>
  <c r="CX588" i="1" s="1"/>
  <c r="DR577" i="1"/>
  <c r="EA577" i="1" s="1"/>
  <c r="DT577" i="1"/>
  <c r="EC577" i="1" s="1"/>
  <c r="DN585" i="1"/>
  <c r="CQ585" i="1"/>
  <c r="CZ585" i="1" s="1"/>
  <c r="CO585" i="1"/>
  <c r="CX585" i="1" s="1"/>
  <c r="DN591" i="1"/>
  <c r="CQ591" i="1"/>
  <c r="CZ591" i="1" s="1"/>
  <c r="CO591" i="1"/>
  <c r="CX591" i="1" s="1"/>
  <c r="CP594" i="1"/>
  <c r="CY594" i="1" s="1"/>
  <c r="DN594" i="1"/>
  <c r="CT594" i="1"/>
  <c r="DC594" i="1" s="1"/>
  <c r="CL594" i="1"/>
  <c r="CU594" i="1" s="1"/>
  <c r="CN594" i="1"/>
  <c r="CW594" i="1" s="1"/>
  <c r="CS594" i="1"/>
  <c r="DB594" i="1" s="1"/>
  <c r="CM594" i="1"/>
  <c r="CV594" i="1" s="1"/>
  <c r="CR594" i="1"/>
  <c r="DA594" i="1" s="1"/>
  <c r="CO594" i="1"/>
  <c r="CX594" i="1" s="1"/>
  <c r="CQ594" i="1"/>
  <c r="CZ594" i="1" s="1"/>
  <c r="DR581" i="1"/>
  <c r="EA581" i="1" s="1"/>
  <c r="DT581" i="1"/>
  <c r="EC581" i="1" s="1"/>
  <c r="DR582" i="1"/>
  <c r="EA582" i="1" s="1"/>
  <c r="DT582" i="1"/>
  <c r="EC582" i="1" s="1"/>
  <c r="DR573" i="1"/>
  <c r="EA573" i="1" s="1"/>
  <c r="DT573" i="1"/>
  <c r="EC573" i="1" s="1"/>
  <c r="DT574" i="1"/>
  <c r="EC574" i="1" s="1"/>
  <c r="DR574" i="1"/>
  <c r="EA574" i="1" s="1"/>
  <c r="DT579" i="1"/>
  <c r="EC579" i="1" s="1"/>
  <c r="DR579" i="1"/>
  <c r="EA579" i="1" s="1"/>
  <c r="DN589" i="1"/>
  <c r="CO589" i="1"/>
  <c r="CX589" i="1" s="1"/>
  <c r="CQ589" i="1"/>
  <c r="CZ589" i="1" s="1"/>
  <c r="DN590" i="1"/>
  <c r="CQ590" i="1"/>
  <c r="CZ590" i="1" s="1"/>
  <c r="CO590" i="1"/>
  <c r="CX590" i="1" s="1"/>
  <c r="DN595" i="1"/>
  <c r="CM595" i="1"/>
  <c r="CV595" i="1" s="1"/>
  <c r="CP595" i="1"/>
  <c r="CY595" i="1" s="1"/>
  <c r="CS595" i="1"/>
  <c r="DB595" i="1" s="1"/>
  <c r="CL595" i="1"/>
  <c r="CU595" i="1" s="1"/>
  <c r="CT595" i="1"/>
  <c r="DC595" i="1" s="1"/>
  <c r="CR595" i="1"/>
  <c r="DA595" i="1" s="1"/>
  <c r="CN595" i="1"/>
  <c r="CW595" i="1" s="1"/>
  <c r="CO595" i="1"/>
  <c r="CX595" i="1" s="1"/>
  <c r="CQ595" i="1"/>
  <c r="CZ595" i="1" s="1"/>
  <c r="DN586" i="1"/>
  <c r="CO586" i="1"/>
  <c r="CX586" i="1" s="1"/>
  <c r="CQ586" i="1"/>
  <c r="CZ586" i="1" s="1"/>
  <c r="AS16" i="29"/>
  <c r="DR589" i="1" l="1"/>
  <c r="EA589" i="1" s="1"/>
  <c r="DT589" i="1"/>
  <c r="EC589" i="1" s="1"/>
  <c r="DR592" i="1"/>
  <c r="EA592" i="1" s="1"/>
  <c r="DT592" i="1"/>
  <c r="EC592" i="1" s="1"/>
  <c r="DR593" i="1"/>
  <c r="EA593" i="1" s="1"/>
  <c r="DT593" i="1"/>
  <c r="EC593" i="1" s="1"/>
  <c r="DS594" i="1"/>
  <c r="EB594" i="1" s="1"/>
  <c r="DW594" i="1"/>
  <c r="EF594" i="1" s="1"/>
  <c r="DO594" i="1"/>
  <c r="DX594" i="1" s="1"/>
  <c r="DQ594" i="1"/>
  <c r="DZ594" i="1" s="1"/>
  <c r="DV594" i="1"/>
  <c r="EE594" i="1" s="1"/>
  <c r="DP594" i="1"/>
  <c r="DY594" i="1" s="1"/>
  <c r="DU594" i="1"/>
  <c r="ED594" i="1" s="1"/>
  <c r="DR594" i="1"/>
  <c r="EA594" i="1" s="1"/>
  <c r="DT594" i="1"/>
  <c r="EC594" i="1" s="1"/>
  <c r="DR586" i="1"/>
  <c r="EA586" i="1" s="1"/>
  <c r="DT586" i="1"/>
  <c r="EC586" i="1" s="1"/>
  <c r="DP595" i="1"/>
  <c r="DY595" i="1" s="1"/>
  <c r="DS595" i="1"/>
  <c r="EB595" i="1" s="1"/>
  <c r="DV595" i="1"/>
  <c r="EE595" i="1" s="1"/>
  <c r="DU595" i="1"/>
  <c r="ED595" i="1" s="1"/>
  <c r="DW595" i="1"/>
  <c r="EF595" i="1" s="1"/>
  <c r="DQ595" i="1"/>
  <c r="DZ595" i="1" s="1"/>
  <c r="DO595" i="1"/>
  <c r="DX595" i="1" s="1"/>
  <c r="DR595" i="1"/>
  <c r="EA595" i="1" s="1"/>
  <c r="DT595" i="1"/>
  <c r="EC595" i="1" s="1"/>
  <c r="DT591" i="1"/>
  <c r="EC591" i="1" s="1"/>
  <c r="DR591" i="1"/>
  <c r="EA591" i="1" s="1"/>
  <c r="DR587" i="1"/>
  <c r="EA587" i="1" s="1"/>
  <c r="DT587" i="1"/>
  <c r="EC587" i="1" s="1"/>
  <c r="DR584" i="1"/>
  <c r="EA584" i="1" s="1"/>
  <c r="DT584" i="1"/>
  <c r="EC584" i="1" s="1"/>
  <c r="DT588" i="1"/>
  <c r="EC588" i="1" s="1"/>
  <c r="DR588" i="1"/>
  <c r="EA588" i="1" s="1"/>
  <c r="DT590" i="1"/>
  <c r="EC590" i="1" s="1"/>
  <c r="DR590" i="1"/>
  <c r="EA590" i="1" s="1"/>
  <c r="DT585" i="1"/>
  <c r="EC585" i="1" s="1"/>
  <c r="DR585" i="1"/>
  <c r="EA585" i="1" s="1"/>
  <c r="AS17" i="29"/>
  <c r="AS18" i="29" l="1"/>
  <c r="AS19" i="29" l="1"/>
  <c r="AS20" i="29" l="1"/>
  <c r="AS21" i="29" l="1"/>
  <c r="AS22" i="29" l="1"/>
  <c r="AS23" i="29" l="1"/>
  <c r="AS24" i="29" l="1"/>
  <c r="AS25" i="29" l="1"/>
  <c r="AS26" i="29" l="1"/>
  <c r="AS27" i="29" l="1"/>
  <c r="AS28" i="29" l="1"/>
  <c r="AS29" i="29" s="1"/>
  <c r="AS30" i="29" l="1"/>
  <c r="BF10" i="27"/>
  <c r="BF11" i="27" s="1"/>
  <c r="BF12" i="27" s="1"/>
  <c r="BF13" i="27" s="1"/>
  <c r="BF14" i="27" s="1"/>
  <c r="BF15" i="27" s="1"/>
  <c r="BF16" i="27" s="1"/>
  <c r="BF17" i="27" s="1"/>
  <c r="BF18" i="27" s="1"/>
  <c r="BF19" i="27" s="1"/>
  <c r="BF20" i="27" s="1"/>
  <c r="BF21" i="27" s="1"/>
  <c r="BF22" i="27" s="1"/>
  <c r="BF23" i="27" s="1"/>
  <c r="BF24" i="27" s="1"/>
  <c r="BF25" i="27" s="1"/>
  <c r="BF26" i="27" s="1"/>
  <c r="BF27" i="27" s="1"/>
  <c r="BF28" i="27" s="1"/>
  <c r="BF29" i="27" s="1"/>
  <c r="BE10" i="27"/>
  <c r="BE11" i="27" s="1"/>
  <c r="BE12" i="27" s="1"/>
  <c r="BE13" i="27" s="1"/>
  <c r="BE14" i="27" s="1"/>
  <c r="BE15" i="27" s="1"/>
  <c r="BE16" i="27" s="1"/>
  <c r="BE17" i="27" s="1"/>
  <c r="BE18" i="27" s="1"/>
  <c r="BE19" i="27" s="1"/>
  <c r="BE20" i="27" s="1"/>
  <c r="BE21" i="27" s="1"/>
  <c r="BE22" i="27" s="1"/>
  <c r="BE23" i="27" s="1"/>
  <c r="BE24" i="27" s="1"/>
  <c r="BE25" i="27" s="1"/>
  <c r="BE26" i="27" s="1"/>
  <c r="BE27" i="27" s="1"/>
  <c r="BE28" i="27" s="1"/>
  <c r="BE29" i="27" s="1"/>
  <c r="BE30" i="27" l="1"/>
  <c r="BG29" i="27"/>
  <c r="BF30" i="27"/>
  <c r="BH29" i="27"/>
  <c r="AS31" i="29"/>
  <c r="D34" i="57"/>
  <c r="D35" i="57" s="1"/>
  <c r="D36" i="57" s="1"/>
  <c r="D37" i="57" s="1"/>
  <c r="D38" i="57" s="1"/>
  <c r="D39" i="57" s="1"/>
  <c r="D40" i="57" s="1"/>
  <c r="D41" i="57" s="1"/>
  <c r="D42" i="57" s="1"/>
  <c r="D43" i="57" s="1"/>
  <c r="D44" i="57" s="1"/>
  <c r="D45" i="57" s="1"/>
  <c r="D46" i="57" s="1"/>
  <c r="D47" i="57" s="1"/>
  <c r="D48" i="57" s="1"/>
  <c r="D49" i="57" s="1"/>
  <c r="D50" i="57" s="1"/>
  <c r="D51" i="57" s="1"/>
  <c r="D52" i="57" s="1"/>
  <c r="D53" i="57" s="1"/>
  <c r="D54" i="57" s="1"/>
  <c r="D55" i="57" s="1"/>
  <c r="D56" i="57" s="1"/>
  <c r="D57" i="57" s="1"/>
  <c r="F35" i="57"/>
  <c r="F36" i="57" s="1"/>
  <c r="F37" i="57" s="1"/>
  <c r="F39" i="57" s="1"/>
  <c r="F40" i="57" s="1"/>
  <c r="F41" i="57" s="1"/>
  <c r="F42" i="57" s="1"/>
  <c r="F43" i="57" s="1"/>
  <c r="F44" i="57" s="1"/>
  <c r="F45" i="57" s="1"/>
  <c r="F46" i="57" s="1"/>
  <c r="F47" i="57" s="1"/>
  <c r="F48" i="57" s="1"/>
  <c r="F49" i="57" s="1"/>
  <c r="F50" i="57" s="1"/>
  <c r="F51" i="57" s="1"/>
  <c r="F52" i="57" s="1"/>
  <c r="F53" i="57" s="1"/>
  <c r="F54" i="57" s="1"/>
  <c r="F55" i="57" s="1"/>
  <c r="F56" i="57" s="1"/>
  <c r="F57" i="57" s="1"/>
  <c r="H34" i="57"/>
  <c r="H35" i="57" s="1"/>
  <c r="H36" i="57" s="1"/>
  <c r="H37" i="57" s="1"/>
  <c r="H39" i="57" s="1"/>
  <c r="H40" i="57" s="1"/>
  <c r="H41" i="57" s="1"/>
  <c r="H42" i="57" s="1"/>
  <c r="H43" i="57" s="1"/>
  <c r="H44" i="57" s="1"/>
  <c r="H45" i="57" s="1"/>
  <c r="H46" i="57" s="1"/>
  <c r="H47" i="57" s="1"/>
  <c r="H48" i="57" s="1"/>
  <c r="H49" i="57" s="1"/>
  <c r="H50" i="57" s="1"/>
  <c r="H51" i="57" s="1"/>
  <c r="H52" i="57" s="1"/>
  <c r="H53" i="57" s="1"/>
  <c r="H54" i="57" s="1"/>
  <c r="H55" i="57" s="1"/>
  <c r="H56" i="57" s="1"/>
  <c r="H57" i="57" s="1"/>
  <c r="G34" i="57"/>
  <c r="G35" i="57" s="1"/>
  <c r="G36" i="57" s="1"/>
  <c r="G37" i="57" s="1"/>
  <c r="G39" i="57" s="1"/>
  <c r="G40" i="57" s="1"/>
  <c r="G41" i="57" s="1"/>
  <c r="G42" i="57" s="1"/>
  <c r="G43" i="57" s="1"/>
  <c r="G44" i="57" s="1"/>
  <c r="G45" i="57" s="1"/>
  <c r="G46" i="57" s="1"/>
  <c r="G47" i="57" s="1"/>
  <c r="G48" i="57" s="1"/>
  <c r="G49" i="57" s="1"/>
  <c r="G50" i="57" s="1"/>
  <c r="G51" i="57" s="1"/>
  <c r="G52" i="57" s="1"/>
  <c r="G53" i="57" s="1"/>
  <c r="G54" i="57" s="1"/>
  <c r="G55" i="57" s="1"/>
  <c r="G56" i="57" s="1"/>
  <c r="G57" i="57" s="1"/>
  <c r="F34" i="57"/>
  <c r="E34" i="57"/>
  <c r="E35" i="57" s="1"/>
  <c r="E36" i="57" s="1"/>
  <c r="E37" i="57" s="1"/>
  <c r="E39" i="57" s="1"/>
  <c r="E40" i="57" s="1"/>
  <c r="E41" i="57" s="1"/>
  <c r="E42" i="57" s="1"/>
  <c r="E43" i="57" s="1"/>
  <c r="E44" i="57" s="1"/>
  <c r="E45" i="57" s="1"/>
  <c r="E46" i="57" s="1"/>
  <c r="E47" i="57" s="1"/>
  <c r="E48" i="57" s="1"/>
  <c r="E49" i="57" s="1"/>
  <c r="E50" i="57" s="1"/>
  <c r="E51" i="57" s="1"/>
  <c r="E52" i="57" s="1"/>
  <c r="E53" i="57" s="1"/>
  <c r="E54" i="57" s="1"/>
  <c r="E55" i="57" s="1"/>
  <c r="E56" i="57" s="1"/>
  <c r="E57" i="57" s="1"/>
  <c r="BF31" i="27" l="1"/>
  <c r="BH30" i="27"/>
  <c r="BE31" i="27"/>
  <c r="BG30" i="27"/>
  <c r="AS32" i="29"/>
  <c r="AS33" i="29" s="1"/>
  <c r="AS34" i="29" s="1"/>
  <c r="AS35" i="29" s="1"/>
  <c r="AS36" i="29" s="1"/>
  <c r="AS37" i="29" s="1"/>
  <c r="AS38" i="29" s="1"/>
  <c r="AS39" i="29" s="1"/>
  <c r="AS40" i="29" s="1"/>
  <c r="P5" i="57"/>
  <c r="O5" i="57"/>
  <c r="N5" i="57"/>
  <c r="M5" i="57"/>
  <c r="L5" i="57"/>
  <c r="K5" i="57"/>
  <c r="J5" i="57"/>
  <c r="I5" i="57"/>
  <c r="BE32" i="27" l="1"/>
  <c r="BG31" i="27"/>
  <c r="BF32" i="27"/>
  <c r="BH31" i="27"/>
  <c r="U12" i="59"/>
  <c r="U13" i="59" s="1"/>
  <c r="U14" i="59" s="1"/>
  <c r="U15" i="59" s="1"/>
  <c r="U16" i="59" s="1"/>
  <c r="U17" i="59" s="1"/>
  <c r="U18" i="59" s="1"/>
  <c r="U19" i="59" s="1"/>
  <c r="U20" i="59" s="1"/>
  <c r="U21" i="59" s="1"/>
  <c r="U22" i="59" s="1"/>
  <c r="U23" i="59" s="1"/>
  <c r="U24" i="59" s="1"/>
  <c r="U25" i="59" s="1"/>
  <c r="U26" i="59" s="1"/>
  <c r="U27" i="59" s="1"/>
  <c r="R12" i="59"/>
  <c r="R13" i="59" s="1"/>
  <c r="R14" i="59" s="1"/>
  <c r="R15" i="59" s="1"/>
  <c r="R16" i="59" s="1"/>
  <c r="R17" i="59" s="1"/>
  <c r="R18" i="59" s="1"/>
  <c r="R19" i="59" s="1"/>
  <c r="R20" i="59" s="1"/>
  <c r="R21" i="59" s="1"/>
  <c r="R22" i="59" s="1"/>
  <c r="R23" i="59" s="1"/>
  <c r="R24" i="59" s="1"/>
  <c r="R25" i="59" s="1"/>
  <c r="R26" i="59" s="1"/>
  <c r="R27" i="59" s="1"/>
  <c r="BH32" i="27" l="1"/>
  <c r="BF33" i="27"/>
  <c r="BG32" i="27"/>
  <c r="BE33" i="27"/>
  <c r="R28" i="59"/>
  <c r="Q27" i="59"/>
  <c r="U28" i="59"/>
  <c r="T27" i="59"/>
  <c r="BE34" i="27" l="1"/>
  <c r="BG33" i="27"/>
  <c r="BF34" i="27"/>
  <c r="BH33" i="27"/>
  <c r="T28" i="59"/>
  <c r="U29" i="59"/>
  <c r="Q28" i="59"/>
  <c r="R29" i="59"/>
  <c r="B3" i="57"/>
  <c r="BF35" i="27" l="1"/>
  <c r="BH34" i="27"/>
  <c r="BE35" i="27"/>
  <c r="BG34" i="27"/>
  <c r="R30" i="59"/>
  <c r="Q30" i="59" s="1"/>
  <c r="Q29" i="59"/>
  <c r="U30" i="59"/>
  <c r="T30" i="59" s="1"/>
  <c r="T29" i="59"/>
  <c r="AA36" i="59"/>
  <c r="AQ36" i="59" l="1"/>
  <c r="AS36" i="59"/>
  <c r="AR36" i="59"/>
  <c r="AT36" i="59"/>
  <c r="BG35" i="27"/>
  <c r="BE36" i="27"/>
  <c r="BF36" i="27"/>
  <c r="BH35" i="27"/>
  <c r="AA37" i="59"/>
  <c r="AP36" i="59"/>
  <c r="AO36" i="59"/>
  <c r="AT37" i="59" l="1"/>
  <c r="AS37" i="59"/>
  <c r="AR37" i="59"/>
  <c r="BH36" i="27"/>
  <c r="BF37" i="27"/>
  <c r="BG36" i="27"/>
  <c r="BE37" i="27"/>
  <c r="AQ37" i="59"/>
  <c r="AO37" i="59"/>
  <c r="AP37" i="59"/>
  <c r="AA38" i="59"/>
  <c r="AJ54" i="43"/>
  <c r="AJ63" i="43" s="1"/>
  <c r="AJ53" i="43"/>
  <c r="AJ62" i="43" s="1"/>
  <c r="AJ52" i="43"/>
  <c r="AJ61" i="43" s="1"/>
  <c r="AJ51" i="43"/>
  <c r="AJ50" i="43"/>
  <c r="AJ49" i="43"/>
  <c r="AS38" i="59" l="1"/>
  <c r="AR38" i="59"/>
  <c r="AT38" i="59"/>
  <c r="BE38" i="27"/>
  <c r="BG37" i="27"/>
  <c r="BF38" i="27"/>
  <c r="BH37" i="27"/>
  <c r="AJ67" i="43"/>
  <c r="AJ79" i="43" s="1"/>
  <c r="AJ73" i="43"/>
  <c r="AJ68" i="43"/>
  <c r="AJ80" i="43" s="1"/>
  <c r="AJ74" i="43"/>
  <c r="AJ69" i="43"/>
  <c r="AJ81" i="43" s="1"/>
  <c r="AJ75" i="43"/>
  <c r="AP38" i="59"/>
  <c r="AO38" i="59"/>
  <c r="AQ38" i="59"/>
  <c r="X11" i="59"/>
  <c r="X12" i="59" s="1"/>
  <c r="X13" i="59" s="1"/>
  <c r="X14" i="59" s="1"/>
  <c r="X15" i="59" s="1"/>
  <c r="X16" i="59" s="1"/>
  <c r="X17" i="59" s="1"/>
  <c r="X18" i="59" s="1"/>
  <c r="X19" i="59" s="1"/>
  <c r="X20" i="59" s="1"/>
  <c r="X21" i="59" s="1"/>
  <c r="X22" i="59" s="1"/>
  <c r="X23" i="59" s="1"/>
  <c r="X24" i="59" s="1"/>
  <c r="X25" i="59" s="1"/>
  <c r="X26" i="59" s="1"/>
  <c r="X27" i="59" s="1"/>
  <c r="X28" i="59" s="1"/>
  <c r="X29" i="59" s="1"/>
  <c r="X30" i="59" s="1"/>
  <c r="BH38" i="27" l="1"/>
  <c r="BF39" i="27"/>
  <c r="BG38" i="27"/>
  <c r="BE39" i="27"/>
  <c r="AQ39" i="59"/>
  <c r="AP39" i="59"/>
  <c r="AA40" i="59"/>
  <c r="AO39" i="59"/>
  <c r="AB380" i="1"/>
  <c r="AC380" i="1"/>
  <c r="AD380" i="1"/>
  <c r="AF380" i="1"/>
  <c r="AI380" i="1"/>
  <c r="AJ380" i="1"/>
  <c r="AK380" i="1"/>
  <c r="AB381" i="1"/>
  <c r="AC381" i="1"/>
  <c r="AD381" i="1"/>
  <c r="AF381" i="1"/>
  <c r="AI381" i="1"/>
  <c r="AJ381" i="1"/>
  <c r="AK381" i="1"/>
  <c r="AB382" i="1"/>
  <c r="AC382" i="1"/>
  <c r="AD382" i="1"/>
  <c r="AF382" i="1"/>
  <c r="AI382" i="1"/>
  <c r="AJ382" i="1"/>
  <c r="AK382" i="1"/>
  <c r="AB383" i="1"/>
  <c r="AC383" i="1"/>
  <c r="AD383" i="1"/>
  <c r="AF383" i="1"/>
  <c r="AI383" i="1"/>
  <c r="AJ383" i="1"/>
  <c r="AK383" i="1"/>
  <c r="AB384" i="1"/>
  <c r="AC384" i="1"/>
  <c r="AD384" i="1"/>
  <c r="AF384" i="1"/>
  <c r="AI384" i="1"/>
  <c r="AJ384" i="1"/>
  <c r="AK384" i="1"/>
  <c r="AB385" i="1"/>
  <c r="AC385" i="1"/>
  <c r="AD385" i="1"/>
  <c r="AF385" i="1"/>
  <c r="AI385" i="1"/>
  <c r="AJ385" i="1"/>
  <c r="AK385" i="1"/>
  <c r="AB386" i="1"/>
  <c r="AC386" i="1"/>
  <c r="AD386" i="1"/>
  <c r="AF386" i="1"/>
  <c r="AI386" i="1"/>
  <c r="AJ386" i="1"/>
  <c r="AK386" i="1"/>
  <c r="AB387" i="1"/>
  <c r="AC387" i="1"/>
  <c r="AD387" i="1"/>
  <c r="AF387" i="1"/>
  <c r="AI387" i="1"/>
  <c r="AJ387" i="1"/>
  <c r="AK387" i="1"/>
  <c r="AB388" i="1"/>
  <c r="AC388" i="1"/>
  <c r="AD388" i="1"/>
  <c r="AF388" i="1"/>
  <c r="AI388" i="1"/>
  <c r="AJ388" i="1"/>
  <c r="AK388" i="1"/>
  <c r="AB389" i="1"/>
  <c r="AC389" i="1"/>
  <c r="AD389" i="1"/>
  <c r="AF389" i="1"/>
  <c r="AI389" i="1"/>
  <c r="AJ389" i="1"/>
  <c r="AK389" i="1"/>
  <c r="AB390" i="1"/>
  <c r="AC390" i="1"/>
  <c r="AD390" i="1"/>
  <c r="AF390" i="1"/>
  <c r="AI390" i="1"/>
  <c r="AJ390" i="1"/>
  <c r="AK390" i="1"/>
  <c r="AB391" i="1"/>
  <c r="AC391" i="1"/>
  <c r="AD391" i="1"/>
  <c r="AF391" i="1"/>
  <c r="AI391" i="1"/>
  <c r="AJ391" i="1"/>
  <c r="AK391" i="1"/>
  <c r="AB392" i="1"/>
  <c r="AC392" i="1"/>
  <c r="AD392" i="1"/>
  <c r="AF392" i="1"/>
  <c r="AI392" i="1"/>
  <c r="AJ392" i="1"/>
  <c r="AK392" i="1"/>
  <c r="AB393" i="1"/>
  <c r="AC393" i="1"/>
  <c r="AD393" i="1"/>
  <c r="AF393" i="1"/>
  <c r="AI393" i="1"/>
  <c r="AJ393" i="1"/>
  <c r="AK393" i="1"/>
  <c r="AB394" i="1"/>
  <c r="AC394" i="1"/>
  <c r="AD394" i="1"/>
  <c r="AF394" i="1"/>
  <c r="AI394" i="1"/>
  <c r="AJ394" i="1"/>
  <c r="AK394" i="1"/>
  <c r="AB395" i="1"/>
  <c r="AC395" i="1"/>
  <c r="AD395" i="1"/>
  <c r="AF395" i="1"/>
  <c r="AI395" i="1"/>
  <c r="AJ395" i="1"/>
  <c r="AK395" i="1"/>
  <c r="AB396" i="1"/>
  <c r="AC396" i="1"/>
  <c r="AD396" i="1"/>
  <c r="AF396" i="1"/>
  <c r="AI396" i="1"/>
  <c r="AJ396" i="1"/>
  <c r="AK396" i="1"/>
  <c r="AB397" i="1"/>
  <c r="AC397" i="1"/>
  <c r="AD397" i="1"/>
  <c r="AF397" i="1"/>
  <c r="AI397" i="1"/>
  <c r="AJ397" i="1"/>
  <c r="AK397" i="1"/>
  <c r="AB398" i="1"/>
  <c r="AC398" i="1"/>
  <c r="AD398" i="1"/>
  <c r="AF398" i="1"/>
  <c r="AI398" i="1"/>
  <c r="AJ398" i="1"/>
  <c r="AK398" i="1"/>
  <c r="AB399" i="1"/>
  <c r="AC399" i="1"/>
  <c r="AD399" i="1"/>
  <c r="AF399" i="1"/>
  <c r="AI399" i="1"/>
  <c r="AJ399" i="1"/>
  <c r="AK399" i="1"/>
  <c r="AB400" i="1"/>
  <c r="AC400" i="1"/>
  <c r="AD400" i="1"/>
  <c r="AF400" i="1"/>
  <c r="AI400" i="1"/>
  <c r="AJ400" i="1"/>
  <c r="AK400" i="1"/>
  <c r="AB401" i="1"/>
  <c r="AC401" i="1"/>
  <c r="AD401" i="1"/>
  <c r="AF401" i="1"/>
  <c r="AI401" i="1"/>
  <c r="AJ401" i="1"/>
  <c r="AK401" i="1"/>
  <c r="AB402" i="1"/>
  <c r="AC402" i="1"/>
  <c r="AD402" i="1"/>
  <c r="AF402" i="1"/>
  <c r="AI402" i="1"/>
  <c r="AJ402" i="1"/>
  <c r="AK402" i="1"/>
  <c r="AB403" i="1"/>
  <c r="AC403" i="1"/>
  <c r="AD403" i="1"/>
  <c r="AF403" i="1"/>
  <c r="AI403" i="1"/>
  <c r="AJ403" i="1"/>
  <c r="AK403" i="1"/>
  <c r="AB404" i="1"/>
  <c r="AC404" i="1"/>
  <c r="AD404" i="1"/>
  <c r="AF404" i="1"/>
  <c r="AI404" i="1"/>
  <c r="AJ404" i="1"/>
  <c r="AK404" i="1"/>
  <c r="AB405" i="1"/>
  <c r="AC405" i="1"/>
  <c r="AD405" i="1"/>
  <c r="AF405" i="1"/>
  <c r="AI405" i="1"/>
  <c r="AJ405" i="1"/>
  <c r="AK405" i="1"/>
  <c r="AB406" i="1"/>
  <c r="AC406" i="1"/>
  <c r="AD406" i="1"/>
  <c r="AF406" i="1"/>
  <c r="AI406" i="1"/>
  <c r="AJ406" i="1"/>
  <c r="AK406" i="1"/>
  <c r="AB407" i="1"/>
  <c r="AC407" i="1"/>
  <c r="AD407" i="1"/>
  <c r="AF407" i="1"/>
  <c r="AI407" i="1"/>
  <c r="AJ407" i="1"/>
  <c r="AK407" i="1"/>
  <c r="AB408" i="1"/>
  <c r="AC408" i="1"/>
  <c r="AD408" i="1"/>
  <c r="AF408" i="1"/>
  <c r="AI408" i="1"/>
  <c r="AJ408" i="1"/>
  <c r="AK408" i="1"/>
  <c r="AB409" i="1"/>
  <c r="AC409" i="1"/>
  <c r="AD409" i="1"/>
  <c r="AF409" i="1"/>
  <c r="AI409" i="1"/>
  <c r="AJ409" i="1"/>
  <c r="AK409" i="1"/>
  <c r="AB410" i="1"/>
  <c r="AC410" i="1"/>
  <c r="AD410" i="1"/>
  <c r="AF410" i="1"/>
  <c r="AI410" i="1"/>
  <c r="AJ410" i="1"/>
  <c r="AK410" i="1"/>
  <c r="AB411" i="1"/>
  <c r="AC411" i="1"/>
  <c r="AD411" i="1"/>
  <c r="AF411" i="1"/>
  <c r="AI411" i="1"/>
  <c r="AJ411" i="1"/>
  <c r="AK411" i="1"/>
  <c r="AB412" i="1"/>
  <c r="AC412" i="1"/>
  <c r="AD412" i="1"/>
  <c r="AF412" i="1"/>
  <c r="AI412" i="1"/>
  <c r="AJ412" i="1"/>
  <c r="AK412" i="1"/>
  <c r="AB413" i="1"/>
  <c r="AC413" i="1"/>
  <c r="AD413" i="1"/>
  <c r="AF413" i="1"/>
  <c r="AI413" i="1"/>
  <c r="AJ413" i="1"/>
  <c r="AK413" i="1"/>
  <c r="AB414" i="1"/>
  <c r="AC414" i="1"/>
  <c r="AD414" i="1"/>
  <c r="AF414" i="1"/>
  <c r="AI414" i="1"/>
  <c r="AJ414" i="1"/>
  <c r="AK414" i="1"/>
  <c r="AB415" i="1"/>
  <c r="AC415" i="1"/>
  <c r="AD415" i="1"/>
  <c r="AF415" i="1"/>
  <c r="AI415" i="1"/>
  <c r="AJ415" i="1"/>
  <c r="AK415" i="1"/>
  <c r="AB416" i="1"/>
  <c r="AC416" i="1"/>
  <c r="AD416" i="1"/>
  <c r="AF416" i="1"/>
  <c r="AI416" i="1"/>
  <c r="AJ416" i="1"/>
  <c r="AK416" i="1"/>
  <c r="AB417" i="1"/>
  <c r="AC417" i="1"/>
  <c r="AD417" i="1"/>
  <c r="AF417" i="1"/>
  <c r="AI417" i="1"/>
  <c r="AJ417" i="1"/>
  <c r="AK417" i="1"/>
  <c r="AB418" i="1"/>
  <c r="AC418" i="1"/>
  <c r="AD418" i="1"/>
  <c r="AF418" i="1"/>
  <c r="AI418" i="1"/>
  <c r="AJ418" i="1"/>
  <c r="AK418" i="1"/>
  <c r="AB419" i="1"/>
  <c r="AC419" i="1"/>
  <c r="AD419" i="1"/>
  <c r="AF419" i="1"/>
  <c r="AI419" i="1"/>
  <c r="AJ419" i="1"/>
  <c r="AK419" i="1"/>
  <c r="AB420" i="1"/>
  <c r="AC420" i="1"/>
  <c r="AD420" i="1"/>
  <c r="AF420" i="1"/>
  <c r="AI420" i="1"/>
  <c r="AJ420" i="1"/>
  <c r="AK420" i="1"/>
  <c r="AB421" i="1"/>
  <c r="AC421" i="1"/>
  <c r="AD421" i="1"/>
  <c r="AF421" i="1"/>
  <c r="AI421" i="1"/>
  <c r="AJ421" i="1"/>
  <c r="AK421" i="1"/>
  <c r="AB422" i="1"/>
  <c r="AC422" i="1"/>
  <c r="AD422" i="1"/>
  <c r="AF422" i="1"/>
  <c r="AI422" i="1"/>
  <c r="AJ422" i="1"/>
  <c r="AK422" i="1"/>
  <c r="AB423" i="1"/>
  <c r="AC423" i="1"/>
  <c r="AD423" i="1"/>
  <c r="AF423" i="1"/>
  <c r="AI423" i="1"/>
  <c r="AJ423" i="1"/>
  <c r="AK423" i="1"/>
  <c r="AB424" i="1"/>
  <c r="AC424" i="1"/>
  <c r="AD424" i="1"/>
  <c r="AF424" i="1"/>
  <c r="AI424" i="1"/>
  <c r="AJ424" i="1"/>
  <c r="AK424" i="1"/>
  <c r="AB425" i="1"/>
  <c r="AC425" i="1"/>
  <c r="AD425" i="1"/>
  <c r="AF425" i="1"/>
  <c r="AI425" i="1"/>
  <c r="AJ425" i="1"/>
  <c r="AK425" i="1"/>
  <c r="AB426" i="1"/>
  <c r="AC426" i="1"/>
  <c r="AD426" i="1"/>
  <c r="AF426" i="1"/>
  <c r="AI426" i="1"/>
  <c r="AJ426" i="1"/>
  <c r="AK426" i="1"/>
  <c r="AB427" i="1"/>
  <c r="AC427" i="1"/>
  <c r="AD427" i="1"/>
  <c r="AF427" i="1"/>
  <c r="AI427" i="1"/>
  <c r="AJ427" i="1"/>
  <c r="AK427" i="1"/>
  <c r="AB428" i="1"/>
  <c r="AC428" i="1"/>
  <c r="AD428" i="1"/>
  <c r="AF428" i="1"/>
  <c r="AI428" i="1"/>
  <c r="AJ428" i="1"/>
  <c r="AK428" i="1"/>
  <c r="AB429" i="1"/>
  <c r="AC429" i="1"/>
  <c r="AD429" i="1"/>
  <c r="AF429" i="1"/>
  <c r="AI429" i="1"/>
  <c r="AJ429" i="1"/>
  <c r="AK429" i="1"/>
  <c r="AB430" i="1"/>
  <c r="AC430" i="1"/>
  <c r="AD430" i="1"/>
  <c r="AF430" i="1"/>
  <c r="AI430" i="1"/>
  <c r="AJ430" i="1"/>
  <c r="AK430" i="1"/>
  <c r="AB431" i="1"/>
  <c r="AC431" i="1"/>
  <c r="AD431" i="1"/>
  <c r="AF431" i="1"/>
  <c r="AI431" i="1"/>
  <c r="AJ431" i="1"/>
  <c r="AK431" i="1"/>
  <c r="AB432" i="1"/>
  <c r="AC432" i="1"/>
  <c r="AD432" i="1"/>
  <c r="AF432" i="1"/>
  <c r="AI432" i="1"/>
  <c r="AJ432" i="1"/>
  <c r="AK432" i="1"/>
  <c r="AB433" i="1"/>
  <c r="AC433" i="1"/>
  <c r="AD433" i="1"/>
  <c r="AF433" i="1"/>
  <c r="AI433" i="1"/>
  <c r="AJ433" i="1"/>
  <c r="AK433" i="1"/>
  <c r="AB434" i="1"/>
  <c r="AC434" i="1"/>
  <c r="AD434" i="1"/>
  <c r="AF434" i="1"/>
  <c r="AI434" i="1"/>
  <c r="AJ434" i="1"/>
  <c r="AK434" i="1"/>
  <c r="AB435" i="1"/>
  <c r="AC435" i="1"/>
  <c r="AD435" i="1"/>
  <c r="AF435" i="1"/>
  <c r="AI435" i="1"/>
  <c r="AJ435" i="1"/>
  <c r="AK435" i="1"/>
  <c r="AB436" i="1"/>
  <c r="AC436" i="1"/>
  <c r="AD436" i="1"/>
  <c r="AF436" i="1"/>
  <c r="AI436" i="1"/>
  <c r="AJ436" i="1"/>
  <c r="AK436" i="1"/>
  <c r="AB437" i="1"/>
  <c r="AC437" i="1"/>
  <c r="AD437" i="1"/>
  <c r="AF437" i="1"/>
  <c r="AI437" i="1"/>
  <c r="AJ437" i="1"/>
  <c r="AK437" i="1"/>
  <c r="AB438" i="1"/>
  <c r="AC438" i="1"/>
  <c r="AD438" i="1"/>
  <c r="AF438" i="1"/>
  <c r="AI438" i="1"/>
  <c r="AJ438" i="1"/>
  <c r="AK438" i="1"/>
  <c r="AB439" i="1"/>
  <c r="AC439" i="1"/>
  <c r="AD439" i="1"/>
  <c r="AF439" i="1"/>
  <c r="AI439" i="1"/>
  <c r="AJ439" i="1"/>
  <c r="AK439" i="1"/>
  <c r="AB440" i="1"/>
  <c r="AC440" i="1"/>
  <c r="AD440" i="1"/>
  <c r="AF440" i="1"/>
  <c r="AI440" i="1"/>
  <c r="AJ440" i="1"/>
  <c r="AK440" i="1"/>
  <c r="AB441" i="1"/>
  <c r="AC441" i="1"/>
  <c r="AD441" i="1"/>
  <c r="AF441" i="1"/>
  <c r="AI441" i="1"/>
  <c r="AJ441" i="1"/>
  <c r="AK441" i="1"/>
  <c r="AB442" i="1"/>
  <c r="AC442" i="1"/>
  <c r="AD442" i="1"/>
  <c r="AF442" i="1"/>
  <c r="AI442" i="1"/>
  <c r="AJ442" i="1"/>
  <c r="AK442" i="1"/>
  <c r="AB443" i="1"/>
  <c r="AC443" i="1"/>
  <c r="AD443" i="1"/>
  <c r="AF443" i="1"/>
  <c r="AI443" i="1"/>
  <c r="AJ443" i="1"/>
  <c r="AK443" i="1"/>
  <c r="AB444" i="1"/>
  <c r="AC444" i="1"/>
  <c r="AD444" i="1"/>
  <c r="AF444" i="1"/>
  <c r="AI444" i="1"/>
  <c r="AJ444" i="1"/>
  <c r="AK444" i="1"/>
  <c r="AB445" i="1"/>
  <c r="AC445" i="1"/>
  <c r="AD445" i="1"/>
  <c r="AF445" i="1"/>
  <c r="AI445" i="1"/>
  <c r="AJ445" i="1"/>
  <c r="AK445" i="1"/>
  <c r="AB446" i="1"/>
  <c r="AC446" i="1"/>
  <c r="AD446" i="1"/>
  <c r="AF446" i="1"/>
  <c r="AI446" i="1"/>
  <c r="AJ446" i="1"/>
  <c r="AK446" i="1"/>
  <c r="AB447" i="1"/>
  <c r="AC447" i="1"/>
  <c r="AD447" i="1"/>
  <c r="AF447" i="1"/>
  <c r="AI447" i="1"/>
  <c r="AJ447" i="1"/>
  <c r="AK447" i="1"/>
  <c r="AB448" i="1"/>
  <c r="AC448" i="1"/>
  <c r="AD448" i="1"/>
  <c r="AF448" i="1"/>
  <c r="AI448" i="1"/>
  <c r="AJ448" i="1"/>
  <c r="AK448" i="1"/>
  <c r="AB449" i="1"/>
  <c r="AC449" i="1"/>
  <c r="AD449" i="1"/>
  <c r="AF449" i="1"/>
  <c r="AI449" i="1"/>
  <c r="AJ449" i="1"/>
  <c r="AK449" i="1"/>
  <c r="AB450" i="1"/>
  <c r="AC450" i="1"/>
  <c r="AD450" i="1"/>
  <c r="AF450" i="1"/>
  <c r="AI450" i="1"/>
  <c r="AJ450" i="1"/>
  <c r="AK450" i="1"/>
  <c r="AB451" i="1"/>
  <c r="AC451" i="1"/>
  <c r="AD451" i="1"/>
  <c r="AF451" i="1"/>
  <c r="AI451" i="1"/>
  <c r="AJ451" i="1"/>
  <c r="AK451" i="1"/>
  <c r="AB452" i="1"/>
  <c r="AC452" i="1"/>
  <c r="AD452" i="1"/>
  <c r="AF452" i="1"/>
  <c r="AI452" i="1"/>
  <c r="AJ452" i="1"/>
  <c r="AK452" i="1"/>
  <c r="AB453" i="1"/>
  <c r="AC453" i="1"/>
  <c r="AD453" i="1"/>
  <c r="AF453" i="1"/>
  <c r="AI453" i="1"/>
  <c r="AJ453" i="1"/>
  <c r="AK453" i="1"/>
  <c r="AB454" i="1"/>
  <c r="AC454" i="1"/>
  <c r="AD454" i="1"/>
  <c r="AF454" i="1"/>
  <c r="AI454" i="1"/>
  <c r="AJ454" i="1"/>
  <c r="AK454" i="1"/>
  <c r="AB455" i="1"/>
  <c r="AC455" i="1"/>
  <c r="AD455" i="1"/>
  <c r="AF455" i="1"/>
  <c r="AI455" i="1"/>
  <c r="AJ455" i="1"/>
  <c r="AK455" i="1"/>
  <c r="AB456" i="1"/>
  <c r="AC456" i="1"/>
  <c r="AD456" i="1"/>
  <c r="AF456" i="1"/>
  <c r="AI456" i="1"/>
  <c r="AJ456" i="1"/>
  <c r="AK456" i="1"/>
  <c r="AB457" i="1"/>
  <c r="AC457" i="1"/>
  <c r="AD457" i="1"/>
  <c r="AF457" i="1"/>
  <c r="AI457" i="1"/>
  <c r="AJ457" i="1"/>
  <c r="AK457" i="1"/>
  <c r="AB458" i="1"/>
  <c r="AC458" i="1"/>
  <c r="AD458" i="1"/>
  <c r="AF458" i="1"/>
  <c r="AI458" i="1"/>
  <c r="AJ458" i="1"/>
  <c r="AK458" i="1"/>
  <c r="AB459" i="1"/>
  <c r="AC459" i="1"/>
  <c r="AD459" i="1"/>
  <c r="AF459" i="1"/>
  <c r="AI459" i="1"/>
  <c r="AJ459" i="1"/>
  <c r="AK459" i="1"/>
  <c r="AB460" i="1"/>
  <c r="AC460" i="1"/>
  <c r="AD460" i="1"/>
  <c r="AF460" i="1"/>
  <c r="AI460" i="1"/>
  <c r="AJ460" i="1"/>
  <c r="AK460" i="1"/>
  <c r="AB461" i="1"/>
  <c r="AC461" i="1"/>
  <c r="AD461" i="1"/>
  <c r="AF461" i="1"/>
  <c r="AI461" i="1"/>
  <c r="AJ461" i="1"/>
  <c r="AK461" i="1"/>
  <c r="AB462" i="1"/>
  <c r="AC462" i="1"/>
  <c r="AD462" i="1"/>
  <c r="AF462" i="1"/>
  <c r="AI462" i="1"/>
  <c r="AJ462" i="1"/>
  <c r="AK462" i="1"/>
  <c r="AB463" i="1"/>
  <c r="AC463" i="1"/>
  <c r="AD463" i="1"/>
  <c r="AF463" i="1"/>
  <c r="AI463" i="1"/>
  <c r="AJ463" i="1"/>
  <c r="AK463" i="1"/>
  <c r="AB464" i="1"/>
  <c r="AC464" i="1"/>
  <c r="AD464" i="1"/>
  <c r="AF464" i="1"/>
  <c r="AI464" i="1"/>
  <c r="AJ464" i="1"/>
  <c r="AK464" i="1"/>
  <c r="AB465" i="1"/>
  <c r="AC465" i="1"/>
  <c r="AD465" i="1"/>
  <c r="AF465" i="1"/>
  <c r="AI465" i="1"/>
  <c r="AJ465" i="1"/>
  <c r="AK465" i="1"/>
  <c r="AB466" i="1"/>
  <c r="AC466" i="1"/>
  <c r="AD466" i="1"/>
  <c r="AF466" i="1"/>
  <c r="AI466" i="1"/>
  <c r="AJ466" i="1"/>
  <c r="AK466" i="1"/>
  <c r="AB467" i="1"/>
  <c r="AC467" i="1"/>
  <c r="AD467" i="1"/>
  <c r="AF467" i="1"/>
  <c r="AI467" i="1"/>
  <c r="AJ467" i="1"/>
  <c r="AK467" i="1"/>
  <c r="AB468" i="1"/>
  <c r="AC468" i="1"/>
  <c r="AD468" i="1"/>
  <c r="AF468" i="1"/>
  <c r="AI468" i="1"/>
  <c r="AJ468" i="1"/>
  <c r="AK468" i="1"/>
  <c r="AB469" i="1"/>
  <c r="AC469" i="1"/>
  <c r="AD469" i="1"/>
  <c r="AF469" i="1"/>
  <c r="AI469" i="1"/>
  <c r="AJ469" i="1"/>
  <c r="AK469" i="1"/>
  <c r="AB470" i="1"/>
  <c r="AC470" i="1"/>
  <c r="AD470" i="1"/>
  <c r="AF470" i="1"/>
  <c r="AI470" i="1"/>
  <c r="AJ470" i="1"/>
  <c r="AK470" i="1"/>
  <c r="AB471" i="1"/>
  <c r="AC471" i="1"/>
  <c r="AD471" i="1"/>
  <c r="AF471" i="1"/>
  <c r="AI471" i="1"/>
  <c r="AJ471" i="1"/>
  <c r="AK471" i="1"/>
  <c r="AB472" i="1"/>
  <c r="AC472" i="1"/>
  <c r="AD472" i="1"/>
  <c r="AF472" i="1"/>
  <c r="AI472" i="1"/>
  <c r="AJ472" i="1"/>
  <c r="AK472" i="1"/>
  <c r="AB473" i="1"/>
  <c r="AC473" i="1"/>
  <c r="AD473" i="1"/>
  <c r="AF473" i="1"/>
  <c r="AI473" i="1"/>
  <c r="AJ473" i="1"/>
  <c r="AK473" i="1"/>
  <c r="AB474" i="1"/>
  <c r="AC474" i="1"/>
  <c r="AD474" i="1"/>
  <c r="AF474" i="1"/>
  <c r="AI474" i="1"/>
  <c r="AJ474" i="1"/>
  <c r="AK474" i="1"/>
  <c r="AB475" i="1"/>
  <c r="AC475" i="1"/>
  <c r="AD475" i="1"/>
  <c r="AF475" i="1"/>
  <c r="AI475" i="1"/>
  <c r="AJ475" i="1"/>
  <c r="AK475" i="1"/>
  <c r="AB476" i="1"/>
  <c r="AC476" i="1"/>
  <c r="AD476" i="1"/>
  <c r="AF476" i="1"/>
  <c r="AI476" i="1"/>
  <c r="AJ476" i="1"/>
  <c r="AK476" i="1"/>
  <c r="AB477" i="1"/>
  <c r="AC477" i="1"/>
  <c r="AD477" i="1"/>
  <c r="AF477" i="1"/>
  <c r="AH477" i="1" s="1"/>
  <c r="AI477" i="1"/>
  <c r="AJ477" i="1"/>
  <c r="AK477" i="1"/>
  <c r="AB478" i="1"/>
  <c r="AC478" i="1"/>
  <c r="AD478" i="1"/>
  <c r="AF478" i="1"/>
  <c r="AH478" i="1" s="1"/>
  <c r="AI478" i="1"/>
  <c r="AJ478" i="1"/>
  <c r="AK478" i="1"/>
  <c r="AB479" i="1"/>
  <c r="AC479" i="1"/>
  <c r="AD479" i="1"/>
  <c r="AF479" i="1"/>
  <c r="AH479" i="1" s="1"/>
  <c r="AI479" i="1"/>
  <c r="AJ479" i="1"/>
  <c r="AK479" i="1"/>
  <c r="AB480" i="1"/>
  <c r="AC480" i="1"/>
  <c r="AD480" i="1"/>
  <c r="AF480" i="1"/>
  <c r="AH480" i="1" s="1"/>
  <c r="AI480" i="1"/>
  <c r="AJ480" i="1"/>
  <c r="AK480" i="1"/>
  <c r="AB481" i="1"/>
  <c r="AC481" i="1"/>
  <c r="AD481" i="1"/>
  <c r="AF481" i="1"/>
  <c r="AH481" i="1" s="1"/>
  <c r="AI481" i="1"/>
  <c r="AJ481" i="1"/>
  <c r="AK481" i="1"/>
  <c r="AB482" i="1"/>
  <c r="AC482" i="1"/>
  <c r="AD482" i="1"/>
  <c r="AF482" i="1"/>
  <c r="AH482" i="1" s="1"/>
  <c r="AI482" i="1"/>
  <c r="AJ482" i="1"/>
  <c r="AK482" i="1"/>
  <c r="AB483" i="1"/>
  <c r="AC483" i="1"/>
  <c r="AD483" i="1"/>
  <c r="AF483" i="1"/>
  <c r="AH483" i="1" s="1"/>
  <c r="AI483" i="1"/>
  <c r="AJ483" i="1"/>
  <c r="AK483" i="1"/>
  <c r="AB484" i="1"/>
  <c r="AC484" i="1"/>
  <c r="AD484" i="1"/>
  <c r="AF484" i="1"/>
  <c r="AH484" i="1" s="1"/>
  <c r="AI484" i="1"/>
  <c r="AJ484" i="1"/>
  <c r="AK484" i="1"/>
  <c r="AB485" i="1"/>
  <c r="AC485" i="1"/>
  <c r="AD485" i="1"/>
  <c r="AF485" i="1"/>
  <c r="AH485" i="1" s="1"/>
  <c r="AI485" i="1"/>
  <c r="AJ485" i="1"/>
  <c r="AK485" i="1"/>
  <c r="AB486" i="1"/>
  <c r="AC486" i="1"/>
  <c r="AD486" i="1"/>
  <c r="AF486" i="1"/>
  <c r="AH486" i="1" s="1"/>
  <c r="AI486" i="1"/>
  <c r="AJ486" i="1"/>
  <c r="AK486" i="1"/>
  <c r="AB487" i="1"/>
  <c r="AC487" i="1"/>
  <c r="AD487" i="1"/>
  <c r="AF487" i="1"/>
  <c r="AH487" i="1" s="1"/>
  <c r="AI487" i="1"/>
  <c r="AJ487" i="1"/>
  <c r="AK487" i="1"/>
  <c r="AB488" i="1"/>
  <c r="AC488" i="1"/>
  <c r="AD488" i="1"/>
  <c r="AF488" i="1"/>
  <c r="AI488" i="1"/>
  <c r="AJ488" i="1"/>
  <c r="AK488" i="1"/>
  <c r="AB489" i="1"/>
  <c r="AC489" i="1"/>
  <c r="AD489" i="1"/>
  <c r="AF489" i="1"/>
  <c r="AH489" i="1" s="1"/>
  <c r="AI489" i="1"/>
  <c r="AJ489" i="1"/>
  <c r="AK489" i="1"/>
  <c r="AB490" i="1"/>
  <c r="AC490" i="1"/>
  <c r="AD490" i="1"/>
  <c r="AF490" i="1"/>
  <c r="AH490" i="1" s="1"/>
  <c r="AI490" i="1"/>
  <c r="AJ490" i="1"/>
  <c r="AK490" i="1"/>
  <c r="AB491" i="1"/>
  <c r="AC491" i="1"/>
  <c r="AD491" i="1"/>
  <c r="AF491" i="1"/>
  <c r="AH491" i="1" s="1"/>
  <c r="AI491" i="1"/>
  <c r="AJ491" i="1"/>
  <c r="AK491" i="1"/>
  <c r="AB492" i="1"/>
  <c r="AC492" i="1"/>
  <c r="AD492" i="1"/>
  <c r="AF492" i="1"/>
  <c r="AH492" i="1" s="1"/>
  <c r="AI492" i="1"/>
  <c r="AJ492" i="1"/>
  <c r="AK492" i="1"/>
  <c r="AB493" i="1"/>
  <c r="AC493" i="1"/>
  <c r="AD493" i="1"/>
  <c r="AF493" i="1"/>
  <c r="AH493" i="1" s="1"/>
  <c r="AI493" i="1"/>
  <c r="AJ493" i="1"/>
  <c r="AK493" i="1"/>
  <c r="AB494" i="1"/>
  <c r="AC494" i="1"/>
  <c r="AD494" i="1"/>
  <c r="AF494" i="1"/>
  <c r="AH494" i="1" s="1"/>
  <c r="AI494" i="1"/>
  <c r="AJ494" i="1"/>
  <c r="AK494" i="1"/>
  <c r="AB495" i="1"/>
  <c r="AC495" i="1"/>
  <c r="AD495" i="1"/>
  <c r="AF495" i="1"/>
  <c r="AH495" i="1" s="1"/>
  <c r="AI495" i="1"/>
  <c r="AJ495" i="1"/>
  <c r="AK495" i="1"/>
  <c r="AB496" i="1"/>
  <c r="AC496" i="1"/>
  <c r="AD496" i="1"/>
  <c r="AF496" i="1"/>
  <c r="AH496" i="1" s="1"/>
  <c r="AI496" i="1"/>
  <c r="AJ496" i="1"/>
  <c r="AK496" i="1"/>
  <c r="AB497" i="1"/>
  <c r="AC497" i="1"/>
  <c r="AD497" i="1"/>
  <c r="AF497" i="1"/>
  <c r="AH497" i="1" s="1"/>
  <c r="AI497" i="1"/>
  <c r="AJ497" i="1"/>
  <c r="AK497" i="1"/>
  <c r="AB498" i="1"/>
  <c r="AC498" i="1"/>
  <c r="AD498" i="1"/>
  <c r="AF498" i="1"/>
  <c r="AH498" i="1" s="1"/>
  <c r="AI498" i="1"/>
  <c r="AJ498" i="1"/>
  <c r="AK498" i="1"/>
  <c r="AB499" i="1"/>
  <c r="AC499" i="1"/>
  <c r="AD499" i="1"/>
  <c r="AF499" i="1"/>
  <c r="AH499" i="1" s="1"/>
  <c r="AI499" i="1"/>
  <c r="AJ499" i="1"/>
  <c r="AK499" i="1"/>
  <c r="AB500" i="1"/>
  <c r="AC500" i="1"/>
  <c r="AD500" i="1"/>
  <c r="AF500" i="1"/>
  <c r="AI500" i="1"/>
  <c r="AJ500" i="1"/>
  <c r="AK500" i="1"/>
  <c r="AB501" i="1"/>
  <c r="AC501" i="1"/>
  <c r="AD501" i="1"/>
  <c r="AF501" i="1"/>
  <c r="AH501" i="1" s="1"/>
  <c r="AI501" i="1"/>
  <c r="AJ501" i="1"/>
  <c r="AK501" i="1"/>
  <c r="AB502" i="1"/>
  <c r="AC502" i="1"/>
  <c r="AD502" i="1"/>
  <c r="AF502" i="1"/>
  <c r="AH502" i="1" s="1"/>
  <c r="AI502" i="1"/>
  <c r="AJ502" i="1"/>
  <c r="AK502" i="1"/>
  <c r="AB503" i="1"/>
  <c r="AC503" i="1"/>
  <c r="AD503" i="1"/>
  <c r="AF503" i="1"/>
  <c r="AH503" i="1" s="1"/>
  <c r="AI503" i="1"/>
  <c r="AJ503" i="1"/>
  <c r="AK503" i="1"/>
  <c r="AB504" i="1"/>
  <c r="AC504" i="1"/>
  <c r="AD504" i="1"/>
  <c r="AF504" i="1"/>
  <c r="AH504" i="1" s="1"/>
  <c r="AI504" i="1"/>
  <c r="AJ504" i="1"/>
  <c r="AK504" i="1"/>
  <c r="AB505" i="1"/>
  <c r="AC505" i="1"/>
  <c r="AD505" i="1"/>
  <c r="AF505" i="1"/>
  <c r="AH505" i="1" s="1"/>
  <c r="AI505" i="1"/>
  <c r="AJ505" i="1"/>
  <c r="AK505" i="1"/>
  <c r="AB506" i="1"/>
  <c r="AC506" i="1"/>
  <c r="AD506" i="1"/>
  <c r="AF506" i="1"/>
  <c r="AH506" i="1" s="1"/>
  <c r="AI506" i="1"/>
  <c r="AJ506" i="1"/>
  <c r="AK506" i="1"/>
  <c r="AB507" i="1"/>
  <c r="AC507" i="1"/>
  <c r="AD507" i="1"/>
  <c r="AF507" i="1"/>
  <c r="AH507" i="1" s="1"/>
  <c r="AI507" i="1"/>
  <c r="AJ507" i="1"/>
  <c r="AK507" i="1"/>
  <c r="AB508" i="1"/>
  <c r="AC508" i="1"/>
  <c r="AD508" i="1"/>
  <c r="AF508" i="1"/>
  <c r="AH508" i="1" s="1"/>
  <c r="AI508" i="1"/>
  <c r="AJ508" i="1"/>
  <c r="AK508" i="1"/>
  <c r="AB509" i="1"/>
  <c r="AC509" i="1"/>
  <c r="AD509" i="1"/>
  <c r="AF509" i="1"/>
  <c r="AH509" i="1" s="1"/>
  <c r="AI509" i="1"/>
  <c r="AJ509" i="1"/>
  <c r="AK509" i="1"/>
  <c r="AB510" i="1"/>
  <c r="AC510" i="1"/>
  <c r="AD510" i="1"/>
  <c r="AF510" i="1"/>
  <c r="AH510" i="1" s="1"/>
  <c r="AI510" i="1"/>
  <c r="AJ510" i="1"/>
  <c r="AK510" i="1"/>
  <c r="AB511" i="1"/>
  <c r="AC511" i="1"/>
  <c r="AD511" i="1"/>
  <c r="AF511" i="1"/>
  <c r="AH511" i="1" s="1"/>
  <c r="AI511" i="1"/>
  <c r="AJ511" i="1"/>
  <c r="AK511" i="1"/>
  <c r="AB512" i="1"/>
  <c r="AC512" i="1"/>
  <c r="AD512" i="1"/>
  <c r="AF512" i="1"/>
  <c r="AI512" i="1"/>
  <c r="AJ512" i="1"/>
  <c r="AK512" i="1"/>
  <c r="AB513" i="1"/>
  <c r="AC513" i="1"/>
  <c r="AD513" i="1"/>
  <c r="AF513" i="1"/>
  <c r="AH513" i="1" s="1"/>
  <c r="AI513" i="1"/>
  <c r="AJ513" i="1"/>
  <c r="AK513" i="1"/>
  <c r="AB514" i="1"/>
  <c r="AC514" i="1"/>
  <c r="AD514" i="1"/>
  <c r="AF514" i="1"/>
  <c r="AH514" i="1" s="1"/>
  <c r="AI514" i="1"/>
  <c r="AJ514" i="1"/>
  <c r="AK514" i="1"/>
  <c r="AB515" i="1"/>
  <c r="AC515" i="1"/>
  <c r="AD515" i="1"/>
  <c r="AF515" i="1"/>
  <c r="AH515" i="1" s="1"/>
  <c r="AI515" i="1"/>
  <c r="AJ515" i="1"/>
  <c r="AK515" i="1"/>
  <c r="AB516" i="1"/>
  <c r="AC516" i="1"/>
  <c r="AD516" i="1"/>
  <c r="AF516" i="1"/>
  <c r="AH516" i="1" s="1"/>
  <c r="AI516" i="1"/>
  <c r="AJ516" i="1"/>
  <c r="AK516" i="1"/>
  <c r="AB517" i="1"/>
  <c r="AC517" i="1"/>
  <c r="AD517" i="1"/>
  <c r="AF517" i="1"/>
  <c r="AH517" i="1" s="1"/>
  <c r="AI517" i="1"/>
  <c r="AJ517" i="1"/>
  <c r="AK517" i="1"/>
  <c r="AB518" i="1"/>
  <c r="AC518" i="1"/>
  <c r="AD518" i="1"/>
  <c r="AF518" i="1"/>
  <c r="AH518" i="1" s="1"/>
  <c r="AI518" i="1"/>
  <c r="AJ518" i="1"/>
  <c r="AK518" i="1"/>
  <c r="AB519" i="1"/>
  <c r="AC519" i="1"/>
  <c r="AD519" i="1"/>
  <c r="AF519" i="1"/>
  <c r="AH519" i="1" s="1"/>
  <c r="AI519" i="1"/>
  <c r="AJ519" i="1"/>
  <c r="AK519" i="1"/>
  <c r="AB520" i="1"/>
  <c r="AC520" i="1"/>
  <c r="AD520" i="1"/>
  <c r="AF520" i="1"/>
  <c r="AH520" i="1" s="1"/>
  <c r="AI520" i="1"/>
  <c r="AJ520" i="1"/>
  <c r="AK520" i="1"/>
  <c r="AB521" i="1"/>
  <c r="AC521" i="1"/>
  <c r="AD521" i="1"/>
  <c r="AF521" i="1"/>
  <c r="AH521" i="1" s="1"/>
  <c r="AI521" i="1"/>
  <c r="AJ521" i="1"/>
  <c r="AK521" i="1"/>
  <c r="AB522" i="1"/>
  <c r="AC522" i="1"/>
  <c r="AD522" i="1"/>
  <c r="AF522" i="1"/>
  <c r="AH522" i="1" s="1"/>
  <c r="AI522" i="1"/>
  <c r="AJ522" i="1"/>
  <c r="AK522" i="1"/>
  <c r="AB523" i="1"/>
  <c r="AC523" i="1"/>
  <c r="AD523" i="1"/>
  <c r="AF523" i="1"/>
  <c r="AH523" i="1" s="1"/>
  <c r="AI523" i="1"/>
  <c r="AJ523" i="1"/>
  <c r="AK523" i="1"/>
  <c r="AB524" i="1"/>
  <c r="AC524" i="1"/>
  <c r="AD524" i="1"/>
  <c r="AF524" i="1"/>
  <c r="AH524" i="1" s="1"/>
  <c r="AI524" i="1"/>
  <c r="AJ524" i="1"/>
  <c r="AK524" i="1"/>
  <c r="AB525" i="1"/>
  <c r="AC525" i="1"/>
  <c r="AD525" i="1"/>
  <c r="AF525" i="1"/>
  <c r="AH525" i="1" s="1"/>
  <c r="AI525" i="1"/>
  <c r="AJ525" i="1"/>
  <c r="AK525" i="1"/>
  <c r="AB526" i="1"/>
  <c r="AC526" i="1"/>
  <c r="AD526" i="1"/>
  <c r="AF526" i="1"/>
  <c r="AH526" i="1" s="1"/>
  <c r="AI526" i="1"/>
  <c r="AJ526" i="1"/>
  <c r="AK526" i="1"/>
  <c r="AB527" i="1"/>
  <c r="AC527" i="1"/>
  <c r="AD527" i="1"/>
  <c r="AF527" i="1"/>
  <c r="AH527" i="1" s="1"/>
  <c r="AI527" i="1"/>
  <c r="AJ527" i="1"/>
  <c r="AK527" i="1"/>
  <c r="AB528" i="1"/>
  <c r="AC528" i="1"/>
  <c r="AD528" i="1"/>
  <c r="AF528" i="1"/>
  <c r="AH528" i="1" s="1"/>
  <c r="AI528" i="1"/>
  <c r="AJ528" i="1"/>
  <c r="AK528" i="1"/>
  <c r="AB529" i="1"/>
  <c r="AC529" i="1"/>
  <c r="AD529" i="1"/>
  <c r="AF529" i="1"/>
  <c r="AH529" i="1" s="1"/>
  <c r="AI529" i="1"/>
  <c r="AJ529" i="1"/>
  <c r="AK529" i="1"/>
  <c r="AB530" i="1"/>
  <c r="AC530" i="1"/>
  <c r="AD530" i="1"/>
  <c r="AF530" i="1"/>
  <c r="AH530" i="1" s="1"/>
  <c r="AI530" i="1"/>
  <c r="AJ530" i="1"/>
  <c r="AK530" i="1"/>
  <c r="AB531" i="1"/>
  <c r="AC531" i="1"/>
  <c r="AD531" i="1"/>
  <c r="AF531" i="1"/>
  <c r="AH531" i="1" s="1"/>
  <c r="AI531" i="1"/>
  <c r="AJ531" i="1"/>
  <c r="AK531" i="1"/>
  <c r="AB532" i="1"/>
  <c r="AC532" i="1"/>
  <c r="AD532" i="1"/>
  <c r="AF532" i="1"/>
  <c r="AH532" i="1" s="1"/>
  <c r="AI532" i="1"/>
  <c r="AJ532" i="1"/>
  <c r="AK532" i="1"/>
  <c r="AB533" i="1"/>
  <c r="AC533" i="1"/>
  <c r="AD533" i="1"/>
  <c r="AF533" i="1"/>
  <c r="AH533" i="1" s="1"/>
  <c r="AI533" i="1"/>
  <c r="AJ533" i="1"/>
  <c r="AK533" i="1"/>
  <c r="AB534" i="1"/>
  <c r="AC534" i="1"/>
  <c r="AD534" i="1"/>
  <c r="AF534" i="1"/>
  <c r="AH534" i="1" s="1"/>
  <c r="AI534" i="1"/>
  <c r="AJ534" i="1"/>
  <c r="AK534" i="1"/>
  <c r="AB535" i="1"/>
  <c r="AC535" i="1"/>
  <c r="AD535" i="1"/>
  <c r="AF535" i="1"/>
  <c r="AH535" i="1" s="1"/>
  <c r="AI535" i="1"/>
  <c r="AJ535" i="1"/>
  <c r="AK535" i="1"/>
  <c r="AB536" i="1"/>
  <c r="AC536" i="1"/>
  <c r="AD536" i="1"/>
  <c r="AF536" i="1"/>
  <c r="AH536" i="1" s="1"/>
  <c r="AI536" i="1"/>
  <c r="AJ536" i="1"/>
  <c r="AK536" i="1"/>
  <c r="AB537" i="1"/>
  <c r="AC537" i="1"/>
  <c r="AD537" i="1"/>
  <c r="AF537" i="1"/>
  <c r="AH537" i="1" s="1"/>
  <c r="AI537" i="1"/>
  <c r="AJ537" i="1"/>
  <c r="AK537" i="1"/>
  <c r="AB538" i="1"/>
  <c r="AC538" i="1"/>
  <c r="AD538" i="1"/>
  <c r="AF538" i="1"/>
  <c r="AH538" i="1" s="1"/>
  <c r="AI538" i="1"/>
  <c r="AJ538" i="1"/>
  <c r="AK538" i="1"/>
  <c r="AB539" i="1"/>
  <c r="AC539" i="1"/>
  <c r="AD539" i="1"/>
  <c r="AF539" i="1"/>
  <c r="AH539" i="1" s="1"/>
  <c r="AI539" i="1"/>
  <c r="AJ539" i="1"/>
  <c r="AK539" i="1"/>
  <c r="AB540" i="1"/>
  <c r="AC540" i="1"/>
  <c r="AD540" i="1"/>
  <c r="AF540" i="1"/>
  <c r="AH540" i="1" s="1"/>
  <c r="AI540" i="1"/>
  <c r="AJ540" i="1"/>
  <c r="AK540" i="1"/>
  <c r="AB541" i="1"/>
  <c r="AC541" i="1"/>
  <c r="AD541" i="1"/>
  <c r="AF541" i="1"/>
  <c r="AH541" i="1" s="1"/>
  <c r="AI541" i="1"/>
  <c r="AJ541" i="1"/>
  <c r="AK541" i="1"/>
  <c r="AB542" i="1"/>
  <c r="AC542" i="1"/>
  <c r="AD542" i="1"/>
  <c r="AF542" i="1"/>
  <c r="AH542" i="1" s="1"/>
  <c r="AI542" i="1"/>
  <c r="AJ542" i="1"/>
  <c r="AK542" i="1"/>
  <c r="AB543" i="1"/>
  <c r="AC543" i="1"/>
  <c r="AD543" i="1"/>
  <c r="AF543" i="1"/>
  <c r="AH543" i="1" s="1"/>
  <c r="AI543" i="1"/>
  <c r="AJ543" i="1"/>
  <c r="AK543" i="1"/>
  <c r="AB544" i="1"/>
  <c r="AC544" i="1"/>
  <c r="AD544" i="1"/>
  <c r="AF544" i="1"/>
  <c r="AH544" i="1" s="1"/>
  <c r="AI544" i="1"/>
  <c r="AJ544" i="1"/>
  <c r="AK544" i="1"/>
  <c r="AB545" i="1"/>
  <c r="AC545" i="1"/>
  <c r="AD545" i="1"/>
  <c r="AF545" i="1"/>
  <c r="AH545" i="1" s="1"/>
  <c r="AI545" i="1"/>
  <c r="AJ545" i="1"/>
  <c r="AK545" i="1"/>
  <c r="AB546" i="1"/>
  <c r="AC546" i="1"/>
  <c r="AD546" i="1"/>
  <c r="AF546" i="1"/>
  <c r="AH546" i="1" s="1"/>
  <c r="AI546" i="1"/>
  <c r="AJ546" i="1"/>
  <c r="AK546" i="1"/>
  <c r="AB547" i="1"/>
  <c r="AC547" i="1"/>
  <c r="AD547" i="1"/>
  <c r="AF547" i="1"/>
  <c r="AH547" i="1" s="1"/>
  <c r="AI547" i="1"/>
  <c r="AJ547" i="1"/>
  <c r="AK547" i="1"/>
  <c r="AB548" i="1"/>
  <c r="AC548" i="1"/>
  <c r="AD548" i="1"/>
  <c r="AF548" i="1"/>
  <c r="AH548" i="1" s="1"/>
  <c r="AI548" i="1"/>
  <c r="AJ548" i="1"/>
  <c r="AK548" i="1"/>
  <c r="AB549" i="1"/>
  <c r="AC549" i="1"/>
  <c r="AD549" i="1"/>
  <c r="AF549" i="1"/>
  <c r="AH549" i="1" s="1"/>
  <c r="AI549" i="1"/>
  <c r="AJ549" i="1"/>
  <c r="AK549" i="1"/>
  <c r="AB550" i="1"/>
  <c r="AC550" i="1"/>
  <c r="AD550" i="1"/>
  <c r="AF550" i="1"/>
  <c r="AH550" i="1" s="1"/>
  <c r="AI550" i="1"/>
  <c r="AJ550" i="1"/>
  <c r="AK550" i="1"/>
  <c r="AB551" i="1"/>
  <c r="AC551" i="1"/>
  <c r="AD551" i="1"/>
  <c r="AF551" i="1"/>
  <c r="AH551" i="1" s="1"/>
  <c r="AI551" i="1"/>
  <c r="AJ551" i="1"/>
  <c r="AK551" i="1"/>
  <c r="AB552" i="1"/>
  <c r="AC552" i="1"/>
  <c r="AD552" i="1"/>
  <c r="AF552" i="1"/>
  <c r="AH552" i="1" s="1"/>
  <c r="AI552" i="1"/>
  <c r="AJ552" i="1"/>
  <c r="AK552" i="1"/>
  <c r="AB553" i="1"/>
  <c r="AC553" i="1"/>
  <c r="AD553" i="1"/>
  <c r="AF553" i="1"/>
  <c r="AH553" i="1" s="1"/>
  <c r="AI553" i="1"/>
  <c r="AJ553" i="1"/>
  <c r="AK553" i="1"/>
  <c r="AB554" i="1"/>
  <c r="AC554" i="1"/>
  <c r="AD554" i="1"/>
  <c r="AF554" i="1"/>
  <c r="AH554" i="1" s="1"/>
  <c r="AI554" i="1"/>
  <c r="AJ554" i="1"/>
  <c r="AK554" i="1"/>
  <c r="AB555" i="1"/>
  <c r="AC555" i="1"/>
  <c r="AD555" i="1"/>
  <c r="AF555" i="1"/>
  <c r="AH555" i="1" s="1"/>
  <c r="AI555" i="1"/>
  <c r="AJ555" i="1"/>
  <c r="AK555" i="1"/>
  <c r="AB556" i="1"/>
  <c r="AC556" i="1"/>
  <c r="AD556" i="1"/>
  <c r="AF556" i="1"/>
  <c r="AH556" i="1" s="1"/>
  <c r="AI556" i="1"/>
  <c r="AJ556" i="1"/>
  <c r="AK556" i="1"/>
  <c r="AB557" i="1"/>
  <c r="AC557" i="1"/>
  <c r="AD557" i="1"/>
  <c r="AF557" i="1"/>
  <c r="AH557" i="1" s="1"/>
  <c r="AI557" i="1"/>
  <c r="AJ557" i="1"/>
  <c r="AK557" i="1"/>
  <c r="AB558" i="1"/>
  <c r="AC558" i="1"/>
  <c r="AD558" i="1"/>
  <c r="AF558" i="1"/>
  <c r="AH558" i="1" s="1"/>
  <c r="AI558" i="1"/>
  <c r="AJ558" i="1"/>
  <c r="AK558" i="1"/>
  <c r="AB559" i="1"/>
  <c r="AC559" i="1"/>
  <c r="AD559" i="1"/>
  <c r="AF559" i="1"/>
  <c r="AH559" i="1" s="1"/>
  <c r="AI559" i="1"/>
  <c r="AJ559" i="1"/>
  <c r="AK559" i="1"/>
  <c r="AB560" i="1"/>
  <c r="AC560" i="1"/>
  <c r="AD560" i="1"/>
  <c r="AF560" i="1"/>
  <c r="AH560" i="1" s="1"/>
  <c r="AI560" i="1"/>
  <c r="AJ560" i="1"/>
  <c r="AK560" i="1"/>
  <c r="AB561" i="1"/>
  <c r="AC561" i="1"/>
  <c r="AD561" i="1"/>
  <c r="AF561" i="1"/>
  <c r="AH561" i="1" s="1"/>
  <c r="AI561" i="1"/>
  <c r="AJ561" i="1"/>
  <c r="AK561" i="1"/>
  <c r="AB562" i="1"/>
  <c r="AC562" i="1"/>
  <c r="AD562" i="1"/>
  <c r="AF562" i="1"/>
  <c r="AH562" i="1" s="1"/>
  <c r="AI562" i="1"/>
  <c r="AJ562" i="1"/>
  <c r="AK562" i="1"/>
  <c r="AB563" i="1"/>
  <c r="AC563" i="1"/>
  <c r="AD563" i="1"/>
  <c r="AF563" i="1"/>
  <c r="AH563" i="1" s="1"/>
  <c r="AI563" i="1"/>
  <c r="AJ563" i="1"/>
  <c r="AK563" i="1"/>
  <c r="AB564" i="1"/>
  <c r="AC564" i="1"/>
  <c r="AD564" i="1"/>
  <c r="AF564" i="1"/>
  <c r="AH564" i="1" s="1"/>
  <c r="AI564" i="1"/>
  <c r="AJ564" i="1"/>
  <c r="AK564" i="1"/>
  <c r="AB565" i="1"/>
  <c r="AC565" i="1"/>
  <c r="AD565" i="1"/>
  <c r="AF565" i="1"/>
  <c r="AH565" i="1" s="1"/>
  <c r="AI565" i="1"/>
  <c r="AJ565" i="1"/>
  <c r="AK565" i="1"/>
  <c r="AB566" i="1"/>
  <c r="AC566" i="1"/>
  <c r="AD566" i="1"/>
  <c r="AF566" i="1"/>
  <c r="AH566" i="1" s="1"/>
  <c r="AI566" i="1"/>
  <c r="AJ566" i="1"/>
  <c r="AK566" i="1"/>
  <c r="AB567" i="1"/>
  <c r="AC567" i="1"/>
  <c r="AD567" i="1"/>
  <c r="AF567" i="1"/>
  <c r="AH567" i="1" s="1"/>
  <c r="AI567" i="1"/>
  <c r="AJ567" i="1"/>
  <c r="AK567" i="1"/>
  <c r="AB568" i="1"/>
  <c r="AC568" i="1"/>
  <c r="AD568" i="1"/>
  <c r="AF568" i="1"/>
  <c r="AH568" i="1" s="1"/>
  <c r="AI568" i="1"/>
  <c r="AJ568" i="1"/>
  <c r="AK568" i="1"/>
  <c r="AB569" i="1"/>
  <c r="AC569" i="1"/>
  <c r="AD569" i="1"/>
  <c r="AF569" i="1"/>
  <c r="AH569" i="1" s="1"/>
  <c r="AI569" i="1"/>
  <c r="AJ569" i="1"/>
  <c r="AK569" i="1"/>
  <c r="AB570" i="1"/>
  <c r="AC570" i="1"/>
  <c r="AD570" i="1"/>
  <c r="AF570" i="1"/>
  <c r="AH570" i="1" s="1"/>
  <c r="AI570" i="1"/>
  <c r="AJ570" i="1"/>
  <c r="AK570" i="1"/>
  <c r="AB571" i="1"/>
  <c r="AC571" i="1"/>
  <c r="AD571" i="1"/>
  <c r="AF571" i="1"/>
  <c r="AH571" i="1" s="1"/>
  <c r="AI571" i="1"/>
  <c r="AJ571" i="1"/>
  <c r="AK571" i="1"/>
  <c r="AB572" i="1"/>
  <c r="AC572" i="1"/>
  <c r="AD572" i="1"/>
  <c r="AF572" i="1"/>
  <c r="AH572" i="1" s="1"/>
  <c r="AI572" i="1"/>
  <c r="AJ572" i="1"/>
  <c r="AK572" i="1"/>
  <c r="AB573" i="1"/>
  <c r="AC573" i="1"/>
  <c r="AD573" i="1"/>
  <c r="AF573" i="1"/>
  <c r="AH573" i="1" s="1"/>
  <c r="AI573" i="1"/>
  <c r="AJ573" i="1"/>
  <c r="AK573" i="1"/>
  <c r="AB574" i="1"/>
  <c r="AC574" i="1"/>
  <c r="AD574" i="1"/>
  <c r="AF574" i="1"/>
  <c r="AH574" i="1" s="1"/>
  <c r="AI574" i="1"/>
  <c r="AJ574" i="1"/>
  <c r="AK574" i="1"/>
  <c r="AB575" i="1"/>
  <c r="AC575" i="1"/>
  <c r="AD575" i="1"/>
  <c r="AF575" i="1"/>
  <c r="AH575" i="1" s="1"/>
  <c r="AI575" i="1"/>
  <c r="AJ575" i="1"/>
  <c r="AK575" i="1"/>
  <c r="AB576" i="1"/>
  <c r="AC576" i="1"/>
  <c r="AD576" i="1"/>
  <c r="AF576" i="1"/>
  <c r="AH576" i="1" s="1"/>
  <c r="AI576" i="1"/>
  <c r="AJ576" i="1"/>
  <c r="AK576" i="1"/>
  <c r="AB577" i="1"/>
  <c r="AC577" i="1"/>
  <c r="AD577" i="1"/>
  <c r="AF577" i="1"/>
  <c r="AH577" i="1" s="1"/>
  <c r="AI577" i="1"/>
  <c r="AJ577" i="1"/>
  <c r="AK577" i="1"/>
  <c r="AB578" i="1"/>
  <c r="AC578" i="1"/>
  <c r="AD578" i="1"/>
  <c r="AF578" i="1"/>
  <c r="AH578" i="1" s="1"/>
  <c r="AI578" i="1"/>
  <c r="AJ578" i="1"/>
  <c r="AK578" i="1"/>
  <c r="AB579" i="1"/>
  <c r="AC579" i="1"/>
  <c r="AD579" i="1"/>
  <c r="AF579" i="1"/>
  <c r="AH579" i="1" s="1"/>
  <c r="AI579" i="1"/>
  <c r="AJ579" i="1"/>
  <c r="AK579" i="1"/>
  <c r="AB580" i="1"/>
  <c r="AC580" i="1"/>
  <c r="AD580" i="1"/>
  <c r="AF580" i="1"/>
  <c r="AH580" i="1" s="1"/>
  <c r="AI580" i="1"/>
  <c r="AJ580" i="1"/>
  <c r="AK580" i="1"/>
  <c r="AB581" i="1"/>
  <c r="AC581" i="1"/>
  <c r="AD581" i="1"/>
  <c r="AF581" i="1"/>
  <c r="AH581" i="1" s="1"/>
  <c r="AI581" i="1"/>
  <c r="AJ581" i="1"/>
  <c r="AK581" i="1"/>
  <c r="AB582" i="1"/>
  <c r="AC582" i="1"/>
  <c r="AD582" i="1"/>
  <c r="AF582" i="1"/>
  <c r="AH582" i="1" s="1"/>
  <c r="AI582" i="1"/>
  <c r="AJ582" i="1"/>
  <c r="AK582" i="1"/>
  <c r="AB583" i="1"/>
  <c r="AC583" i="1"/>
  <c r="AD583" i="1"/>
  <c r="AF583" i="1"/>
  <c r="AH583" i="1" s="1"/>
  <c r="AI583" i="1"/>
  <c r="AJ583" i="1"/>
  <c r="AK583" i="1"/>
  <c r="AB584" i="1"/>
  <c r="AC584" i="1"/>
  <c r="AD584" i="1"/>
  <c r="AF584" i="1"/>
  <c r="AH584" i="1" s="1"/>
  <c r="AI584" i="1"/>
  <c r="AJ584" i="1"/>
  <c r="AK584" i="1"/>
  <c r="AB585" i="1"/>
  <c r="AC585" i="1"/>
  <c r="AD585" i="1"/>
  <c r="AF585" i="1"/>
  <c r="AH585" i="1" s="1"/>
  <c r="AI585" i="1"/>
  <c r="AJ585" i="1"/>
  <c r="AK585" i="1"/>
  <c r="AB586" i="1"/>
  <c r="AC586" i="1"/>
  <c r="AD586" i="1"/>
  <c r="AF586" i="1"/>
  <c r="AH586" i="1" s="1"/>
  <c r="AI586" i="1"/>
  <c r="AJ586" i="1"/>
  <c r="AK586" i="1"/>
  <c r="AB587" i="1"/>
  <c r="AC587" i="1"/>
  <c r="AD587" i="1"/>
  <c r="AF587" i="1"/>
  <c r="AH587" i="1" s="1"/>
  <c r="AI587" i="1"/>
  <c r="AJ587" i="1"/>
  <c r="AK587" i="1"/>
  <c r="AB588" i="1"/>
  <c r="AC588" i="1"/>
  <c r="AD588" i="1"/>
  <c r="AF588" i="1"/>
  <c r="AH588" i="1" s="1"/>
  <c r="AI588" i="1"/>
  <c r="AJ588" i="1"/>
  <c r="AK588" i="1"/>
  <c r="AB589" i="1"/>
  <c r="AC589" i="1"/>
  <c r="AD589" i="1"/>
  <c r="AF589" i="1"/>
  <c r="AH589" i="1" s="1"/>
  <c r="AI589" i="1"/>
  <c r="AJ589" i="1"/>
  <c r="AK589" i="1"/>
  <c r="AB590" i="1"/>
  <c r="AC590" i="1"/>
  <c r="AD590" i="1"/>
  <c r="AF590" i="1"/>
  <c r="AH590" i="1" s="1"/>
  <c r="AI590" i="1"/>
  <c r="AJ590" i="1"/>
  <c r="AK590" i="1"/>
  <c r="AB591" i="1"/>
  <c r="AC591" i="1"/>
  <c r="AD591" i="1"/>
  <c r="AF591" i="1"/>
  <c r="AH591" i="1" s="1"/>
  <c r="AI591" i="1"/>
  <c r="AJ591" i="1"/>
  <c r="AK591" i="1"/>
  <c r="AB592" i="1"/>
  <c r="AC592" i="1"/>
  <c r="AD592" i="1"/>
  <c r="AF592" i="1"/>
  <c r="AH592" i="1" s="1"/>
  <c r="AI592" i="1"/>
  <c r="AJ592" i="1"/>
  <c r="AK592" i="1"/>
  <c r="AB593" i="1"/>
  <c r="AC593" i="1"/>
  <c r="AD593" i="1"/>
  <c r="AF593" i="1"/>
  <c r="AH593" i="1" s="1"/>
  <c r="AI593" i="1"/>
  <c r="AJ593" i="1"/>
  <c r="AK593" i="1"/>
  <c r="G43" i="34" l="1"/>
  <c r="AH488" i="1"/>
  <c r="I43" i="34" s="1"/>
  <c r="X48" i="2" s="1"/>
  <c r="I39" i="43" s="1"/>
  <c r="BQ12" i="43" s="1"/>
  <c r="G45" i="34"/>
  <c r="AH512" i="1"/>
  <c r="I45" i="34" s="1"/>
  <c r="X50" i="2" s="1"/>
  <c r="I41" i="43" s="1"/>
  <c r="BS12" i="43" s="1"/>
  <c r="G44" i="34"/>
  <c r="AH500" i="1"/>
  <c r="I44" i="34" s="1"/>
  <c r="X49" i="2" s="1"/>
  <c r="I40" i="43" s="1"/>
  <c r="BR12" i="43" s="1"/>
  <c r="G42" i="34"/>
  <c r="AH476" i="1"/>
  <c r="I42" i="34" s="1"/>
  <c r="X47" i="2" s="1"/>
  <c r="I38" i="43" s="1"/>
  <c r="G41" i="34"/>
  <c r="AH464" i="1"/>
  <c r="AH452" i="1"/>
  <c r="AH440" i="1"/>
  <c r="AH428" i="1"/>
  <c r="AH416" i="1"/>
  <c r="AH404" i="1"/>
  <c r="AH392" i="1"/>
  <c r="AH380" i="1"/>
  <c r="AH469" i="1"/>
  <c r="AH457" i="1"/>
  <c r="AH445" i="1"/>
  <c r="AH433" i="1"/>
  <c r="AH421" i="1"/>
  <c r="AH409" i="1"/>
  <c r="AH397" i="1"/>
  <c r="AH385" i="1"/>
  <c r="AH474" i="1"/>
  <c r="AH462" i="1"/>
  <c r="AH450" i="1"/>
  <c r="AH438" i="1"/>
  <c r="AH426" i="1"/>
  <c r="AH414" i="1"/>
  <c r="AH402" i="1"/>
  <c r="AH390" i="1"/>
  <c r="AH467" i="1"/>
  <c r="AH455" i="1"/>
  <c r="AH443" i="1"/>
  <c r="AH431" i="1"/>
  <c r="AH419" i="1"/>
  <c r="AH407" i="1"/>
  <c r="AH395" i="1"/>
  <c r="AH383" i="1"/>
  <c r="AH472" i="1"/>
  <c r="AH460" i="1"/>
  <c r="AH448" i="1"/>
  <c r="AH436" i="1"/>
  <c r="AH424" i="1"/>
  <c r="AH412" i="1"/>
  <c r="AH400" i="1"/>
  <c r="AH388" i="1"/>
  <c r="AH465" i="1"/>
  <c r="AH453" i="1"/>
  <c r="AH441" i="1"/>
  <c r="AH429" i="1"/>
  <c r="AH417" i="1"/>
  <c r="AH405" i="1"/>
  <c r="AH393" i="1"/>
  <c r="AH381" i="1"/>
  <c r="AH470" i="1"/>
  <c r="AH458" i="1"/>
  <c r="AH446" i="1"/>
  <c r="AH434" i="1"/>
  <c r="AH422" i="1"/>
  <c r="AH410" i="1"/>
  <c r="AH398" i="1"/>
  <c r="AH386" i="1"/>
  <c r="AH475" i="1"/>
  <c r="AH463" i="1"/>
  <c r="AH451" i="1"/>
  <c r="AH439" i="1"/>
  <c r="AH427" i="1"/>
  <c r="AH415" i="1"/>
  <c r="AH403" i="1"/>
  <c r="AH391" i="1"/>
  <c r="AH468" i="1"/>
  <c r="AH456" i="1"/>
  <c r="AH444" i="1"/>
  <c r="AH432" i="1"/>
  <c r="AH420" i="1"/>
  <c r="AH408" i="1"/>
  <c r="AH396" i="1"/>
  <c r="AH384" i="1"/>
  <c r="AH473" i="1"/>
  <c r="AH461" i="1"/>
  <c r="AH449" i="1"/>
  <c r="AH437" i="1"/>
  <c r="AH425" i="1"/>
  <c r="AH413" i="1"/>
  <c r="AH401" i="1"/>
  <c r="AH389" i="1"/>
  <c r="AH466" i="1"/>
  <c r="AH454" i="1"/>
  <c r="AH442" i="1"/>
  <c r="AH430" i="1"/>
  <c r="AH418" i="1"/>
  <c r="AH406" i="1"/>
  <c r="AH394" i="1"/>
  <c r="AH382" i="1"/>
  <c r="AH471" i="1"/>
  <c r="AH459" i="1"/>
  <c r="AH447" i="1"/>
  <c r="AH435" i="1"/>
  <c r="AH423" i="1"/>
  <c r="AH411" i="1"/>
  <c r="AH399" i="1"/>
  <c r="AH387" i="1"/>
  <c r="G40" i="34"/>
  <c r="N40" i="34" s="1"/>
  <c r="G39" i="34"/>
  <c r="N39" i="34" s="1"/>
  <c r="DS589" i="1"/>
  <c r="EB589" i="1" s="1"/>
  <c r="CP589" i="1"/>
  <c r="CY589" i="1" s="1"/>
  <c r="EN589" i="1"/>
  <c r="EI589" i="1"/>
  <c r="EK589" i="1"/>
  <c r="DQ572" i="1"/>
  <c r="DZ572" i="1" s="1"/>
  <c r="CN572" i="1"/>
  <c r="CW572" i="1" s="1"/>
  <c r="DW556" i="1"/>
  <c r="EF556" i="1" s="1"/>
  <c r="CT556" i="1"/>
  <c r="DC556" i="1" s="1"/>
  <c r="DO538" i="1"/>
  <c r="DX538" i="1" s="1"/>
  <c r="CL538" i="1"/>
  <c r="CU538" i="1" s="1"/>
  <c r="DS517" i="1"/>
  <c r="EB517" i="1" s="1"/>
  <c r="CP517" i="1"/>
  <c r="CY517" i="1" s="1"/>
  <c r="EN517" i="1"/>
  <c r="EK517" i="1"/>
  <c r="EI517" i="1"/>
  <c r="DO502" i="1"/>
  <c r="DX502" i="1" s="1"/>
  <c r="CL502" i="1"/>
  <c r="CU502" i="1" s="1"/>
  <c r="DO490" i="1"/>
  <c r="DX490" i="1" s="1"/>
  <c r="CL490" i="1"/>
  <c r="CU490" i="1" s="1"/>
  <c r="DU474" i="1"/>
  <c r="ED474" i="1" s="1"/>
  <c r="CR474" i="1"/>
  <c r="DA474" i="1" s="1"/>
  <c r="DU462" i="1"/>
  <c r="ED462" i="1" s="1"/>
  <c r="CR462" i="1"/>
  <c r="DA462" i="1" s="1"/>
  <c r="DV431" i="1"/>
  <c r="EE431" i="1" s="1"/>
  <c r="CS431" i="1"/>
  <c r="DB431" i="1" s="1"/>
  <c r="DS582" i="1"/>
  <c r="EB582" i="1" s="1"/>
  <c r="CP582" i="1"/>
  <c r="CY582" i="1" s="1"/>
  <c r="EN582" i="1"/>
  <c r="EK582" i="1"/>
  <c r="EI582" i="1"/>
  <c r="DO567" i="1"/>
  <c r="DX567" i="1" s="1"/>
  <c r="CL567" i="1"/>
  <c r="CU567" i="1" s="1"/>
  <c r="DQ553" i="1"/>
  <c r="DZ553" i="1" s="1"/>
  <c r="CN553" i="1"/>
  <c r="CW553" i="1" s="1"/>
  <c r="DP536" i="1"/>
  <c r="CM536" i="1"/>
  <c r="DV520" i="1"/>
  <c r="EE520" i="1" s="1"/>
  <c r="CS520" i="1"/>
  <c r="DB520" i="1" s="1"/>
  <c r="DU503" i="1"/>
  <c r="ED503" i="1" s="1"/>
  <c r="CR503" i="1"/>
  <c r="DA503" i="1" s="1"/>
  <c r="DV484" i="1"/>
  <c r="EE484" i="1" s="1"/>
  <c r="CS484" i="1"/>
  <c r="DB484" i="1" s="1"/>
  <c r="DV436" i="1"/>
  <c r="EE436" i="1" s="1"/>
  <c r="CS436" i="1"/>
  <c r="DB436" i="1" s="1"/>
  <c r="DO584" i="1"/>
  <c r="DX584" i="1" s="1"/>
  <c r="CL584" i="1"/>
  <c r="CU584" i="1" s="1"/>
  <c r="DU568" i="1"/>
  <c r="ED568" i="1" s="1"/>
  <c r="CR568" i="1"/>
  <c r="DA568" i="1" s="1"/>
  <c r="DS551" i="1"/>
  <c r="EB551" i="1" s="1"/>
  <c r="CP551" i="1"/>
  <c r="CY551" i="1" s="1"/>
  <c r="EN551" i="1"/>
  <c r="EK551" i="1"/>
  <c r="EI551" i="1"/>
  <c r="DP529" i="1"/>
  <c r="DY529" i="1" s="1"/>
  <c r="CM529" i="1"/>
  <c r="CV529" i="1" s="1"/>
  <c r="DS503" i="1"/>
  <c r="EB503" i="1" s="1"/>
  <c r="CP503" i="1"/>
  <c r="CY503" i="1" s="1"/>
  <c r="EN503" i="1"/>
  <c r="EI503" i="1"/>
  <c r="EK503" i="1"/>
  <c r="DQ474" i="1"/>
  <c r="DZ474" i="1" s="1"/>
  <c r="CN474" i="1"/>
  <c r="CW474" i="1" s="1"/>
  <c r="DO593" i="1"/>
  <c r="DX593" i="1" s="1"/>
  <c r="CL593" i="1"/>
  <c r="CU593" i="1" s="1"/>
  <c r="DQ591" i="1"/>
  <c r="DZ591" i="1" s="1"/>
  <c r="CN591" i="1"/>
  <c r="CW591" i="1" s="1"/>
  <c r="DU589" i="1"/>
  <c r="ED589" i="1" s="1"/>
  <c r="CR589" i="1"/>
  <c r="DA589" i="1" s="1"/>
  <c r="DW587" i="1"/>
  <c r="EF587" i="1" s="1"/>
  <c r="CT587" i="1"/>
  <c r="DC587" i="1" s="1"/>
  <c r="DP586" i="1"/>
  <c r="DY586" i="1" s="1"/>
  <c r="CM586" i="1"/>
  <c r="CV586" i="1" s="1"/>
  <c r="DS584" i="1"/>
  <c r="EB584" i="1" s="1"/>
  <c r="CP584" i="1"/>
  <c r="CY584" i="1" s="1"/>
  <c r="EN584" i="1"/>
  <c r="EI584" i="1"/>
  <c r="EK584" i="1"/>
  <c r="DV582" i="1"/>
  <c r="EE582" i="1" s="1"/>
  <c r="CS582" i="1"/>
  <c r="DB582" i="1" s="1"/>
  <c r="DO581" i="1"/>
  <c r="DX581" i="1" s="1"/>
  <c r="CL581" i="1"/>
  <c r="CU581" i="1" s="1"/>
  <c r="DQ579" i="1"/>
  <c r="DZ579" i="1" s="1"/>
  <c r="CN579" i="1"/>
  <c r="CW579" i="1" s="1"/>
  <c r="DU577" i="1"/>
  <c r="ED577" i="1" s="1"/>
  <c r="CR577" i="1"/>
  <c r="DA577" i="1" s="1"/>
  <c r="DW575" i="1"/>
  <c r="EF575" i="1" s="1"/>
  <c r="CT575" i="1"/>
  <c r="DC575" i="1" s="1"/>
  <c r="DP574" i="1"/>
  <c r="DY574" i="1" s="1"/>
  <c r="CM574" i="1"/>
  <c r="CV574" i="1" s="1"/>
  <c r="DS572" i="1"/>
  <c r="EB572" i="1" s="1"/>
  <c r="CP572" i="1"/>
  <c r="CY572" i="1" s="1"/>
  <c r="EN572" i="1"/>
  <c r="EK572" i="1"/>
  <c r="EI572" i="1"/>
  <c r="DV570" i="1"/>
  <c r="EE570" i="1" s="1"/>
  <c r="CS570" i="1"/>
  <c r="DB570" i="1" s="1"/>
  <c r="DO569" i="1"/>
  <c r="DX569" i="1" s="1"/>
  <c r="CL569" i="1"/>
  <c r="CU569" i="1" s="1"/>
  <c r="DQ567" i="1"/>
  <c r="DZ567" i="1" s="1"/>
  <c r="CN567" i="1"/>
  <c r="CW567" i="1" s="1"/>
  <c r="DU565" i="1"/>
  <c r="ED565" i="1" s="1"/>
  <c r="CR565" i="1"/>
  <c r="DA565" i="1" s="1"/>
  <c r="DW563" i="1"/>
  <c r="EF563" i="1" s="1"/>
  <c r="CT563" i="1"/>
  <c r="DC563" i="1" s="1"/>
  <c r="DP562" i="1"/>
  <c r="DY562" i="1" s="1"/>
  <c r="CM562" i="1"/>
  <c r="CV562" i="1" s="1"/>
  <c r="DS560" i="1"/>
  <c r="EB560" i="1" s="1"/>
  <c r="CP560" i="1"/>
  <c r="CY560" i="1" s="1"/>
  <c r="EN560" i="1"/>
  <c r="EK560" i="1"/>
  <c r="EI560" i="1"/>
  <c r="DV558" i="1"/>
  <c r="EE558" i="1" s="1"/>
  <c r="CS558" i="1"/>
  <c r="DB558" i="1" s="1"/>
  <c r="DO557" i="1"/>
  <c r="DX557" i="1" s="1"/>
  <c r="CL557" i="1"/>
  <c r="CU557" i="1" s="1"/>
  <c r="DQ555" i="1"/>
  <c r="DZ555" i="1" s="1"/>
  <c r="CN555" i="1"/>
  <c r="CW555" i="1" s="1"/>
  <c r="DU553" i="1"/>
  <c r="ED553" i="1" s="1"/>
  <c r="CR553" i="1"/>
  <c r="DA553" i="1" s="1"/>
  <c r="DW551" i="1"/>
  <c r="EF551" i="1" s="1"/>
  <c r="CT551" i="1"/>
  <c r="DC551" i="1" s="1"/>
  <c r="DP550" i="1"/>
  <c r="DY550" i="1" s="1"/>
  <c r="CM550" i="1"/>
  <c r="CV550" i="1" s="1"/>
  <c r="DS548" i="1"/>
  <c r="CP548" i="1"/>
  <c r="EN548" i="1"/>
  <c r="EI548" i="1"/>
  <c r="EK548" i="1"/>
  <c r="DV546" i="1"/>
  <c r="EE546" i="1" s="1"/>
  <c r="CS546" i="1"/>
  <c r="DB546" i="1" s="1"/>
  <c r="DO545" i="1"/>
  <c r="DX545" i="1" s="1"/>
  <c r="CL545" i="1"/>
  <c r="CU545" i="1" s="1"/>
  <c r="DQ543" i="1"/>
  <c r="DZ543" i="1" s="1"/>
  <c r="CN543" i="1"/>
  <c r="CW543" i="1" s="1"/>
  <c r="DU541" i="1"/>
  <c r="ED541" i="1" s="1"/>
  <c r="CR541" i="1"/>
  <c r="DA541" i="1" s="1"/>
  <c r="DW539" i="1"/>
  <c r="EF539" i="1" s="1"/>
  <c r="CT539" i="1"/>
  <c r="DC539" i="1" s="1"/>
  <c r="DP538" i="1"/>
  <c r="DY538" i="1" s="1"/>
  <c r="CM538" i="1"/>
  <c r="CV538" i="1" s="1"/>
  <c r="DS536" i="1"/>
  <c r="CP536" i="1"/>
  <c r="EN536" i="1"/>
  <c r="EK536" i="1"/>
  <c r="EI536" i="1"/>
  <c r="DV534" i="1"/>
  <c r="EE534" i="1" s="1"/>
  <c r="CS534" i="1"/>
  <c r="DB534" i="1" s="1"/>
  <c r="DO533" i="1"/>
  <c r="DX533" i="1" s="1"/>
  <c r="CL533" i="1"/>
  <c r="CU533" i="1" s="1"/>
  <c r="DQ531" i="1"/>
  <c r="DZ531" i="1" s="1"/>
  <c r="CN531" i="1"/>
  <c r="CW531" i="1" s="1"/>
  <c r="DU529" i="1"/>
  <c r="ED529" i="1" s="1"/>
  <c r="CR529" i="1"/>
  <c r="DA529" i="1" s="1"/>
  <c r="DW527" i="1"/>
  <c r="EF527" i="1" s="1"/>
  <c r="CT527" i="1"/>
  <c r="DC527" i="1" s="1"/>
  <c r="DP526" i="1"/>
  <c r="DY526" i="1" s="1"/>
  <c r="CM526" i="1"/>
  <c r="CV526" i="1" s="1"/>
  <c r="DS524" i="1"/>
  <c r="CP524" i="1"/>
  <c r="EN524" i="1"/>
  <c r="EI524" i="1"/>
  <c r="EK524" i="1"/>
  <c r="DV522" i="1"/>
  <c r="EE522" i="1" s="1"/>
  <c r="CS522" i="1"/>
  <c r="DB522" i="1" s="1"/>
  <c r="DO521" i="1"/>
  <c r="DX521" i="1" s="1"/>
  <c r="CL521" i="1"/>
  <c r="CU521" i="1" s="1"/>
  <c r="DQ519" i="1"/>
  <c r="DZ519" i="1" s="1"/>
  <c r="CN519" i="1"/>
  <c r="CW519" i="1" s="1"/>
  <c r="DU517" i="1"/>
  <c r="ED517" i="1" s="1"/>
  <c r="CR517" i="1"/>
  <c r="DA517" i="1" s="1"/>
  <c r="DW515" i="1"/>
  <c r="EF515" i="1" s="1"/>
  <c r="CT515" i="1"/>
  <c r="DC515" i="1" s="1"/>
  <c r="DP514" i="1"/>
  <c r="DY514" i="1" s="1"/>
  <c r="CM514" i="1"/>
  <c r="CV514" i="1" s="1"/>
  <c r="DS512" i="1"/>
  <c r="CP512" i="1"/>
  <c r="EN512" i="1"/>
  <c r="EI512" i="1"/>
  <c r="EK512" i="1"/>
  <c r="DV510" i="1"/>
  <c r="EE510" i="1" s="1"/>
  <c r="CS510" i="1"/>
  <c r="DB510" i="1" s="1"/>
  <c r="DO509" i="1"/>
  <c r="DX509" i="1" s="1"/>
  <c r="CL509" i="1"/>
  <c r="CU509" i="1" s="1"/>
  <c r="DQ507" i="1"/>
  <c r="DZ507" i="1" s="1"/>
  <c r="CN507" i="1"/>
  <c r="CW507" i="1" s="1"/>
  <c r="DU505" i="1"/>
  <c r="ED505" i="1" s="1"/>
  <c r="CR505" i="1"/>
  <c r="DA505" i="1" s="1"/>
  <c r="DW503" i="1"/>
  <c r="EF503" i="1" s="1"/>
  <c r="CT503" i="1"/>
  <c r="DC503" i="1" s="1"/>
  <c r="DP502" i="1"/>
  <c r="DY502" i="1" s="1"/>
  <c r="CM502" i="1"/>
  <c r="CV502" i="1" s="1"/>
  <c r="DS500" i="1"/>
  <c r="CP500" i="1"/>
  <c r="EN500" i="1"/>
  <c r="EK500" i="1"/>
  <c r="EI500" i="1"/>
  <c r="DV498" i="1"/>
  <c r="EE498" i="1" s="1"/>
  <c r="CS498" i="1"/>
  <c r="DB498" i="1" s="1"/>
  <c r="DO497" i="1"/>
  <c r="DX497" i="1" s="1"/>
  <c r="CL497" i="1"/>
  <c r="CU497" i="1" s="1"/>
  <c r="DQ495" i="1"/>
  <c r="DZ495" i="1" s="1"/>
  <c r="CN495" i="1"/>
  <c r="CW495" i="1" s="1"/>
  <c r="DU493" i="1"/>
  <c r="ED493" i="1" s="1"/>
  <c r="CR493" i="1"/>
  <c r="DA493" i="1" s="1"/>
  <c r="DW491" i="1"/>
  <c r="EF491" i="1" s="1"/>
  <c r="CT491" i="1"/>
  <c r="DC491" i="1" s="1"/>
  <c r="DP490" i="1"/>
  <c r="DY490" i="1" s="1"/>
  <c r="CM490" i="1"/>
  <c r="CV490" i="1" s="1"/>
  <c r="DS488" i="1"/>
  <c r="CP488" i="1"/>
  <c r="EN488" i="1"/>
  <c r="EK488" i="1"/>
  <c r="EI488" i="1"/>
  <c r="DV486" i="1"/>
  <c r="EE486" i="1" s="1"/>
  <c r="CS486" i="1"/>
  <c r="DB486" i="1" s="1"/>
  <c r="DO485" i="1"/>
  <c r="DX485" i="1" s="1"/>
  <c r="CL485" i="1"/>
  <c r="CU485" i="1" s="1"/>
  <c r="DQ483" i="1"/>
  <c r="DZ483" i="1" s="1"/>
  <c r="CN483" i="1"/>
  <c r="CW483" i="1" s="1"/>
  <c r="DU481" i="1"/>
  <c r="ED481" i="1" s="1"/>
  <c r="CR481" i="1"/>
  <c r="DA481" i="1" s="1"/>
  <c r="DW479" i="1"/>
  <c r="EF479" i="1" s="1"/>
  <c r="CT479" i="1"/>
  <c r="DC479" i="1" s="1"/>
  <c r="DP478" i="1"/>
  <c r="DY478" i="1" s="1"/>
  <c r="CM478" i="1"/>
  <c r="CV478" i="1" s="1"/>
  <c r="DS476" i="1"/>
  <c r="CP476" i="1"/>
  <c r="EN476" i="1"/>
  <c r="EK476" i="1"/>
  <c r="EI476" i="1"/>
  <c r="DV474" i="1"/>
  <c r="EE474" i="1" s="1"/>
  <c r="CS474" i="1"/>
  <c r="DB474" i="1" s="1"/>
  <c r="DO473" i="1"/>
  <c r="DX473" i="1" s="1"/>
  <c r="CL473" i="1"/>
  <c r="CU473" i="1" s="1"/>
  <c r="DQ471" i="1"/>
  <c r="DZ471" i="1" s="1"/>
  <c r="CN471" i="1"/>
  <c r="CW471" i="1" s="1"/>
  <c r="DU469" i="1"/>
  <c r="ED469" i="1" s="1"/>
  <c r="CR469" i="1"/>
  <c r="DA469" i="1" s="1"/>
  <c r="DW467" i="1"/>
  <c r="EF467" i="1" s="1"/>
  <c r="CT467" i="1"/>
  <c r="DC467" i="1" s="1"/>
  <c r="DP466" i="1"/>
  <c r="DY466" i="1" s="1"/>
  <c r="CM466" i="1"/>
  <c r="CV466" i="1" s="1"/>
  <c r="DS464" i="1"/>
  <c r="CP464" i="1"/>
  <c r="EN464" i="1"/>
  <c r="EI464" i="1"/>
  <c r="EK464" i="1"/>
  <c r="DV462" i="1"/>
  <c r="EE462" i="1" s="1"/>
  <c r="CS462" i="1"/>
  <c r="DB462" i="1" s="1"/>
  <c r="DO461" i="1"/>
  <c r="DX461" i="1" s="1"/>
  <c r="CL461" i="1"/>
  <c r="CU461" i="1" s="1"/>
  <c r="DQ459" i="1"/>
  <c r="DZ459" i="1" s="1"/>
  <c r="CN459" i="1"/>
  <c r="CW459" i="1" s="1"/>
  <c r="DU457" i="1"/>
  <c r="ED457" i="1" s="1"/>
  <c r="CR457" i="1"/>
  <c r="DA457" i="1" s="1"/>
  <c r="DW455" i="1"/>
  <c r="EF455" i="1" s="1"/>
  <c r="CT455" i="1"/>
  <c r="DC455" i="1" s="1"/>
  <c r="DP454" i="1"/>
  <c r="DY454" i="1" s="1"/>
  <c r="CM454" i="1"/>
  <c r="CV454" i="1" s="1"/>
  <c r="DV450" i="1"/>
  <c r="EE450" i="1" s="1"/>
  <c r="CS450" i="1"/>
  <c r="DB450" i="1" s="1"/>
  <c r="DO449" i="1"/>
  <c r="DX449" i="1" s="1"/>
  <c r="CL449" i="1"/>
  <c r="CU449" i="1" s="1"/>
  <c r="DQ447" i="1"/>
  <c r="DZ447" i="1" s="1"/>
  <c r="CN447" i="1"/>
  <c r="CW447" i="1" s="1"/>
  <c r="DU445" i="1"/>
  <c r="ED445" i="1" s="1"/>
  <c r="CR445" i="1"/>
  <c r="DA445" i="1" s="1"/>
  <c r="DW443" i="1"/>
  <c r="EF443" i="1" s="1"/>
  <c r="CT443" i="1"/>
  <c r="DC443" i="1" s="1"/>
  <c r="DP442" i="1"/>
  <c r="DY442" i="1" s="1"/>
  <c r="CM442" i="1"/>
  <c r="CV442" i="1" s="1"/>
  <c r="DV438" i="1"/>
  <c r="EE438" i="1" s="1"/>
  <c r="CS438" i="1"/>
  <c r="DB438" i="1" s="1"/>
  <c r="DO437" i="1"/>
  <c r="DX437" i="1" s="1"/>
  <c r="CL437" i="1"/>
  <c r="CU437" i="1" s="1"/>
  <c r="DQ435" i="1"/>
  <c r="DZ435" i="1" s="1"/>
  <c r="CN435" i="1"/>
  <c r="CW435" i="1" s="1"/>
  <c r="DU433" i="1"/>
  <c r="ED433" i="1" s="1"/>
  <c r="CR433" i="1"/>
  <c r="DA433" i="1" s="1"/>
  <c r="DW431" i="1"/>
  <c r="EF431" i="1" s="1"/>
  <c r="CT431" i="1"/>
  <c r="DC431" i="1" s="1"/>
  <c r="DP430" i="1"/>
  <c r="DY430" i="1" s="1"/>
  <c r="CM430" i="1"/>
  <c r="CV430" i="1" s="1"/>
  <c r="DP591" i="1"/>
  <c r="DY591" i="1" s="1"/>
  <c r="CM591" i="1"/>
  <c r="CV591" i="1" s="1"/>
  <c r="DV587" i="1"/>
  <c r="EE587" i="1" s="1"/>
  <c r="CS587" i="1"/>
  <c r="DB587" i="1" s="1"/>
  <c r="DU582" i="1"/>
  <c r="ED582" i="1" s="1"/>
  <c r="CR582" i="1"/>
  <c r="DA582" i="1" s="1"/>
  <c r="DV575" i="1"/>
  <c r="EE575" i="1" s="1"/>
  <c r="CS575" i="1"/>
  <c r="DB575" i="1" s="1"/>
  <c r="DU570" i="1"/>
  <c r="ED570" i="1" s="1"/>
  <c r="CR570" i="1"/>
  <c r="DA570" i="1" s="1"/>
  <c r="DS565" i="1"/>
  <c r="EB565" i="1" s="1"/>
  <c r="CP565" i="1"/>
  <c r="CY565" i="1" s="1"/>
  <c r="EN565" i="1"/>
  <c r="EK565" i="1"/>
  <c r="EI565" i="1"/>
  <c r="DV563" i="1"/>
  <c r="EE563" i="1" s="1"/>
  <c r="CS563" i="1"/>
  <c r="DB563" i="1" s="1"/>
  <c r="DP555" i="1"/>
  <c r="DY555" i="1" s="1"/>
  <c r="CM555" i="1"/>
  <c r="CV555" i="1" s="1"/>
  <c r="DO550" i="1"/>
  <c r="DX550" i="1" s="1"/>
  <c r="CL550" i="1"/>
  <c r="CU550" i="1" s="1"/>
  <c r="DU546" i="1"/>
  <c r="ED546" i="1" s="1"/>
  <c r="CR546" i="1"/>
  <c r="DA546" i="1" s="1"/>
  <c r="DS541" i="1"/>
  <c r="EB541" i="1" s="1"/>
  <c r="CP541" i="1"/>
  <c r="CY541" i="1" s="1"/>
  <c r="EN541" i="1"/>
  <c r="EK541" i="1"/>
  <c r="EI541" i="1"/>
  <c r="DU534" i="1"/>
  <c r="ED534" i="1" s="1"/>
  <c r="CR534" i="1"/>
  <c r="DA534" i="1" s="1"/>
  <c r="DS529" i="1"/>
  <c r="EB529" i="1" s="1"/>
  <c r="CP529" i="1"/>
  <c r="CY529" i="1" s="1"/>
  <c r="EN529" i="1"/>
  <c r="EK529" i="1"/>
  <c r="EI529" i="1"/>
  <c r="DQ524" i="1"/>
  <c r="CN524" i="1"/>
  <c r="DP519" i="1"/>
  <c r="DY519" i="1" s="1"/>
  <c r="CM519" i="1"/>
  <c r="CV519" i="1" s="1"/>
  <c r="DO514" i="1"/>
  <c r="DX514" i="1" s="1"/>
  <c r="CL514" i="1"/>
  <c r="CU514" i="1" s="1"/>
  <c r="DP507" i="1"/>
  <c r="DY507" i="1" s="1"/>
  <c r="CM507" i="1"/>
  <c r="CV507" i="1" s="1"/>
  <c r="DU498" i="1"/>
  <c r="ED498" i="1" s="1"/>
  <c r="CR498" i="1"/>
  <c r="DA498" i="1" s="1"/>
  <c r="DS493" i="1"/>
  <c r="EB493" i="1" s="1"/>
  <c r="CP493" i="1"/>
  <c r="CY493" i="1" s="1"/>
  <c r="EN493" i="1"/>
  <c r="EI493" i="1"/>
  <c r="EK493" i="1"/>
  <c r="DU486" i="1"/>
  <c r="ED486" i="1" s="1"/>
  <c r="CR486" i="1"/>
  <c r="DA486" i="1" s="1"/>
  <c r="DO478" i="1"/>
  <c r="DX478" i="1" s="1"/>
  <c r="CL478" i="1"/>
  <c r="CU478" i="1" s="1"/>
  <c r="DW472" i="1"/>
  <c r="EF472" i="1" s="1"/>
  <c r="CT472" i="1"/>
  <c r="DC472" i="1" s="1"/>
  <c r="DS469" i="1"/>
  <c r="EB469" i="1" s="1"/>
  <c r="CP469" i="1"/>
  <c r="CY469" i="1" s="1"/>
  <c r="EN469" i="1"/>
  <c r="EK469" i="1"/>
  <c r="EI469" i="1"/>
  <c r="DQ464" i="1"/>
  <c r="CN464" i="1"/>
  <c r="DW448" i="1"/>
  <c r="EF448" i="1" s="1"/>
  <c r="CT448" i="1"/>
  <c r="DC448" i="1" s="1"/>
  <c r="DV443" i="1"/>
  <c r="EE443" i="1" s="1"/>
  <c r="CS443" i="1"/>
  <c r="DB443" i="1" s="1"/>
  <c r="DO442" i="1"/>
  <c r="DX442" i="1" s="1"/>
  <c r="CL442" i="1"/>
  <c r="CU442" i="1" s="1"/>
  <c r="DP435" i="1"/>
  <c r="DY435" i="1" s="1"/>
  <c r="CM435" i="1"/>
  <c r="CV435" i="1" s="1"/>
  <c r="DQ428" i="1"/>
  <c r="CN428" i="1"/>
  <c r="DO591" i="1"/>
  <c r="DX591" i="1" s="1"/>
  <c r="CL591" i="1"/>
  <c r="CU591" i="1" s="1"/>
  <c r="DV568" i="1"/>
  <c r="EE568" i="1" s="1"/>
  <c r="CS568" i="1"/>
  <c r="DB568" i="1" s="1"/>
  <c r="DU539" i="1"/>
  <c r="ED539" i="1" s="1"/>
  <c r="CR539" i="1"/>
  <c r="DA539" i="1" s="1"/>
  <c r="DQ493" i="1"/>
  <c r="DZ493" i="1" s="1"/>
  <c r="CN493" i="1"/>
  <c r="CW493" i="1" s="1"/>
  <c r="DS486" i="1"/>
  <c r="EB486" i="1" s="1"/>
  <c r="CP486" i="1"/>
  <c r="CY486" i="1" s="1"/>
  <c r="EN486" i="1"/>
  <c r="EK486" i="1"/>
  <c r="EI486" i="1"/>
  <c r="DQ481" i="1"/>
  <c r="DZ481" i="1" s="1"/>
  <c r="CN481" i="1"/>
  <c r="CW481" i="1" s="1"/>
  <c r="DW477" i="1"/>
  <c r="EF477" i="1" s="1"/>
  <c r="CT477" i="1"/>
  <c r="DC477" i="1" s="1"/>
  <c r="DQ469" i="1"/>
  <c r="DZ469" i="1" s="1"/>
  <c r="CN469" i="1"/>
  <c r="CW469" i="1" s="1"/>
  <c r="DP464" i="1"/>
  <c r="CM464" i="1"/>
  <c r="DO459" i="1"/>
  <c r="DX459" i="1" s="1"/>
  <c r="CL459" i="1"/>
  <c r="CU459" i="1" s="1"/>
  <c r="DW453" i="1"/>
  <c r="EF453" i="1" s="1"/>
  <c r="CT453" i="1"/>
  <c r="DC453" i="1" s="1"/>
  <c r="DO447" i="1"/>
  <c r="DX447" i="1" s="1"/>
  <c r="CL447" i="1"/>
  <c r="CU447" i="1" s="1"/>
  <c r="DO435" i="1"/>
  <c r="DX435" i="1" s="1"/>
  <c r="CL435" i="1"/>
  <c r="CU435" i="1" s="1"/>
  <c r="DW429" i="1"/>
  <c r="EF429" i="1" s="1"/>
  <c r="CT429" i="1"/>
  <c r="DC429" i="1" s="1"/>
  <c r="DU592" i="1"/>
  <c r="ED592" i="1" s="1"/>
  <c r="CR592" i="1"/>
  <c r="DA592" i="1" s="1"/>
  <c r="DP589" i="1"/>
  <c r="DY589" i="1" s="1"/>
  <c r="CM589" i="1"/>
  <c r="CV589" i="1" s="1"/>
  <c r="DQ582" i="1"/>
  <c r="DZ582" i="1" s="1"/>
  <c r="CN582" i="1"/>
  <c r="CW582" i="1" s="1"/>
  <c r="DP577" i="1"/>
  <c r="DY577" i="1" s="1"/>
  <c r="CM577" i="1"/>
  <c r="CV577" i="1" s="1"/>
  <c r="DV573" i="1"/>
  <c r="EE573" i="1" s="1"/>
  <c r="CS573" i="1"/>
  <c r="DB573" i="1" s="1"/>
  <c r="DP565" i="1"/>
  <c r="DY565" i="1" s="1"/>
  <c r="CM565" i="1"/>
  <c r="CV565" i="1" s="1"/>
  <c r="DQ558" i="1"/>
  <c r="DZ558" i="1" s="1"/>
  <c r="CN558" i="1"/>
  <c r="CW558" i="1" s="1"/>
  <c r="DU556" i="1"/>
  <c r="ED556" i="1" s="1"/>
  <c r="CR556" i="1"/>
  <c r="DA556" i="1" s="1"/>
  <c r="DW554" i="1"/>
  <c r="EF554" i="1" s="1"/>
  <c r="CT554" i="1"/>
  <c r="DC554" i="1" s="1"/>
  <c r="DV549" i="1"/>
  <c r="EE549" i="1" s="1"/>
  <c r="CS549" i="1"/>
  <c r="DB549" i="1" s="1"/>
  <c r="DP541" i="1"/>
  <c r="DY541" i="1" s="1"/>
  <c r="CM541" i="1"/>
  <c r="CV541" i="1" s="1"/>
  <c r="DV537" i="1"/>
  <c r="EE537" i="1" s="1"/>
  <c r="CS537" i="1"/>
  <c r="DB537" i="1" s="1"/>
  <c r="DQ534" i="1"/>
  <c r="DZ534" i="1" s="1"/>
  <c r="CN534" i="1"/>
  <c r="CW534" i="1" s="1"/>
  <c r="DU532" i="1"/>
  <c r="ED532" i="1" s="1"/>
  <c r="CR532" i="1"/>
  <c r="DA532" i="1" s="1"/>
  <c r="DS527" i="1"/>
  <c r="EB527" i="1" s="1"/>
  <c r="CP527" i="1"/>
  <c r="CY527" i="1" s="1"/>
  <c r="EN527" i="1"/>
  <c r="EK527" i="1"/>
  <c r="EI527" i="1"/>
  <c r="DQ522" i="1"/>
  <c r="DZ522" i="1" s="1"/>
  <c r="CN522" i="1"/>
  <c r="CW522" i="1" s="1"/>
  <c r="DU520" i="1"/>
  <c r="ED520" i="1" s="1"/>
  <c r="CR520" i="1"/>
  <c r="DA520" i="1" s="1"/>
  <c r="DP517" i="1"/>
  <c r="DY517" i="1" s="1"/>
  <c r="CM517" i="1"/>
  <c r="CV517" i="1" s="1"/>
  <c r="DO512" i="1"/>
  <c r="CL512" i="1"/>
  <c r="DW506" i="1"/>
  <c r="EF506" i="1" s="1"/>
  <c r="CT506" i="1"/>
  <c r="DC506" i="1" s="1"/>
  <c r="DP505" i="1"/>
  <c r="DY505" i="1" s="1"/>
  <c r="CM505" i="1"/>
  <c r="CV505" i="1" s="1"/>
  <c r="DQ498" i="1"/>
  <c r="DZ498" i="1" s="1"/>
  <c r="CN498" i="1"/>
  <c r="CW498" i="1" s="1"/>
  <c r="DU496" i="1"/>
  <c r="ED496" i="1" s="1"/>
  <c r="CR496" i="1"/>
  <c r="DA496" i="1" s="1"/>
  <c r="DW494" i="1"/>
  <c r="EF494" i="1" s="1"/>
  <c r="CT494" i="1"/>
  <c r="DC494" i="1" s="1"/>
  <c r="DP493" i="1"/>
  <c r="DY493" i="1" s="1"/>
  <c r="CM493" i="1"/>
  <c r="CV493" i="1" s="1"/>
  <c r="DS491" i="1"/>
  <c r="EB491" i="1" s="1"/>
  <c r="CP491" i="1"/>
  <c r="CY491" i="1" s="1"/>
  <c r="EN491" i="1"/>
  <c r="EK491" i="1"/>
  <c r="EI491" i="1"/>
  <c r="DV489" i="1"/>
  <c r="EE489" i="1" s="1"/>
  <c r="CS489" i="1"/>
  <c r="DB489" i="1" s="1"/>
  <c r="DO488" i="1"/>
  <c r="CL488" i="1"/>
  <c r="DQ486" i="1"/>
  <c r="DZ486" i="1" s="1"/>
  <c r="CN486" i="1"/>
  <c r="CW486" i="1" s="1"/>
  <c r="DW482" i="1"/>
  <c r="EF482" i="1" s="1"/>
  <c r="CT482" i="1"/>
  <c r="DC482" i="1" s="1"/>
  <c r="DO476" i="1"/>
  <c r="CL476" i="1"/>
  <c r="DP469" i="1"/>
  <c r="DY469" i="1" s="1"/>
  <c r="CM469" i="1"/>
  <c r="CV469" i="1" s="1"/>
  <c r="DV465" i="1"/>
  <c r="EE465" i="1" s="1"/>
  <c r="CS465" i="1"/>
  <c r="DB465" i="1" s="1"/>
  <c r="DO464" i="1"/>
  <c r="CL464" i="1"/>
  <c r="DQ462" i="1"/>
  <c r="DZ462" i="1" s="1"/>
  <c r="CN462" i="1"/>
  <c r="CW462" i="1" s="1"/>
  <c r="DU460" i="1"/>
  <c r="ED460" i="1" s="1"/>
  <c r="CR460" i="1"/>
  <c r="DA460" i="1" s="1"/>
  <c r="DW458" i="1"/>
  <c r="EF458" i="1" s="1"/>
  <c r="CT458" i="1"/>
  <c r="DC458" i="1" s="1"/>
  <c r="DP457" i="1"/>
  <c r="DY457" i="1" s="1"/>
  <c r="CM457" i="1"/>
  <c r="CV457" i="1" s="1"/>
  <c r="DV453" i="1"/>
  <c r="EE453" i="1" s="1"/>
  <c r="CS453" i="1"/>
  <c r="DB453" i="1" s="1"/>
  <c r="DO452" i="1"/>
  <c r="CL452" i="1"/>
  <c r="DQ450" i="1"/>
  <c r="DZ450" i="1" s="1"/>
  <c r="CN450" i="1"/>
  <c r="CW450" i="1" s="1"/>
  <c r="DU448" i="1"/>
  <c r="ED448" i="1" s="1"/>
  <c r="CR448" i="1"/>
  <c r="DA448" i="1" s="1"/>
  <c r="DW446" i="1"/>
  <c r="EF446" i="1" s="1"/>
  <c r="CT446" i="1"/>
  <c r="DC446" i="1" s="1"/>
  <c r="DP445" i="1"/>
  <c r="DY445" i="1" s="1"/>
  <c r="CM445" i="1"/>
  <c r="CV445" i="1" s="1"/>
  <c r="DV441" i="1"/>
  <c r="EE441" i="1" s="1"/>
  <c r="CS441" i="1"/>
  <c r="DB441" i="1" s="1"/>
  <c r="DO440" i="1"/>
  <c r="CL440" i="1"/>
  <c r="DQ438" i="1"/>
  <c r="DZ438" i="1" s="1"/>
  <c r="CN438" i="1"/>
  <c r="CW438" i="1" s="1"/>
  <c r="DU436" i="1"/>
  <c r="ED436" i="1" s="1"/>
  <c r="CR436" i="1"/>
  <c r="DA436" i="1" s="1"/>
  <c r="DW434" i="1"/>
  <c r="EF434" i="1" s="1"/>
  <c r="CT434" i="1"/>
  <c r="DC434" i="1" s="1"/>
  <c r="DP433" i="1"/>
  <c r="DY433" i="1" s="1"/>
  <c r="CM433" i="1"/>
  <c r="CV433" i="1" s="1"/>
  <c r="DV429" i="1"/>
  <c r="EE429" i="1" s="1"/>
  <c r="CS429" i="1"/>
  <c r="DB429" i="1" s="1"/>
  <c r="DO428" i="1"/>
  <c r="CL428" i="1"/>
  <c r="DS592" i="1"/>
  <c r="EB592" i="1" s="1"/>
  <c r="CP592" i="1"/>
  <c r="CY592" i="1" s="1"/>
  <c r="EN592" i="1"/>
  <c r="EK592" i="1"/>
  <c r="EI592" i="1"/>
  <c r="DV590" i="1"/>
  <c r="EE590" i="1" s="1"/>
  <c r="CS590" i="1"/>
  <c r="DB590" i="1" s="1"/>
  <c r="DO589" i="1"/>
  <c r="DX589" i="1" s="1"/>
  <c r="CL589" i="1"/>
  <c r="CU589" i="1" s="1"/>
  <c r="DQ587" i="1"/>
  <c r="DZ587" i="1" s="1"/>
  <c r="CN587" i="1"/>
  <c r="CW587" i="1" s="1"/>
  <c r="DU585" i="1"/>
  <c r="ED585" i="1" s="1"/>
  <c r="CR585" i="1"/>
  <c r="DA585" i="1" s="1"/>
  <c r="DW583" i="1"/>
  <c r="EF583" i="1" s="1"/>
  <c r="CT583" i="1"/>
  <c r="DC583" i="1" s="1"/>
  <c r="DP582" i="1"/>
  <c r="DY582" i="1" s="1"/>
  <c r="CM582" i="1"/>
  <c r="CV582" i="1" s="1"/>
  <c r="DS580" i="1"/>
  <c r="EB580" i="1" s="1"/>
  <c r="CP580" i="1"/>
  <c r="CY580" i="1" s="1"/>
  <c r="EN580" i="1"/>
  <c r="EK580" i="1"/>
  <c r="EI580" i="1"/>
  <c r="DV578" i="1"/>
  <c r="EE578" i="1" s="1"/>
  <c r="CS578" i="1"/>
  <c r="DB578" i="1" s="1"/>
  <c r="DO577" i="1"/>
  <c r="DX577" i="1" s="1"/>
  <c r="CL577" i="1"/>
  <c r="CU577" i="1" s="1"/>
  <c r="DQ575" i="1"/>
  <c r="DZ575" i="1" s="1"/>
  <c r="CN575" i="1"/>
  <c r="CW575" i="1" s="1"/>
  <c r="DU573" i="1"/>
  <c r="ED573" i="1" s="1"/>
  <c r="CR573" i="1"/>
  <c r="DA573" i="1" s="1"/>
  <c r="DW571" i="1"/>
  <c r="EF571" i="1" s="1"/>
  <c r="CT571" i="1"/>
  <c r="DC571" i="1" s="1"/>
  <c r="DP570" i="1"/>
  <c r="DY570" i="1" s="1"/>
  <c r="CM570" i="1"/>
  <c r="CV570" i="1" s="1"/>
  <c r="DS568" i="1"/>
  <c r="EB568" i="1" s="1"/>
  <c r="CP568" i="1"/>
  <c r="CY568" i="1" s="1"/>
  <c r="EN568" i="1"/>
  <c r="EK568" i="1"/>
  <c r="EI568" i="1"/>
  <c r="DV566" i="1"/>
  <c r="EE566" i="1" s="1"/>
  <c r="CS566" i="1"/>
  <c r="DB566" i="1" s="1"/>
  <c r="DO565" i="1"/>
  <c r="DX565" i="1" s="1"/>
  <c r="CL565" i="1"/>
  <c r="CU565" i="1" s="1"/>
  <c r="DQ563" i="1"/>
  <c r="DZ563" i="1" s="1"/>
  <c r="CN563" i="1"/>
  <c r="CW563" i="1" s="1"/>
  <c r="DU561" i="1"/>
  <c r="ED561" i="1" s="1"/>
  <c r="CR561" i="1"/>
  <c r="DA561" i="1" s="1"/>
  <c r="DW559" i="1"/>
  <c r="EF559" i="1" s="1"/>
  <c r="CT559" i="1"/>
  <c r="DC559" i="1" s="1"/>
  <c r="DP558" i="1"/>
  <c r="DY558" i="1" s="1"/>
  <c r="CM558" i="1"/>
  <c r="CV558" i="1" s="1"/>
  <c r="DS556" i="1"/>
  <c r="EB556" i="1" s="1"/>
  <c r="CP556" i="1"/>
  <c r="CY556" i="1" s="1"/>
  <c r="EN556" i="1"/>
  <c r="EK556" i="1"/>
  <c r="EI556" i="1"/>
  <c r="DV554" i="1"/>
  <c r="EE554" i="1" s="1"/>
  <c r="CS554" i="1"/>
  <c r="DB554" i="1" s="1"/>
  <c r="DO553" i="1"/>
  <c r="DX553" i="1" s="1"/>
  <c r="CL553" i="1"/>
  <c r="CU553" i="1" s="1"/>
  <c r="DQ551" i="1"/>
  <c r="DZ551" i="1" s="1"/>
  <c r="CN551" i="1"/>
  <c r="CW551" i="1" s="1"/>
  <c r="DU549" i="1"/>
  <c r="ED549" i="1" s="1"/>
  <c r="CR549" i="1"/>
  <c r="DA549" i="1" s="1"/>
  <c r="DW547" i="1"/>
  <c r="EF547" i="1" s="1"/>
  <c r="CT547" i="1"/>
  <c r="DC547" i="1" s="1"/>
  <c r="DP546" i="1"/>
  <c r="DY546" i="1" s="1"/>
  <c r="CM546" i="1"/>
  <c r="CV546" i="1" s="1"/>
  <c r="DS544" i="1"/>
  <c r="EB544" i="1" s="1"/>
  <c r="CP544" i="1"/>
  <c r="CY544" i="1" s="1"/>
  <c r="EN544" i="1"/>
  <c r="EK544" i="1"/>
  <c r="EI544" i="1"/>
  <c r="DV542" i="1"/>
  <c r="EE542" i="1" s="1"/>
  <c r="CS542" i="1"/>
  <c r="DB542" i="1" s="1"/>
  <c r="DO541" i="1"/>
  <c r="DX541" i="1" s="1"/>
  <c r="CL541" i="1"/>
  <c r="CU541" i="1" s="1"/>
  <c r="DQ539" i="1"/>
  <c r="DZ539" i="1" s="1"/>
  <c r="CN539" i="1"/>
  <c r="CW539" i="1" s="1"/>
  <c r="DU537" i="1"/>
  <c r="ED537" i="1" s="1"/>
  <c r="CR537" i="1"/>
  <c r="DA537" i="1" s="1"/>
  <c r="DW535" i="1"/>
  <c r="EF535" i="1" s="1"/>
  <c r="CT535" i="1"/>
  <c r="DC535" i="1" s="1"/>
  <c r="DP534" i="1"/>
  <c r="DY534" i="1" s="1"/>
  <c r="CM534" i="1"/>
  <c r="CV534" i="1" s="1"/>
  <c r="DS532" i="1"/>
  <c r="EB532" i="1" s="1"/>
  <c r="CP532" i="1"/>
  <c r="CY532" i="1" s="1"/>
  <c r="EN532" i="1"/>
  <c r="EI532" i="1"/>
  <c r="EK532" i="1"/>
  <c r="DV530" i="1"/>
  <c r="EE530" i="1" s="1"/>
  <c r="CS530" i="1"/>
  <c r="DB530" i="1" s="1"/>
  <c r="DO529" i="1"/>
  <c r="DX529" i="1" s="1"/>
  <c r="CL529" i="1"/>
  <c r="CU529" i="1" s="1"/>
  <c r="DQ527" i="1"/>
  <c r="DZ527" i="1" s="1"/>
  <c r="CN527" i="1"/>
  <c r="CW527" i="1" s="1"/>
  <c r="DU525" i="1"/>
  <c r="ED525" i="1" s="1"/>
  <c r="CR525" i="1"/>
  <c r="DA525" i="1" s="1"/>
  <c r="DW523" i="1"/>
  <c r="EF523" i="1" s="1"/>
  <c r="CT523" i="1"/>
  <c r="DC523" i="1" s="1"/>
  <c r="DP522" i="1"/>
  <c r="DY522" i="1" s="1"/>
  <c r="CM522" i="1"/>
  <c r="CV522" i="1" s="1"/>
  <c r="DS520" i="1"/>
  <c r="EB520" i="1" s="1"/>
  <c r="CP520" i="1"/>
  <c r="CY520" i="1" s="1"/>
  <c r="EN520" i="1"/>
  <c r="EI520" i="1"/>
  <c r="EK520" i="1"/>
  <c r="DV518" i="1"/>
  <c r="EE518" i="1" s="1"/>
  <c r="CS518" i="1"/>
  <c r="DB518" i="1" s="1"/>
  <c r="DO517" i="1"/>
  <c r="DX517" i="1" s="1"/>
  <c r="CL517" i="1"/>
  <c r="CU517" i="1" s="1"/>
  <c r="DQ515" i="1"/>
  <c r="DZ515" i="1" s="1"/>
  <c r="CN515" i="1"/>
  <c r="CW515" i="1" s="1"/>
  <c r="DU513" i="1"/>
  <c r="ED513" i="1" s="1"/>
  <c r="CR513" i="1"/>
  <c r="DA513" i="1" s="1"/>
  <c r="DW511" i="1"/>
  <c r="EF511" i="1" s="1"/>
  <c r="CT511" i="1"/>
  <c r="DC511" i="1" s="1"/>
  <c r="DP510" i="1"/>
  <c r="DY510" i="1" s="1"/>
  <c r="CM510" i="1"/>
  <c r="CV510" i="1" s="1"/>
  <c r="DS508" i="1"/>
  <c r="EB508" i="1" s="1"/>
  <c r="CP508" i="1"/>
  <c r="CY508" i="1" s="1"/>
  <c r="EN508" i="1"/>
  <c r="EI508" i="1"/>
  <c r="EK508" i="1"/>
  <c r="DV506" i="1"/>
  <c r="EE506" i="1" s="1"/>
  <c r="CS506" i="1"/>
  <c r="DB506" i="1" s="1"/>
  <c r="DO505" i="1"/>
  <c r="DX505" i="1" s="1"/>
  <c r="CL505" i="1"/>
  <c r="CU505" i="1" s="1"/>
  <c r="DQ503" i="1"/>
  <c r="DZ503" i="1" s="1"/>
  <c r="CN503" i="1"/>
  <c r="CW503" i="1" s="1"/>
  <c r="DU501" i="1"/>
  <c r="ED501" i="1" s="1"/>
  <c r="CR501" i="1"/>
  <c r="DA501" i="1" s="1"/>
  <c r="DW499" i="1"/>
  <c r="EF499" i="1" s="1"/>
  <c r="CT499" i="1"/>
  <c r="DC499" i="1" s="1"/>
  <c r="DP498" i="1"/>
  <c r="DY498" i="1" s="1"/>
  <c r="CM498" i="1"/>
  <c r="CV498" i="1" s="1"/>
  <c r="DS496" i="1"/>
  <c r="EB496" i="1" s="1"/>
  <c r="CP496" i="1"/>
  <c r="CY496" i="1" s="1"/>
  <c r="EN496" i="1"/>
  <c r="EI496" i="1"/>
  <c r="EK496" i="1"/>
  <c r="DV494" i="1"/>
  <c r="EE494" i="1" s="1"/>
  <c r="CS494" i="1"/>
  <c r="DB494" i="1" s="1"/>
  <c r="DO493" i="1"/>
  <c r="DX493" i="1" s="1"/>
  <c r="CL493" i="1"/>
  <c r="CU493" i="1" s="1"/>
  <c r="DQ491" i="1"/>
  <c r="DZ491" i="1" s="1"/>
  <c r="CN491" i="1"/>
  <c r="CW491" i="1" s="1"/>
  <c r="DU489" i="1"/>
  <c r="ED489" i="1" s="1"/>
  <c r="CR489" i="1"/>
  <c r="DA489" i="1" s="1"/>
  <c r="DW487" i="1"/>
  <c r="EF487" i="1" s="1"/>
  <c r="CT487" i="1"/>
  <c r="DC487" i="1" s="1"/>
  <c r="DP486" i="1"/>
  <c r="DY486" i="1" s="1"/>
  <c r="CM486" i="1"/>
  <c r="CV486" i="1" s="1"/>
  <c r="DS484" i="1"/>
  <c r="EB484" i="1" s="1"/>
  <c r="CP484" i="1"/>
  <c r="CY484" i="1" s="1"/>
  <c r="EN484" i="1"/>
  <c r="EK484" i="1"/>
  <c r="EI484" i="1"/>
  <c r="DV482" i="1"/>
  <c r="EE482" i="1" s="1"/>
  <c r="CS482" i="1"/>
  <c r="DB482" i="1" s="1"/>
  <c r="DO481" i="1"/>
  <c r="DX481" i="1" s="1"/>
  <c r="CL481" i="1"/>
  <c r="CU481" i="1" s="1"/>
  <c r="DQ479" i="1"/>
  <c r="DZ479" i="1" s="1"/>
  <c r="CN479" i="1"/>
  <c r="CW479" i="1" s="1"/>
  <c r="DU477" i="1"/>
  <c r="ED477" i="1" s="1"/>
  <c r="CR477" i="1"/>
  <c r="DA477" i="1" s="1"/>
  <c r="DW475" i="1"/>
  <c r="EF475" i="1" s="1"/>
  <c r="CT475" i="1"/>
  <c r="DC475" i="1" s="1"/>
  <c r="DP474" i="1"/>
  <c r="DY474" i="1" s="1"/>
  <c r="CM474" i="1"/>
  <c r="CV474" i="1" s="1"/>
  <c r="DS472" i="1"/>
  <c r="EB472" i="1" s="1"/>
  <c r="CP472" i="1"/>
  <c r="CY472" i="1" s="1"/>
  <c r="EN472" i="1"/>
  <c r="EI472" i="1"/>
  <c r="EK472" i="1"/>
  <c r="DV470" i="1"/>
  <c r="EE470" i="1" s="1"/>
  <c r="CS470" i="1"/>
  <c r="DB470" i="1" s="1"/>
  <c r="DO469" i="1"/>
  <c r="DX469" i="1" s="1"/>
  <c r="CL469" i="1"/>
  <c r="CU469" i="1" s="1"/>
  <c r="DQ467" i="1"/>
  <c r="DZ467" i="1" s="1"/>
  <c r="CN467" i="1"/>
  <c r="CW467" i="1" s="1"/>
  <c r="DU465" i="1"/>
  <c r="ED465" i="1" s="1"/>
  <c r="CR465" i="1"/>
  <c r="DA465" i="1" s="1"/>
  <c r="DW463" i="1"/>
  <c r="EF463" i="1" s="1"/>
  <c r="CT463" i="1"/>
  <c r="DC463" i="1" s="1"/>
  <c r="DP462" i="1"/>
  <c r="DY462" i="1" s="1"/>
  <c r="CM462" i="1"/>
  <c r="CV462" i="1" s="1"/>
  <c r="DV458" i="1"/>
  <c r="EE458" i="1" s="1"/>
  <c r="CS458" i="1"/>
  <c r="DB458" i="1" s="1"/>
  <c r="DO457" i="1"/>
  <c r="DX457" i="1" s="1"/>
  <c r="CL457" i="1"/>
  <c r="CU457" i="1" s="1"/>
  <c r="DQ455" i="1"/>
  <c r="DZ455" i="1" s="1"/>
  <c r="CN455" i="1"/>
  <c r="CW455" i="1" s="1"/>
  <c r="DU453" i="1"/>
  <c r="ED453" i="1" s="1"/>
  <c r="CR453" i="1"/>
  <c r="DA453" i="1" s="1"/>
  <c r="DW451" i="1"/>
  <c r="EF451" i="1" s="1"/>
  <c r="CT451" i="1"/>
  <c r="DC451" i="1" s="1"/>
  <c r="DP450" i="1"/>
  <c r="DY450" i="1" s="1"/>
  <c r="CM450" i="1"/>
  <c r="CV450" i="1" s="1"/>
  <c r="DV446" i="1"/>
  <c r="EE446" i="1" s="1"/>
  <c r="CS446" i="1"/>
  <c r="DB446" i="1" s="1"/>
  <c r="DO445" i="1"/>
  <c r="DX445" i="1" s="1"/>
  <c r="CL445" i="1"/>
  <c r="CU445" i="1" s="1"/>
  <c r="DQ443" i="1"/>
  <c r="DZ443" i="1" s="1"/>
  <c r="CN443" i="1"/>
  <c r="CW443" i="1" s="1"/>
  <c r="DU441" i="1"/>
  <c r="ED441" i="1" s="1"/>
  <c r="CR441" i="1"/>
  <c r="DA441" i="1" s="1"/>
  <c r="DW439" i="1"/>
  <c r="EF439" i="1" s="1"/>
  <c r="CT439" i="1"/>
  <c r="DC439" i="1" s="1"/>
  <c r="DP438" i="1"/>
  <c r="DY438" i="1" s="1"/>
  <c r="CM438" i="1"/>
  <c r="CV438" i="1" s="1"/>
  <c r="DV434" i="1"/>
  <c r="EE434" i="1" s="1"/>
  <c r="CS434" i="1"/>
  <c r="DB434" i="1" s="1"/>
  <c r="DO433" i="1"/>
  <c r="DX433" i="1" s="1"/>
  <c r="CL433" i="1"/>
  <c r="CU433" i="1" s="1"/>
  <c r="DQ431" i="1"/>
  <c r="DZ431" i="1" s="1"/>
  <c r="CN431" i="1"/>
  <c r="CW431" i="1" s="1"/>
  <c r="DU429" i="1"/>
  <c r="ED429" i="1" s="1"/>
  <c r="CR429" i="1"/>
  <c r="DA429" i="1" s="1"/>
  <c r="DP579" i="1"/>
  <c r="DY579" i="1" s="1"/>
  <c r="CM579" i="1"/>
  <c r="CV579" i="1" s="1"/>
  <c r="DS553" i="1"/>
  <c r="EB553" i="1" s="1"/>
  <c r="CP553" i="1"/>
  <c r="CY553" i="1" s="1"/>
  <c r="EN553" i="1"/>
  <c r="EI553" i="1"/>
  <c r="EK553" i="1"/>
  <c r="DP531" i="1"/>
  <c r="DY531" i="1" s="1"/>
  <c r="CM531" i="1"/>
  <c r="CV531" i="1" s="1"/>
  <c r="DW508" i="1"/>
  <c r="EF508" i="1" s="1"/>
  <c r="CT508" i="1"/>
  <c r="DC508" i="1" s="1"/>
  <c r="DS481" i="1"/>
  <c r="EB481" i="1" s="1"/>
  <c r="CP481" i="1"/>
  <c r="CY481" i="1" s="1"/>
  <c r="EN481" i="1"/>
  <c r="EI481" i="1"/>
  <c r="EK481" i="1"/>
  <c r="DV455" i="1"/>
  <c r="EE455" i="1" s="1"/>
  <c r="CS455" i="1"/>
  <c r="DB455" i="1" s="1"/>
  <c r="DO430" i="1"/>
  <c r="DX430" i="1" s="1"/>
  <c r="CL430" i="1"/>
  <c r="CU430" i="1" s="1"/>
  <c r="DQ577" i="1"/>
  <c r="DZ577" i="1" s="1"/>
  <c r="CN577" i="1"/>
  <c r="CW577" i="1" s="1"/>
  <c r="DV556" i="1"/>
  <c r="EE556" i="1" s="1"/>
  <c r="CS556" i="1"/>
  <c r="DB556" i="1" s="1"/>
  <c r="DQ541" i="1"/>
  <c r="DZ541" i="1" s="1"/>
  <c r="CN541" i="1"/>
  <c r="CW541" i="1" s="1"/>
  <c r="DS522" i="1"/>
  <c r="EB522" i="1" s="1"/>
  <c r="CP522" i="1"/>
  <c r="CY522" i="1" s="1"/>
  <c r="EN522" i="1"/>
  <c r="EK522" i="1"/>
  <c r="EI522" i="1"/>
  <c r="DS510" i="1"/>
  <c r="EB510" i="1" s="1"/>
  <c r="CP510" i="1"/>
  <c r="CY510" i="1" s="1"/>
  <c r="EN510" i="1"/>
  <c r="EK510" i="1"/>
  <c r="EI510" i="1"/>
  <c r="DW501" i="1"/>
  <c r="EF501" i="1" s="1"/>
  <c r="CT501" i="1"/>
  <c r="DC501" i="1" s="1"/>
  <c r="DP488" i="1"/>
  <c r="CM488" i="1"/>
  <c r="DO471" i="1"/>
  <c r="DX471" i="1" s="1"/>
  <c r="CL471" i="1"/>
  <c r="CU471" i="1" s="1"/>
  <c r="DQ457" i="1"/>
  <c r="DZ457" i="1" s="1"/>
  <c r="CN457" i="1"/>
  <c r="CW457" i="1" s="1"/>
  <c r="DQ445" i="1"/>
  <c r="DZ445" i="1" s="1"/>
  <c r="CN445" i="1"/>
  <c r="CW445" i="1" s="1"/>
  <c r="DP428" i="1"/>
  <c r="CM428" i="1"/>
  <c r="DS575" i="1"/>
  <c r="EB575" i="1" s="1"/>
  <c r="CP575" i="1"/>
  <c r="CY575" i="1" s="1"/>
  <c r="EN575" i="1"/>
  <c r="EK575" i="1"/>
  <c r="EI575" i="1"/>
  <c r="DO548" i="1"/>
  <c r="CL548" i="1"/>
  <c r="DW518" i="1"/>
  <c r="EF518" i="1" s="1"/>
  <c r="CT518" i="1"/>
  <c r="DC518" i="1" s="1"/>
  <c r="DU484" i="1"/>
  <c r="ED484" i="1" s="1"/>
  <c r="CR484" i="1"/>
  <c r="DA484" i="1" s="1"/>
  <c r="DQ592" i="1"/>
  <c r="DZ592" i="1" s="1"/>
  <c r="CN592" i="1"/>
  <c r="CW592" i="1" s="1"/>
  <c r="DU590" i="1"/>
  <c r="ED590" i="1" s="1"/>
  <c r="CR590" i="1"/>
  <c r="DA590" i="1" s="1"/>
  <c r="DW588" i="1"/>
  <c r="EF588" i="1" s="1"/>
  <c r="CT588" i="1"/>
  <c r="DC588" i="1" s="1"/>
  <c r="DP587" i="1"/>
  <c r="DY587" i="1" s="1"/>
  <c r="CM587" i="1"/>
  <c r="CV587" i="1" s="1"/>
  <c r="DS585" i="1"/>
  <c r="EB585" i="1" s="1"/>
  <c r="CP585" i="1"/>
  <c r="CY585" i="1" s="1"/>
  <c r="EN585" i="1"/>
  <c r="EI585" i="1"/>
  <c r="EK585" i="1"/>
  <c r="DV583" i="1"/>
  <c r="EE583" i="1" s="1"/>
  <c r="CS583" i="1"/>
  <c r="DB583" i="1" s="1"/>
  <c r="DO582" i="1"/>
  <c r="DX582" i="1" s="1"/>
  <c r="CL582" i="1"/>
  <c r="CU582" i="1" s="1"/>
  <c r="DQ580" i="1"/>
  <c r="DZ580" i="1" s="1"/>
  <c r="CN580" i="1"/>
  <c r="CW580" i="1" s="1"/>
  <c r="DU578" i="1"/>
  <c r="ED578" i="1" s="1"/>
  <c r="CR578" i="1"/>
  <c r="DA578" i="1" s="1"/>
  <c r="DW576" i="1"/>
  <c r="EF576" i="1" s="1"/>
  <c r="CT576" i="1"/>
  <c r="DC576" i="1" s="1"/>
  <c r="DP575" i="1"/>
  <c r="DY575" i="1" s="1"/>
  <c r="CM575" i="1"/>
  <c r="CV575" i="1" s="1"/>
  <c r="DS573" i="1"/>
  <c r="EB573" i="1" s="1"/>
  <c r="CP573" i="1"/>
  <c r="CY573" i="1" s="1"/>
  <c r="EN573" i="1"/>
  <c r="EI573" i="1"/>
  <c r="EK573" i="1"/>
  <c r="DV571" i="1"/>
  <c r="EE571" i="1" s="1"/>
  <c r="CS571" i="1"/>
  <c r="DB571" i="1" s="1"/>
  <c r="DO570" i="1"/>
  <c r="DX570" i="1" s="1"/>
  <c r="CL570" i="1"/>
  <c r="CU570" i="1" s="1"/>
  <c r="DQ568" i="1"/>
  <c r="DZ568" i="1" s="1"/>
  <c r="CN568" i="1"/>
  <c r="CW568" i="1" s="1"/>
  <c r="DU566" i="1"/>
  <c r="ED566" i="1" s="1"/>
  <c r="CR566" i="1"/>
  <c r="DA566" i="1" s="1"/>
  <c r="DW564" i="1"/>
  <c r="EF564" i="1" s="1"/>
  <c r="CT564" i="1"/>
  <c r="DC564" i="1" s="1"/>
  <c r="DP563" i="1"/>
  <c r="DY563" i="1" s="1"/>
  <c r="CM563" i="1"/>
  <c r="CV563" i="1" s="1"/>
  <c r="DS561" i="1"/>
  <c r="EB561" i="1" s="1"/>
  <c r="CP561" i="1"/>
  <c r="CY561" i="1" s="1"/>
  <c r="EN561" i="1"/>
  <c r="EK561" i="1"/>
  <c r="EI561" i="1"/>
  <c r="DV559" i="1"/>
  <c r="EE559" i="1" s="1"/>
  <c r="CS559" i="1"/>
  <c r="DB559" i="1" s="1"/>
  <c r="DO558" i="1"/>
  <c r="DX558" i="1" s="1"/>
  <c r="CL558" i="1"/>
  <c r="CU558" i="1" s="1"/>
  <c r="DQ556" i="1"/>
  <c r="DZ556" i="1" s="1"/>
  <c r="CN556" i="1"/>
  <c r="CW556" i="1" s="1"/>
  <c r="DU554" i="1"/>
  <c r="ED554" i="1" s="1"/>
  <c r="CR554" i="1"/>
  <c r="DA554" i="1" s="1"/>
  <c r="DW552" i="1"/>
  <c r="EF552" i="1" s="1"/>
  <c r="CT552" i="1"/>
  <c r="DC552" i="1" s="1"/>
  <c r="DP551" i="1"/>
  <c r="DY551" i="1" s="1"/>
  <c r="CM551" i="1"/>
  <c r="CV551" i="1" s="1"/>
  <c r="DS549" i="1"/>
  <c r="EB549" i="1" s="1"/>
  <c r="CP549" i="1"/>
  <c r="CY549" i="1" s="1"/>
  <c r="EN549" i="1"/>
  <c r="EI549" i="1"/>
  <c r="EK549" i="1"/>
  <c r="DV547" i="1"/>
  <c r="EE547" i="1" s="1"/>
  <c r="CS547" i="1"/>
  <c r="DB547" i="1" s="1"/>
  <c r="DO546" i="1"/>
  <c r="DX546" i="1" s="1"/>
  <c r="CL546" i="1"/>
  <c r="CU546" i="1" s="1"/>
  <c r="DQ544" i="1"/>
  <c r="DZ544" i="1" s="1"/>
  <c r="CN544" i="1"/>
  <c r="CW544" i="1" s="1"/>
  <c r="DU542" i="1"/>
  <c r="ED542" i="1" s="1"/>
  <c r="CR542" i="1"/>
  <c r="DA542" i="1" s="1"/>
  <c r="DW540" i="1"/>
  <c r="EF540" i="1" s="1"/>
  <c r="CT540" i="1"/>
  <c r="DC540" i="1" s="1"/>
  <c r="DP539" i="1"/>
  <c r="DY539" i="1" s="1"/>
  <c r="CM539" i="1"/>
  <c r="CV539" i="1" s="1"/>
  <c r="DS537" i="1"/>
  <c r="EB537" i="1" s="1"/>
  <c r="CP537" i="1"/>
  <c r="CY537" i="1" s="1"/>
  <c r="EN537" i="1"/>
  <c r="EK537" i="1"/>
  <c r="EI537" i="1"/>
  <c r="DV535" i="1"/>
  <c r="EE535" i="1" s="1"/>
  <c r="CS535" i="1"/>
  <c r="DB535" i="1" s="1"/>
  <c r="DO534" i="1"/>
  <c r="DX534" i="1" s="1"/>
  <c r="CL534" i="1"/>
  <c r="CU534" i="1" s="1"/>
  <c r="DQ532" i="1"/>
  <c r="DZ532" i="1" s="1"/>
  <c r="CN532" i="1"/>
  <c r="CW532" i="1" s="1"/>
  <c r="DU530" i="1"/>
  <c r="ED530" i="1" s="1"/>
  <c r="CR530" i="1"/>
  <c r="DA530" i="1" s="1"/>
  <c r="DW528" i="1"/>
  <c r="EF528" i="1" s="1"/>
  <c r="CT528" i="1"/>
  <c r="DC528" i="1" s="1"/>
  <c r="DP527" i="1"/>
  <c r="DY527" i="1" s="1"/>
  <c r="CM527" i="1"/>
  <c r="CV527" i="1" s="1"/>
  <c r="DS525" i="1"/>
  <c r="EB525" i="1" s="1"/>
  <c r="CP525" i="1"/>
  <c r="CY525" i="1" s="1"/>
  <c r="EN525" i="1"/>
  <c r="EK525" i="1"/>
  <c r="EI525" i="1"/>
  <c r="DV523" i="1"/>
  <c r="EE523" i="1" s="1"/>
  <c r="CS523" i="1"/>
  <c r="DB523" i="1" s="1"/>
  <c r="DO522" i="1"/>
  <c r="DX522" i="1" s="1"/>
  <c r="CL522" i="1"/>
  <c r="CU522" i="1" s="1"/>
  <c r="DQ520" i="1"/>
  <c r="DZ520" i="1" s="1"/>
  <c r="CN520" i="1"/>
  <c r="CW520" i="1" s="1"/>
  <c r="DU518" i="1"/>
  <c r="ED518" i="1" s="1"/>
  <c r="CR518" i="1"/>
  <c r="DA518" i="1" s="1"/>
  <c r="DW516" i="1"/>
  <c r="EF516" i="1" s="1"/>
  <c r="CT516" i="1"/>
  <c r="DC516" i="1" s="1"/>
  <c r="DP515" i="1"/>
  <c r="DY515" i="1" s="1"/>
  <c r="CM515" i="1"/>
  <c r="CV515" i="1" s="1"/>
  <c r="DS513" i="1"/>
  <c r="EB513" i="1" s="1"/>
  <c r="CP513" i="1"/>
  <c r="CY513" i="1" s="1"/>
  <c r="EN513" i="1"/>
  <c r="EI513" i="1"/>
  <c r="EK513" i="1"/>
  <c r="DV511" i="1"/>
  <c r="EE511" i="1" s="1"/>
  <c r="CS511" i="1"/>
  <c r="DB511" i="1" s="1"/>
  <c r="DO510" i="1"/>
  <c r="DX510" i="1" s="1"/>
  <c r="CL510" i="1"/>
  <c r="CU510" i="1" s="1"/>
  <c r="DQ508" i="1"/>
  <c r="DZ508" i="1" s="1"/>
  <c r="CN508" i="1"/>
  <c r="CW508" i="1" s="1"/>
  <c r="DU506" i="1"/>
  <c r="ED506" i="1" s="1"/>
  <c r="CR506" i="1"/>
  <c r="DA506" i="1" s="1"/>
  <c r="DW504" i="1"/>
  <c r="EF504" i="1" s="1"/>
  <c r="CT504" i="1"/>
  <c r="DC504" i="1" s="1"/>
  <c r="DP503" i="1"/>
  <c r="DY503" i="1" s="1"/>
  <c r="CM503" i="1"/>
  <c r="CV503" i="1" s="1"/>
  <c r="DS501" i="1"/>
  <c r="EB501" i="1" s="1"/>
  <c r="CP501" i="1"/>
  <c r="CY501" i="1" s="1"/>
  <c r="EN501" i="1"/>
  <c r="EK501" i="1"/>
  <c r="EI501" i="1"/>
  <c r="DV499" i="1"/>
  <c r="EE499" i="1" s="1"/>
  <c r="CS499" i="1"/>
  <c r="DB499" i="1" s="1"/>
  <c r="DO498" i="1"/>
  <c r="DX498" i="1" s="1"/>
  <c r="CL498" i="1"/>
  <c r="CU498" i="1" s="1"/>
  <c r="DQ496" i="1"/>
  <c r="DZ496" i="1" s="1"/>
  <c r="CN496" i="1"/>
  <c r="CW496" i="1" s="1"/>
  <c r="DU494" i="1"/>
  <c r="ED494" i="1" s="1"/>
  <c r="CR494" i="1"/>
  <c r="DA494" i="1" s="1"/>
  <c r="DW492" i="1"/>
  <c r="EF492" i="1" s="1"/>
  <c r="CT492" i="1"/>
  <c r="DC492" i="1" s="1"/>
  <c r="DP491" i="1"/>
  <c r="DY491" i="1" s="1"/>
  <c r="CM491" i="1"/>
  <c r="CV491" i="1" s="1"/>
  <c r="DS489" i="1"/>
  <c r="EB489" i="1" s="1"/>
  <c r="CP489" i="1"/>
  <c r="CY489" i="1" s="1"/>
  <c r="EN489" i="1"/>
  <c r="EI489" i="1"/>
  <c r="EK489" i="1"/>
  <c r="DV487" i="1"/>
  <c r="EE487" i="1" s="1"/>
  <c r="CS487" i="1"/>
  <c r="DB487" i="1" s="1"/>
  <c r="DO486" i="1"/>
  <c r="DX486" i="1" s="1"/>
  <c r="CL486" i="1"/>
  <c r="CU486" i="1" s="1"/>
  <c r="DQ484" i="1"/>
  <c r="DZ484" i="1" s="1"/>
  <c r="CN484" i="1"/>
  <c r="CW484" i="1" s="1"/>
  <c r="DU482" i="1"/>
  <c r="ED482" i="1" s="1"/>
  <c r="CR482" i="1"/>
  <c r="DA482" i="1" s="1"/>
  <c r="DW480" i="1"/>
  <c r="EF480" i="1" s="1"/>
  <c r="CT480" i="1"/>
  <c r="DC480" i="1" s="1"/>
  <c r="DP479" i="1"/>
  <c r="DY479" i="1" s="1"/>
  <c r="CM479" i="1"/>
  <c r="CV479" i="1" s="1"/>
  <c r="DS477" i="1"/>
  <c r="EB477" i="1" s="1"/>
  <c r="CP477" i="1"/>
  <c r="CY477" i="1" s="1"/>
  <c r="EN477" i="1"/>
  <c r="EK477" i="1"/>
  <c r="EI477" i="1"/>
  <c r="DV475" i="1"/>
  <c r="EE475" i="1" s="1"/>
  <c r="CS475" i="1"/>
  <c r="DB475" i="1" s="1"/>
  <c r="DO474" i="1"/>
  <c r="DX474" i="1" s="1"/>
  <c r="CL474" i="1"/>
  <c r="CU474" i="1" s="1"/>
  <c r="DQ472" i="1"/>
  <c r="DZ472" i="1" s="1"/>
  <c r="CN472" i="1"/>
  <c r="CW472" i="1" s="1"/>
  <c r="DU470" i="1"/>
  <c r="ED470" i="1" s="1"/>
  <c r="CR470" i="1"/>
  <c r="DA470" i="1" s="1"/>
  <c r="DW468" i="1"/>
  <c r="EF468" i="1" s="1"/>
  <c r="CT468" i="1"/>
  <c r="DC468" i="1" s="1"/>
  <c r="DP467" i="1"/>
  <c r="DY467" i="1" s="1"/>
  <c r="CM467" i="1"/>
  <c r="CV467" i="1" s="1"/>
  <c r="DS465" i="1"/>
  <c r="EB465" i="1" s="1"/>
  <c r="CP465" i="1"/>
  <c r="CY465" i="1" s="1"/>
  <c r="EN465" i="1"/>
  <c r="EK465" i="1"/>
  <c r="EI465" i="1"/>
  <c r="DV463" i="1"/>
  <c r="EE463" i="1" s="1"/>
  <c r="CS463" i="1"/>
  <c r="DB463" i="1" s="1"/>
  <c r="DO462" i="1"/>
  <c r="DX462" i="1" s="1"/>
  <c r="CL462" i="1"/>
  <c r="CU462" i="1" s="1"/>
  <c r="DQ460" i="1"/>
  <c r="DZ460" i="1" s="1"/>
  <c r="CN460" i="1"/>
  <c r="CW460" i="1" s="1"/>
  <c r="DU458" i="1"/>
  <c r="ED458" i="1" s="1"/>
  <c r="CR458" i="1"/>
  <c r="DA458" i="1" s="1"/>
  <c r="DW456" i="1"/>
  <c r="EF456" i="1" s="1"/>
  <c r="CT456" i="1"/>
  <c r="DC456" i="1" s="1"/>
  <c r="DP455" i="1"/>
  <c r="DY455" i="1" s="1"/>
  <c r="CM455" i="1"/>
  <c r="CV455" i="1" s="1"/>
  <c r="DV451" i="1"/>
  <c r="EE451" i="1" s="1"/>
  <c r="CS451" i="1"/>
  <c r="DB451" i="1" s="1"/>
  <c r="DO450" i="1"/>
  <c r="DX450" i="1" s="1"/>
  <c r="CL450" i="1"/>
  <c r="CU450" i="1" s="1"/>
  <c r="DQ448" i="1"/>
  <c r="DZ448" i="1" s="1"/>
  <c r="CN448" i="1"/>
  <c r="CW448" i="1" s="1"/>
  <c r="DU446" i="1"/>
  <c r="ED446" i="1" s="1"/>
  <c r="CR446" i="1"/>
  <c r="DA446" i="1" s="1"/>
  <c r="DW444" i="1"/>
  <c r="EF444" i="1" s="1"/>
  <c r="CT444" i="1"/>
  <c r="DC444" i="1" s="1"/>
  <c r="DP443" i="1"/>
  <c r="DY443" i="1" s="1"/>
  <c r="CM443" i="1"/>
  <c r="CV443" i="1" s="1"/>
  <c r="DV439" i="1"/>
  <c r="EE439" i="1" s="1"/>
  <c r="CS439" i="1"/>
  <c r="DB439" i="1" s="1"/>
  <c r="DO438" i="1"/>
  <c r="DX438" i="1" s="1"/>
  <c r="CL438" i="1"/>
  <c r="CU438" i="1" s="1"/>
  <c r="DQ436" i="1"/>
  <c r="DZ436" i="1" s="1"/>
  <c r="CN436" i="1"/>
  <c r="CW436" i="1" s="1"/>
  <c r="DU434" i="1"/>
  <c r="ED434" i="1" s="1"/>
  <c r="CR434" i="1"/>
  <c r="DA434" i="1" s="1"/>
  <c r="DW432" i="1"/>
  <c r="EF432" i="1" s="1"/>
  <c r="CT432" i="1"/>
  <c r="DC432" i="1" s="1"/>
  <c r="DP431" i="1"/>
  <c r="DY431" i="1" s="1"/>
  <c r="CM431" i="1"/>
  <c r="CV431" i="1" s="1"/>
  <c r="DQ584" i="1"/>
  <c r="DZ584" i="1" s="1"/>
  <c r="CN584" i="1"/>
  <c r="CW584" i="1" s="1"/>
  <c r="DQ560" i="1"/>
  <c r="DZ560" i="1" s="1"/>
  <c r="CN560" i="1"/>
  <c r="CW560" i="1" s="1"/>
  <c r="DQ536" i="1"/>
  <c r="CN536" i="1"/>
  <c r="DQ512" i="1"/>
  <c r="CN512" i="1"/>
  <c r="DQ488" i="1"/>
  <c r="CN488" i="1"/>
  <c r="DP459" i="1"/>
  <c r="DY459" i="1" s="1"/>
  <c r="CM459" i="1"/>
  <c r="CV459" i="1" s="1"/>
  <c r="DP584" i="1"/>
  <c r="DY584" i="1" s="1"/>
  <c r="CM584" i="1"/>
  <c r="CV584" i="1" s="1"/>
  <c r="DW573" i="1"/>
  <c r="EF573" i="1" s="1"/>
  <c r="CT573" i="1"/>
  <c r="DC573" i="1" s="1"/>
  <c r="DW561" i="1"/>
  <c r="EF561" i="1" s="1"/>
  <c r="CT561" i="1"/>
  <c r="DC561" i="1" s="1"/>
  <c r="DW549" i="1"/>
  <c r="EF549" i="1" s="1"/>
  <c r="CT549" i="1"/>
  <c r="DC549" i="1" s="1"/>
  <c r="DW537" i="1"/>
  <c r="EF537" i="1" s="1"/>
  <c r="CT537" i="1"/>
  <c r="DC537" i="1" s="1"/>
  <c r="DU527" i="1"/>
  <c r="ED527" i="1" s="1"/>
  <c r="CR527" i="1"/>
  <c r="DA527" i="1" s="1"/>
  <c r="DO519" i="1"/>
  <c r="DX519" i="1" s="1"/>
  <c r="CL519" i="1"/>
  <c r="CU519" i="1" s="1"/>
  <c r="DO507" i="1"/>
  <c r="DX507" i="1" s="1"/>
  <c r="CL507" i="1"/>
  <c r="CU507" i="1" s="1"/>
  <c r="DO495" i="1"/>
  <c r="DX495" i="1" s="1"/>
  <c r="CL495" i="1"/>
  <c r="CU495" i="1" s="1"/>
  <c r="DU479" i="1"/>
  <c r="ED479" i="1" s="1"/>
  <c r="CR479" i="1"/>
  <c r="DA479" i="1" s="1"/>
  <c r="DV460" i="1"/>
  <c r="EE460" i="1" s="1"/>
  <c r="CS460" i="1"/>
  <c r="DB460" i="1" s="1"/>
  <c r="DW441" i="1"/>
  <c r="EF441" i="1" s="1"/>
  <c r="CT441" i="1"/>
  <c r="DC441" i="1" s="1"/>
  <c r="DU431" i="1"/>
  <c r="ED431" i="1" s="1"/>
  <c r="CR431" i="1"/>
  <c r="DA431" i="1" s="1"/>
  <c r="DW590" i="1"/>
  <c r="EF590" i="1" s="1"/>
  <c r="CT590" i="1"/>
  <c r="DC590" i="1" s="1"/>
  <c r="DW566" i="1"/>
  <c r="EF566" i="1" s="1"/>
  <c r="CT566" i="1"/>
  <c r="DC566" i="1" s="1"/>
  <c r="DS539" i="1"/>
  <c r="EB539" i="1" s="1"/>
  <c r="CP539" i="1"/>
  <c r="CY539" i="1" s="1"/>
  <c r="EN539" i="1"/>
  <c r="EK539" i="1"/>
  <c r="EI539" i="1"/>
  <c r="DV513" i="1"/>
  <c r="EE513" i="1" s="1"/>
  <c r="CS513" i="1"/>
  <c r="DB513" i="1" s="1"/>
  <c r="DV477" i="1"/>
  <c r="EE477" i="1" s="1"/>
  <c r="CS477" i="1"/>
  <c r="DB477" i="1" s="1"/>
  <c r="DW593" i="1"/>
  <c r="EF593" i="1" s="1"/>
  <c r="CT593" i="1"/>
  <c r="DC593" i="1" s="1"/>
  <c r="DP592" i="1"/>
  <c r="DY592" i="1" s="1"/>
  <c r="CM592" i="1"/>
  <c r="CV592" i="1" s="1"/>
  <c r="DS590" i="1"/>
  <c r="EB590" i="1" s="1"/>
  <c r="CP590" i="1"/>
  <c r="CY590" i="1" s="1"/>
  <c r="EN590" i="1"/>
  <c r="EK590" i="1"/>
  <c r="EI590" i="1"/>
  <c r="DV588" i="1"/>
  <c r="EE588" i="1" s="1"/>
  <c r="CS588" i="1"/>
  <c r="DB588" i="1" s="1"/>
  <c r="DO587" i="1"/>
  <c r="DX587" i="1" s="1"/>
  <c r="CL587" i="1"/>
  <c r="CU587" i="1" s="1"/>
  <c r="DQ585" i="1"/>
  <c r="DZ585" i="1" s="1"/>
  <c r="CN585" i="1"/>
  <c r="CW585" i="1" s="1"/>
  <c r="DU583" i="1"/>
  <c r="ED583" i="1" s="1"/>
  <c r="CR583" i="1"/>
  <c r="DA583" i="1" s="1"/>
  <c r="DW581" i="1"/>
  <c r="EF581" i="1" s="1"/>
  <c r="CT581" i="1"/>
  <c r="DC581" i="1" s="1"/>
  <c r="DP580" i="1"/>
  <c r="DY580" i="1" s="1"/>
  <c r="CM580" i="1"/>
  <c r="CV580" i="1" s="1"/>
  <c r="DS578" i="1"/>
  <c r="EB578" i="1" s="1"/>
  <c r="CP578" i="1"/>
  <c r="CY578" i="1" s="1"/>
  <c r="EN578" i="1"/>
  <c r="EK578" i="1"/>
  <c r="EI578" i="1"/>
  <c r="DV576" i="1"/>
  <c r="EE576" i="1" s="1"/>
  <c r="CS576" i="1"/>
  <c r="DB576" i="1" s="1"/>
  <c r="DO575" i="1"/>
  <c r="DX575" i="1" s="1"/>
  <c r="CL575" i="1"/>
  <c r="CU575" i="1" s="1"/>
  <c r="DQ573" i="1"/>
  <c r="DZ573" i="1" s="1"/>
  <c r="CN573" i="1"/>
  <c r="CW573" i="1" s="1"/>
  <c r="DU571" i="1"/>
  <c r="ED571" i="1" s="1"/>
  <c r="CR571" i="1"/>
  <c r="DA571" i="1" s="1"/>
  <c r="DW569" i="1"/>
  <c r="EF569" i="1" s="1"/>
  <c r="CT569" i="1"/>
  <c r="DC569" i="1" s="1"/>
  <c r="DP568" i="1"/>
  <c r="DY568" i="1" s="1"/>
  <c r="CM568" i="1"/>
  <c r="CV568" i="1" s="1"/>
  <c r="DS566" i="1"/>
  <c r="EB566" i="1" s="1"/>
  <c r="CP566" i="1"/>
  <c r="CY566" i="1" s="1"/>
  <c r="EN566" i="1"/>
  <c r="EI566" i="1"/>
  <c r="EK566" i="1"/>
  <c r="DV564" i="1"/>
  <c r="EE564" i="1" s="1"/>
  <c r="CS564" i="1"/>
  <c r="DB564" i="1" s="1"/>
  <c r="DO563" i="1"/>
  <c r="DX563" i="1" s="1"/>
  <c r="CL563" i="1"/>
  <c r="CU563" i="1" s="1"/>
  <c r="DQ561" i="1"/>
  <c r="DZ561" i="1" s="1"/>
  <c r="CN561" i="1"/>
  <c r="CW561" i="1" s="1"/>
  <c r="DU559" i="1"/>
  <c r="ED559" i="1" s="1"/>
  <c r="CR559" i="1"/>
  <c r="DA559" i="1" s="1"/>
  <c r="DW557" i="1"/>
  <c r="EF557" i="1" s="1"/>
  <c r="CT557" i="1"/>
  <c r="DC557" i="1" s="1"/>
  <c r="DP556" i="1"/>
  <c r="DY556" i="1" s="1"/>
  <c r="CM556" i="1"/>
  <c r="CV556" i="1" s="1"/>
  <c r="DS554" i="1"/>
  <c r="EB554" i="1" s="1"/>
  <c r="CP554" i="1"/>
  <c r="CY554" i="1" s="1"/>
  <c r="EN554" i="1"/>
  <c r="EI554" i="1"/>
  <c r="EK554" i="1"/>
  <c r="DV552" i="1"/>
  <c r="EE552" i="1" s="1"/>
  <c r="CS552" i="1"/>
  <c r="DB552" i="1" s="1"/>
  <c r="DO551" i="1"/>
  <c r="DX551" i="1" s="1"/>
  <c r="CL551" i="1"/>
  <c r="CU551" i="1" s="1"/>
  <c r="DQ549" i="1"/>
  <c r="DZ549" i="1" s="1"/>
  <c r="CN549" i="1"/>
  <c r="CW549" i="1" s="1"/>
  <c r="DU547" i="1"/>
  <c r="ED547" i="1" s="1"/>
  <c r="CR547" i="1"/>
  <c r="DA547" i="1" s="1"/>
  <c r="DW545" i="1"/>
  <c r="EF545" i="1" s="1"/>
  <c r="CT545" i="1"/>
  <c r="DC545" i="1" s="1"/>
  <c r="DP544" i="1"/>
  <c r="DY544" i="1" s="1"/>
  <c r="CM544" i="1"/>
  <c r="CV544" i="1" s="1"/>
  <c r="DS542" i="1"/>
  <c r="EB542" i="1" s="1"/>
  <c r="CP542" i="1"/>
  <c r="CY542" i="1" s="1"/>
  <c r="EN542" i="1"/>
  <c r="EI542" i="1"/>
  <c r="EK542" i="1"/>
  <c r="DV540" i="1"/>
  <c r="EE540" i="1" s="1"/>
  <c r="CS540" i="1"/>
  <c r="DB540" i="1" s="1"/>
  <c r="DO539" i="1"/>
  <c r="DX539" i="1" s="1"/>
  <c r="CL539" i="1"/>
  <c r="CU539" i="1" s="1"/>
  <c r="DQ537" i="1"/>
  <c r="DZ537" i="1" s="1"/>
  <c r="CN537" i="1"/>
  <c r="CW537" i="1" s="1"/>
  <c r="DU535" i="1"/>
  <c r="ED535" i="1" s="1"/>
  <c r="CR535" i="1"/>
  <c r="DA535" i="1" s="1"/>
  <c r="DW533" i="1"/>
  <c r="EF533" i="1" s="1"/>
  <c r="CT533" i="1"/>
  <c r="DC533" i="1" s="1"/>
  <c r="DP532" i="1"/>
  <c r="DY532" i="1" s="1"/>
  <c r="CM532" i="1"/>
  <c r="CV532" i="1" s="1"/>
  <c r="DS530" i="1"/>
  <c r="EB530" i="1" s="1"/>
  <c r="CP530" i="1"/>
  <c r="CY530" i="1" s="1"/>
  <c r="EN530" i="1"/>
  <c r="EK530" i="1"/>
  <c r="EI530" i="1"/>
  <c r="DV528" i="1"/>
  <c r="EE528" i="1" s="1"/>
  <c r="CS528" i="1"/>
  <c r="DB528" i="1" s="1"/>
  <c r="DO527" i="1"/>
  <c r="DX527" i="1" s="1"/>
  <c r="CL527" i="1"/>
  <c r="CU527" i="1" s="1"/>
  <c r="DQ525" i="1"/>
  <c r="DZ525" i="1" s="1"/>
  <c r="CN525" i="1"/>
  <c r="CW525" i="1" s="1"/>
  <c r="DU523" i="1"/>
  <c r="ED523" i="1" s="1"/>
  <c r="CR523" i="1"/>
  <c r="DA523" i="1" s="1"/>
  <c r="DW521" i="1"/>
  <c r="EF521" i="1" s="1"/>
  <c r="CT521" i="1"/>
  <c r="DC521" i="1" s="1"/>
  <c r="DP520" i="1"/>
  <c r="DY520" i="1" s="1"/>
  <c r="CM520" i="1"/>
  <c r="CV520" i="1" s="1"/>
  <c r="DS518" i="1"/>
  <c r="EB518" i="1" s="1"/>
  <c r="CP518" i="1"/>
  <c r="CY518" i="1" s="1"/>
  <c r="EN518" i="1"/>
  <c r="EI518" i="1"/>
  <c r="EK518" i="1"/>
  <c r="DV516" i="1"/>
  <c r="EE516" i="1" s="1"/>
  <c r="CS516" i="1"/>
  <c r="DB516" i="1" s="1"/>
  <c r="DO515" i="1"/>
  <c r="DX515" i="1" s="1"/>
  <c r="CL515" i="1"/>
  <c r="CU515" i="1" s="1"/>
  <c r="DQ513" i="1"/>
  <c r="DZ513" i="1" s="1"/>
  <c r="CN513" i="1"/>
  <c r="CW513" i="1" s="1"/>
  <c r="DU511" i="1"/>
  <c r="ED511" i="1" s="1"/>
  <c r="CR511" i="1"/>
  <c r="DA511" i="1" s="1"/>
  <c r="DW509" i="1"/>
  <c r="EF509" i="1" s="1"/>
  <c r="CT509" i="1"/>
  <c r="DC509" i="1" s="1"/>
  <c r="DP508" i="1"/>
  <c r="DY508" i="1" s="1"/>
  <c r="CM508" i="1"/>
  <c r="CV508" i="1" s="1"/>
  <c r="DS506" i="1"/>
  <c r="EB506" i="1" s="1"/>
  <c r="CP506" i="1"/>
  <c r="CY506" i="1" s="1"/>
  <c r="EN506" i="1"/>
  <c r="EK506" i="1"/>
  <c r="EI506" i="1"/>
  <c r="DV504" i="1"/>
  <c r="EE504" i="1" s="1"/>
  <c r="CS504" i="1"/>
  <c r="DB504" i="1" s="1"/>
  <c r="DO503" i="1"/>
  <c r="DX503" i="1" s="1"/>
  <c r="CL503" i="1"/>
  <c r="CU503" i="1" s="1"/>
  <c r="DQ501" i="1"/>
  <c r="DZ501" i="1" s="1"/>
  <c r="CN501" i="1"/>
  <c r="CW501" i="1" s="1"/>
  <c r="DU499" i="1"/>
  <c r="ED499" i="1" s="1"/>
  <c r="CR499" i="1"/>
  <c r="DA499" i="1" s="1"/>
  <c r="DW497" i="1"/>
  <c r="EF497" i="1" s="1"/>
  <c r="CT497" i="1"/>
  <c r="DC497" i="1" s="1"/>
  <c r="DP496" i="1"/>
  <c r="DY496" i="1" s="1"/>
  <c r="CM496" i="1"/>
  <c r="CV496" i="1" s="1"/>
  <c r="DS494" i="1"/>
  <c r="EB494" i="1" s="1"/>
  <c r="CP494" i="1"/>
  <c r="CY494" i="1" s="1"/>
  <c r="EN494" i="1"/>
  <c r="EI494" i="1"/>
  <c r="EK494" i="1"/>
  <c r="DV492" i="1"/>
  <c r="EE492" i="1" s="1"/>
  <c r="CS492" i="1"/>
  <c r="DB492" i="1" s="1"/>
  <c r="DO491" i="1"/>
  <c r="DX491" i="1" s="1"/>
  <c r="CL491" i="1"/>
  <c r="CU491" i="1" s="1"/>
  <c r="DQ489" i="1"/>
  <c r="DZ489" i="1" s="1"/>
  <c r="CN489" i="1"/>
  <c r="CW489" i="1" s="1"/>
  <c r="DU487" i="1"/>
  <c r="ED487" i="1" s="1"/>
  <c r="CR487" i="1"/>
  <c r="DA487" i="1" s="1"/>
  <c r="DW485" i="1"/>
  <c r="EF485" i="1" s="1"/>
  <c r="CT485" i="1"/>
  <c r="DC485" i="1" s="1"/>
  <c r="DP484" i="1"/>
  <c r="DY484" i="1" s="1"/>
  <c r="CM484" i="1"/>
  <c r="CV484" i="1" s="1"/>
  <c r="DS482" i="1"/>
  <c r="EB482" i="1" s="1"/>
  <c r="CP482" i="1"/>
  <c r="CY482" i="1" s="1"/>
  <c r="EN482" i="1"/>
  <c r="EK482" i="1"/>
  <c r="EI482" i="1"/>
  <c r="DV480" i="1"/>
  <c r="EE480" i="1" s="1"/>
  <c r="CS480" i="1"/>
  <c r="DB480" i="1" s="1"/>
  <c r="DO479" i="1"/>
  <c r="DX479" i="1" s="1"/>
  <c r="CL479" i="1"/>
  <c r="CU479" i="1" s="1"/>
  <c r="DQ477" i="1"/>
  <c r="DZ477" i="1" s="1"/>
  <c r="CN477" i="1"/>
  <c r="CW477" i="1" s="1"/>
  <c r="DU475" i="1"/>
  <c r="ED475" i="1" s="1"/>
  <c r="CR475" i="1"/>
  <c r="DA475" i="1" s="1"/>
  <c r="DW473" i="1"/>
  <c r="EF473" i="1" s="1"/>
  <c r="CT473" i="1"/>
  <c r="DC473" i="1" s="1"/>
  <c r="DP472" i="1"/>
  <c r="DY472" i="1" s="1"/>
  <c r="CM472" i="1"/>
  <c r="CV472" i="1" s="1"/>
  <c r="DS470" i="1"/>
  <c r="EB470" i="1" s="1"/>
  <c r="CP470" i="1"/>
  <c r="CY470" i="1" s="1"/>
  <c r="EN470" i="1"/>
  <c r="EK470" i="1"/>
  <c r="EI470" i="1"/>
  <c r="DV468" i="1"/>
  <c r="EE468" i="1" s="1"/>
  <c r="CS468" i="1"/>
  <c r="DB468" i="1" s="1"/>
  <c r="DO467" i="1"/>
  <c r="DX467" i="1" s="1"/>
  <c r="CL467" i="1"/>
  <c r="CU467" i="1" s="1"/>
  <c r="DQ465" i="1"/>
  <c r="DZ465" i="1" s="1"/>
  <c r="CN465" i="1"/>
  <c r="CW465" i="1" s="1"/>
  <c r="DU463" i="1"/>
  <c r="ED463" i="1" s="1"/>
  <c r="CR463" i="1"/>
  <c r="DA463" i="1" s="1"/>
  <c r="DW461" i="1"/>
  <c r="EF461" i="1" s="1"/>
  <c r="CT461" i="1"/>
  <c r="DC461" i="1" s="1"/>
  <c r="DP460" i="1"/>
  <c r="DY460" i="1" s="1"/>
  <c r="CM460" i="1"/>
  <c r="CV460" i="1" s="1"/>
  <c r="DV456" i="1"/>
  <c r="EE456" i="1" s="1"/>
  <c r="CS456" i="1"/>
  <c r="DB456" i="1" s="1"/>
  <c r="DO455" i="1"/>
  <c r="DX455" i="1" s="1"/>
  <c r="CL455" i="1"/>
  <c r="CU455" i="1" s="1"/>
  <c r="DQ453" i="1"/>
  <c r="DZ453" i="1" s="1"/>
  <c r="CN453" i="1"/>
  <c r="CW453" i="1" s="1"/>
  <c r="DU451" i="1"/>
  <c r="ED451" i="1" s="1"/>
  <c r="CR451" i="1"/>
  <c r="DA451" i="1" s="1"/>
  <c r="DW449" i="1"/>
  <c r="EF449" i="1" s="1"/>
  <c r="CT449" i="1"/>
  <c r="DC449" i="1" s="1"/>
  <c r="DP448" i="1"/>
  <c r="DY448" i="1" s="1"/>
  <c r="CM448" i="1"/>
  <c r="CV448" i="1" s="1"/>
  <c r="DV444" i="1"/>
  <c r="EE444" i="1" s="1"/>
  <c r="CS444" i="1"/>
  <c r="DB444" i="1" s="1"/>
  <c r="DO443" i="1"/>
  <c r="DX443" i="1" s="1"/>
  <c r="CL443" i="1"/>
  <c r="CU443" i="1" s="1"/>
  <c r="DQ441" i="1"/>
  <c r="DZ441" i="1" s="1"/>
  <c r="CN441" i="1"/>
  <c r="CW441" i="1" s="1"/>
  <c r="DU439" i="1"/>
  <c r="ED439" i="1" s="1"/>
  <c r="CR439" i="1"/>
  <c r="DA439" i="1" s="1"/>
  <c r="DW437" i="1"/>
  <c r="EF437" i="1" s="1"/>
  <c r="CT437" i="1"/>
  <c r="DC437" i="1" s="1"/>
  <c r="DP436" i="1"/>
  <c r="DY436" i="1" s="1"/>
  <c r="CM436" i="1"/>
  <c r="CV436" i="1" s="1"/>
  <c r="DV432" i="1"/>
  <c r="EE432" i="1" s="1"/>
  <c r="CS432" i="1"/>
  <c r="DB432" i="1" s="1"/>
  <c r="DO431" i="1"/>
  <c r="DX431" i="1" s="1"/>
  <c r="CL431" i="1"/>
  <c r="CU431" i="1" s="1"/>
  <c r="DQ429" i="1"/>
  <c r="DZ429" i="1" s="1"/>
  <c r="CN429" i="1"/>
  <c r="CW429" i="1" s="1"/>
  <c r="DO574" i="1"/>
  <c r="DX574" i="1" s="1"/>
  <c r="CL574" i="1"/>
  <c r="CU574" i="1" s="1"/>
  <c r="DV551" i="1"/>
  <c r="EE551" i="1" s="1"/>
  <c r="CS551" i="1"/>
  <c r="DB551" i="1" s="1"/>
  <c r="DV527" i="1"/>
  <c r="EE527" i="1" s="1"/>
  <c r="CS527" i="1"/>
  <c r="DB527" i="1" s="1"/>
  <c r="DV503" i="1"/>
  <c r="EE503" i="1" s="1"/>
  <c r="CS503" i="1"/>
  <c r="DB503" i="1" s="1"/>
  <c r="DV479" i="1"/>
  <c r="EE479" i="1" s="1"/>
  <c r="CS479" i="1"/>
  <c r="DB479" i="1" s="1"/>
  <c r="DO454" i="1"/>
  <c r="DX454" i="1" s="1"/>
  <c r="CL454" i="1"/>
  <c r="CU454" i="1" s="1"/>
  <c r="DQ589" i="1"/>
  <c r="DZ589" i="1" s="1"/>
  <c r="CN589" i="1"/>
  <c r="CW589" i="1" s="1"/>
  <c r="DU575" i="1"/>
  <c r="ED575" i="1" s="1"/>
  <c r="CR575" i="1"/>
  <c r="DA575" i="1" s="1"/>
  <c r="DS558" i="1"/>
  <c r="EB558" i="1" s="1"/>
  <c r="CP558" i="1"/>
  <c r="CY558" i="1" s="1"/>
  <c r="EN558" i="1"/>
  <c r="EI558" i="1"/>
  <c r="EK558" i="1"/>
  <c r="DV544" i="1"/>
  <c r="EE544" i="1" s="1"/>
  <c r="CS544" i="1"/>
  <c r="DB544" i="1" s="1"/>
  <c r="DQ529" i="1"/>
  <c r="DZ529" i="1" s="1"/>
  <c r="CN529" i="1"/>
  <c r="CW529" i="1" s="1"/>
  <c r="DW513" i="1"/>
  <c r="EF513" i="1" s="1"/>
  <c r="CT513" i="1"/>
  <c r="DC513" i="1" s="1"/>
  <c r="DP500" i="1"/>
  <c r="CM500" i="1"/>
  <c r="DO483" i="1"/>
  <c r="DX483" i="1" s="1"/>
  <c r="CL483" i="1"/>
  <c r="CU483" i="1" s="1"/>
  <c r="DU467" i="1"/>
  <c r="ED467" i="1" s="1"/>
  <c r="CR467" i="1"/>
  <c r="DA467" i="1" s="1"/>
  <c r="DP452" i="1"/>
  <c r="CM452" i="1"/>
  <c r="DQ433" i="1"/>
  <c r="DZ433" i="1" s="1"/>
  <c r="CN433" i="1"/>
  <c r="CW433" i="1" s="1"/>
  <c r="DO572" i="1"/>
  <c r="DX572" i="1" s="1"/>
  <c r="CL572" i="1"/>
  <c r="CU572" i="1" s="1"/>
  <c r="DW542" i="1"/>
  <c r="EF542" i="1" s="1"/>
  <c r="CT542" i="1"/>
  <c r="DC542" i="1" s="1"/>
  <c r="DS515" i="1"/>
  <c r="EB515" i="1" s="1"/>
  <c r="CP515" i="1"/>
  <c r="CY515" i="1" s="1"/>
  <c r="EN515" i="1"/>
  <c r="EI515" i="1"/>
  <c r="EK515" i="1"/>
  <c r="DP481" i="1"/>
  <c r="DY481" i="1" s="1"/>
  <c r="CM481" i="1"/>
  <c r="CV481" i="1" s="1"/>
  <c r="DV593" i="1"/>
  <c r="EE593" i="1" s="1"/>
  <c r="CS593" i="1"/>
  <c r="DB593" i="1" s="1"/>
  <c r="DO592" i="1"/>
  <c r="DX592" i="1" s="1"/>
  <c r="CL592" i="1"/>
  <c r="CU592" i="1" s="1"/>
  <c r="DQ590" i="1"/>
  <c r="DZ590" i="1" s="1"/>
  <c r="CN590" i="1"/>
  <c r="CW590" i="1" s="1"/>
  <c r="DU588" i="1"/>
  <c r="ED588" i="1" s="1"/>
  <c r="CR588" i="1"/>
  <c r="DA588" i="1" s="1"/>
  <c r="DW586" i="1"/>
  <c r="EF586" i="1" s="1"/>
  <c r="CT586" i="1"/>
  <c r="DC586" i="1" s="1"/>
  <c r="DP585" i="1"/>
  <c r="DY585" i="1" s="1"/>
  <c r="CM585" i="1"/>
  <c r="CV585" i="1" s="1"/>
  <c r="DS583" i="1"/>
  <c r="EB583" i="1" s="1"/>
  <c r="CP583" i="1"/>
  <c r="CY583" i="1" s="1"/>
  <c r="EN583" i="1"/>
  <c r="EK583" i="1"/>
  <c r="EI583" i="1"/>
  <c r="DV581" i="1"/>
  <c r="EE581" i="1" s="1"/>
  <c r="CS581" i="1"/>
  <c r="DB581" i="1" s="1"/>
  <c r="DO580" i="1"/>
  <c r="DX580" i="1" s="1"/>
  <c r="CL580" i="1"/>
  <c r="CU580" i="1" s="1"/>
  <c r="DQ578" i="1"/>
  <c r="DZ578" i="1" s="1"/>
  <c r="CN578" i="1"/>
  <c r="CW578" i="1" s="1"/>
  <c r="DU576" i="1"/>
  <c r="ED576" i="1" s="1"/>
  <c r="CR576" i="1"/>
  <c r="DA576" i="1" s="1"/>
  <c r="DW574" i="1"/>
  <c r="EF574" i="1" s="1"/>
  <c r="CT574" i="1"/>
  <c r="DC574" i="1" s="1"/>
  <c r="DP573" i="1"/>
  <c r="DY573" i="1" s="1"/>
  <c r="CM573" i="1"/>
  <c r="CV573" i="1" s="1"/>
  <c r="DS571" i="1"/>
  <c r="EB571" i="1" s="1"/>
  <c r="CP571" i="1"/>
  <c r="CY571" i="1" s="1"/>
  <c r="EN571" i="1"/>
  <c r="EK571" i="1"/>
  <c r="EI571" i="1"/>
  <c r="DV569" i="1"/>
  <c r="EE569" i="1" s="1"/>
  <c r="CS569" i="1"/>
  <c r="DB569" i="1" s="1"/>
  <c r="DO568" i="1"/>
  <c r="DX568" i="1" s="1"/>
  <c r="CL568" i="1"/>
  <c r="CU568" i="1" s="1"/>
  <c r="DQ566" i="1"/>
  <c r="DZ566" i="1" s="1"/>
  <c r="CN566" i="1"/>
  <c r="CW566" i="1" s="1"/>
  <c r="DU564" i="1"/>
  <c r="ED564" i="1" s="1"/>
  <c r="CR564" i="1"/>
  <c r="DA564" i="1" s="1"/>
  <c r="DW562" i="1"/>
  <c r="EF562" i="1" s="1"/>
  <c r="CT562" i="1"/>
  <c r="DC562" i="1" s="1"/>
  <c r="DP561" i="1"/>
  <c r="DY561" i="1" s="1"/>
  <c r="CM561" i="1"/>
  <c r="CV561" i="1" s="1"/>
  <c r="DS559" i="1"/>
  <c r="EB559" i="1" s="1"/>
  <c r="CP559" i="1"/>
  <c r="CY559" i="1" s="1"/>
  <c r="EN559" i="1"/>
  <c r="EI559" i="1"/>
  <c r="EK559" i="1"/>
  <c r="DV557" i="1"/>
  <c r="EE557" i="1" s="1"/>
  <c r="CS557" i="1"/>
  <c r="DB557" i="1" s="1"/>
  <c r="DO556" i="1"/>
  <c r="DX556" i="1" s="1"/>
  <c r="CL556" i="1"/>
  <c r="CU556" i="1" s="1"/>
  <c r="DQ554" i="1"/>
  <c r="DZ554" i="1" s="1"/>
  <c r="CN554" i="1"/>
  <c r="CW554" i="1" s="1"/>
  <c r="DU552" i="1"/>
  <c r="ED552" i="1" s="1"/>
  <c r="CR552" i="1"/>
  <c r="DA552" i="1" s="1"/>
  <c r="DW550" i="1"/>
  <c r="EF550" i="1" s="1"/>
  <c r="CT550" i="1"/>
  <c r="DC550" i="1" s="1"/>
  <c r="DP549" i="1"/>
  <c r="DY549" i="1" s="1"/>
  <c r="CM549" i="1"/>
  <c r="CV549" i="1" s="1"/>
  <c r="DS547" i="1"/>
  <c r="EB547" i="1" s="1"/>
  <c r="CP547" i="1"/>
  <c r="CY547" i="1" s="1"/>
  <c r="EN547" i="1"/>
  <c r="EI547" i="1"/>
  <c r="EK547" i="1"/>
  <c r="DV545" i="1"/>
  <c r="EE545" i="1" s="1"/>
  <c r="CS545" i="1"/>
  <c r="DB545" i="1" s="1"/>
  <c r="DO544" i="1"/>
  <c r="DX544" i="1" s="1"/>
  <c r="CL544" i="1"/>
  <c r="CU544" i="1" s="1"/>
  <c r="DQ542" i="1"/>
  <c r="DZ542" i="1" s="1"/>
  <c r="CN542" i="1"/>
  <c r="CW542" i="1" s="1"/>
  <c r="DU540" i="1"/>
  <c r="ED540" i="1" s="1"/>
  <c r="CR540" i="1"/>
  <c r="DA540" i="1" s="1"/>
  <c r="DW538" i="1"/>
  <c r="EF538" i="1" s="1"/>
  <c r="CT538" i="1"/>
  <c r="DC538" i="1" s="1"/>
  <c r="DP537" i="1"/>
  <c r="DY537" i="1" s="1"/>
  <c r="CM537" i="1"/>
  <c r="CV537" i="1" s="1"/>
  <c r="DS535" i="1"/>
  <c r="EB535" i="1" s="1"/>
  <c r="CP535" i="1"/>
  <c r="CY535" i="1" s="1"/>
  <c r="EN535" i="1"/>
  <c r="EI535" i="1"/>
  <c r="EK535" i="1"/>
  <c r="DV533" i="1"/>
  <c r="EE533" i="1" s="1"/>
  <c r="CS533" i="1"/>
  <c r="DB533" i="1" s="1"/>
  <c r="DO532" i="1"/>
  <c r="DX532" i="1" s="1"/>
  <c r="CL532" i="1"/>
  <c r="CU532" i="1" s="1"/>
  <c r="DQ530" i="1"/>
  <c r="DZ530" i="1" s="1"/>
  <c r="CN530" i="1"/>
  <c r="CW530" i="1" s="1"/>
  <c r="DU528" i="1"/>
  <c r="ED528" i="1" s="1"/>
  <c r="CR528" i="1"/>
  <c r="DA528" i="1" s="1"/>
  <c r="DW526" i="1"/>
  <c r="EF526" i="1" s="1"/>
  <c r="CT526" i="1"/>
  <c r="DC526" i="1" s="1"/>
  <c r="DP525" i="1"/>
  <c r="DY525" i="1" s="1"/>
  <c r="CM525" i="1"/>
  <c r="CV525" i="1" s="1"/>
  <c r="DS523" i="1"/>
  <c r="EB523" i="1" s="1"/>
  <c r="CP523" i="1"/>
  <c r="CY523" i="1" s="1"/>
  <c r="EN523" i="1"/>
  <c r="EI523" i="1"/>
  <c r="EK523" i="1"/>
  <c r="DV521" i="1"/>
  <c r="EE521" i="1" s="1"/>
  <c r="CS521" i="1"/>
  <c r="DB521" i="1" s="1"/>
  <c r="DO520" i="1"/>
  <c r="DX520" i="1" s="1"/>
  <c r="CL520" i="1"/>
  <c r="CU520" i="1" s="1"/>
  <c r="DQ518" i="1"/>
  <c r="DZ518" i="1" s="1"/>
  <c r="CN518" i="1"/>
  <c r="CW518" i="1" s="1"/>
  <c r="DU516" i="1"/>
  <c r="ED516" i="1" s="1"/>
  <c r="CR516" i="1"/>
  <c r="DA516" i="1" s="1"/>
  <c r="DW514" i="1"/>
  <c r="EF514" i="1" s="1"/>
  <c r="CT514" i="1"/>
  <c r="DC514" i="1" s="1"/>
  <c r="DP513" i="1"/>
  <c r="DY513" i="1" s="1"/>
  <c r="CM513" i="1"/>
  <c r="CV513" i="1" s="1"/>
  <c r="DS511" i="1"/>
  <c r="EB511" i="1" s="1"/>
  <c r="CP511" i="1"/>
  <c r="CY511" i="1" s="1"/>
  <c r="EN511" i="1"/>
  <c r="EK511" i="1"/>
  <c r="EI511" i="1"/>
  <c r="DV509" i="1"/>
  <c r="EE509" i="1" s="1"/>
  <c r="CS509" i="1"/>
  <c r="DB509" i="1" s="1"/>
  <c r="DO508" i="1"/>
  <c r="DX508" i="1" s="1"/>
  <c r="CL508" i="1"/>
  <c r="CU508" i="1" s="1"/>
  <c r="DQ506" i="1"/>
  <c r="DZ506" i="1" s="1"/>
  <c r="CN506" i="1"/>
  <c r="CW506" i="1" s="1"/>
  <c r="DU504" i="1"/>
  <c r="ED504" i="1" s="1"/>
  <c r="CR504" i="1"/>
  <c r="DA504" i="1" s="1"/>
  <c r="DW502" i="1"/>
  <c r="EF502" i="1" s="1"/>
  <c r="CT502" i="1"/>
  <c r="DC502" i="1" s="1"/>
  <c r="DP501" i="1"/>
  <c r="DY501" i="1" s="1"/>
  <c r="CM501" i="1"/>
  <c r="CV501" i="1" s="1"/>
  <c r="DS499" i="1"/>
  <c r="EB499" i="1" s="1"/>
  <c r="CP499" i="1"/>
  <c r="CY499" i="1" s="1"/>
  <c r="EN499" i="1"/>
  <c r="EI499" i="1"/>
  <c r="EK499" i="1"/>
  <c r="DV497" i="1"/>
  <c r="EE497" i="1" s="1"/>
  <c r="CS497" i="1"/>
  <c r="DB497" i="1" s="1"/>
  <c r="DO496" i="1"/>
  <c r="DX496" i="1" s="1"/>
  <c r="CL496" i="1"/>
  <c r="CU496" i="1" s="1"/>
  <c r="DQ494" i="1"/>
  <c r="DZ494" i="1" s="1"/>
  <c r="CN494" i="1"/>
  <c r="CW494" i="1" s="1"/>
  <c r="DU492" i="1"/>
  <c r="ED492" i="1" s="1"/>
  <c r="CR492" i="1"/>
  <c r="DA492" i="1" s="1"/>
  <c r="DW490" i="1"/>
  <c r="EF490" i="1" s="1"/>
  <c r="CT490" i="1"/>
  <c r="DC490" i="1" s="1"/>
  <c r="DP489" i="1"/>
  <c r="DY489" i="1" s="1"/>
  <c r="CM489" i="1"/>
  <c r="CV489" i="1" s="1"/>
  <c r="DS487" i="1"/>
  <c r="EB487" i="1" s="1"/>
  <c r="CP487" i="1"/>
  <c r="CY487" i="1" s="1"/>
  <c r="EN487" i="1"/>
  <c r="EI487" i="1"/>
  <c r="EK487" i="1"/>
  <c r="DV485" i="1"/>
  <c r="EE485" i="1" s="1"/>
  <c r="CS485" i="1"/>
  <c r="DB485" i="1" s="1"/>
  <c r="DO484" i="1"/>
  <c r="DX484" i="1" s="1"/>
  <c r="CL484" i="1"/>
  <c r="CU484" i="1" s="1"/>
  <c r="DQ482" i="1"/>
  <c r="DZ482" i="1" s="1"/>
  <c r="CN482" i="1"/>
  <c r="CW482" i="1" s="1"/>
  <c r="DU480" i="1"/>
  <c r="ED480" i="1" s="1"/>
  <c r="CR480" i="1"/>
  <c r="DA480" i="1" s="1"/>
  <c r="DW478" i="1"/>
  <c r="EF478" i="1" s="1"/>
  <c r="CT478" i="1"/>
  <c r="DC478" i="1" s="1"/>
  <c r="DP477" i="1"/>
  <c r="DY477" i="1" s="1"/>
  <c r="CM477" i="1"/>
  <c r="CV477" i="1" s="1"/>
  <c r="DS475" i="1"/>
  <c r="EB475" i="1" s="1"/>
  <c r="CP475" i="1"/>
  <c r="CY475" i="1" s="1"/>
  <c r="EN475" i="1"/>
  <c r="EI475" i="1"/>
  <c r="EK475" i="1"/>
  <c r="DV473" i="1"/>
  <c r="EE473" i="1" s="1"/>
  <c r="CS473" i="1"/>
  <c r="DB473" i="1" s="1"/>
  <c r="DO472" i="1"/>
  <c r="DX472" i="1" s="1"/>
  <c r="CL472" i="1"/>
  <c r="CU472" i="1" s="1"/>
  <c r="DQ470" i="1"/>
  <c r="DZ470" i="1" s="1"/>
  <c r="CN470" i="1"/>
  <c r="CW470" i="1" s="1"/>
  <c r="DU468" i="1"/>
  <c r="ED468" i="1" s="1"/>
  <c r="CR468" i="1"/>
  <c r="DA468" i="1" s="1"/>
  <c r="DW466" i="1"/>
  <c r="EF466" i="1" s="1"/>
  <c r="CT466" i="1"/>
  <c r="DC466" i="1" s="1"/>
  <c r="DP465" i="1"/>
  <c r="DY465" i="1" s="1"/>
  <c r="CM465" i="1"/>
  <c r="CV465" i="1" s="1"/>
  <c r="DV461" i="1"/>
  <c r="EE461" i="1" s="1"/>
  <c r="CS461" i="1"/>
  <c r="DB461" i="1" s="1"/>
  <c r="DO460" i="1"/>
  <c r="DX460" i="1" s="1"/>
  <c r="CL460" i="1"/>
  <c r="CU460" i="1" s="1"/>
  <c r="DQ458" i="1"/>
  <c r="DZ458" i="1" s="1"/>
  <c r="CN458" i="1"/>
  <c r="CW458" i="1" s="1"/>
  <c r="DU456" i="1"/>
  <c r="ED456" i="1" s="1"/>
  <c r="CR456" i="1"/>
  <c r="DA456" i="1" s="1"/>
  <c r="DW454" i="1"/>
  <c r="EF454" i="1" s="1"/>
  <c r="CT454" i="1"/>
  <c r="DC454" i="1" s="1"/>
  <c r="DP453" i="1"/>
  <c r="DY453" i="1" s="1"/>
  <c r="CM453" i="1"/>
  <c r="CV453" i="1" s="1"/>
  <c r="DV449" i="1"/>
  <c r="EE449" i="1" s="1"/>
  <c r="CS449" i="1"/>
  <c r="DB449" i="1" s="1"/>
  <c r="DO448" i="1"/>
  <c r="DX448" i="1" s="1"/>
  <c r="CL448" i="1"/>
  <c r="CU448" i="1" s="1"/>
  <c r="DQ446" i="1"/>
  <c r="DZ446" i="1" s="1"/>
  <c r="CN446" i="1"/>
  <c r="CW446" i="1" s="1"/>
  <c r="DU444" i="1"/>
  <c r="ED444" i="1" s="1"/>
  <c r="CR444" i="1"/>
  <c r="DA444" i="1" s="1"/>
  <c r="DW442" i="1"/>
  <c r="EF442" i="1" s="1"/>
  <c r="CT442" i="1"/>
  <c r="DC442" i="1" s="1"/>
  <c r="DP441" i="1"/>
  <c r="DY441" i="1" s="1"/>
  <c r="CM441" i="1"/>
  <c r="CV441" i="1" s="1"/>
  <c r="DV437" i="1"/>
  <c r="EE437" i="1" s="1"/>
  <c r="CS437" i="1"/>
  <c r="DB437" i="1" s="1"/>
  <c r="DO436" i="1"/>
  <c r="DX436" i="1" s="1"/>
  <c r="CL436" i="1"/>
  <c r="CU436" i="1" s="1"/>
  <c r="DQ434" i="1"/>
  <c r="DZ434" i="1" s="1"/>
  <c r="CN434" i="1"/>
  <c r="CW434" i="1" s="1"/>
  <c r="DU432" i="1"/>
  <c r="ED432" i="1" s="1"/>
  <c r="CR432" i="1"/>
  <c r="DA432" i="1" s="1"/>
  <c r="DW430" i="1"/>
  <c r="EF430" i="1" s="1"/>
  <c r="CT430" i="1"/>
  <c r="DC430" i="1" s="1"/>
  <c r="DP429" i="1"/>
  <c r="DY429" i="1" s="1"/>
  <c r="CM429" i="1"/>
  <c r="CV429" i="1" s="1"/>
  <c r="DO586" i="1"/>
  <c r="DX586" i="1" s="1"/>
  <c r="CL586" i="1"/>
  <c r="CU586" i="1" s="1"/>
  <c r="DP567" i="1"/>
  <c r="DY567" i="1" s="1"/>
  <c r="CM567" i="1"/>
  <c r="CV567" i="1" s="1"/>
  <c r="DQ548" i="1"/>
  <c r="CN548" i="1"/>
  <c r="DW532" i="1"/>
  <c r="EF532" i="1" s="1"/>
  <c r="CT532" i="1"/>
  <c r="DC532" i="1" s="1"/>
  <c r="DV515" i="1"/>
  <c r="EE515" i="1" s="1"/>
  <c r="CS515" i="1"/>
  <c r="DB515" i="1" s="1"/>
  <c r="DQ500" i="1"/>
  <c r="CN500" i="1"/>
  <c r="DW484" i="1"/>
  <c r="EF484" i="1" s="1"/>
  <c r="CT484" i="1"/>
  <c r="DC484" i="1" s="1"/>
  <c r="DV467" i="1"/>
  <c r="EE467" i="1" s="1"/>
  <c r="CS467" i="1"/>
  <c r="DB467" i="1" s="1"/>
  <c r="DQ452" i="1"/>
  <c r="CN452" i="1"/>
  <c r="DU438" i="1"/>
  <c r="ED438" i="1" s="1"/>
  <c r="CR438" i="1"/>
  <c r="DA438" i="1" s="1"/>
  <c r="DV580" i="1"/>
  <c r="EE580" i="1" s="1"/>
  <c r="CS580" i="1"/>
  <c r="DB580" i="1" s="1"/>
  <c r="DU563" i="1"/>
  <c r="ED563" i="1" s="1"/>
  <c r="CR563" i="1"/>
  <c r="DA563" i="1" s="1"/>
  <c r="DS546" i="1"/>
  <c r="EB546" i="1" s="1"/>
  <c r="CP546" i="1"/>
  <c r="CY546" i="1" s="1"/>
  <c r="EN546" i="1"/>
  <c r="EK546" i="1"/>
  <c r="EI546" i="1"/>
  <c r="DO531" i="1"/>
  <c r="DX531" i="1" s="1"/>
  <c r="CL531" i="1"/>
  <c r="CU531" i="1" s="1"/>
  <c r="DP512" i="1"/>
  <c r="CM512" i="1"/>
  <c r="DV496" i="1"/>
  <c r="EE496" i="1" s="1"/>
  <c r="CS496" i="1"/>
  <c r="DB496" i="1" s="1"/>
  <c r="DV472" i="1"/>
  <c r="EE472" i="1" s="1"/>
  <c r="CS472" i="1"/>
  <c r="DB472" i="1" s="1"/>
  <c r="DV448" i="1"/>
  <c r="EE448" i="1" s="1"/>
  <c r="CS448" i="1"/>
  <c r="DB448" i="1" s="1"/>
  <c r="DV585" i="1"/>
  <c r="EE585" i="1" s="1"/>
  <c r="CS585" i="1"/>
  <c r="DB585" i="1" s="1"/>
  <c r="DQ570" i="1"/>
  <c r="DZ570" i="1" s="1"/>
  <c r="CN570" i="1"/>
  <c r="CW570" i="1" s="1"/>
  <c r="DP553" i="1"/>
  <c r="DY553" i="1" s="1"/>
  <c r="CM553" i="1"/>
  <c r="CV553" i="1" s="1"/>
  <c r="DW530" i="1"/>
  <c r="EF530" i="1" s="1"/>
  <c r="CT530" i="1"/>
  <c r="DC530" i="1" s="1"/>
  <c r="DU508" i="1"/>
  <c r="ED508" i="1" s="1"/>
  <c r="CR508" i="1"/>
  <c r="DA508" i="1" s="1"/>
  <c r="DS479" i="1"/>
  <c r="EB479" i="1" s="1"/>
  <c r="CP479" i="1"/>
  <c r="CY479" i="1" s="1"/>
  <c r="EN479" i="1"/>
  <c r="EI479" i="1"/>
  <c r="EK479" i="1"/>
  <c r="DU593" i="1"/>
  <c r="ED593" i="1" s="1"/>
  <c r="CR593" i="1"/>
  <c r="DA593" i="1" s="1"/>
  <c r="DW591" i="1"/>
  <c r="EF591" i="1" s="1"/>
  <c r="CT591" i="1"/>
  <c r="DC591" i="1" s="1"/>
  <c r="DP590" i="1"/>
  <c r="DY590" i="1" s="1"/>
  <c r="CM590" i="1"/>
  <c r="CV590" i="1" s="1"/>
  <c r="DS588" i="1"/>
  <c r="EB588" i="1" s="1"/>
  <c r="CP588" i="1"/>
  <c r="CY588" i="1" s="1"/>
  <c r="EN588" i="1"/>
  <c r="EI588" i="1"/>
  <c r="EK588" i="1"/>
  <c r="DV586" i="1"/>
  <c r="EE586" i="1" s="1"/>
  <c r="CS586" i="1"/>
  <c r="DB586" i="1" s="1"/>
  <c r="DO585" i="1"/>
  <c r="DX585" i="1" s="1"/>
  <c r="CL585" i="1"/>
  <c r="CU585" i="1" s="1"/>
  <c r="DQ583" i="1"/>
  <c r="DZ583" i="1" s="1"/>
  <c r="CN583" i="1"/>
  <c r="CW583" i="1" s="1"/>
  <c r="DU581" i="1"/>
  <c r="ED581" i="1" s="1"/>
  <c r="CR581" i="1"/>
  <c r="DA581" i="1" s="1"/>
  <c r="DW579" i="1"/>
  <c r="EF579" i="1" s="1"/>
  <c r="CT579" i="1"/>
  <c r="DC579" i="1" s="1"/>
  <c r="DP578" i="1"/>
  <c r="DY578" i="1" s="1"/>
  <c r="CM578" i="1"/>
  <c r="CV578" i="1" s="1"/>
  <c r="DS576" i="1"/>
  <c r="EB576" i="1" s="1"/>
  <c r="CP576" i="1"/>
  <c r="CY576" i="1" s="1"/>
  <c r="EN576" i="1"/>
  <c r="EK576" i="1"/>
  <c r="EI576" i="1"/>
  <c r="DV574" i="1"/>
  <c r="EE574" i="1" s="1"/>
  <c r="CS574" i="1"/>
  <c r="DB574" i="1" s="1"/>
  <c r="DO573" i="1"/>
  <c r="DX573" i="1" s="1"/>
  <c r="CL573" i="1"/>
  <c r="CU573" i="1" s="1"/>
  <c r="DQ571" i="1"/>
  <c r="DZ571" i="1" s="1"/>
  <c r="CN571" i="1"/>
  <c r="CW571" i="1" s="1"/>
  <c r="DU569" i="1"/>
  <c r="ED569" i="1" s="1"/>
  <c r="CR569" i="1"/>
  <c r="DA569" i="1" s="1"/>
  <c r="DW567" i="1"/>
  <c r="EF567" i="1" s="1"/>
  <c r="CT567" i="1"/>
  <c r="DC567" i="1" s="1"/>
  <c r="DP566" i="1"/>
  <c r="DY566" i="1" s="1"/>
  <c r="CM566" i="1"/>
  <c r="CV566" i="1" s="1"/>
  <c r="DS564" i="1"/>
  <c r="EB564" i="1" s="1"/>
  <c r="CP564" i="1"/>
  <c r="CY564" i="1" s="1"/>
  <c r="EN564" i="1"/>
  <c r="EI564" i="1"/>
  <c r="EK564" i="1"/>
  <c r="DV562" i="1"/>
  <c r="EE562" i="1" s="1"/>
  <c r="CS562" i="1"/>
  <c r="DB562" i="1" s="1"/>
  <c r="DO561" i="1"/>
  <c r="DX561" i="1" s="1"/>
  <c r="CL561" i="1"/>
  <c r="CU561" i="1" s="1"/>
  <c r="DQ559" i="1"/>
  <c r="DZ559" i="1" s="1"/>
  <c r="CN559" i="1"/>
  <c r="CW559" i="1" s="1"/>
  <c r="DU557" i="1"/>
  <c r="ED557" i="1" s="1"/>
  <c r="CR557" i="1"/>
  <c r="DA557" i="1" s="1"/>
  <c r="DW555" i="1"/>
  <c r="EF555" i="1" s="1"/>
  <c r="CT555" i="1"/>
  <c r="DC555" i="1" s="1"/>
  <c r="DP554" i="1"/>
  <c r="DY554" i="1" s="1"/>
  <c r="CM554" i="1"/>
  <c r="CV554" i="1" s="1"/>
  <c r="DS552" i="1"/>
  <c r="EB552" i="1" s="1"/>
  <c r="CP552" i="1"/>
  <c r="CY552" i="1" s="1"/>
  <c r="EN552" i="1"/>
  <c r="EI552" i="1"/>
  <c r="EK552" i="1"/>
  <c r="DV550" i="1"/>
  <c r="EE550" i="1" s="1"/>
  <c r="CS550" i="1"/>
  <c r="DB550" i="1" s="1"/>
  <c r="DO549" i="1"/>
  <c r="DX549" i="1" s="1"/>
  <c r="CL549" i="1"/>
  <c r="CU549" i="1" s="1"/>
  <c r="DQ547" i="1"/>
  <c r="DZ547" i="1" s="1"/>
  <c r="CN547" i="1"/>
  <c r="CW547" i="1" s="1"/>
  <c r="DU545" i="1"/>
  <c r="ED545" i="1" s="1"/>
  <c r="CR545" i="1"/>
  <c r="DA545" i="1" s="1"/>
  <c r="DW543" i="1"/>
  <c r="EF543" i="1" s="1"/>
  <c r="CT543" i="1"/>
  <c r="DC543" i="1" s="1"/>
  <c r="DP542" i="1"/>
  <c r="DY542" i="1" s="1"/>
  <c r="CM542" i="1"/>
  <c r="CV542" i="1" s="1"/>
  <c r="DS540" i="1"/>
  <c r="EB540" i="1" s="1"/>
  <c r="CP540" i="1"/>
  <c r="CY540" i="1" s="1"/>
  <c r="EN540" i="1"/>
  <c r="EI540" i="1"/>
  <c r="EK540" i="1"/>
  <c r="DV538" i="1"/>
  <c r="EE538" i="1" s="1"/>
  <c r="CS538" i="1"/>
  <c r="DB538" i="1" s="1"/>
  <c r="DO537" i="1"/>
  <c r="DX537" i="1" s="1"/>
  <c r="CL537" i="1"/>
  <c r="CU537" i="1" s="1"/>
  <c r="DQ535" i="1"/>
  <c r="DZ535" i="1" s="1"/>
  <c r="CN535" i="1"/>
  <c r="CW535" i="1" s="1"/>
  <c r="DU533" i="1"/>
  <c r="ED533" i="1" s="1"/>
  <c r="CR533" i="1"/>
  <c r="DA533" i="1" s="1"/>
  <c r="DW531" i="1"/>
  <c r="EF531" i="1" s="1"/>
  <c r="CT531" i="1"/>
  <c r="DC531" i="1" s="1"/>
  <c r="DP530" i="1"/>
  <c r="DY530" i="1" s="1"/>
  <c r="CM530" i="1"/>
  <c r="CV530" i="1" s="1"/>
  <c r="DS528" i="1"/>
  <c r="EB528" i="1" s="1"/>
  <c r="CP528" i="1"/>
  <c r="CY528" i="1" s="1"/>
  <c r="EN528" i="1"/>
  <c r="EK528" i="1"/>
  <c r="EI528" i="1"/>
  <c r="DV526" i="1"/>
  <c r="EE526" i="1" s="1"/>
  <c r="CS526" i="1"/>
  <c r="DB526" i="1" s="1"/>
  <c r="DO525" i="1"/>
  <c r="DX525" i="1" s="1"/>
  <c r="CL525" i="1"/>
  <c r="CU525" i="1" s="1"/>
  <c r="DQ523" i="1"/>
  <c r="DZ523" i="1" s="1"/>
  <c r="CN523" i="1"/>
  <c r="CW523" i="1" s="1"/>
  <c r="DU521" i="1"/>
  <c r="ED521" i="1" s="1"/>
  <c r="CR521" i="1"/>
  <c r="DA521" i="1" s="1"/>
  <c r="DW519" i="1"/>
  <c r="EF519" i="1" s="1"/>
  <c r="CT519" i="1"/>
  <c r="DC519" i="1" s="1"/>
  <c r="DP518" i="1"/>
  <c r="DY518" i="1" s="1"/>
  <c r="CM518" i="1"/>
  <c r="CV518" i="1" s="1"/>
  <c r="DS516" i="1"/>
  <c r="EB516" i="1" s="1"/>
  <c r="CP516" i="1"/>
  <c r="CY516" i="1" s="1"/>
  <c r="EN516" i="1"/>
  <c r="EI516" i="1"/>
  <c r="EK516" i="1"/>
  <c r="DV514" i="1"/>
  <c r="EE514" i="1" s="1"/>
  <c r="CS514" i="1"/>
  <c r="DB514" i="1" s="1"/>
  <c r="DO513" i="1"/>
  <c r="DX513" i="1" s="1"/>
  <c r="CL513" i="1"/>
  <c r="CU513" i="1" s="1"/>
  <c r="DQ511" i="1"/>
  <c r="DZ511" i="1" s="1"/>
  <c r="CN511" i="1"/>
  <c r="CW511" i="1" s="1"/>
  <c r="DU509" i="1"/>
  <c r="ED509" i="1" s="1"/>
  <c r="CR509" i="1"/>
  <c r="DA509" i="1" s="1"/>
  <c r="DW507" i="1"/>
  <c r="EF507" i="1" s="1"/>
  <c r="CT507" i="1"/>
  <c r="DC507" i="1" s="1"/>
  <c r="DP506" i="1"/>
  <c r="DY506" i="1" s="1"/>
  <c r="CM506" i="1"/>
  <c r="CV506" i="1" s="1"/>
  <c r="DS504" i="1"/>
  <c r="EB504" i="1" s="1"/>
  <c r="CP504" i="1"/>
  <c r="CY504" i="1" s="1"/>
  <c r="EN504" i="1"/>
  <c r="EK504" i="1"/>
  <c r="EI504" i="1"/>
  <c r="DV502" i="1"/>
  <c r="EE502" i="1" s="1"/>
  <c r="CS502" i="1"/>
  <c r="DB502" i="1" s="1"/>
  <c r="DO501" i="1"/>
  <c r="DX501" i="1" s="1"/>
  <c r="CL501" i="1"/>
  <c r="CU501" i="1" s="1"/>
  <c r="DQ499" i="1"/>
  <c r="DZ499" i="1" s="1"/>
  <c r="CN499" i="1"/>
  <c r="CW499" i="1" s="1"/>
  <c r="DU497" i="1"/>
  <c r="ED497" i="1" s="1"/>
  <c r="CR497" i="1"/>
  <c r="DA497" i="1" s="1"/>
  <c r="DW495" i="1"/>
  <c r="EF495" i="1" s="1"/>
  <c r="CT495" i="1"/>
  <c r="DC495" i="1" s="1"/>
  <c r="DP494" i="1"/>
  <c r="DY494" i="1" s="1"/>
  <c r="CM494" i="1"/>
  <c r="CV494" i="1" s="1"/>
  <c r="DS492" i="1"/>
  <c r="EB492" i="1" s="1"/>
  <c r="CP492" i="1"/>
  <c r="CY492" i="1" s="1"/>
  <c r="EN492" i="1"/>
  <c r="EI492" i="1"/>
  <c r="EK492" i="1"/>
  <c r="DV490" i="1"/>
  <c r="EE490" i="1" s="1"/>
  <c r="CS490" i="1"/>
  <c r="DB490" i="1" s="1"/>
  <c r="DO489" i="1"/>
  <c r="DX489" i="1" s="1"/>
  <c r="CL489" i="1"/>
  <c r="CU489" i="1" s="1"/>
  <c r="DQ487" i="1"/>
  <c r="DZ487" i="1" s="1"/>
  <c r="CN487" i="1"/>
  <c r="CW487" i="1" s="1"/>
  <c r="DU485" i="1"/>
  <c r="ED485" i="1" s="1"/>
  <c r="CR485" i="1"/>
  <c r="DA485" i="1" s="1"/>
  <c r="DW483" i="1"/>
  <c r="EF483" i="1" s="1"/>
  <c r="CT483" i="1"/>
  <c r="DC483" i="1" s="1"/>
  <c r="DP482" i="1"/>
  <c r="DY482" i="1" s="1"/>
  <c r="CM482" i="1"/>
  <c r="CV482" i="1" s="1"/>
  <c r="DS480" i="1"/>
  <c r="EB480" i="1" s="1"/>
  <c r="CP480" i="1"/>
  <c r="CY480" i="1" s="1"/>
  <c r="EN480" i="1"/>
  <c r="EK480" i="1"/>
  <c r="EI480" i="1"/>
  <c r="DV478" i="1"/>
  <c r="EE478" i="1" s="1"/>
  <c r="CS478" i="1"/>
  <c r="DB478" i="1" s="1"/>
  <c r="DO477" i="1"/>
  <c r="DX477" i="1" s="1"/>
  <c r="CL477" i="1"/>
  <c r="CU477" i="1" s="1"/>
  <c r="DQ475" i="1"/>
  <c r="DZ475" i="1" s="1"/>
  <c r="CN475" i="1"/>
  <c r="CW475" i="1" s="1"/>
  <c r="DU473" i="1"/>
  <c r="ED473" i="1" s="1"/>
  <c r="CR473" i="1"/>
  <c r="DA473" i="1" s="1"/>
  <c r="DW471" i="1"/>
  <c r="EF471" i="1" s="1"/>
  <c r="CT471" i="1"/>
  <c r="DC471" i="1" s="1"/>
  <c r="DP470" i="1"/>
  <c r="DY470" i="1" s="1"/>
  <c r="CM470" i="1"/>
  <c r="CV470" i="1" s="1"/>
  <c r="DS468" i="1"/>
  <c r="EB468" i="1" s="1"/>
  <c r="CP468" i="1"/>
  <c r="CY468" i="1" s="1"/>
  <c r="EN468" i="1"/>
  <c r="EK468" i="1"/>
  <c r="EI468" i="1"/>
  <c r="DV466" i="1"/>
  <c r="EE466" i="1" s="1"/>
  <c r="CS466" i="1"/>
  <c r="DB466" i="1" s="1"/>
  <c r="DO465" i="1"/>
  <c r="DX465" i="1" s="1"/>
  <c r="CL465" i="1"/>
  <c r="CU465" i="1" s="1"/>
  <c r="DQ463" i="1"/>
  <c r="DZ463" i="1" s="1"/>
  <c r="CN463" i="1"/>
  <c r="CW463" i="1" s="1"/>
  <c r="DU461" i="1"/>
  <c r="ED461" i="1" s="1"/>
  <c r="CR461" i="1"/>
  <c r="DA461" i="1" s="1"/>
  <c r="DW459" i="1"/>
  <c r="EF459" i="1" s="1"/>
  <c r="CT459" i="1"/>
  <c r="DC459" i="1" s="1"/>
  <c r="DP458" i="1"/>
  <c r="DY458" i="1" s="1"/>
  <c r="CM458" i="1"/>
  <c r="CV458" i="1" s="1"/>
  <c r="DV454" i="1"/>
  <c r="EE454" i="1" s="1"/>
  <c r="CS454" i="1"/>
  <c r="DB454" i="1" s="1"/>
  <c r="DO453" i="1"/>
  <c r="DX453" i="1" s="1"/>
  <c r="CL453" i="1"/>
  <c r="CU453" i="1" s="1"/>
  <c r="DQ451" i="1"/>
  <c r="DZ451" i="1" s="1"/>
  <c r="CN451" i="1"/>
  <c r="CW451" i="1" s="1"/>
  <c r="DU449" i="1"/>
  <c r="ED449" i="1" s="1"/>
  <c r="CR449" i="1"/>
  <c r="DA449" i="1" s="1"/>
  <c r="DW447" i="1"/>
  <c r="EF447" i="1" s="1"/>
  <c r="CT447" i="1"/>
  <c r="DC447" i="1" s="1"/>
  <c r="DP446" i="1"/>
  <c r="DY446" i="1" s="1"/>
  <c r="CM446" i="1"/>
  <c r="CV446" i="1" s="1"/>
  <c r="DV442" i="1"/>
  <c r="EE442" i="1" s="1"/>
  <c r="CS442" i="1"/>
  <c r="DB442" i="1" s="1"/>
  <c r="DO441" i="1"/>
  <c r="DX441" i="1" s="1"/>
  <c r="CL441" i="1"/>
  <c r="CU441" i="1" s="1"/>
  <c r="DQ439" i="1"/>
  <c r="DZ439" i="1" s="1"/>
  <c r="CN439" i="1"/>
  <c r="CW439" i="1" s="1"/>
  <c r="DU437" i="1"/>
  <c r="ED437" i="1" s="1"/>
  <c r="CR437" i="1"/>
  <c r="DA437" i="1" s="1"/>
  <c r="DW435" i="1"/>
  <c r="EF435" i="1" s="1"/>
  <c r="CT435" i="1"/>
  <c r="DC435" i="1" s="1"/>
  <c r="DP434" i="1"/>
  <c r="DY434" i="1" s="1"/>
  <c r="CM434" i="1"/>
  <c r="CV434" i="1" s="1"/>
  <c r="DV430" i="1"/>
  <c r="EE430" i="1" s="1"/>
  <c r="CS430" i="1"/>
  <c r="DB430" i="1" s="1"/>
  <c r="DO429" i="1"/>
  <c r="DX429" i="1" s="1"/>
  <c r="CL429" i="1"/>
  <c r="CU429" i="1" s="1"/>
  <c r="DW592" i="1"/>
  <c r="EF592" i="1" s="1"/>
  <c r="CT592" i="1"/>
  <c r="DC592" i="1" s="1"/>
  <c r="DS577" i="1"/>
  <c r="EB577" i="1" s="1"/>
  <c r="CP577" i="1"/>
  <c r="CY577" i="1" s="1"/>
  <c r="EN577" i="1"/>
  <c r="EI577" i="1"/>
  <c r="EK577" i="1"/>
  <c r="DO562" i="1"/>
  <c r="DX562" i="1" s="1"/>
  <c r="CL562" i="1"/>
  <c r="CU562" i="1" s="1"/>
  <c r="DP543" i="1"/>
  <c r="DY543" i="1" s="1"/>
  <c r="CM543" i="1"/>
  <c r="CV543" i="1" s="1"/>
  <c r="DO526" i="1"/>
  <c r="DX526" i="1" s="1"/>
  <c r="CL526" i="1"/>
  <c r="CU526" i="1" s="1"/>
  <c r="DU510" i="1"/>
  <c r="ED510" i="1" s="1"/>
  <c r="CR510" i="1"/>
  <c r="DA510" i="1" s="1"/>
  <c r="DW496" i="1"/>
  <c r="EF496" i="1" s="1"/>
  <c r="CT496" i="1"/>
  <c r="DC496" i="1" s="1"/>
  <c r="DP483" i="1"/>
  <c r="DY483" i="1" s="1"/>
  <c r="CM483" i="1"/>
  <c r="CV483" i="1" s="1"/>
  <c r="DO466" i="1"/>
  <c r="DX466" i="1" s="1"/>
  <c r="CL466" i="1"/>
  <c r="CU466" i="1" s="1"/>
  <c r="DP447" i="1"/>
  <c r="DY447" i="1" s="1"/>
  <c r="CM447" i="1"/>
  <c r="CV447" i="1" s="1"/>
  <c r="DW436" i="1"/>
  <c r="EF436" i="1" s="1"/>
  <c r="CT436" i="1"/>
  <c r="DC436" i="1" s="1"/>
  <c r="DU587" i="1"/>
  <c r="ED587" i="1" s="1"/>
  <c r="CR587" i="1"/>
  <c r="DA587" i="1" s="1"/>
  <c r="DP572" i="1"/>
  <c r="DY572" i="1" s="1"/>
  <c r="CM572" i="1"/>
  <c r="CV572" i="1" s="1"/>
  <c r="DO555" i="1"/>
  <c r="DX555" i="1" s="1"/>
  <c r="CL555" i="1"/>
  <c r="CU555" i="1" s="1"/>
  <c r="DO543" i="1"/>
  <c r="DX543" i="1" s="1"/>
  <c r="CL543" i="1"/>
  <c r="CU543" i="1" s="1"/>
  <c r="DP524" i="1"/>
  <c r="CM524" i="1"/>
  <c r="DV508" i="1"/>
  <c r="EE508" i="1" s="1"/>
  <c r="CS508" i="1"/>
  <c r="DB508" i="1" s="1"/>
  <c r="DW489" i="1"/>
  <c r="EF489" i="1" s="1"/>
  <c r="CT489" i="1"/>
  <c r="DC489" i="1" s="1"/>
  <c r="DW465" i="1"/>
  <c r="EF465" i="1" s="1"/>
  <c r="CT465" i="1"/>
  <c r="DC465" i="1" s="1"/>
  <c r="DU443" i="1"/>
  <c r="ED443" i="1" s="1"/>
  <c r="CR443" i="1"/>
  <c r="DA443" i="1" s="1"/>
  <c r="DU580" i="1"/>
  <c r="ED580" i="1" s="1"/>
  <c r="CR580" i="1"/>
  <c r="DA580" i="1" s="1"/>
  <c r="DS563" i="1"/>
  <c r="EB563" i="1" s="1"/>
  <c r="CP563" i="1"/>
  <c r="CY563" i="1" s="1"/>
  <c r="EN563" i="1"/>
  <c r="EI563" i="1"/>
  <c r="EK563" i="1"/>
  <c r="DQ546" i="1"/>
  <c r="DZ546" i="1" s="1"/>
  <c r="CN546" i="1"/>
  <c r="CW546" i="1" s="1"/>
  <c r="DV525" i="1"/>
  <c r="EE525" i="1" s="1"/>
  <c r="CS525" i="1"/>
  <c r="DB525" i="1" s="1"/>
  <c r="DO500" i="1"/>
  <c r="CL500" i="1"/>
  <c r="DS467" i="1"/>
  <c r="EB467" i="1" s="1"/>
  <c r="CP467" i="1"/>
  <c r="CY467" i="1" s="1"/>
  <c r="EN467" i="1"/>
  <c r="EI467" i="1"/>
  <c r="EK467" i="1"/>
  <c r="DS593" i="1"/>
  <c r="EB593" i="1" s="1"/>
  <c r="CP593" i="1"/>
  <c r="CY593" i="1" s="1"/>
  <c r="EN593" i="1"/>
  <c r="EI593" i="1"/>
  <c r="EK593" i="1"/>
  <c r="DV591" i="1"/>
  <c r="EE591" i="1" s="1"/>
  <c r="CS591" i="1"/>
  <c r="DB591" i="1" s="1"/>
  <c r="DO590" i="1"/>
  <c r="DX590" i="1" s="1"/>
  <c r="CL590" i="1"/>
  <c r="CU590" i="1" s="1"/>
  <c r="DQ588" i="1"/>
  <c r="DZ588" i="1" s="1"/>
  <c r="CN588" i="1"/>
  <c r="CW588" i="1" s="1"/>
  <c r="DU586" i="1"/>
  <c r="ED586" i="1" s="1"/>
  <c r="CR586" i="1"/>
  <c r="DA586" i="1" s="1"/>
  <c r="DW584" i="1"/>
  <c r="EF584" i="1" s="1"/>
  <c r="CT584" i="1"/>
  <c r="DC584" i="1" s="1"/>
  <c r="DP583" i="1"/>
  <c r="DY583" i="1" s="1"/>
  <c r="CM583" i="1"/>
  <c r="CV583" i="1" s="1"/>
  <c r="DS581" i="1"/>
  <c r="EB581" i="1" s="1"/>
  <c r="CP581" i="1"/>
  <c r="CY581" i="1" s="1"/>
  <c r="EN581" i="1"/>
  <c r="EI581" i="1"/>
  <c r="EK581" i="1"/>
  <c r="DV579" i="1"/>
  <c r="EE579" i="1" s="1"/>
  <c r="CS579" i="1"/>
  <c r="DB579" i="1" s="1"/>
  <c r="DO578" i="1"/>
  <c r="DX578" i="1" s="1"/>
  <c r="CL578" i="1"/>
  <c r="CU578" i="1" s="1"/>
  <c r="DQ576" i="1"/>
  <c r="DZ576" i="1" s="1"/>
  <c r="CN576" i="1"/>
  <c r="CW576" i="1" s="1"/>
  <c r="DU574" i="1"/>
  <c r="ED574" i="1" s="1"/>
  <c r="CR574" i="1"/>
  <c r="DA574" i="1" s="1"/>
  <c r="DW572" i="1"/>
  <c r="EF572" i="1" s="1"/>
  <c r="CT572" i="1"/>
  <c r="DC572" i="1" s="1"/>
  <c r="DP571" i="1"/>
  <c r="DY571" i="1" s="1"/>
  <c r="CM571" i="1"/>
  <c r="CV571" i="1" s="1"/>
  <c r="DS569" i="1"/>
  <c r="EB569" i="1" s="1"/>
  <c r="CP569" i="1"/>
  <c r="CY569" i="1" s="1"/>
  <c r="EN569" i="1"/>
  <c r="EK569" i="1"/>
  <c r="EI569" i="1"/>
  <c r="DV567" i="1"/>
  <c r="EE567" i="1" s="1"/>
  <c r="CS567" i="1"/>
  <c r="DB567" i="1" s="1"/>
  <c r="DO566" i="1"/>
  <c r="DX566" i="1" s="1"/>
  <c r="CL566" i="1"/>
  <c r="CU566" i="1" s="1"/>
  <c r="DQ564" i="1"/>
  <c r="DZ564" i="1" s="1"/>
  <c r="CN564" i="1"/>
  <c r="CW564" i="1" s="1"/>
  <c r="DU562" i="1"/>
  <c r="ED562" i="1" s="1"/>
  <c r="CR562" i="1"/>
  <c r="DA562" i="1" s="1"/>
  <c r="DW560" i="1"/>
  <c r="EF560" i="1" s="1"/>
  <c r="CT560" i="1"/>
  <c r="DC560" i="1" s="1"/>
  <c r="DP559" i="1"/>
  <c r="DY559" i="1" s="1"/>
  <c r="CM559" i="1"/>
  <c r="CV559" i="1" s="1"/>
  <c r="DS557" i="1"/>
  <c r="EB557" i="1" s="1"/>
  <c r="CP557" i="1"/>
  <c r="CY557" i="1" s="1"/>
  <c r="EN557" i="1"/>
  <c r="EI557" i="1"/>
  <c r="EK557" i="1"/>
  <c r="DV555" i="1"/>
  <c r="EE555" i="1" s="1"/>
  <c r="CS555" i="1"/>
  <c r="DB555" i="1" s="1"/>
  <c r="DO554" i="1"/>
  <c r="DX554" i="1" s="1"/>
  <c r="CL554" i="1"/>
  <c r="CU554" i="1" s="1"/>
  <c r="DQ552" i="1"/>
  <c r="DZ552" i="1" s="1"/>
  <c r="CN552" i="1"/>
  <c r="CW552" i="1" s="1"/>
  <c r="DU550" i="1"/>
  <c r="ED550" i="1" s="1"/>
  <c r="CR550" i="1"/>
  <c r="DA550" i="1" s="1"/>
  <c r="DW548" i="1"/>
  <c r="CT548" i="1"/>
  <c r="DP547" i="1"/>
  <c r="DY547" i="1" s="1"/>
  <c r="CM547" i="1"/>
  <c r="CV547" i="1" s="1"/>
  <c r="DS545" i="1"/>
  <c r="EB545" i="1" s="1"/>
  <c r="CP545" i="1"/>
  <c r="CY545" i="1" s="1"/>
  <c r="EN545" i="1"/>
  <c r="EK545" i="1"/>
  <c r="EI545" i="1"/>
  <c r="DV543" i="1"/>
  <c r="EE543" i="1" s="1"/>
  <c r="CS543" i="1"/>
  <c r="DB543" i="1" s="1"/>
  <c r="DO542" i="1"/>
  <c r="DX542" i="1" s="1"/>
  <c r="CL542" i="1"/>
  <c r="CU542" i="1" s="1"/>
  <c r="DQ540" i="1"/>
  <c r="DZ540" i="1" s="1"/>
  <c r="CN540" i="1"/>
  <c r="CW540" i="1" s="1"/>
  <c r="DU538" i="1"/>
  <c r="ED538" i="1" s="1"/>
  <c r="CR538" i="1"/>
  <c r="DA538" i="1" s="1"/>
  <c r="DW536" i="1"/>
  <c r="CT536" i="1"/>
  <c r="DP535" i="1"/>
  <c r="DY535" i="1" s="1"/>
  <c r="CM535" i="1"/>
  <c r="CV535" i="1" s="1"/>
  <c r="DS533" i="1"/>
  <c r="EB533" i="1" s="1"/>
  <c r="CP533" i="1"/>
  <c r="CY533" i="1" s="1"/>
  <c r="EN533" i="1"/>
  <c r="EK533" i="1"/>
  <c r="EI533" i="1"/>
  <c r="DV531" i="1"/>
  <c r="EE531" i="1" s="1"/>
  <c r="CS531" i="1"/>
  <c r="DB531" i="1" s="1"/>
  <c r="DO530" i="1"/>
  <c r="DX530" i="1" s="1"/>
  <c r="CL530" i="1"/>
  <c r="CU530" i="1" s="1"/>
  <c r="DQ528" i="1"/>
  <c r="DZ528" i="1" s="1"/>
  <c r="CN528" i="1"/>
  <c r="CW528" i="1" s="1"/>
  <c r="DU526" i="1"/>
  <c r="ED526" i="1" s="1"/>
  <c r="CR526" i="1"/>
  <c r="DA526" i="1" s="1"/>
  <c r="DW524" i="1"/>
  <c r="CT524" i="1"/>
  <c r="DP523" i="1"/>
  <c r="DY523" i="1" s="1"/>
  <c r="CM523" i="1"/>
  <c r="CV523" i="1" s="1"/>
  <c r="DS521" i="1"/>
  <c r="EB521" i="1" s="1"/>
  <c r="CP521" i="1"/>
  <c r="CY521" i="1" s="1"/>
  <c r="EN521" i="1"/>
  <c r="EK521" i="1"/>
  <c r="EI521" i="1"/>
  <c r="DV519" i="1"/>
  <c r="EE519" i="1" s="1"/>
  <c r="CS519" i="1"/>
  <c r="DB519" i="1" s="1"/>
  <c r="DO518" i="1"/>
  <c r="DX518" i="1" s="1"/>
  <c r="CL518" i="1"/>
  <c r="CU518" i="1" s="1"/>
  <c r="DQ516" i="1"/>
  <c r="DZ516" i="1" s="1"/>
  <c r="CN516" i="1"/>
  <c r="CW516" i="1" s="1"/>
  <c r="DU514" i="1"/>
  <c r="ED514" i="1" s="1"/>
  <c r="CR514" i="1"/>
  <c r="DA514" i="1" s="1"/>
  <c r="DW512" i="1"/>
  <c r="CT512" i="1"/>
  <c r="DP511" i="1"/>
  <c r="DY511" i="1" s="1"/>
  <c r="CM511" i="1"/>
  <c r="CV511" i="1" s="1"/>
  <c r="DS509" i="1"/>
  <c r="EB509" i="1" s="1"/>
  <c r="CP509" i="1"/>
  <c r="CY509" i="1" s="1"/>
  <c r="EN509" i="1"/>
  <c r="EK509" i="1"/>
  <c r="EI509" i="1"/>
  <c r="DV507" i="1"/>
  <c r="EE507" i="1" s="1"/>
  <c r="CS507" i="1"/>
  <c r="DB507" i="1" s="1"/>
  <c r="DO506" i="1"/>
  <c r="DX506" i="1" s="1"/>
  <c r="CL506" i="1"/>
  <c r="CU506" i="1" s="1"/>
  <c r="DQ504" i="1"/>
  <c r="DZ504" i="1" s="1"/>
  <c r="CN504" i="1"/>
  <c r="CW504" i="1" s="1"/>
  <c r="DU502" i="1"/>
  <c r="ED502" i="1" s="1"/>
  <c r="CR502" i="1"/>
  <c r="DA502" i="1" s="1"/>
  <c r="DW500" i="1"/>
  <c r="CT500" i="1"/>
  <c r="DP499" i="1"/>
  <c r="DY499" i="1" s="1"/>
  <c r="CM499" i="1"/>
  <c r="CV499" i="1" s="1"/>
  <c r="DS497" i="1"/>
  <c r="EB497" i="1" s="1"/>
  <c r="CP497" i="1"/>
  <c r="CY497" i="1" s="1"/>
  <c r="EN497" i="1"/>
  <c r="EI497" i="1"/>
  <c r="EK497" i="1"/>
  <c r="DV495" i="1"/>
  <c r="EE495" i="1" s="1"/>
  <c r="CS495" i="1"/>
  <c r="DB495" i="1" s="1"/>
  <c r="DO494" i="1"/>
  <c r="DX494" i="1" s="1"/>
  <c r="CL494" i="1"/>
  <c r="CU494" i="1" s="1"/>
  <c r="DQ492" i="1"/>
  <c r="DZ492" i="1" s="1"/>
  <c r="CN492" i="1"/>
  <c r="CW492" i="1" s="1"/>
  <c r="DU490" i="1"/>
  <c r="ED490" i="1" s="1"/>
  <c r="CR490" i="1"/>
  <c r="DA490" i="1" s="1"/>
  <c r="DW488" i="1"/>
  <c r="CT488" i="1"/>
  <c r="DP487" i="1"/>
  <c r="DY487" i="1" s="1"/>
  <c r="CM487" i="1"/>
  <c r="CV487" i="1" s="1"/>
  <c r="DS485" i="1"/>
  <c r="EB485" i="1" s="1"/>
  <c r="CP485" i="1"/>
  <c r="CY485" i="1" s="1"/>
  <c r="EN485" i="1"/>
  <c r="EI485" i="1"/>
  <c r="EK485" i="1"/>
  <c r="DV483" i="1"/>
  <c r="EE483" i="1" s="1"/>
  <c r="CS483" i="1"/>
  <c r="DB483" i="1" s="1"/>
  <c r="DO482" i="1"/>
  <c r="DX482" i="1" s="1"/>
  <c r="CL482" i="1"/>
  <c r="CU482" i="1" s="1"/>
  <c r="DQ480" i="1"/>
  <c r="DZ480" i="1" s="1"/>
  <c r="CN480" i="1"/>
  <c r="CW480" i="1" s="1"/>
  <c r="DU478" i="1"/>
  <c r="ED478" i="1" s="1"/>
  <c r="CR478" i="1"/>
  <c r="DA478" i="1" s="1"/>
  <c r="DW476" i="1"/>
  <c r="CT476" i="1"/>
  <c r="DP475" i="1"/>
  <c r="DY475" i="1" s="1"/>
  <c r="CM475" i="1"/>
  <c r="CV475" i="1" s="1"/>
  <c r="DS473" i="1"/>
  <c r="EB473" i="1" s="1"/>
  <c r="CP473" i="1"/>
  <c r="CY473" i="1" s="1"/>
  <c r="EN473" i="1"/>
  <c r="EI473" i="1"/>
  <c r="EK473" i="1"/>
  <c r="DV471" i="1"/>
  <c r="EE471" i="1" s="1"/>
  <c r="CS471" i="1"/>
  <c r="DB471" i="1" s="1"/>
  <c r="DO470" i="1"/>
  <c r="DX470" i="1" s="1"/>
  <c r="CL470" i="1"/>
  <c r="CU470" i="1" s="1"/>
  <c r="DQ468" i="1"/>
  <c r="DZ468" i="1" s="1"/>
  <c r="CN468" i="1"/>
  <c r="CW468" i="1" s="1"/>
  <c r="DU466" i="1"/>
  <c r="ED466" i="1" s="1"/>
  <c r="CR466" i="1"/>
  <c r="DA466" i="1" s="1"/>
  <c r="DW464" i="1"/>
  <c r="CT464" i="1"/>
  <c r="DP463" i="1"/>
  <c r="DY463" i="1" s="1"/>
  <c r="CM463" i="1"/>
  <c r="CV463" i="1" s="1"/>
  <c r="DV459" i="1"/>
  <c r="EE459" i="1" s="1"/>
  <c r="CS459" i="1"/>
  <c r="DB459" i="1" s="1"/>
  <c r="DO458" i="1"/>
  <c r="DX458" i="1" s="1"/>
  <c r="CL458" i="1"/>
  <c r="CU458" i="1" s="1"/>
  <c r="DQ456" i="1"/>
  <c r="DZ456" i="1" s="1"/>
  <c r="CN456" i="1"/>
  <c r="CW456" i="1" s="1"/>
  <c r="DU454" i="1"/>
  <c r="ED454" i="1" s="1"/>
  <c r="CR454" i="1"/>
  <c r="DA454" i="1" s="1"/>
  <c r="DW452" i="1"/>
  <c r="CT452" i="1"/>
  <c r="DP451" i="1"/>
  <c r="DY451" i="1" s="1"/>
  <c r="CM451" i="1"/>
  <c r="CV451" i="1" s="1"/>
  <c r="DV447" i="1"/>
  <c r="EE447" i="1" s="1"/>
  <c r="CS447" i="1"/>
  <c r="DB447" i="1" s="1"/>
  <c r="DO446" i="1"/>
  <c r="DX446" i="1" s="1"/>
  <c r="CL446" i="1"/>
  <c r="CU446" i="1" s="1"/>
  <c r="DQ444" i="1"/>
  <c r="DZ444" i="1" s="1"/>
  <c r="CN444" i="1"/>
  <c r="CW444" i="1" s="1"/>
  <c r="DU442" i="1"/>
  <c r="ED442" i="1" s="1"/>
  <c r="CR442" i="1"/>
  <c r="DA442" i="1" s="1"/>
  <c r="DW440" i="1"/>
  <c r="CT440" i="1"/>
  <c r="DP439" i="1"/>
  <c r="DY439" i="1" s="1"/>
  <c r="CM439" i="1"/>
  <c r="CV439" i="1" s="1"/>
  <c r="DV435" i="1"/>
  <c r="EE435" i="1" s="1"/>
  <c r="CS435" i="1"/>
  <c r="DB435" i="1" s="1"/>
  <c r="DO434" i="1"/>
  <c r="DX434" i="1" s="1"/>
  <c r="CL434" i="1"/>
  <c r="CU434" i="1" s="1"/>
  <c r="DQ432" i="1"/>
  <c r="DZ432" i="1" s="1"/>
  <c r="CN432" i="1"/>
  <c r="CW432" i="1" s="1"/>
  <c r="DU430" i="1"/>
  <c r="ED430" i="1" s="1"/>
  <c r="CR430" i="1"/>
  <c r="DA430" i="1" s="1"/>
  <c r="DW428" i="1"/>
  <c r="CT428" i="1"/>
  <c r="DW580" i="1"/>
  <c r="EF580" i="1" s="1"/>
  <c r="CT580" i="1"/>
  <c r="DC580" i="1" s="1"/>
  <c r="DU558" i="1"/>
  <c r="ED558" i="1" s="1"/>
  <c r="CR558" i="1"/>
  <c r="DA558" i="1" s="1"/>
  <c r="DV539" i="1"/>
  <c r="EE539" i="1" s="1"/>
  <c r="CS539" i="1"/>
  <c r="DB539" i="1" s="1"/>
  <c r="DU522" i="1"/>
  <c r="ED522" i="1" s="1"/>
  <c r="CR522" i="1"/>
  <c r="DA522" i="1" s="1"/>
  <c r="DS505" i="1"/>
  <c r="EB505" i="1" s="1"/>
  <c r="CP505" i="1"/>
  <c r="CY505" i="1" s="1"/>
  <c r="EN505" i="1"/>
  <c r="EI505" i="1"/>
  <c r="EK505" i="1"/>
  <c r="DV491" i="1"/>
  <c r="EE491" i="1" s="1"/>
  <c r="CS491" i="1"/>
  <c r="DB491" i="1" s="1"/>
  <c r="DQ476" i="1"/>
  <c r="CN476" i="1"/>
  <c r="DW460" i="1"/>
  <c r="EF460" i="1" s="1"/>
  <c r="CT460" i="1"/>
  <c r="DC460" i="1" s="1"/>
  <c r="DQ440" i="1"/>
  <c r="CN440" i="1"/>
  <c r="DW585" i="1"/>
  <c r="EF585" i="1" s="1"/>
  <c r="CT585" i="1"/>
  <c r="DC585" i="1" s="1"/>
  <c r="DQ565" i="1"/>
  <c r="DZ565" i="1" s="1"/>
  <c r="CN565" i="1"/>
  <c r="CW565" i="1" s="1"/>
  <c r="DU551" i="1"/>
  <c r="ED551" i="1" s="1"/>
  <c r="CR551" i="1"/>
  <c r="DA551" i="1" s="1"/>
  <c r="DV532" i="1"/>
  <c r="EE532" i="1" s="1"/>
  <c r="CS532" i="1"/>
  <c r="DB532" i="1" s="1"/>
  <c r="DQ517" i="1"/>
  <c r="DZ517" i="1" s="1"/>
  <c r="CN517" i="1"/>
  <c r="CW517" i="1" s="1"/>
  <c r="DS498" i="1"/>
  <c r="EB498" i="1" s="1"/>
  <c r="CP498" i="1"/>
  <c r="CY498" i="1" s="1"/>
  <c r="EN498" i="1"/>
  <c r="EK498" i="1"/>
  <c r="EI498" i="1"/>
  <c r="DP476" i="1"/>
  <c r="CM476" i="1"/>
  <c r="DW578" i="1"/>
  <c r="EF578" i="1" s="1"/>
  <c r="CT578" i="1"/>
  <c r="DC578" i="1" s="1"/>
  <c r="DV561" i="1"/>
  <c r="EE561" i="1" s="1"/>
  <c r="CS561" i="1"/>
  <c r="DB561" i="1" s="1"/>
  <c r="DU544" i="1"/>
  <c r="ED544" i="1" s="1"/>
  <c r="CR544" i="1"/>
  <c r="DA544" i="1" s="1"/>
  <c r="DO524" i="1"/>
  <c r="CL524" i="1"/>
  <c r="DV501" i="1"/>
  <c r="EE501" i="1" s="1"/>
  <c r="CS501" i="1"/>
  <c r="DB501" i="1" s="1"/>
  <c r="DW470" i="1"/>
  <c r="EF470" i="1" s="1"/>
  <c r="CT470" i="1"/>
  <c r="DC470" i="1" s="1"/>
  <c r="DQ593" i="1"/>
  <c r="DZ593" i="1" s="1"/>
  <c r="CN593" i="1"/>
  <c r="CW593" i="1" s="1"/>
  <c r="DU591" i="1"/>
  <c r="ED591" i="1" s="1"/>
  <c r="CR591" i="1"/>
  <c r="DA591" i="1" s="1"/>
  <c r="DW589" i="1"/>
  <c r="EF589" i="1" s="1"/>
  <c r="CT589" i="1"/>
  <c r="DC589" i="1" s="1"/>
  <c r="DP588" i="1"/>
  <c r="DY588" i="1" s="1"/>
  <c r="CM588" i="1"/>
  <c r="CV588" i="1" s="1"/>
  <c r="DS586" i="1"/>
  <c r="EB586" i="1" s="1"/>
  <c r="CP586" i="1"/>
  <c r="CY586" i="1" s="1"/>
  <c r="EN586" i="1"/>
  <c r="EI586" i="1"/>
  <c r="EK586" i="1"/>
  <c r="DV584" i="1"/>
  <c r="EE584" i="1" s="1"/>
  <c r="CS584" i="1"/>
  <c r="DB584" i="1" s="1"/>
  <c r="DO583" i="1"/>
  <c r="DX583" i="1" s="1"/>
  <c r="CL583" i="1"/>
  <c r="CU583" i="1" s="1"/>
  <c r="DQ581" i="1"/>
  <c r="DZ581" i="1" s="1"/>
  <c r="CN581" i="1"/>
  <c r="CW581" i="1" s="1"/>
  <c r="DU579" i="1"/>
  <c r="ED579" i="1" s="1"/>
  <c r="CR579" i="1"/>
  <c r="DA579" i="1" s="1"/>
  <c r="DW577" i="1"/>
  <c r="EF577" i="1" s="1"/>
  <c r="CT577" i="1"/>
  <c r="DC577" i="1" s="1"/>
  <c r="DP576" i="1"/>
  <c r="DY576" i="1" s="1"/>
  <c r="CM576" i="1"/>
  <c r="CV576" i="1" s="1"/>
  <c r="DS574" i="1"/>
  <c r="EB574" i="1" s="1"/>
  <c r="CP574" i="1"/>
  <c r="CY574" i="1" s="1"/>
  <c r="EN574" i="1"/>
  <c r="EI574" i="1"/>
  <c r="EK574" i="1"/>
  <c r="DV572" i="1"/>
  <c r="EE572" i="1" s="1"/>
  <c r="CS572" i="1"/>
  <c r="DB572" i="1" s="1"/>
  <c r="DO571" i="1"/>
  <c r="DX571" i="1" s="1"/>
  <c r="CL571" i="1"/>
  <c r="CU571" i="1" s="1"/>
  <c r="DQ569" i="1"/>
  <c r="DZ569" i="1" s="1"/>
  <c r="CN569" i="1"/>
  <c r="CW569" i="1" s="1"/>
  <c r="DU567" i="1"/>
  <c r="ED567" i="1" s="1"/>
  <c r="CR567" i="1"/>
  <c r="DA567" i="1" s="1"/>
  <c r="DW565" i="1"/>
  <c r="EF565" i="1" s="1"/>
  <c r="CT565" i="1"/>
  <c r="DC565" i="1" s="1"/>
  <c r="DP564" i="1"/>
  <c r="DY564" i="1" s="1"/>
  <c r="CM564" i="1"/>
  <c r="CV564" i="1" s="1"/>
  <c r="DS562" i="1"/>
  <c r="EB562" i="1" s="1"/>
  <c r="CP562" i="1"/>
  <c r="CY562" i="1" s="1"/>
  <c r="EN562" i="1"/>
  <c r="EI562" i="1"/>
  <c r="EK562" i="1"/>
  <c r="DV560" i="1"/>
  <c r="EE560" i="1" s="1"/>
  <c r="CS560" i="1"/>
  <c r="DB560" i="1" s="1"/>
  <c r="DO559" i="1"/>
  <c r="DX559" i="1" s="1"/>
  <c r="CL559" i="1"/>
  <c r="CU559" i="1" s="1"/>
  <c r="DQ557" i="1"/>
  <c r="DZ557" i="1" s="1"/>
  <c r="CN557" i="1"/>
  <c r="CW557" i="1" s="1"/>
  <c r="DU555" i="1"/>
  <c r="ED555" i="1" s="1"/>
  <c r="CR555" i="1"/>
  <c r="DA555" i="1" s="1"/>
  <c r="DW553" i="1"/>
  <c r="EF553" i="1" s="1"/>
  <c r="CT553" i="1"/>
  <c r="DC553" i="1" s="1"/>
  <c r="DP552" i="1"/>
  <c r="DY552" i="1" s="1"/>
  <c r="CM552" i="1"/>
  <c r="CV552" i="1" s="1"/>
  <c r="DS550" i="1"/>
  <c r="EB550" i="1" s="1"/>
  <c r="CP550" i="1"/>
  <c r="CY550" i="1" s="1"/>
  <c r="EN550" i="1"/>
  <c r="EI550" i="1"/>
  <c r="EK550" i="1"/>
  <c r="DV548" i="1"/>
  <c r="CS548" i="1"/>
  <c r="DO547" i="1"/>
  <c r="DX547" i="1" s="1"/>
  <c r="CL547" i="1"/>
  <c r="CU547" i="1" s="1"/>
  <c r="DQ545" i="1"/>
  <c r="DZ545" i="1" s="1"/>
  <c r="CN545" i="1"/>
  <c r="CW545" i="1" s="1"/>
  <c r="DU543" i="1"/>
  <c r="ED543" i="1" s="1"/>
  <c r="CR543" i="1"/>
  <c r="DA543" i="1" s="1"/>
  <c r="DW541" i="1"/>
  <c r="EF541" i="1" s="1"/>
  <c r="CT541" i="1"/>
  <c r="DC541" i="1" s="1"/>
  <c r="DP540" i="1"/>
  <c r="DY540" i="1" s="1"/>
  <c r="CM540" i="1"/>
  <c r="CV540" i="1" s="1"/>
  <c r="DS538" i="1"/>
  <c r="EB538" i="1" s="1"/>
  <c r="CP538" i="1"/>
  <c r="CY538" i="1" s="1"/>
  <c r="EN538" i="1"/>
  <c r="EK538" i="1"/>
  <c r="EI538" i="1"/>
  <c r="DV536" i="1"/>
  <c r="CS536" i="1"/>
  <c r="DO535" i="1"/>
  <c r="DX535" i="1" s="1"/>
  <c r="CL535" i="1"/>
  <c r="CU535" i="1" s="1"/>
  <c r="DQ533" i="1"/>
  <c r="DZ533" i="1" s="1"/>
  <c r="CN533" i="1"/>
  <c r="CW533" i="1" s="1"/>
  <c r="DU531" i="1"/>
  <c r="ED531" i="1" s="1"/>
  <c r="CR531" i="1"/>
  <c r="DA531" i="1" s="1"/>
  <c r="DW529" i="1"/>
  <c r="EF529" i="1" s="1"/>
  <c r="CT529" i="1"/>
  <c r="DC529" i="1" s="1"/>
  <c r="DP528" i="1"/>
  <c r="DY528" i="1" s="1"/>
  <c r="CM528" i="1"/>
  <c r="CV528" i="1" s="1"/>
  <c r="DS526" i="1"/>
  <c r="EB526" i="1" s="1"/>
  <c r="CP526" i="1"/>
  <c r="CY526" i="1" s="1"/>
  <c r="EN526" i="1"/>
  <c r="EI526" i="1"/>
  <c r="EK526" i="1"/>
  <c r="DV524" i="1"/>
  <c r="CS524" i="1"/>
  <c r="DO523" i="1"/>
  <c r="DX523" i="1" s="1"/>
  <c r="CL523" i="1"/>
  <c r="CU523" i="1" s="1"/>
  <c r="DQ521" i="1"/>
  <c r="DZ521" i="1" s="1"/>
  <c r="CN521" i="1"/>
  <c r="CW521" i="1" s="1"/>
  <c r="DU519" i="1"/>
  <c r="ED519" i="1" s="1"/>
  <c r="CR519" i="1"/>
  <c r="DA519" i="1" s="1"/>
  <c r="DW517" i="1"/>
  <c r="EF517" i="1" s="1"/>
  <c r="CT517" i="1"/>
  <c r="DC517" i="1" s="1"/>
  <c r="DP516" i="1"/>
  <c r="DY516" i="1" s="1"/>
  <c r="CM516" i="1"/>
  <c r="CV516" i="1" s="1"/>
  <c r="DS514" i="1"/>
  <c r="EB514" i="1" s="1"/>
  <c r="CP514" i="1"/>
  <c r="CY514" i="1" s="1"/>
  <c r="EN514" i="1"/>
  <c r="EK514" i="1"/>
  <c r="EI514" i="1"/>
  <c r="DV512" i="1"/>
  <c r="CS512" i="1"/>
  <c r="DO511" i="1"/>
  <c r="DX511" i="1" s="1"/>
  <c r="CL511" i="1"/>
  <c r="CU511" i="1" s="1"/>
  <c r="DQ509" i="1"/>
  <c r="DZ509" i="1" s="1"/>
  <c r="CN509" i="1"/>
  <c r="CW509" i="1" s="1"/>
  <c r="DU507" i="1"/>
  <c r="ED507" i="1" s="1"/>
  <c r="CR507" i="1"/>
  <c r="DA507" i="1" s="1"/>
  <c r="DW505" i="1"/>
  <c r="EF505" i="1" s="1"/>
  <c r="CT505" i="1"/>
  <c r="DC505" i="1" s="1"/>
  <c r="DP504" i="1"/>
  <c r="DY504" i="1" s="1"/>
  <c r="CM504" i="1"/>
  <c r="CV504" i="1" s="1"/>
  <c r="DS502" i="1"/>
  <c r="EB502" i="1" s="1"/>
  <c r="CP502" i="1"/>
  <c r="CY502" i="1" s="1"/>
  <c r="EN502" i="1"/>
  <c r="EI502" i="1"/>
  <c r="EK502" i="1"/>
  <c r="DV500" i="1"/>
  <c r="CS500" i="1"/>
  <c r="DO499" i="1"/>
  <c r="DX499" i="1" s="1"/>
  <c r="CL499" i="1"/>
  <c r="CU499" i="1" s="1"/>
  <c r="DQ497" i="1"/>
  <c r="DZ497" i="1" s="1"/>
  <c r="CN497" i="1"/>
  <c r="CW497" i="1" s="1"/>
  <c r="DU495" i="1"/>
  <c r="ED495" i="1" s="1"/>
  <c r="CR495" i="1"/>
  <c r="DA495" i="1" s="1"/>
  <c r="DW493" i="1"/>
  <c r="EF493" i="1" s="1"/>
  <c r="CT493" i="1"/>
  <c r="DC493" i="1" s="1"/>
  <c r="DP492" i="1"/>
  <c r="DY492" i="1" s="1"/>
  <c r="CM492" i="1"/>
  <c r="CV492" i="1" s="1"/>
  <c r="DS490" i="1"/>
  <c r="EB490" i="1" s="1"/>
  <c r="CP490" i="1"/>
  <c r="CY490" i="1" s="1"/>
  <c r="EN490" i="1"/>
  <c r="EK490" i="1"/>
  <c r="EI490" i="1"/>
  <c r="DV488" i="1"/>
  <c r="CS488" i="1"/>
  <c r="DO487" i="1"/>
  <c r="DX487" i="1" s="1"/>
  <c r="CL487" i="1"/>
  <c r="CU487" i="1" s="1"/>
  <c r="DQ485" i="1"/>
  <c r="DZ485" i="1" s="1"/>
  <c r="CN485" i="1"/>
  <c r="CW485" i="1" s="1"/>
  <c r="DU483" i="1"/>
  <c r="ED483" i="1" s="1"/>
  <c r="CR483" i="1"/>
  <c r="DA483" i="1" s="1"/>
  <c r="DW481" i="1"/>
  <c r="EF481" i="1" s="1"/>
  <c r="CT481" i="1"/>
  <c r="DC481" i="1" s="1"/>
  <c r="DP480" i="1"/>
  <c r="DY480" i="1" s="1"/>
  <c r="CM480" i="1"/>
  <c r="CV480" i="1" s="1"/>
  <c r="DS478" i="1"/>
  <c r="EB478" i="1" s="1"/>
  <c r="CP478" i="1"/>
  <c r="CY478" i="1" s="1"/>
  <c r="EN478" i="1"/>
  <c r="EI478" i="1"/>
  <c r="EK478" i="1"/>
  <c r="DV476" i="1"/>
  <c r="CS476" i="1"/>
  <c r="DO475" i="1"/>
  <c r="DX475" i="1" s="1"/>
  <c r="CL475" i="1"/>
  <c r="CU475" i="1" s="1"/>
  <c r="DQ473" i="1"/>
  <c r="DZ473" i="1" s="1"/>
  <c r="CN473" i="1"/>
  <c r="CW473" i="1" s="1"/>
  <c r="DU471" i="1"/>
  <c r="ED471" i="1" s="1"/>
  <c r="CR471" i="1"/>
  <c r="DA471" i="1" s="1"/>
  <c r="DW469" i="1"/>
  <c r="EF469" i="1" s="1"/>
  <c r="CT469" i="1"/>
  <c r="DC469" i="1" s="1"/>
  <c r="DP468" i="1"/>
  <c r="DY468" i="1" s="1"/>
  <c r="CM468" i="1"/>
  <c r="CV468" i="1" s="1"/>
  <c r="DS466" i="1"/>
  <c r="EB466" i="1" s="1"/>
  <c r="CP466" i="1"/>
  <c r="CY466" i="1" s="1"/>
  <c r="EN466" i="1"/>
  <c r="EI466" i="1"/>
  <c r="EK466" i="1"/>
  <c r="DV464" i="1"/>
  <c r="CS464" i="1"/>
  <c r="DO463" i="1"/>
  <c r="DX463" i="1" s="1"/>
  <c r="CL463" i="1"/>
  <c r="CU463" i="1" s="1"/>
  <c r="DQ461" i="1"/>
  <c r="DZ461" i="1" s="1"/>
  <c r="CN461" i="1"/>
  <c r="CW461" i="1" s="1"/>
  <c r="DU459" i="1"/>
  <c r="ED459" i="1" s="1"/>
  <c r="CR459" i="1"/>
  <c r="DA459" i="1" s="1"/>
  <c r="DW457" i="1"/>
  <c r="EF457" i="1" s="1"/>
  <c r="CT457" i="1"/>
  <c r="DC457" i="1" s="1"/>
  <c r="DP456" i="1"/>
  <c r="DY456" i="1" s="1"/>
  <c r="CM456" i="1"/>
  <c r="CV456" i="1" s="1"/>
  <c r="DV452" i="1"/>
  <c r="CS452" i="1"/>
  <c r="DO451" i="1"/>
  <c r="DX451" i="1" s="1"/>
  <c r="CL451" i="1"/>
  <c r="CU451" i="1" s="1"/>
  <c r="DQ449" i="1"/>
  <c r="DZ449" i="1" s="1"/>
  <c r="CN449" i="1"/>
  <c r="CW449" i="1" s="1"/>
  <c r="DU447" i="1"/>
  <c r="ED447" i="1" s="1"/>
  <c r="CR447" i="1"/>
  <c r="DA447" i="1" s="1"/>
  <c r="DW445" i="1"/>
  <c r="EF445" i="1" s="1"/>
  <c r="CT445" i="1"/>
  <c r="DC445" i="1" s="1"/>
  <c r="DP444" i="1"/>
  <c r="DY444" i="1" s="1"/>
  <c r="CM444" i="1"/>
  <c r="CV444" i="1" s="1"/>
  <c r="DV440" i="1"/>
  <c r="CS440" i="1"/>
  <c r="DO439" i="1"/>
  <c r="DX439" i="1" s="1"/>
  <c r="CL439" i="1"/>
  <c r="CU439" i="1" s="1"/>
  <c r="DQ437" i="1"/>
  <c r="DZ437" i="1" s="1"/>
  <c r="CN437" i="1"/>
  <c r="CW437" i="1" s="1"/>
  <c r="DU435" i="1"/>
  <c r="ED435" i="1" s="1"/>
  <c r="CR435" i="1"/>
  <c r="DA435" i="1" s="1"/>
  <c r="DW433" i="1"/>
  <c r="EF433" i="1" s="1"/>
  <c r="CT433" i="1"/>
  <c r="DC433" i="1" s="1"/>
  <c r="DP432" i="1"/>
  <c r="DY432" i="1" s="1"/>
  <c r="CM432" i="1"/>
  <c r="CV432" i="1" s="1"/>
  <c r="DV428" i="1"/>
  <c r="CS428" i="1"/>
  <c r="DW568" i="1"/>
  <c r="EF568" i="1" s="1"/>
  <c r="CT568" i="1"/>
  <c r="DC568" i="1" s="1"/>
  <c r="DW544" i="1"/>
  <c r="EF544" i="1" s="1"/>
  <c r="CT544" i="1"/>
  <c r="DC544" i="1" s="1"/>
  <c r="DW520" i="1"/>
  <c r="EF520" i="1" s="1"/>
  <c r="CT520" i="1"/>
  <c r="DC520" i="1" s="1"/>
  <c r="DP495" i="1"/>
  <c r="DY495" i="1" s="1"/>
  <c r="CM495" i="1"/>
  <c r="CV495" i="1" s="1"/>
  <c r="DP471" i="1"/>
  <c r="DY471" i="1" s="1"/>
  <c r="CM471" i="1"/>
  <c r="CV471" i="1" s="1"/>
  <c r="DU450" i="1"/>
  <c r="ED450" i="1" s="1"/>
  <c r="CR450" i="1"/>
  <c r="DA450" i="1" s="1"/>
  <c r="DV592" i="1"/>
  <c r="EE592" i="1" s="1"/>
  <c r="CS592" i="1"/>
  <c r="DB592" i="1" s="1"/>
  <c r="DO579" i="1"/>
  <c r="DX579" i="1" s="1"/>
  <c r="CL579" i="1"/>
  <c r="CU579" i="1" s="1"/>
  <c r="DS570" i="1"/>
  <c r="EB570" i="1" s="1"/>
  <c r="CP570" i="1"/>
  <c r="CY570" i="1" s="1"/>
  <c r="EN570" i="1"/>
  <c r="EK570" i="1"/>
  <c r="EI570" i="1"/>
  <c r="DP560" i="1"/>
  <c r="DY560" i="1" s="1"/>
  <c r="CM560" i="1"/>
  <c r="CV560" i="1" s="1"/>
  <c r="DP548" i="1"/>
  <c r="CM548" i="1"/>
  <c r="DS534" i="1"/>
  <c r="EB534" i="1" s="1"/>
  <c r="CP534" i="1"/>
  <c r="CY534" i="1" s="1"/>
  <c r="EN534" i="1"/>
  <c r="EK534" i="1"/>
  <c r="EI534" i="1"/>
  <c r="DW525" i="1"/>
  <c r="EF525" i="1" s="1"/>
  <c r="CT525" i="1"/>
  <c r="DC525" i="1" s="1"/>
  <c r="DU515" i="1"/>
  <c r="ED515" i="1" s="1"/>
  <c r="CR515" i="1"/>
  <c r="DA515" i="1" s="1"/>
  <c r="DQ505" i="1"/>
  <c r="DZ505" i="1" s="1"/>
  <c r="CN505" i="1"/>
  <c r="CW505" i="1" s="1"/>
  <c r="DU491" i="1"/>
  <c r="ED491" i="1" s="1"/>
  <c r="CR491" i="1"/>
  <c r="DA491" i="1" s="1"/>
  <c r="DS474" i="1"/>
  <c r="EB474" i="1" s="1"/>
  <c r="CP474" i="1"/>
  <c r="CY474" i="1" s="1"/>
  <c r="EN474" i="1"/>
  <c r="EK474" i="1"/>
  <c r="EI474" i="1"/>
  <c r="DU455" i="1"/>
  <c r="ED455" i="1" s="1"/>
  <c r="CR455" i="1"/>
  <c r="DA455" i="1" s="1"/>
  <c r="DP440" i="1"/>
  <c r="CM440" i="1"/>
  <c r="DS587" i="1"/>
  <c r="EB587" i="1" s="1"/>
  <c r="CP587" i="1"/>
  <c r="CY587" i="1" s="1"/>
  <c r="EN587" i="1"/>
  <c r="EI587" i="1"/>
  <c r="EK587" i="1"/>
  <c r="DO560" i="1"/>
  <c r="DX560" i="1" s="1"/>
  <c r="CL560" i="1"/>
  <c r="CU560" i="1" s="1"/>
  <c r="DO536" i="1"/>
  <c r="CL536" i="1"/>
  <c r="DQ510" i="1"/>
  <c r="DZ510" i="1" s="1"/>
  <c r="CN510" i="1"/>
  <c r="CW510" i="1" s="1"/>
  <c r="DU472" i="1"/>
  <c r="ED472" i="1" s="1"/>
  <c r="CR472" i="1"/>
  <c r="DA472" i="1" s="1"/>
  <c r="DP593" i="1"/>
  <c r="DY593" i="1" s="1"/>
  <c r="CM593" i="1"/>
  <c r="CV593" i="1" s="1"/>
  <c r="DS591" i="1"/>
  <c r="EB591" i="1" s="1"/>
  <c r="CP591" i="1"/>
  <c r="CY591" i="1" s="1"/>
  <c r="EN591" i="1"/>
  <c r="EI591" i="1"/>
  <c r="EK591" i="1"/>
  <c r="DV589" i="1"/>
  <c r="EE589" i="1" s="1"/>
  <c r="CS589" i="1"/>
  <c r="DB589" i="1" s="1"/>
  <c r="DO588" i="1"/>
  <c r="DX588" i="1" s="1"/>
  <c r="CL588" i="1"/>
  <c r="CU588" i="1" s="1"/>
  <c r="DQ586" i="1"/>
  <c r="DZ586" i="1" s="1"/>
  <c r="CN586" i="1"/>
  <c r="CW586" i="1" s="1"/>
  <c r="DU584" i="1"/>
  <c r="ED584" i="1" s="1"/>
  <c r="CR584" i="1"/>
  <c r="DA584" i="1" s="1"/>
  <c r="DW582" i="1"/>
  <c r="EF582" i="1" s="1"/>
  <c r="CT582" i="1"/>
  <c r="DC582" i="1" s="1"/>
  <c r="DP581" i="1"/>
  <c r="DY581" i="1" s="1"/>
  <c r="CM581" i="1"/>
  <c r="CV581" i="1" s="1"/>
  <c r="DS579" i="1"/>
  <c r="EB579" i="1" s="1"/>
  <c r="CP579" i="1"/>
  <c r="CY579" i="1" s="1"/>
  <c r="EN579" i="1"/>
  <c r="EK579" i="1"/>
  <c r="EI579" i="1"/>
  <c r="DV577" i="1"/>
  <c r="EE577" i="1" s="1"/>
  <c r="CS577" i="1"/>
  <c r="DB577" i="1" s="1"/>
  <c r="DO576" i="1"/>
  <c r="DX576" i="1" s="1"/>
  <c r="CL576" i="1"/>
  <c r="CU576" i="1" s="1"/>
  <c r="DQ574" i="1"/>
  <c r="DZ574" i="1" s="1"/>
  <c r="CN574" i="1"/>
  <c r="CW574" i="1" s="1"/>
  <c r="DU572" i="1"/>
  <c r="ED572" i="1" s="1"/>
  <c r="CR572" i="1"/>
  <c r="DA572" i="1" s="1"/>
  <c r="DW570" i="1"/>
  <c r="EF570" i="1" s="1"/>
  <c r="CT570" i="1"/>
  <c r="DC570" i="1" s="1"/>
  <c r="DP569" i="1"/>
  <c r="DY569" i="1" s="1"/>
  <c r="CM569" i="1"/>
  <c r="CV569" i="1" s="1"/>
  <c r="DS567" i="1"/>
  <c r="EB567" i="1" s="1"/>
  <c r="CP567" i="1"/>
  <c r="CY567" i="1" s="1"/>
  <c r="EN567" i="1"/>
  <c r="EI567" i="1"/>
  <c r="EK567" i="1"/>
  <c r="DV565" i="1"/>
  <c r="EE565" i="1" s="1"/>
  <c r="CS565" i="1"/>
  <c r="DB565" i="1" s="1"/>
  <c r="DO564" i="1"/>
  <c r="DX564" i="1" s="1"/>
  <c r="CL564" i="1"/>
  <c r="CU564" i="1" s="1"/>
  <c r="DQ562" i="1"/>
  <c r="DZ562" i="1" s="1"/>
  <c r="CN562" i="1"/>
  <c r="CW562" i="1" s="1"/>
  <c r="DU560" i="1"/>
  <c r="ED560" i="1" s="1"/>
  <c r="CR560" i="1"/>
  <c r="DA560" i="1" s="1"/>
  <c r="DW558" i="1"/>
  <c r="EF558" i="1" s="1"/>
  <c r="CT558" i="1"/>
  <c r="DC558" i="1" s="1"/>
  <c r="DP557" i="1"/>
  <c r="DY557" i="1" s="1"/>
  <c r="CM557" i="1"/>
  <c r="CV557" i="1" s="1"/>
  <c r="DS555" i="1"/>
  <c r="EB555" i="1" s="1"/>
  <c r="CP555" i="1"/>
  <c r="CY555" i="1" s="1"/>
  <c r="EN555" i="1"/>
  <c r="EK555" i="1"/>
  <c r="EI555" i="1"/>
  <c r="DV553" i="1"/>
  <c r="EE553" i="1" s="1"/>
  <c r="CS553" i="1"/>
  <c r="DB553" i="1" s="1"/>
  <c r="DO552" i="1"/>
  <c r="DX552" i="1" s="1"/>
  <c r="CL552" i="1"/>
  <c r="CU552" i="1" s="1"/>
  <c r="DQ550" i="1"/>
  <c r="DZ550" i="1" s="1"/>
  <c r="CN550" i="1"/>
  <c r="CW550" i="1" s="1"/>
  <c r="DU548" i="1"/>
  <c r="CR548" i="1"/>
  <c r="DW546" i="1"/>
  <c r="EF546" i="1" s="1"/>
  <c r="CT546" i="1"/>
  <c r="DC546" i="1" s="1"/>
  <c r="DP545" i="1"/>
  <c r="DY545" i="1" s="1"/>
  <c r="CM545" i="1"/>
  <c r="CV545" i="1" s="1"/>
  <c r="DS543" i="1"/>
  <c r="EB543" i="1" s="1"/>
  <c r="CP543" i="1"/>
  <c r="CY543" i="1" s="1"/>
  <c r="EN543" i="1"/>
  <c r="EK543" i="1"/>
  <c r="EI543" i="1"/>
  <c r="DV541" i="1"/>
  <c r="EE541" i="1" s="1"/>
  <c r="CS541" i="1"/>
  <c r="DB541" i="1" s="1"/>
  <c r="DO540" i="1"/>
  <c r="DX540" i="1" s="1"/>
  <c r="CL540" i="1"/>
  <c r="CU540" i="1" s="1"/>
  <c r="DQ538" i="1"/>
  <c r="DZ538" i="1" s="1"/>
  <c r="CN538" i="1"/>
  <c r="CW538" i="1" s="1"/>
  <c r="DU536" i="1"/>
  <c r="CR536" i="1"/>
  <c r="DW534" i="1"/>
  <c r="EF534" i="1" s="1"/>
  <c r="CT534" i="1"/>
  <c r="DC534" i="1" s="1"/>
  <c r="DP533" i="1"/>
  <c r="DY533" i="1" s="1"/>
  <c r="CM533" i="1"/>
  <c r="CV533" i="1" s="1"/>
  <c r="DS531" i="1"/>
  <c r="EB531" i="1" s="1"/>
  <c r="CP531" i="1"/>
  <c r="CY531" i="1" s="1"/>
  <c r="EN531" i="1"/>
  <c r="EK531" i="1"/>
  <c r="EI531" i="1"/>
  <c r="DV529" i="1"/>
  <c r="EE529" i="1" s="1"/>
  <c r="CS529" i="1"/>
  <c r="DB529" i="1" s="1"/>
  <c r="DO528" i="1"/>
  <c r="DX528" i="1" s="1"/>
  <c r="CL528" i="1"/>
  <c r="CU528" i="1" s="1"/>
  <c r="DQ526" i="1"/>
  <c r="DZ526" i="1" s="1"/>
  <c r="CN526" i="1"/>
  <c r="CW526" i="1" s="1"/>
  <c r="DU524" i="1"/>
  <c r="CR524" i="1"/>
  <c r="DW522" i="1"/>
  <c r="EF522" i="1" s="1"/>
  <c r="CT522" i="1"/>
  <c r="DC522" i="1" s="1"/>
  <c r="DP521" i="1"/>
  <c r="DY521" i="1" s="1"/>
  <c r="CM521" i="1"/>
  <c r="CV521" i="1" s="1"/>
  <c r="DS519" i="1"/>
  <c r="EB519" i="1" s="1"/>
  <c r="CP519" i="1"/>
  <c r="CY519" i="1" s="1"/>
  <c r="EN519" i="1"/>
  <c r="EI519" i="1"/>
  <c r="EK519" i="1"/>
  <c r="DV517" i="1"/>
  <c r="EE517" i="1" s="1"/>
  <c r="CS517" i="1"/>
  <c r="DB517" i="1" s="1"/>
  <c r="DO516" i="1"/>
  <c r="DX516" i="1" s="1"/>
  <c r="CL516" i="1"/>
  <c r="CU516" i="1" s="1"/>
  <c r="DQ514" i="1"/>
  <c r="DZ514" i="1" s="1"/>
  <c r="CN514" i="1"/>
  <c r="CW514" i="1" s="1"/>
  <c r="DU512" i="1"/>
  <c r="CR512" i="1"/>
  <c r="DW510" i="1"/>
  <c r="EF510" i="1" s="1"/>
  <c r="CT510" i="1"/>
  <c r="DC510" i="1" s="1"/>
  <c r="DP509" i="1"/>
  <c r="DY509" i="1" s="1"/>
  <c r="CM509" i="1"/>
  <c r="CV509" i="1" s="1"/>
  <c r="DS507" i="1"/>
  <c r="EB507" i="1" s="1"/>
  <c r="CP507" i="1"/>
  <c r="CY507" i="1" s="1"/>
  <c r="EN507" i="1"/>
  <c r="EK507" i="1"/>
  <c r="EI507" i="1"/>
  <c r="DV505" i="1"/>
  <c r="EE505" i="1" s="1"/>
  <c r="CS505" i="1"/>
  <c r="DB505" i="1" s="1"/>
  <c r="DO504" i="1"/>
  <c r="DX504" i="1" s="1"/>
  <c r="CL504" i="1"/>
  <c r="CU504" i="1" s="1"/>
  <c r="DQ502" i="1"/>
  <c r="DZ502" i="1" s="1"/>
  <c r="CN502" i="1"/>
  <c r="CW502" i="1" s="1"/>
  <c r="DU500" i="1"/>
  <c r="CR500" i="1"/>
  <c r="DW498" i="1"/>
  <c r="EF498" i="1" s="1"/>
  <c r="CT498" i="1"/>
  <c r="DC498" i="1" s="1"/>
  <c r="DP497" i="1"/>
  <c r="DY497" i="1" s="1"/>
  <c r="CM497" i="1"/>
  <c r="CV497" i="1" s="1"/>
  <c r="DS495" i="1"/>
  <c r="EB495" i="1" s="1"/>
  <c r="CP495" i="1"/>
  <c r="CY495" i="1" s="1"/>
  <c r="EN495" i="1"/>
  <c r="EI495" i="1"/>
  <c r="EK495" i="1"/>
  <c r="DV493" i="1"/>
  <c r="EE493" i="1" s="1"/>
  <c r="CS493" i="1"/>
  <c r="DB493" i="1" s="1"/>
  <c r="DO492" i="1"/>
  <c r="DX492" i="1" s="1"/>
  <c r="CL492" i="1"/>
  <c r="CU492" i="1" s="1"/>
  <c r="DQ490" i="1"/>
  <c r="DZ490" i="1" s="1"/>
  <c r="CN490" i="1"/>
  <c r="CW490" i="1" s="1"/>
  <c r="DU488" i="1"/>
  <c r="CR488" i="1"/>
  <c r="DW486" i="1"/>
  <c r="EF486" i="1" s="1"/>
  <c r="CT486" i="1"/>
  <c r="DC486" i="1" s="1"/>
  <c r="DP485" i="1"/>
  <c r="DY485" i="1" s="1"/>
  <c r="CM485" i="1"/>
  <c r="CV485" i="1" s="1"/>
  <c r="DS483" i="1"/>
  <c r="EB483" i="1" s="1"/>
  <c r="CP483" i="1"/>
  <c r="CY483" i="1" s="1"/>
  <c r="EN483" i="1"/>
  <c r="EK483" i="1"/>
  <c r="EI483" i="1"/>
  <c r="DV481" i="1"/>
  <c r="EE481" i="1" s="1"/>
  <c r="CS481" i="1"/>
  <c r="DB481" i="1" s="1"/>
  <c r="DO480" i="1"/>
  <c r="DX480" i="1" s="1"/>
  <c r="CL480" i="1"/>
  <c r="CU480" i="1" s="1"/>
  <c r="DQ478" i="1"/>
  <c r="DZ478" i="1" s="1"/>
  <c r="CN478" i="1"/>
  <c r="CW478" i="1" s="1"/>
  <c r="DU476" i="1"/>
  <c r="CR476" i="1"/>
  <c r="DW474" i="1"/>
  <c r="EF474" i="1" s="1"/>
  <c r="CT474" i="1"/>
  <c r="DC474" i="1" s="1"/>
  <c r="DP473" i="1"/>
  <c r="DY473" i="1" s="1"/>
  <c r="CM473" i="1"/>
  <c r="CV473" i="1" s="1"/>
  <c r="DS471" i="1"/>
  <c r="EB471" i="1" s="1"/>
  <c r="CP471" i="1"/>
  <c r="CY471" i="1" s="1"/>
  <c r="EN471" i="1"/>
  <c r="EI471" i="1"/>
  <c r="EK471" i="1"/>
  <c r="DV469" i="1"/>
  <c r="EE469" i="1" s="1"/>
  <c r="CS469" i="1"/>
  <c r="DB469" i="1" s="1"/>
  <c r="DO468" i="1"/>
  <c r="DX468" i="1" s="1"/>
  <c r="CL468" i="1"/>
  <c r="CU468" i="1" s="1"/>
  <c r="DQ466" i="1"/>
  <c r="DZ466" i="1" s="1"/>
  <c r="CN466" i="1"/>
  <c r="CW466" i="1" s="1"/>
  <c r="DU464" i="1"/>
  <c r="CR464" i="1"/>
  <c r="DW462" i="1"/>
  <c r="EF462" i="1" s="1"/>
  <c r="CT462" i="1"/>
  <c r="DC462" i="1" s="1"/>
  <c r="DP461" i="1"/>
  <c r="DY461" i="1" s="1"/>
  <c r="CM461" i="1"/>
  <c r="CV461" i="1" s="1"/>
  <c r="DV457" i="1"/>
  <c r="EE457" i="1" s="1"/>
  <c r="CS457" i="1"/>
  <c r="DB457" i="1" s="1"/>
  <c r="DO456" i="1"/>
  <c r="DX456" i="1" s="1"/>
  <c r="CL456" i="1"/>
  <c r="CU456" i="1" s="1"/>
  <c r="DQ454" i="1"/>
  <c r="DZ454" i="1" s="1"/>
  <c r="CN454" i="1"/>
  <c r="CW454" i="1" s="1"/>
  <c r="DU452" i="1"/>
  <c r="CR452" i="1"/>
  <c r="DW450" i="1"/>
  <c r="EF450" i="1" s="1"/>
  <c r="CT450" i="1"/>
  <c r="DC450" i="1" s="1"/>
  <c r="DP449" i="1"/>
  <c r="DY449" i="1" s="1"/>
  <c r="CM449" i="1"/>
  <c r="CV449" i="1" s="1"/>
  <c r="DV445" i="1"/>
  <c r="EE445" i="1" s="1"/>
  <c r="CS445" i="1"/>
  <c r="DB445" i="1" s="1"/>
  <c r="DO444" i="1"/>
  <c r="DX444" i="1" s="1"/>
  <c r="CL444" i="1"/>
  <c r="CU444" i="1" s="1"/>
  <c r="DQ442" i="1"/>
  <c r="DZ442" i="1" s="1"/>
  <c r="CN442" i="1"/>
  <c r="CW442" i="1" s="1"/>
  <c r="DU440" i="1"/>
  <c r="CR440" i="1"/>
  <c r="DW438" i="1"/>
  <c r="EF438" i="1" s="1"/>
  <c r="CT438" i="1"/>
  <c r="DC438" i="1" s="1"/>
  <c r="DP437" i="1"/>
  <c r="DY437" i="1" s="1"/>
  <c r="CM437" i="1"/>
  <c r="CV437" i="1" s="1"/>
  <c r="DV433" i="1"/>
  <c r="EE433" i="1" s="1"/>
  <c r="CS433" i="1"/>
  <c r="DB433" i="1" s="1"/>
  <c r="DO432" i="1"/>
  <c r="DX432" i="1" s="1"/>
  <c r="CL432" i="1"/>
  <c r="CU432" i="1" s="1"/>
  <c r="DQ430" i="1"/>
  <c r="DZ430" i="1" s="1"/>
  <c r="CN430" i="1"/>
  <c r="CW430" i="1" s="1"/>
  <c r="DU428" i="1"/>
  <c r="CR428" i="1"/>
  <c r="EK452" i="1"/>
  <c r="EI452" i="1"/>
  <c r="EN452" i="1"/>
  <c r="DS452" i="1"/>
  <c r="CP452" i="1"/>
  <c r="EK440" i="1"/>
  <c r="EI440" i="1"/>
  <c r="EN440" i="1"/>
  <c r="CP440" i="1"/>
  <c r="DS440" i="1"/>
  <c r="EK428" i="1"/>
  <c r="EN428" i="1"/>
  <c r="EI428" i="1"/>
  <c r="DS428" i="1"/>
  <c r="CP428" i="1"/>
  <c r="G38" i="34"/>
  <c r="EN457" i="1"/>
  <c r="EI457" i="1"/>
  <c r="EK457" i="1"/>
  <c r="CP457" i="1"/>
  <c r="CY457" i="1" s="1"/>
  <c r="DS457" i="1"/>
  <c r="EB457" i="1" s="1"/>
  <c r="EK445" i="1"/>
  <c r="EN445" i="1"/>
  <c r="EI445" i="1"/>
  <c r="CP445" i="1"/>
  <c r="CY445" i="1" s="1"/>
  <c r="DS445" i="1"/>
  <c r="EB445" i="1" s="1"/>
  <c r="EI433" i="1"/>
  <c r="EN433" i="1"/>
  <c r="EK433" i="1"/>
  <c r="CP433" i="1"/>
  <c r="CY433" i="1" s="1"/>
  <c r="DS433" i="1"/>
  <c r="EB433" i="1" s="1"/>
  <c r="EI462" i="1"/>
  <c r="EN462" i="1"/>
  <c r="EK462" i="1"/>
  <c r="DS462" i="1"/>
  <c r="EB462" i="1" s="1"/>
  <c r="CP462" i="1"/>
  <c r="CY462" i="1" s="1"/>
  <c r="EN450" i="1"/>
  <c r="EK450" i="1"/>
  <c r="EI450" i="1"/>
  <c r="DS450" i="1"/>
  <c r="EB450" i="1" s="1"/>
  <c r="CP450" i="1"/>
  <c r="CY450" i="1" s="1"/>
  <c r="EI438" i="1"/>
  <c r="EK438" i="1"/>
  <c r="EN438" i="1"/>
  <c r="DS438" i="1"/>
  <c r="EB438" i="1" s="1"/>
  <c r="CP438" i="1"/>
  <c r="CY438" i="1" s="1"/>
  <c r="EK455" i="1"/>
  <c r="EI455" i="1"/>
  <c r="EN455" i="1"/>
  <c r="CP455" i="1"/>
  <c r="CY455" i="1" s="1"/>
  <c r="DS455" i="1"/>
  <c r="EB455" i="1" s="1"/>
  <c r="EK443" i="1"/>
  <c r="EN443" i="1"/>
  <c r="EI443" i="1"/>
  <c r="CP443" i="1"/>
  <c r="CY443" i="1" s="1"/>
  <c r="DS443" i="1"/>
  <c r="EB443" i="1" s="1"/>
  <c r="EN431" i="1"/>
  <c r="EI431" i="1"/>
  <c r="EK431" i="1"/>
  <c r="CP431" i="1"/>
  <c r="CY431" i="1" s="1"/>
  <c r="DS431" i="1"/>
  <c r="EB431" i="1" s="1"/>
  <c r="EI460" i="1"/>
  <c r="EK460" i="1"/>
  <c r="EN460" i="1"/>
  <c r="CP460" i="1"/>
  <c r="CY460" i="1" s="1"/>
  <c r="DS460" i="1"/>
  <c r="EB460" i="1" s="1"/>
  <c r="EN448" i="1"/>
  <c r="EI448" i="1"/>
  <c r="EK448" i="1"/>
  <c r="CP448" i="1"/>
  <c r="CY448" i="1" s="1"/>
  <c r="DS448" i="1"/>
  <c r="EB448" i="1" s="1"/>
  <c r="EN436" i="1"/>
  <c r="EK436" i="1"/>
  <c r="EI436" i="1"/>
  <c r="CP436" i="1"/>
  <c r="CY436" i="1" s="1"/>
  <c r="DS436" i="1"/>
  <c r="EB436" i="1" s="1"/>
  <c r="EN453" i="1"/>
  <c r="EI453" i="1"/>
  <c r="EK453" i="1"/>
  <c r="CP453" i="1"/>
  <c r="CY453" i="1" s="1"/>
  <c r="DS453" i="1"/>
  <c r="EB453" i="1" s="1"/>
  <c r="EI441" i="1"/>
  <c r="EN441" i="1"/>
  <c r="EK441" i="1"/>
  <c r="CP441" i="1"/>
  <c r="CY441" i="1" s="1"/>
  <c r="DS441" i="1"/>
  <c r="EB441" i="1" s="1"/>
  <c r="EN429" i="1"/>
  <c r="EI429" i="1"/>
  <c r="EK429" i="1"/>
  <c r="CP429" i="1"/>
  <c r="CY429" i="1" s="1"/>
  <c r="DS429" i="1"/>
  <c r="EB429" i="1" s="1"/>
  <c r="EK458" i="1"/>
  <c r="EN458" i="1"/>
  <c r="EI458" i="1"/>
  <c r="CP458" i="1"/>
  <c r="CY458" i="1" s="1"/>
  <c r="DS458" i="1"/>
  <c r="EB458" i="1" s="1"/>
  <c r="EN446" i="1"/>
  <c r="EK446" i="1"/>
  <c r="EI446" i="1"/>
  <c r="CP446" i="1"/>
  <c r="CY446" i="1" s="1"/>
  <c r="DS446" i="1"/>
  <c r="EB446" i="1" s="1"/>
  <c r="EK434" i="1"/>
  <c r="EI434" i="1"/>
  <c r="EN434" i="1"/>
  <c r="CP434" i="1"/>
  <c r="CY434" i="1" s="1"/>
  <c r="DS434" i="1"/>
  <c r="EB434" i="1" s="1"/>
  <c r="EI463" i="1"/>
  <c r="EK463" i="1"/>
  <c r="EN463" i="1"/>
  <c r="CP463" i="1"/>
  <c r="CY463" i="1" s="1"/>
  <c r="DS463" i="1"/>
  <c r="EB463" i="1" s="1"/>
  <c r="EI451" i="1"/>
  <c r="EN451" i="1"/>
  <c r="EK451" i="1"/>
  <c r="CP451" i="1"/>
  <c r="CY451" i="1" s="1"/>
  <c r="DS451" i="1"/>
  <c r="EB451" i="1" s="1"/>
  <c r="EN439" i="1"/>
  <c r="EI439" i="1"/>
  <c r="EK439" i="1"/>
  <c r="CP439" i="1"/>
  <c r="CY439" i="1" s="1"/>
  <c r="DS439" i="1"/>
  <c r="EB439" i="1" s="1"/>
  <c r="EN456" i="1"/>
  <c r="EI456" i="1"/>
  <c r="EK456" i="1"/>
  <c r="CP456" i="1"/>
  <c r="CY456" i="1" s="1"/>
  <c r="DS456" i="1"/>
  <c r="EB456" i="1" s="1"/>
  <c r="EN444" i="1"/>
  <c r="EK444" i="1"/>
  <c r="EI444" i="1"/>
  <c r="CP444" i="1"/>
  <c r="CY444" i="1" s="1"/>
  <c r="DS444" i="1"/>
  <c r="EB444" i="1" s="1"/>
  <c r="EK432" i="1"/>
  <c r="EN432" i="1"/>
  <c r="EI432" i="1"/>
  <c r="CP432" i="1"/>
  <c r="CY432" i="1" s="1"/>
  <c r="DS432" i="1"/>
  <c r="EB432" i="1" s="1"/>
  <c r="EN461" i="1"/>
  <c r="EK461" i="1"/>
  <c r="EI461" i="1"/>
  <c r="CP461" i="1"/>
  <c r="CY461" i="1" s="1"/>
  <c r="DS461" i="1"/>
  <c r="EB461" i="1" s="1"/>
  <c r="EN449" i="1"/>
  <c r="EK449" i="1"/>
  <c r="EI449" i="1"/>
  <c r="CP449" i="1"/>
  <c r="CY449" i="1" s="1"/>
  <c r="DS449" i="1"/>
  <c r="EB449" i="1" s="1"/>
  <c r="EI437" i="1"/>
  <c r="EK437" i="1"/>
  <c r="EN437" i="1"/>
  <c r="CP437" i="1"/>
  <c r="CY437" i="1" s="1"/>
  <c r="DS437" i="1"/>
  <c r="EB437" i="1" s="1"/>
  <c r="EN454" i="1"/>
  <c r="EK454" i="1"/>
  <c r="EI454" i="1"/>
  <c r="CP454" i="1"/>
  <c r="CY454" i="1" s="1"/>
  <c r="DS454" i="1"/>
  <c r="EB454" i="1" s="1"/>
  <c r="EN442" i="1"/>
  <c r="EI442" i="1"/>
  <c r="EK442" i="1"/>
  <c r="CP442" i="1"/>
  <c r="CY442" i="1" s="1"/>
  <c r="DS442" i="1"/>
  <c r="EB442" i="1" s="1"/>
  <c r="EK430" i="1"/>
  <c r="EN430" i="1"/>
  <c r="EI430" i="1"/>
  <c r="CP430" i="1"/>
  <c r="CY430" i="1" s="1"/>
  <c r="DS430" i="1"/>
  <c r="EB430" i="1" s="1"/>
  <c r="EK459" i="1"/>
  <c r="EN459" i="1"/>
  <c r="EI459" i="1"/>
  <c r="CP459" i="1"/>
  <c r="CY459" i="1" s="1"/>
  <c r="DS459" i="1"/>
  <c r="EB459" i="1" s="1"/>
  <c r="EK447" i="1"/>
  <c r="EN447" i="1"/>
  <c r="EI447" i="1"/>
  <c r="CP447" i="1"/>
  <c r="CY447" i="1" s="1"/>
  <c r="DS447" i="1"/>
  <c r="EB447" i="1" s="1"/>
  <c r="EK435" i="1"/>
  <c r="EI435" i="1"/>
  <c r="EN435" i="1"/>
  <c r="CP435" i="1"/>
  <c r="CY435" i="1" s="1"/>
  <c r="DS435" i="1"/>
  <c r="EB435" i="1" s="1"/>
  <c r="G37" i="34"/>
  <c r="EN416" i="1"/>
  <c r="EK416" i="1"/>
  <c r="EI416" i="1"/>
  <c r="EN404" i="1"/>
  <c r="EK404" i="1"/>
  <c r="EI404" i="1"/>
  <c r="G35" i="34"/>
  <c r="EN392" i="1"/>
  <c r="EI392" i="1"/>
  <c r="EK392" i="1"/>
  <c r="G34" i="34"/>
  <c r="EN380" i="1"/>
  <c r="EI380" i="1"/>
  <c r="EK380" i="1"/>
  <c r="EN421" i="1"/>
  <c r="EI421" i="1"/>
  <c r="EK421" i="1"/>
  <c r="EN409" i="1"/>
  <c r="EK409" i="1"/>
  <c r="EI409" i="1"/>
  <c r="EN397" i="1"/>
  <c r="EK397" i="1"/>
  <c r="EI397" i="1"/>
  <c r="EK385" i="1"/>
  <c r="EN385" i="1"/>
  <c r="EI385" i="1"/>
  <c r="EN426" i="1"/>
  <c r="EK426" i="1"/>
  <c r="EI426" i="1"/>
  <c r="EN414" i="1"/>
  <c r="EI414" i="1"/>
  <c r="EK414" i="1"/>
  <c r="EN402" i="1"/>
  <c r="EI402" i="1"/>
  <c r="EK402" i="1"/>
  <c r="EN390" i="1"/>
  <c r="EI390" i="1"/>
  <c r="EK390" i="1"/>
  <c r="EN419" i="1"/>
  <c r="EI419" i="1"/>
  <c r="EK419" i="1"/>
  <c r="EN407" i="1"/>
  <c r="EI407" i="1"/>
  <c r="EK407" i="1"/>
  <c r="EN395" i="1"/>
  <c r="EK395" i="1"/>
  <c r="EI395" i="1"/>
  <c r="EN383" i="1"/>
  <c r="EK383" i="1"/>
  <c r="EI383" i="1"/>
  <c r="EN424" i="1"/>
  <c r="EK424" i="1"/>
  <c r="EI424" i="1"/>
  <c r="EN412" i="1"/>
  <c r="EK412" i="1"/>
  <c r="EI412" i="1"/>
  <c r="EN400" i="1"/>
  <c r="EK400" i="1"/>
  <c r="EI400" i="1"/>
  <c r="EN388" i="1"/>
  <c r="EI388" i="1"/>
  <c r="EK388" i="1"/>
  <c r="EN417" i="1"/>
  <c r="EI417" i="1"/>
  <c r="EK417" i="1"/>
  <c r="EK405" i="1"/>
  <c r="EN405" i="1"/>
  <c r="EI405" i="1"/>
  <c r="EN393" i="1"/>
  <c r="EK393" i="1"/>
  <c r="EI393" i="1"/>
  <c r="EN381" i="1"/>
  <c r="EK381" i="1"/>
  <c r="EI381" i="1"/>
  <c r="EN422" i="1"/>
  <c r="EI422" i="1"/>
  <c r="EK422" i="1"/>
  <c r="EN410" i="1"/>
  <c r="EI410" i="1"/>
  <c r="EK410" i="1"/>
  <c r="EN398" i="1"/>
  <c r="EI398" i="1"/>
  <c r="EK398" i="1"/>
  <c r="EN386" i="1"/>
  <c r="EK386" i="1"/>
  <c r="EI386" i="1"/>
  <c r="EN427" i="1"/>
  <c r="EK427" i="1"/>
  <c r="EI427" i="1"/>
  <c r="EN415" i="1"/>
  <c r="EI415" i="1"/>
  <c r="EK415" i="1"/>
  <c r="EN403" i="1"/>
  <c r="EI403" i="1"/>
  <c r="EK403" i="1"/>
  <c r="EN391" i="1"/>
  <c r="EI391" i="1"/>
  <c r="EK391" i="1"/>
  <c r="EN420" i="1"/>
  <c r="EI420" i="1"/>
  <c r="EK420" i="1"/>
  <c r="EN408" i="1"/>
  <c r="EI408" i="1"/>
  <c r="EK408" i="1"/>
  <c r="EN396" i="1"/>
  <c r="EI396" i="1"/>
  <c r="EK396" i="1"/>
  <c r="EN384" i="1"/>
  <c r="EI384" i="1"/>
  <c r="EK384" i="1"/>
  <c r="EN425" i="1"/>
  <c r="EK425" i="1"/>
  <c r="EI425" i="1"/>
  <c r="EN413" i="1"/>
  <c r="EI413" i="1"/>
  <c r="EK413" i="1"/>
  <c r="EN401" i="1"/>
  <c r="EI401" i="1"/>
  <c r="EK401" i="1"/>
  <c r="EI389" i="1"/>
  <c r="EK389" i="1"/>
  <c r="EN389" i="1"/>
  <c r="EN418" i="1"/>
  <c r="EI418" i="1"/>
  <c r="EK418" i="1"/>
  <c r="EN406" i="1"/>
  <c r="EI406" i="1"/>
  <c r="EK406" i="1"/>
  <c r="EN394" i="1"/>
  <c r="EI394" i="1"/>
  <c r="EK394" i="1"/>
  <c r="EI382" i="1"/>
  <c r="EK382" i="1"/>
  <c r="EN382" i="1"/>
  <c r="EN423" i="1"/>
  <c r="EI423" i="1"/>
  <c r="EK423" i="1"/>
  <c r="EN411" i="1"/>
  <c r="EK411" i="1"/>
  <c r="EI411" i="1"/>
  <c r="EN399" i="1"/>
  <c r="EK399" i="1"/>
  <c r="EI399" i="1"/>
  <c r="EN387" i="1"/>
  <c r="EK387" i="1"/>
  <c r="EI387" i="1"/>
  <c r="BG39" i="27"/>
  <c r="BE40" i="27"/>
  <c r="BH39" i="27"/>
  <c r="BF40" i="27"/>
  <c r="G36" i="34"/>
  <c r="V41" i="2" s="1"/>
  <c r="DO427" i="1"/>
  <c r="DX427" i="1" s="1"/>
  <c r="CL427" i="1"/>
  <c r="CU427" i="1" s="1"/>
  <c r="DP426" i="1"/>
  <c r="DY426" i="1" s="1"/>
  <c r="CM426" i="1"/>
  <c r="CV426" i="1" s="1"/>
  <c r="DV424" i="1"/>
  <c r="EE424" i="1" s="1"/>
  <c r="CS424" i="1"/>
  <c r="DB424" i="1" s="1"/>
  <c r="DS423" i="1"/>
  <c r="EB423" i="1" s="1"/>
  <c r="CP423" i="1"/>
  <c r="CY423" i="1" s="1"/>
  <c r="DT422" i="1"/>
  <c r="EC422" i="1" s="1"/>
  <c r="CQ422" i="1"/>
  <c r="CZ422" i="1" s="1"/>
  <c r="DQ421" i="1"/>
  <c r="DZ421" i="1" s="1"/>
  <c r="CN421" i="1"/>
  <c r="CW421" i="1" s="1"/>
  <c r="DW419" i="1"/>
  <c r="EF419" i="1" s="1"/>
  <c r="CT419" i="1"/>
  <c r="DC419" i="1" s="1"/>
  <c r="DO419" i="1"/>
  <c r="DX419" i="1" s="1"/>
  <c r="CL419" i="1"/>
  <c r="CU419" i="1" s="1"/>
  <c r="DU417" i="1"/>
  <c r="ED417" i="1" s="1"/>
  <c r="CR417" i="1"/>
  <c r="DA417" i="1" s="1"/>
  <c r="DV416" i="1"/>
  <c r="CS416" i="1"/>
  <c r="DO415" i="1"/>
  <c r="DX415" i="1" s="1"/>
  <c r="CL415" i="1"/>
  <c r="CU415" i="1" s="1"/>
  <c r="DU413" i="1"/>
  <c r="ED413" i="1" s="1"/>
  <c r="CR413" i="1"/>
  <c r="DA413" i="1" s="1"/>
  <c r="DV412" i="1"/>
  <c r="EE412" i="1" s="1"/>
  <c r="CS412" i="1"/>
  <c r="DB412" i="1" s="1"/>
  <c r="DS411" i="1"/>
  <c r="EB411" i="1" s="1"/>
  <c r="CP411" i="1"/>
  <c r="CY411" i="1" s="1"/>
  <c r="DT410" i="1"/>
  <c r="EC410" i="1" s="1"/>
  <c r="CQ410" i="1"/>
  <c r="CZ410" i="1" s="1"/>
  <c r="DQ409" i="1"/>
  <c r="DZ409" i="1" s="1"/>
  <c r="CN409" i="1"/>
  <c r="CW409" i="1" s="1"/>
  <c r="DW407" i="1"/>
  <c r="EF407" i="1" s="1"/>
  <c r="CT407" i="1"/>
  <c r="DC407" i="1" s="1"/>
  <c r="DS407" i="1"/>
  <c r="EB407" i="1" s="1"/>
  <c r="CP407" i="1"/>
  <c r="CY407" i="1" s="1"/>
  <c r="DP406" i="1"/>
  <c r="DY406" i="1" s="1"/>
  <c r="CM406" i="1"/>
  <c r="CV406" i="1" s="1"/>
  <c r="DQ405" i="1"/>
  <c r="DZ405" i="1" s="1"/>
  <c r="CN405" i="1"/>
  <c r="CW405" i="1" s="1"/>
  <c r="DW403" i="1"/>
  <c r="EF403" i="1" s="1"/>
  <c r="CT403" i="1"/>
  <c r="DC403" i="1" s="1"/>
  <c r="DT402" i="1"/>
  <c r="EC402" i="1" s="1"/>
  <c r="CQ402" i="1"/>
  <c r="CZ402" i="1" s="1"/>
  <c r="DR400" i="1"/>
  <c r="EA400" i="1" s="1"/>
  <c r="CO400" i="1"/>
  <c r="CX400" i="1" s="1"/>
  <c r="DS399" i="1"/>
  <c r="EB399" i="1" s="1"/>
  <c r="CP399" i="1"/>
  <c r="CY399" i="1" s="1"/>
  <c r="DP398" i="1"/>
  <c r="DY398" i="1" s="1"/>
  <c r="CM398" i="1"/>
  <c r="CV398" i="1" s="1"/>
  <c r="DV396" i="1"/>
  <c r="EE396" i="1" s="1"/>
  <c r="CS396" i="1"/>
  <c r="DB396" i="1" s="1"/>
  <c r="DW395" i="1"/>
  <c r="EF395" i="1" s="1"/>
  <c r="CT395" i="1"/>
  <c r="DC395" i="1" s="1"/>
  <c r="DT394" i="1"/>
  <c r="EC394" i="1" s="1"/>
  <c r="CQ394" i="1"/>
  <c r="CZ394" i="1" s="1"/>
  <c r="DU393" i="1"/>
  <c r="ED393" i="1" s="1"/>
  <c r="CR393" i="1"/>
  <c r="DA393" i="1" s="1"/>
  <c r="DR392" i="1"/>
  <c r="CO392" i="1"/>
  <c r="DO391" i="1"/>
  <c r="DX391" i="1" s="1"/>
  <c r="CL391" i="1"/>
  <c r="CU391" i="1" s="1"/>
  <c r="DP390" i="1"/>
  <c r="DY390" i="1" s="1"/>
  <c r="CM390" i="1"/>
  <c r="CV390" i="1" s="1"/>
  <c r="DV388" i="1"/>
  <c r="EE388" i="1" s="1"/>
  <c r="CS388" i="1"/>
  <c r="DB388" i="1" s="1"/>
  <c r="DW387" i="1"/>
  <c r="EF387" i="1" s="1"/>
  <c r="CT387" i="1"/>
  <c r="DC387" i="1" s="1"/>
  <c r="DT386" i="1"/>
  <c r="EC386" i="1" s="1"/>
  <c r="CQ386" i="1"/>
  <c r="CZ386" i="1" s="1"/>
  <c r="DU385" i="1"/>
  <c r="ED385" i="1" s="1"/>
  <c r="CR385" i="1"/>
  <c r="DA385" i="1" s="1"/>
  <c r="DR384" i="1"/>
  <c r="EA384" i="1" s="1"/>
  <c r="CO384" i="1"/>
  <c r="CX384" i="1" s="1"/>
  <c r="DS383" i="1"/>
  <c r="EB383" i="1" s="1"/>
  <c r="CP383" i="1"/>
  <c r="CY383" i="1" s="1"/>
  <c r="DP382" i="1"/>
  <c r="DY382" i="1" s="1"/>
  <c r="CM382" i="1"/>
  <c r="CV382" i="1" s="1"/>
  <c r="DQ381" i="1"/>
  <c r="DZ381" i="1" s="1"/>
  <c r="CN381" i="1"/>
  <c r="CW381" i="1" s="1"/>
  <c r="DV427" i="1"/>
  <c r="EE427" i="1" s="1"/>
  <c r="CS427" i="1"/>
  <c r="DB427" i="1" s="1"/>
  <c r="DR427" i="1"/>
  <c r="EA427" i="1" s="1"/>
  <c r="CO427" i="1"/>
  <c r="CX427" i="1" s="1"/>
  <c r="DW426" i="1"/>
  <c r="EF426" i="1" s="1"/>
  <c r="CT426" i="1"/>
  <c r="DC426" i="1" s="1"/>
  <c r="DS426" i="1"/>
  <c r="EB426" i="1" s="1"/>
  <c r="CP426" i="1"/>
  <c r="CY426" i="1" s="1"/>
  <c r="DO426" i="1"/>
  <c r="DX426" i="1" s="1"/>
  <c r="CL426" i="1"/>
  <c r="CU426" i="1" s="1"/>
  <c r="DT425" i="1"/>
  <c r="EC425" i="1" s="1"/>
  <c r="CQ425" i="1"/>
  <c r="CZ425" i="1" s="1"/>
  <c r="DP425" i="1"/>
  <c r="DY425" i="1" s="1"/>
  <c r="CM425" i="1"/>
  <c r="CV425" i="1" s="1"/>
  <c r="DU424" i="1"/>
  <c r="ED424" i="1" s="1"/>
  <c r="CR424" i="1"/>
  <c r="DA424" i="1" s="1"/>
  <c r="DQ424" i="1"/>
  <c r="DZ424" i="1" s="1"/>
  <c r="CN424" i="1"/>
  <c r="CW424" i="1" s="1"/>
  <c r="DV423" i="1"/>
  <c r="EE423" i="1" s="1"/>
  <c r="CS423" i="1"/>
  <c r="DB423" i="1" s="1"/>
  <c r="DR423" i="1"/>
  <c r="EA423" i="1" s="1"/>
  <c r="CO423" i="1"/>
  <c r="CX423" i="1" s="1"/>
  <c r="DW422" i="1"/>
  <c r="EF422" i="1" s="1"/>
  <c r="CT422" i="1"/>
  <c r="DC422" i="1" s="1"/>
  <c r="DS422" i="1"/>
  <c r="EB422" i="1" s="1"/>
  <c r="CP422" i="1"/>
  <c r="CY422" i="1" s="1"/>
  <c r="DO422" i="1"/>
  <c r="DX422" i="1" s="1"/>
  <c r="CL422" i="1"/>
  <c r="CU422" i="1" s="1"/>
  <c r="DT421" i="1"/>
  <c r="EC421" i="1" s="1"/>
  <c r="CQ421" i="1"/>
  <c r="CZ421" i="1" s="1"/>
  <c r="DP421" i="1"/>
  <c r="DY421" i="1" s="1"/>
  <c r="CM421" i="1"/>
  <c r="CV421" i="1" s="1"/>
  <c r="DU420" i="1"/>
  <c r="ED420" i="1" s="1"/>
  <c r="CR420" i="1"/>
  <c r="DA420" i="1" s="1"/>
  <c r="DQ420" i="1"/>
  <c r="DZ420" i="1" s="1"/>
  <c r="CN420" i="1"/>
  <c r="CW420" i="1" s="1"/>
  <c r="DV419" i="1"/>
  <c r="EE419" i="1" s="1"/>
  <c r="CS419" i="1"/>
  <c r="DB419" i="1" s="1"/>
  <c r="DR419" i="1"/>
  <c r="EA419" i="1" s="1"/>
  <c r="CO419" i="1"/>
  <c r="CX419" i="1" s="1"/>
  <c r="DW418" i="1"/>
  <c r="EF418" i="1" s="1"/>
  <c r="CT418" i="1"/>
  <c r="DC418" i="1" s="1"/>
  <c r="DS418" i="1"/>
  <c r="EB418" i="1" s="1"/>
  <c r="CP418" i="1"/>
  <c r="CY418" i="1" s="1"/>
  <c r="DO418" i="1"/>
  <c r="DX418" i="1" s="1"/>
  <c r="CL418" i="1"/>
  <c r="CU418" i="1" s="1"/>
  <c r="DT417" i="1"/>
  <c r="EC417" i="1" s="1"/>
  <c r="CQ417" i="1"/>
  <c r="CZ417" i="1" s="1"/>
  <c r="DP417" i="1"/>
  <c r="DY417" i="1" s="1"/>
  <c r="CM417" i="1"/>
  <c r="CV417" i="1" s="1"/>
  <c r="DU416" i="1"/>
  <c r="CR416" i="1"/>
  <c r="DQ416" i="1"/>
  <c r="CN416" i="1"/>
  <c r="DV415" i="1"/>
  <c r="EE415" i="1" s="1"/>
  <c r="CS415" i="1"/>
  <c r="DB415" i="1" s="1"/>
  <c r="DR415" i="1"/>
  <c r="EA415" i="1" s="1"/>
  <c r="CO415" i="1"/>
  <c r="CX415" i="1" s="1"/>
  <c r="DW414" i="1"/>
  <c r="EF414" i="1" s="1"/>
  <c r="CT414" i="1"/>
  <c r="DC414" i="1" s="1"/>
  <c r="DS414" i="1"/>
  <c r="EB414" i="1" s="1"/>
  <c r="CP414" i="1"/>
  <c r="CY414" i="1" s="1"/>
  <c r="DO414" i="1"/>
  <c r="DX414" i="1" s="1"/>
  <c r="CL414" i="1"/>
  <c r="CU414" i="1" s="1"/>
  <c r="DT413" i="1"/>
  <c r="EC413" i="1" s="1"/>
  <c r="CQ413" i="1"/>
  <c r="CZ413" i="1" s="1"/>
  <c r="DP413" i="1"/>
  <c r="DY413" i="1" s="1"/>
  <c r="CM413" i="1"/>
  <c r="CV413" i="1" s="1"/>
  <c r="DU412" i="1"/>
  <c r="ED412" i="1" s="1"/>
  <c r="CR412" i="1"/>
  <c r="DA412" i="1" s="1"/>
  <c r="DQ412" i="1"/>
  <c r="DZ412" i="1" s="1"/>
  <c r="CN412" i="1"/>
  <c r="CW412" i="1" s="1"/>
  <c r="DV411" i="1"/>
  <c r="EE411" i="1" s="1"/>
  <c r="CS411" i="1"/>
  <c r="DB411" i="1" s="1"/>
  <c r="DR411" i="1"/>
  <c r="EA411" i="1" s="1"/>
  <c r="CO411" i="1"/>
  <c r="CX411" i="1" s="1"/>
  <c r="DW410" i="1"/>
  <c r="EF410" i="1" s="1"/>
  <c r="CT410" i="1"/>
  <c r="DC410" i="1" s="1"/>
  <c r="DS410" i="1"/>
  <c r="EB410" i="1" s="1"/>
  <c r="CP410" i="1"/>
  <c r="CY410" i="1" s="1"/>
  <c r="DO410" i="1"/>
  <c r="DX410" i="1" s="1"/>
  <c r="CL410" i="1"/>
  <c r="CU410" i="1" s="1"/>
  <c r="DT409" i="1"/>
  <c r="EC409" i="1" s="1"/>
  <c r="CQ409" i="1"/>
  <c r="CZ409" i="1" s="1"/>
  <c r="DP409" i="1"/>
  <c r="DY409" i="1" s="1"/>
  <c r="CM409" i="1"/>
  <c r="CV409" i="1" s="1"/>
  <c r="DU408" i="1"/>
  <c r="ED408" i="1" s="1"/>
  <c r="CR408" i="1"/>
  <c r="DA408" i="1" s="1"/>
  <c r="DQ408" i="1"/>
  <c r="DZ408" i="1" s="1"/>
  <c r="CN408" i="1"/>
  <c r="CW408" i="1" s="1"/>
  <c r="DV407" i="1"/>
  <c r="EE407" i="1" s="1"/>
  <c r="CS407" i="1"/>
  <c r="DB407" i="1" s="1"/>
  <c r="DR407" i="1"/>
  <c r="EA407" i="1" s="1"/>
  <c r="CO407" i="1"/>
  <c r="CX407" i="1" s="1"/>
  <c r="DW406" i="1"/>
  <c r="EF406" i="1" s="1"/>
  <c r="CT406" i="1"/>
  <c r="DC406" i="1" s="1"/>
  <c r="DS406" i="1"/>
  <c r="EB406" i="1" s="1"/>
  <c r="CP406" i="1"/>
  <c r="CY406" i="1" s="1"/>
  <c r="DO406" i="1"/>
  <c r="DX406" i="1" s="1"/>
  <c r="CL406" i="1"/>
  <c r="CU406" i="1" s="1"/>
  <c r="DT405" i="1"/>
  <c r="EC405" i="1" s="1"/>
  <c r="CQ405" i="1"/>
  <c r="CZ405" i="1" s="1"/>
  <c r="DP405" i="1"/>
  <c r="DY405" i="1" s="1"/>
  <c r="CM405" i="1"/>
  <c r="CV405" i="1" s="1"/>
  <c r="DU404" i="1"/>
  <c r="CR404" i="1"/>
  <c r="DQ404" i="1"/>
  <c r="CN404" i="1"/>
  <c r="DV403" i="1"/>
  <c r="EE403" i="1" s="1"/>
  <c r="CS403" i="1"/>
  <c r="DB403" i="1" s="1"/>
  <c r="DR403" i="1"/>
  <c r="EA403" i="1" s="1"/>
  <c r="CO403" i="1"/>
  <c r="CX403" i="1" s="1"/>
  <c r="DW402" i="1"/>
  <c r="EF402" i="1" s="1"/>
  <c r="CT402" i="1"/>
  <c r="DC402" i="1" s="1"/>
  <c r="DS402" i="1"/>
  <c r="EB402" i="1" s="1"/>
  <c r="CP402" i="1"/>
  <c r="CY402" i="1" s="1"/>
  <c r="DO402" i="1"/>
  <c r="DX402" i="1" s="1"/>
  <c r="CL402" i="1"/>
  <c r="CU402" i="1" s="1"/>
  <c r="DT401" i="1"/>
  <c r="EC401" i="1" s="1"/>
  <c r="CQ401" i="1"/>
  <c r="CZ401" i="1" s="1"/>
  <c r="DP401" i="1"/>
  <c r="DY401" i="1" s="1"/>
  <c r="CM401" i="1"/>
  <c r="CV401" i="1" s="1"/>
  <c r="DU400" i="1"/>
  <c r="ED400" i="1" s="1"/>
  <c r="CR400" i="1"/>
  <c r="DA400" i="1" s="1"/>
  <c r="DQ400" i="1"/>
  <c r="DZ400" i="1" s="1"/>
  <c r="CN400" i="1"/>
  <c r="CW400" i="1" s="1"/>
  <c r="DV399" i="1"/>
  <c r="EE399" i="1" s="1"/>
  <c r="CS399" i="1"/>
  <c r="DB399" i="1" s="1"/>
  <c r="DR399" i="1"/>
  <c r="EA399" i="1" s="1"/>
  <c r="CO399" i="1"/>
  <c r="CX399" i="1" s="1"/>
  <c r="DW398" i="1"/>
  <c r="EF398" i="1" s="1"/>
  <c r="CT398" i="1"/>
  <c r="DC398" i="1" s="1"/>
  <c r="DS398" i="1"/>
  <c r="EB398" i="1" s="1"/>
  <c r="CP398" i="1"/>
  <c r="CY398" i="1" s="1"/>
  <c r="DO398" i="1"/>
  <c r="DX398" i="1" s="1"/>
  <c r="CL398" i="1"/>
  <c r="CU398" i="1" s="1"/>
  <c r="DT397" i="1"/>
  <c r="EC397" i="1" s="1"/>
  <c r="CQ397" i="1"/>
  <c r="CZ397" i="1" s="1"/>
  <c r="DP397" i="1"/>
  <c r="DY397" i="1" s="1"/>
  <c r="CM397" i="1"/>
  <c r="CV397" i="1" s="1"/>
  <c r="DU396" i="1"/>
  <c r="ED396" i="1" s="1"/>
  <c r="CR396" i="1"/>
  <c r="DA396" i="1" s="1"/>
  <c r="DQ396" i="1"/>
  <c r="DZ396" i="1" s="1"/>
  <c r="CN396" i="1"/>
  <c r="CW396" i="1" s="1"/>
  <c r="DV395" i="1"/>
  <c r="EE395" i="1" s="1"/>
  <c r="CS395" i="1"/>
  <c r="DB395" i="1" s="1"/>
  <c r="DR395" i="1"/>
  <c r="EA395" i="1" s="1"/>
  <c r="CO395" i="1"/>
  <c r="CX395" i="1" s="1"/>
  <c r="DW394" i="1"/>
  <c r="EF394" i="1" s="1"/>
  <c r="CT394" i="1"/>
  <c r="DC394" i="1" s="1"/>
  <c r="DS394" i="1"/>
  <c r="EB394" i="1" s="1"/>
  <c r="CP394" i="1"/>
  <c r="CY394" i="1" s="1"/>
  <c r="DO394" i="1"/>
  <c r="DX394" i="1" s="1"/>
  <c r="CL394" i="1"/>
  <c r="CU394" i="1" s="1"/>
  <c r="DT393" i="1"/>
  <c r="EC393" i="1" s="1"/>
  <c r="CQ393" i="1"/>
  <c r="CZ393" i="1" s="1"/>
  <c r="DP393" i="1"/>
  <c r="DY393" i="1" s="1"/>
  <c r="CM393" i="1"/>
  <c r="CV393" i="1" s="1"/>
  <c r="DU392" i="1"/>
  <c r="CR392" i="1"/>
  <c r="DQ392" i="1"/>
  <c r="CN392" i="1"/>
  <c r="DV391" i="1"/>
  <c r="EE391" i="1" s="1"/>
  <c r="CS391" i="1"/>
  <c r="DB391" i="1" s="1"/>
  <c r="DR391" i="1"/>
  <c r="EA391" i="1" s="1"/>
  <c r="CO391" i="1"/>
  <c r="CX391" i="1" s="1"/>
  <c r="DW390" i="1"/>
  <c r="EF390" i="1" s="1"/>
  <c r="CT390" i="1"/>
  <c r="DC390" i="1" s="1"/>
  <c r="DS390" i="1"/>
  <c r="EB390" i="1" s="1"/>
  <c r="CP390" i="1"/>
  <c r="CY390" i="1" s="1"/>
  <c r="DO390" i="1"/>
  <c r="DX390" i="1" s="1"/>
  <c r="CL390" i="1"/>
  <c r="CU390" i="1" s="1"/>
  <c r="DT389" i="1"/>
  <c r="EC389" i="1" s="1"/>
  <c r="CQ389" i="1"/>
  <c r="CZ389" i="1" s="1"/>
  <c r="DP389" i="1"/>
  <c r="DY389" i="1" s="1"/>
  <c r="CM389" i="1"/>
  <c r="CV389" i="1" s="1"/>
  <c r="DU388" i="1"/>
  <c r="ED388" i="1" s="1"/>
  <c r="CR388" i="1"/>
  <c r="DA388" i="1" s="1"/>
  <c r="DQ388" i="1"/>
  <c r="DZ388" i="1" s="1"/>
  <c r="CN388" i="1"/>
  <c r="CW388" i="1" s="1"/>
  <c r="DV387" i="1"/>
  <c r="EE387" i="1" s="1"/>
  <c r="CS387" i="1"/>
  <c r="DB387" i="1" s="1"/>
  <c r="DR387" i="1"/>
  <c r="EA387" i="1" s="1"/>
  <c r="CO387" i="1"/>
  <c r="CX387" i="1" s="1"/>
  <c r="DW386" i="1"/>
  <c r="EF386" i="1" s="1"/>
  <c r="CT386" i="1"/>
  <c r="DC386" i="1" s="1"/>
  <c r="DS386" i="1"/>
  <c r="EB386" i="1" s="1"/>
  <c r="CP386" i="1"/>
  <c r="CY386" i="1" s="1"/>
  <c r="DO386" i="1"/>
  <c r="DX386" i="1" s="1"/>
  <c r="CL386" i="1"/>
  <c r="CU386" i="1" s="1"/>
  <c r="DT385" i="1"/>
  <c r="EC385" i="1" s="1"/>
  <c r="CQ385" i="1"/>
  <c r="CZ385" i="1" s="1"/>
  <c r="DP385" i="1"/>
  <c r="DY385" i="1" s="1"/>
  <c r="CM385" i="1"/>
  <c r="CV385" i="1" s="1"/>
  <c r="DU384" i="1"/>
  <c r="ED384" i="1" s="1"/>
  <c r="CR384" i="1"/>
  <c r="DA384" i="1" s="1"/>
  <c r="DQ384" i="1"/>
  <c r="DZ384" i="1" s="1"/>
  <c r="CN384" i="1"/>
  <c r="CW384" i="1" s="1"/>
  <c r="DV383" i="1"/>
  <c r="EE383" i="1" s="1"/>
  <c r="CS383" i="1"/>
  <c r="DB383" i="1" s="1"/>
  <c r="DR383" i="1"/>
  <c r="EA383" i="1" s="1"/>
  <c r="CO383" i="1"/>
  <c r="CX383" i="1" s="1"/>
  <c r="DW382" i="1"/>
  <c r="EF382" i="1" s="1"/>
  <c r="CT382" i="1"/>
  <c r="DC382" i="1" s="1"/>
  <c r="DS382" i="1"/>
  <c r="EB382" i="1" s="1"/>
  <c r="CP382" i="1"/>
  <c r="CY382" i="1" s="1"/>
  <c r="DO382" i="1"/>
  <c r="DX382" i="1" s="1"/>
  <c r="CL382" i="1"/>
  <c r="CU382" i="1" s="1"/>
  <c r="DT381" i="1"/>
  <c r="EC381" i="1" s="1"/>
  <c r="CQ381" i="1"/>
  <c r="CZ381" i="1" s="1"/>
  <c r="DP381" i="1"/>
  <c r="DY381" i="1" s="1"/>
  <c r="CM381" i="1"/>
  <c r="CV381" i="1" s="1"/>
  <c r="DU380" i="1"/>
  <c r="CR380" i="1"/>
  <c r="DQ380" i="1"/>
  <c r="CN380" i="1"/>
  <c r="DW427" i="1"/>
  <c r="EF427" i="1" s="1"/>
  <c r="CT427" i="1"/>
  <c r="DC427" i="1" s="1"/>
  <c r="DU425" i="1"/>
  <c r="ED425" i="1" s="1"/>
  <c r="CR425" i="1"/>
  <c r="DA425" i="1" s="1"/>
  <c r="DW423" i="1"/>
  <c r="EF423" i="1" s="1"/>
  <c r="CT423" i="1"/>
  <c r="DC423" i="1" s="1"/>
  <c r="DP422" i="1"/>
  <c r="DY422" i="1" s="1"/>
  <c r="CM422" i="1"/>
  <c r="CV422" i="1" s="1"/>
  <c r="DR420" i="1"/>
  <c r="EA420" i="1" s="1"/>
  <c r="CO420" i="1"/>
  <c r="CX420" i="1" s="1"/>
  <c r="DP418" i="1"/>
  <c r="DY418" i="1" s="1"/>
  <c r="CM418" i="1"/>
  <c r="CV418" i="1" s="1"/>
  <c r="DW415" i="1"/>
  <c r="EF415" i="1" s="1"/>
  <c r="CT415" i="1"/>
  <c r="DC415" i="1" s="1"/>
  <c r="DP414" i="1"/>
  <c r="DY414" i="1" s="1"/>
  <c r="CM414" i="1"/>
  <c r="CV414" i="1" s="1"/>
  <c r="DR412" i="1"/>
  <c r="EA412" i="1" s="1"/>
  <c r="CO412" i="1"/>
  <c r="CX412" i="1" s="1"/>
  <c r="DP410" i="1"/>
  <c r="DY410" i="1" s="1"/>
  <c r="CM410" i="1"/>
  <c r="CV410" i="1" s="1"/>
  <c r="DV408" i="1"/>
  <c r="EE408" i="1" s="1"/>
  <c r="CS408" i="1"/>
  <c r="DB408" i="1" s="1"/>
  <c r="DT406" i="1"/>
  <c r="EC406" i="1" s="1"/>
  <c r="CQ406" i="1"/>
  <c r="CZ406" i="1" s="1"/>
  <c r="DV404" i="1"/>
  <c r="CS404" i="1"/>
  <c r="DO403" i="1"/>
  <c r="DX403" i="1" s="1"/>
  <c r="CL403" i="1"/>
  <c r="CU403" i="1" s="1"/>
  <c r="DP402" i="1"/>
  <c r="DY402" i="1" s="1"/>
  <c r="CM402" i="1"/>
  <c r="CV402" i="1" s="1"/>
  <c r="DQ401" i="1"/>
  <c r="DZ401" i="1" s="1"/>
  <c r="CN401" i="1"/>
  <c r="CW401" i="1" s="1"/>
  <c r="DV400" i="1"/>
  <c r="EE400" i="1" s="1"/>
  <c r="CS400" i="1"/>
  <c r="DB400" i="1" s="1"/>
  <c r="DO399" i="1"/>
  <c r="DX399" i="1" s="1"/>
  <c r="CL399" i="1"/>
  <c r="CU399" i="1" s="1"/>
  <c r="DQ397" i="1"/>
  <c r="DZ397" i="1" s="1"/>
  <c r="CN397" i="1"/>
  <c r="CW397" i="1" s="1"/>
  <c r="DS395" i="1"/>
  <c r="EB395" i="1" s="1"/>
  <c r="CP395" i="1"/>
  <c r="CY395" i="1" s="1"/>
  <c r="DQ393" i="1"/>
  <c r="DZ393" i="1" s="1"/>
  <c r="CN393" i="1"/>
  <c r="CW393" i="1" s="1"/>
  <c r="DS391" i="1"/>
  <c r="EB391" i="1" s="1"/>
  <c r="CP391" i="1"/>
  <c r="CY391" i="1" s="1"/>
  <c r="DQ389" i="1"/>
  <c r="DZ389" i="1" s="1"/>
  <c r="CN389" i="1"/>
  <c r="CW389" i="1" s="1"/>
  <c r="DS387" i="1"/>
  <c r="EB387" i="1" s="1"/>
  <c r="CP387" i="1"/>
  <c r="CY387" i="1" s="1"/>
  <c r="DQ385" i="1"/>
  <c r="DZ385" i="1" s="1"/>
  <c r="CN385" i="1"/>
  <c r="CW385" i="1" s="1"/>
  <c r="DO383" i="1"/>
  <c r="DX383" i="1" s="1"/>
  <c r="CL383" i="1"/>
  <c r="CU383" i="1" s="1"/>
  <c r="DV380" i="1"/>
  <c r="CS380" i="1"/>
  <c r="DU427" i="1"/>
  <c r="ED427" i="1" s="1"/>
  <c r="CR427" i="1"/>
  <c r="DA427" i="1" s="1"/>
  <c r="DQ427" i="1"/>
  <c r="DZ427" i="1" s="1"/>
  <c r="CN427" i="1"/>
  <c r="CW427" i="1" s="1"/>
  <c r="DV426" i="1"/>
  <c r="EE426" i="1" s="1"/>
  <c r="CS426" i="1"/>
  <c r="DB426" i="1" s="1"/>
  <c r="DR426" i="1"/>
  <c r="EA426" i="1" s="1"/>
  <c r="CO426" i="1"/>
  <c r="CX426" i="1" s="1"/>
  <c r="DW425" i="1"/>
  <c r="EF425" i="1" s="1"/>
  <c r="CT425" i="1"/>
  <c r="DC425" i="1" s="1"/>
  <c r="DS425" i="1"/>
  <c r="EB425" i="1" s="1"/>
  <c r="CP425" i="1"/>
  <c r="CY425" i="1" s="1"/>
  <c r="DO425" i="1"/>
  <c r="DX425" i="1" s="1"/>
  <c r="CL425" i="1"/>
  <c r="CU425" i="1" s="1"/>
  <c r="DT424" i="1"/>
  <c r="EC424" i="1" s="1"/>
  <c r="CQ424" i="1"/>
  <c r="CZ424" i="1" s="1"/>
  <c r="DP424" i="1"/>
  <c r="DY424" i="1" s="1"/>
  <c r="CM424" i="1"/>
  <c r="CV424" i="1" s="1"/>
  <c r="DU423" i="1"/>
  <c r="ED423" i="1" s="1"/>
  <c r="CR423" i="1"/>
  <c r="DA423" i="1" s="1"/>
  <c r="DQ423" i="1"/>
  <c r="DZ423" i="1" s="1"/>
  <c r="CN423" i="1"/>
  <c r="CW423" i="1" s="1"/>
  <c r="DV422" i="1"/>
  <c r="EE422" i="1" s="1"/>
  <c r="CS422" i="1"/>
  <c r="DB422" i="1" s="1"/>
  <c r="DR422" i="1"/>
  <c r="EA422" i="1" s="1"/>
  <c r="CO422" i="1"/>
  <c r="CX422" i="1" s="1"/>
  <c r="DW421" i="1"/>
  <c r="EF421" i="1" s="1"/>
  <c r="CT421" i="1"/>
  <c r="DC421" i="1" s="1"/>
  <c r="DS421" i="1"/>
  <c r="EB421" i="1" s="1"/>
  <c r="CP421" i="1"/>
  <c r="CY421" i="1" s="1"/>
  <c r="DO421" i="1"/>
  <c r="DX421" i="1" s="1"/>
  <c r="CL421" i="1"/>
  <c r="CU421" i="1" s="1"/>
  <c r="DT420" i="1"/>
  <c r="EC420" i="1" s="1"/>
  <c r="CQ420" i="1"/>
  <c r="CZ420" i="1" s="1"/>
  <c r="DP420" i="1"/>
  <c r="DY420" i="1" s="1"/>
  <c r="CM420" i="1"/>
  <c r="CV420" i="1" s="1"/>
  <c r="DU419" i="1"/>
  <c r="ED419" i="1" s="1"/>
  <c r="CR419" i="1"/>
  <c r="DA419" i="1" s="1"/>
  <c r="DQ419" i="1"/>
  <c r="DZ419" i="1" s="1"/>
  <c r="CN419" i="1"/>
  <c r="CW419" i="1" s="1"/>
  <c r="DV418" i="1"/>
  <c r="EE418" i="1" s="1"/>
  <c r="CS418" i="1"/>
  <c r="DB418" i="1" s="1"/>
  <c r="DR418" i="1"/>
  <c r="EA418" i="1" s="1"/>
  <c r="CO418" i="1"/>
  <c r="CX418" i="1" s="1"/>
  <c r="DW417" i="1"/>
  <c r="EF417" i="1" s="1"/>
  <c r="CT417" i="1"/>
  <c r="DC417" i="1" s="1"/>
  <c r="DS417" i="1"/>
  <c r="EB417" i="1" s="1"/>
  <c r="CP417" i="1"/>
  <c r="CY417" i="1" s="1"/>
  <c r="DO417" i="1"/>
  <c r="DX417" i="1" s="1"/>
  <c r="CL417" i="1"/>
  <c r="CU417" i="1" s="1"/>
  <c r="DT416" i="1"/>
  <c r="CQ416" i="1"/>
  <c r="DP416" i="1"/>
  <c r="CM416" i="1"/>
  <c r="DU415" i="1"/>
  <c r="ED415" i="1" s="1"/>
  <c r="CR415" i="1"/>
  <c r="DA415" i="1" s="1"/>
  <c r="DQ415" i="1"/>
  <c r="DZ415" i="1" s="1"/>
  <c r="CN415" i="1"/>
  <c r="CW415" i="1" s="1"/>
  <c r="DV414" i="1"/>
  <c r="EE414" i="1" s="1"/>
  <c r="CS414" i="1"/>
  <c r="DB414" i="1" s="1"/>
  <c r="DR414" i="1"/>
  <c r="EA414" i="1" s="1"/>
  <c r="CO414" i="1"/>
  <c r="CX414" i="1" s="1"/>
  <c r="DW413" i="1"/>
  <c r="EF413" i="1" s="1"/>
  <c r="CT413" i="1"/>
  <c r="DC413" i="1" s="1"/>
  <c r="DS413" i="1"/>
  <c r="EB413" i="1" s="1"/>
  <c r="CP413" i="1"/>
  <c r="CY413" i="1" s="1"/>
  <c r="DO413" i="1"/>
  <c r="DX413" i="1" s="1"/>
  <c r="CL413" i="1"/>
  <c r="CU413" i="1" s="1"/>
  <c r="DT412" i="1"/>
  <c r="EC412" i="1" s="1"/>
  <c r="CQ412" i="1"/>
  <c r="CZ412" i="1" s="1"/>
  <c r="DP412" i="1"/>
  <c r="DY412" i="1" s="1"/>
  <c r="CM412" i="1"/>
  <c r="CV412" i="1" s="1"/>
  <c r="DU411" i="1"/>
  <c r="ED411" i="1" s="1"/>
  <c r="CR411" i="1"/>
  <c r="DA411" i="1" s="1"/>
  <c r="DQ411" i="1"/>
  <c r="DZ411" i="1" s="1"/>
  <c r="CN411" i="1"/>
  <c r="CW411" i="1" s="1"/>
  <c r="DV410" i="1"/>
  <c r="EE410" i="1" s="1"/>
  <c r="CS410" i="1"/>
  <c r="DB410" i="1" s="1"/>
  <c r="DR410" i="1"/>
  <c r="EA410" i="1" s="1"/>
  <c r="CO410" i="1"/>
  <c r="CX410" i="1" s="1"/>
  <c r="DW409" i="1"/>
  <c r="EF409" i="1" s="1"/>
  <c r="CT409" i="1"/>
  <c r="DC409" i="1" s="1"/>
  <c r="DS409" i="1"/>
  <c r="EB409" i="1" s="1"/>
  <c r="CP409" i="1"/>
  <c r="CY409" i="1" s="1"/>
  <c r="DO409" i="1"/>
  <c r="DX409" i="1" s="1"/>
  <c r="CL409" i="1"/>
  <c r="CU409" i="1" s="1"/>
  <c r="DT408" i="1"/>
  <c r="EC408" i="1" s="1"/>
  <c r="CQ408" i="1"/>
  <c r="CZ408" i="1" s="1"/>
  <c r="DP408" i="1"/>
  <c r="DY408" i="1" s="1"/>
  <c r="CM408" i="1"/>
  <c r="CV408" i="1" s="1"/>
  <c r="DU407" i="1"/>
  <c r="ED407" i="1" s="1"/>
  <c r="CR407" i="1"/>
  <c r="DA407" i="1" s="1"/>
  <c r="DQ407" i="1"/>
  <c r="DZ407" i="1" s="1"/>
  <c r="CN407" i="1"/>
  <c r="CW407" i="1" s="1"/>
  <c r="DV406" i="1"/>
  <c r="EE406" i="1" s="1"/>
  <c r="CS406" i="1"/>
  <c r="DB406" i="1" s="1"/>
  <c r="DR406" i="1"/>
  <c r="EA406" i="1" s="1"/>
  <c r="CO406" i="1"/>
  <c r="CX406" i="1" s="1"/>
  <c r="DW405" i="1"/>
  <c r="EF405" i="1" s="1"/>
  <c r="CT405" i="1"/>
  <c r="DC405" i="1" s="1"/>
  <c r="DS405" i="1"/>
  <c r="EB405" i="1" s="1"/>
  <c r="CP405" i="1"/>
  <c r="CY405" i="1" s="1"/>
  <c r="DO405" i="1"/>
  <c r="DX405" i="1" s="1"/>
  <c r="CL405" i="1"/>
  <c r="CU405" i="1" s="1"/>
  <c r="DT404" i="1"/>
  <c r="CQ404" i="1"/>
  <c r="DP404" i="1"/>
  <c r="CM404" i="1"/>
  <c r="DU403" i="1"/>
  <c r="ED403" i="1" s="1"/>
  <c r="CR403" i="1"/>
  <c r="DA403" i="1" s="1"/>
  <c r="DQ403" i="1"/>
  <c r="DZ403" i="1" s="1"/>
  <c r="CN403" i="1"/>
  <c r="CW403" i="1" s="1"/>
  <c r="DV402" i="1"/>
  <c r="EE402" i="1" s="1"/>
  <c r="CS402" i="1"/>
  <c r="DB402" i="1" s="1"/>
  <c r="DR402" i="1"/>
  <c r="EA402" i="1" s="1"/>
  <c r="CO402" i="1"/>
  <c r="CX402" i="1" s="1"/>
  <c r="DW401" i="1"/>
  <c r="EF401" i="1" s="1"/>
  <c r="CT401" i="1"/>
  <c r="DC401" i="1" s="1"/>
  <c r="DS401" i="1"/>
  <c r="EB401" i="1" s="1"/>
  <c r="CP401" i="1"/>
  <c r="CY401" i="1" s="1"/>
  <c r="DO401" i="1"/>
  <c r="DX401" i="1" s="1"/>
  <c r="CL401" i="1"/>
  <c r="CU401" i="1" s="1"/>
  <c r="DT400" i="1"/>
  <c r="EC400" i="1" s="1"/>
  <c r="CQ400" i="1"/>
  <c r="CZ400" i="1" s="1"/>
  <c r="DP400" i="1"/>
  <c r="DY400" i="1" s="1"/>
  <c r="CM400" i="1"/>
  <c r="CV400" i="1" s="1"/>
  <c r="DU399" i="1"/>
  <c r="ED399" i="1" s="1"/>
  <c r="CR399" i="1"/>
  <c r="DA399" i="1" s="1"/>
  <c r="DQ399" i="1"/>
  <c r="DZ399" i="1" s="1"/>
  <c r="CN399" i="1"/>
  <c r="CW399" i="1" s="1"/>
  <c r="DV398" i="1"/>
  <c r="EE398" i="1" s="1"/>
  <c r="CS398" i="1"/>
  <c r="DB398" i="1" s="1"/>
  <c r="DR398" i="1"/>
  <c r="EA398" i="1" s="1"/>
  <c r="CO398" i="1"/>
  <c r="CX398" i="1" s="1"/>
  <c r="DW397" i="1"/>
  <c r="EF397" i="1" s="1"/>
  <c r="CT397" i="1"/>
  <c r="DC397" i="1" s="1"/>
  <c r="DS397" i="1"/>
  <c r="EB397" i="1" s="1"/>
  <c r="CP397" i="1"/>
  <c r="CY397" i="1" s="1"/>
  <c r="DO397" i="1"/>
  <c r="DX397" i="1" s="1"/>
  <c r="CL397" i="1"/>
  <c r="CU397" i="1" s="1"/>
  <c r="DT396" i="1"/>
  <c r="EC396" i="1" s="1"/>
  <c r="CQ396" i="1"/>
  <c r="CZ396" i="1" s="1"/>
  <c r="DP396" i="1"/>
  <c r="DY396" i="1" s="1"/>
  <c r="CM396" i="1"/>
  <c r="CV396" i="1" s="1"/>
  <c r="DU395" i="1"/>
  <c r="ED395" i="1" s="1"/>
  <c r="CR395" i="1"/>
  <c r="DA395" i="1" s="1"/>
  <c r="DQ395" i="1"/>
  <c r="DZ395" i="1" s="1"/>
  <c r="CN395" i="1"/>
  <c r="CW395" i="1" s="1"/>
  <c r="DV394" i="1"/>
  <c r="EE394" i="1" s="1"/>
  <c r="CS394" i="1"/>
  <c r="DB394" i="1" s="1"/>
  <c r="DR394" i="1"/>
  <c r="EA394" i="1" s="1"/>
  <c r="CO394" i="1"/>
  <c r="CX394" i="1" s="1"/>
  <c r="DW393" i="1"/>
  <c r="EF393" i="1" s="1"/>
  <c r="CT393" i="1"/>
  <c r="DC393" i="1" s="1"/>
  <c r="DS393" i="1"/>
  <c r="EB393" i="1" s="1"/>
  <c r="CP393" i="1"/>
  <c r="CY393" i="1" s="1"/>
  <c r="DO393" i="1"/>
  <c r="DX393" i="1" s="1"/>
  <c r="CL393" i="1"/>
  <c r="CU393" i="1" s="1"/>
  <c r="DT392" i="1"/>
  <c r="CQ392" i="1"/>
  <c r="DP392" i="1"/>
  <c r="CM392" i="1"/>
  <c r="DU391" i="1"/>
  <c r="ED391" i="1" s="1"/>
  <c r="CR391" i="1"/>
  <c r="DA391" i="1" s="1"/>
  <c r="DQ391" i="1"/>
  <c r="DZ391" i="1" s="1"/>
  <c r="CN391" i="1"/>
  <c r="CW391" i="1" s="1"/>
  <c r="DV390" i="1"/>
  <c r="EE390" i="1" s="1"/>
  <c r="CS390" i="1"/>
  <c r="DB390" i="1" s="1"/>
  <c r="DR390" i="1"/>
  <c r="EA390" i="1" s="1"/>
  <c r="CO390" i="1"/>
  <c r="CX390" i="1" s="1"/>
  <c r="DW389" i="1"/>
  <c r="EF389" i="1" s="1"/>
  <c r="CT389" i="1"/>
  <c r="DC389" i="1" s="1"/>
  <c r="DS389" i="1"/>
  <c r="EB389" i="1" s="1"/>
  <c r="CP389" i="1"/>
  <c r="CY389" i="1" s="1"/>
  <c r="DO389" i="1"/>
  <c r="DX389" i="1" s="1"/>
  <c r="CL389" i="1"/>
  <c r="CU389" i="1" s="1"/>
  <c r="DT388" i="1"/>
  <c r="EC388" i="1" s="1"/>
  <c r="CQ388" i="1"/>
  <c r="CZ388" i="1" s="1"/>
  <c r="DP388" i="1"/>
  <c r="DY388" i="1" s="1"/>
  <c r="CM388" i="1"/>
  <c r="CV388" i="1" s="1"/>
  <c r="DU387" i="1"/>
  <c r="ED387" i="1" s="1"/>
  <c r="CR387" i="1"/>
  <c r="DA387" i="1" s="1"/>
  <c r="DQ387" i="1"/>
  <c r="DZ387" i="1" s="1"/>
  <c r="CN387" i="1"/>
  <c r="CW387" i="1" s="1"/>
  <c r="DV386" i="1"/>
  <c r="EE386" i="1" s="1"/>
  <c r="CS386" i="1"/>
  <c r="DB386" i="1" s="1"/>
  <c r="DR386" i="1"/>
  <c r="EA386" i="1" s="1"/>
  <c r="CO386" i="1"/>
  <c r="CX386" i="1" s="1"/>
  <c r="DW385" i="1"/>
  <c r="EF385" i="1" s="1"/>
  <c r="CT385" i="1"/>
  <c r="DC385" i="1" s="1"/>
  <c r="DS385" i="1"/>
  <c r="EB385" i="1" s="1"/>
  <c r="CP385" i="1"/>
  <c r="CY385" i="1" s="1"/>
  <c r="DO385" i="1"/>
  <c r="DX385" i="1" s="1"/>
  <c r="CL385" i="1"/>
  <c r="CU385" i="1" s="1"/>
  <c r="DT384" i="1"/>
  <c r="EC384" i="1" s="1"/>
  <c r="CQ384" i="1"/>
  <c r="CZ384" i="1" s="1"/>
  <c r="DP384" i="1"/>
  <c r="DY384" i="1" s="1"/>
  <c r="CM384" i="1"/>
  <c r="CV384" i="1" s="1"/>
  <c r="DU383" i="1"/>
  <c r="ED383" i="1" s="1"/>
  <c r="CR383" i="1"/>
  <c r="DA383" i="1" s="1"/>
  <c r="DQ383" i="1"/>
  <c r="DZ383" i="1" s="1"/>
  <c r="CN383" i="1"/>
  <c r="CW383" i="1" s="1"/>
  <c r="DV382" i="1"/>
  <c r="EE382" i="1" s="1"/>
  <c r="CS382" i="1"/>
  <c r="DB382" i="1" s="1"/>
  <c r="DR382" i="1"/>
  <c r="EA382" i="1" s="1"/>
  <c r="CO382" i="1"/>
  <c r="CX382" i="1" s="1"/>
  <c r="DW381" i="1"/>
  <c r="EF381" i="1" s="1"/>
  <c r="CT381" i="1"/>
  <c r="DC381" i="1" s="1"/>
  <c r="DS381" i="1"/>
  <c r="EB381" i="1" s="1"/>
  <c r="CP381" i="1"/>
  <c r="CY381" i="1" s="1"/>
  <c r="DO381" i="1"/>
  <c r="DX381" i="1" s="1"/>
  <c r="CL381" i="1"/>
  <c r="CU381" i="1" s="1"/>
  <c r="DT380" i="1"/>
  <c r="CQ380" i="1"/>
  <c r="DP380" i="1"/>
  <c r="CM380" i="1"/>
  <c r="DS427" i="1"/>
  <c r="EB427" i="1" s="1"/>
  <c r="CP427" i="1"/>
  <c r="CY427" i="1" s="1"/>
  <c r="DT426" i="1"/>
  <c r="EC426" i="1" s="1"/>
  <c r="CQ426" i="1"/>
  <c r="CZ426" i="1" s="1"/>
  <c r="DQ425" i="1"/>
  <c r="DZ425" i="1" s="1"/>
  <c r="CN425" i="1"/>
  <c r="CW425" i="1" s="1"/>
  <c r="DR424" i="1"/>
  <c r="EA424" i="1" s="1"/>
  <c r="CO424" i="1"/>
  <c r="CX424" i="1" s="1"/>
  <c r="DO423" i="1"/>
  <c r="DX423" i="1" s="1"/>
  <c r="CL423" i="1"/>
  <c r="CU423" i="1" s="1"/>
  <c r="DU421" i="1"/>
  <c r="ED421" i="1" s="1"/>
  <c r="CR421" i="1"/>
  <c r="DA421" i="1" s="1"/>
  <c r="DV420" i="1"/>
  <c r="EE420" i="1" s="1"/>
  <c r="CS420" i="1"/>
  <c r="DB420" i="1" s="1"/>
  <c r="DS419" i="1"/>
  <c r="EB419" i="1" s="1"/>
  <c r="CP419" i="1"/>
  <c r="CY419" i="1" s="1"/>
  <c r="DT418" i="1"/>
  <c r="EC418" i="1" s="1"/>
  <c r="CQ418" i="1"/>
  <c r="CZ418" i="1" s="1"/>
  <c r="DQ417" i="1"/>
  <c r="DZ417" i="1" s="1"/>
  <c r="CN417" i="1"/>
  <c r="CW417" i="1" s="1"/>
  <c r="DR416" i="1"/>
  <c r="CO416" i="1"/>
  <c r="DS415" i="1"/>
  <c r="EB415" i="1" s="1"/>
  <c r="CP415" i="1"/>
  <c r="CY415" i="1" s="1"/>
  <c r="DT414" i="1"/>
  <c r="EC414" i="1" s="1"/>
  <c r="CQ414" i="1"/>
  <c r="CZ414" i="1" s="1"/>
  <c r="DQ413" i="1"/>
  <c r="DZ413" i="1" s="1"/>
  <c r="CN413" i="1"/>
  <c r="CW413" i="1" s="1"/>
  <c r="DW411" i="1"/>
  <c r="EF411" i="1" s="1"/>
  <c r="CT411" i="1"/>
  <c r="DC411" i="1" s="1"/>
  <c r="DO411" i="1"/>
  <c r="DX411" i="1" s="1"/>
  <c r="CL411" i="1"/>
  <c r="CU411" i="1" s="1"/>
  <c r="DU409" i="1"/>
  <c r="ED409" i="1" s="1"/>
  <c r="CR409" i="1"/>
  <c r="DA409" i="1" s="1"/>
  <c r="DR408" i="1"/>
  <c r="EA408" i="1" s="1"/>
  <c r="CO408" i="1"/>
  <c r="CX408" i="1" s="1"/>
  <c r="DO407" i="1"/>
  <c r="DX407" i="1" s="1"/>
  <c r="CL407" i="1"/>
  <c r="CU407" i="1" s="1"/>
  <c r="DU405" i="1"/>
  <c r="ED405" i="1" s="1"/>
  <c r="CR405" i="1"/>
  <c r="DA405" i="1" s="1"/>
  <c r="DR404" i="1"/>
  <c r="CO404" i="1"/>
  <c r="DS403" i="1"/>
  <c r="EB403" i="1" s="1"/>
  <c r="CP403" i="1"/>
  <c r="CY403" i="1" s="1"/>
  <c r="DU401" i="1"/>
  <c r="ED401" i="1" s="1"/>
  <c r="CR401" i="1"/>
  <c r="DA401" i="1" s="1"/>
  <c r="DW399" i="1"/>
  <c r="EF399" i="1" s="1"/>
  <c r="CT399" i="1"/>
  <c r="DC399" i="1" s="1"/>
  <c r="DT398" i="1"/>
  <c r="EC398" i="1" s="1"/>
  <c r="CQ398" i="1"/>
  <c r="CZ398" i="1" s="1"/>
  <c r="DU397" i="1"/>
  <c r="ED397" i="1" s="1"/>
  <c r="CR397" i="1"/>
  <c r="DA397" i="1" s="1"/>
  <c r="DR396" i="1"/>
  <c r="EA396" i="1" s="1"/>
  <c r="CO396" i="1"/>
  <c r="CX396" i="1" s="1"/>
  <c r="DO395" i="1"/>
  <c r="DX395" i="1" s="1"/>
  <c r="CL395" i="1"/>
  <c r="CU395" i="1" s="1"/>
  <c r="DP394" i="1"/>
  <c r="DY394" i="1" s="1"/>
  <c r="CM394" i="1"/>
  <c r="CV394" i="1" s="1"/>
  <c r="DV392" i="1"/>
  <c r="CS392" i="1"/>
  <c r="DW391" i="1"/>
  <c r="EF391" i="1" s="1"/>
  <c r="CT391" i="1"/>
  <c r="DC391" i="1" s="1"/>
  <c r="DT390" i="1"/>
  <c r="EC390" i="1" s="1"/>
  <c r="CQ390" i="1"/>
  <c r="CZ390" i="1" s="1"/>
  <c r="DU389" i="1"/>
  <c r="ED389" i="1" s="1"/>
  <c r="CR389" i="1"/>
  <c r="DA389" i="1" s="1"/>
  <c r="DR388" i="1"/>
  <c r="EA388" i="1" s="1"/>
  <c r="CO388" i="1"/>
  <c r="CX388" i="1" s="1"/>
  <c r="DO387" i="1"/>
  <c r="DX387" i="1" s="1"/>
  <c r="CL387" i="1"/>
  <c r="CU387" i="1" s="1"/>
  <c r="DP386" i="1"/>
  <c r="DY386" i="1" s="1"/>
  <c r="CM386" i="1"/>
  <c r="CV386" i="1" s="1"/>
  <c r="DV384" i="1"/>
  <c r="EE384" i="1" s="1"/>
  <c r="CS384" i="1"/>
  <c r="DB384" i="1" s="1"/>
  <c r="DW383" i="1"/>
  <c r="EF383" i="1" s="1"/>
  <c r="CT383" i="1"/>
  <c r="DC383" i="1" s="1"/>
  <c r="DT382" i="1"/>
  <c r="EC382" i="1" s="1"/>
  <c r="CQ382" i="1"/>
  <c r="CZ382" i="1" s="1"/>
  <c r="DU381" i="1"/>
  <c r="ED381" i="1" s="1"/>
  <c r="CR381" i="1"/>
  <c r="DA381" i="1" s="1"/>
  <c r="DR380" i="1"/>
  <c r="CO380" i="1"/>
  <c r="DT427" i="1"/>
  <c r="EC427" i="1" s="1"/>
  <c r="CQ427" i="1"/>
  <c r="CZ427" i="1" s="1"/>
  <c r="DP427" i="1"/>
  <c r="DY427" i="1" s="1"/>
  <c r="CM427" i="1"/>
  <c r="CV427" i="1" s="1"/>
  <c r="DU426" i="1"/>
  <c r="ED426" i="1" s="1"/>
  <c r="CR426" i="1"/>
  <c r="DA426" i="1" s="1"/>
  <c r="DQ426" i="1"/>
  <c r="DZ426" i="1" s="1"/>
  <c r="CN426" i="1"/>
  <c r="CW426" i="1" s="1"/>
  <c r="DV425" i="1"/>
  <c r="EE425" i="1" s="1"/>
  <c r="CS425" i="1"/>
  <c r="DB425" i="1" s="1"/>
  <c r="DR425" i="1"/>
  <c r="EA425" i="1" s="1"/>
  <c r="CO425" i="1"/>
  <c r="CX425" i="1" s="1"/>
  <c r="DW424" i="1"/>
  <c r="EF424" i="1" s="1"/>
  <c r="CT424" i="1"/>
  <c r="DC424" i="1" s="1"/>
  <c r="DS424" i="1"/>
  <c r="EB424" i="1" s="1"/>
  <c r="CP424" i="1"/>
  <c r="CY424" i="1" s="1"/>
  <c r="DO424" i="1"/>
  <c r="DX424" i="1" s="1"/>
  <c r="CL424" i="1"/>
  <c r="CU424" i="1" s="1"/>
  <c r="DT423" i="1"/>
  <c r="EC423" i="1" s="1"/>
  <c r="CQ423" i="1"/>
  <c r="CZ423" i="1" s="1"/>
  <c r="DP423" i="1"/>
  <c r="DY423" i="1" s="1"/>
  <c r="CM423" i="1"/>
  <c r="CV423" i="1" s="1"/>
  <c r="DU422" i="1"/>
  <c r="ED422" i="1" s="1"/>
  <c r="CR422" i="1"/>
  <c r="DA422" i="1" s="1"/>
  <c r="DQ422" i="1"/>
  <c r="DZ422" i="1" s="1"/>
  <c r="CN422" i="1"/>
  <c r="CW422" i="1" s="1"/>
  <c r="DV421" i="1"/>
  <c r="EE421" i="1" s="1"/>
  <c r="CS421" i="1"/>
  <c r="DB421" i="1" s="1"/>
  <c r="DR421" i="1"/>
  <c r="EA421" i="1" s="1"/>
  <c r="CO421" i="1"/>
  <c r="CX421" i="1" s="1"/>
  <c r="DW420" i="1"/>
  <c r="EF420" i="1" s="1"/>
  <c r="CT420" i="1"/>
  <c r="DC420" i="1" s="1"/>
  <c r="DS420" i="1"/>
  <c r="EB420" i="1" s="1"/>
  <c r="CP420" i="1"/>
  <c r="CY420" i="1" s="1"/>
  <c r="DO420" i="1"/>
  <c r="DX420" i="1" s="1"/>
  <c r="CL420" i="1"/>
  <c r="CU420" i="1" s="1"/>
  <c r="DT419" i="1"/>
  <c r="EC419" i="1" s="1"/>
  <c r="CQ419" i="1"/>
  <c r="CZ419" i="1" s="1"/>
  <c r="DP419" i="1"/>
  <c r="DY419" i="1" s="1"/>
  <c r="CM419" i="1"/>
  <c r="CV419" i="1" s="1"/>
  <c r="DU418" i="1"/>
  <c r="ED418" i="1" s="1"/>
  <c r="CR418" i="1"/>
  <c r="DA418" i="1" s="1"/>
  <c r="DQ418" i="1"/>
  <c r="DZ418" i="1" s="1"/>
  <c r="CN418" i="1"/>
  <c r="CW418" i="1" s="1"/>
  <c r="DV417" i="1"/>
  <c r="EE417" i="1" s="1"/>
  <c r="CS417" i="1"/>
  <c r="DB417" i="1" s="1"/>
  <c r="DR417" i="1"/>
  <c r="EA417" i="1" s="1"/>
  <c r="CO417" i="1"/>
  <c r="CX417" i="1" s="1"/>
  <c r="DW416" i="1"/>
  <c r="CT416" i="1"/>
  <c r="DS416" i="1"/>
  <c r="CP416" i="1"/>
  <c r="DO416" i="1"/>
  <c r="CL416" i="1"/>
  <c r="DT415" i="1"/>
  <c r="EC415" i="1" s="1"/>
  <c r="CQ415" i="1"/>
  <c r="CZ415" i="1" s="1"/>
  <c r="DP415" i="1"/>
  <c r="DY415" i="1" s="1"/>
  <c r="CM415" i="1"/>
  <c r="CV415" i="1" s="1"/>
  <c r="DU414" i="1"/>
  <c r="ED414" i="1" s="1"/>
  <c r="CR414" i="1"/>
  <c r="DA414" i="1" s="1"/>
  <c r="DQ414" i="1"/>
  <c r="DZ414" i="1" s="1"/>
  <c r="CN414" i="1"/>
  <c r="CW414" i="1" s="1"/>
  <c r="DV413" i="1"/>
  <c r="EE413" i="1" s="1"/>
  <c r="CS413" i="1"/>
  <c r="DB413" i="1" s="1"/>
  <c r="DR413" i="1"/>
  <c r="EA413" i="1" s="1"/>
  <c r="CO413" i="1"/>
  <c r="CX413" i="1" s="1"/>
  <c r="DW412" i="1"/>
  <c r="EF412" i="1" s="1"/>
  <c r="CT412" i="1"/>
  <c r="DC412" i="1" s="1"/>
  <c r="DS412" i="1"/>
  <c r="EB412" i="1" s="1"/>
  <c r="CP412" i="1"/>
  <c r="CY412" i="1" s="1"/>
  <c r="DO412" i="1"/>
  <c r="DX412" i="1" s="1"/>
  <c r="CL412" i="1"/>
  <c r="CU412" i="1" s="1"/>
  <c r="DT411" i="1"/>
  <c r="EC411" i="1" s="1"/>
  <c r="CQ411" i="1"/>
  <c r="CZ411" i="1" s="1"/>
  <c r="DP411" i="1"/>
  <c r="DY411" i="1" s="1"/>
  <c r="CM411" i="1"/>
  <c r="CV411" i="1" s="1"/>
  <c r="DU410" i="1"/>
  <c r="ED410" i="1" s="1"/>
  <c r="CR410" i="1"/>
  <c r="DA410" i="1" s="1"/>
  <c r="DQ410" i="1"/>
  <c r="DZ410" i="1" s="1"/>
  <c r="CN410" i="1"/>
  <c r="CW410" i="1" s="1"/>
  <c r="DV409" i="1"/>
  <c r="EE409" i="1" s="1"/>
  <c r="CS409" i="1"/>
  <c r="DB409" i="1" s="1"/>
  <c r="DR409" i="1"/>
  <c r="EA409" i="1" s="1"/>
  <c r="CO409" i="1"/>
  <c r="CX409" i="1" s="1"/>
  <c r="DW408" i="1"/>
  <c r="EF408" i="1" s="1"/>
  <c r="CT408" i="1"/>
  <c r="DC408" i="1" s="1"/>
  <c r="DS408" i="1"/>
  <c r="EB408" i="1" s="1"/>
  <c r="CP408" i="1"/>
  <c r="CY408" i="1" s="1"/>
  <c r="DO408" i="1"/>
  <c r="DX408" i="1" s="1"/>
  <c r="CL408" i="1"/>
  <c r="CU408" i="1" s="1"/>
  <c r="DT407" i="1"/>
  <c r="EC407" i="1" s="1"/>
  <c r="CQ407" i="1"/>
  <c r="CZ407" i="1" s="1"/>
  <c r="DP407" i="1"/>
  <c r="DY407" i="1" s="1"/>
  <c r="CM407" i="1"/>
  <c r="CV407" i="1" s="1"/>
  <c r="DU406" i="1"/>
  <c r="ED406" i="1" s="1"/>
  <c r="CR406" i="1"/>
  <c r="DA406" i="1" s="1"/>
  <c r="DQ406" i="1"/>
  <c r="DZ406" i="1" s="1"/>
  <c r="CN406" i="1"/>
  <c r="CW406" i="1" s="1"/>
  <c r="DV405" i="1"/>
  <c r="EE405" i="1" s="1"/>
  <c r="CS405" i="1"/>
  <c r="DB405" i="1" s="1"/>
  <c r="DR405" i="1"/>
  <c r="EA405" i="1" s="1"/>
  <c r="CO405" i="1"/>
  <c r="CX405" i="1" s="1"/>
  <c r="DW404" i="1"/>
  <c r="CT404" i="1"/>
  <c r="DS404" i="1"/>
  <c r="CP404" i="1"/>
  <c r="DO404" i="1"/>
  <c r="CL404" i="1"/>
  <c r="DT403" i="1"/>
  <c r="EC403" i="1" s="1"/>
  <c r="CQ403" i="1"/>
  <c r="CZ403" i="1" s="1"/>
  <c r="DP403" i="1"/>
  <c r="DY403" i="1" s="1"/>
  <c r="CM403" i="1"/>
  <c r="CV403" i="1" s="1"/>
  <c r="DU402" i="1"/>
  <c r="ED402" i="1" s="1"/>
  <c r="CR402" i="1"/>
  <c r="DA402" i="1" s="1"/>
  <c r="DQ402" i="1"/>
  <c r="DZ402" i="1" s="1"/>
  <c r="CN402" i="1"/>
  <c r="CW402" i="1" s="1"/>
  <c r="DV401" i="1"/>
  <c r="EE401" i="1" s="1"/>
  <c r="CS401" i="1"/>
  <c r="DB401" i="1" s="1"/>
  <c r="DR401" i="1"/>
  <c r="EA401" i="1" s="1"/>
  <c r="CO401" i="1"/>
  <c r="CX401" i="1" s="1"/>
  <c r="DW400" i="1"/>
  <c r="EF400" i="1" s="1"/>
  <c r="CT400" i="1"/>
  <c r="DC400" i="1" s="1"/>
  <c r="DS400" i="1"/>
  <c r="EB400" i="1" s="1"/>
  <c r="CP400" i="1"/>
  <c r="CY400" i="1" s="1"/>
  <c r="DO400" i="1"/>
  <c r="DX400" i="1" s="1"/>
  <c r="CL400" i="1"/>
  <c r="CU400" i="1" s="1"/>
  <c r="DT399" i="1"/>
  <c r="EC399" i="1" s="1"/>
  <c r="CQ399" i="1"/>
  <c r="CZ399" i="1" s="1"/>
  <c r="DP399" i="1"/>
  <c r="DY399" i="1" s="1"/>
  <c r="CM399" i="1"/>
  <c r="CV399" i="1" s="1"/>
  <c r="DU398" i="1"/>
  <c r="ED398" i="1" s="1"/>
  <c r="CR398" i="1"/>
  <c r="DA398" i="1" s="1"/>
  <c r="DQ398" i="1"/>
  <c r="DZ398" i="1" s="1"/>
  <c r="CN398" i="1"/>
  <c r="CW398" i="1" s="1"/>
  <c r="DV397" i="1"/>
  <c r="EE397" i="1" s="1"/>
  <c r="CS397" i="1"/>
  <c r="DB397" i="1" s="1"/>
  <c r="DR397" i="1"/>
  <c r="EA397" i="1" s="1"/>
  <c r="CO397" i="1"/>
  <c r="CX397" i="1" s="1"/>
  <c r="DW396" i="1"/>
  <c r="EF396" i="1" s="1"/>
  <c r="CT396" i="1"/>
  <c r="DC396" i="1" s="1"/>
  <c r="DS396" i="1"/>
  <c r="EB396" i="1" s="1"/>
  <c r="CP396" i="1"/>
  <c r="CY396" i="1" s="1"/>
  <c r="DO396" i="1"/>
  <c r="DX396" i="1" s="1"/>
  <c r="CL396" i="1"/>
  <c r="CU396" i="1" s="1"/>
  <c r="DT395" i="1"/>
  <c r="EC395" i="1" s="1"/>
  <c r="CQ395" i="1"/>
  <c r="CZ395" i="1" s="1"/>
  <c r="DP395" i="1"/>
  <c r="DY395" i="1" s="1"/>
  <c r="CM395" i="1"/>
  <c r="CV395" i="1" s="1"/>
  <c r="DU394" i="1"/>
  <c r="ED394" i="1" s="1"/>
  <c r="CR394" i="1"/>
  <c r="DA394" i="1" s="1"/>
  <c r="DQ394" i="1"/>
  <c r="DZ394" i="1" s="1"/>
  <c r="CN394" i="1"/>
  <c r="CW394" i="1" s="1"/>
  <c r="DV393" i="1"/>
  <c r="EE393" i="1" s="1"/>
  <c r="CS393" i="1"/>
  <c r="DB393" i="1" s="1"/>
  <c r="DR393" i="1"/>
  <c r="EA393" i="1" s="1"/>
  <c r="CO393" i="1"/>
  <c r="CX393" i="1" s="1"/>
  <c r="DW392" i="1"/>
  <c r="CT392" i="1"/>
  <c r="CP392" i="1"/>
  <c r="DS392" i="1"/>
  <c r="DO392" i="1"/>
  <c r="CL392" i="1"/>
  <c r="DT391" i="1"/>
  <c r="EC391" i="1" s="1"/>
  <c r="CQ391" i="1"/>
  <c r="CZ391" i="1" s="1"/>
  <c r="DP391" i="1"/>
  <c r="DY391" i="1" s="1"/>
  <c r="CM391" i="1"/>
  <c r="CV391" i="1" s="1"/>
  <c r="DU390" i="1"/>
  <c r="ED390" i="1" s="1"/>
  <c r="CR390" i="1"/>
  <c r="DA390" i="1" s="1"/>
  <c r="DQ390" i="1"/>
  <c r="DZ390" i="1" s="1"/>
  <c r="CN390" i="1"/>
  <c r="CW390" i="1" s="1"/>
  <c r="DV389" i="1"/>
  <c r="EE389" i="1" s="1"/>
  <c r="CS389" i="1"/>
  <c r="DB389" i="1" s="1"/>
  <c r="DR389" i="1"/>
  <c r="EA389" i="1" s="1"/>
  <c r="CO389" i="1"/>
  <c r="CX389" i="1" s="1"/>
  <c r="DW388" i="1"/>
  <c r="EF388" i="1" s="1"/>
  <c r="CT388" i="1"/>
  <c r="DC388" i="1" s="1"/>
  <c r="DS388" i="1"/>
  <c r="EB388" i="1" s="1"/>
  <c r="CP388" i="1"/>
  <c r="CY388" i="1" s="1"/>
  <c r="DO388" i="1"/>
  <c r="DX388" i="1" s="1"/>
  <c r="CL388" i="1"/>
  <c r="CU388" i="1" s="1"/>
  <c r="DT387" i="1"/>
  <c r="EC387" i="1" s="1"/>
  <c r="CQ387" i="1"/>
  <c r="CZ387" i="1" s="1"/>
  <c r="DP387" i="1"/>
  <c r="DY387" i="1" s="1"/>
  <c r="CM387" i="1"/>
  <c r="CV387" i="1" s="1"/>
  <c r="DU386" i="1"/>
  <c r="ED386" i="1" s="1"/>
  <c r="CR386" i="1"/>
  <c r="DA386" i="1" s="1"/>
  <c r="DQ386" i="1"/>
  <c r="DZ386" i="1" s="1"/>
  <c r="CN386" i="1"/>
  <c r="CW386" i="1" s="1"/>
  <c r="DV385" i="1"/>
  <c r="EE385" i="1" s="1"/>
  <c r="CS385" i="1"/>
  <c r="DB385" i="1" s="1"/>
  <c r="DR385" i="1"/>
  <c r="EA385" i="1" s="1"/>
  <c r="CO385" i="1"/>
  <c r="CX385" i="1" s="1"/>
  <c r="DW384" i="1"/>
  <c r="EF384" i="1" s="1"/>
  <c r="CT384" i="1"/>
  <c r="DC384" i="1" s="1"/>
  <c r="DS384" i="1"/>
  <c r="EB384" i="1" s="1"/>
  <c r="CP384" i="1"/>
  <c r="CY384" i="1" s="1"/>
  <c r="DO384" i="1"/>
  <c r="DX384" i="1" s="1"/>
  <c r="CL384" i="1"/>
  <c r="CU384" i="1" s="1"/>
  <c r="DT383" i="1"/>
  <c r="EC383" i="1" s="1"/>
  <c r="CQ383" i="1"/>
  <c r="CZ383" i="1" s="1"/>
  <c r="DP383" i="1"/>
  <c r="DY383" i="1" s="1"/>
  <c r="CM383" i="1"/>
  <c r="CV383" i="1" s="1"/>
  <c r="DU382" i="1"/>
  <c r="ED382" i="1" s="1"/>
  <c r="CR382" i="1"/>
  <c r="DA382" i="1" s="1"/>
  <c r="DQ382" i="1"/>
  <c r="DZ382" i="1" s="1"/>
  <c r="CN382" i="1"/>
  <c r="CW382" i="1" s="1"/>
  <c r="DV381" i="1"/>
  <c r="EE381" i="1" s="1"/>
  <c r="CS381" i="1"/>
  <c r="DB381" i="1" s="1"/>
  <c r="DR381" i="1"/>
  <c r="EA381" i="1" s="1"/>
  <c r="CO381" i="1"/>
  <c r="CX381" i="1" s="1"/>
  <c r="DW380" i="1"/>
  <c r="CT380" i="1"/>
  <c r="DS380" i="1"/>
  <c r="CP380" i="1"/>
  <c r="DO380" i="1"/>
  <c r="CL380" i="1"/>
  <c r="AO40" i="59"/>
  <c r="AP40" i="59"/>
  <c r="AA41" i="59"/>
  <c r="AQ40" i="59"/>
  <c r="T26" i="59"/>
  <c r="V12" i="59"/>
  <c r="V13" i="59" s="1"/>
  <c r="V14" i="59" s="1"/>
  <c r="V15" i="59" s="1"/>
  <c r="V16" i="59" s="1"/>
  <c r="V17" i="59" s="1"/>
  <c r="V18" i="59" s="1"/>
  <c r="V19" i="59" s="1"/>
  <c r="V20" i="59" s="1"/>
  <c r="V21" i="59" s="1"/>
  <c r="V22" i="59" s="1"/>
  <c r="V23" i="59" s="1"/>
  <c r="V24" i="59" s="1"/>
  <c r="V25" i="59" s="1"/>
  <c r="V26" i="59" s="1"/>
  <c r="V27" i="59" s="1"/>
  <c r="S12" i="59"/>
  <c r="S13" i="59" s="1"/>
  <c r="S14" i="59" s="1"/>
  <c r="S15" i="59" s="1"/>
  <c r="S16" i="59" s="1"/>
  <c r="S17" i="59" s="1"/>
  <c r="S18" i="59" s="1"/>
  <c r="S19" i="59" s="1"/>
  <c r="S20" i="59" s="1"/>
  <c r="S21" i="59" s="1"/>
  <c r="S22" i="59" s="1"/>
  <c r="S23" i="59" s="1"/>
  <c r="S24" i="59" s="1"/>
  <c r="S25" i="59" s="1"/>
  <c r="S26" i="59" s="1"/>
  <c r="S27" i="59" s="1"/>
  <c r="BP12" i="43" l="1"/>
  <c r="BU32" i="43"/>
  <c r="V47" i="2"/>
  <c r="N42" i="34"/>
  <c r="BR82" i="43"/>
  <c r="BR64" i="43"/>
  <c r="BR70" i="43"/>
  <c r="BR46" i="43"/>
  <c r="BR55" i="43"/>
  <c r="V49" i="2"/>
  <c r="N44" i="34"/>
  <c r="BS64" i="43"/>
  <c r="BS70" i="43"/>
  <c r="BS55" i="43"/>
  <c r="BS82" i="43"/>
  <c r="BS46" i="43"/>
  <c r="N45" i="34"/>
  <c r="V50" i="2"/>
  <c r="DZ41" i="2"/>
  <c r="DK41" i="2"/>
  <c r="BQ55" i="43"/>
  <c r="BQ46" i="43"/>
  <c r="BQ82" i="43"/>
  <c r="BQ64" i="43"/>
  <c r="BQ70" i="43"/>
  <c r="V48" i="2"/>
  <c r="N43" i="34"/>
  <c r="I37" i="34"/>
  <c r="X42" i="2" s="1"/>
  <c r="I33" i="43" s="1"/>
  <c r="I38" i="34"/>
  <c r="X43" i="2" s="1"/>
  <c r="I34" i="43" s="1"/>
  <c r="I39" i="34"/>
  <c r="X44" i="2" s="1"/>
  <c r="I35" i="43" s="1"/>
  <c r="I34" i="34"/>
  <c r="X39" i="2" s="1"/>
  <c r="I30" i="43" s="1"/>
  <c r="I40" i="34"/>
  <c r="X45" i="2" s="1"/>
  <c r="I36" i="43" s="1"/>
  <c r="I35" i="34"/>
  <c r="X40" i="2" s="1"/>
  <c r="I31" i="43" s="1"/>
  <c r="I41" i="34"/>
  <c r="X46" i="2" s="1"/>
  <c r="I37" i="43" s="1"/>
  <c r="N41" i="34"/>
  <c r="V46" i="2"/>
  <c r="I36" i="34"/>
  <c r="X41" i="2" s="1"/>
  <c r="I32" i="43" s="1"/>
  <c r="V45" i="2"/>
  <c r="V44" i="2"/>
  <c r="DK44" i="2" s="1"/>
  <c r="N38" i="34"/>
  <c r="H33" i="29" s="1"/>
  <c r="V43" i="2"/>
  <c r="D30" i="59"/>
  <c r="V42" i="2"/>
  <c r="D27" i="59"/>
  <c r="V39" i="2"/>
  <c r="EG45" i="2"/>
  <c r="N35" i="34"/>
  <c r="M30" i="27" s="1"/>
  <c r="V40" i="2"/>
  <c r="DK40" i="2" s="1"/>
  <c r="H35" i="29"/>
  <c r="G35" i="66"/>
  <c r="M35" i="27"/>
  <c r="EG44" i="2"/>
  <c r="G34" i="27"/>
  <c r="DV44" i="2"/>
  <c r="H34" i="29"/>
  <c r="G34" i="66"/>
  <c r="M34" i="27"/>
  <c r="ED524" i="1"/>
  <c r="CY51" i="2"/>
  <c r="EE512" i="1"/>
  <c r="CZ50" i="2"/>
  <c r="CU524" i="1"/>
  <c r="BX51" i="2"/>
  <c r="EF524" i="1"/>
  <c r="DA51" i="2"/>
  <c r="CV500" i="1"/>
  <c r="BY49" i="2"/>
  <c r="DY488" i="1"/>
  <c r="CT48" i="2"/>
  <c r="CU476" i="1"/>
  <c r="BX47" i="2"/>
  <c r="CY476" i="1"/>
  <c r="CB47" i="2"/>
  <c r="DY536" i="1"/>
  <c r="CT52" i="2"/>
  <c r="CW464" i="1"/>
  <c r="BZ46" i="2"/>
  <c r="ED500" i="1"/>
  <c r="CY49" i="2"/>
  <c r="CV548" i="1"/>
  <c r="BY53" i="2"/>
  <c r="EE488" i="1"/>
  <c r="CZ48" i="2"/>
  <c r="DB548" i="1"/>
  <c r="CE53" i="2"/>
  <c r="DZ440" i="1"/>
  <c r="CU44" i="2"/>
  <c r="EF500" i="1"/>
  <c r="DA49" i="2"/>
  <c r="DZ464" i="1"/>
  <c r="CU46" i="2"/>
  <c r="EB536" i="1"/>
  <c r="CW52" i="2"/>
  <c r="DF52" i="2" s="1"/>
  <c r="DB488" i="1"/>
  <c r="CE48" i="2"/>
  <c r="DC500" i="1"/>
  <c r="CF49" i="2"/>
  <c r="DY500" i="1"/>
  <c r="CT49" i="2"/>
  <c r="EB476" i="1"/>
  <c r="CW47" i="2"/>
  <c r="DF47" i="2" s="1"/>
  <c r="CY536" i="1"/>
  <c r="CB52" i="2"/>
  <c r="CW488" i="1"/>
  <c r="BZ48" i="2"/>
  <c r="CV428" i="1"/>
  <c r="BY43" i="2"/>
  <c r="CU512" i="1"/>
  <c r="BX50" i="2"/>
  <c r="CW428" i="1"/>
  <c r="BZ43" i="2"/>
  <c r="CW524" i="1"/>
  <c r="BZ51" i="2"/>
  <c r="CY512" i="1"/>
  <c r="CB50" i="2"/>
  <c r="DX524" i="1"/>
  <c r="CS51" i="2"/>
  <c r="DA476" i="1"/>
  <c r="CD47" i="2"/>
  <c r="ED476" i="1"/>
  <c r="CY47" i="2"/>
  <c r="DA536" i="1"/>
  <c r="CD52" i="2"/>
  <c r="CV440" i="1"/>
  <c r="BY44" i="2"/>
  <c r="EE428" i="1"/>
  <c r="CZ43" i="2"/>
  <c r="EE440" i="1"/>
  <c r="CZ44" i="2"/>
  <c r="EE452" i="1"/>
  <c r="CZ45" i="2"/>
  <c r="EE464" i="1"/>
  <c r="CZ46" i="2"/>
  <c r="DB524" i="1"/>
  <c r="CE51" i="2"/>
  <c r="EF476" i="1"/>
  <c r="DA47" i="2"/>
  <c r="DC536" i="1"/>
  <c r="CF52" i="2"/>
  <c r="DZ500" i="1"/>
  <c r="CU49" i="2"/>
  <c r="DZ488" i="1"/>
  <c r="CU48" i="2"/>
  <c r="DY428" i="1"/>
  <c r="CT43" i="2"/>
  <c r="DX512" i="1"/>
  <c r="CS50" i="2"/>
  <c r="DZ428" i="1"/>
  <c r="CU43" i="2"/>
  <c r="DZ524" i="1"/>
  <c r="CU51" i="2"/>
  <c r="EB512" i="1"/>
  <c r="CW50" i="2"/>
  <c r="DF50" i="2" s="1"/>
  <c r="DA500" i="1"/>
  <c r="CD49" i="2"/>
  <c r="CW440" i="1"/>
  <c r="BZ44" i="2"/>
  <c r="DY548" i="1"/>
  <c r="CT53" i="2"/>
  <c r="DB452" i="1"/>
  <c r="CE45" i="2"/>
  <c r="DC476" i="1"/>
  <c r="CF47" i="2"/>
  <c r="CW500" i="1"/>
  <c r="BZ49" i="2"/>
  <c r="ED536" i="1"/>
  <c r="CY52" i="2"/>
  <c r="DY440" i="1"/>
  <c r="CT44" i="2"/>
  <c r="EE524" i="1"/>
  <c r="CZ51" i="2"/>
  <c r="CW476" i="1"/>
  <c r="BZ47" i="2"/>
  <c r="EF536" i="1"/>
  <c r="DA52" i="2"/>
  <c r="CV524" i="1"/>
  <c r="BY51" i="2"/>
  <c r="CW512" i="1"/>
  <c r="BZ50" i="2"/>
  <c r="CY488" i="1"/>
  <c r="CB48" i="2"/>
  <c r="DB440" i="1"/>
  <c r="CE44" i="2"/>
  <c r="DA512" i="1"/>
  <c r="CD50" i="2"/>
  <c r="DB500" i="1"/>
  <c r="CE49" i="2"/>
  <c r="DZ476" i="1"/>
  <c r="CU47" i="2"/>
  <c r="DC512" i="1"/>
  <c r="CF50" i="2"/>
  <c r="DY524" i="1"/>
  <c r="CT51" i="2"/>
  <c r="CV512" i="1"/>
  <c r="BY50" i="2"/>
  <c r="CV452" i="1"/>
  <c r="BY45" i="2"/>
  <c r="DZ512" i="1"/>
  <c r="CU50" i="2"/>
  <c r="CU428" i="1"/>
  <c r="BX43" i="2"/>
  <c r="CU440" i="1"/>
  <c r="BX44" i="2"/>
  <c r="CU452" i="1"/>
  <c r="BX45" i="2"/>
  <c r="CU464" i="1"/>
  <c r="BX46" i="2"/>
  <c r="CU488" i="1"/>
  <c r="BX48" i="2"/>
  <c r="CV464" i="1"/>
  <c r="BY46" i="2"/>
  <c r="EB488" i="1"/>
  <c r="CW48" i="2"/>
  <c r="DF48" i="2" s="1"/>
  <c r="CY548" i="1"/>
  <c r="CB53" i="2"/>
  <c r="EE548" i="1"/>
  <c r="CZ53" i="2"/>
  <c r="ED512" i="1"/>
  <c r="CY50" i="2"/>
  <c r="CU536" i="1"/>
  <c r="BX52" i="2"/>
  <c r="EE500" i="1"/>
  <c r="CZ49" i="2"/>
  <c r="EF512" i="1"/>
  <c r="DA50" i="2"/>
  <c r="DY512" i="1"/>
  <c r="CT50" i="2"/>
  <c r="DY452" i="1"/>
  <c r="CT45" i="2"/>
  <c r="CW536" i="1"/>
  <c r="BZ52" i="2"/>
  <c r="DX428" i="1"/>
  <c r="CS43" i="2"/>
  <c r="DX440" i="1"/>
  <c r="CS44" i="2"/>
  <c r="DX452" i="1"/>
  <c r="CS45" i="2"/>
  <c r="DX464" i="1"/>
  <c r="CS46" i="2"/>
  <c r="DX488" i="1"/>
  <c r="CS48" i="2"/>
  <c r="DY464" i="1"/>
  <c r="CT46" i="2"/>
  <c r="CY464" i="1"/>
  <c r="CB46" i="2"/>
  <c r="EB548" i="1"/>
  <c r="CW53" i="2"/>
  <c r="DF53" i="2" s="1"/>
  <c r="DA488" i="1"/>
  <c r="CD48" i="2"/>
  <c r="DX536" i="1"/>
  <c r="CS52" i="2"/>
  <c r="DB476" i="1"/>
  <c r="CE47" i="2"/>
  <c r="CV476" i="1"/>
  <c r="BY47" i="2"/>
  <c r="DC488" i="1"/>
  <c r="CF48" i="2"/>
  <c r="CU500" i="1"/>
  <c r="BX49" i="2"/>
  <c r="DZ536" i="1"/>
  <c r="CU52" i="2"/>
  <c r="CU548" i="1"/>
  <c r="BX53" i="2"/>
  <c r="EB464" i="1"/>
  <c r="CW46" i="2"/>
  <c r="CY524" i="1"/>
  <c r="CB51" i="2"/>
  <c r="ED488" i="1"/>
  <c r="CY48" i="2"/>
  <c r="DA548" i="1"/>
  <c r="CD53" i="2"/>
  <c r="EE476" i="1"/>
  <c r="CZ47" i="2"/>
  <c r="DB536" i="1"/>
  <c r="CE52" i="2"/>
  <c r="DY476" i="1"/>
  <c r="CT47" i="2"/>
  <c r="EF488" i="1"/>
  <c r="DA48" i="2"/>
  <c r="DC548" i="1"/>
  <c r="CF53" i="2"/>
  <c r="DX500" i="1"/>
  <c r="CS49" i="2"/>
  <c r="CW452" i="1"/>
  <c r="BZ45" i="2"/>
  <c r="CW548" i="1"/>
  <c r="BZ53" i="2"/>
  <c r="DX548" i="1"/>
  <c r="CS53" i="2"/>
  <c r="EB524" i="1"/>
  <c r="CW51" i="2"/>
  <c r="DF51" i="2" s="1"/>
  <c r="DA428" i="1"/>
  <c r="CD43" i="2"/>
  <c r="DA440" i="1"/>
  <c r="CD44" i="2"/>
  <c r="DA452" i="1"/>
  <c r="CD45" i="2"/>
  <c r="DA464" i="1"/>
  <c r="CD46" i="2"/>
  <c r="ED548" i="1"/>
  <c r="CY53" i="2"/>
  <c r="EE536" i="1"/>
  <c r="CZ52" i="2"/>
  <c r="DC428" i="1"/>
  <c r="CF43" i="2"/>
  <c r="DC440" i="1"/>
  <c r="CF44" i="2"/>
  <c r="DC452" i="1"/>
  <c r="CF45" i="2"/>
  <c r="DC464" i="1"/>
  <c r="CF46" i="2"/>
  <c r="EF548" i="1"/>
  <c r="DA53" i="2"/>
  <c r="DZ452" i="1"/>
  <c r="CU45" i="2"/>
  <c r="DZ548" i="1"/>
  <c r="CU53" i="2"/>
  <c r="CY500" i="1"/>
  <c r="CB49" i="2"/>
  <c r="DX476" i="1"/>
  <c r="CS47" i="2"/>
  <c r="DB428" i="1"/>
  <c r="CE43" i="2"/>
  <c r="DB464" i="1"/>
  <c r="CE46" i="2"/>
  <c r="ED428" i="1"/>
  <c r="CY43" i="2"/>
  <c r="ED440" i="1"/>
  <c r="CY44" i="2"/>
  <c r="ED452" i="1"/>
  <c r="CY45" i="2"/>
  <c r="ED464" i="1"/>
  <c r="CY46" i="2"/>
  <c r="DA524" i="1"/>
  <c r="CD51" i="2"/>
  <c r="DB512" i="1"/>
  <c r="CE50" i="2"/>
  <c r="EF428" i="1"/>
  <c r="DA43" i="2"/>
  <c r="EF440" i="1"/>
  <c r="DA44" i="2"/>
  <c r="EF452" i="1"/>
  <c r="DA45" i="2"/>
  <c r="EF464" i="1"/>
  <c r="DA46" i="2"/>
  <c r="DC524" i="1"/>
  <c r="CF51" i="2"/>
  <c r="CV488" i="1"/>
  <c r="BY48" i="2"/>
  <c r="EB500" i="1"/>
  <c r="CW49" i="2"/>
  <c r="DF49" i="2" s="1"/>
  <c r="CV536" i="1"/>
  <c r="BY52" i="2"/>
  <c r="D28" i="59"/>
  <c r="EB440" i="1"/>
  <c r="CW44" i="2"/>
  <c r="DF44" i="2" s="1"/>
  <c r="CY440" i="1"/>
  <c r="CB44" i="2"/>
  <c r="CY452" i="1"/>
  <c r="CB45" i="2"/>
  <c r="G33" i="66"/>
  <c r="EB452" i="1"/>
  <c r="CW45" i="2"/>
  <c r="DF45" i="2" s="1"/>
  <c r="CY428" i="1"/>
  <c r="CB43" i="2"/>
  <c r="EB428" i="1"/>
  <c r="CW43" i="2"/>
  <c r="DF43" i="2" s="1"/>
  <c r="N37" i="34"/>
  <c r="H32" i="50"/>
  <c r="N34" i="34"/>
  <c r="BF41" i="27"/>
  <c r="BH40" i="27"/>
  <c r="BG40" i="27"/>
  <c r="BE41" i="27"/>
  <c r="D29" i="59"/>
  <c r="N36" i="34"/>
  <c r="W17" i="59"/>
  <c r="V28" i="59"/>
  <c r="S28" i="59"/>
  <c r="CX416" i="1"/>
  <c r="CA42" i="2"/>
  <c r="CZ380" i="1"/>
  <c r="CC39" i="2"/>
  <c r="CV392" i="1"/>
  <c r="BY40" i="2"/>
  <c r="DX380" i="1"/>
  <c r="CS39" i="2"/>
  <c r="EF380" i="1"/>
  <c r="DA39" i="2"/>
  <c r="CY392" i="1"/>
  <c r="CB40" i="2"/>
  <c r="DX404" i="1"/>
  <c r="CS41" i="2"/>
  <c r="EF404" i="1"/>
  <c r="DA41" i="2"/>
  <c r="EB416" i="1"/>
  <c r="CW42" i="2"/>
  <c r="EA380" i="1"/>
  <c r="CV39" i="2"/>
  <c r="EA404" i="1"/>
  <c r="CV41" i="2"/>
  <c r="EA416" i="1"/>
  <c r="CV42" i="2"/>
  <c r="EC380" i="1"/>
  <c r="CX39" i="2"/>
  <c r="DY392" i="1"/>
  <c r="CT40" i="2"/>
  <c r="EC404" i="1"/>
  <c r="CX41" i="2"/>
  <c r="DY416" i="1"/>
  <c r="CT42" i="2"/>
  <c r="DZ380" i="1"/>
  <c r="CU39" i="2"/>
  <c r="ED392" i="1"/>
  <c r="CY40" i="2"/>
  <c r="DZ404" i="1"/>
  <c r="CU41" i="2"/>
  <c r="ED416" i="1"/>
  <c r="CY42" i="2"/>
  <c r="EA392" i="1"/>
  <c r="CV40" i="2"/>
  <c r="EE416" i="1"/>
  <c r="CZ42" i="2"/>
  <c r="DC380" i="1"/>
  <c r="CF39" i="2"/>
  <c r="CU404" i="1"/>
  <c r="BX41" i="2"/>
  <c r="CX380" i="1"/>
  <c r="CA39" i="2"/>
  <c r="CV416" i="1"/>
  <c r="BY42" i="2"/>
  <c r="CW380" i="1"/>
  <c r="BZ39" i="2"/>
  <c r="DA392" i="1"/>
  <c r="CD40" i="2"/>
  <c r="CW404" i="1"/>
  <c r="BZ41" i="2"/>
  <c r="DA416" i="1"/>
  <c r="CD42" i="2"/>
  <c r="CX392" i="1"/>
  <c r="CA40" i="2"/>
  <c r="DB416" i="1"/>
  <c r="CE42" i="2"/>
  <c r="CY380" i="1"/>
  <c r="CB39" i="2"/>
  <c r="CU392" i="1"/>
  <c r="BX40" i="2"/>
  <c r="DC392" i="1"/>
  <c r="CF40" i="2"/>
  <c r="CY404" i="1"/>
  <c r="CB41" i="2"/>
  <c r="CU416" i="1"/>
  <c r="BX42" i="2"/>
  <c r="DC416" i="1"/>
  <c r="CF42" i="2"/>
  <c r="DB392" i="1"/>
  <c r="CE40" i="2"/>
  <c r="CV380" i="1"/>
  <c r="BY39" i="2"/>
  <c r="CZ392" i="1"/>
  <c r="CC40" i="2"/>
  <c r="CV404" i="1"/>
  <c r="BY41" i="2"/>
  <c r="CZ416" i="1"/>
  <c r="CC42" i="2"/>
  <c r="DB380" i="1"/>
  <c r="CE39" i="2"/>
  <c r="DB404" i="1"/>
  <c r="CE41" i="2"/>
  <c r="DA380" i="1"/>
  <c r="CD39" i="2"/>
  <c r="CW392" i="1"/>
  <c r="BZ40" i="2"/>
  <c r="DA404" i="1"/>
  <c r="CD41" i="2"/>
  <c r="CW416" i="1"/>
  <c r="BZ42" i="2"/>
  <c r="CU380" i="1"/>
  <c r="BX39" i="2"/>
  <c r="EB392" i="1"/>
  <c r="CW40" i="2"/>
  <c r="DF40" i="2" s="1"/>
  <c r="DC404" i="1"/>
  <c r="CF41" i="2"/>
  <c r="CY416" i="1"/>
  <c r="CB42" i="2"/>
  <c r="CX404" i="1"/>
  <c r="CA41" i="2"/>
  <c r="CZ404" i="1"/>
  <c r="CC41" i="2"/>
  <c r="EB380" i="1"/>
  <c r="CW39" i="2"/>
  <c r="DX392" i="1"/>
  <c r="CS40" i="2"/>
  <c r="EF392" i="1"/>
  <c r="DA40" i="2"/>
  <c r="EB404" i="1"/>
  <c r="CW41" i="2"/>
  <c r="DX416" i="1"/>
  <c r="CS42" i="2"/>
  <c r="EF416" i="1"/>
  <c r="DA42" i="2"/>
  <c r="EE392" i="1"/>
  <c r="CZ40" i="2"/>
  <c r="DY380" i="1"/>
  <c r="CT39" i="2"/>
  <c r="EC392" i="1"/>
  <c r="CX40" i="2"/>
  <c r="DY404" i="1"/>
  <c r="CT41" i="2"/>
  <c r="EC416" i="1"/>
  <c r="CX42" i="2"/>
  <c r="EE380" i="1"/>
  <c r="CZ39" i="2"/>
  <c r="EE404" i="1"/>
  <c r="CZ41" i="2"/>
  <c r="ED380" i="1"/>
  <c r="CY39" i="2"/>
  <c r="DZ392" i="1"/>
  <c r="CU40" i="2"/>
  <c r="ED404" i="1"/>
  <c r="CY41" i="2"/>
  <c r="DZ416" i="1"/>
  <c r="CU42" i="2"/>
  <c r="AA42" i="59"/>
  <c r="Q26" i="59"/>
  <c r="Q25" i="59"/>
  <c r="Q13" i="59"/>
  <c r="Q24" i="59"/>
  <c r="Q12" i="59"/>
  <c r="Q23" i="59"/>
  <c r="Q15" i="59"/>
  <c r="Q22" i="59"/>
  <c r="Q18" i="59"/>
  <c r="Q14" i="59"/>
  <c r="T14" i="59"/>
  <c r="T22" i="59"/>
  <c r="T18" i="59"/>
  <c r="T23" i="59"/>
  <c r="T19" i="59"/>
  <c r="T15" i="59"/>
  <c r="T11" i="59"/>
  <c r="T25" i="59"/>
  <c r="T21" i="59"/>
  <c r="T17" i="59"/>
  <c r="T13" i="59"/>
  <c r="T24" i="59"/>
  <c r="T20" i="59"/>
  <c r="T16" i="59"/>
  <c r="T12" i="59"/>
  <c r="DV45" i="2" l="1"/>
  <c r="DK45" i="2"/>
  <c r="DZ39" i="2"/>
  <c r="DK39" i="2"/>
  <c r="DZ46" i="2"/>
  <c r="DK46" i="2"/>
  <c r="H37" i="29"/>
  <c r="G37" i="66"/>
  <c r="M37" i="27"/>
  <c r="DZ42" i="2"/>
  <c r="DK42" i="2"/>
  <c r="G38" i="66"/>
  <c r="H38" i="29"/>
  <c r="M38" i="27"/>
  <c r="G39" i="66"/>
  <c r="H39" i="29"/>
  <c r="M39" i="27"/>
  <c r="EG47" i="2"/>
  <c r="DK47" i="2"/>
  <c r="G38" i="43"/>
  <c r="BP10" i="43" s="1"/>
  <c r="G37" i="27"/>
  <c r="DZ47" i="2"/>
  <c r="DV47" i="2"/>
  <c r="DP47" i="2"/>
  <c r="EG48" i="2"/>
  <c r="DK48" i="2"/>
  <c r="G38" i="27"/>
  <c r="G39" i="43"/>
  <c r="BQ10" i="43" s="1"/>
  <c r="DV48" i="2"/>
  <c r="DZ48" i="2"/>
  <c r="DP48" i="2"/>
  <c r="EG50" i="2"/>
  <c r="DK50" i="2"/>
  <c r="G41" i="43"/>
  <c r="BS10" i="43" s="1"/>
  <c r="G40" i="27"/>
  <c r="DP50" i="2"/>
  <c r="DZ50" i="2"/>
  <c r="DV50" i="2"/>
  <c r="EG49" i="2"/>
  <c r="DK49" i="2"/>
  <c r="G39" i="27"/>
  <c r="G40" i="43"/>
  <c r="BR10" i="43" s="1"/>
  <c r="DZ49" i="2"/>
  <c r="DV49" i="2"/>
  <c r="DP49" i="2"/>
  <c r="DZ43" i="2"/>
  <c r="DK43" i="2"/>
  <c r="H40" i="29"/>
  <c r="G40" i="66"/>
  <c r="M40" i="27"/>
  <c r="BP82" i="43"/>
  <c r="BP64" i="43"/>
  <c r="BP46" i="43"/>
  <c r="BP55" i="43"/>
  <c r="BP70" i="43"/>
  <c r="H29" i="50"/>
  <c r="G35" i="27"/>
  <c r="DF46" i="2"/>
  <c r="DP39" i="2"/>
  <c r="G35" i="43"/>
  <c r="BM10" i="43" s="1"/>
  <c r="DZ44" i="2"/>
  <c r="DZ40" i="2"/>
  <c r="G36" i="43"/>
  <c r="BN10" i="43" s="1"/>
  <c r="BN80" i="43" s="1"/>
  <c r="V62" i="2"/>
  <c r="EB62" i="2" s="1"/>
  <c r="DZ45" i="2"/>
  <c r="M33" i="27"/>
  <c r="BO12" i="43"/>
  <c r="BU31" i="43"/>
  <c r="BU26" i="43"/>
  <c r="BJ12" i="43"/>
  <c r="BU25" i="43"/>
  <c r="BI12" i="43"/>
  <c r="BN12" i="43"/>
  <c r="BU30" i="43"/>
  <c r="BU27" i="43"/>
  <c r="BK12" i="43"/>
  <c r="EG46" i="2"/>
  <c r="G36" i="27"/>
  <c r="G37" i="43"/>
  <c r="BO10" i="43" s="1"/>
  <c r="DV46" i="2"/>
  <c r="DP46" i="2"/>
  <c r="BU24" i="43"/>
  <c r="BH12" i="43"/>
  <c r="BM12" i="43"/>
  <c r="BU29" i="43"/>
  <c r="BU28" i="43"/>
  <c r="BL12" i="43"/>
  <c r="G36" i="66"/>
  <c r="H36" i="29"/>
  <c r="M36" i="27"/>
  <c r="N30" i="50"/>
  <c r="V30" i="50" s="1"/>
  <c r="DP45" i="2"/>
  <c r="DF39" i="2"/>
  <c r="DP44" i="2"/>
  <c r="G30" i="43"/>
  <c r="BH10" i="43" s="1"/>
  <c r="BH44" i="43" s="1"/>
  <c r="DV39" i="2"/>
  <c r="D25" i="57"/>
  <c r="G29" i="66"/>
  <c r="AL29" i="66" s="1"/>
  <c r="AO29" i="66" s="1"/>
  <c r="AR29" i="66" s="1"/>
  <c r="H29" i="29"/>
  <c r="BM68" i="43"/>
  <c r="BM80" i="43"/>
  <c r="BM74" i="43"/>
  <c r="BM44" i="43"/>
  <c r="BM62" i="43"/>
  <c r="BM53" i="43"/>
  <c r="BN53" i="43"/>
  <c r="BN74" i="43"/>
  <c r="G32" i="66"/>
  <c r="AI32" i="66" s="1"/>
  <c r="H32" i="29"/>
  <c r="AL34" i="66"/>
  <c r="AO34" i="66" s="1"/>
  <c r="AR34" i="66" s="1"/>
  <c r="AI34" i="66"/>
  <c r="AE34" i="66"/>
  <c r="AL35" i="66"/>
  <c r="AO35" i="66" s="1"/>
  <c r="AR35" i="66" s="1"/>
  <c r="AI35" i="66"/>
  <c r="AE35" i="66"/>
  <c r="G30" i="66"/>
  <c r="H30" i="29"/>
  <c r="EG43" i="2"/>
  <c r="G33" i="27"/>
  <c r="G34" i="43"/>
  <c r="BL10" i="43" s="1"/>
  <c r="DP43" i="2"/>
  <c r="DV43" i="2"/>
  <c r="G31" i="66"/>
  <c r="AI31" i="66" s="1"/>
  <c r="H31" i="29"/>
  <c r="D28" i="57"/>
  <c r="EG40" i="2"/>
  <c r="AI29" i="66"/>
  <c r="AJ29" i="66" s="1"/>
  <c r="N29" i="50"/>
  <c r="V29" i="50" s="1"/>
  <c r="AE29" i="66"/>
  <c r="DV42" i="2"/>
  <c r="M29" i="27"/>
  <c r="EG42" i="2"/>
  <c r="G32" i="27"/>
  <c r="G33" i="43"/>
  <c r="BK10" i="43" s="1"/>
  <c r="BK44" i="43" s="1"/>
  <c r="DF42" i="2"/>
  <c r="EG39" i="2"/>
  <c r="DF41" i="2"/>
  <c r="N32" i="50"/>
  <c r="V32" i="50" s="1"/>
  <c r="G29" i="27"/>
  <c r="H30" i="50"/>
  <c r="DP42" i="2"/>
  <c r="G31" i="43"/>
  <c r="BI10" i="43" s="1"/>
  <c r="BI53" i="43" s="1"/>
  <c r="G30" i="27"/>
  <c r="AL33" i="66"/>
  <c r="AO33" i="66" s="1"/>
  <c r="AR33" i="66" s="1"/>
  <c r="AI33" i="66"/>
  <c r="AE33" i="66"/>
  <c r="D26" i="57"/>
  <c r="DV40" i="2"/>
  <c r="M32" i="27"/>
  <c r="DP40" i="2"/>
  <c r="DP41" i="2"/>
  <c r="EG41" i="2"/>
  <c r="DV41" i="2"/>
  <c r="BE42" i="27"/>
  <c r="BG41" i="27"/>
  <c r="BH41" i="27"/>
  <c r="BF42" i="27"/>
  <c r="M31" i="27"/>
  <c r="N31" i="50"/>
  <c r="V31" i="50" s="1"/>
  <c r="D27" i="57"/>
  <c r="G32" i="43"/>
  <c r="BJ10" i="43" s="1"/>
  <c r="H31" i="50"/>
  <c r="G31" i="27"/>
  <c r="W18" i="59"/>
  <c r="V29" i="59"/>
  <c r="S29" i="59"/>
  <c r="Q16" i="59"/>
  <c r="Q21" i="59"/>
  <c r="AA43" i="59"/>
  <c r="Q19" i="59"/>
  <c r="Q20" i="59"/>
  <c r="Q17" i="59"/>
  <c r="BA6" i="59"/>
  <c r="BA7" i="59"/>
  <c r="BA8" i="59"/>
  <c r="BA9" i="59"/>
  <c r="BA10" i="59"/>
  <c r="BA11" i="59"/>
  <c r="BA12" i="59"/>
  <c r="BA13" i="59"/>
  <c r="BA14" i="59"/>
  <c r="BA15" i="59"/>
  <c r="BA16" i="59"/>
  <c r="BA17" i="59"/>
  <c r="BA18" i="59"/>
  <c r="BA19" i="59"/>
  <c r="BA20" i="59"/>
  <c r="BA21" i="59"/>
  <c r="BA22" i="59"/>
  <c r="BA23" i="59"/>
  <c r="BA24" i="59"/>
  <c r="BA25" i="59"/>
  <c r="BA26" i="59"/>
  <c r="AL37" i="66" l="1"/>
  <c r="AO37" i="66" s="1"/>
  <c r="AR37" i="66" s="1"/>
  <c r="AE37" i="66"/>
  <c r="AI37" i="66"/>
  <c r="AL39" i="66"/>
  <c r="AO39" i="66" s="1"/>
  <c r="AR39" i="66" s="1"/>
  <c r="AE39" i="66"/>
  <c r="AI39" i="66"/>
  <c r="BQ53" i="43"/>
  <c r="BQ44" i="43"/>
  <c r="BQ80" i="43"/>
  <c r="BQ74" i="43"/>
  <c r="BQ68" i="43"/>
  <c r="BQ62" i="43"/>
  <c r="BP62" i="43"/>
  <c r="BP80" i="43"/>
  <c r="BP53" i="43"/>
  <c r="BP74" i="43"/>
  <c r="BP68" i="43"/>
  <c r="BP44" i="43"/>
  <c r="AL38" i="66"/>
  <c r="AO38" i="66" s="1"/>
  <c r="AR38" i="66" s="1"/>
  <c r="AI38" i="66"/>
  <c r="AE38" i="66"/>
  <c r="BR74" i="43"/>
  <c r="BR68" i="43"/>
  <c r="BR80" i="43"/>
  <c r="BR62" i="43"/>
  <c r="BR44" i="43"/>
  <c r="BR53" i="43"/>
  <c r="BS62" i="43"/>
  <c r="BS68" i="43"/>
  <c r="BS44" i="43"/>
  <c r="BS74" i="43"/>
  <c r="BS80" i="43"/>
  <c r="BS53" i="43"/>
  <c r="AL40" i="66"/>
  <c r="AO40" i="66" s="1"/>
  <c r="AR40" i="66" s="1"/>
  <c r="AE40" i="66"/>
  <c r="AI40" i="66"/>
  <c r="BH68" i="43"/>
  <c r="BN62" i="43"/>
  <c r="BH80" i="43"/>
  <c r="BN68" i="43"/>
  <c r="BN44" i="43"/>
  <c r="BH74" i="43"/>
  <c r="BN46" i="43"/>
  <c r="BN55" i="43"/>
  <c r="BN70" i="43"/>
  <c r="BN64" i="43"/>
  <c r="BN82" i="43"/>
  <c r="AL36" i="66"/>
  <c r="AO36" i="66" s="1"/>
  <c r="AR36" i="66" s="1"/>
  <c r="AI36" i="66"/>
  <c r="AE36" i="66"/>
  <c r="BI70" i="43"/>
  <c r="BI82" i="43"/>
  <c r="BI64" i="43"/>
  <c r="BI46" i="43"/>
  <c r="BI55" i="43"/>
  <c r="BJ64" i="43"/>
  <c r="BJ46" i="43"/>
  <c r="BJ55" i="43"/>
  <c r="BJ70" i="43"/>
  <c r="BJ82" i="43"/>
  <c r="BL70" i="43"/>
  <c r="BL82" i="43"/>
  <c r="BL46" i="43"/>
  <c r="BL55" i="43"/>
  <c r="BL64" i="43"/>
  <c r="BO53" i="43"/>
  <c r="BO44" i="43"/>
  <c r="BO80" i="43"/>
  <c r="BO74" i="43"/>
  <c r="BO62" i="43"/>
  <c r="BO68" i="43"/>
  <c r="BK82" i="43"/>
  <c r="BK46" i="43"/>
  <c r="BK55" i="43"/>
  <c r="BK64" i="43"/>
  <c r="BK70" i="43"/>
  <c r="BM82" i="43"/>
  <c r="BM64" i="43"/>
  <c r="BM70" i="43"/>
  <c r="BM46" i="43"/>
  <c r="BM55" i="43"/>
  <c r="BO46" i="43"/>
  <c r="BO55" i="43"/>
  <c r="BO64" i="43"/>
  <c r="BO82" i="43"/>
  <c r="BO70" i="43"/>
  <c r="AE32" i="66"/>
  <c r="BH46" i="43"/>
  <c r="BH55" i="43"/>
  <c r="BH70" i="43"/>
  <c r="BH82" i="43"/>
  <c r="BH64" i="43"/>
  <c r="BH62" i="43"/>
  <c r="BH53" i="43"/>
  <c r="AL32" i="66"/>
  <c r="AO32" i="66" s="1"/>
  <c r="AR32" i="66" s="1"/>
  <c r="AE31" i="66"/>
  <c r="AL31" i="66"/>
  <c r="AO31" i="66" s="1"/>
  <c r="AR31" i="66" s="1"/>
  <c r="BL74" i="43"/>
  <c r="BL53" i="43"/>
  <c r="BL68" i="43"/>
  <c r="BL44" i="43"/>
  <c r="BL62" i="43"/>
  <c r="BL80" i="43"/>
  <c r="AL30" i="66"/>
  <c r="AO30" i="66" s="1"/>
  <c r="AR30" i="66" s="1"/>
  <c r="AI30" i="66"/>
  <c r="AE30" i="66"/>
  <c r="BK74" i="43"/>
  <c r="BK53" i="43"/>
  <c r="BK68" i="43"/>
  <c r="BK62" i="43"/>
  <c r="BK80" i="43"/>
  <c r="BI68" i="43"/>
  <c r="BI74" i="43"/>
  <c r="BI80" i="43"/>
  <c r="BI62" i="43"/>
  <c r="BI44" i="43"/>
  <c r="BH42" i="27"/>
  <c r="BF43" i="27"/>
  <c r="BH43" i="27" s="1"/>
  <c r="BG42" i="27"/>
  <c r="BE43" i="27"/>
  <c r="BG43" i="27" s="1"/>
  <c r="BJ53" i="43"/>
  <c r="BJ44" i="43"/>
  <c r="BJ68" i="43"/>
  <c r="BJ62" i="43"/>
  <c r="BJ80" i="43"/>
  <c r="BJ74" i="43"/>
  <c r="W19" i="59"/>
  <c r="V30" i="59"/>
  <c r="S30" i="59"/>
  <c r="AA44" i="59"/>
  <c r="F5" i="59"/>
  <c r="D4" i="59"/>
  <c r="E4" i="59"/>
  <c r="C4" i="59"/>
  <c r="B4" i="59"/>
  <c r="J4" i="59" l="1"/>
  <c r="AK4" i="59"/>
  <c r="M4" i="59"/>
  <c r="P4" i="59"/>
  <c r="AH4" i="59"/>
  <c r="AJ4" i="59"/>
  <c r="I4" i="59"/>
  <c r="O4" i="59"/>
  <c r="L4" i="59"/>
  <c r="AG4" i="59"/>
  <c r="N4" i="59"/>
  <c r="K4" i="59"/>
  <c r="H4" i="59"/>
  <c r="AF4" i="59"/>
  <c r="AI4" i="59"/>
  <c r="AE11" i="59"/>
  <c r="AB11" i="59"/>
  <c r="W20" i="59"/>
  <c r="AA45" i="59"/>
  <c r="W128" i="1"/>
  <c r="W129" i="1"/>
  <c r="W130" i="1"/>
  <c r="W131" i="1"/>
  <c r="W132" i="1"/>
  <c r="W133" i="1"/>
  <c r="W134" i="1"/>
  <c r="W135" i="1"/>
  <c r="W136" i="1"/>
  <c r="W137" i="1"/>
  <c r="W138" i="1"/>
  <c r="W139" i="1"/>
  <c r="Q128" i="1"/>
  <c r="Q129" i="1"/>
  <c r="Q130" i="1"/>
  <c r="Q131" i="1"/>
  <c r="Q132" i="1"/>
  <c r="Q133" i="1"/>
  <c r="Q134" i="1"/>
  <c r="Q135" i="1"/>
  <c r="Q136" i="1"/>
  <c r="Q137" i="1"/>
  <c r="Q138" i="1"/>
  <c r="Q139" i="1"/>
  <c r="AE12" i="59" l="1"/>
  <c r="AB12" i="59"/>
  <c r="W21" i="59"/>
  <c r="AA46" i="59"/>
  <c r="AA6" i="43"/>
  <c r="AA7" i="43"/>
  <c r="AA5" i="43"/>
  <c r="AJ30" i="43" s="1"/>
  <c r="AA8" i="43"/>
  <c r="BV141" i="1"/>
  <c r="BW141" i="1"/>
  <c r="BX141" i="1"/>
  <c r="BV142" i="1"/>
  <c r="BW142" i="1"/>
  <c r="BX142" i="1"/>
  <c r="BV143" i="1"/>
  <c r="BW143" i="1"/>
  <c r="BX143" i="1"/>
  <c r="BV144" i="1"/>
  <c r="BW144" i="1"/>
  <c r="BX144" i="1"/>
  <c r="BV145" i="1"/>
  <c r="BW145" i="1"/>
  <c r="BX145" i="1"/>
  <c r="BV146" i="1"/>
  <c r="BW146" i="1"/>
  <c r="BX146" i="1"/>
  <c r="BV147" i="1"/>
  <c r="BW147" i="1"/>
  <c r="BX147" i="1"/>
  <c r="BV148" i="1"/>
  <c r="BW148" i="1"/>
  <c r="BX148" i="1"/>
  <c r="BV149" i="1"/>
  <c r="BW149" i="1"/>
  <c r="BX149" i="1"/>
  <c r="BV150" i="1"/>
  <c r="BW150" i="1"/>
  <c r="BX150" i="1"/>
  <c r="BV151" i="1"/>
  <c r="BW151" i="1"/>
  <c r="BX151" i="1"/>
  <c r="BV152" i="1"/>
  <c r="BW152" i="1"/>
  <c r="BX152" i="1"/>
  <c r="BV153" i="1"/>
  <c r="BW153" i="1"/>
  <c r="BX153" i="1"/>
  <c r="BV154" i="1"/>
  <c r="BW154" i="1"/>
  <c r="BX154" i="1"/>
  <c r="BV155" i="1"/>
  <c r="BW155" i="1"/>
  <c r="BX155" i="1"/>
  <c r="BV156" i="1"/>
  <c r="BW156" i="1"/>
  <c r="BX156" i="1"/>
  <c r="BV157" i="1"/>
  <c r="BW157" i="1"/>
  <c r="BX157" i="1"/>
  <c r="BV158" i="1"/>
  <c r="BW158" i="1"/>
  <c r="BX158" i="1"/>
  <c r="BV159" i="1"/>
  <c r="BW159" i="1"/>
  <c r="BX159" i="1"/>
  <c r="BV160" i="1"/>
  <c r="BW160" i="1"/>
  <c r="BX160" i="1"/>
  <c r="BV161" i="1"/>
  <c r="BW161" i="1"/>
  <c r="BX161" i="1"/>
  <c r="BV162" i="1"/>
  <c r="BW162" i="1"/>
  <c r="BX162" i="1"/>
  <c r="BV163" i="1"/>
  <c r="BW163" i="1"/>
  <c r="BX163" i="1"/>
  <c r="BV164" i="1"/>
  <c r="BW164" i="1"/>
  <c r="BX164" i="1"/>
  <c r="BV165" i="1"/>
  <c r="BW165" i="1"/>
  <c r="BX165" i="1"/>
  <c r="BV166" i="1"/>
  <c r="BW166" i="1"/>
  <c r="BX166" i="1"/>
  <c r="BV167" i="1"/>
  <c r="BW167" i="1"/>
  <c r="BX167" i="1"/>
  <c r="BV168" i="1"/>
  <c r="BW168" i="1"/>
  <c r="BX168" i="1"/>
  <c r="BV169" i="1"/>
  <c r="BW169" i="1"/>
  <c r="BX169" i="1"/>
  <c r="BV170" i="1"/>
  <c r="BW170" i="1"/>
  <c r="BX170" i="1"/>
  <c r="BV171" i="1"/>
  <c r="BW171" i="1"/>
  <c r="BX171" i="1"/>
  <c r="BV172" i="1"/>
  <c r="BW172" i="1"/>
  <c r="BX172" i="1"/>
  <c r="BV173" i="1"/>
  <c r="BW173" i="1"/>
  <c r="BX173" i="1"/>
  <c r="BV174" i="1"/>
  <c r="BW174" i="1"/>
  <c r="BX174" i="1"/>
  <c r="BV175" i="1"/>
  <c r="BW175" i="1"/>
  <c r="BX175" i="1"/>
  <c r="BV176" i="1"/>
  <c r="BW176" i="1"/>
  <c r="BX176" i="1"/>
  <c r="BV177" i="1"/>
  <c r="BW177" i="1"/>
  <c r="BX177" i="1"/>
  <c r="BV178" i="1"/>
  <c r="BW178" i="1"/>
  <c r="BX178" i="1"/>
  <c r="BV179" i="1"/>
  <c r="BW179" i="1"/>
  <c r="BX179" i="1"/>
  <c r="BV180" i="1"/>
  <c r="BW180" i="1"/>
  <c r="BX180" i="1"/>
  <c r="BV181" i="1"/>
  <c r="BW181" i="1"/>
  <c r="BX181" i="1"/>
  <c r="BV182" i="1"/>
  <c r="BW182" i="1"/>
  <c r="BX182" i="1"/>
  <c r="BV183" i="1"/>
  <c r="BW183" i="1"/>
  <c r="BX183" i="1"/>
  <c r="BV184" i="1"/>
  <c r="BW184" i="1"/>
  <c r="BX184" i="1"/>
  <c r="BV185" i="1"/>
  <c r="BW185" i="1"/>
  <c r="BX185" i="1"/>
  <c r="BV186" i="1"/>
  <c r="BW186" i="1"/>
  <c r="BX186" i="1"/>
  <c r="BV187" i="1"/>
  <c r="BW187" i="1"/>
  <c r="BX187" i="1"/>
  <c r="BV188" i="1"/>
  <c r="BW188" i="1"/>
  <c r="BX188" i="1"/>
  <c r="BV189" i="1"/>
  <c r="BW189" i="1"/>
  <c r="BX189" i="1"/>
  <c r="BV190" i="1"/>
  <c r="BW190" i="1"/>
  <c r="BX190" i="1"/>
  <c r="BV191" i="1"/>
  <c r="BW191" i="1"/>
  <c r="BX191" i="1"/>
  <c r="BV192" i="1"/>
  <c r="BW192" i="1"/>
  <c r="BX192" i="1"/>
  <c r="BV193" i="1"/>
  <c r="BW193" i="1"/>
  <c r="BX193" i="1"/>
  <c r="BV194" i="1"/>
  <c r="BW194" i="1"/>
  <c r="BX194" i="1"/>
  <c r="BV195" i="1"/>
  <c r="BW195" i="1"/>
  <c r="BX195" i="1"/>
  <c r="BV196" i="1"/>
  <c r="BW196" i="1"/>
  <c r="BX196" i="1"/>
  <c r="BV197" i="1"/>
  <c r="BW197" i="1"/>
  <c r="BX197" i="1"/>
  <c r="BV198" i="1"/>
  <c r="BW198" i="1"/>
  <c r="BX198" i="1"/>
  <c r="BV199" i="1"/>
  <c r="BW199" i="1"/>
  <c r="BX199" i="1"/>
  <c r="BV200" i="1"/>
  <c r="BW200" i="1"/>
  <c r="BX200" i="1"/>
  <c r="BV201" i="1"/>
  <c r="BW201" i="1"/>
  <c r="BX201" i="1"/>
  <c r="BV202" i="1"/>
  <c r="BW202" i="1"/>
  <c r="BX202" i="1"/>
  <c r="BV203" i="1"/>
  <c r="BW203" i="1"/>
  <c r="BX203" i="1"/>
  <c r="BV204" i="1"/>
  <c r="BW204" i="1"/>
  <c r="BX204" i="1"/>
  <c r="BV205" i="1"/>
  <c r="BW205" i="1"/>
  <c r="BX205" i="1"/>
  <c r="BV206" i="1"/>
  <c r="BW206" i="1"/>
  <c r="BX206" i="1"/>
  <c r="BV207" i="1"/>
  <c r="BW207" i="1"/>
  <c r="BX207" i="1"/>
  <c r="BV208" i="1"/>
  <c r="BW208" i="1"/>
  <c r="BX208" i="1"/>
  <c r="BV209" i="1"/>
  <c r="BW209" i="1"/>
  <c r="BX209" i="1"/>
  <c r="BV210" i="1"/>
  <c r="BW210" i="1"/>
  <c r="BX210" i="1"/>
  <c r="BV211" i="1"/>
  <c r="BW211" i="1"/>
  <c r="BX211" i="1"/>
  <c r="BV212" i="1"/>
  <c r="BW212" i="1"/>
  <c r="BX212" i="1"/>
  <c r="BV213" i="1"/>
  <c r="BW213" i="1"/>
  <c r="BX213" i="1"/>
  <c r="BV214" i="1"/>
  <c r="BW214" i="1"/>
  <c r="BX214" i="1"/>
  <c r="BV215" i="1"/>
  <c r="BW215" i="1"/>
  <c r="BX215" i="1"/>
  <c r="BV216" i="1"/>
  <c r="BW216" i="1"/>
  <c r="BX216" i="1"/>
  <c r="BV217" i="1"/>
  <c r="BW217" i="1"/>
  <c r="BX217" i="1"/>
  <c r="BV218" i="1"/>
  <c r="BW218" i="1"/>
  <c r="BX218" i="1"/>
  <c r="BV219" i="1"/>
  <c r="BW219" i="1"/>
  <c r="BX219" i="1"/>
  <c r="BV220" i="1"/>
  <c r="BW220" i="1"/>
  <c r="BX220" i="1"/>
  <c r="BV221" i="1"/>
  <c r="BW221" i="1"/>
  <c r="BX221" i="1"/>
  <c r="BV222" i="1"/>
  <c r="BW222" i="1"/>
  <c r="BX222" i="1"/>
  <c r="BV223" i="1"/>
  <c r="BW223" i="1"/>
  <c r="BX223" i="1"/>
  <c r="BV224" i="1"/>
  <c r="BW224" i="1"/>
  <c r="BX224" i="1"/>
  <c r="BV225" i="1"/>
  <c r="BW225" i="1"/>
  <c r="BX225" i="1"/>
  <c r="BV226" i="1"/>
  <c r="BW226" i="1"/>
  <c r="BX226" i="1"/>
  <c r="BV227" i="1"/>
  <c r="BW227" i="1"/>
  <c r="BX227" i="1"/>
  <c r="BV228" i="1"/>
  <c r="BW228" i="1"/>
  <c r="BX228" i="1"/>
  <c r="BV229" i="1"/>
  <c r="BW229" i="1"/>
  <c r="BX229" i="1"/>
  <c r="BV230" i="1"/>
  <c r="BW230" i="1"/>
  <c r="BX230" i="1"/>
  <c r="BV231" i="1"/>
  <c r="BW231" i="1"/>
  <c r="BX231" i="1"/>
  <c r="BV232" i="1"/>
  <c r="BW232" i="1"/>
  <c r="EM232" i="1" s="1"/>
  <c r="BX232" i="1"/>
  <c r="BV233" i="1"/>
  <c r="BW233" i="1"/>
  <c r="BX233" i="1"/>
  <c r="BV234" i="1"/>
  <c r="BW234" i="1"/>
  <c r="EM234" i="1" s="1"/>
  <c r="BX234" i="1"/>
  <c r="BV235" i="1"/>
  <c r="BW235" i="1"/>
  <c r="EM235" i="1" s="1"/>
  <c r="BX235" i="1"/>
  <c r="BV236" i="1"/>
  <c r="BW236" i="1"/>
  <c r="BX236" i="1"/>
  <c r="BV237" i="1"/>
  <c r="BW237" i="1"/>
  <c r="BX237" i="1"/>
  <c r="BV238" i="1"/>
  <c r="BW238" i="1"/>
  <c r="EM238" i="1" s="1"/>
  <c r="BX238" i="1"/>
  <c r="BV239" i="1"/>
  <c r="BW239" i="1"/>
  <c r="EM239" i="1" s="1"/>
  <c r="BX239" i="1"/>
  <c r="BV240" i="1"/>
  <c r="BW240" i="1"/>
  <c r="EM240" i="1" s="1"/>
  <c r="BX240" i="1"/>
  <c r="BV241" i="1"/>
  <c r="BW241" i="1"/>
  <c r="BX241" i="1"/>
  <c r="BV242" i="1"/>
  <c r="BW242" i="1"/>
  <c r="EM242" i="1" s="1"/>
  <c r="BX242" i="1"/>
  <c r="BV243" i="1"/>
  <c r="BW243" i="1"/>
  <c r="EM243" i="1" s="1"/>
  <c r="BX243" i="1"/>
  <c r="BV244" i="1"/>
  <c r="BW244" i="1"/>
  <c r="BX244" i="1"/>
  <c r="BV245" i="1"/>
  <c r="BW245" i="1"/>
  <c r="BX245" i="1"/>
  <c r="BV246" i="1"/>
  <c r="BW246" i="1"/>
  <c r="EM246" i="1" s="1"/>
  <c r="BX246" i="1"/>
  <c r="BV247" i="1"/>
  <c r="BW247" i="1"/>
  <c r="EM247" i="1" s="1"/>
  <c r="BX247" i="1"/>
  <c r="BV248" i="1"/>
  <c r="BW248" i="1"/>
  <c r="EM248" i="1" s="1"/>
  <c r="BX248" i="1"/>
  <c r="BV249" i="1"/>
  <c r="BW249" i="1"/>
  <c r="BX249" i="1"/>
  <c r="BV250" i="1"/>
  <c r="BW250" i="1"/>
  <c r="EM250" i="1" s="1"/>
  <c r="BX250" i="1"/>
  <c r="BV251" i="1"/>
  <c r="BW251" i="1"/>
  <c r="EM251" i="1" s="1"/>
  <c r="BX251" i="1"/>
  <c r="BV252" i="1"/>
  <c r="BW252" i="1"/>
  <c r="BX252" i="1"/>
  <c r="BV253" i="1"/>
  <c r="BW253" i="1"/>
  <c r="BX253" i="1"/>
  <c r="BV254" i="1"/>
  <c r="BW254" i="1"/>
  <c r="EM254" i="1" s="1"/>
  <c r="BX254" i="1"/>
  <c r="BV255" i="1"/>
  <c r="BW255" i="1"/>
  <c r="EM255" i="1" s="1"/>
  <c r="BX255" i="1"/>
  <c r="BV256" i="1"/>
  <c r="BW256" i="1"/>
  <c r="EM256" i="1" s="1"/>
  <c r="BX256" i="1"/>
  <c r="BV257" i="1"/>
  <c r="BW257" i="1"/>
  <c r="BX257" i="1"/>
  <c r="BV258" i="1"/>
  <c r="BW258" i="1"/>
  <c r="EM258" i="1" s="1"/>
  <c r="BX258" i="1"/>
  <c r="BV259" i="1"/>
  <c r="BW259" i="1"/>
  <c r="EM259" i="1" s="1"/>
  <c r="BX259" i="1"/>
  <c r="BV260" i="1"/>
  <c r="BW260" i="1"/>
  <c r="BX260" i="1"/>
  <c r="BV261" i="1"/>
  <c r="BW261" i="1"/>
  <c r="BX261" i="1"/>
  <c r="BV262" i="1"/>
  <c r="BW262" i="1"/>
  <c r="EM262" i="1" s="1"/>
  <c r="BX262" i="1"/>
  <c r="BV263" i="1"/>
  <c r="BW263" i="1"/>
  <c r="EM263" i="1" s="1"/>
  <c r="BX263" i="1"/>
  <c r="BV264" i="1"/>
  <c r="BW264" i="1"/>
  <c r="EM264" i="1" s="1"/>
  <c r="BX264" i="1"/>
  <c r="BV265" i="1"/>
  <c r="BW265" i="1"/>
  <c r="EM265" i="1" s="1"/>
  <c r="BX265" i="1"/>
  <c r="BV266" i="1"/>
  <c r="BW266" i="1"/>
  <c r="EM266" i="1" s="1"/>
  <c r="BX266" i="1"/>
  <c r="BV267" i="1"/>
  <c r="BW267" i="1"/>
  <c r="EM267" i="1" s="1"/>
  <c r="BX267" i="1"/>
  <c r="BV268" i="1"/>
  <c r="BW268" i="1"/>
  <c r="BX268" i="1"/>
  <c r="BV269" i="1"/>
  <c r="BW269" i="1"/>
  <c r="BX269" i="1"/>
  <c r="BV270" i="1"/>
  <c r="BW270" i="1"/>
  <c r="EM270" i="1" s="1"/>
  <c r="BX270" i="1"/>
  <c r="BV271" i="1"/>
  <c r="BW271" i="1"/>
  <c r="EM271" i="1" s="1"/>
  <c r="BX271" i="1"/>
  <c r="BV272" i="1"/>
  <c r="BW272" i="1"/>
  <c r="EM272" i="1" s="1"/>
  <c r="BX272" i="1"/>
  <c r="BV273" i="1"/>
  <c r="BW273" i="1"/>
  <c r="EM273" i="1" s="1"/>
  <c r="BX273" i="1"/>
  <c r="BV274" i="1"/>
  <c r="BW274" i="1"/>
  <c r="EM274" i="1" s="1"/>
  <c r="BX274" i="1"/>
  <c r="BV275" i="1"/>
  <c r="BW275" i="1"/>
  <c r="EM275" i="1" s="1"/>
  <c r="BX275" i="1"/>
  <c r="BV276" i="1"/>
  <c r="BW276" i="1"/>
  <c r="BX276" i="1"/>
  <c r="BV277" i="1"/>
  <c r="BW277" i="1"/>
  <c r="BX277" i="1"/>
  <c r="BV278" i="1"/>
  <c r="BW278" i="1"/>
  <c r="EM278" i="1" s="1"/>
  <c r="BX278" i="1"/>
  <c r="BV279" i="1"/>
  <c r="BW279" i="1"/>
  <c r="EM279" i="1" s="1"/>
  <c r="BX279" i="1"/>
  <c r="BV280" i="1"/>
  <c r="BW280" i="1"/>
  <c r="EM280" i="1" s="1"/>
  <c r="BX280" i="1"/>
  <c r="BV281" i="1"/>
  <c r="BW281" i="1"/>
  <c r="EM281" i="1" s="1"/>
  <c r="BX281" i="1"/>
  <c r="BV282" i="1"/>
  <c r="BW282" i="1"/>
  <c r="EM282" i="1" s="1"/>
  <c r="BX282" i="1"/>
  <c r="BV283" i="1"/>
  <c r="BW283" i="1"/>
  <c r="EM283" i="1" s="1"/>
  <c r="BX283" i="1"/>
  <c r="BV284" i="1"/>
  <c r="BW284" i="1"/>
  <c r="BX284" i="1"/>
  <c r="BV285" i="1"/>
  <c r="BW285" i="1"/>
  <c r="BX285" i="1"/>
  <c r="BV286" i="1"/>
  <c r="BW286" i="1"/>
  <c r="EM286" i="1" s="1"/>
  <c r="BX286" i="1"/>
  <c r="BV287" i="1"/>
  <c r="BW287" i="1"/>
  <c r="EM287" i="1" s="1"/>
  <c r="BX287" i="1"/>
  <c r="BV288" i="1"/>
  <c r="BW288" i="1"/>
  <c r="EM288" i="1" s="1"/>
  <c r="BX288" i="1"/>
  <c r="BV289" i="1"/>
  <c r="BW289" i="1"/>
  <c r="EM289" i="1" s="1"/>
  <c r="BX289" i="1"/>
  <c r="BV290" i="1"/>
  <c r="BW290" i="1"/>
  <c r="EM290" i="1" s="1"/>
  <c r="BX290" i="1"/>
  <c r="BV291" i="1"/>
  <c r="BW291" i="1"/>
  <c r="EM291" i="1" s="1"/>
  <c r="BX291" i="1"/>
  <c r="BV292" i="1"/>
  <c r="BW292" i="1"/>
  <c r="BX292" i="1"/>
  <c r="BV293" i="1"/>
  <c r="BW293" i="1"/>
  <c r="BX293" i="1"/>
  <c r="BV294" i="1"/>
  <c r="BW294" i="1"/>
  <c r="EM294" i="1" s="1"/>
  <c r="BX294" i="1"/>
  <c r="BV295" i="1"/>
  <c r="BW295" i="1"/>
  <c r="EM295" i="1" s="1"/>
  <c r="BX295" i="1"/>
  <c r="BV296" i="1"/>
  <c r="BW296" i="1"/>
  <c r="EM296" i="1" s="1"/>
  <c r="BX296" i="1"/>
  <c r="BV297" i="1"/>
  <c r="BW297" i="1"/>
  <c r="EM297" i="1" s="1"/>
  <c r="BX297" i="1"/>
  <c r="BV298" i="1"/>
  <c r="BW298" i="1"/>
  <c r="EM298" i="1" s="1"/>
  <c r="BX298" i="1"/>
  <c r="BV299" i="1"/>
  <c r="BW299" i="1"/>
  <c r="EM299" i="1" s="1"/>
  <c r="BX299" i="1"/>
  <c r="BV300" i="1"/>
  <c r="BW300" i="1"/>
  <c r="BX300" i="1"/>
  <c r="BV301" i="1"/>
  <c r="BW301" i="1"/>
  <c r="BX301" i="1"/>
  <c r="BV302" i="1"/>
  <c r="BW302" i="1"/>
  <c r="EM302" i="1" s="1"/>
  <c r="BX302" i="1"/>
  <c r="BV303" i="1"/>
  <c r="BW303" i="1"/>
  <c r="EM303" i="1" s="1"/>
  <c r="BX303" i="1"/>
  <c r="BV304" i="1"/>
  <c r="BW304" i="1"/>
  <c r="EM304" i="1" s="1"/>
  <c r="BX304" i="1"/>
  <c r="BV305" i="1"/>
  <c r="BW305" i="1"/>
  <c r="EM305" i="1" s="1"/>
  <c r="BX305" i="1"/>
  <c r="BV306" i="1"/>
  <c r="BW306" i="1"/>
  <c r="EM306" i="1" s="1"/>
  <c r="BX306" i="1"/>
  <c r="BV307" i="1"/>
  <c r="BW307" i="1"/>
  <c r="EM307" i="1" s="1"/>
  <c r="BX307" i="1"/>
  <c r="BV308" i="1"/>
  <c r="BW308" i="1"/>
  <c r="BX308" i="1"/>
  <c r="BV309" i="1"/>
  <c r="BW309" i="1"/>
  <c r="BX309" i="1"/>
  <c r="BV310" i="1"/>
  <c r="BW310" i="1"/>
  <c r="EM310" i="1" s="1"/>
  <c r="BX310" i="1"/>
  <c r="BV311" i="1"/>
  <c r="BW311" i="1"/>
  <c r="EM311" i="1" s="1"/>
  <c r="BX311" i="1"/>
  <c r="BV312" i="1"/>
  <c r="BW312" i="1"/>
  <c r="EM312" i="1" s="1"/>
  <c r="BX312" i="1"/>
  <c r="BV313" i="1"/>
  <c r="BW313" i="1"/>
  <c r="EM313" i="1" s="1"/>
  <c r="BX313" i="1"/>
  <c r="BV314" i="1"/>
  <c r="BW314" i="1"/>
  <c r="EM314" i="1" s="1"/>
  <c r="BX314" i="1"/>
  <c r="BV315" i="1"/>
  <c r="BW315" i="1"/>
  <c r="EM315" i="1" s="1"/>
  <c r="BX315" i="1"/>
  <c r="BV316" i="1"/>
  <c r="BW316" i="1"/>
  <c r="BX316" i="1"/>
  <c r="BV317" i="1"/>
  <c r="BW317" i="1"/>
  <c r="BX317" i="1"/>
  <c r="BV318" i="1"/>
  <c r="BW318" i="1"/>
  <c r="EM318" i="1" s="1"/>
  <c r="BX318" i="1"/>
  <c r="BV319" i="1"/>
  <c r="BW319" i="1"/>
  <c r="EM319" i="1" s="1"/>
  <c r="BX319" i="1"/>
  <c r="BV320" i="1"/>
  <c r="BW320" i="1"/>
  <c r="EM320" i="1" s="1"/>
  <c r="BX320" i="1"/>
  <c r="BV321" i="1"/>
  <c r="BW321" i="1"/>
  <c r="EM321" i="1" s="1"/>
  <c r="BX321" i="1"/>
  <c r="BV322" i="1"/>
  <c r="BW322" i="1"/>
  <c r="EM322" i="1" s="1"/>
  <c r="BX322" i="1"/>
  <c r="BV323" i="1"/>
  <c r="BW323" i="1"/>
  <c r="BX323" i="1"/>
  <c r="BV324" i="1"/>
  <c r="BW324" i="1"/>
  <c r="BX324" i="1"/>
  <c r="BV325" i="1"/>
  <c r="BW325" i="1"/>
  <c r="BX325" i="1"/>
  <c r="BV326" i="1"/>
  <c r="BW326" i="1"/>
  <c r="EM326" i="1" s="1"/>
  <c r="BX326" i="1"/>
  <c r="BV327" i="1"/>
  <c r="BW327" i="1"/>
  <c r="EM327" i="1" s="1"/>
  <c r="BX327" i="1"/>
  <c r="BV328" i="1"/>
  <c r="BW328" i="1"/>
  <c r="EM328" i="1" s="1"/>
  <c r="BX328" i="1"/>
  <c r="BV329" i="1"/>
  <c r="BW329" i="1"/>
  <c r="EM329" i="1" s="1"/>
  <c r="BX329" i="1"/>
  <c r="BV330" i="1"/>
  <c r="BW330" i="1"/>
  <c r="EM330" i="1" s="1"/>
  <c r="BX330" i="1"/>
  <c r="BV331" i="1"/>
  <c r="BW331" i="1"/>
  <c r="BX331" i="1"/>
  <c r="BV332" i="1"/>
  <c r="BW332" i="1"/>
  <c r="BX332" i="1"/>
  <c r="BV333" i="1"/>
  <c r="BW333" i="1"/>
  <c r="BX333" i="1"/>
  <c r="BV334" i="1"/>
  <c r="BW334" i="1"/>
  <c r="EM334" i="1" s="1"/>
  <c r="BX334" i="1"/>
  <c r="BV335" i="1"/>
  <c r="BW335" i="1"/>
  <c r="EM335" i="1" s="1"/>
  <c r="BX335" i="1"/>
  <c r="BV336" i="1"/>
  <c r="BW336" i="1"/>
  <c r="EM336" i="1" s="1"/>
  <c r="BX336" i="1"/>
  <c r="BV337" i="1"/>
  <c r="BW337" i="1"/>
  <c r="EM337" i="1" s="1"/>
  <c r="BX337" i="1"/>
  <c r="BV338" i="1"/>
  <c r="BW338" i="1"/>
  <c r="EM338" i="1" s="1"/>
  <c r="BX338" i="1"/>
  <c r="BV339" i="1"/>
  <c r="BW339" i="1"/>
  <c r="BX339" i="1"/>
  <c r="BV340" i="1"/>
  <c r="BW340" i="1"/>
  <c r="BX340" i="1"/>
  <c r="BV341" i="1"/>
  <c r="BW341" i="1"/>
  <c r="BX341" i="1"/>
  <c r="BV342" i="1"/>
  <c r="BW342" i="1"/>
  <c r="EM342" i="1" s="1"/>
  <c r="BX342" i="1"/>
  <c r="BV343" i="1"/>
  <c r="BW343" i="1"/>
  <c r="EM343" i="1" s="1"/>
  <c r="BX343" i="1"/>
  <c r="BV344" i="1"/>
  <c r="BW344" i="1"/>
  <c r="EM344" i="1" s="1"/>
  <c r="BX344" i="1"/>
  <c r="BV345" i="1"/>
  <c r="BW345" i="1"/>
  <c r="EM345" i="1" s="1"/>
  <c r="BX345" i="1"/>
  <c r="BV346" i="1"/>
  <c r="BW346" i="1"/>
  <c r="EM346" i="1" s="1"/>
  <c r="BX346" i="1"/>
  <c r="BV347" i="1"/>
  <c r="BW347" i="1"/>
  <c r="BX347" i="1"/>
  <c r="BV348" i="1"/>
  <c r="BW348" i="1"/>
  <c r="BX348" i="1"/>
  <c r="BV349" i="1"/>
  <c r="BW349" i="1"/>
  <c r="BX349" i="1"/>
  <c r="BV350" i="1"/>
  <c r="BW350" i="1"/>
  <c r="EM350" i="1" s="1"/>
  <c r="BX350" i="1"/>
  <c r="BV351" i="1"/>
  <c r="BW351" i="1"/>
  <c r="EM351" i="1" s="1"/>
  <c r="BX351" i="1"/>
  <c r="BV352" i="1"/>
  <c r="BW352" i="1"/>
  <c r="EM352" i="1" s="1"/>
  <c r="BX352" i="1"/>
  <c r="BV353" i="1"/>
  <c r="BW353" i="1"/>
  <c r="EM353" i="1" s="1"/>
  <c r="BX353" i="1"/>
  <c r="BV354" i="1"/>
  <c r="BW354" i="1"/>
  <c r="EM354" i="1" s="1"/>
  <c r="BX354" i="1"/>
  <c r="BV355" i="1"/>
  <c r="BW355" i="1"/>
  <c r="BX355" i="1"/>
  <c r="BV356" i="1"/>
  <c r="BW356" i="1"/>
  <c r="BX356" i="1"/>
  <c r="BV357" i="1"/>
  <c r="BW357" i="1"/>
  <c r="BX357" i="1"/>
  <c r="BV358" i="1"/>
  <c r="BW358" i="1"/>
  <c r="EM358" i="1" s="1"/>
  <c r="BX358" i="1"/>
  <c r="BV359" i="1"/>
  <c r="BW359" i="1"/>
  <c r="EM359" i="1" s="1"/>
  <c r="BX359" i="1"/>
  <c r="BV360" i="1"/>
  <c r="BW360" i="1"/>
  <c r="EM360" i="1" s="1"/>
  <c r="BX360" i="1"/>
  <c r="BV361" i="1"/>
  <c r="BW361" i="1"/>
  <c r="EM361" i="1" s="1"/>
  <c r="BX361" i="1"/>
  <c r="BV362" i="1"/>
  <c r="BW362" i="1"/>
  <c r="EM362" i="1" s="1"/>
  <c r="BX362" i="1"/>
  <c r="BV363" i="1"/>
  <c r="BW363" i="1"/>
  <c r="BX363" i="1"/>
  <c r="BV364" i="1"/>
  <c r="BW364" i="1"/>
  <c r="BX364" i="1"/>
  <c r="BV365" i="1"/>
  <c r="BW365" i="1"/>
  <c r="BX365" i="1"/>
  <c r="BV366" i="1"/>
  <c r="BW366" i="1"/>
  <c r="EM366" i="1" s="1"/>
  <c r="BX366" i="1"/>
  <c r="BV367" i="1"/>
  <c r="BW367" i="1"/>
  <c r="EM367" i="1" s="1"/>
  <c r="BX367" i="1"/>
  <c r="BV368" i="1"/>
  <c r="BW368" i="1"/>
  <c r="EM368" i="1" s="1"/>
  <c r="BX368" i="1"/>
  <c r="BV369" i="1"/>
  <c r="BW369" i="1"/>
  <c r="EM369" i="1" s="1"/>
  <c r="BX369" i="1"/>
  <c r="BV370" i="1"/>
  <c r="BW370" i="1"/>
  <c r="EM370" i="1" s="1"/>
  <c r="BX370" i="1"/>
  <c r="BV371" i="1"/>
  <c r="BW371" i="1"/>
  <c r="BX371" i="1"/>
  <c r="BV372" i="1"/>
  <c r="BW372" i="1"/>
  <c r="BX372" i="1"/>
  <c r="BV373" i="1"/>
  <c r="BW373" i="1"/>
  <c r="BX373" i="1"/>
  <c r="BV374" i="1"/>
  <c r="BW374" i="1"/>
  <c r="EM374" i="1" s="1"/>
  <c r="BX374" i="1"/>
  <c r="BV375" i="1"/>
  <c r="BW375" i="1"/>
  <c r="EM375" i="1" s="1"/>
  <c r="BX375" i="1"/>
  <c r="BV376" i="1"/>
  <c r="BW376" i="1"/>
  <c r="EM376" i="1" s="1"/>
  <c r="BX376" i="1"/>
  <c r="BV377" i="1"/>
  <c r="BW377" i="1"/>
  <c r="EM377" i="1" s="1"/>
  <c r="BX377" i="1"/>
  <c r="BV378" i="1"/>
  <c r="BW378" i="1"/>
  <c r="EM378" i="1" s="1"/>
  <c r="BX378" i="1"/>
  <c r="BV379" i="1"/>
  <c r="BW379" i="1"/>
  <c r="BX379" i="1"/>
  <c r="BW140" i="1"/>
  <c r="BX140" i="1"/>
  <c r="BV140" i="1"/>
  <c r="W141" i="1"/>
  <c r="AJ141" i="1" s="1"/>
  <c r="W142" i="1"/>
  <c r="AJ142" i="1" s="1"/>
  <c r="W143" i="1"/>
  <c r="AJ143" i="1" s="1"/>
  <c r="W144" i="1"/>
  <c r="AJ144" i="1" s="1"/>
  <c r="W145" i="1"/>
  <c r="AJ145" i="1" s="1"/>
  <c r="W146" i="1"/>
  <c r="AJ146" i="1" s="1"/>
  <c r="W147" i="1"/>
  <c r="AJ147" i="1" s="1"/>
  <c r="W148" i="1"/>
  <c r="AJ148" i="1" s="1"/>
  <c r="W149" i="1"/>
  <c r="AJ149" i="1" s="1"/>
  <c r="W150" i="1"/>
  <c r="AJ150" i="1" s="1"/>
  <c r="W151" i="1"/>
  <c r="AJ151" i="1" s="1"/>
  <c r="W152" i="1"/>
  <c r="AJ152" i="1" s="1"/>
  <c r="W153" i="1"/>
  <c r="AJ153" i="1" s="1"/>
  <c r="W154" i="1"/>
  <c r="AJ154" i="1" s="1"/>
  <c r="W155" i="1"/>
  <c r="AJ155" i="1" s="1"/>
  <c r="W156" i="1"/>
  <c r="AJ156" i="1" s="1"/>
  <c r="W157" i="1"/>
  <c r="AJ157" i="1" s="1"/>
  <c r="W158" i="1"/>
  <c r="AJ158" i="1" s="1"/>
  <c r="W159" i="1"/>
  <c r="AJ159" i="1" s="1"/>
  <c r="W160" i="1"/>
  <c r="AJ160" i="1" s="1"/>
  <c r="W161" i="1"/>
  <c r="AJ161" i="1" s="1"/>
  <c r="W162" i="1"/>
  <c r="AJ162" i="1" s="1"/>
  <c r="W163" i="1"/>
  <c r="AJ163" i="1" s="1"/>
  <c r="W164" i="1"/>
  <c r="AJ164" i="1" s="1"/>
  <c r="W165" i="1"/>
  <c r="AJ165" i="1" s="1"/>
  <c r="W166" i="1"/>
  <c r="AJ166" i="1" s="1"/>
  <c r="W167" i="1"/>
  <c r="AJ167" i="1" s="1"/>
  <c r="W168" i="1"/>
  <c r="AJ168" i="1" s="1"/>
  <c r="W169" i="1"/>
  <c r="AJ169" i="1" s="1"/>
  <c r="W170" i="1"/>
  <c r="AJ170" i="1" s="1"/>
  <c r="W171" i="1"/>
  <c r="AJ171" i="1" s="1"/>
  <c r="W172" i="1"/>
  <c r="AJ172" i="1" s="1"/>
  <c r="W173" i="1"/>
  <c r="AJ173" i="1" s="1"/>
  <c r="W174" i="1"/>
  <c r="AJ174" i="1" s="1"/>
  <c r="W175" i="1"/>
  <c r="AJ175" i="1" s="1"/>
  <c r="W176" i="1"/>
  <c r="AJ176" i="1" s="1"/>
  <c r="W177" i="1"/>
  <c r="AJ177" i="1" s="1"/>
  <c r="W178" i="1"/>
  <c r="AJ178" i="1" s="1"/>
  <c r="W179" i="1"/>
  <c r="AJ179" i="1" s="1"/>
  <c r="W180" i="1"/>
  <c r="AJ180" i="1" s="1"/>
  <c r="W181" i="1"/>
  <c r="AJ181" i="1" s="1"/>
  <c r="W182" i="1"/>
  <c r="AJ182" i="1" s="1"/>
  <c r="W183" i="1"/>
  <c r="AJ183" i="1" s="1"/>
  <c r="W184" i="1"/>
  <c r="AJ184" i="1" s="1"/>
  <c r="W185" i="1"/>
  <c r="AJ185" i="1" s="1"/>
  <c r="W186" i="1"/>
  <c r="AJ186" i="1" s="1"/>
  <c r="W187" i="1"/>
  <c r="AJ187" i="1" s="1"/>
  <c r="W188" i="1"/>
  <c r="AJ188" i="1" s="1"/>
  <c r="W189" i="1"/>
  <c r="AJ189" i="1" s="1"/>
  <c r="W190" i="1"/>
  <c r="AJ190" i="1" s="1"/>
  <c r="W191" i="1"/>
  <c r="AJ191" i="1" s="1"/>
  <c r="W192" i="1"/>
  <c r="AJ192" i="1" s="1"/>
  <c r="W193" i="1"/>
  <c r="AJ193" i="1" s="1"/>
  <c r="W194" i="1"/>
  <c r="AJ194" i="1" s="1"/>
  <c r="W195" i="1"/>
  <c r="AJ195" i="1" s="1"/>
  <c r="W196" i="1"/>
  <c r="AJ196" i="1" s="1"/>
  <c r="W197" i="1"/>
  <c r="AJ197" i="1" s="1"/>
  <c r="W198" i="1"/>
  <c r="AJ198" i="1" s="1"/>
  <c r="W199" i="1"/>
  <c r="AJ199" i="1" s="1"/>
  <c r="W200" i="1"/>
  <c r="AJ200" i="1" s="1"/>
  <c r="W201" i="1"/>
  <c r="AJ201" i="1" s="1"/>
  <c r="W202" i="1"/>
  <c r="AJ202" i="1" s="1"/>
  <c r="W203" i="1"/>
  <c r="AJ203" i="1" s="1"/>
  <c r="W204" i="1"/>
  <c r="AJ204" i="1" s="1"/>
  <c r="W205" i="1"/>
  <c r="AJ205" i="1" s="1"/>
  <c r="W206" i="1"/>
  <c r="AJ206" i="1" s="1"/>
  <c r="W207" i="1"/>
  <c r="AJ207" i="1" s="1"/>
  <c r="W208" i="1"/>
  <c r="AJ208" i="1" s="1"/>
  <c r="W209" i="1"/>
  <c r="AJ209" i="1" s="1"/>
  <c r="W210" i="1"/>
  <c r="AJ210" i="1" s="1"/>
  <c r="W211" i="1"/>
  <c r="AJ211" i="1" s="1"/>
  <c r="W212" i="1"/>
  <c r="AJ212" i="1" s="1"/>
  <c r="W213" i="1"/>
  <c r="AJ213" i="1" s="1"/>
  <c r="W214" i="1"/>
  <c r="AJ214" i="1" s="1"/>
  <c r="W215" i="1"/>
  <c r="AJ215" i="1" s="1"/>
  <c r="W216" i="1"/>
  <c r="AJ216" i="1" s="1"/>
  <c r="W217" i="1"/>
  <c r="AJ217" i="1" s="1"/>
  <c r="W218" i="1"/>
  <c r="AJ218" i="1" s="1"/>
  <c r="W219" i="1"/>
  <c r="AJ219" i="1" s="1"/>
  <c r="W220" i="1"/>
  <c r="AJ220" i="1" s="1"/>
  <c r="W221" i="1"/>
  <c r="AJ221" i="1" s="1"/>
  <c r="W222" i="1"/>
  <c r="AJ222" i="1" s="1"/>
  <c r="W223" i="1"/>
  <c r="AJ223" i="1" s="1"/>
  <c r="W224" i="1"/>
  <c r="AJ224" i="1" s="1"/>
  <c r="W225" i="1"/>
  <c r="AJ225" i="1" s="1"/>
  <c r="W226" i="1"/>
  <c r="AJ226" i="1" s="1"/>
  <c r="W227" i="1"/>
  <c r="AJ227" i="1" s="1"/>
  <c r="W228" i="1"/>
  <c r="AJ228" i="1" s="1"/>
  <c r="W229" i="1"/>
  <c r="AJ229" i="1" s="1"/>
  <c r="W230" i="1"/>
  <c r="AJ230" i="1" s="1"/>
  <c r="W231" i="1"/>
  <c r="AJ231" i="1" s="1"/>
  <c r="W232" i="1"/>
  <c r="AJ232" i="1" s="1"/>
  <c r="W233" i="1"/>
  <c r="AJ233" i="1" s="1"/>
  <c r="W234" i="1"/>
  <c r="AJ234" i="1" s="1"/>
  <c r="W235" i="1"/>
  <c r="AJ235" i="1" s="1"/>
  <c r="W236" i="1"/>
  <c r="AJ236" i="1" s="1"/>
  <c r="W237" i="1"/>
  <c r="AJ237" i="1" s="1"/>
  <c r="W238" i="1"/>
  <c r="AJ238" i="1" s="1"/>
  <c r="W239" i="1"/>
  <c r="AJ239" i="1" s="1"/>
  <c r="W240" i="1"/>
  <c r="AJ240" i="1" s="1"/>
  <c r="W241" i="1"/>
  <c r="AJ241" i="1" s="1"/>
  <c r="W242" i="1"/>
  <c r="AJ242" i="1" s="1"/>
  <c r="W243" i="1"/>
  <c r="AJ243" i="1" s="1"/>
  <c r="W244" i="1"/>
  <c r="AJ244" i="1" s="1"/>
  <c r="W245" i="1"/>
  <c r="AJ245" i="1" s="1"/>
  <c r="W246" i="1"/>
  <c r="AJ246" i="1" s="1"/>
  <c r="W247" i="1"/>
  <c r="AJ247" i="1" s="1"/>
  <c r="W248" i="1"/>
  <c r="AJ248" i="1" s="1"/>
  <c r="W249" i="1"/>
  <c r="AJ249" i="1" s="1"/>
  <c r="W250" i="1"/>
  <c r="AJ250" i="1" s="1"/>
  <c r="W251" i="1"/>
  <c r="AJ251" i="1" s="1"/>
  <c r="W252" i="1"/>
  <c r="AJ252" i="1" s="1"/>
  <c r="W253" i="1"/>
  <c r="AJ253" i="1" s="1"/>
  <c r="W254" i="1"/>
  <c r="AJ254" i="1" s="1"/>
  <c r="W255" i="1"/>
  <c r="AJ255" i="1" s="1"/>
  <c r="W256" i="1"/>
  <c r="AJ256" i="1" s="1"/>
  <c r="W257" i="1"/>
  <c r="AJ257" i="1" s="1"/>
  <c r="W258" i="1"/>
  <c r="AJ258" i="1" s="1"/>
  <c r="W259" i="1"/>
  <c r="AJ259" i="1" s="1"/>
  <c r="W260" i="1"/>
  <c r="AJ260" i="1" s="1"/>
  <c r="W261" i="1"/>
  <c r="AJ261" i="1" s="1"/>
  <c r="W262" i="1"/>
  <c r="AJ262" i="1" s="1"/>
  <c r="W263" i="1"/>
  <c r="AJ263" i="1" s="1"/>
  <c r="W264" i="1"/>
  <c r="AJ264" i="1" s="1"/>
  <c r="W265" i="1"/>
  <c r="AJ265" i="1" s="1"/>
  <c r="W266" i="1"/>
  <c r="AJ266" i="1" s="1"/>
  <c r="W267" i="1"/>
  <c r="AJ267" i="1" s="1"/>
  <c r="W268" i="1"/>
  <c r="AJ268" i="1" s="1"/>
  <c r="W269" i="1"/>
  <c r="AJ269" i="1" s="1"/>
  <c r="W270" i="1"/>
  <c r="AJ270" i="1" s="1"/>
  <c r="W271" i="1"/>
  <c r="AJ271" i="1" s="1"/>
  <c r="W272" i="1"/>
  <c r="AJ272" i="1" s="1"/>
  <c r="W273" i="1"/>
  <c r="AJ273" i="1" s="1"/>
  <c r="W274" i="1"/>
  <c r="AJ274" i="1" s="1"/>
  <c r="W275" i="1"/>
  <c r="AJ275" i="1" s="1"/>
  <c r="W276" i="1"/>
  <c r="AJ276" i="1" s="1"/>
  <c r="W277" i="1"/>
  <c r="AJ277" i="1" s="1"/>
  <c r="W278" i="1"/>
  <c r="AJ278" i="1" s="1"/>
  <c r="W279" i="1"/>
  <c r="AJ279" i="1" s="1"/>
  <c r="W280" i="1"/>
  <c r="AJ280" i="1" s="1"/>
  <c r="W281" i="1"/>
  <c r="AJ281" i="1" s="1"/>
  <c r="W282" i="1"/>
  <c r="AJ282" i="1" s="1"/>
  <c r="W283" i="1"/>
  <c r="AJ283" i="1" s="1"/>
  <c r="W284" i="1"/>
  <c r="AJ284" i="1" s="1"/>
  <c r="W285" i="1"/>
  <c r="AJ285" i="1" s="1"/>
  <c r="W286" i="1"/>
  <c r="AJ286" i="1" s="1"/>
  <c r="W287" i="1"/>
  <c r="AJ287" i="1" s="1"/>
  <c r="W288" i="1"/>
  <c r="AJ288" i="1" s="1"/>
  <c r="W289" i="1"/>
  <c r="AJ289" i="1" s="1"/>
  <c r="W290" i="1"/>
  <c r="AJ290" i="1" s="1"/>
  <c r="W291" i="1"/>
  <c r="AJ291" i="1" s="1"/>
  <c r="W292" i="1"/>
  <c r="AJ292" i="1" s="1"/>
  <c r="W293" i="1"/>
  <c r="AJ293" i="1" s="1"/>
  <c r="W294" i="1"/>
  <c r="AJ294" i="1" s="1"/>
  <c r="W295" i="1"/>
  <c r="AJ295" i="1" s="1"/>
  <c r="W296" i="1"/>
  <c r="AJ296" i="1" s="1"/>
  <c r="W297" i="1"/>
  <c r="AJ297" i="1" s="1"/>
  <c r="W298" i="1"/>
  <c r="AJ298" i="1" s="1"/>
  <c r="W299" i="1"/>
  <c r="AJ299" i="1" s="1"/>
  <c r="W300" i="1"/>
  <c r="AJ300" i="1" s="1"/>
  <c r="W301" i="1"/>
  <c r="AJ301" i="1" s="1"/>
  <c r="W302" i="1"/>
  <c r="AJ302" i="1" s="1"/>
  <c r="W303" i="1"/>
  <c r="AJ303" i="1" s="1"/>
  <c r="W304" i="1"/>
  <c r="AJ304" i="1" s="1"/>
  <c r="W305" i="1"/>
  <c r="AJ305" i="1" s="1"/>
  <c r="W306" i="1"/>
  <c r="AJ306" i="1" s="1"/>
  <c r="W307" i="1"/>
  <c r="AJ307" i="1" s="1"/>
  <c r="W308" i="1"/>
  <c r="AJ308" i="1" s="1"/>
  <c r="W309" i="1"/>
  <c r="AJ309" i="1" s="1"/>
  <c r="W310" i="1"/>
  <c r="AJ310" i="1" s="1"/>
  <c r="W311" i="1"/>
  <c r="AJ311" i="1" s="1"/>
  <c r="W312" i="1"/>
  <c r="AJ312" i="1" s="1"/>
  <c r="W313" i="1"/>
  <c r="AJ313" i="1" s="1"/>
  <c r="W314" i="1"/>
  <c r="AJ314" i="1" s="1"/>
  <c r="W315" i="1"/>
  <c r="AJ315" i="1" s="1"/>
  <c r="W316" i="1"/>
  <c r="AJ316" i="1" s="1"/>
  <c r="W317" i="1"/>
  <c r="AJ317" i="1" s="1"/>
  <c r="W318" i="1"/>
  <c r="AJ318" i="1" s="1"/>
  <c r="W319" i="1"/>
  <c r="AJ319" i="1" s="1"/>
  <c r="W320" i="1"/>
  <c r="AJ320" i="1" s="1"/>
  <c r="W321" i="1"/>
  <c r="AJ321" i="1" s="1"/>
  <c r="W322" i="1"/>
  <c r="AJ322" i="1" s="1"/>
  <c r="W323" i="1"/>
  <c r="AJ323" i="1" s="1"/>
  <c r="W324" i="1"/>
  <c r="AJ324" i="1" s="1"/>
  <c r="W325" i="1"/>
  <c r="AJ325" i="1" s="1"/>
  <c r="W326" i="1"/>
  <c r="AJ326" i="1" s="1"/>
  <c r="W327" i="1"/>
  <c r="AJ327" i="1" s="1"/>
  <c r="W328" i="1"/>
  <c r="AJ328" i="1" s="1"/>
  <c r="W329" i="1"/>
  <c r="AJ329" i="1" s="1"/>
  <c r="W330" i="1"/>
  <c r="AJ330" i="1" s="1"/>
  <c r="W331" i="1"/>
  <c r="AJ331" i="1" s="1"/>
  <c r="W332" i="1"/>
  <c r="AJ332" i="1" s="1"/>
  <c r="W333" i="1"/>
  <c r="AJ333" i="1" s="1"/>
  <c r="W334" i="1"/>
  <c r="AJ334" i="1" s="1"/>
  <c r="W335" i="1"/>
  <c r="AJ335" i="1" s="1"/>
  <c r="W336" i="1"/>
  <c r="AJ336" i="1" s="1"/>
  <c r="W337" i="1"/>
  <c r="AJ337" i="1" s="1"/>
  <c r="W338" i="1"/>
  <c r="AJ338" i="1" s="1"/>
  <c r="W339" i="1"/>
  <c r="AJ339" i="1" s="1"/>
  <c r="W340" i="1"/>
  <c r="AJ340" i="1" s="1"/>
  <c r="W341" i="1"/>
  <c r="AJ341" i="1" s="1"/>
  <c r="W342" i="1"/>
  <c r="AJ342" i="1" s="1"/>
  <c r="W343" i="1"/>
  <c r="AJ343" i="1" s="1"/>
  <c r="W344" i="1"/>
  <c r="AJ344" i="1" s="1"/>
  <c r="W345" i="1"/>
  <c r="AJ345" i="1" s="1"/>
  <c r="W346" i="1"/>
  <c r="AJ346" i="1" s="1"/>
  <c r="W347" i="1"/>
  <c r="AJ347" i="1" s="1"/>
  <c r="W348" i="1"/>
  <c r="AJ348" i="1" s="1"/>
  <c r="W349" i="1"/>
  <c r="AJ349" i="1" s="1"/>
  <c r="W350" i="1"/>
  <c r="AJ350" i="1" s="1"/>
  <c r="W351" i="1"/>
  <c r="AJ351" i="1" s="1"/>
  <c r="W352" i="1"/>
  <c r="AJ352" i="1" s="1"/>
  <c r="W353" i="1"/>
  <c r="AJ353" i="1" s="1"/>
  <c r="W354" i="1"/>
  <c r="AJ354" i="1" s="1"/>
  <c r="W355" i="1"/>
  <c r="AJ355" i="1" s="1"/>
  <c r="W356" i="1"/>
  <c r="AJ356" i="1" s="1"/>
  <c r="W357" i="1"/>
  <c r="AJ357" i="1" s="1"/>
  <c r="W358" i="1"/>
  <c r="AJ358" i="1" s="1"/>
  <c r="W359" i="1"/>
  <c r="AJ359" i="1" s="1"/>
  <c r="W360" i="1"/>
  <c r="AJ360" i="1" s="1"/>
  <c r="W361" i="1"/>
  <c r="AJ361" i="1" s="1"/>
  <c r="W362" i="1"/>
  <c r="AJ362" i="1" s="1"/>
  <c r="W363" i="1"/>
  <c r="AJ363" i="1" s="1"/>
  <c r="W364" i="1"/>
  <c r="AJ364" i="1" s="1"/>
  <c r="W365" i="1"/>
  <c r="AJ365" i="1" s="1"/>
  <c r="W366" i="1"/>
  <c r="AJ366" i="1" s="1"/>
  <c r="W367" i="1"/>
  <c r="AJ367" i="1" s="1"/>
  <c r="W368" i="1"/>
  <c r="AJ368" i="1" s="1"/>
  <c r="W369" i="1"/>
  <c r="AJ369" i="1" s="1"/>
  <c r="W370" i="1"/>
  <c r="AJ370" i="1" s="1"/>
  <c r="W371" i="1"/>
  <c r="AJ371" i="1" s="1"/>
  <c r="W372" i="1"/>
  <c r="AJ372" i="1" s="1"/>
  <c r="W373" i="1"/>
  <c r="AJ373" i="1" s="1"/>
  <c r="W374" i="1"/>
  <c r="AJ374" i="1" s="1"/>
  <c r="W375" i="1"/>
  <c r="AJ375" i="1" s="1"/>
  <c r="W376" i="1"/>
  <c r="AJ376" i="1" s="1"/>
  <c r="W377" i="1"/>
  <c r="AJ377" i="1" s="1"/>
  <c r="W378" i="1"/>
  <c r="AJ378" i="1" s="1"/>
  <c r="W379" i="1"/>
  <c r="AJ379" i="1" s="1"/>
  <c r="W140" i="1"/>
  <c r="AJ140" i="1" s="1"/>
  <c r="Q142" i="1"/>
  <c r="AC142" i="1" s="1"/>
  <c r="Q143" i="1"/>
  <c r="AC143" i="1" s="1"/>
  <c r="Q144" i="1"/>
  <c r="AC144" i="1" s="1"/>
  <c r="Q145" i="1"/>
  <c r="AC145" i="1" s="1"/>
  <c r="Q146" i="1"/>
  <c r="AC146" i="1" s="1"/>
  <c r="Q147" i="1"/>
  <c r="AC147" i="1" s="1"/>
  <c r="Q148" i="1"/>
  <c r="AC148" i="1" s="1"/>
  <c r="Q149" i="1"/>
  <c r="AC149" i="1" s="1"/>
  <c r="Q150" i="1"/>
  <c r="AC150" i="1" s="1"/>
  <c r="Q151" i="1"/>
  <c r="AC151" i="1" s="1"/>
  <c r="Q152" i="1"/>
  <c r="AC152" i="1" s="1"/>
  <c r="Q153" i="1"/>
  <c r="AC153" i="1" s="1"/>
  <c r="Q154" i="1"/>
  <c r="AC154" i="1" s="1"/>
  <c r="Q155" i="1"/>
  <c r="AC155" i="1" s="1"/>
  <c r="Q156" i="1"/>
  <c r="AC156" i="1" s="1"/>
  <c r="Q157" i="1"/>
  <c r="AC157" i="1" s="1"/>
  <c r="Q158" i="1"/>
  <c r="AC158" i="1" s="1"/>
  <c r="Q159" i="1"/>
  <c r="AC159" i="1" s="1"/>
  <c r="Q160" i="1"/>
  <c r="AC160" i="1" s="1"/>
  <c r="Q161" i="1"/>
  <c r="AC161" i="1" s="1"/>
  <c r="Q162" i="1"/>
  <c r="AC162" i="1" s="1"/>
  <c r="Q163" i="1"/>
  <c r="AC163" i="1" s="1"/>
  <c r="Q164" i="1"/>
  <c r="AC164" i="1" s="1"/>
  <c r="Q165" i="1"/>
  <c r="AC165" i="1" s="1"/>
  <c r="Q166" i="1"/>
  <c r="AC166" i="1" s="1"/>
  <c r="Q167" i="1"/>
  <c r="AC167" i="1" s="1"/>
  <c r="Q168" i="1"/>
  <c r="AC168" i="1" s="1"/>
  <c r="Q169" i="1"/>
  <c r="AC169" i="1" s="1"/>
  <c r="Q170" i="1"/>
  <c r="AC170" i="1" s="1"/>
  <c r="Q171" i="1"/>
  <c r="AC171" i="1" s="1"/>
  <c r="Q172" i="1"/>
  <c r="AC172" i="1" s="1"/>
  <c r="Q173" i="1"/>
  <c r="AC173" i="1" s="1"/>
  <c r="Q174" i="1"/>
  <c r="AC174" i="1" s="1"/>
  <c r="Q175" i="1"/>
  <c r="AC175" i="1" s="1"/>
  <c r="Q176" i="1"/>
  <c r="AC176" i="1" s="1"/>
  <c r="Q177" i="1"/>
  <c r="AC177" i="1" s="1"/>
  <c r="Q178" i="1"/>
  <c r="AC178" i="1" s="1"/>
  <c r="Q179" i="1"/>
  <c r="AC179" i="1" s="1"/>
  <c r="Q180" i="1"/>
  <c r="AC180" i="1" s="1"/>
  <c r="Q181" i="1"/>
  <c r="AC181" i="1" s="1"/>
  <c r="Q182" i="1"/>
  <c r="AC182" i="1" s="1"/>
  <c r="Q183" i="1"/>
  <c r="AC183" i="1" s="1"/>
  <c r="Q184" i="1"/>
  <c r="AC184" i="1" s="1"/>
  <c r="Q185" i="1"/>
  <c r="AC185" i="1" s="1"/>
  <c r="Q186" i="1"/>
  <c r="AC186" i="1" s="1"/>
  <c r="Q187" i="1"/>
  <c r="AC187" i="1" s="1"/>
  <c r="Q188" i="1"/>
  <c r="AC188" i="1" s="1"/>
  <c r="Q189" i="1"/>
  <c r="AC189" i="1" s="1"/>
  <c r="Q190" i="1"/>
  <c r="AC190" i="1" s="1"/>
  <c r="Q191" i="1"/>
  <c r="AC191" i="1" s="1"/>
  <c r="Q192" i="1"/>
  <c r="AC192" i="1" s="1"/>
  <c r="Q193" i="1"/>
  <c r="AC193" i="1" s="1"/>
  <c r="Q194" i="1"/>
  <c r="AC194" i="1" s="1"/>
  <c r="Q195" i="1"/>
  <c r="AC195" i="1" s="1"/>
  <c r="Q196" i="1"/>
  <c r="AC196" i="1" s="1"/>
  <c r="Q197" i="1"/>
  <c r="AC197" i="1" s="1"/>
  <c r="Q198" i="1"/>
  <c r="AC198" i="1" s="1"/>
  <c r="Q199" i="1"/>
  <c r="AC199" i="1" s="1"/>
  <c r="Q200" i="1"/>
  <c r="AC200" i="1" s="1"/>
  <c r="Q201" i="1"/>
  <c r="AC201" i="1" s="1"/>
  <c r="Q202" i="1"/>
  <c r="AC202" i="1" s="1"/>
  <c r="Q203" i="1"/>
  <c r="AC203" i="1" s="1"/>
  <c r="Q204" i="1"/>
  <c r="AC204" i="1" s="1"/>
  <c r="Q205" i="1"/>
  <c r="AC205" i="1" s="1"/>
  <c r="Q206" i="1"/>
  <c r="AC206" i="1" s="1"/>
  <c r="Q207" i="1"/>
  <c r="AC207" i="1" s="1"/>
  <c r="Q208" i="1"/>
  <c r="AC208" i="1" s="1"/>
  <c r="Q209" i="1"/>
  <c r="AC209" i="1" s="1"/>
  <c r="Q210" i="1"/>
  <c r="AC210" i="1" s="1"/>
  <c r="Q211" i="1"/>
  <c r="AC211" i="1" s="1"/>
  <c r="Q212" i="1"/>
  <c r="AC212" i="1" s="1"/>
  <c r="Q213" i="1"/>
  <c r="AC213" i="1" s="1"/>
  <c r="Q214" i="1"/>
  <c r="AC214" i="1" s="1"/>
  <c r="Q215" i="1"/>
  <c r="AC215" i="1" s="1"/>
  <c r="Q216" i="1"/>
  <c r="AC216" i="1" s="1"/>
  <c r="Q217" i="1"/>
  <c r="AC217" i="1" s="1"/>
  <c r="Q218" i="1"/>
  <c r="AC218" i="1" s="1"/>
  <c r="Q219" i="1"/>
  <c r="AC219" i="1" s="1"/>
  <c r="Q220" i="1"/>
  <c r="AC220" i="1" s="1"/>
  <c r="Q221" i="1"/>
  <c r="AC221" i="1" s="1"/>
  <c r="Q222" i="1"/>
  <c r="AC222" i="1" s="1"/>
  <c r="Q223" i="1"/>
  <c r="AC223" i="1" s="1"/>
  <c r="Q224" i="1"/>
  <c r="AC224" i="1" s="1"/>
  <c r="Q225" i="1"/>
  <c r="AC225" i="1" s="1"/>
  <c r="Q226" i="1"/>
  <c r="AC226" i="1" s="1"/>
  <c r="Q227" i="1"/>
  <c r="AC227" i="1" s="1"/>
  <c r="Q228" i="1"/>
  <c r="AC228" i="1" s="1"/>
  <c r="Q229" i="1"/>
  <c r="AC229" i="1" s="1"/>
  <c r="Q230" i="1"/>
  <c r="AC230" i="1" s="1"/>
  <c r="Q231" i="1"/>
  <c r="AC231" i="1" s="1"/>
  <c r="Q232" i="1"/>
  <c r="AC232" i="1" s="1"/>
  <c r="Q233" i="1"/>
  <c r="AC233" i="1" s="1"/>
  <c r="Q234" i="1"/>
  <c r="AC234" i="1" s="1"/>
  <c r="Q235" i="1"/>
  <c r="AC235" i="1" s="1"/>
  <c r="Q236" i="1"/>
  <c r="AC236" i="1" s="1"/>
  <c r="Q237" i="1"/>
  <c r="AC237" i="1" s="1"/>
  <c r="Q238" i="1"/>
  <c r="AC238" i="1" s="1"/>
  <c r="Q239" i="1"/>
  <c r="AC239" i="1" s="1"/>
  <c r="Q240" i="1"/>
  <c r="AC240" i="1" s="1"/>
  <c r="Q241" i="1"/>
  <c r="AC241" i="1" s="1"/>
  <c r="Q242" i="1"/>
  <c r="AC242" i="1" s="1"/>
  <c r="Q243" i="1"/>
  <c r="AC243" i="1" s="1"/>
  <c r="Q244" i="1"/>
  <c r="AC244" i="1" s="1"/>
  <c r="Q245" i="1"/>
  <c r="AC245" i="1" s="1"/>
  <c r="Q246" i="1"/>
  <c r="AC246" i="1" s="1"/>
  <c r="Q247" i="1"/>
  <c r="AC247" i="1" s="1"/>
  <c r="Q248" i="1"/>
  <c r="AC248" i="1" s="1"/>
  <c r="Q249" i="1"/>
  <c r="AC249" i="1" s="1"/>
  <c r="Q250" i="1"/>
  <c r="AC250" i="1" s="1"/>
  <c r="Q251" i="1"/>
  <c r="AC251" i="1" s="1"/>
  <c r="Q252" i="1"/>
  <c r="AC252" i="1" s="1"/>
  <c r="Q253" i="1"/>
  <c r="AC253" i="1" s="1"/>
  <c r="Q254" i="1"/>
  <c r="AC254" i="1" s="1"/>
  <c r="Q255" i="1"/>
  <c r="AC255" i="1" s="1"/>
  <c r="Q256" i="1"/>
  <c r="AC256" i="1" s="1"/>
  <c r="Q257" i="1"/>
  <c r="AC257" i="1" s="1"/>
  <c r="Q258" i="1"/>
  <c r="AC258" i="1" s="1"/>
  <c r="Q259" i="1"/>
  <c r="AC259" i="1" s="1"/>
  <c r="Q260" i="1"/>
  <c r="AC260" i="1" s="1"/>
  <c r="Q261" i="1"/>
  <c r="AC261" i="1" s="1"/>
  <c r="Q262" i="1"/>
  <c r="AC262" i="1" s="1"/>
  <c r="Q263" i="1"/>
  <c r="AC263" i="1" s="1"/>
  <c r="Q264" i="1"/>
  <c r="AC264" i="1" s="1"/>
  <c r="Q265" i="1"/>
  <c r="AC265" i="1" s="1"/>
  <c r="Q266" i="1"/>
  <c r="AC266" i="1" s="1"/>
  <c r="Q267" i="1"/>
  <c r="AC267" i="1" s="1"/>
  <c r="Q268" i="1"/>
  <c r="AC268" i="1" s="1"/>
  <c r="Q269" i="1"/>
  <c r="AC269" i="1" s="1"/>
  <c r="Q270" i="1"/>
  <c r="AC270" i="1" s="1"/>
  <c r="Q271" i="1"/>
  <c r="AC271" i="1" s="1"/>
  <c r="Q272" i="1"/>
  <c r="AC272" i="1" s="1"/>
  <c r="Q273" i="1"/>
  <c r="AC273" i="1" s="1"/>
  <c r="Q274" i="1"/>
  <c r="AC274" i="1" s="1"/>
  <c r="Q275" i="1"/>
  <c r="AC275" i="1" s="1"/>
  <c r="Q276" i="1"/>
  <c r="AC276" i="1" s="1"/>
  <c r="Q277" i="1"/>
  <c r="AC277" i="1" s="1"/>
  <c r="Q278" i="1"/>
  <c r="AC278" i="1" s="1"/>
  <c r="Q279" i="1"/>
  <c r="AC279" i="1" s="1"/>
  <c r="Q280" i="1"/>
  <c r="AC280" i="1" s="1"/>
  <c r="Q281" i="1"/>
  <c r="AC281" i="1" s="1"/>
  <c r="Q282" i="1"/>
  <c r="AC282" i="1" s="1"/>
  <c r="Q283" i="1"/>
  <c r="AC283" i="1" s="1"/>
  <c r="Q284" i="1"/>
  <c r="AC284" i="1" s="1"/>
  <c r="Q285" i="1"/>
  <c r="AC285" i="1" s="1"/>
  <c r="Q286" i="1"/>
  <c r="AC286" i="1" s="1"/>
  <c r="Q287" i="1"/>
  <c r="AC287" i="1" s="1"/>
  <c r="Q288" i="1"/>
  <c r="AC288" i="1" s="1"/>
  <c r="Q289" i="1"/>
  <c r="AC289" i="1" s="1"/>
  <c r="Q290" i="1"/>
  <c r="AC290" i="1" s="1"/>
  <c r="Q291" i="1"/>
  <c r="AC291" i="1" s="1"/>
  <c r="Q292" i="1"/>
  <c r="AC292" i="1" s="1"/>
  <c r="Q293" i="1"/>
  <c r="AC293" i="1" s="1"/>
  <c r="Q294" i="1"/>
  <c r="AC294" i="1" s="1"/>
  <c r="Q295" i="1"/>
  <c r="AC295" i="1" s="1"/>
  <c r="Q296" i="1"/>
  <c r="AC296" i="1" s="1"/>
  <c r="Q297" i="1"/>
  <c r="AC297" i="1" s="1"/>
  <c r="Q298" i="1"/>
  <c r="AC298" i="1" s="1"/>
  <c r="Q299" i="1"/>
  <c r="AC299" i="1" s="1"/>
  <c r="Q300" i="1"/>
  <c r="AC300" i="1" s="1"/>
  <c r="Q301" i="1"/>
  <c r="AC301" i="1" s="1"/>
  <c r="Q302" i="1"/>
  <c r="AC302" i="1" s="1"/>
  <c r="Q303" i="1"/>
  <c r="AC303" i="1" s="1"/>
  <c r="Q304" i="1"/>
  <c r="AC304" i="1" s="1"/>
  <c r="Q305" i="1"/>
  <c r="AC305" i="1" s="1"/>
  <c r="Q306" i="1"/>
  <c r="AC306" i="1" s="1"/>
  <c r="Q307" i="1"/>
  <c r="AC307" i="1" s="1"/>
  <c r="Q308" i="1"/>
  <c r="AC308" i="1" s="1"/>
  <c r="Q309" i="1"/>
  <c r="AC309" i="1" s="1"/>
  <c r="Q310" i="1"/>
  <c r="AC310" i="1" s="1"/>
  <c r="Q311" i="1"/>
  <c r="AC311" i="1" s="1"/>
  <c r="Q312" i="1"/>
  <c r="AC312" i="1" s="1"/>
  <c r="Q313" i="1"/>
  <c r="AC313" i="1" s="1"/>
  <c r="Q314" i="1"/>
  <c r="AC314" i="1" s="1"/>
  <c r="Q315" i="1"/>
  <c r="AC315" i="1" s="1"/>
  <c r="Q316" i="1"/>
  <c r="AC316" i="1" s="1"/>
  <c r="Q317" i="1"/>
  <c r="AC317" i="1" s="1"/>
  <c r="Q318" i="1"/>
  <c r="AC318" i="1" s="1"/>
  <c r="Q319" i="1"/>
  <c r="AC319" i="1" s="1"/>
  <c r="Q320" i="1"/>
  <c r="AC320" i="1" s="1"/>
  <c r="Q321" i="1"/>
  <c r="AC321" i="1" s="1"/>
  <c r="Q322" i="1"/>
  <c r="AC322" i="1" s="1"/>
  <c r="Q323" i="1"/>
  <c r="AC323" i="1" s="1"/>
  <c r="Q324" i="1"/>
  <c r="AC324" i="1" s="1"/>
  <c r="Q325" i="1"/>
  <c r="AC325" i="1" s="1"/>
  <c r="Q326" i="1"/>
  <c r="AC326" i="1" s="1"/>
  <c r="Q327" i="1"/>
  <c r="AC327" i="1" s="1"/>
  <c r="Q328" i="1"/>
  <c r="AC328" i="1" s="1"/>
  <c r="Q329" i="1"/>
  <c r="AC329" i="1" s="1"/>
  <c r="Q330" i="1"/>
  <c r="AC330" i="1" s="1"/>
  <c r="Q331" i="1"/>
  <c r="AC331" i="1" s="1"/>
  <c r="Q332" i="1"/>
  <c r="AC332" i="1" s="1"/>
  <c r="Q333" i="1"/>
  <c r="AC333" i="1" s="1"/>
  <c r="Q334" i="1"/>
  <c r="AC334" i="1" s="1"/>
  <c r="Q335" i="1"/>
  <c r="AC335" i="1" s="1"/>
  <c r="Q336" i="1"/>
  <c r="AC336" i="1" s="1"/>
  <c r="Q337" i="1"/>
  <c r="AC337" i="1" s="1"/>
  <c r="Q338" i="1"/>
  <c r="AC338" i="1" s="1"/>
  <c r="Q339" i="1"/>
  <c r="AC339" i="1" s="1"/>
  <c r="Q340" i="1"/>
  <c r="AC340" i="1" s="1"/>
  <c r="Q341" i="1"/>
  <c r="AC341" i="1" s="1"/>
  <c r="Q342" i="1"/>
  <c r="AC342" i="1" s="1"/>
  <c r="Q343" i="1"/>
  <c r="AC343" i="1" s="1"/>
  <c r="Q344" i="1"/>
  <c r="AC344" i="1" s="1"/>
  <c r="Q345" i="1"/>
  <c r="AC345" i="1" s="1"/>
  <c r="Q346" i="1"/>
  <c r="AC346" i="1" s="1"/>
  <c r="Q347" i="1"/>
  <c r="AC347" i="1" s="1"/>
  <c r="Q348" i="1"/>
  <c r="AC348" i="1" s="1"/>
  <c r="Q349" i="1"/>
  <c r="AC349" i="1" s="1"/>
  <c r="Q350" i="1"/>
  <c r="AC350" i="1" s="1"/>
  <c r="Q351" i="1"/>
  <c r="AC351" i="1" s="1"/>
  <c r="Q352" i="1"/>
  <c r="AC352" i="1" s="1"/>
  <c r="Q353" i="1"/>
  <c r="AC353" i="1" s="1"/>
  <c r="Q354" i="1"/>
  <c r="AC354" i="1" s="1"/>
  <c r="Q355" i="1"/>
  <c r="AC355" i="1" s="1"/>
  <c r="Q356" i="1"/>
  <c r="AC356" i="1" s="1"/>
  <c r="Q357" i="1"/>
  <c r="AC357" i="1" s="1"/>
  <c r="Q358" i="1"/>
  <c r="AC358" i="1" s="1"/>
  <c r="Q359" i="1"/>
  <c r="AC359" i="1" s="1"/>
  <c r="Q360" i="1"/>
  <c r="AC360" i="1" s="1"/>
  <c r="Q361" i="1"/>
  <c r="AC361" i="1" s="1"/>
  <c r="Q362" i="1"/>
  <c r="AC362" i="1" s="1"/>
  <c r="Q363" i="1"/>
  <c r="AC363" i="1" s="1"/>
  <c r="Q364" i="1"/>
  <c r="AC364" i="1" s="1"/>
  <c r="Q365" i="1"/>
  <c r="AC365" i="1" s="1"/>
  <c r="Q366" i="1"/>
  <c r="AC366" i="1" s="1"/>
  <c r="Q367" i="1"/>
  <c r="AC367" i="1" s="1"/>
  <c r="Q141" i="1"/>
  <c r="AC141" i="1" s="1"/>
  <c r="Q140" i="1"/>
  <c r="AC140" i="1" s="1"/>
  <c r="EM372" i="1" l="1"/>
  <c r="EM364" i="1"/>
  <c r="EM356" i="1"/>
  <c r="EM348" i="1"/>
  <c r="EM340" i="1"/>
  <c r="EM332" i="1"/>
  <c r="EM324" i="1"/>
  <c r="EM316" i="1"/>
  <c r="EL316" i="1" s="1"/>
  <c r="EM308" i="1"/>
  <c r="EM300" i="1"/>
  <c r="EM292" i="1"/>
  <c r="EM284" i="1"/>
  <c r="EM276" i="1"/>
  <c r="EM268" i="1"/>
  <c r="EM260" i="1"/>
  <c r="EM252" i="1"/>
  <c r="EL252" i="1" s="1"/>
  <c r="EM244" i="1"/>
  <c r="EM236" i="1"/>
  <c r="EM228" i="1"/>
  <c r="EM257" i="1"/>
  <c r="EM249" i="1"/>
  <c r="EM241" i="1"/>
  <c r="EM379" i="1"/>
  <c r="EM371" i="1"/>
  <c r="EL371" i="1" s="1"/>
  <c r="EM363" i="1"/>
  <c r="EM355" i="1"/>
  <c r="EM347" i="1"/>
  <c r="EM339" i="1"/>
  <c r="EM331" i="1"/>
  <c r="EM323" i="1"/>
  <c r="EM373" i="1"/>
  <c r="EM365" i="1"/>
  <c r="EL365" i="1" s="1"/>
  <c r="EM357" i="1"/>
  <c r="EM349" i="1"/>
  <c r="EM341" i="1"/>
  <c r="EM333" i="1"/>
  <c r="EM325" i="1"/>
  <c r="EM317" i="1"/>
  <c r="EM309" i="1"/>
  <c r="EM301" i="1"/>
  <c r="EL301" i="1" s="1"/>
  <c r="EM293" i="1"/>
  <c r="EM285" i="1"/>
  <c r="EM277" i="1"/>
  <c r="EM269" i="1"/>
  <c r="EM261" i="1"/>
  <c r="EM253" i="1"/>
  <c r="EM245" i="1"/>
  <c r="EM237" i="1"/>
  <c r="EL237" i="1" s="1"/>
  <c r="EM233" i="1"/>
  <c r="EM224" i="1"/>
  <c r="EM231" i="1"/>
  <c r="EM227" i="1"/>
  <c r="EM230" i="1"/>
  <c r="EM226" i="1"/>
  <c r="EM229" i="1"/>
  <c r="EM225" i="1"/>
  <c r="EL225" i="1" s="1"/>
  <c r="EM221" i="1"/>
  <c r="EL221" i="1" s="1"/>
  <c r="EH221" i="1"/>
  <c r="EM217" i="1"/>
  <c r="EL217" i="1" s="1"/>
  <c r="EH217" i="1"/>
  <c r="EM213" i="1"/>
  <c r="EL213" i="1" s="1"/>
  <c r="EH213" i="1"/>
  <c r="EM209" i="1"/>
  <c r="EH209" i="1"/>
  <c r="EM205" i="1"/>
  <c r="EL205" i="1" s="1"/>
  <c r="EH205" i="1"/>
  <c r="EM201" i="1"/>
  <c r="EH201" i="1"/>
  <c r="EM197" i="1"/>
  <c r="EL197" i="1" s="1"/>
  <c r="EJ197" i="1"/>
  <c r="EH197" i="1"/>
  <c r="EM193" i="1"/>
  <c r="EL193" i="1" s="1"/>
  <c r="EH193" i="1"/>
  <c r="EJ193" i="1"/>
  <c r="EJ189" i="1"/>
  <c r="EH189" i="1"/>
  <c r="EM189" i="1"/>
  <c r="EL189" i="1" s="1"/>
  <c r="EM185" i="1"/>
  <c r="EL185" i="1" s="1"/>
  <c r="EH185" i="1"/>
  <c r="EJ185" i="1"/>
  <c r="EJ181" i="1"/>
  <c r="EM181" i="1"/>
  <c r="EL181" i="1" s="1"/>
  <c r="EH181" i="1"/>
  <c r="EM177" i="1"/>
  <c r="EL177" i="1" s="1"/>
  <c r="EH177" i="1"/>
  <c r="EJ177" i="1"/>
  <c r="EM173" i="1"/>
  <c r="EL173" i="1" s="1"/>
  <c r="EJ173" i="1"/>
  <c r="EH173" i="1"/>
  <c r="EH169" i="1"/>
  <c r="EJ169" i="1"/>
  <c r="EM169" i="1"/>
  <c r="EL169" i="1" s="1"/>
  <c r="EH165" i="1"/>
  <c r="EM165" i="1"/>
  <c r="EL165" i="1" s="1"/>
  <c r="EJ165" i="1"/>
  <c r="EJ161" i="1"/>
  <c r="EM161" i="1"/>
  <c r="EL161" i="1" s="1"/>
  <c r="EH161" i="1"/>
  <c r="EM157" i="1"/>
  <c r="EL157" i="1" s="1"/>
  <c r="EJ157" i="1"/>
  <c r="EH157" i="1"/>
  <c r="EM153" i="1"/>
  <c r="EL153" i="1" s="1"/>
  <c r="EJ153" i="1"/>
  <c r="EH153" i="1"/>
  <c r="EH149" i="1"/>
  <c r="EJ149" i="1"/>
  <c r="EM149" i="1"/>
  <c r="EL149" i="1" s="1"/>
  <c r="EJ145" i="1"/>
  <c r="EH145" i="1"/>
  <c r="EM145" i="1"/>
  <c r="EL145" i="1" s="1"/>
  <c r="EH141" i="1"/>
  <c r="EM141" i="1"/>
  <c r="EL141" i="1" s="1"/>
  <c r="EJ141" i="1"/>
  <c r="EM220" i="1"/>
  <c r="EL220" i="1" s="1"/>
  <c r="EH220" i="1"/>
  <c r="EM216" i="1"/>
  <c r="EL216" i="1" s="1"/>
  <c r="EH216" i="1"/>
  <c r="EM212" i="1"/>
  <c r="EL212" i="1" s="1"/>
  <c r="EH212" i="1"/>
  <c r="EM208" i="1"/>
  <c r="EL208" i="1" s="1"/>
  <c r="EH208" i="1"/>
  <c r="EM204" i="1"/>
  <c r="EH204" i="1"/>
  <c r="EM200" i="1"/>
  <c r="EH200" i="1"/>
  <c r="EM196" i="1"/>
  <c r="EL196" i="1" s="1"/>
  <c r="EJ196" i="1"/>
  <c r="EH196" i="1"/>
  <c r="EM192" i="1"/>
  <c r="EL192" i="1" s="1"/>
  <c r="EH192" i="1"/>
  <c r="EJ192" i="1"/>
  <c r="EH188" i="1"/>
  <c r="EM188" i="1"/>
  <c r="EL188" i="1" s="1"/>
  <c r="EJ188" i="1"/>
  <c r="EH184" i="1"/>
  <c r="EJ184" i="1"/>
  <c r="EM184" i="1"/>
  <c r="EL184" i="1" s="1"/>
  <c r="EJ180" i="1"/>
  <c r="EH180" i="1"/>
  <c r="EM180" i="1"/>
  <c r="EL180" i="1" s="1"/>
  <c r="EH176" i="1"/>
  <c r="EJ176" i="1"/>
  <c r="EM176" i="1"/>
  <c r="EL176" i="1" s="1"/>
  <c r="EM172" i="1"/>
  <c r="EL172" i="1" s="1"/>
  <c r="EH172" i="1"/>
  <c r="EJ172" i="1"/>
  <c r="EJ168" i="1"/>
  <c r="EH168" i="1"/>
  <c r="EM168" i="1"/>
  <c r="EL168" i="1" s="1"/>
  <c r="EM164" i="1"/>
  <c r="EL164" i="1" s="1"/>
  <c r="EH164" i="1"/>
  <c r="EJ164" i="1"/>
  <c r="EM160" i="1"/>
  <c r="EL160" i="1" s="1"/>
  <c r="EH160" i="1"/>
  <c r="EJ160" i="1"/>
  <c r="EH156" i="1"/>
  <c r="EM156" i="1"/>
  <c r="EL156" i="1" s="1"/>
  <c r="EJ156" i="1"/>
  <c r="EM152" i="1"/>
  <c r="EL152" i="1" s="1"/>
  <c r="EJ152" i="1"/>
  <c r="EH152" i="1"/>
  <c r="EM148" i="1"/>
  <c r="EL148" i="1" s="1"/>
  <c r="EJ148" i="1"/>
  <c r="EH148" i="1"/>
  <c r="EM144" i="1"/>
  <c r="EL144" i="1" s="1"/>
  <c r="EJ144" i="1"/>
  <c r="EH144" i="1"/>
  <c r="EJ140" i="1"/>
  <c r="EM140" i="1"/>
  <c r="EL140" i="1" s="1"/>
  <c r="EH140" i="1"/>
  <c r="EM223" i="1"/>
  <c r="EH223" i="1"/>
  <c r="EM219" i="1"/>
  <c r="EH219" i="1"/>
  <c r="EM215" i="1"/>
  <c r="EH215" i="1"/>
  <c r="EM211" i="1"/>
  <c r="EH211" i="1"/>
  <c r="EM207" i="1"/>
  <c r="EH207" i="1"/>
  <c r="EM203" i="1"/>
  <c r="EL203" i="1" s="1"/>
  <c r="EH203" i="1"/>
  <c r="EM199" i="1"/>
  <c r="EL199" i="1" s="1"/>
  <c r="EH199" i="1"/>
  <c r="EJ199" i="1"/>
  <c r="EM195" i="1"/>
  <c r="EL195" i="1" s="1"/>
  <c r="EH195" i="1"/>
  <c r="EJ195" i="1"/>
  <c r="EH191" i="1"/>
  <c r="EJ191" i="1"/>
  <c r="EM191" i="1"/>
  <c r="EL191" i="1" s="1"/>
  <c r="EJ187" i="1"/>
  <c r="EH187" i="1"/>
  <c r="EM187" i="1"/>
  <c r="EL187" i="1" s="1"/>
  <c r="EM183" i="1"/>
  <c r="EL183" i="1" s="1"/>
  <c r="EH183" i="1"/>
  <c r="EJ183" i="1"/>
  <c r="EJ179" i="1"/>
  <c r="EH179" i="1"/>
  <c r="EM179" i="1"/>
  <c r="EL179" i="1" s="1"/>
  <c r="EM175" i="1"/>
  <c r="EL175" i="1" s="1"/>
  <c r="EH175" i="1"/>
  <c r="EJ175" i="1"/>
  <c r="EM171" i="1"/>
  <c r="EL171" i="1" s="1"/>
  <c r="EJ171" i="1"/>
  <c r="EH171" i="1"/>
  <c r="EJ167" i="1"/>
  <c r="EH167" i="1"/>
  <c r="EM167" i="1"/>
  <c r="EL167" i="1" s="1"/>
  <c r="EM163" i="1"/>
  <c r="EL163" i="1" s="1"/>
  <c r="EH163" i="1"/>
  <c r="EJ163" i="1"/>
  <c r="EH159" i="1"/>
  <c r="EM159" i="1"/>
  <c r="EL159" i="1" s="1"/>
  <c r="EJ159" i="1"/>
  <c r="EM155" i="1"/>
  <c r="EL155" i="1" s="1"/>
  <c r="EH155" i="1"/>
  <c r="EJ155" i="1"/>
  <c r="EM151" i="1"/>
  <c r="EL151" i="1" s="1"/>
  <c r="EJ151" i="1"/>
  <c r="EH151" i="1"/>
  <c r="EJ147" i="1"/>
  <c r="EM147" i="1"/>
  <c r="EL147" i="1" s="1"/>
  <c r="EH147" i="1"/>
  <c r="EM143" i="1"/>
  <c r="EL143" i="1" s="1"/>
  <c r="EJ143" i="1"/>
  <c r="EH143" i="1"/>
  <c r="EM222" i="1"/>
  <c r="EL222" i="1" s="1"/>
  <c r="EH222" i="1"/>
  <c r="EM218" i="1"/>
  <c r="EH218" i="1"/>
  <c r="EM214" i="1"/>
  <c r="EL214" i="1" s="1"/>
  <c r="EH214" i="1"/>
  <c r="EM210" i="1"/>
  <c r="EL210" i="1" s="1"/>
  <c r="EH210" i="1"/>
  <c r="EM206" i="1"/>
  <c r="EL206" i="1" s="1"/>
  <c r="EH206" i="1"/>
  <c r="EM202" i="1"/>
  <c r="EH202" i="1"/>
  <c r="EM198" i="1"/>
  <c r="EL198" i="1" s="1"/>
  <c r="EJ198" i="1"/>
  <c r="EH198" i="1"/>
  <c r="EM194" i="1"/>
  <c r="EL194" i="1" s="1"/>
  <c r="EJ194" i="1"/>
  <c r="EH194" i="1"/>
  <c r="EH190" i="1"/>
  <c r="EJ190" i="1"/>
  <c r="EM190" i="1"/>
  <c r="EL190" i="1" s="1"/>
  <c r="EJ186" i="1"/>
  <c r="EH186" i="1"/>
  <c r="EM186" i="1"/>
  <c r="EL186" i="1" s="1"/>
  <c r="EH182" i="1"/>
  <c r="EM182" i="1"/>
  <c r="EL182" i="1" s="1"/>
  <c r="EJ182" i="1"/>
  <c r="EH178" i="1"/>
  <c r="EJ178" i="1"/>
  <c r="EM178" i="1"/>
  <c r="EL178" i="1" s="1"/>
  <c r="EJ174" i="1"/>
  <c r="EH174" i="1"/>
  <c r="EM174" i="1"/>
  <c r="EL174" i="1" s="1"/>
  <c r="EM170" i="1"/>
  <c r="EL170" i="1" s="1"/>
  <c r="EJ170" i="1"/>
  <c r="EH170" i="1"/>
  <c r="EH166" i="1"/>
  <c r="EJ166" i="1"/>
  <c r="EM166" i="1"/>
  <c r="EL166" i="1" s="1"/>
  <c r="EM162" i="1"/>
  <c r="EL162" i="1" s="1"/>
  <c r="EJ162" i="1"/>
  <c r="EH162" i="1"/>
  <c r="EH158" i="1"/>
  <c r="EM158" i="1"/>
  <c r="EL158" i="1" s="1"/>
  <c r="EJ158" i="1"/>
  <c r="EJ154" i="1"/>
  <c r="EM154" i="1"/>
  <c r="EL154" i="1" s="1"/>
  <c r="EH154" i="1"/>
  <c r="EM150" i="1"/>
  <c r="EL150" i="1" s="1"/>
  <c r="EH150" i="1"/>
  <c r="EJ150" i="1"/>
  <c r="EM146" i="1"/>
  <c r="EL146" i="1" s="1"/>
  <c r="EJ146" i="1"/>
  <c r="EH146" i="1"/>
  <c r="EJ142" i="1"/>
  <c r="EH142" i="1"/>
  <c r="EM142" i="1"/>
  <c r="EL142" i="1" s="1"/>
  <c r="EJ378" i="1"/>
  <c r="EH378" i="1"/>
  <c r="EJ374" i="1"/>
  <c r="EH374" i="1"/>
  <c r="EJ370" i="1"/>
  <c r="EH370" i="1"/>
  <c r="EH366" i="1"/>
  <c r="EJ366" i="1"/>
  <c r="EH362" i="1"/>
  <c r="EJ362" i="1"/>
  <c r="EJ358" i="1"/>
  <c r="EH358" i="1"/>
  <c r="EJ354" i="1"/>
  <c r="EH354" i="1"/>
  <c r="EJ350" i="1"/>
  <c r="EH350" i="1"/>
  <c r="EJ346" i="1"/>
  <c r="EH346" i="1"/>
  <c r="EH342" i="1"/>
  <c r="EJ342" i="1"/>
  <c r="EH338" i="1"/>
  <c r="EJ338" i="1"/>
  <c r="EH334" i="1"/>
  <c r="EJ334" i="1"/>
  <c r="EJ330" i="1"/>
  <c r="EH330" i="1"/>
  <c r="EH326" i="1"/>
  <c r="EJ326" i="1"/>
  <c r="EH322" i="1"/>
  <c r="EJ322" i="1"/>
  <c r="EH318" i="1"/>
  <c r="EJ318" i="1"/>
  <c r="EJ314" i="1"/>
  <c r="EH314" i="1"/>
  <c r="EJ310" i="1"/>
  <c r="EH310" i="1"/>
  <c r="EJ306" i="1"/>
  <c r="EH306" i="1"/>
  <c r="EJ302" i="1"/>
  <c r="EH302" i="1"/>
  <c r="EJ298" i="1"/>
  <c r="EH298" i="1"/>
  <c r="EH294" i="1"/>
  <c r="EJ294" i="1"/>
  <c r="EJ290" i="1"/>
  <c r="EH290" i="1"/>
  <c r="EJ286" i="1"/>
  <c r="EH286" i="1"/>
  <c r="EJ282" i="1"/>
  <c r="EH282" i="1"/>
  <c r="EH278" i="1"/>
  <c r="EJ278" i="1"/>
  <c r="EH274" i="1"/>
  <c r="EJ274" i="1"/>
  <c r="EJ270" i="1"/>
  <c r="EH270" i="1"/>
  <c r="EJ266" i="1"/>
  <c r="EH266" i="1"/>
  <c r="EJ262" i="1"/>
  <c r="EH262" i="1"/>
  <c r="EJ258" i="1"/>
  <c r="EH258" i="1"/>
  <c r="EJ254" i="1"/>
  <c r="EH254" i="1"/>
  <c r="EH250" i="1"/>
  <c r="EJ250" i="1"/>
  <c r="EJ246" i="1"/>
  <c r="EH246" i="1"/>
  <c r="EH242" i="1"/>
  <c r="EJ242" i="1"/>
  <c r="EJ238" i="1"/>
  <c r="EH238" i="1"/>
  <c r="EH234" i="1"/>
  <c r="EJ234" i="1"/>
  <c r="EJ230" i="1"/>
  <c r="EH230" i="1"/>
  <c r="EH226" i="1"/>
  <c r="EJ226" i="1"/>
  <c r="EJ222" i="1"/>
  <c r="EJ218" i="1"/>
  <c r="EJ214" i="1"/>
  <c r="EJ210" i="1"/>
  <c r="EJ206" i="1"/>
  <c r="EJ202" i="1"/>
  <c r="EL369" i="1"/>
  <c r="EL357" i="1"/>
  <c r="EL353" i="1"/>
  <c r="EL349" i="1"/>
  <c r="EL345" i="1"/>
  <c r="EL341" i="1"/>
  <c r="EL329" i="1"/>
  <c r="EL325" i="1"/>
  <c r="EL321" i="1"/>
  <c r="EL317" i="1"/>
  <c r="EL313" i="1"/>
  <c r="EL309" i="1"/>
  <c r="EL305" i="1"/>
  <c r="EL297" i="1"/>
  <c r="EL293" i="1"/>
  <c r="EL289" i="1"/>
  <c r="EL285" i="1"/>
  <c r="EL281" i="1"/>
  <c r="EL277" i="1"/>
  <c r="EL273" i="1"/>
  <c r="EL269" i="1"/>
  <c r="EL265" i="1"/>
  <c r="EL261" i="1"/>
  <c r="EL257" i="1"/>
  <c r="EL253" i="1"/>
  <c r="EL249" i="1"/>
  <c r="EL245" i="1"/>
  <c r="EL241" i="1"/>
  <c r="EL233" i="1"/>
  <c r="EL229" i="1"/>
  <c r="EL209" i="1"/>
  <c r="EL201" i="1"/>
  <c r="EL373" i="1"/>
  <c r="EL361" i="1"/>
  <c r="EL337" i="1"/>
  <c r="EJ377" i="1"/>
  <c r="EH377" i="1"/>
  <c r="EH373" i="1"/>
  <c r="EJ373" i="1"/>
  <c r="EJ369" i="1"/>
  <c r="EH369" i="1"/>
  <c r="EJ365" i="1"/>
  <c r="EH365" i="1"/>
  <c r="EJ361" i="1"/>
  <c r="EH361" i="1"/>
  <c r="EJ357" i="1"/>
  <c r="EH357" i="1"/>
  <c r="EJ353" i="1"/>
  <c r="EH353" i="1"/>
  <c r="EJ349" i="1"/>
  <c r="EH349" i="1"/>
  <c r="EH345" i="1"/>
  <c r="EJ345" i="1"/>
  <c r="EJ341" i="1"/>
  <c r="EH341" i="1"/>
  <c r="EJ337" i="1"/>
  <c r="EH337" i="1"/>
  <c r="EJ333" i="1"/>
  <c r="EH333" i="1"/>
  <c r="EJ329" i="1"/>
  <c r="EH329" i="1"/>
  <c r="EH325" i="1"/>
  <c r="EJ325" i="1"/>
  <c r="EJ321" i="1"/>
  <c r="EH321" i="1"/>
  <c r="EJ317" i="1"/>
  <c r="EH317" i="1"/>
  <c r="EJ313" i="1"/>
  <c r="EH313" i="1"/>
  <c r="EJ309" i="1"/>
  <c r="EH309" i="1"/>
  <c r="EH305" i="1"/>
  <c r="EJ305" i="1"/>
  <c r="EJ301" i="1"/>
  <c r="EH301" i="1"/>
  <c r="EJ297" i="1"/>
  <c r="EH297" i="1"/>
  <c r="EJ293" i="1"/>
  <c r="EH293" i="1"/>
  <c r="EH289" i="1"/>
  <c r="EJ289" i="1"/>
  <c r="EH285" i="1"/>
  <c r="EJ285" i="1"/>
  <c r="EJ281" i="1"/>
  <c r="EH281" i="1"/>
  <c r="EJ277" i="1"/>
  <c r="EH277" i="1"/>
  <c r="EJ273" i="1"/>
  <c r="EH273" i="1"/>
  <c r="EH269" i="1"/>
  <c r="EJ269" i="1"/>
  <c r="EJ265" i="1"/>
  <c r="EH265" i="1"/>
  <c r="EH261" i="1"/>
  <c r="EJ261" i="1"/>
  <c r="EJ257" i="1"/>
  <c r="EH257" i="1"/>
  <c r="EH253" i="1"/>
  <c r="EJ253" i="1"/>
  <c r="EH249" i="1"/>
  <c r="EJ249" i="1"/>
  <c r="EH245" i="1"/>
  <c r="EJ245" i="1"/>
  <c r="EJ241" i="1"/>
  <c r="EH241" i="1"/>
  <c r="EJ237" i="1"/>
  <c r="EH237" i="1"/>
  <c r="EJ233" i="1"/>
  <c r="EH233" i="1"/>
  <c r="EJ229" i="1"/>
  <c r="EH229" i="1"/>
  <c r="EH225" i="1"/>
  <c r="EJ225" i="1"/>
  <c r="EJ221" i="1"/>
  <c r="EJ217" i="1"/>
  <c r="EJ213" i="1"/>
  <c r="EJ209" i="1"/>
  <c r="EJ205" i="1"/>
  <c r="EJ201" i="1"/>
  <c r="EL377" i="1"/>
  <c r="EL333" i="1"/>
  <c r="EL376" i="1"/>
  <c r="EL364" i="1"/>
  <c r="EL352" i="1"/>
  <c r="EL348" i="1"/>
  <c r="EL344" i="1"/>
  <c r="EL340" i="1"/>
  <c r="EL336" i="1"/>
  <c r="EL324" i="1"/>
  <c r="EL320" i="1"/>
  <c r="EL312" i="1"/>
  <c r="EL308" i="1"/>
  <c r="EL304" i="1"/>
  <c r="EL300" i="1"/>
  <c r="EL296" i="1"/>
  <c r="EL292" i="1"/>
  <c r="EL288" i="1"/>
  <c r="EL284" i="1"/>
  <c r="EL280" i="1"/>
  <c r="EL276" i="1"/>
  <c r="EL272" i="1"/>
  <c r="EL268" i="1"/>
  <c r="EL264" i="1"/>
  <c r="EL260" i="1"/>
  <c r="EL256" i="1"/>
  <c r="EL248" i="1"/>
  <c r="EL244" i="1"/>
  <c r="EL240" i="1"/>
  <c r="EL236" i="1"/>
  <c r="EL232" i="1"/>
  <c r="EL228" i="1"/>
  <c r="EL224" i="1"/>
  <c r="EL204" i="1"/>
  <c r="EL200" i="1"/>
  <c r="EL372" i="1"/>
  <c r="EL360" i="1"/>
  <c r="EL328" i="1"/>
  <c r="EJ376" i="1"/>
  <c r="EH376" i="1"/>
  <c r="EJ372" i="1"/>
  <c r="EH372" i="1"/>
  <c r="EJ368" i="1"/>
  <c r="EH368" i="1"/>
  <c r="EJ364" i="1"/>
  <c r="EH364" i="1"/>
  <c r="EJ360" i="1"/>
  <c r="EH360" i="1"/>
  <c r="EJ356" i="1"/>
  <c r="EH356" i="1"/>
  <c r="EH352" i="1"/>
  <c r="EJ352" i="1"/>
  <c r="EJ348" i="1"/>
  <c r="EH348" i="1"/>
  <c r="EJ344" i="1"/>
  <c r="EH344" i="1"/>
  <c r="EJ340" i="1"/>
  <c r="EH340" i="1"/>
  <c r="EJ336" i="1"/>
  <c r="EH336" i="1"/>
  <c r="EH332" i="1"/>
  <c r="EJ332" i="1"/>
  <c r="EJ328" i="1"/>
  <c r="EH328" i="1"/>
  <c r="EH324" i="1"/>
  <c r="EJ324" i="1"/>
  <c r="EJ320" i="1"/>
  <c r="EH320" i="1"/>
  <c r="EJ316" i="1"/>
  <c r="EH316" i="1"/>
  <c r="EJ312" i="1"/>
  <c r="EH312" i="1"/>
  <c r="EH308" i="1"/>
  <c r="EJ308" i="1"/>
  <c r="EH304" i="1"/>
  <c r="EJ304" i="1"/>
  <c r="EJ300" i="1"/>
  <c r="EH300" i="1"/>
  <c r="EH296" i="1"/>
  <c r="EJ296" i="1"/>
  <c r="EJ292" i="1"/>
  <c r="EH292" i="1"/>
  <c r="EJ288" i="1"/>
  <c r="EH288" i="1"/>
  <c r="EH284" i="1"/>
  <c r="EJ284" i="1"/>
  <c r="EJ280" i="1"/>
  <c r="EH280" i="1"/>
  <c r="EH276" i="1"/>
  <c r="EJ276" i="1"/>
  <c r="EJ272" i="1"/>
  <c r="EH272" i="1"/>
  <c r="EJ268" i="1"/>
  <c r="EH268" i="1"/>
  <c r="EJ264" i="1"/>
  <c r="EH264" i="1"/>
  <c r="EJ260" i="1"/>
  <c r="EH260" i="1"/>
  <c r="EJ256" i="1"/>
  <c r="EH256" i="1"/>
  <c r="EJ252" i="1"/>
  <c r="EH252" i="1"/>
  <c r="EJ248" i="1"/>
  <c r="EH248" i="1"/>
  <c r="EH244" i="1"/>
  <c r="EJ244" i="1"/>
  <c r="EH240" i="1"/>
  <c r="EJ240" i="1"/>
  <c r="EH236" i="1"/>
  <c r="EJ236" i="1"/>
  <c r="EJ232" i="1"/>
  <c r="EH232" i="1"/>
  <c r="EH228" i="1"/>
  <c r="EJ228" i="1"/>
  <c r="EJ224" i="1"/>
  <c r="EH224" i="1"/>
  <c r="EJ220" i="1"/>
  <c r="EJ216" i="1"/>
  <c r="EJ212" i="1"/>
  <c r="EJ208" i="1"/>
  <c r="EJ204" i="1"/>
  <c r="EJ200" i="1"/>
  <c r="EL368" i="1"/>
  <c r="EL356" i="1"/>
  <c r="EL332" i="1"/>
  <c r="EL379" i="1"/>
  <c r="EL367" i="1"/>
  <c r="EL355" i="1"/>
  <c r="EL347" i="1"/>
  <c r="EL343" i="1"/>
  <c r="EL339" i="1"/>
  <c r="EL335" i="1"/>
  <c r="EL323" i="1"/>
  <c r="EL319" i="1"/>
  <c r="EL315" i="1"/>
  <c r="EL311" i="1"/>
  <c r="EL307" i="1"/>
  <c r="EL303" i="1"/>
  <c r="EL299" i="1"/>
  <c r="EL295" i="1"/>
  <c r="EL291" i="1"/>
  <c r="EL287" i="1"/>
  <c r="EL283" i="1"/>
  <c r="EL279" i="1"/>
  <c r="EL275" i="1"/>
  <c r="EL271" i="1"/>
  <c r="EL267" i="1"/>
  <c r="EL263" i="1"/>
  <c r="EL259" i="1"/>
  <c r="EL255" i="1"/>
  <c r="EL251" i="1"/>
  <c r="EL247" i="1"/>
  <c r="EL243" i="1"/>
  <c r="EL239" i="1"/>
  <c r="EL235" i="1"/>
  <c r="EL231" i="1"/>
  <c r="EL227" i="1"/>
  <c r="EL223" i="1"/>
  <c r="EL219" i="1"/>
  <c r="EL215" i="1"/>
  <c r="EL211" i="1"/>
  <c r="EL207" i="1"/>
  <c r="EL359" i="1"/>
  <c r="EL331" i="1"/>
  <c r="EJ379" i="1"/>
  <c r="EH379" i="1"/>
  <c r="EJ375" i="1"/>
  <c r="EH375" i="1"/>
  <c r="EJ371" i="1"/>
  <c r="EH371" i="1"/>
  <c r="EJ367" i="1"/>
  <c r="EH367" i="1"/>
  <c r="EJ363" i="1"/>
  <c r="EH363" i="1"/>
  <c r="EJ359" i="1"/>
  <c r="EH359" i="1"/>
  <c r="EH355" i="1"/>
  <c r="EJ355" i="1"/>
  <c r="EJ351" i="1"/>
  <c r="EH351" i="1"/>
  <c r="EJ347" i="1"/>
  <c r="EH347" i="1"/>
  <c r="EH343" i="1"/>
  <c r="EJ343" i="1"/>
  <c r="EJ339" i="1"/>
  <c r="EH339" i="1"/>
  <c r="EJ335" i="1"/>
  <c r="EH335" i="1"/>
  <c r="EJ331" i="1"/>
  <c r="EH331" i="1"/>
  <c r="EH327" i="1"/>
  <c r="EJ327" i="1"/>
  <c r="EH323" i="1"/>
  <c r="EJ323" i="1"/>
  <c r="EJ319" i="1"/>
  <c r="EH319" i="1"/>
  <c r="EJ315" i="1"/>
  <c r="EH315" i="1"/>
  <c r="EJ311" i="1"/>
  <c r="EH311" i="1"/>
  <c r="EJ307" i="1"/>
  <c r="EH307" i="1"/>
  <c r="EH303" i="1"/>
  <c r="EJ303" i="1"/>
  <c r="EH299" i="1"/>
  <c r="EJ299" i="1"/>
  <c r="EJ295" i="1"/>
  <c r="EH295" i="1"/>
  <c r="EH291" i="1"/>
  <c r="EJ291" i="1"/>
  <c r="EJ287" i="1"/>
  <c r="EH287" i="1"/>
  <c r="EJ283" i="1"/>
  <c r="EH283" i="1"/>
  <c r="EJ279" i="1"/>
  <c r="EH279" i="1"/>
  <c r="EJ275" i="1"/>
  <c r="EH275" i="1"/>
  <c r="EH271" i="1"/>
  <c r="EJ271" i="1"/>
  <c r="EH267" i="1"/>
  <c r="EJ267" i="1"/>
  <c r="EH263" i="1"/>
  <c r="EJ263" i="1"/>
  <c r="EJ259" i="1"/>
  <c r="EH259" i="1"/>
  <c r="EJ255" i="1"/>
  <c r="EH255" i="1"/>
  <c r="EJ251" i="1"/>
  <c r="EH251" i="1"/>
  <c r="EJ247" i="1"/>
  <c r="EH247" i="1"/>
  <c r="EJ243" i="1"/>
  <c r="EH243" i="1"/>
  <c r="EJ239" i="1"/>
  <c r="EH239" i="1"/>
  <c r="EH235" i="1"/>
  <c r="EJ235" i="1"/>
  <c r="EJ231" i="1"/>
  <c r="EH231" i="1"/>
  <c r="EH227" i="1"/>
  <c r="EJ227" i="1"/>
  <c r="EJ223" i="1"/>
  <c r="EJ219" i="1"/>
  <c r="EJ215" i="1"/>
  <c r="EJ211" i="1"/>
  <c r="EJ207" i="1"/>
  <c r="EJ203" i="1"/>
  <c r="EL375" i="1"/>
  <c r="EL363" i="1"/>
  <c r="EL351" i="1"/>
  <c r="EL327" i="1"/>
  <c r="EL378" i="1"/>
  <c r="EL374" i="1"/>
  <c r="EL370" i="1"/>
  <c r="EL366" i="1"/>
  <c r="EL362" i="1"/>
  <c r="EL358" i="1"/>
  <c r="EL354" i="1"/>
  <c r="EL350" i="1"/>
  <c r="EL346" i="1"/>
  <c r="EL342" i="1"/>
  <c r="EL338" i="1"/>
  <c r="EL334" i="1"/>
  <c r="EL330" i="1"/>
  <c r="EL326" i="1"/>
  <c r="EL322" i="1"/>
  <c r="EL318" i="1"/>
  <c r="EL314" i="1"/>
  <c r="EL310" i="1"/>
  <c r="EL306" i="1"/>
  <c r="EL302" i="1"/>
  <c r="EL298" i="1"/>
  <c r="EL294" i="1"/>
  <c r="EL290" i="1"/>
  <c r="EL286" i="1"/>
  <c r="EL282" i="1"/>
  <c r="EL278" i="1"/>
  <c r="EL274" i="1"/>
  <c r="EL270" i="1"/>
  <c r="EL266" i="1"/>
  <c r="EL262" i="1"/>
  <c r="EL258" i="1"/>
  <c r="EL254" i="1"/>
  <c r="EL250" i="1"/>
  <c r="EL246" i="1"/>
  <c r="EL242" i="1"/>
  <c r="EL238" i="1"/>
  <c r="EL234" i="1"/>
  <c r="EL230" i="1"/>
  <c r="EL226" i="1"/>
  <c r="EL218" i="1"/>
  <c r="EL202" i="1"/>
  <c r="AE13" i="59"/>
  <c r="AB13" i="59"/>
  <c r="W22" i="59"/>
  <c r="AA47" i="59"/>
  <c r="BJ35" i="2"/>
  <c r="AA26" i="43" s="1"/>
  <c r="BD30" i="43" s="1"/>
  <c r="BJ36" i="2"/>
  <c r="AA27" i="43" s="1"/>
  <c r="BE30" i="43" s="1"/>
  <c r="BJ20" i="2"/>
  <c r="AA10" i="43" s="1"/>
  <c r="AO30" i="43" s="1"/>
  <c r="BJ32" i="2"/>
  <c r="AA23" i="43" s="1"/>
  <c r="BA30" i="43" s="1"/>
  <c r="BJ31" i="2"/>
  <c r="AA22" i="43" s="1"/>
  <c r="AZ30" i="43" s="1"/>
  <c r="BJ28" i="2"/>
  <c r="AA19" i="43" s="1"/>
  <c r="AW30" i="43" s="1"/>
  <c r="BJ27" i="2"/>
  <c r="AA18" i="43" s="1"/>
  <c r="AV30" i="43" s="1"/>
  <c r="BJ24" i="2"/>
  <c r="AA15" i="43" s="1"/>
  <c r="AS30" i="43" s="1"/>
  <c r="BJ23" i="2"/>
  <c r="AA14" i="43" s="1"/>
  <c r="AR30" i="43" s="1"/>
  <c r="BJ38" i="2"/>
  <c r="AA29" i="43" s="1"/>
  <c r="BG30" i="43" s="1"/>
  <c r="BJ37" i="2"/>
  <c r="AA28" i="43" s="1"/>
  <c r="BF30" i="43" s="1"/>
  <c r="BJ34" i="2"/>
  <c r="AA25" i="43" s="1"/>
  <c r="BC30" i="43" s="1"/>
  <c r="BJ33" i="2"/>
  <c r="AA24" i="43" s="1"/>
  <c r="BB30" i="43" s="1"/>
  <c r="BJ30" i="2"/>
  <c r="AA21" i="43" s="1"/>
  <c r="AY30" i="43" s="1"/>
  <c r="BJ29" i="2"/>
  <c r="AA20" i="43" s="1"/>
  <c r="AX30" i="43" s="1"/>
  <c r="BJ26" i="2"/>
  <c r="AA17" i="43" s="1"/>
  <c r="AU30" i="43" s="1"/>
  <c r="BJ25" i="2"/>
  <c r="AA16" i="43" s="1"/>
  <c r="AT30" i="43" s="1"/>
  <c r="BJ22" i="2"/>
  <c r="AA13" i="43" s="1"/>
  <c r="AQ30" i="43" s="1"/>
  <c r="BJ21" i="2"/>
  <c r="AA11" i="43" s="1"/>
  <c r="AP30" i="43" s="1"/>
  <c r="BJ19" i="2"/>
  <c r="AA9" i="43" s="1"/>
  <c r="AN30" i="43" s="1"/>
  <c r="AE14" i="59" l="1"/>
  <c r="AB14" i="59"/>
  <c r="W23" i="59"/>
  <c r="AA48" i="59"/>
  <c r="P6" i="57"/>
  <c r="P7" i="57" s="1"/>
  <c r="P8" i="57" s="1"/>
  <c r="P9" i="57" s="1"/>
  <c r="O6" i="57"/>
  <c r="O7" i="57" s="1"/>
  <c r="O8" i="57" s="1"/>
  <c r="O9" i="57" s="1"/>
  <c r="N6" i="57"/>
  <c r="N7" i="57" s="1"/>
  <c r="N8" i="57" s="1"/>
  <c r="M6" i="57"/>
  <c r="M7" i="57" s="1"/>
  <c r="M8" i="57" s="1"/>
  <c r="M9" i="57" s="1"/>
  <c r="M10" i="57" s="1"/>
  <c r="M11" i="57" s="1"/>
  <c r="L6" i="57"/>
  <c r="L7" i="57" s="1"/>
  <c r="L8" i="57" s="1"/>
  <c r="L9" i="57" s="1"/>
  <c r="L10" i="57" s="1"/>
  <c r="K6" i="57"/>
  <c r="K7" i="57" s="1"/>
  <c r="K8" i="57" s="1"/>
  <c r="K9" i="57" s="1"/>
  <c r="K10" i="57" s="1"/>
  <c r="J6" i="57"/>
  <c r="J7" i="57" s="1"/>
  <c r="J8" i="57" s="1"/>
  <c r="J9" i="57" s="1"/>
  <c r="I6" i="57"/>
  <c r="I7" i="57" s="1"/>
  <c r="I8" i="57" s="1"/>
  <c r="I9" i="57" s="1"/>
  <c r="AE15" i="59" l="1"/>
  <c r="AB15" i="59"/>
  <c r="W24" i="59"/>
  <c r="AA49" i="59"/>
  <c r="J10" i="57"/>
  <c r="I10" i="57"/>
  <c r="K11" i="57"/>
  <c r="M12" i="57"/>
  <c r="N9" i="57"/>
  <c r="O10" i="57"/>
  <c r="L11" i="57"/>
  <c r="P10" i="57"/>
  <c r="AE16" i="59" l="1"/>
  <c r="AB16" i="59"/>
  <c r="W25" i="59"/>
  <c r="AA50" i="59"/>
  <c r="P11" i="57"/>
  <c r="O11" i="57"/>
  <c r="N10" i="57"/>
  <c r="K12" i="57"/>
  <c r="J11" i="57"/>
  <c r="L12" i="57"/>
  <c r="M13" i="57"/>
  <c r="I11" i="57"/>
  <c r="AE17" i="59" l="1"/>
  <c r="AB17" i="59"/>
  <c r="W26" i="59"/>
  <c r="AA51" i="59"/>
  <c r="L13" i="57"/>
  <c r="J12" i="57"/>
  <c r="N11" i="57"/>
  <c r="M14" i="57"/>
  <c r="P12" i="57"/>
  <c r="I12" i="57"/>
  <c r="K13" i="57"/>
  <c r="O12" i="57"/>
  <c r="AE18" i="59" l="1"/>
  <c r="AB18" i="59"/>
  <c r="W27" i="59"/>
  <c r="AA52" i="59"/>
  <c r="K14" i="57"/>
  <c r="P13" i="57"/>
  <c r="N12" i="57"/>
  <c r="L14" i="57"/>
  <c r="J13" i="57"/>
  <c r="O13" i="57"/>
  <c r="I13" i="57"/>
  <c r="M15" i="57"/>
  <c r="AE19" i="59" l="1"/>
  <c r="AB19" i="59"/>
  <c r="W28" i="59"/>
  <c r="AA53" i="59"/>
  <c r="J14" i="57"/>
  <c r="N13" i="57"/>
  <c r="I14" i="57"/>
  <c r="K15" i="57"/>
  <c r="M16" i="57"/>
  <c r="O14" i="57"/>
  <c r="L15" i="57"/>
  <c r="P14" i="57"/>
  <c r="AE20" i="59" l="1"/>
  <c r="AB20" i="59"/>
  <c r="W29" i="59"/>
  <c r="AA54" i="59"/>
  <c r="J15" i="57"/>
  <c r="L16" i="57"/>
  <c r="M17" i="57"/>
  <c r="I15" i="57"/>
  <c r="P15" i="57"/>
  <c r="O15" i="57"/>
  <c r="K16" i="57"/>
  <c r="N14" i="57"/>
  <c r="AE21" i="59" l="1"/>
  <c r="AB21" i="59"/>
  <c r="W30" i="59"/>
  <c r="AA55" i="59"/>
  <c r="M18" i="57"/>
  <c r="K17" i="57"/>
  <c r="P16" i="57"/>
  <c r="J16" i="57"/>
  <c r="I16" i="57"/>
  <c r="N15" i="57"/>
  <c r="O16" i="57"/>
  <c r="L17" i="57"/>
  <c r="AE22" i="59" l="1"/>
  <c r="AB22" i="59"/>
  <c r="O17" i="57"/>
  <c r="I17" i="57"/>
  <c r="P17" i="57"/>
  <c r="M19" i="57"/>
  <c r="J17" i="57"/>
  <c r="K18" i="57"/>
  <c r="L18" i="57"/>
  <c r="N16" i="57"/>
  <c r="AA3" i="29"/>
  <c r="AA36" i="29" l="1"/>
  <c r="AB36" i="29"/>
  <c r="AB39" i="29"/>
  <c r="AA39" i="29"/>
  <c r="AB33" i="29"/>
  <c r="AB37" i="29"/>
  <c r="AA33" i="29"/>
  <c r="AB35" i="29"/>
  <c r="AA38" i="29"/>
  <c r="AB40" i="29"/>
  <c r="AB34" i="29"/>
  <c r="AA40" i="29"/>
  <c r="AA37" i="29"/>
  <c r="AA34" i="29"/>
  <c r="AB38" i="29"/>
  <c r="AA35" i="29"/>
  <c r="AB32" i="29"/>
  <c r="AB30" i="29"/>
  <c r="AB31" i="29"/>
  <c r="AB29" i="29"/>
  <c r="AA29" i="29"/>
  <c r="AA31" i="29"/>
  <c r="AA30" i="29"/>
  <c r="AA32" i="29"/>
  <c r="AE23" i="59"/>
  <c r="AB23" i="59"/>
  <c r="L19" i="57"/>
  <c r="J18" i="57"/>
  <c r="O18" i="57"/>
  <c r="P18" i="57"/>
  <c r="N17" i="57"/>
  <c r="K19" i="57"/>
  <c r="M20" i="57"/>
  <c r="I18" i="57"/>
  <c r="H38" i="2"/>
  <c r="H37" i="2"/>
  <c r="H36" i="2"/>
  <c r="H35" i="2"/>
  <c r="H34" i="2"/>
  <c r="H33" i="2"/>
  <c r="H32" i="2"/>
  <c r="H31" i="2"/>
  <c r="H30" i="2"/>
  <c r="H29" i="2"/>
  <c r="H28" i="2"/>
  <c r="H27" i="2"/>
  <c r="H26" i="2"/>
  <c r="H25" i="2"/>
  <c r="H24" i="2"/>
  <c r="H23" i="2"/>
  <c r="H22" i="2"/>
  <c r="H21" i="2"/>
  <c r="H20" i="2"/>
  <c r="H19" i="2"/>
  <c r="Y9" i="27"/>
  <c r="Z9" i="27"/>
  <c r="Y10" i="27"/>
  <c r="Z10" i="27"/>
  <c r="Y11" i="27"/>
  <c r="Z11" i="27"/>
  <c r="Y12" i="27"/>
  <c r="Z12" i="27"/>
  <c r="Y13" i="27"/>
  <c r="Z13" i="27"/>
  <c r="Y14" i="27"/>
  <c r="Z14" i="27"/>
  <c r="Y15" i="27"/>
  <c r="Z15" i="27"/>
  <c r="Y16" i="27"/>
  <c r="Z16" i="27"/>
  <c r="Y17" i="27"/>
  <c r="Z17" i="27"/>
  <c r="Y18" i="27"/>
  <c r="Z18" i="27"/>
  <c r="Y19" i="27"/>
  <c r="Z19" i="27"/>
  <c r="Y20" i="27"/>
  <c r="Z20" i="27"/>
  <c r="Y21" i="27"/>
  <c r="Z21" i="27"/>
  <c r="Y22" i="27"/>
  <c r="Z22" i="27"/>
  <c r="Y23" i="27"/>
  <c r="Z23" i="27"/>
  <c r="Y24" i="27"/>
  <c r="Z24" i="27"/>
  <c r="Y25" i="27"/>
  <c r="Z25" i="27"/>
  <c r="Y26" i="27"/>
  <c r="Z26" i="27"/>
  <c r="Y27" i="27"/>
  <c r="Z27" i="27"/>
  <c r="Y28" i="27"/>
  <c r="Z28" i="27"/>
  <c r="Z8" i="27"/>
  <c r="Y8" i="27"/>
  <c r="AK36" i="29" l="1"/>
  <c r="AL36" i="29" s="1"/>
  <c r="AK39" i="29"/>
  <c r="AL39" i="29" s="1"/>
  <c r="AK38" i="29"/>
  <c r="AL38" i="29" s="1"/>
  <c r="AK40" i="29"/>
  <c r="AL40" i="29" s="1"/>
  <c r="AC38" i="29"/>
  <c r="AO38" i="29"/>
  <c r="AN38" i="29"/>
  <c r="AK35" i="29"/>
  <c r="AL35" i="29" s="1"/>
  <c r="AC40" i="29"/>
  <c r="AN40" i="29"/>
  <c r="AO40" i="29"/>
  <c r="AC33" i="29"/>
  <c r="AO33" i="29"/>
  <c r="AN33" i="29"/>
  <c r="AK30" i="29"/>
  <c r="AL30" i="29" s="1"/>
  <c r="AK37" i="29"/>
  <c r="AL37" i="29" s="1"/>
  <c r="AK33" i="29"/>
  <c r="AL33" i="29" s="1"/>
  <c r="AC35" i="29"/>
  <c r="AN35" i="29"/>
  <c r="AO35" i="29"/>
  <c r="AC39" i="29"/>
  <c r="AO39" i="29"/>
  <c r="AN39" i="29"/>
  <c r="AK34" i="29"/>
  <c r="AL34" i="29" s="1"/>
  <c r="AC34" i="29"/>
  <c r="AO34" i="29"/>
  <c r="AN34" i="29"/>
  <c r="AC37" i="29"/>
  <c r="AN37" i="29"/>
  <c r="AO37" i="29"/>
  <c r="AC36" i="29"/>
  <c r="AO36" i="29"/>
  <c r="AN36" i="29"/>
  <c r="AK29" i="29"/>
  <c r="AL29" i="29" s="1"/>
  <c r="AM29" i="29" s="1"/>
  <c r="AK31" i="29"/>
  <c r="AL31" i="29" s="1"/>
  <c r="AK32" i="29"/>
  <c r="AL32" i="29" s="1"/>
  <c r="AC32" i="29"/>
  <c r="AN32" i="29"/>
  <c r="AO32" i="29"/>
  <c r="AC30" i="29"/>
  <c r="AN30" i="29"/>
  <c r="AO30" i="29"/>
  <c r="AC31" i="29"/>
  <c r="AN31" i="29"/>
  <c r="AO31" i="29"/>
  <c r="AC29" i="29"/>
  <c r="AN29" i="29"/>
  <c r="AO29" i="29"/>
  <c r="AE24" i="59"/>
  <c r="AB24" i="59"/>
  <c r="M21" i="57"/>
  <c r="N18" i="57"/>
  <c r="O19" i="57"/>
  <c r="L20" i="57"/>
  <c r="K20" i="57"/>
  <c r="P19" i="57"/>
  <c r="I19" i="57"/>
  <c r="J19" i="57"/>
  <c r="AP34" i="29" l="1"/>
  <c r="AH34" i="29"/>
  <c r="AX34" i="29" s="1"/>
  <c r="AE34" i="29"/>
  <c r="AF34" i="29"/>
  <c r="AG34" i="29"/>
  <c r="AW34" i="29" s="1"/>
  <c r="AD34" i="29"/>
  <c r="AI34" i="29"/>
  <c r="AY34" i="29" s="1"/>
  <c r="BC34" i="29" s="1"/>
  <c r="AP33" i="29"/>
  <c r="AQ33" i="29" s="1"/>
  <c r="AT33" i="29" s="1"/>
  <c r="AD33" i="29"/>
  <c r="AH33" i="29"/>
  <c r="AX33" i="29" s="1"/>
  <c r="AE33" i="29"/>
  <c r="AF33" i="29"/>
  <c r="AI33" i="29"/>
  <c r="AY33" i="29" s="1"/>
  <c r="AG33" i="29"/>
  <c r="AW33" i="29" s="1"/>
  <c r="AP39" i="29"/>
  <c r="AR39" i="29" s="1"/>
  <c r="AU39" i="29" s="1"/>
  <c r="AD39" i="29"/>
  <c r="AE39" i="29"/>
  <c r="AF39" i="29"/>
  <c r="AI39" i="29"/>
  <c r="AY39" i="29" s="1"/>
  <c r="AG39" i="29"/>
  <c r="AW39" i="29" s="1"/>
  <c r="BA39" i="29" s="1"/>
  <c r="AH39" i="29"/>
  <c r="AX39" i="29" s="1"/>
  <c r="BB39" i="29" s="1"/>
  <c r="AP40" i="29"/>
  <c r="AR40" i="29" s="1"/>
  <c r="AU40" i="29" s="1"/>
  <c r="AF40" i="29"/>
  <c r="AH40" i="29"/>
  <c r="AX40" i="29" s="1"/>
  <c r="BB40" i="29" s="1"/>
  <c r="AI40" i="29"/>
  <c r="AY40" i="29" s="1"/>
  <c r="AD40" i="29"/>
  <c r="AE40" i="29"/>
  <c r="AG40" i="29"/>
  <c r="AW40" i="29" s="1"/>
  <c r="AP36" i="29"/>
  <c r="AR36" i="29" s="1"/>
  <c r="AU36" i="29" s="1"/>
  <c r="AI36" i="29"/>
  <c r="AY36" i="29" s="1"/>
  <c r="AH36" i="29"/>
  <c r="AX36" i="29" s="1"/>
  <c r="AF36" i="29"/>
  <c r="AD36" i="29"/>
  <c r="AE36" i="29"/>
  <c r="AG36" i="29"/>
  <c r="AW36" i="29" s="1"/>
  <c r="AP35" i="29"/>
  <c r="AQ35" i="29" s="1"/>
  <c r="AT35" i="29" s="1"/>
  <c r="AF35" i="29"/>
  <c r="AE35" i="29"/>
  <c r="AD35" i="29"/>
  <c r="AG35" i="29"/>
  <c r="AW35" i="29" s="1"/>
  <c r="AH35" i="29"/>
  <c r="AX35" i="29" s="1"/>
  <c r="BB35" i="29" s="1"/>
  <c r="AI35" i="29"/>
  <c r="AY35" i="29" s="1"/>
  <c r="AQ34" i="29"/>
  <c r="AT34" i="29" s="1"/>
  <c r="AP38" i="29"/>
  <c r="AR38" i="29" s="1"/>
  <c r="AU38" i="29" s="1"/>
  <c r="AD38" i="29"/>
  <c r="AE38" i="29"/>
  <c r="AF38" i="29"/>
  <c r="AI38" i="29"/>
  <c r="AY38" i="29" s="1"/>
  <c r="AG38" i="29"/>
  <c r="AW38" i="29" s="1"/>
  <c r="AH38" i="29"/>
  <c r="AX38" i="29" s="1"/>
  <c r="AR34" i="29"/>
  <c r="AU34" i="29" s="1"/>
  <c r="AP37" i="29"/>
  <c r="AR37" i="29" s="1"/>
  <c r="AU37" i="29" s="1"/>
  <c r="AE37" i="29"/>
  <c r="AD37" i="29"/>
  <c r="AF37" i="29"/>
  <c r="AI37" i="29"/>
  <c r="AY37" i="29" s="1"/>
  <c r="BC37" i="29" s="1"/>
  <c r="AG37" i="29"/>
  <c r="AW37" i="29" s="1"/>
  <c r="AH37" i="29"/>
  <c r="AX37" i="29" s="1"/>
  <c r="AP31" i="29"/>
  <c r="AR31" i="29" s="1"/>
  <c r="AU31" i="29" s="1"/>
  <c r="AF31" i="29"/>
  <c r="AD31" i="29"/>
  <c r="AE31" i="29"/>
  <c r="AG31" i="29"/>
  <c r="AW31" i="29" s="1"/>
  <c r="AI31" i="29"/>
  <c r="AY31" i="29" s="1"/>
  <c r="AH31" i="29"/>
  <c r="AX31" i="29" s="1"/>
  <c r="AP30" i="29"/>
  <c r="AQ30" i="29" s="1"/>
  <c r="AT30" i="29" s="1"/>
  <c r="AD30" i="29"/>
  <c r="AE30" i="29"/>
  <c r="AF30" i="29"/>
  <c r="AG30" i="29"/>
  <c r="AW30" i="29" s="1"/>
  <c r="AI30" i="29"/>
  <c r="AY30" i="29" s="1"/>
  <c r="BC30" i="29" s="1"/>
  <c r="AH30" i="29"/>
  <c r="AX30" i="29" s="1"/>
  <c r="AP29" i="29"/>
  <c r="AQ29" i="29" s="1"/>
  <c r="AT29" i="29" s="1"/>
  <c r="AE29" i="29"/>
  <c r="AF29" i="29"/>
  <c r="AD29" i="29"/>
  <c r="AI29" i="29"/>
  <c r="AY29" i="29" s="1"/>
  <c r="AG29" i="29"/>
  <c r="AW29" i="29" s="1"/>
  <c r="AH29" i="29"/>
  <c r="AX29" i="29" s="1"/>
  <c r="AF32" i="29"/>
  <c r="AP32" i="29"/>
  <c r="AR32" i="29" s="1"/>
  <c r="AU32" i="29" s="1"/>
  <c r="AD32" i="29"/>
  <c r="AE32" i="29"/>
  <c r="AI32" i="29"/>
  <c r="AY32" i="29" s="1"/>
  <c r="AG32" i="29"/>
  <c r="AW32" i="29" s="1"/>
  <c r="AH32" i="29"/>
  <c r="AX32" i="29" s="1"/>
  <c r="AE25" i="59"/>
  <c r="AB25" i="59"/>
  <c r="I20" i="57"/>
  <c r="K21" i="57"/>
  <c r="O20" i="57"/>
  <c r="M22" i="57"/>
  <c r="P20" i="57"/>
  <c r="J20" i="57"/>
  <c r="L21" i="57"/>
  <c r="N19" i="57"/>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S212" i="1" s="1"/>
  <c r="J213" i="1"/>
  <c r="S213" i="1" s="1"/>
  <c r="J214" i="1"/>
  <c r="S214" i="1" s="1"/>
  <c r="J215" i="1"/>
  <c r="S215" i="1" s="1"/>
  <c r="J216" i="1"/>
  <c r="S216" i="1" s="1"/>
  <c r="J217" i="1"/>
  <c r="S217" i="1" s="1"/>
  <c r="J218" i="1"/>
  <c r="S218" i="1" s="1"/>
  <c r="J219" i="1"/>
  <c r="S219" i="1" s="1"/>
  <c r="J220" i="1"/>
  <c r="S220" i="1" s="1"/>
  <c r="J221" i="1"/>
  <c r="S221" i="1" s="1"/>
  <c r="J222" i="1"/>
  <c r="S222" i="1" s="1"/>
  <c r="J223" i="1"/>
  <c r="S223" i="1" s="1"/>
  <c r="J224" i="1"/>
  <c r="S224" i="1" s="1"/>
  <c r="J225" i="1"/>
  <c r="S225" i="1" s="1"/>
  <c r="J226" i="1"/>
  <c r="S226" i="1" s="1"/>
  <c r="J227" i="1"/>
  <c r="S227" i="1" s="1"/>
  <c r="J228" i="1"/>
  <c r="S228" i="1" s="1"/>
  <c r="J229" i="1"/>
  <c r="S229" i="1" s="1"/>
  <c r="J230" i="1"/>
  <c r="S230" i="1" s="1"/>
  <c r="J231" i="1"/>
  <c r="S231" i="1" s="1"/>
  <c r="J232" i="1"/>
  <c r="S232" i="1" s="1"/>
  <c r="J233" i="1"/>
  <c r="S233" i="1" s="1"/>
  <c r="J234" i="1"/>
  <c r="S234" i="1" s="1"/>
  <c r="J235" i="1"/>
  <c r="S235" i="1" s="1"/>
  <c r="J236" i="1"/>
  <c r="S236" i="1" s="1"/>
  <c r="J237" i="1"/>
  <c r="S237" i="1" s="1"/>
  <c r="J238" i="1"/>
  <c r="S238" i="1" s="1"/>
  <c r="J239" i="1"/>
  <c r="S239" i="1" s="1"/>
  <c r="J240" i="1"/>
  <c r="S240" i="1" s="1"/>
  <c r="J241" i="1"/>
  <c r="S241" i="1" s="1"/>
  <c r="J242" i="1"/>
  <c r="S242" i="1" s="1"/>
  <c r="J243" i="1"/>
  <c r="S243" i="1" s="1"/>
  <c r="J244" i="1"/>
  <c r="S244" i="1" s="1"/>
  <c r="J245" i="1"/>
  <c r="S245" i="1" s="1"/>
  <c r="J246" i="1"/>
  <c r="S246" i="1" s="1"/>
  <c r="J247" i="1"/>
  <c r="S247" i="1" s="1"/>
  <c r="J248" i="1"/>
  <c r="S248" i="1" s="1"/>
  <c r="J249" i="1"/>
  <c r="S249" i="1" s="1"/>
  <c r="J250" i="1"/>
  <c r="S250" i="1" s="1"/>
  <c r="J251" i="1"/>
  <c r="S251" i="1" s="1"/>
  <c r="J252" i="1"/>
  <c r="S252" i="1" s="1"/>
  <c r="J253" i="1"/>
  <c r="S253" i="1" s="1"/>
  <c r="J254" i="1"/>
  <c r="S254" i="1" s="1"/>
  <c r="J255" i="1"/>
  <c r="S255" i="1" s="1"/>
  <c r="J256" i="1"/>
  <c r="S256" i="1" s="1"/>
  <c r="J257" i="1"/>
  <c r="S257" i="1" s="1"/>
  <c r="J258" i="1"/>
  <c r="S258" i="1" s="1"/>
  <c r="J259" i="1"/>
  <c r="S259" i="1" s="1"/>
  <c r="J260" i="1"/>
  <c r="S260" i="1" s="1"/>
  <c r="J261" i="1"/>
  <c r="S261" i="1" s="1"/>
  <c r="J262" i="1"/>
  <c r="S262" i="1" s="1"/>
  <c r="J263" i="1"/>
  <c r="S263" i="1" s="1"/>
  <c r="J264" i="1"/>
  <c r="S264" i="1" s="1"/>
  <c r="J265" i="1"/>
  <c r="S265" i="1" s="1"/>
  <c r="J266" i="1"/>
  <c r="S266" i="1" s="1"/>
  <c r="J267" i="1"/>
  <c r="S267" i="1" s="1"/>
  <c r="J268" i="1"/>
  <c r="S268" i="1" s="1"/>
  <c r="J269" i="1"/>
  <c r="S269" i="1" s="1"/>
  <c r="J270" i="1"/>
  <c r="S270" i="1" s="1"/>
  <c r="J271" i="1"/>
  <c r="S271" i="1" s="1"/>
  <c r="J272" i="1"/>
  <c r="S272" i="1" s="1"/>
  <c r="J273" i="1"/>
  <c r="S273" i="1" s="1"/>
  <c r="J274" i="1"/>
  <c r="S274" i="1" s="1"/>
  <c r="J275" i="1"/>
  <c r="S275" i="1" s="1"/>
  <c r="J276" i="1"/>
  <c r="S276" i="1" s="1"/>
  <c r="J277" i="1"/>
  <c r="S277" i="1" s="1"/>
  <c r="J278" i="1"/>
  <c r="S278" i="1" s="1"/>
  <c r="J279" i="1"/>
  <c r="S279" i="1" s="1"/>
  <c r="J280" i="1"/>
  <c r="S280" i="1" s="1"/>
  <c r="J281" i="1"/>
  <c r="S281" i="1" s="1"/>
  <c r="J282" i="1"/>
  <c r="S282" i="1" s="1"/>
  <c r="J283" i="1"/>
  <c r="S283" i="1" s="1"/>
  <c r="J284" i="1"/>
  <c r="S284" i="1" s="1"/>
  <c r="J285" i="1"/>
  <c r="S285" i="1" s="1"/>
  <c r="J286" i="1"/>
  <c r="S286" i="1" s="1"/>
  <c r="J287" i="1"/>
  <c r="S287" i="1" s="1"/>
  <c r="J288" i="1"/>
  <c r="S288" i="1" s="1"/>
  <c r="J289" i="1"/>
  <c r="S289" i="1" s="1"/>
  <c r="J290" i="1"/>
  <c r="S290" i="1" s="1"/>
  <c r="J291" i="1"/>
  <c r="S291" i="1" s="1"/>
  <c r="J292" i="1"/>
  <c r="S292" i="1" s="1"/>
  <c r="J293" i="1"/>
  <c r="S293" i="1" s="1"/>
  <c r="J294" i="1"/>
  <c r="S294" i="1" s="1"/>
  <c r="J295" i="1"/>
  <c r="S295" i="1" s="1"/>
  <c r="J296" i="1"/>
  <c r="S296" i="1" s="1"/>
  <c r="J297" i="1"/>
  <c r="S297" i="1" s="1"/>
  <c r="J298" i="1"/>
  <c r="S298" i="1" s="1"/>
  <c r="J299" i="1"/>
  <c r="S299" i="1" s="1"/>
  <c r="J300" i="1"/>
  <c r="S300" i="1" s="1"/>
  <c r="J301" i="1"/>
  <c r="S301" i="1" s="1"/>
  <c r="J302" i="1"/>
  <c r="S302" i="1" s="1"/>
  <c r="J303" i="1"/>
  <c r="S303" i="1" s="1"/>
  <c r="J304" i="1"/>
  <c r="S304" i="1" s="1"/>
  <c r="J305" i="1"/>
  <c r="S305" i="1" s="1"/>
  <c r="J306" i="1"/>
  <c r="S306" i="1" s="1"/>
  <c r="J307" i="1"/>
  <c r="S307" i="1" s="1"/>
  <c r="J308" i="1"/>
  <c r="S308" i="1" s="1"/>
  <c r="J309" i="1"/>
  <c r="S309" i="1" s="1"/>
  <c r="J310" i="1"/>
  <c r="S310" i="1" s="1"/>
  <c r="J311" i="1"/>
  <c r="S311" i="1" s="1"/>
  <c r="J312" i="1"/>
  <c r="S312" i="1" s="1"/>
  <c r="J313" i="1"/>
  <c r="S313" i="1" s="1"/>
  <c r="J314" i="1"/>
  <c r="S314" i="1" s="1"/>
  <c r="J315" i="1"/>
  <c r="S315" i="1" s="1"/>
  <c r="J316" i="1"/>
  <c r="S316" i="1" s="1"/>
  <c r="J317" i="1"/>
  <c r="S317" i="1" s="1"/>
  <c r="J318" i="1"/>
  <c r="S318" i="1" s="1"/>
  <c r="J319" i="1"/>
  <c r="S319" i="1" s="1"/>
  <c r="J320" i="1"/>
  <c r="S320" i="1" s="1"/>
  <c r="J321" i="1"/>
  <c r="S321" i="1" s="1"/>
  <c r="J322" i="1"/>
  <c r="S322" i="1" s="1"/>
  <c r="J323" i="1"/>
  <c r="S323" i="1" s="1"/>
  <c r="J324" i="1"/>
  <c r="S324" i="1" s="1"/>
  <c r="J325" i="1"/>
  <c r="S325" i="1" s="1"/>
  <c r="J326" i="1"/>
  <c r="S326" i="1" s="1"/>
  <c r="J327" i="1"/>
  <c r="S327" i="1" s="1"/>
  <c r="J328" i="1"/>
  <c r="S328" i="1" s="1"/>
  <c r="J329" i="1"/>
  <c r="S329" i="1" s="1"/>
  <c r="J330" i="1"/>
  <c r="S330" i="1" s="1"/>
  <c r="J331" i="1"/>
  <c r="S331" i="1" s="1"/>
  <c r="J332" i="1"/>
  <c r="S332" i="1" s="1"/>
  <c r="J333" i="1"/>
  <c r="S333" i="1" s="1"/>
  <c r="J334" i="1"/>
  <c r="S334" i="1" s="1"/>
  <c r="J335" i="1"/>
  <c r="S335" i="1" s="1"/>
  <c r="J336" i="1"/>
  <c r="S336" i="1" s="1"/>
  <c r="J337" i="1"/>
  <c r="S337" i="1" s="1"/>
  <c r="J338" i="1"/>
  <c r="S338" i="1" s="1"/>
  <c r="J339" i="1"/>
  <c r="S339" i="1" s="1"/>
  <c r="J340" i="1"/>
  <c r="S340" i="1" s="1"/>
  <c r="J341" i="1"/>
  <c r="S341" i="1" s="1"/>
  <c r="J342" i="1"/>
  <c r="S342" i="1" s="1"/>
  <c r="J343" i="1"/>
  <c r="S343" i="1" s="1"/>
  <c r="J344" i="1"/>
  <c r="S344" i="1" s="1"/>
  <c r="J345" i="1"/>
  <c r="S345" i="1" s="1"/>
  <c r="J346" i="1"/>
  <c r="S346" i="1" s="1"/>
  <c r="J347" i="1"/>
  <c r="S347" i="1" s="1"/>
  <c r="J348" i="1"/>
  <c r="S348" i="1" s="1"/>
  <c r="J349" i="1"/>
  <c r="S349" i="1" s="1"/>
  <c r="J350" i="1"/>
  <c r="S350" i="1" s="1"/>
  <c r="J351" i="1"/>
  <c r="S351" i="1" s="1"/>
  <c r="J352" i="1"/>
  <c r="S352" i="1" s="1"/>
  <c r="J353" i="1"/>
  <c r="S353" i="1" s="1"/>
  <c r="J354" i="1"/>
  <c r="S354" i="1" s="1"/>
  <c r="J355" i="1"/>
  <c r="S355" i="1" s="1"/>
  <c r="J356" i="1"/>
  <c r="S356" i="1" s="1"/>
  <c r="J357" i="1"/>
  <c r="S357" i="1" s="1"/>
  <c r="J358" i="1"/>
  <c r="S358" i="1" s="1"/>
  <c r="J359" i="1"/>
  <c r="S359" i="1" s="1"/>
  <c r="J360" i="1"/>
  <c r="S360" i="1" s="1"/>
  <c r="J361" i="1"/>
  <c r="S361" i="1" s="1"/>
  <c r="J362" i="1"/>
  <c r="S362" i="1" s="1"/>
  <c r="J363" i="1"/>
  <c r="S363" i="1" s="1"/>
  <c r="J364" i="1"/>
  <c r="S364" i="1" s="1"/>
  <c r="J365" i="1"/>
  <c r="S365" i="1" s="1"/>
  <c r="J366" i="1"/>
  <c r="S366" i="1" s="1"/>
  <c r="J367" i="1"/>
  <c r="S367" i="1" s="1"/>
  <c r="J368" i="1"/>
  <c r="J369" i="1"/>
  <c r="J370" i="1"/>
  <c r="J371" i="1"/>
  <c r="J372" i="1"/>
  <c r="J373" i="1"/>
  <c r="J374" i="1"/>
  <c r="J375" i="1"/>
  <c r="J376" i="1"/>
  <c r="J377" i="1"/>
  <c r="J378" i="1"/>
  <c r="J379"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U212" i="1" s="1"/>
  <c r="L213" i="1"/>
  <c r="U213" i="1" s="1"/>
  <c r="L214" i="1"/>
  <c r="U214" i="1" s="1"/>
  <c r="L215" i="1"/>
  <c r="U215" i="1" s="1"/>
  <c r="L216" i="1"/>
  <c r="U216" i="1" s="1"/>
  <c r="L217" i="1"/>
  <c r="U217" i="1" s="1"/>
  <c r="L218" i="1"/>
  <c r="U218" i="1" s="1"/>
  <c r="L219" i="1"/>
  <c r="U219" i="1" s="1"/>
  <c r="L220" i="1"/>
  <c r="U220" i="1" s="1"/>
  <c r="L221" i="1"/>
  <c r="U221" i="1" s="1"/>
  <c r="L222" i="1"/>
  <c r="U222" i="1" s="1"/>
  <c r="L223" i="1"/>
  <c r="U223" i="1" s="1"/>
  <c r="L224" i="1"/>
  <c r="U224" i="1" s="1"/>
  <c r="L225" i="1"/>
  <c r="U225" i="1" s="1"/>
  <c r="L226" i="1"/>
  <c r="U226" i="1" s="1"/>
  <c r="L227" i="1"/>
  <c r="U227" i="1" s="1"/>
  <c r="L228" i="1"/>
  <c r="U228" i="1" s="1"/>
  <c r="L229" i="1"/>
  <c r="U229" i="1" s="1"/>
  <c r="L230" i="1"/>
  <c r="U230" i="1" s="1"/>
  <c r="L231" i="1"/>
  <c r="U231" i="1" s="1"/>
  <c r="L232" i="1"/>
  <c r="U232" i="1" s="1"/>
  <c r="L233" i="1"/>
  <c r="U233" i="1" s="1"/>
  <c r="L234" i="1"/>
  <c r="U234" i="1" s="1"/>
  <c r="L235" i="1"/>
  <c r="U235" i="1" s="1"/>
  <c r="L236" i="1"/>
  <c r="U236" i="1" s="1"/>
  <c r="L237" i="1"/>
  <c r="U237" i="1" s="1"/>
  <c r="L238" i="1"/>
  <c r="U238" i="1" s="1"/>
  <c r="L239" i="1"/>
  <c r="U239" i="1" s="1"/>
  <c r="L240" i="1"/>
  <c r="U240" i="1" s="1"/>
  <c r="L241" i="1"/>
  <c r="U241" i="1" s="1"/>
  <c r="L242" i="1"/>
  <c r="U242" i="1" s="1"/>
  <c r="L243" i="1"/>
  <c r="U243" i="1" s="1"/>
  <c r="L244" i="1"/>
  <c r="U244" i="1" s="1"/>
  <c r="L245" i="1"/>
  <c r="U245" i="1" s="1"/>
  <c r="L246" i="1"/>
  <c r="U246" i="1" s="1"/>
  <c r="L247" i="1"/>
  <c r="U247" i="1" s="1"/>
  <c r="L248" i="1"/>
  <c r="U248" i="1" s="1"/>
  <c r="L249" i="1"/>
  <c r="U249" i="1" s="1"/>
  <c r="L250" i="1"/>
  <c r="U250" i="1" s="1"/>
  <c r="L251" i="1"/>
  <c r="U251" i="1" s="1"/>
  <c r="L252" i="1"/>
  <c r="U252" i="1" s="1"/>
  <c r="L253" i="1"/>
  <c r="U253" i="1" s="1"/>
  <c r="L254" i="1"/>
  <c r="U254" i="1" s="1"/>
  <c r="L255" i="1"/>
  <c r="U255" i="1" s="1"/>
  <c r="L256" i="1"/>
  <c r="U256" i="1" s="1"/>
  <c r="L257" i="1"/>
  <c r="U257" i="1" s="1"/>
  <c r="L258" i="1"/>
  <c r="U258" i="1" s="1"/>
  <c r="L259" i="1"/>
  <c r="U259" i="1" s="1"/>
  <c r="L260" i="1"/>
  <c r="U260" i="1" s="1"/>
  <c r="L261" i="1"/>
  <c r="U261" i="1" s="1"/>
  <c r="L262" i="1"/>
  <c r="U262" i="1" s="1"/>
  <c r="L263" i="1"/>
  <c r="U263" i="1" s="1"/>
  <c r="L264" i="1"/>
  <c r="U264" i="1" s="1"/>
  <c r="L265" i="1"/>
  <c r="U265" i="1" s="1"/>
  <c r="L266" i="1"/>
  <c r="U266" i="1" s="1"/>
  <c r="L267" i="1"/>
  <c r="U267" i="1" s="1"/>
  <c r="L268" i="1"/>
  <c r="U268" i="1" s="1"/>
  <c r="L269" i="1"/>
  <c r="U269" i="1" s="1"/>
  <c r="L270" i="1"/>
  <c r="U270" i="1" s="1"/>
  <c r="L271" i="1"/>
  <c r="U271" i="1" s="1"/>
  <c r="L272" i="1"/>
  <c r="U272" i="1" s="1"/>
  <c r="L273" i="1"/>
  <c r="U273" i="1" s="1"/>
  <c r="L274" i="1"/>
  <c r="U274" i="1" s="1"/>
  <c r="L275" i="1"/>
  <c r="U275" i="1" s="1"/>
  <c r="L276" i="1"/>
  <c r="U276" i="1" s="1"/>
  <c r="L277" i="1"/>
  <c r="U277" i="1" s="1"/>
  <c r="L278" i="1"/>
  <c r="U278" i="1" s="1"/>
  <c r="L279" i="1"/>
  <c r="U279" i="1" s="1"/>
  <c r="L280" i="1"/>
  <c r="U280" i="1" s="1"/>
  <c r="L281" i="1"/>
  <c r="U281" i="1" s="1"/>
  <c r="L282" i="1"/>
  <c r="U282" i="1" s="1"/>
  <c r="L283" i="1"/>
  <c r="U283" i="1" s="1"/>
  <c r="L284" i="1"/>
  <c r="U284" i="1" s="1"/>
  <c r="L285" i="1"/>
  <c r="U285" i="1" s="1"/>
  <c r="L286" i="1"/>
  <c r="U286" i="1" s="1"/>
  <c r="L287" i="1"/>
  <c r="U287" i="1" s="1"/>
  <c r="L288" i="1"/>
  <c r="U288" i="1" s="1"/>
  <c r="L289" i="1"/>
  <c r="U289" i="1" s="1"/>
  <c r="L290" i="1"/>
  <c r="U290" i="1" s="1"/>
  <c r="L291" i="1"/>
  <c r="U291" i="1" s="1"/>
  <c r="L292" i="1"/>
  <c r="U292" i="1" s="1"/>
  <c r="L293" i="1"/>
  <c r="U293" i="1" s="1"/>
  <c r="L294" i="1"/>
  <c r="U294" i="1" s="1"/>
  <c r="L295" i="1"/>
  <c r="U295" i="1" s="1"/>
  <c r="L296" i="1"/>
  <c r="U296" i="1" s="1"/>
  <c r="L297" i="1"/>
  <c r="U297" i="1" s="1"/>
  <c r="L298" i="1"/>
  <c r="U298" i="1" s="1"/>
  <c r="L299" i="1"/>
  <c r="U299" i="1" s="1"/>
  <c r="L300" i="1"/>
  <c r="U300" i="1" s="1"/>
  <c r="L301" i="1"/>
  <c r="U301" i="1" s="1"/>
  <c r="L302" i="1"/>
  <c r="U302" i="1" s="1"/>
  <c r="L303" i="1"/>
  <c r="U303" i="1" s="1"/>
  <c r="L304" i="1"/>
  <c r="U304" i="1" s="1"/>
  <c r="L305" i="1"/>
  <c r="U305" i="1" s="1"/>
  <c r="L306" i="1"/>
  <c r="U306" i="1" s="1"/>
  <c r="L307" i="1"/>
  <c r="U307" i="1" s="1"/>
  <c r="L308" i="1"/>
  <c r="U308" i="1" s="1"/>
  <c r="L309" i="1"/>
  <c r="U309" i="1" s="1"/>
  <c r="L310" i="1"/>
  <c r="U310" i="1" s="1"/>
  <c r="L311" i="1"/>
  <c r="U311" i="1" s="1"/>
  <c r="L312" i="1"/>
  <c r="U312" i="1" s="1"/>
  <c r="L313" i="1"/>
  <c r="U313" i="1" s="1"/>
  <c r="L314" i="1"/>
  <c r="U314" i="1" s="1"/>
  <c r="L315" i="1"/>
  <c r="U315" i="1" s="1"/>
  <c r="L316" i="1"/>
  <c r="U316" i="1" s="1"/>
  <c r="L317" i="1"/>
  <c r="U317" i="1" s="1"/>
  <c r="L318" i="1"/>
  <c r="U318" i="1" s="1"/>
  <c r="L319" i="1"/>
  <c r="U319" i="1" s="1"/>
  <c r="L320" i="1"/>
  <c r="U320" i="1" s="1"/>
  <c r="L321" i="1"/>
  <c r="U321" i="1" s="1"/>
  <c r="L322" i="1"/>
  <c r="U322" i="1" s="1"/>
  <c r="L323" i="1"/>
  <c r="U323" i="1" s="1"/>
  <c r="L324" i="1"/>
  <c r="U324" i="1" s="1"/>
  <c r="L325" i="1"/>
  <c r="U325" i="1" s="1"/>
  <c r="L326" i="1"/>
  <c r="U326" i="1" s="1"/>
  <c r="L327" i="1"/>
  <c r="U327" i="1" s="1"/>
  <c r="L328" i="1"/>
  <c r="U328" i="1" s="1"/>
  <c r="L329" i="1"/>
  <c r="U329" i="1" s="1"/>
  <c r="L330" i="1"/>
  <c r="U330" i="1" s="1"/>
  <c r="L331" i="1"/>
  <c r="U331" i="1" s="1"/>
  <c r="L332" i="1"/>
  <c r="U332" i="1" s="1"/>
  <c r="L333" i="1"/>
  <c r="U333" i="1" s="1"/>
  <c r="L334" i="1"/>
  <c r="U334" i="1" s="1"/>
  <c r="L335" i="1"/>
  <c r="U335" i="1" s="1"/>
  <c r="L336" i="1"/>
  <c r="U336" i="1" s="1"/>
  <c r="L337" i="1"/>
  <c r="U337" i="1" s="1"/>
  <c r="L338" i="1"/>
  <c r="U338" i="1" s="1"/>
  <c r="L339" i="1"/>
  <c r="U339" i="1" s="1"/>
  <c r="L340" i="1"/>
  <c r="U340" i="1" s="1"/>
  <c r="L341" i="1"/>
  <c r="U341" i="1" s="1"/>
  <c r="L342" i="1"/>
  <c r="U342" i="1" s="1"/>
  <c r="L343" i="1"/>
  <c r="U343" i="1" s="1"/>
  <c r="L344" i="1"/>
  <c r="U344" i="1" s="1"/>
  <c r="L345" i="1"/>
  <c r="U345" i="1" s="1"/>
  <c r="L346" i="1"/>
  <c r="U346" i="1" s="1"/>
  <c r="L347" i="1"/>
  <c r="U347" i="1" s="1"/>
  <c r="L348" i="1"/>
  <c r="U348" i="1" s="1"/>
  <c r="L349" i="1"/>
  <c r="U349" i="1" s="1"/>
  <c r="L350" i="1"/>
  <c r="U350" i="1" s="1"/>
  <c r="L351" i="1"/>
  <c r="U351" i="1" s="1"/>
  <c r="L352" i="1"/>
  <c r="U352" i="1" s="1"/>
  <c r="L353" i="1"/>
  <c r="U353" i="1" s="1"/>
  <c r="L354" i="1"/>
  <c r="U354" i="1" s="1"/>
  <c r="L355" i="1"/>
  <c r="U355" i="1" s="1"/>
  <c r="L356" i="1"/>
  <c r="U356" i="1" s="1"/>
  <c r="L357" i="1"/>
  <c r="U357" i="1" s="1"/>
  <c r="L358" i="1"/>
  <c r="U358" i="1" s="1"/>
  <c r="L359" i="1"/>
  <c r="U359" i="1" s="1"/>
  <c r="L360" i="1"/>
  <c r="U360" i="1" s="1"/>
  <c r="L361" i="1"/>
  <c r="U361" i="1" s="1"/>
  <c r="L362" i="1"/>
  <c r="U362" i="1" s="1"/>
  <c r="L363" i="1"/>
  <c r="U363" i="1" s="1"/>
  <c r="L364" i="1"/>
  <c r="U364" i="1" s="1"/>
  <c r="L365" i="1"/>
  <c r="U365" i="1" s="1"/>
  <c r="L366" i="1"/>
  <c r="U366" i="1" s="1"/>
  <c r="L367" i="1"/>
  <c r="U367" i="1" s="1"/>
  <c r="L368" i="1"/>
  <c r="L369" i="1"/>
  <c r="L370" i="1"/>
  <c r="L371" i="1"/>
  <c r="L372" i="1"/>
  <c r="L373" i="1"/>
  <c r="L374" i="1"/>
  <c r="L375" i="1"/>
  <c r="L376" i="1"/>
  <c r="L377" i="1"/>
  <c r="L378" i="1"/>
  <c r="L379" i="1"/>
  <c r="L128" i="1"/>
  <c r="J128" i="1"/>
  <c r="BA30" i="29" l="1"/>
  <c r="BA34" i="29"/>
  <c r="BA36" i="29"/>
  <c r="BB37" i="29"/>
  <c r="BC35" i="29"/>
  <c r="BB33" i="29"/>
  <c r="BB31" i="29"/>
  <c r="BA35" i="29"/>
  <c r="BC39" i="29"/>
  <c r="AR35" i="29"/>
  <c r="AU35" i="29" s="1"/>
  <c r="BB36" i="29"/>
  <c r="BC36" i="29"/>
  <c r="BC31" i="29"/>
  <c r="BA37" i="29"/>
  <c r="BA31" i="29"/>
  <c r="BA40" i="29"/>
  <c r="BB32" i="29"/>
  <c r="BB38" i="29"/>
  <c r="BA32" i="29"/>
  <c r="BA38" i="29"/>
  <c r="BA33" i="29"/>
  <c r="BB34" i="29"/>
  <c r="BC32" i="29"/>
  <c r="BB30" i="29"/>
  <c r="BC38" i="29"/>
  <c r="BC40" i="29"/>
  <c r="BC33" i="29"/>
  <c r="X368" i="1"/>
  <c r="U368" i="1"/>
  <c r="V379" i="1"/>
  <c r="AI379" i="1" s="1"/>
  <c r="S379" i="1"/>
  <c r="X379" i="1"/>
  <c r="AK379" i="1" s="1"/>
  <c r="U379" i="1"/>
  <c r="V378" i="1"/>
  <c r="AI378" i="1" s="1"/>
  <c r="S378" i="1"/>
  <c r="X378" i="1"/>
  <c r="AK378" i="1" s="1"/>
  <c r="U378" i="1"/>
  <c r="V377" i="1"/>
  <c r="AI377" i="1" s="1"/>
  <c r="S377" i="1"/>
  <c r="V376" i="1"/>
  <c r="AI376" i="1" s="1"/>
  <c r="S376" i="1"/>
  <c r="V375" i="1"/>
  <c r="AI375" i="1" s="1"/>
  <c r="S375" i="1"/>
  <c r="V374" i="1"/>
  <c r="AI374" i="1" s="1"/>
  <c r="S374" i="1"/>
  <c r="X374" i="1"/>
  <c r="AK374" i="1" s="1"/>
  <c r="U374" i="1"/>
  <c r="V373" i="1"/>
  <c r="AI373" i="1" s="1"/>
  <c r="S373" i="1"/>
  <c r="X377" i="1"/>
  <c r="AK377" i="1" s="1"/>
  <c r="U377" i="1"/>
  <c r="V372" i="1"/>
  <c r="AI372" i="1" s="1"/>
  <c r="S372" i="1"/>
  <c r="V371" i="1"/>
  <c r="AI371" i="1" s="1"/>
  <c r="S371" i="1"/>
  <c r="V370" i="1"/>
  <c r="AI370" i="1" s="1"/>
  <c r="S370" i="1"/>
  <c r="X376" i="1"/>
  <c r="AK376" i="1" s="1"/>
  <c r="U376" i="1"/>
  <c r="X375" i="1"/>
  <c r="AK375" i="1" s="1"/>
  <c r="U375" i="1"/>
  <c r="X372" i="1"/>
  <c r="AK372" i="1" s="1"/>
  <c r="U372" i="1"/>
  <c r="X371" i="1"/>
  <c r="AK371" i="1" s="1"/>
  <c r="U371" i="1"/>
  <c r="V369" i="1"/>
  <c r="AI369" i="1" s="1"/>
  <c r="S369" i="1"/>
  <c r="X373" i="1"/>
  <c r="AK373" i="1" s="1"/>
  <c r="U373" i="1"/>
  <c r="X370" i="1"/>
  <c r="AK370" i="1" s="1"/>
  <c r="U370" i="1"/>
  <c r="X369" i="1"/>
  <c r="AK369" i="1" s="1"/>
  <c r="U369" i="1"/>
  <c r="V368" i="1"/>
  <c r="AI368" i="1" s="1"/>
  <c r="S368" i="1"/>
  <c r="AQ31" i="29"/>
  <c r="AT31" i="29" s="1"/>
  <c r="AQ40" i="29"/>
  <c r="AT40" i="29" s="1"/>
  <c r="AQ36" i="29"/>
  <c r="AT36" i="29" s="1"/>
  <c r="AR33" i="29"/>
  <c r="AU33" i="29" s="1"/>
  <c r="AQ38" i="29"/>
  <c r="AT38" i="29" s="1"/>
  <c r="AQ37" i="29"/>
  <c r="AT37" i="29" s="1"/>
  <c r="AQ39" i="29"/>
  <c r="AT39" i="29" s="1"/>
  <c r="AQ32" i="29"/>
  <c r="AT32" i="29" s="1"/>
  <c r="AR30" i="29"/>
  <c r="AU30" i="29" s="1"/>
  <c r="AR29" i="29"/>
  <c r="AU29" i="29" s="1"/>
  <c r="AE26" i="59"/>
  <c r="AB26" i="59"/>
  <c r="AK368" i="1"/>
  <c r="P128" i="1"/>
  <c r="V128" i="1"/>
  <c r="X365" i="1"/>
  <c r="AK365" i="1" s="1"/>
  <c r="R365" i="1"/>
  <c r="AD365" i="1" s="1"/>
  <c r="X357" i="1"/>
  <c r="AK357" i="1" s="1"/>
  <c r="R357" i="1"/>
  <c r="AD357" i="1" s="1"/>
  <c r="X345" i="1"/>
  <c r="AK345" i="1" s="1"/>
  <c r="R345" i="1"/>
  <c r="AD345" i="1" s="1"/>
  <c r="X337" i="1"/>
  <c r="AK337" i="1" s="1"/>
  <c r="R337" i="1"/>
  <c r="AD337" i="1" s="1"/>
  <c r="X329" i="1"/>
  <c r="AK329" i="1" s="1"/>
  <c r="R329" i="1"/>
  <c r="AD329" i="1" s="1"/>
  <c r="X317" i="1"/>
  <c r="AK317" i="1" s="1"/>
  <c r="R317" i="1"/>
  <c r="AD317" i="1" s="1"/>
  <c r="X309" i="1"/>
  <c r="AK309" i="1" s="1"/>
  <c r="R309" i="1"/>
  <c r="AD309" i="1" s="1"/>
  <c r="X301" i="1"/>
  <c r="AK301" i="1" s="1"/>
  <c r="R301" i="1"/>
  <c r="AD301" i="1" s="1"/>
  <c r="X293" i="1"/>
  <c r="AK293" i="1" s="1"/>
  <c r="R293" i="1"/>
  <c r="AD293" i="1" s="1"/>
  <c r="X285" i="1"/>
  <c r="AK285" i="1" s="1"/>
  <c r="R285" i="1"/>
  <c r="AD285" i="1" s="1"/>
  <c r="X277" i="1"/>
  <c r="AK277" i="1" s="1"/>
  <c r="R277" i="1"/>
  <c r="AD277" i="1" s="1"/>
  <c r="X265" i="1"/>
  <c r="AK265" i="1" s="1"/>
  <c r="R265" i="1"/>
  <c r="AD265" i="1" s="1"/>
  <c r="X257" i="1"/>
  <c r="AK257" i="1" s="1"/>
  <c r="R257" i="1"/>
  <c r="AD257" i="1" s="1"/>
  <c r="X245" i="1"/>
  <c r="AK245" i="1" s="1"/>
  <c r="R245" i="1"/>
  <c r="AD245" i="1" s="1"/>
  <c r="X233" i="1"/>
  <c r="AK233" i="1" s="1"/>
  <c r="R233" i="1"/>
  <c r="AD233" i="1" s="1"/>
  <c r="X221" i="1"/>
  <c r="AK221" i="1" s="1"/>
  <c r="R221" i="1"/>
  <c r="AD221" i="1" s="1"/>
  <c r="X213" i="1"/>
  <c r="AK213" i="1" s="1"/>
  <c r="R213" i="1"/>
  <c r="AD213" i="1" s="1"/>
  <c r="X205" i="1"/>
  <c r="AK205" i="1" s="1"/>
  <c r="R205" i="1"/>
  <c r="AD205" i="1" s="1"/>
  <c r="X197" i="1"/>
  <c r="AK197" i="1" s="1"/>
  <c r="R197" i="1"/>
  <c r="AD197" i="1" s="1"/>
  <c r="X185" i="1"/>
  <c r="AK185" i="1" s="1"/>
  <c r="R185" i="1"/>
  <c r="AD185" i="1" s="1"/>
  <c r="X177" i="1"/>
  <c r="AK177" i="1" s="1"/>
  <c r="R177" i="1"/>
  <c r="AD177" i="1" s="1"/>
  <c r="X169" i="1"/>
  <c r="AK169" i="1" s="1"/>
  <c r="R169" i="1"/>
  <c r="AD169" i="1" s="1"/>
  <c r="R157" i="1"/>
  <c r="AD157" i="1" s="1"/>
  <c r="X157" i="1"/>
  <c r="AK157" i="1" s="1"/>
  <c r="X149" i="1"/>
  <c r="AK149" i="1" s="1"/>
  <c r="R149" i="1"/>
  <c r="AD149" i="1" s="1"/>
  <c r="R137" i="1"/>
  <c r="X137" i="1"/>
  <c r="V360" i="1"/>
  <c r="AI360" i="1" s="1"/>
  <c r="P360" i="1"/>
  <c r="AB360" i="1" s="1"/>
  <c r="V352" i="1"/>
  <c r="AI352" i="1" s="1"/>
  <c r="P352" i="1"/>
  <c r="AB352" i="1" s="1"/>
  <c r="V348" i="1"/>
  <c r="AI348" i="1" s="1"/>
  <c r="P348" i="1"/>
  <c r="AB348" i="1" s="1"/>
  <c r="V340" i="1"/>
  <c r="AI340" i="1" s="1"/>
  <c r="P340" i="1"/>
  <c r="AB340" i="1" s="1"/>
  <c r="V336" i="1"/>
  <c r="AI336" i="1" s="1"/>
  <c r="P336" i="1"/>
  <c r="AB336" i="1" s="1"/>
  <c r="V332" i="1"/>
  <c r="AI332" i="1" s="1"/>
  <c r="P332" i="1"/>
  <c r="V328" i="1"/>
  <c r="AI328" i="1" s="1"/>
  <c r="P328" i="1"/>
  <c r="AB328" i="1" s="1"/>
  <c r="V324" i="1"/>
  <c r="AI324" i="1" s="1"/>
  <c r="P324" i="1"/>
  <c r="AB324" i="1" s="1"/>
  <c r="V320" i="1"/>
  <c r="AI320" i="1" s="1"/>
  <c r="P320" i="1"/>
  <c r="V316" i="1"/>
  <c r="AI316" i="1" s="1"/>
  <c r="P316" i="1"/>
  <c r="AB316" i="1" s="1"/>
  <c r="V312" i="1"/>
  <c r="AI312" i="1" s="1"/>
  <c r="P312" i="1"/>
  <c r="AB312" i="1" s="1"/>
  <c r="V308" i="1"/>
  <c r="AI308" i="1" s="1"/>
  <c r="P308" i="1"/>
  <c r="V304" i="1"/>
  <c r="AI304" i="1" s="1"/>
  <c r="P304" i="1"/>
  <c r="AB304" i="1" s="1"/>
  <c r="V300" i="1"/>
  <c r="AI300" i="1" s="1"/>
  <c r="P300" i="1"/>
  <c r="AB300" i="1" s="1"/>
  <c r="V296" i="1"/>
  <c r="AI296" i="1" s="1"/>
  <c r="P296" i="1"/>
  <c r="V292" i="1"/>
  <c r="AI292" i="1" s="1"/>
  <c r="P292" i="1"/>
  <c r="AB292" i="1" s="1"/>
  <c r="V284" i="1"/>
  <c r="AI284" i="1" s="1"/>
  <c r="P284" i="1"/>
  <c r="V280" i="1"/>
  <c r="AI280" i="1" s="1"/>
  <c r="P280" i="1"/>
  <c r="AB280" i="1" s="1"/>
  <c r="V276" i="1"/>
  <c r="AI276" i="1" s="1"/>
  <c r="P276" i="1"/>
  <c r="AB276" i="1" s="1"/>
  <c r="V272" i="1"/>
  <c r="AI272" i="1" s="1"/>
  <c r="P272" i="1"/>
  <c r="V268" i="1"/>
  <c r="AI268" i="1" s="1"/>
  <c r="P268" i="1"/>
  <c r="AB268" i="1" s="1"/>
  <c r="V264" i="1"/>
  <c r="AI264" i="1" s="1"/>
  <c r="P264" i="1"/>
  <c r="AB264" i="1" s="1"/>
  <c r="V260" i="1"/>
  <c r="AI260" i="1" s="1"/>
  <c r="P260" i="1"/>
  <c r="V256" i="1"/>
  <c r="AI256" i="1" s="1"/>
  <c r="P256" i="1"/>
  <c r="AB256" i="1" s="1"/>
  <c r="V252" i="1"/>
  <c r="AI252" i="1" s="1"/>
  <c r="P252" i="1"/>
  <c r="AB252" i="1" s="1"/>
  <c r="V248" i="1"/>
  <c r="AI248" i="1" s="1"/>
  <c r="P248" i="1"/>
  <c r="V244" i="1"/>
  <c r="AI244" i="1" s="1"/>
  <c r="P244" i="1"/>
  <c r="AB244" i="1" s="1"/>
  <c r="V240" i="1"/>
  <c r="AI240" i="1" s="1"/>
  <c r="P240" i="1"/>
  <c r="AB240" i="1" s="1"/>
  <c r="V236" i="1"/>
  <c r="AI236" i="1" s="1"/>
  <c r="P236" i="1"/>
  <c r="V232" i="1"/>
  <c r="AI232" i="1" s="1"/>
  <c r="P232" i="1"/>
  <c r="AB232" i="1" s="1"/>
  <c r="V228" i="1"/>
  <c r="AI228" i="1" s="1"/>
  <c r="P228" i="1"/>
  <c r="AB228" i="1" s="1"/>
  <c r="V224" i="1"/>
  <c r="AI224" i="1" s="1"/>
  <c r="P224" i="1"/>
  <c r="V220" i="1"/>
  <c r="AI220" i="1" s="1"/>
  <c r="P220" i="1"/>
  <c r="AB220" i="1" s="1"/>
  <c r="V216" i="1"/>
  <c r="AI216" i="1" s="1"/>
  <c r="P216" i="1"/>
  <c r="AB216" i="1" s="1"/>
  <c r="V212" i="1"/>
  <c r="AI212" i="1" s="1"/>
  <c r="P212" i="1"/>
  <c r="V208" i="1"/>
  <c r="AI208" i="1" s="1"/>
  <c r="P208" i="1"/>
  <c r="AB208" i="1" s="1"/>
  <c r="V204" i="1"/>
  <c r="AI204" i="1" s="1"/>
  <c r="P204" i="1"/>
  <c r="AB204" i="1" s="1"/>
  <c r="V200" i="1"/>
  <c r="AI200" i="1" s="1"/>
  <c r="P200" i="1"/>
  <c r="V196" i="1"/>
  <c r="AI196" i="1" s="1"/>
  <c r="P196" i="1"/>
  <c r="AB196" i="1" s="1"/>
  <c r="V192" i="1"/>
  <c r="AI192" i="1" s="1"/>
  <c r="P192" i="1"/>
  <c r="AB192" i="1" s="1"/>
  <c r="V188" i="1"/>
  <c r="AI188" i="1" s="1"/>
  <c r="P188" i="1"/>
  <c r="V184" i="1"/>
  <c r="AI184" i="1" s="1"/>
  <c r="P184" i="1"/>
  <c r="AB184" i="1" s="1"/>
  <c r="V180" i="1"/>
  <c r="AI180" i="1" s="1"/>
  <c r="P180" i="1"/>
  <c r="AB180" i="1" s="1"/>
  <c r="V176" i="1"/>
  <c r="AI176" i="1" s="1"/>
  <c r="P176" i="1"/>
  <c r="P172" i="1"/>
  <c r="AB172" i="1" s="1"/>
  <c r="V172" i="1"/>
  <c r="AI172" i="1" s="1"/>
  <c r="V168" i="1"/>
  <c r="AI168" i="1" s="1"/>
  <c r="P168" i="1"/>
  <c r="AB168" i="1" s="1"/>
  <c r="V164" i="1"/>
  <c r="AI164" i="1" s="1"/>
  <c r="P164" i="1"/>
  <c r="V160" i="1"/>
  <c r="AI160" i="1" s="1"/>
  <c r="P160" i="1"/>
  <c r="AB160" i="1" s="1"/>
  <c r="V156" i="1"/>
  <c r="AI156" i="1" s="1"/>
  <c r="P156" i="1"/>
  <c r="AB156" i="1" s="1"/>
  <c r="V152" i="1"/>
  <c r="AI152" i="1" s="1"/>
  <c r="P152" i="1"/>
  <c r="V148" i="1"/>
  <c r="AI148" i="1" s="1"/>
  <c r="P148" i="1"/>
  <c r="AB148" i="1" s="1"/>
  <c r="V144" i="1"/>
  <c r="AI144" i="1" s="1"/>
  <c r="P144" i="1"/>
  <c r="AB144" i="1" s="1"/>
  <c r="V140" i="1"/>
  <c r="AI140" i="1" s="1"/>
  <c r="P140" i="1"/>
  <c r="P136" i="1"/>
  <c r="V136" i="1"/>
  <c r="P132" i="1"/>
  <c r="V132" i="1"/>
  <c r="R128" i="1"/>
  <c r="X128" i="1"/>
  <c r="X364" i="1"/>
  <c r="AK364" i="1" s="1"/>
  <c r="R364" i="1"/>
  <c r="AD364" i="1" s="1"/>
  <c r="X360" i="1"/>
  <c r="AK360" i="1" s="1"/>
  <c r="R360" i="1"/>
  <c r="AD360" i="1" s="1"/>
  <c r="X356" i="1"/>
  <c r="R356" i="1"/>
  <c r="AD356" i="1" s="1"/>
  <c r="X352" i="1"/>
  <c r="AK352" i="1" s="1"/>
  <c r="R352" i="1"/>
  <c r="AD352" i="1" s="1"/>
  <c r="X348" i="1"/>
  <c r="AK348" i="1" s="1"/>
  <c r="R348" i="1"/>
  <c r="AD348" i="1" s="1"/>
  <c r="X344" i="1"/>
  <c r="R344" i="1"/>
  <c r="AD344" i="1" s="1"/>
  <c r="X340" i="1"/>
  <c r="AK340" i="1" s="1"/>
  <c r="R340" i="1"/>
  <c r="AD340" i="1" s="1"/>
  <c r="X336" i="1"/>
  <c r="AK336" i="1" s="1"/>
  <c r="R336" i="1"/>
  <c r="AD336" i="1" s="1"/>
  <c r="X332" i="1"/>
  <c r="R332" i="1"/>
  <c r="AD332" i="1" s="1"/>
  <c r="X328" i="1"/>
  <c r="AK328" i="1" s="1"/>
  <c r="R328" i="1"/>
  <c r="AD328" i="1" s="1"/>
  <c r="X324" i="1"/>
  <c r="AK324" i="1" s="1"/>
  <c r="R324" i="1"/>
  <c r="AD324" i="1" s="1"/>
  <c r="X320" i="1"/>
  <c r="R320" i="1"/>
  <c r="AD320" i="1" s="1"/>
  <c r="X316" i="1"/>
  <c r="AK316" i="1" s="1"/>
  <c r="R316" i="1"/>
  <c r="AD316" i="1" s="1"/>
  <c r="X312" i="1"/>
  <c r="AK312" i="1" s="1"/>
  <c r="R312" i="1"/>
  <c r="AD312" i="1" s="1"/>
  <c r="X308" i="1"/>
  <c r="R308" i="1"/>
  <c r="AD308" i="1" s="1"/>
  <c r="X304" i="1"/>
  <c r="AK304" i="1" s="1"/>
  <c r="R304" i="1"/>
  <c r="AD304" i="1" s="1"/>
  <c r="X300" i="1"/>
  <c r="AK300" i="1" s="1"/>
  <c r="R300" i="1"/>
  <c r="AD300" i="1" s="1"/>
  <c r="X296" i="1"/>
  <c r="R296" i="1"/>
  <c r="AD296" i="1" s="1"/>
  <c r="X292" i="1"/>
  <c r="AK292" i="1" s="1"/>
  <c r="R292" i="1"/>
  <c r="AD292" i="1" s="1"/>
  <c r="X288" i="1"/>
  <c r="AK288" i="1" s="1"/>
  <c r="R288" i="1"/>
  <c r="AD288" i="1" s="1"/>
  <c r="X284" i="1"/>
  <c r="R284" i="1"/>
  <c r="AD284" i="1" s="1"/>
  <c r="X280" i="1"/>
  <c r="AK280" i="1" s="1"/>
  <c r="R280" i="1"/>
  <c r="AD280" i="1" s="1"/>
  <c r="X276" i="1"/>
  <c r="AK276" i="1" s="1"/>
  <c r="R276" i="1"/>
  <c r="AD276" i="1" s="1"/>
  <c r="X272" i="1"/>
  <c r="R272" i="1"/>
  <c r="AD272" i="1" s="1"/>
  <c r="X268" i="1"/>
  <c r="AK268" i="1" s="1"/>
  <c r="R268" i="1"/>
  <c r="AD268" i="1" s="1"/>
  <c r="X264" i="1"/>
  <c r="AK264" i="1" s="1"/>
  <c r="R264" i="1"/>
  <c r="AD264" i="1" s="1"/>
  <c r="X260" i="1"/>
  <c r="R260" i="1"/>
  <c r="AD260" i="1" s="1"/>
  <c r="X256" i="1"/>
  <c r="AK256" i="1" s="1"/>
  <c r="R256" i="1"/>
  <c r="AD256" i="1" s="1"/>
  <c r="X252" i="1"/>
  <c r="AK252" i="1" s="1"/>
  <c r="R252" i="1"/>
  <c r="AD252" i="1" s="1"/>
  <c r="X248" i="1"/>
  <c r="R248" i="1"/>
  <c r="AD248" i="1" s="1"/>
  <c r="X244" i="1"/>
  <c r="AK244" i="1" s="1"/>
  <c r="R244" i="1"/>
  <c r="AD244" i="1" s="1"/>
  <c r="X240" i="1"/>
  <c r="AK240" i="1" s="1"/>
  <c r="R240" i="1"/>
  <c r="AD240" i="1" s="1"/>
  <c r="X236" i="1"/>
  <c r="R236" i="1"/>
  <c r="AD236" i="1" s="1"/>
  <c r="X232" i="1"/>
  <c r="AK232" i="1" s="1"/>
  <c r="R232" i="1"/>
  <c r="AD232" i="1" s="1"/>
  <c r="X228" i="1"/>
  <c r="AK228" i="1" s="1"/>
  <c r="R228" i="1"/>
  <c r="AD228" i="1" s="1"/>
  <c r="X224" i="1"/>
  <c r="R224" i="1"/>
  <c r="AD224" i="1" s="1"/>
  <c r="X220" i="1"/>
  <c r="AK220" i="1" s="1"/>
  <c r="R220" i="1"/>
  <c r="AD220" i="1" s="1"/>
  <c r="X216" i="1"/>
  <c r="AK216" i="1" s="1"/>
  <c r="R216" i="1"/>
  <c r="AD216" i="1" s="1"/>
  <c r="X212" i="1"/>
  <c r="R212" i="1"/>
  <c r="AD212" i="1" s="1"/>
  <c r="X208" i="1"/>
  <c r="AK208" i="1" s="1"/>
  <c r="R208" i="1"/>
  <c r="AD208" i="1" s="1"/>
  <c r="X204" i="1"/>
  <c r="AK204" i="1" s="1"/>
  <c r="R204" i="1"/>
  <c r="AD204" i="1" s="1"/>
  <c r="X200" i="1"/>
  <c r="R200" i="1"/>
  <c r="AD200" i="1" s="1"/>
  <c r="X196" i="1"/>
  <c r="AK196" i="1" s="1"/>
  <c r="R196" i="1"/>
  <c r="AD196" i="1" s="1"/>
  <c r="X192" i="1"/>
  <c r="AK192" i="1" s="1"/>
  <c r="R192" i="1"/>
  <c r="AD192" i="1" s="1"/>
  <c r="X188" i="1"/>
  <c r="R188" i="1"/>
  <c r="AD188" i="1" s="1"/>
  <c r="X184" i="1"/>
  <c r="AK184" i="1" s="1"/>
  <c r="R184" i="1"/>
  <c r="AD184" i="1" s="1"/>
  <c r="X180" i="1"/>
  <c r="AK180" i="1" s="1"/>
  <c r="R180" i="1"/>
  <c r="AD180" i="1" s="1"/>
  <c r="X176" i="1"/>
  <c r="R176" i="1"/>
  <c r="AD176" i="1" s="1"/>
  <c r="X172" i="1"/>
  <c r="AK172" i="1" s="1"/>
  <c r="R172" i="1"/>
  <c r="AD172" i="1" s="1"/>
  <c r="X168" i="1"/>
  <c r="AK168" i="1" s="1"/>
  <c r="R168" i="1"/>
  <c r="AD168" i="1" s="1"/>
  <c r="X164" i="1"/>
  <c r="R164" i="1"/>
  <c r="AD164" i="1" s="1"/>
  <c r="X160" i="1"/>
  <c r="AK160" i="1" s="1"/>
  <c r="R160" i="1"/>
  <c r="AD160" i="1" s="1"/>
  <c r="X156" i="1"/>
  <c r="AK156" i="1" s="1"/>
  <c r="R156" i="1"/>
  <c r="AD156" i="1" s="1"/>
  <c r="X152" i="1"/>
  <c r="R152" i="1"/>
  <c r="AD152" i="1" s="1"/>
  <c r="X148" i="1"/>
  <c r="AK148" i="1" s="1"/>
  <c r="R148" i="1"/>
  <c r="AD148" i="1" s="1"/>
  <c r="X144" i="1"/>
  <c r="AK144" i="1" s="1"/>
  <c r="R144" i="1"/>
  <c r="AD144" i="1" s="1"/>
  <c r="X140" i="1"/>
  <c r="R140" i="1"/>
  <c r="AD140" i="1" s="1"/>
  <c r="R136" i="1"/>
  <c r="X136" i="1"/>
  <c r="R132" i="1"/>
  <c r="X132" i="1"/>
  <c r="V367" i="1"/>
  <c r="AI367" i="1" s="1"/>
  <c r="P367" i="1"/>
  <c r="AB367" i="1" s="1"/>
  <c r="V363" i="1"/>
  <c r="AI363" i="1" s="1"/>
  <c r="P363" i="1"/>
  <c r="AB363" i="1" s="1"/>
  <c r="V359" i="1"/>
  <c r="AI359" i="1" s="1"/>
  <c r="P359" i="1"/>
  <c r="AB359" i="1" s="1"/>
  <c r="V355" i="1"/>
  <c r="AI355" i="1" s="1"/>
  <c r="P355" i="1"/>
  <c r="AB355" i="1" s="1"/>
  <c r="V351" i="1"/>
  <c r="AI351" i="1" s="1"/>
  <c r="P351" i="1"/>
  <c r="AB351" i="1" s="1"/>
  <c r="V347" i="1"/>
  <c r="AI347" i="1" s="1"/>
  <c r="P347" i="1"/>
  <c r="AB347" i="1" s="1"/>
  <c r="P343" i="1"/>
  <c r="AB343" i="1" s="1"/>
  <c r="V343" i="1"/>
  <c r="AI343" i="1" s="1"/>
  <c r="V339" i="1"/>
  <c r="AI339" i="1" s="1"/>
  <c r="P339" i="1"/>
  <c r="AB339" i="1" s="1"/>
  <c r="V335" i="1"/>
  <c r="AI335" i="1" s="1"/>
  <c r="P335" i="1"/>
  <c r="AB335" i="1" s="1"/>
  <c r="V331" i="1"/>
  <c r="AI331" i="1" s="1"/>
  <c r="P331" i="1"/>
  <c r="AB331" i="1" s="1"/>
  <c r="V327" i="1"/>
  <c r="AI327" i="1" s="1"/>
  <c r="P327" i="1"/>
  <c r="AB327" i="1" s="1"/>
  <c r="V323" i="1"/>
  <c r="AI323" i="1" s="1"/>
  <c r="P323" i="1"/>
  <c r="AB323" i="1" s="1"/>
  <c r="V319" i="1"/>
  <c r="AI319" i="1" s="1"/>
  <c r="P319" i="1"/>
  <c r="AB319" i="1" s="1"/>
  <c r="V315" i="1"/>
  <c r="AI315" i="1" s="1"/>
  <c r="P315" i="1"/>
  <c r="AB315" i="1" s="1"/>
  <c r="V311" i="1"/>
  <c r="AI311" i="1" s="1"/>
  <c r="P311" i="1"/>
  <c r="AB311" i="1" s="1"/>
  <c r="V307" i="1"/>
  <c r="AI307" i="1" s="1"/>
  <c r="P307" i="1"/>
  <c r="AB307" i="1" s="1"/>
  <c r="V303" i="1"/>
  <c r="AI303" i="1" s="1"/>
  <c r="P303" i="1"/>
  <c r="AB303" i="1" s="1"/>
  <c r="V299" i="1"/>
  <c r="AI299" i="1" s="1"/>
  <c r="P299" i="1"/>
  <c r="AB299" i="1" s="1"/>
  <c r="V295" i="1"/>
  <c r="AI295" i="1" s="1"/>
  <c r="P295" i="1"/>
  <c r="AB295" i="1" s="1"/>
  <c r="V291" i="1"/>
  <c r="AI291" i="1" s="1"/>
  <c r="P291" i="1"/>
  <c r="AB291" i="1" s="1"/>
  <c r="V287" i="1"/>
  <c r="AI287" i="1" s="1"/>
  <c r="P287" i="1"/>
  <c r="AB287" i="1" s="1"/>
  <c r="V283" i="1"/>
  <c r="AI283" i="1" s="1"/>
  <c r="P283" i="1"/>
  <c r="AB283" i="1" s="1"/>
  <c r="V279" i="1"/>
  <c r="AI279" i="1" s="1"/>
  <c r="P279" i="1"/>
  <c r="AB279" i="1" s="1"/>
  <c r="V275" i="1"/>
  <c r="AI275" i="1" s="1"/>
  <c r="P275" i="1"/>
  <c r="AB275" i="1" s="1"/>
  <c r="V271" i="1"/>
  <c r="AI271" i="1" s="1"/>
  <c r="P271" i="1"/>
  <c r="AB271" i="1" s="1"/>
  <c r="V267" i="1"/>
  <c r="AI267" i="1" s="1"/>
  <c r="P267" i="1"/>
  <c r="AB267" i="1" s="1"/>
  <c r="V263" i="1"/>
  <c r="AI263" i="1" s="1"/>
  <c r="P263" i="1"/>
  <c r="AB263" i="1" s="1"/>
  <c r="V259" i="1"/>
  <c r="AI259" i="1" s="1"/>
  <c r="P259" i="1"/>
  <c r="AB259" i="1" s="1"/>
  <c r="V255" i="1"/>
  <c r="AI255" i="1" s="1"/>
  <c r="P255" i="1"/>
  <c r="AB255" i="1" s="1"/>
  <c r="V251" i="1"/>
  <c r="AI251" i="1" s="1"/>
  <c r="P251" i="1"/>
  <c r="AB251" i="1" s="1"/>
  <c r="V247" i="1"/>
  <c r="AI247" i="1" s="1"/>
  <c r="P247" i="1"/>
  <c r="AB247" i="1" s="1"/>
  <c r="V243" i="1"/>
  <c r="AI243" i="1" s="1"/>
  <c r="P243" i="1"/>
  <c r="AB243" i="1" s="1"/>
  <c r="V239" i="1"/>
  <c r="AI239" i="1" s="1"/>
  <c r="P239" i="1"/>
  <c r="AB239" i="1" s="1"/>
  <c r="V235" i="1"/>
  <c r="AI235" i="1" s="1"/>
  <c r="P235" i="1"/>
  <c r="AB235" i="1" s="1"/>
  <c r="V231" i="1"/>
  <c r="AI231" i="1" s="1"/>
  <c r="P231" i="1"/>
  <c r="AB231" i="1" s="1"/>
  <c r="V227" i="1"/>
  <c r="AI227" i="1" s="1"/>
  <c r="P227" i="1"/>
  <c r="AB227" i="1" s="1"/>
  <c r="V223" i="1"/>
  <c r="AI223" i="1" s="1"/>
  <c r="P223" i="1"/>
  <c r="AB223" i="1" s="1"/>
  <c r="V219" i="1"/>
  <c r="AI219" i="1" s="1"/>
  <c r="P219" i="1"/>
  <c r="AB219" i="1" s="1"/>
  <c r="V215" i="1"/>
  <c r="AI215" i="1" s="1"/>
  <c r="P215" i="1"/>
  <c r="AB215" i="1" s="1"/>
  <c r="V211" i="1"/>
  <c r="AI211" i="1" s="1"/>
  <c r="P211" i="1"/>
  <c r="AB211" i="1" s="1"/>
  <c r="V207" i="1"/>
  <c r="AI207" i="1" s="1"/>
  <c r="P207" i="1"/>
  <c r="AB207" i="1" s="1"/>
  <c r="V203" i="1"/>
  <c r="AI203" i="1" s="1"/>
  <c r="P203" i="1"/>
  <c r="AB203" i="1" s="1"/>
  <c r="V199" i="1"/>
  <c r="AI199" i="1" s="1"/>
  <c r="P199" i="1"/>
  <c r="AB199" i="1" s="1"/>
  <c r="V195" i="1"/>
  <c r="AI195" i="1" s="1"/>
  <c r="P195" i="1"/>
  <c r="AB195" i="1" s="1"/>
  <c r="V191" i="1"/>
  <c r="AI191" i="1" s="1"/>
  <c r="P191" i="1"/>
  <c r="AB191" i="1" s="1"/>
  <c r="V187" i="1"/>
  <c r="AI187" i="1" s="1"/>
  <c r="P187" i="1"/>
  <c r="AB187" i="1" s="1"/>
  <c r="V183" i="1"/>
  <c r="AI183" i="1" s="1"/>
  <c r="P183" i="1"/>
  <c r="AB183" i="1" s="1"/>
  <c r="V179" i="1"/>
  <c r="AI179" i="1" s="1"/>
  <c r="P179" i="1"/>
  <c r="AB179" i="1" s="1"/>
  <c r="V175" i="1"/>
  <c r="AI175" i="1" s="1"/>
  <c r="P175" i="1"/>
  <c r="AB175" i="1" s="1"/>
  <c r="V171" i="1"/>
  <c r="AI171" i="1" s="1"/>
  <c r="P171" i="1"/>
  <c r="AB171" i="1" s="1"/>
  <c r="V167" i="1"/>
  <c r="AI167" i="1" s="1"/>
  <c r="P167" i="1"/>
  <c r="AB167" i="1" s="1"/>
  <c r="V163" i="1"/>
  <c r="AI163" i="1" s="1"/>
  <c r="P163" i="1"/>
  <c r="AB163" i="1" s="1"/>
  <c r="V159" i="1"/>
  <c r="AI159" i="1" s="1"/>
  <c r="P159" i="1"/>
  <c r="AB159" i="1" s="1"/>
  <c r="V155" i="1"/>
  <c r="AI155" i="1" s="1"/>
  <c r="P155" i="1"/>
  <c r="AB155" i="1" s="1"/>
  <c r="V151" i="1"/>
  <c r="AI151" i="1" s="1"/>
  <c r="P151" i="1"/>
  <c r="AB151" i="1" s="1"/>
  <c r="V147" i="1"/>
  <c r="AI147" i="1" s="1"/>
  <c r="P147" i="1"/>
  <c r="AB147" i="1" s="1"/>
  <c r="V143" i="1"/>
  <c r="AI143" i="1" s="1"/>
  <c r="P143" i="1"/>
  <c r="AB143" i="1" s="1"/>
  <c r="V139" i="1"/>
  <c r="P139" i="1"/>
  <c r="V135" i="1"/>
  <c r="P135" i="1"/>
  <c r="V131" i="1"/>
  <c r="P131" i="1"/>
  <c r="X359" i="1"/>
  <c r="AK359" i="1" s="1"/>
  <c r="R359" i="1"/>
  <c r="AD359" i="1" s="1"/>
  <c r="V298" i="1"/>
  <c r="AI298" i="1" s="1"/>
  <c r="P298" i="1"/>
  <c r="AB298" i="1" s="1"/>
  <c r="V278" i="1"/>
  <c r="AI278" i="1" s="1"/>
  <c r="P278" i="1"/>
  <c r="AB278" i="1" s="1"/>
  <c r="V274" i="1"/>
  <c r="AI274" i="1" s="1"/>
  <c r="P274" i="1"/>
  <c r="AB274" i="1" s="1"/>
  <c r="V270" i="1"/>
  <c r="AI270" i="1" s="1"/>
  <c r="P270" i="1"/>
  <c r="AB270" i="1" s="1"/>
  <c r="V266" i="1"/>
  <c r="AI266" i="1" s="1"/>
  <c r="P266" i="1"/>
  <c r="AB266" i="1" s="1"/>
  <c r="V258" i="1"/>
  <c r="AI258" i="1" s="1"/>
  <c r="P258" i="1"/>
  <c r="AB258" i="1" s="1"/>
  <c r="V254" i="1"/>
  <c r="AI254" i="1" s="1"/>
  <c r="P254" i="1"/>
  <c r="AB254" i="1" s="1"/>
  <c r="V250" i="1"/>
  <c r="AI250" i="1" s="1"/>
  <c r="P250" i="1"/>
  <c r="AB250" i="1" s="1"/>
  <c r="V246" i="1"/>
  <c r="AI246" i="1" s="1"/>
  <c r="P246" i="1"/>
  <c r="AB246" i="1" s="1"/>
  <c r="P242" i="1"/>
  <c r="AB242" i="1" s="1"/>
  <c r="V242" i="1"/>
  <c r="AI242" i="1" s="1"/>
  <c r="V238" i="1"/>
  <c r="AI238" i="1" s="1"/>
  <c r="P238" i="1"/>
  <c r="AB238" i="1" s="1"/>
  <c r="V234" i="1"/>
  <c r="AI234" i="1" s="1"/>
  <c r="P234" i="1"/>
  <c r="AB234" i="1" s="1"/>
  <c r="V230" i="1"/>
  <c r="AI230" i="1" s="1"/>
  <c r="P230" i="1"/>
  <c r="AB230" i="1" s="1"/>
  <c r="V226" i="1"/>
  <c r="AI226" i="1" s="1"/>
  <c r="P226" i="1"/>
  <c r="AB226" i="1" s="1"/>
  <c r="V222" i="1"/>
  <c r="AI222" i="1" s="1"/>
  <c r="P222" i="1"/>
  <c r="AB222" i="1" s="1"/>
  <c r="V218" i="1"/>
  <c r="AI218" i="1" s="1"/>
  <c r="P218" i="1"/>
  <c r="AB218" i="1" s="1"/>
  <c r="V214" i="1"/>
  <c r="AI214" i="1" s="1"/>
  <c r="P214" i="1"/>
  <c r="AB214" i="1" s="1"/>
  <c r="V210" i="1"/>
  <c r="AI210" i="1" s="1"/>
  <c r="P210" i="1"/>
  <c r="AB210" i="1" s="1"/>
  <c r="V206" i="1"/>
  <c r="AI206" i="1" s="1"/>
  <c r="P206" i="1"/>
  <c r="AB206" i="1" s="1"/>
  <c r="V202" i="1"/>
  <c r="AI202" i="1" s="1"/>
  <c r="P202" i="1"/>
  <c r="AB202" i="1" s="1"/>
  <c r="V198" i="1"/>
  <c r="AI198" i="1" s="1"/>
  <c r="P198" i="1"/>
  <c r="AB198" i="1" s="1"/>
  <c r="V194" i="1"/>
  <c r="AI194" i="1" s="1"/>
  <c r="P194" i="1"/>
  <c r="AB194" i="1" s="1"/>
  <c r="V190" i="1"/>
  <c r="AI190" i="1" s="1"/>
  <c r="P190" i="1"/>
  <c r="AB190" i="1" s="1"/>
  <c r="V186" i="1"/>
  <c r="AI186" i="1" s="1"/>
  <c r="P186" i="1"/>
  <c r="AB186" i="1" s="1"/>
  <c r="V182" i="1"/>
  <c r="AI182" i="1" s="1"/>
  <c r="P182" i="1"/>
  <c r="AB182" i="1" s="1"/>
  <c r="V178" i="1"/>
  <c r="AI178" i="1" s="1"/>
  <c r="P178" i="1"/>
  <c r="AB178" i="1" s="1"/>
  <c r="V174" i="1"/>
  <c r="AI174" i="1" s="1"/>
  <c r="P174" i="1"/>
  <c r="AB174" i="1" s="1"/>
  <c r="V170" i="1"/>
  <c r="AI170" i="1" s="1"/>
  <c r="P170" i="1"/>
  <c r="AB170" i="1" s="1"/>
  <c r="V166" i="1"/>
  <c r="AI166" i="1" s="1"/>
  <c r="P166" i="1"/>
  <c r="AB166" i="1" s="1"/>
  <c r="V162" i="1"/>
  <c r="AI162" i="1" s="1"/>
  <c r="P162" i="1"/>
  <c r="AB162" i="1" s="1"/>
  <c r="V158" i="1"/>
  <c r="AI158" i="1" s="1"/>
  <c r="P158" i="1"/>
  <c r="AB158" i="1" s="1"/>
  <c r="V154" i="1"/>
  <c r="AI154" i="1" s="1"/>
  <c r="P154" i="1"/>
  <c r="AB154" i="1" s="1"/>
  <c r="V150" i="1"/>
  <c r="AI150" i="1" s="1"/>
  <c r="P150" i="1"/>
  <c r="AB150" i="1" s="1"/>
  <c r="V146" i="1"/>
  <c r="AI146" i="1" s="1"/>
  <c r="P146" i="1"/>
  <c r="AB146" i="1" s="1"/>
  <c r="V142" i="1"/>
  <c r="AI142" i="1" s="1"/>
  <c r="P142" i="1"/>
  <c r="AB142" i="1" s="1"/>
  <c r="V138" i="1"/>
  <c r="P138" i="1"/>
  <c r="P134" i="1"/>
  <c r="V134" i="1"/>
  <c r="V130" i="1"/>
  <c r="P130" i="1"/>
  <c r="X361" i="1"/>
  <c r="AK361" i="1" s="1"/>
  <c r="R361" i="1"/>
  <c r="AD361" i="1" s="1"/>
  <c r="X353" i="1"/>
  <c r="AK353" i="1" s="1"/>
  <c r="R353" i="1"/>
  <c r="AD353" i="1" s="1"/>
  <c r="X349" i="1"/>
  <c r="AK349" i="1" s="1"/>
  <c r="R349" i="1"/>
  <c r="AD349" i="1" s="1"/>
  <c r="X341" i="1"/>
  <c r="AK341" i="1" s="1"/>
  <c r="R341" i="1"/>
  <c r="AD341" i="1" s="1"/>
  <c r="X333" i="1"/>
  <c r="AK333" i="1" s="1"/>
  <c r="R333" i="1"/>
  <c r="AD333" i="1" s="1"/>
  <c r="X325" i="1"/>
  <c r="AK325" i="1" s="1"/>
  <c r="R325" i="1"/>
  <c r="AD325" i="1" s="1"/>
  <c r="X321" i="1"/>
  <c r="AK321" i="1" s="1"/>
  <c r="R321" i="1"/>
  <c r="AD321" i="1" s="1"/>
  <c r="X313" i="1"/>
  <c r="AK313" i="1" s="1"/>
  <c r="R313" i="1"/>
  <c r="AD313" i="1" s="1"/>
  <c r="X305" i="1"/>
  <c r="AK305" i="1" s="1"/>
  <c r="R305" i="1"/>
  <c r="AD305" i="1" s="1"/>
  <c r="X297" i="1"/>
  <c r="AK297" i="1" s="1"/>
  <c r="R297" i="1"/>
  <c r="AD297" i="1" s="1"/>
  <c r="X289" i="1"/>
  <c r="AK289" i="1" s="1"/>
  <c r="R289" i="1"/>
  <c r="AD289" i="1" s="1"/>
  <c r="X281" i="1"/>
  <c r="AK281" i="1" s="1"/>
  <c r="R281" i="1"/>
  <c r="AD281" i="1" s="1"/>
  <c r="X273" i="1"/>
  <c r="AK273" i="1" s="1"/>
  <c r="R273" i="1"/>
  <c r="AD273" i="1" s="1"/>
  <c r="X269" i="1"/>
  <c r="AK269" i="1" s="1"/>
  <c r="R269" i="1"/>
  <c r="AD269" i="1" s="1"/>
  <c r="X261" i="1"/>
  <c r="AK261" i="1" s="1"/>
  <c r="R261" i="1"/>
  <c r="AD261" i="1" s="1"/>
  <c r="R253" i="1"/>
  <c r="AD253" i="1" s="1"/>
  <c r="X253" i="1"/>
  <c r="AK253" i="1" s="1"/>
  <c r="X249" i="1"/>
  <c r="AK249" i="1" s="1"/>
  <c r="R249" i="1"/>
  <c r="AD249" i="1" s="1"/>
  <c r="X241" i="1"/>
  <c r="AK241" i="1" s="1"/>
  <c r="R241" i="1"/>
  <c r="AD241" i="1" s="1"/>
  <c r="X237" i="1"/>
  <c r="AK237" i="1" s="1"/>
  <c r="R237" i="1"/>
  <c r="AD237" i="1" s="1"/>
  <c r="X229" i="1"/>
  <c r="AK229" i="1" s="1"/>
  <c r="R229" i="1"/>
  <c r="AD229" i="1" s="1"/>
  <c r="X225" i="1"/>
  <c r="AK225" i="1" s="1"/>
  <c r="R225" i="1"/>
  <c r="AD225" i="1" s="1"/>
  <c r="X217" i="1"/>
  <c r="AK217" i="1" s="1"/>
  <c r="R217" i="1"/>
  <c r="AD217" i="1" s="1"/>
  <c r="X209" i="1"/>
  <c r="AK209" i="1" s="1"/>
  <c r="R209" i="1"/>
  <c r="AD209" i="1" s="1"/>
  <c r="X201" i="1"/>
  <c r="AK201" i="1" s="1"/>
  <c r="R201" i="1"/>
  <c r="AD201" i="1" s="1"/>
  <c r="X193" i="1"/>
  <c r="AK193" i="1" s="1"/>
  <c r="R193" i="1"/>
  <c r="AD193" i="1" s="1"/>
  <c r="X189" i="1"/>
  <c r="AK189" i="1" s="1"/>
  <c r="R189" i="1"/>
  <c r="AD189" i="1" s="1"/>
  <c r="X181" i="1"/>
  <c r="AK181" i="1" s="1"/>
  <c r="R181" i="1"/>
  <c r="AD181" i="1" s="1"/>
  <c r="X173" i="1"/>
  <c r="AK173" i="1" s="1"/>
  <c r="R173" i="1"/>
  <c r="AD173" i="1" s="1"/>
  <c r="X165" i="1"/>
  <c r="AK165" i="1" s="1"/>
  <c r="R165" i="1"/>
  <c r="AD165" i="1" s="1"/>
  <c r="X161" i="1"/>
  <c r="AK161" i="1" s="1"/>
  <c r="R161" i="1"/>
  <c r="AD161" i="1" s="1"/>
  <c r="X153" i="1"/>
  <c r="AK153" i="1" s="1"/>
  <c r="R153" i="1"/>
  <c r="AD153" i="1" s="1"/>
  <c r="X145" i="1"/>
  <c r="AK145" i="1" s="1"/>
  <c r="R145" i="1"/>
  <c r="AD145" i="1" s="1"/>
  <c r="X141" i="1"/>
  <c r="AK141" i="1" s="1"/>
  <c r="R141" i="1"/>
  <c r="AD141" i="1" s="1"/>
  <c r="R133" i="1"/>
  <c r="X133" i="1"/>
  <c r="R129" i="1"/>
  <c r="X129" i="1"/>
  <c r="V364" i="1"/>
  <c r="AI364" i="1" s="1"/>
  <c r="P364" i="1"/>
  <c r="AB364" i="1" s="1"/>
  <c r="V356" i="1"/>
  <c r="AI356" i="1" s="1"/>
  <c r="P356" i="1"/>
  <c r="V344" i="1"/>
  <c r="AI344" i="1" s="1"/>
  <c r="P344" i="1"/>
  <c r="V288" i="1"/>
  <c r="AI288" i="1" s="1"/>
  <c r="P288" i="1"/>
  <c r="AB288" i="1" s="1"/>
  <c r="X367" i="1"/>
  <c r="AK367" i="1" s="1"/>
  <c r="R367" i="1"/>
  <c r="AD367" i="1" s="1"/>
  <c r="X363" i="1"/>
  <c r="AK363" i="1" s="1"/>
  <c r="R363" i="1"/>
  <c r="AD363" i="1" s="1"/>
  <c r="X355" i="1"/>
  <c r="AK355" i="1" s="1"/>
  <c r="R355" i="1"/>
  <c r="AD355" i="1" s="1"/>
  <c r="X351" i="1"/>
  <c r="AK351" i="1" s="1"/>
  <c r="R351" i="1"/>
  <c r="AD351" i="1" s="1"/>
  <c r="X347" i="1"/>
  <c r="AK347" i="1" s="1"/>
  <c r="R347" i="1"/>
  <c r="AD347" i="1" s="1"/>
  <c r="X343" i="1"/>
  <c r="AK343" i="1" s="1"/>
  <c r="R343" i="1"/>
  <c r="AD343" i="1" s="1"/>
  <c r="X339" i="1"/>
  <c r="AK339" i="1" s="1"/>
  <c r="R339" i="1"/>
  <c r="AD339" i="1" s="1"/>
  <c r="X335" i="1"/>
  <c r="AK335" i="1" s="1"/>
  <c r="R335" i="1"/>
  <c r="AD335" i="1" s="1"/>
  <c r="X331" i="1"/>
  <c r="AK331" i="1" s="1"/>
  <c r="R331" i="1"/>
  <c r="AD331" i="1" s="1"/>
  <c r="X327" i="1"/>
  <c r="AK327" i="1" s="1"/>
  <c r="R327" i="1"/>
  <c r="AD327" i="1" s="1"/>
  <c r="X323" i="1"/>
  <c r="AK323" i="1" s="1"/>
  <c r="R323" i="1"/>
  <c r="AD323" i="1" s="1"/>
  <c r="X319" i="1"/>
  <c r="AK319" i="1" s="1"/>
  <c r="R319" i="1"/>
  <c r="AD319" i="1" s="1"/>
  <c r="X315" i="1"/>
  <c r="AK315" i="1" s="1"/>
  <c r="R315" i="1"/>
  <c r="AD315" i="1" s="1"/>
  <c r="X311" i="1"/>
  <c r="AK311" i="1" s="1"/>
  <c r="R311" i="1"/>
  <c r="AD311" i="1" s="1"/>
  <c r="X307" i="1"/>
  <c r="AK307" i="1" s="1"/>
  <c r="R307" i="1"/>
  <c r="AD307" i="1" s="1"/>
  <c r="X303" i="1"/>
  <c r="AK303" i="1" s="1"/>
  <c r="R303" i="1"/>
  <c r="AD303" i="1" s="1"/>
  <c r="X299" i="1"/>
  <c r="AK299" i="1" s="1"/>
  <c r="R299" i="1"/>
  <c r="AD299" i="1" s="1"/>
  <c r="X295" i="1"/>
  <c r="AK295" i="1" s="1"/>
  <c r="R295" i="1"/>
  <c r="AD295" i="1" s="1"/>
  <c r="X291" i="1"/>
  <c r="AK291" i="1" s="1"/>
  <c r="R291" i="1"/>
  <c r="AD291" i="1" s="1"/>
  <c r="X287" i="1"/>
  <c r="AK287" i="1" s="1"/>
  <c r="R287" i="1"/>
  <c r="AD287" i="1" s="1"/>
  <c r="X283" i="1"/>
  <c r="AK283" i="1" s="1"/>
  <c r="R283" i="1"/>
  <c r="AD283" i="1" s="1"/>
  <c r="X279" i="1"/>
  <c r="AK279" i="1" s="1"/>
  <c r="R279" i="1"/>
  <c r="AD279" i="1" s="1"/>
  <c r="X275" i="1"/>
  <c r="AK275" i="1" s="1"/>
  <c r="R275" i="1"/>
  <c r="AD275" i="1" s="1"/>
  <c r="X271" i="1"/>
  <c r="AK271" i="1" s="1"/>
  <c r="R271" i="1"/>
  <c r="AD271" i="1" s="1"/>
  <c r="X267" i="1"/>
  <c r="AK267" i="1" s="1"/>
  <c r="R267" i="1"/>
  <c r="AD267" i="1" s="1"/>
  <c r="X263" i="1"/>
  <c r="AK263" i="1" s="1"/>
  <c r="R263" i="1"/>
  <c r="AD263" i="1" s="1"/>
  <c r="X259" i="1"/>
  <c r="AK259" i="1" s="1"/>
  <c r="R259" i="1"/>
  <c r="AD259" i="1" s="1"/>
  <c r="X255" i="1"/>
  <c r="AK255" i="1" s="1"/>
  <c r="R255" i="1"/>
  <c r="AD255" i="1" s="1"/>
  <c r="X251" i="1"/>
  <c r="AK251" i="1" s="1"/>
  <c r="R251" i="1"/>
  <c r="AD251" i="1" s="1"/>
  <c r="X247" i="1"/>
  <c r="AK247" i="1" s="1"/>
  <c r="R247" i="1"/>
  <c r="AD247" i="1" s="1"/>
  <c r="X243" i="1"/>
  <c r="AK243" i="1" s="1"/>
  <c r="R243" i="1"/>
  <c r="AD243" i="1" s="1"/>
  <c r="X239" i="1"/>
  <c r="AK239" i="1" s="1"/>
  <c r="R239" i="1"/>
  <c r="AD239" i="1" s="1"/>
  <c r="X235" i="1"/>
  <c r="AK235" i="1" s="1"/>
  <c r="R235" i="1"/>
  <c r="AD235" i="1" s="1"/>
  <c r="X231" i="1"/>
  <c r="AK231" i="1" s="1"/>
  <c r="R231" i="1"/>
  <c r="AD231" i="1" s="1"/>
  <c r="X227" i="1"/>
  <c r="AK227" i="1" s="1"/>
  <c r="R227" i="1"/>
  <c r="AD227" i="1" s="1"/>
  <c r="X223" i="1"/>
  <c r="AK223" i="1" s="1"/>
  <c r="R223" i="1"/>
  <c r="AD223" i="1" s="1"/>
  <c r="X219" i="1"/>
  <c r="AK219" i="1" s="1"/>
  <c r="R219" i="1"/>
  <c r="AD219" i="1" s="1"/>
  <c r="X215" i="1"/>
  <c r="AK215" i="1" s="1"/>
  <c r="R215" i="1"/>
  <c r="AD215" i="1" s="1"/>
  <c r="X211" i="1"/>
  <c r="AK211" i="1" s="1"/>
  <c r="R211" i="1"/>
  <c r="AD211" i="1" s="1"/>
  <c r="X207" i="1"/>
  <c r="AK207" i="1" s="1"/>
  <c r="R207" i="1"/>
  <c r="AD207" i="1" s="1"/>
  <c r="X203" i="1"/>
  <c r="AK203" i="1" s="1"/>
  <c r="R203" i="1"/>
  <c r="AD203" i="1" s="1"/>
  <c r="X199" i="1"/>
  <c r="AK199" i="1" s="1"/>
  <c r="R199" i="1"/>
  <c r="AD199" i="1" s="1"/>
  <c r="X195" i="1"/>
  <c r="AK195" i="1" s="1"/>
  <c r="R195" i="1"/>
  <c r="AD195" i="1" s="1"/>
  <c r="X191" i="1"/>
  <c r="AK191" i="1" s="1"/>
  <c r="R191" i="1"/>
  <c r="AD191" i="1" s="1"/>
  <c r="X187" i="1"/>
  <c r="AK187" i="1" s="1"/>
  <c r="R187" i="1"/>
  <c r="AD187" i="1" s="1"/>
  <c r="X183" i="1"/>
  <c r="AK183" i="1" s="1"/>
  <c r="R183" i="1"/>
  <c r="AD183" i="1" s="1"/>
  <c r="X179" i="1"/>
  <c r="AK179" i="1" s="1"/>
  <c r="R179" i="1"/>
  <c r="AD179" i="1" s="1"/>
  <c r="X175" i="1"/>
  <c r="AK175" i="1" s="1"/>
  <c r="R175" i="1"/>
  <c r="AD175" i="1" s="1"/>
  <c r="X171" i="1"/>
  <c r="AK171" i="1" s="1"/>
  <c r="R171" i="1"/>
  <c r="AD171" i="1" s="1"/>
  <c r="X167" i="1"/>
  <c r="AK167" i="1" s="1"/>
  <c r="R167" i="1"/>
  <c r="AD167" i="1" s="1"/>
  <c r="X163" i="1"/>
  <c r="AK163" i="1" s="1"/>
  <c r="R163" i="1"/>
  <c r="AD163" i="1" s="1"/>
  <c r="X159" i="1"/>
  <c r="AK159" i="1" s="1"/>
  <c r="R159" i="1"/>
  <c r="AD159" i="1" s="1"/>
  <c r="X155" i="1"/>
  <c r="AK155" i="1" s="1"/>
  <c r="R155" i="1"/>
  <c r="AD155" i="1" s="1"/>
  <c r="X151" i="1"/>
  <c r="AK151" i="1" s="1"/>
  <c r="R151" i="1"/>
  <c r="AD151" i="1" s="1"/>
  <c r="X147" i="1"/>
  <c r="AK147" i="1" s="1"/>
  <c r="R147" i="1"/>
  <c r="AD147" i="1" s="1"/>
  <c r="X143" i="1"/>
  <c r="AK143" i="1" s="1"/>
  <c r="R143" i="1"/>
  <c r="AD143" i="1" s="1"/>
  <c r="X139" i="1"/>
  <c r="R139" i="1"/>
  <c r="X135" i="1"/>
  <c r="R135" i="1"/>
  <c r="X131" i="1"/>
  <c r="R131" i="1"/>
  <c r="V366" i="1"/>
  <c r="AI366" i="1" s="1"/>
  <c r="P366" i="1"/>
  <c r="AB366" i="1" s="1"/>
  <c r="V362" i="1"/>
  <c r="AI362" i="1" s="1"/>
  <c r="P362" i="1"/>
  <c r="AB362" i="1" s="1"/>
  <c r="V358" i="1"/>
  <c r="AI358" i="1" s="1"/>
  <c r="P358" i="1"/>
  <c r="AB358" i="1" s="1"/>
  <c r="V354" i="1"/>
  <c r="AI354" i="1" s="1"/>
  <c r="P354" i="1"/>
  <c r="AB354" i="1" s="1"/>
  <c r="V350" i="1"/>
  <c r="AI350" i="1" s="1"/>
  <c r="P350" i="1"/>
  <c r="AB350" i="1" s="1"/>
  <c r="V346" i="1"/>
  <c r="AI346" i="1" s="1"/>
  <c r="P346" i="1"/>
  <c r="AB346" i="1" s="1"/>
  <c r="V342" i="1"/>
  <c r="AI342" i="1" s="1"/>
  <c r="P342" i="1"/>
  <c r="AB342" i="1" s="1"/>
  <c r="V338" i="1"/>
  <c r="AI338" i="1" s="1"/>
  <c r="P338" i="1"/>
  <c r="AB338" i="1" s="1"/>
  <c r="V334" i="1"/>
  <c r="AI334" i="1" s="1"/>
  <c r="P334" i="1"/>
  <c r="AB334" i="1" s="1"/>
  <c r="V330" i="1"/>
  <c r="AI330" i="1" s="1"/>
  <c r="P330" i="1"/>
  <c r="AB330" i="1" s="1"/>
  <c r="V326" i="1"/>
  <c r="AI326" i="1" s="1"/>
  <c r="P326" i="1"/>
  <c r="AB326" i="1" s="1"/>
  <c r="V322" i="1"/>
  <c r="AI322" i="1" s="1"/>
  <c r="P322" i="1"/>
  <c r="AB322" i="1" s="1"/>
  <c r="V318" i="1"/>
  <c r="AI318" i="1" s="1"/>
  <c r="P318" i="1"/>
  <c r="AB318" i="1" s="1"/>
  <c r="V314" i="1"/>
  <c r="AI314" i="1" s="1"/>
  <c r="P314" i="1"/>
  <c r="AB314" i="1" s="1"/>
  <c r="V310" i="1"/>
  <c r="AI310" i="1" s="1"/>
  <c r="P310" i="1"/>
  <c r="AB310" i="1" s="1"/>
  <c r="P306" i="1"/>
  <c r="AB306" i="1" s="1"/>
  <c r="V306" i="1"/>
  <c r="AI306" i="1" s="1"/>
  <c r="V302" i="1"/>
  <c r="AI302" i="1" s="1"/>
  <c r="P302" i="1"/>
  <c r="AB302" i="1" s="1"/>
  <c r="V294" i="1"/>
  <c r="AI294" i="1" s="1"/>
  <c r="P294" i="1"/>
  <c r="AB294" i="1" s="1"/>
  <c r="V290" i="1"/>
  <c r="AI290" i="1" s="1"/>
  <c r="P290" i="1"/>
  <c r="AB290" i="1" s="1"/>
  <c r="V286" i="1"/>
  <c r="AI286" i="1" s="1"/>
  <c r="P286" i="1"/>
  <c r="AB286" i="1" s="1"/>
  <c r="V282" i="1"/>
  <c r="AI282" i="1" s="1"/>
  <c r="P282" i="1"/>
  <c r="AB282" i="1" s="1"/>
  <c r="V262" i="1"/>
  <c r="AI262" i="1" s="1"/>
  <c r="P262" i="1"/>
  <c r="AB262" i="1" s="1"/>
  <c r="X366" i="1"/>
  <c r="AK366" i="1" s="1"/>
  <c r="R366" i="1"/>
  <c r="AD366" i="1" s="1"/>
  <c r="X362" i="1"/>
  <c r="AK362" i="1" s="1"/>
  <c r="R362" i="1"/>
  <c r="AD362" i="1" s="1"/>
  <c r="X358" i="1"/>
  <c r="AK358" i="1" s="1"/>
  <c r="R358" i="1"/>
  <c r="AD358" i="1" s="1"/>
  <c r="X354" i="1"/>
  <c r="AK354" i="1" s="1"/>
  <c r="R354" i="1"/>
  <c r="AD354" i="1" s="1"/>
  <c r="X350" i="1"/>
  <c r="AK350" i="1" s="1"/>
  <c r="R350" i="1"/>
  <c r="AD350" i="1" s="1"/>
  <c r="X346" i="1"/>
  <c r="AK346" i="1" s="1"/>
  <c r="R346" i="1"/>
  <c r="AD346" i="1" s="1"/>
  <c r="X342" i="1"/>
  <c r="AK342" i="1" s="1"/>
  <c r="R342" i="1"/>
  <c r="AD342" i="1" s="1"/>
  <c r="X338" i="1"/>
  <c r="AK338" i="1" s="1"/>
  <c r="R338" i="1"/>
  <c r="AD338" i="1" s="1"/>
  <c r="X334" i="1"/>
  <c r="AK334" i="1" s="1"/>
  <c r="R334" i="1"/>
  <c r="AD334" i="1" s="1"/>
  <c r="X330" i="1"/>
  <c r="AK330" i="1" s="1"/>
  <c r="R330" i="1"/>
  <c r="AD330" i="1" s="1"/>
  <c r="X326" i="1"/>
  <c r="AK326" i="1" s="1"/>
  <c r="R326" i="1"/>
  <c r="AD326" i="1" s="1"/>
  <c r="X322" i="1"/>
  <c r="AK322" i="1" s="1"/>
  <c r="R322" i="1"/>
  <c r="AD322" i="1" s="1"/>
  <c r="X318" i="1"/>
  <c r="AK318" i="1" s="1"/>
  <c r="R318" i="1"/>
  <c r="AD318" i="1" s="1"/>
  <c r="X314" i="1"/>
  <c r="AK314" i="1" s="1"/>
  <c r="R314" i="1"/>
  <c r="AD314" i="1" s="1"/>
  <c r="X310" i="1"/>
  <c r="AK310" i="1" s="1"/>
  <c r="R310" i="1"/>
  <c r="AD310" i="1" s="1"/>
  <c r="X306" i="1"/>
  <c r="AK306" i="1" s="1"/>
  <c r="R306" i="1"/>
  <c r="AD306" i="1" s="1"/>
  <c r="X302" i="1"/>
  <c r="AK302" i="1" s="1"/>
  <c r="R302" i="1"/>
  <c r="AD302" i="1" s="1"/>
  <c r="X298" i="1"/>
  <c r="AK298" i="1" s="1"/>
  <c r="R298" i="1"/>
  <c r="AD298" i="1" s="1"/>
  <c r="X294" i="1"/>
  <c r="AK294" i="1" s="1"/>
  <c r="R294" i="1"/>
  <c r="AD294" i="1" s="1"/>
  <c r="X290" i="1"/>
  <c r="AK290" i="1" s="1"/>
  <c r="R290" i="1"/>
  <c r="AD290" i="1" s="1"/>
  <c r="X286" i="1"/>
  <c r="AK286" i="1" s="1"/>
  <c r="R286" i="1"/>
  <c r="AD286" i="1" s="1"/>
  <c r="X282" i="1"/>
  <c r="AK282" i="1" s="1"/>
  <c r="R282" i="1"/>
  <c r="AD282" i="1" s="1"/>
  <c r="X278" i="1"/>
  <c r="AK278" i="1" s="1"/>
  <c r="R278" i="1"/>
  <c r="AD278" i="1" s="1"/>
  <c r="X274" i="1"/>
  <c r="AK274" i="1" s="1"/>
  <c r="R274" i="1"/>
  <c r="AD274" i="1" s="1"/>
  <c r="X270" i="1"/>
  <c r="AK270" i="1" s="1"/>
  <c r="R270" i="1"/>
  <c r="AD270" i="1" s="1"/>
  <c r="X266" i="1"/>
  <c r="AK266" i="1" s="1"/>
  <c r="R266" i="1"/>
  <c r="AD266" i="1" s="1"/>
  <c r="X262" i="1"/>
  <c r="AK262" i="1" s="1"/>
  <c r="R262" i="1"/>
  <c r="AD262" i="1" s="1"/>
  <c r="X258" i="1"/>
  <c r="AK258" i="1" s="1"/>
  <c r="R258" i="1"/>
  <c r="AD258" i="1" s="1"/>
  <c r="X254" i="1"/>
  <c r="AK254" i="1" s="1"/>
  <c r="R254" i="1"/>
  <c r="AD254" i="1" s="1"/>
  <c r="X250" i="1"/>
  <c r="AK250" i="1" s="1"/>
  <c r="R250" i="1"/>
  <c r="AD250" i="1" s="1"/>
  <c r="X246" i="1"/>
  <c r="AK246" i="1" s="1"/>
  <c r="R246" i="1"/>
  <c r="AD246" i="1" s="1"/>
  <c r="X242" i="1"/>
  <c r="AK242" i="1" s="1"/>
  <c r="R242" i="1"/>
  <c r="AD242" i="1" s="1"/>
  <c r="X238" i="1"/>
  <c r="AK238" i="1" s="1"/>
  <c r="R238" i="1"/>
  <c r="AD238" i="1" s="1"/>
  <c r="X234" i="1"/>
  <c r="AK234" i="1" s="1"/>
  <c r="R234" i="1"/>
  <c r="AD234" i="1" s="1"/>
  <c r="X230" i="1"/>
  <c r="AK230" i="1" s="1"/>
  <c r="R230" i="1"/>
  <c r="AD230" i="1" s="1"/>
  <c r="X226" i="1"/>
  <c r="AK226" i="1" s="1"/>
  <c r="R226" i="1"/>
  <c r="AD226" i="1" s="1"/>
  <c r="X222" i="1"/>
  <c r="AK222" i="1" s="1"/>
  <c r="R222" i="1"/>
  <c r="AD222" i="1" s="1"/>
  <c r="X218" i="1"/>
  <c r="AK218" i="1" s="1"/>
  <c r="R218" i="1"/>
  <c r="AD218" i="1" s="1"/>
  <c r="X214" i="1"/>
  <c r="AK214" i="1" s="1"/>
  <c r="R214" i="1"/>
  <c r="AD214" i="1" s="1"/>
  <c r="X210" i="1"/>
  <c r="AK210" i="1" s="1"/>
  <c r="R210" i="1"/>
  <c r="AD210" i="1" s="1"/>
  <c r="X206" i="1"/>
  <c r="AK206" i="1" s="1"/>
  <c r="R206" i="1"/>
  <c r="AD206" i="1" s="1"/>
  <c r="X202" i="1"/>
  <c r="AK202" i="1" s="1"/>
  <c r="R202" i="1"/>
  <c r="AD202" i="1" s="1"/>
  <c r="X198" i="1"/>
  <c r="AK198" i="1" s="1"/>
  <c r="R198" i="1"/>
  <c r="AD198" i="1" s="1"/>
  <c r="X194" i="1"/>
  <c r="AK194" i="1" s="1"/>
  <c r="R194" i="1"/>
  <c r="AD194" i="1" s="1"/>
  <c r="X190" i="1"/>
  <c r="AK190" i="1" s="1"/>
  <c r="R190" i="1"/>
  <c r="AD190" i="1" s="1"/>
  <c r="X186" i="1"/>
  <c r="AK186" i="1" s="1"/>
  <c r="R186" i="1"/>
  <c r="AD186" i="1" s="1"/>
  <c r="X182" i="1"/>
  <c r="AK182" i="1" s="1"/>
  <c r="R182" i="1"/>
  <c r="AD182" i="1" s="1"/>
  <c r="X178" i="1"/>
  <c r="AK178" i="1" s="1"/>
  <c r="R178" i="1"/>
  <c r="AD178" i="1" s="1"/>
  <c r="X174" i="1"/>
  <c r="AK174" i="1" s="1"/>
  <c r="R174" i="1"/>
  <c r="AD174" i="1" s="1"/>
  <c r="X170" i="1"/>
  <c r="AK170" i="1" s="1"/>
  <c r="R170" i="1"/>
  <c r="AD170" i="1" s="1"/>
  <c r="X166" i="1"/>
  <c r="AK166" i="1" s="1"/>
  <c r="R166" i="1"/>
  <c r="AD166" i="1" s="1"/>
  <c r="X162" i="1"/>
  <c r="AK162" i="1" s="1"/>
  <c r="R162" i="1"/>
  <c r="AD162" i="1" s="1"/>
  <c r="X158" i="1"/>
  <c r="AK158" i="1" s="1"/>
  <c r="R158" i="1"/>
  <c r="AD158" i="1" s="1"/>
  <c r="X154" i="1"/>
  <c r="AK154" i="1" s="1"/>
  <c r="R154" i="1"/>
  <c r="AD154" i="1" s="1"/>
  <c r="X150" i="1"/>
  <c r="AK150" i="1" s="1"/>
  <c r="R150" i="1"/>
  <c r="AD150" i="1" s="1"/>
  <c r="X146" i="1"/>
  <c r="AK146" i="1" s="1"/>
  <c r="R146" i="1"/>
  <c r="AD146" i="1" s="1"/>
  <c r="X142" i="1"/>
  <c r="AK142" i="1" s="1"/>
  <c r="R142" i="1"/>
  <c r="AD142" i="1" s="1"/>
  <c r="R138" i="1"/>
  <c r="X138" i="1"/>
  <c r="X134" i="1"/>
  <c r="R134" i="1"/>
  <c r="R130" i="1"/>
  <c r="X130" i="1"/>
  <c r="V365" i="1"/>
  <c r="AI365" i="1" s="1"/>
  <c r="P365" i="1"/>
  <c r="AB365" i="1" s="1"/>
  <c r="V361" i="1"/>
  <c r="AI361" i="1" s="1"/>
  <c r="P361" i="1"/>
  <c r="AB361" i="1" s="1"/>
  <c r="V357" i="1"/>
  <c r="AI357" i="1" s="1"/>
  <c r="P357" i="1"/>
  <c r="AB357" i="1" s="1"/>
  <c r="V353" i="1"/>
  <c r="AI353" i="1" s="1"/>
  <c r="P353" i="1"/>
  <c r="AB353" i="1" s="1"/>
  <c r="V349" i="1"/>
  <c r="AI349" i="1" s="1"/>
  <c r="P349" i="1"/>
  <c r="AB349" i="1" s="1"/>
  <c r="V345" i="1"/>
  <c r="AI345" i="1" s="1"/>
  <c r="P345" i="1"/>
  <c r="AB345" i="1" s="1"/>
  <c r="V341" i="1"/>
  <c r="AI341" i="1" s="1"/>
  <c r="P341" i="1"/>
  <c r="AB341" i="1" s="1"/>
  <c r="V337" i="1"/>
  <c r="AI337" i="1" s="1"/>
  <c r="P337" i="1"/>
  <c r="AB337" i="1" s="1"/>
  <c r="V333" i="1"/>
  <c r="AI333" i="1" s="1"/>
  <c r="P333" i="1"/>
  <c r="AB333" i="1" s="1"/>
  <c r="V329" i="1"/>
  <c r="AI329" i="1" s="1"/>
  <c r="P329" i="1"/>
  <c r="AB329" i="1" s="1"/>
  <c r="V325" i="1"/>
  <c r="AI325" i="1" s="1"/>
  <c r="P325" i="1"/>
  <c r="AB325" i="1" s="1"/>
  <c r="V321" i="1"/>
  <c r="AI321" i="1" s="1"/>
  <c r="P321" i="1"/>
  <c r="AB321" i="1" s="1"/>
  <c r="V317" i="1"/>
  <c r="AI317" i="1" s="1"/>
  <c r="P317" i="1"/>
  <c r="AB317" i="1" s="1"/>
  <c r="V313" i="1"/>
  <c r="AI313" i="1" s="1"/>
  <c r="P313" i="1"/>
  <c r="AB313" i="1" s="1"/>
  <c r="V309" i="1"/>
  <c r="AI309" i="1" s="1"/>
  <c r="P309" i="1"/>
  <c r="AB309" i="1" s="1"/>
  <c r="V305" i="1"/>
  <c r="AI305" i="1" s="1"/>
  <c r="P305" i="1"/>
  <c r="AB305" i="1" s="1"/>
  <c r="V301" i="1"/>
  <c r="AI301" i="1" s="1"/>
  <c r="P301" i="1"/>
  <c r="AB301" i="1" s="1"/>
  <c r="V297" i="1"/>
  <c r="AI297" i="1" s="1"/>
  <c r="P297" i="1"/>
  <c r="AB297" i="1" s="1"/>
  <c r="V293" i="1"/>
  <c r="AI293" i="1" s="1"/>
  <c r="P293" i="1"/>
  <c r="AB293" i="1" s="1"/>
  <c r="V289" i="1"/>
  <c r="AI289" i="1" s="1"/>
  <c r="P289" i="1"/>
  <c r="AB289" i="1" s="1"/>
  <c r="V285" i="1"/>
  <c r="AI285" i="1" s="1"/>
  <c r="P285" i="1"/>
  <c r="AB285" i="1" s="1"/>
  <c r="V281" i="1"/>
  <c r="AI281" i="1" s="1"/>
  <c r="P281" i="1"/>
  <c r="AB281" i="1" s="1"/>
  <c r="V277" i="1"/>
  <c r="AI277" i="1" s="1"/>
  <c r="P277" i="1"/>
  <c r="AB277" i="1" s="1"/>
  <c r="V273" i="1"/>
  <c r="AI273" i="1" s="1"/>
  <c r="P273" i="1"/>
  <c r="AB273" i="1" s="1"/>
  <c r="V269" i="1"/>
  <c r="AI269" i="1" s="1"/>
  <c r="P269" i="1"/>
  <c r="AB269" i="1" s="1"/>
  <c r="V265" i="1"/>
  <c r="AI265" i="1" s="1"/>
  <c r="P265" i="1"/>
  <c r="AB265" i="1" s="1"/>
  <c r="V261" i="1"/>
  <c r="AI261" i="1" s="1"/>
  <c r="P261" i="1"/>
  <c r="AB261" i="1" s="1"/>
  <c r="V257" i="1"/>
  <c r="AI257" i="1" s="1"/>
  <c r="P257" i="1"/>
  <c r="AB257" i="1" s="1"/>
  <c r="V253" i="1"/>
  <c r="AI253" i="1" s="1"/>
  <c r="P253" i="1"/>
  <c r="AB253" i="1" s="1"/>
  <c r="V249" i="1"/>
  <c r="AI249" i="1" s="1"/>
  <c r="P249" i="1"/>
  <c r="AB249" i="1" s="1"/>
  <c r="V245" i="1"/>
  <c r="AI245" i="1" s="1"/>
  <c r="P245" i="1"/>
  <c r="AB245" i="1" s="1"/>
  <c r="V241" i="1"/>
  <c r="AI241" i="1" s="1"/>
  <c r="P241" i="1"/>
  <c r="AB241" i="1" s="1"/>
  <c r="V237" i="1"/>
  <c r="AI237" i="1" s="1"/>
  <c r="P237" i="1"/>
  <c r="AB237" i="1" s="1"/>
  <c r="V233" i="1"/>
  <c r="AI233" i="1" s="1"/>
  <c r="P233" i="1"/>
  <c r="AB233" i="1" s="1"/>
  <c r="V229" i="1"/>
  <c r="AI229" i="1" s="1"/>
  <c r="P229" i="1"/>
  <c r="AB229" i="1" s="1"/>
  <c r="V225" i="1"/>
  <c r="AI225" i="1" s="1"/>
  <c r="P225" i="1"/>
  <c r="AB225" i="1" s="1"/>
  <c r="V221" i="1"/>
  <c r="AI221" i="1" s="1"/>
  <c r="P221" i="1"/>
  <c r="AB221" i="1" s="1"/>
  <c r="V217" i="1"/>
  <c r="AI217" i="1" s="1"/>
  <c r="P217" i="1"/>
  <c r="AB217" i="1" s="1"/>
  <c r="V213" i="1"/>
  <c r="AI213" i="1" s="1"/>
  <c r="P213" i="1"/>
  <c r="AB213" i="1" s="1"/>
  <c r="V209" i="1"/>
  <c r="AI209" i="1" s="1"/>
  <c r="P209" i="1"/>
  <c r="AB209" i="1" s="1"/>
  <c r="V205" i="1"/>
  <c r="AI205" i="1" s="1"/>
  <c r="P205" i="1"/>
  <c r="AB205" i="1" s="1"/>
  <c r="V201" i="1"/>
  <c r="AI201" i="1" s="1"/>
  <c r="P201" i="1"/>
  <c r="AB201" i="1" s="1"/>
  <c r="V197" i="1"/>
  <c r="AI197" i="1" s="1"/>
  <c r="P197" i="1"/>
  <c r="AB197" i="1" s="1"/>
  <c r="V193" i="1"/>
  <c r="AI193" i="1" s="1"/>
  <c r="P193" i="1"/>
  <c r="AB193" i="1" s="1"/>
  <c r="V189" i="1"/>
  <c r="AI189" i="1" s="1"/>
  <c r="P189" i="1"/>
  <c r="AB189" i="1" s="1"/>
  <c r="V185" i="1"/>
  <c r="AI185" i="1" s="1"/>
  <c r="P185" i="1"/>
  <c r="AB185" i="1" s="1"/>
  <c r="V181" i="1"/>
  <c r="AI181" i="1" s="1"/>
  <c r="P181" i="1"/>
  <c r="AB181" i="1" s="1"/>
  <c r="V177" i="1"/>
  <c r="AI177" i="1" s="1"/>
  <c r="P177" i="1"/>
  <c r="AB177" i="1" s="1"/>
  <c r="V173" i="1"/>
  <c r="AI173" i="1" s="1"/>
  <c r="P173" i="1"/>
  <c r="AB173" i="1" s="1"/>
  <c r="V169" i="1"/>
  <c r="AI169" i="1" s="1"/>
  <c r="P169" i="1"/>
  <c r="AB169" i="1" s="1"/>
  <c r="V165" i="1"/>
  <c r="AI165" i="1" s="1"/>
  <c r="P165" i="1"/>
  <c r="AB165" i="1" s="1"/>
  <c r="V161" i="1"/>
  <c r="AI161" i="1" s="1"/>
  <c r="P161" i="1"/>
  <c r="AB161" i="1" s="1"/>
  <c r="V157" i="1"/>
  <c r="AI157" i="1" s="1"/>
  <c r="P157" i="1"/>
  <c r="AB157" i="1" s="1"/>
  <c r="V153" i="1"/>
  <c r="AI153" i="1" s="1"/>
  <c r="P153" i="1"/>
  <c r="AB153" i="1" s="1"/>
  <c r="V149" i="1"/>
  <c r="AI149" i="1" s="1"/>
  <c r="P149" i="1"/>
  <c r="AB149" i="1" s="1"/>
  <c r="V145" i="1"/>
  <c r="AI145" i="1" s="1"/>
  <c r="P145" i="1"/>
  <c r="AB145" i="1" s="1"/>
  <c r="V141" i="1"/>
  <c r="AI141" i="1" s="1"/>
  <c r="P141" i="1"/>
  <c r="AB141" i="1" s="1"/>
  <c r="V137" i="1"/>
  <c r="P137" i="1"/>
  <c r="P133" i="1"/>
  <c r="V133" i="1"/>
  <c r="V129" i="1"/>
  <c r="P129" i="1"/>
  <c r="J21" i="57"/>
  <c r="K22" i="57"/>
  <c r="N20" i="57"/>
  <c r="M23" i="57"/>
  <c r="P21" i="57"/>
  <c r="I21" i="57"/>
  <c r="L22" i="57"/>
  <c r="O21" i="57"/>
  <c r="DW7" i="1"/>
  <c r="DV7" i="1"/>
  <c r="DU7" i="1"/>
  <c r="DT7" i="1"/>
  <c r="DS7" i="1"/>
  <c r="DR7" i="1"/>
  <c r="DQ7" i="1"/>
  <c r="DP7" i="1"/>
  <c r="DO7" i="1"/>
  <c r="AE27" i="59" l="1"/>
  <c r="AB27" i="59"/>
  <c r="AK140" i="1"/>
  <c r="AK164" i="1"/>
  <c r="AB164" i="1"/>
  <c r="AB140" i="1"/>
  <c r="AB152" i="1"/>
  <c r="AK152" i="1"/>
  <c r="AB212" i="1"/>
  <c r="AB260" i="1"/>
  <c r="AB284" i="1"/>
  <c r="AK188" i="1"/>
  <c r="AK212" i="1"/>
  <c r="AK236" i="1"/>
  <c r="AK260" i="1"/>
  <c r="AK284" i="1"/>
  <c r="AK308" i="1"/>
  <c r="AK332" i="1"/>
  <c r="AK356" i="1"/>
  <c r="AB236" i="1"/>
  <c r="AB296" i="1"/>
  <c r="AB344" i="1"/>
  <c r="AB176" i="1"/>
  <c r="AB200" i="1"/>
  <c r="AB224" i="1"/>
  <c r="AB248" i="1"/>
  <c r="AB272" i="1"/>
  <c r="AB308" i="1"/>
  <c r="AB332" i="1"/>
  <c r="AB356" i="1"/>
  <c r="AB188" i="1"/>
  <c r="AB320" i="1"/>
  <c r="AK176" i="1"/>
  <c r="AK200" i="1"/>
  <c r="AK224" i="1"/>
  <c r="AK248" i="1"/>
  <c r="AK272" i="1"/>
  <c r="AK296" i="1"/>
  <c r="AK320" i="1"/>
  <c r="AK344" i="1"/>
  <c r="R371" i="1"/>
  <c r="AD371" i="1" s="1"/>
  <c r="Q371" i="1"/>
  <c r="AC371" i="1" s="1"/>
  <c r="P371" i="1"/>
  <c r="AB371" i="1" s="1"/>
  <c r="R379" i="1"/>
  <c r="AD379" i="1" s="1"/>
  <c r="P379" i="1"/>
  <c r="AB379" i="1" s="1"/>
  <c r="Q379" i="1"/>
  <c r="AC379" i="1" s="1"/>
  <c r="Q368" i="1"/>
  <c r="AC368" i="1" s="1"/>
  <c r="R368" i="1"/>
  <c r="AD368" i="1" s="1"/>
  <c r="P368" i="1"/>
  <c r="Q369" i="1"/>
  <c r="AC369" i="1" s="1"/>
  <c r="R369" i="1"/>
  <c r="AD369" i="1" s="1"/>
  <c r="P369" i="1"/>
  <c r="AB369" i="1" s="1"/>
  <c r="Q373" i="1"/>
  <c r="AC373" i="1" s="1"/>
  <c r="P373" i="1"/>
  <c r="AB373" i="1" s="1"/>
  <c r="R373" i="1"/>
  <c r="AD373" i="1" s="1"/>
  <c r="Q377" i="1"/>
  <c r="AC377" i="1" s="1"/>
  <c r="R377" i="1"/>
  <c r="AD377" i="1" s="1"/>
  <c r="P377" i="1"/>
  <c r="AB377" i="1" s="1"/>
  <c r="R375" i="1"/>
  <c r="AD375" i="1" s="1"/>
  <c r="Q375" i="1"/>
  <c r="AC375" i="1" s="1"/>
  <c r="P375" i="1"/>
  <c r="AB375" i="1" s="1"/>
  <c r="Q372" i="1"/>
  <c r="AC372" i="1" s="1"/>
  <c r="R372" i="1"/>
  <c r="AD372" i="1" s="1"/>
  <c r="P372" i="1"/>
  <c r="AB372" i="1" s="1"/>
  <c r="Q376" i="1"/>
  <c r="AC376" i="1" s="1"/>
  <c r="R376" i="1"/>
  <c r="AD376" i="1" s="1"/>
  <c r="P376" i="1"/>
  <c r="AB376" i="1" s="1"/>
  <c r="R370" i="1"/>
  <c r="AD370" i="1" s="1"/>
  <c r="P370" i="1"/>
  <c r="AB370" i="1" s="1"/>
  <c r="Q370" i="1"/>
  <c r="AC370" i="1" s="1"/>
  <c r="R374" i="1"/>
  <c r="AD374" i="1" s="1"/>
  <c r="Q374" i="1"/>
  <c r="AC374" i="1" s="1"/>
  <c r="P374" i="1"/>
  <c r="AB374" i="1" s="1"/>
  <c r="R378" i="1"/>
  <c r="AD378" i="1" s="1"/>
  <c r="P378" i="1"/>
  <c r="AB378" i="1" s="1"/>
  <c r="Q378" i="1"/>
  <c r="AC378" i="1" s="1"/>
  <c r="L23" i="57"/>
  <c r="N21" i="57"/>
  <c r="P22" i="57"/>
  <c r="J22" i="57"/>
  <c r="O22" i="57"/>
  <c r="M24" i="57"/>
  <c r="M25" i="57" s="1"/>
  <c r="M26" i="57" s="1"/>
  <c r="M27" i="57" s="1"/>
  <c r="M28" i="57" s="1"/>
  <c r="I22" i="57"/>
  <c r="K23" i="57"/>
  <c r="AF7" i="43"/>
  <c r="AE7" i="43"/>
  <c r="AF6" i="43"/>
  <c r="AE6" i="43"/>
  <c r="AD7" i="43"/>
  <c r="AC7" i="43"/>
  <c r="AD6" i="43"/>
  <c r="AC6" i="43"/>
  <c r="DM103" i="1"/>
  <c r="DM102" i="1"/>
  <c r="DM101" i="1"/>
  <c r="DM100" i="1"/>
  <c r="DM99" i="1"/>
  <c r="DM98" i="1"/>
  <c r="DM97" i="1"/>
  <c r="DM96" i="1"/>
  <c r="DM95" i="1"/>
  <c r="DM94" i="1"/>
  <c r="DM93" i="1"/>
  <c r="DM92" i="1"/>
  <c r="DM91" i="1"/>
  <c r="DM90" i="1"/>
  <c r="DM89" i="1"/>
  <c r="DM88" i="1"/>
  <c r="DM87" i="1"/>
  <c r="DM86" i="1"/>
  <c r="DM85" i="1"/>
  <c r="DM84" i="1"/>
  <c r="DM83" i="1"/>
  <c r="DM82" i="1"/>
  <c r="DM81" i="1"/>
  <c r="DM80" i="1"/>
  <c r="DM79" i="1"/>
  <c r="DM78" i="1"/>
  <c r="DM77" i="1"/>
  <c r="DM76" i="1"/>
  <c r="DM75" i="1"/>
  <c r="DM74" i="1"/>
  <c r="DM73" i="1"/>
  <c r="DM72" i="1"/>
  <c r="DM71" i="1"/>
  <c r="DM70" i="1"/>
  <c r="DM69" i="1"/>
  <c r="DM68" i="1"/>
  <c r="DM67" i="1"/>
  <c r="DM66" i="1"/>
  <c r="DM65" i="1"/>
  <c r="DM64" i="1"/>
  <c r="DM63" i="1"/>
  <c r="DM62" i="1"/>
  <c r="DM61" i="1"/>
  <c r="DM60" i="1"/>
  <c r="DM59" i="1"/>
  <c r="DM58" i="1"/>
  <c r="DM57" i="1"/>
  <c r="DM56" i="1"/>
  <c r="DM55" i="1"/>
  <c r="DM54" i="1"/>
  <c r="DM53" i="1"/>
  <c r="DM52" i="1"/>
  <c r="DM51" i="1"/>
  <c r="DM50" i="1"/>
  <c r="DM49" i="1"/>
  <c r="DM48" i="1"/>
  <c r="DM47" i="1"/>
  <c r="DM46" i="1"/>
  <c r="DM45" i="1"/>
  <c r="DM44" i="1"/>
  <c r="DM43" i="1"/>
  <c r="DM42" i="1"/>
  <c r="DM41" i="1"/>
  <c r="DM40" i="1"/>
  <c r="DM39" i="1"/>
  <c r="DM38" i="1"/>
  <c r="DM37" i="1"/>
  <c r="DM36" i="1"/>
  <c r="DM35" i="1"/>
  <c r="DM34" i="1"/>
  <c r="DM33" i="1"/>
  <c r="DM32" i="1"/>
  <c r="BC38" i="2"/>
  <c r="BC37" i="2"/>
  <c r="BC36" i="2"/>
  <c r="BC35" i="2"/>
  <c r="BC34" i="2"/>
  <c r="BC33" i="2"/>
  <c r="BC32" i="2"/>
  <c r="BC31" i="2"/>
  <c r="BC30" i="2"/>
  <c r="BC29" i="2"/>
  <c r="BC28" i="2"/>
  <c r="BC27" i="2"/>
  <c r="BC26" i="2"/>
  <c r="BC25" i="2"/>
  <c r="BC24" i="2"/>
  <c r="BC23" i="2"/>
  <c r="BC22" i="2"/>
  <c r="BC21" i="2"/>
  <c r="BC20" i="2"/>
  <c r="BC19" i="2"/>
  <c r="BC18" i="2"/>
  <c r="BC10" i="2"/>
  <c r="BC9" i="2"/>
  <c r="BC8" i="2"/>
  <c r="BC7" i="2"/>
  <c r="BC3" i="2" s="1"/>
  <c r="AE28" i="59" l="1"/>
  <c r="AB28" i="59"/>
  <c r="AB368" i="1"/>
  <c r="O23" i="57"/>
  <c r="P23" i="57"/>
  <c r="I23" i="57"/>
  <c r="L24" i="57"/>
  <c r="L25" i="57" s="1"/>
  <c r="L26" i="57" s="1"/>
  <c r="L27" i="57" s="1"/>
  <c r="L28" i="57" s="1"/>
  <c r="J23" i="57"/>
  <c r="K24" i="57"/>
  <c r="K25" i="57" s="1"/>
  <c r="K26" i="57" s="1"/>
  <c r="K27" i="57" s="1"/>
  <c r="K28" i="57" s="1"/>
  <c r="N22" i="57"/>
  <c r="CB128" i="1"/>
  <c r="CK128" i="1" s="1"/>
  <c r="DM128" i="1"/>
  <c r="DM327" i="1"/>
  <c r="DM328" i="1"/>
  <c r="CQ128" i="1" l="1"/>
  <c r="CZ128" i="1" s="1"/>
  <c r="CM128" i="1"/>
  <c r="CV128" i="1" s="1"/>
  <c r="CR128" i="1"/>
  <c r="DA128" i="1" s="1"/>
  <c r="CP128" i="1"/>
  <c r="CY128" i="1" s="1"/>
  <c r="CL128" i="1"/>
  <c r="CU128" i="1" s="1"/>
  <c r="CT128" i="1"/>
  <c r="DC128" i="1" s="1"/>
  <c r="CO128" i="1"/>
  <c r="CX128" i="1" s="1"/>
  <c r="CS128" i="1"/>
  <c r="DB128" i="1" s="1"/>
  <c r="CN128" i="1"/>
  <c r="CW128" i="1" s="1"/>
  <c r="AE29" i="59"/>
  <c r="AB29" i="59"/>
  <c r="I24" i="57"/>
  <c r="I25" i="57" s="1"/>
  <c r="I26" i="57" s="1"/>
  <c r="I27" i="57" s="1"/>
  <c r="I28" i="57" s="1"/>
  <c r="J24" i="57"/>
  <c r="J25" i="57" s="1"/>
  <c r="J26" i="57" s="1"/>
  <c r="J27" i="57" s="1"/>
  <c r="J28" i="57" s="1"/>
  <c r="O24" i="57"/>
  <c r="O25" i="57" s="1"/>
  <c r="O26" i="57" s="1"/>
  <c r="O27" i="57" s="1"/>
  <c r="O28" i="57" s="1"/>
  <c r="N23" i="57"/>
  <c r="P24" i="57"/>
  <c r="P25" i="57" s="1"/>
  <c r="P26" i="57" s="1"/>
  <c r="P27" i="57" s="1"/>
  <c r="P28" i="57" s="1"/>
  <c r="DN128" i="1"/>
  <c r="DT128" i="1" l="1"/>
  <c r="EC128" i="1" s="1"/>
  <c r="DS128" i="1"/>
  <c r="EB128" i="1" s="1"/>
  <c r="DW128" i="1"/>
  <c r="EF128" i="1" s="1"/>
  <c r="DR128" i="1"/>
  <c r="EA128" i="1" s="1"/>
  <c r="DU128" i="1"/>
  <c r="ED128" i="1" s="1"/>
  <c r="DO128" i="1"/>
  <c r="DX128" i="1" s="1"/>
  <c r="DV128" i="1"/>
  <c r="EE128" i="1" s="1"/>
  <c r="DQ128" i="1"/>
  <c r="DZ128" i="1" s="1"/>
  <c r="DP128" i="1"/>
  <c r="DY128" i="1" s="1"/>
  <c r="AE30" i="59"/>
  <c r="AB30" i="59"/>
  <c r="N24" i="57"/>
  <c r="N25" i="57" s="1"/>
  <c r="N26" i="57" s="1"/>
  <c r="N27" i="57" s="1"/>
  <c r="N28" i="57" s="1"/>
  <c r="T127" i="1"/>
  <c r="T126" i="1"/>
  <c r="T125" i="1"/>
  <c r="T124" i="1"/>
  <c r="T123" i="1"/>
  <c r="T122" i="1"/>
  <c r="T121" i="1"/>
  <c r="T120" i="1"/>
  <c r="T119" i="1"/>
  <c r="T118" i="1"/>
  <c r="T117" i="1"/>
  <c r="T116" i="1"/>
  <c r="AE11" i="27" l="1"/>
  <c r="AE7" i="27"/>
  <c r="X8" i="27" l="1"/>
  <c r="X9" i="27"/>
  <c r="X10" i="27"/>
  <c r="X11" i="27"/>
  <c r="X12" i="27"/>
  <c r="X13" i="27"/>
  <c r="X14" i="27"/>
  <c r="X15" i="27"/>
  <c r="X16" i="27"/>
  <c r="X17" i="27"/>
  <c r="X18" i="27"/>
  <c r="X19" i="27"/>
  <c r="X20" i="27"/>
  <c r="X21" i="27"/>
  <c r="X22" i="27"/>
  <c r="X23" i="27"/>
  <c r="X24" i="27"/>
  <c r="X25" i="27"/>
  <c r="X26" i="27"/>
  <c r="X27" i="27"/>
  <c r="X28" i="27"/>
  <c r="X7" i="27"/>
  <c r="W8" i="27"/>
  <c r="W9" i="27"/>
  <c r="W10" i="27"/>
  <c r="W11" i="27"/>
  <c r="W12" i="27"/>
  <c r="W13" i="27"/>
  <c r="W14" i="27"/>
  <c r="W15" i="27"/>
  <c r="W16" i="27"/>
  <c r="W17" i="27"/>
  <c r="W18" i="27"/>
  <c r="W19" i="27"/>
  <c r="W20" i="27"/>
  <c r="W21" i="27"/>
  <c r="W22" i="27"/>
  <c r="W23" i="27"/>
  <c r="W24" i="27"/>
  <c r="W25" i="27"/>
  <c r="W26" i="27"/>
  <c r="W27" i="27"/>
  <c r="W28" i="27"/>
  <c r="W7" i="27"/>
  <c r="CB129" i="1" l="1"/>
  <c r="CB130" i="1"/>
  <c r="CB131" i="1"/>
  <c r="CB132" i="1"/>
  <c r="CB133" i="1"/>
  <c r="CB134" i="1"/>
  <c r="CB135" i="1"/>
  <c r="CB136" i="1"/>
  <c r="CB137" i="1"/>
  <c r="CB138" i="1"/>
  <c r="CB139" i="1"/>
  <c r="CB140" i="1"/>
  <c r="CB141" i="1"/>
  <c r="CB142" i="1"/>
  <c r="CB143" i="1"/>
  <c r="CB144" i="1"/>
  <c r="CB145" i="1"/>
  <c r="CB146" i="1"/>
  <c r="CB147" i="1"/>
  <c r="CB148" i="1"/>
  <c r="CB149" i="1"/>
  <c r="CB150" i="1"/>
  <c r="CB151" i="1"/>
  <c r="CB152" i="1"/>
  <c r="CB153" i="1"/>
  <c r="CB154" i="1"/>
  <c r="CB155" i="1"/>
  <c r="CB156" i="1"/>
  <c r="CB157" i="1"/>
  <c r="CB158" i="1"/>
  <c r="CB159" i="1"/>
  <c r="CB160" i="1"/>
  <c r="CB161" i="1"/>
  <c r="CB162" i="1"/>
  <c r="CB163" i="1"/>
  <c r="CK328" i="1" l="1"/>
  <c r="CK327" i="1"/>
  <c r="CW80" i="2"/>
  <c r="CW81" i="2"/>
  <c r="CW82" i="2"/>
  <c r="CM327" i="1" l="1"/>
  <c r="CV327" i="1" s="1"/>
  <c r="CS327" i="1"/>
  <c r="DB327" i="1" s="1"/>
  <c r="CT327" i="1"/>
  <c r="DC327" i="1" s="1"/>
  <c r="CL327" i="1"/>
  <c r="CU327" i="1" s="1"/>
  <c r="CR327" i="1"/>
  <c r="DA327" i="1" s="1"/>
  <c r="CN327" i="1"/>
  <c r="CW327" i="1" s="1"/>
  <c r="CS328" i="1"/>
  <c r="DB328" i="1" s="1"/>
  <c r="CM328" i="1"/>
  <c r="CV328" i="1" s="1"/>
  <c r="CR328" i="1"/>
  <c r="DA328" i="1" s="1"/>
  <c r="CN328" i="1"/>
  <c r="CW328" i="1" s="1"/>
  <c r="CT328" i="1"/>
  <c r="DC328" i="1" s="1"/>
  <c r="CL328" i="1"/>
  <c r="CU328" i="1" s="1"/>
  <c r="DN327" i="1"/>
  <c r="DN328" i="1"/>
  <c r="DV328" i="1" l="1"/>
  <c r="EE328" i="1" s="1"/>
  <c r="DP328" i="1"/>
  <c r="DY328" i="1" s="1"/>
  <c r="DU328" i="1"/>
  <c r="ED328" i="1" s="1"/>
  <c r="DQ328" i="1"/>
  <c r="DZ328" i="1" s="1"/>
  <c r="DW328" i="1"/>
  <c r="EF328" i="1" s="1"/>
  <c r="DO328" i="1"/>
  <c r="DX328" i="1" s="1"/>
  <c r="DP327" i="1"/>
  <c r="DY327" i="1" s="1"/>
  <c r="DV327" i="1"/>
  <c r="EE327" i="1" s="1"/>
  <c r="DW327" i="1"/>
  <c r="EF327" i="1" s="1"/>
  <c r="DO327" i="1"/>
  <c r="DX327" i="1" s="1"/>
  <c r="DU327" i="1"/>
  <c r="ED327" i="1" s="1"/>
  <c r="DQ327" i="1"/>
  <c r="DZ327" i="1" s="1"/>
  <c r="A7" i="50"/>
  <c r="P7" i="50" s="1"/>
  <c r="Q5" i="50"/>
  <c r="P5" i="27"/>
  <c r="P26" i="39" l="1"/>
  <c r="P25" i="39"/>
  <c r="P24" i="39"/>
  <c r="P23" i="39"/>
  <c r="P22" i="39"/>
  <c r="P21" i="39"/>
  <c r="P20" i="39"/>
  <c r="P19" i="39"/>
  <c r="P18" i="39"/>
  <c r="P17" i="39"/>
  <c r="P16" i="39"/>
  <c r="P15" i="39"/>
  <c r="P14" i="39"/>
  <c r="P13" i="39"/>
  <c r="P12" i="39"/>
  <c r="P11" i="39"/>
  <c r="P10" i="39"/>
  <c r="P9" i="39"/>
  <c r="P8" i="39"/>
  <c r="O7" i="27" l="1"/>
  <c r="A10" i="27"/>
  <c r="A8" i="27"/>
  <c r="G6" i="59" s="1"/>
  <c r="O10" i="27" l="1"/>
  <c r="G8" i="59"/>
  <c r="A9" i="27"/>
  <c r="G7" i="59" s="1"/>
  <c r="A8" i="50"/>
  <c r="P8" i="50" s="1"/>
  <c r="A11" i="27"/>
  <c r="A10" i="50"/>
  <c r="P10" i="50" s="1"/>
  <c r="A13" i="27"/>
  <c r="O8" i="27"/>
  <c r="A14" i="27" l="1"/>
  <c r="G11" i="59"/>
  <c r="A11" i="50"/>
  <c r="P11" i="50" s="1"/>
  <c r="G9" i="59"/>
  <c r="A12" i="27"/>
  <c r="G10" i="59" s="1"/>
  <c r="O11" i="27"/>
  <c r="O12" i="27"/>
  <c r="A12" i="50"/>
  <c r="P12" i="50" s="1"/>
  <c r="O13" i="27"/>
  <c r="A13" i="50"/>
  <c r="P13" i="50" s="1"/>
  <c r="O9" i="27"/>
  <c r="A9" i="50"/>
  <c r="P9" i="50" s="1"/>
  <c r="A15" i="27"/>
  <c r="A16" i="27" s="1"/>
  <c r="A17" i="27" s="1"/>
  <c r="O14" i="27"/>
  <c r="E13" i="34"/>
  <c r="I13" i="34" s="1"/>
  <c r="X18" i="2" s="1"/>
  <c r="I8" i="43" s="1"/>
  <c r="G13" i="59" l="1"/>
  <c r="A14" i="50"/>
  <c r="P14" i="50" s="1"/>
  <c r="G12" i="59"/>
  <c r="E14" i="34"/>
  <c r="I14" i="34" s="1"/>
  <c r="X19" i="2" s="1"/>
  <c r="I9" i="43" s="1"/>
  <c r="AU6" i="59"/>
  <c r="O16" i="27"/>
  <c r="O15" i="27"/>
  <c r="A15" i="50"/>
  <c r="P15" i="50" s="1"/>
  <c r="G14" i="59" l="1"/>
  <c r="A16" i="50"/>
  <c r="P16" i="50" s="1"/>
  <c r="A17" i="50"/>
  <c r="P17" i="50" s="1"/>
  <c r="G15" i="59"/>
  <c r="E15" i="34"/>
  <c r="I15" i="34" s="1"/>
  <c r="X20" i="2" s="1"/>
  <c r="I10" i="43" s="1"/>
  <c r="AU7" i="59"/>
  <c r="O17" i="27"/>
  <c r="O18" i="27"/>
  <c r="A18" i="50"/>
  <c r="P18" i="50" s="1"/>
  <c r="G16" i="59" l="1"/>
  <c r="E16" i="34"/>
  <c r="I16" i="34" s="1"/>
  <c r="X21" i="2" s="1"/>
  <c r="I11" i="43" s="1"/>
  <c r="AU8" i="59"/>
  <c r="AO7" i="27"/>
  <c r="AO11" i="27"/>
  <c r="AO6" i="27"/>
  <c r="BB38" i="2"/>
  <c r="BA38" i="2"/>
  <c r="AZ38" i="2"/>
  <c r="AY38" i="2"/>
  <c r="AX38" i="2"/>
  <c r="AW38" i="2"/>
  <c r="BB37" i="2"/>
  <c r="BA37" i="2"/>
  <c r="AZ37" i="2"/>
  <c r="AY37" i="2"/>
  <c r="AX37" i="2"/>
  <c r="AW37" i="2"/>
  <c r="BB36" i="2"/>
  <c r="BA36" i="2"/>
  <c r="AZ36" i="2"/>
  <c r="AY36" i="2"/>
  <c r="AX36" i="2"/>
  <c r="AW36" i="2"/>
  <c r="BB35" i="2"/>
  <c r="BA35" i="2"/>
  <c r="AZ35" i="2"/>
  <c r="AY35" i="2"/>
  <c r="AX35" i="2"/>
  <c r="AW35" i="2"/>
  <c r="BB34" i="2"/>
  <c r="BA34" i="2"/>
  <c r="AZ34" i="2"/>
  <c r="AY34" i="2"/>
  <c r="AX34" i="2"/>
  <c r="AW34" i="2"/>
  <c r="BB33" i="2"/>
  <c r="BA33" i="2"/>
  <c r="AZ33" i="2"/>
  <c r="AY33" i="2"/>
  <c r="AX33" i="2"/>
  <c r="AW33" i="2"/>
  <c r="BB32" i="2"/>
  <c r="BA32" i="2"/>
  <c r="AZ32" i="2"/>
  <c r="AY32" i="2"/>
  <c r="AX32" i="2"/>
  <c r="AW32" i="2"/>
  <c r="BB31" i="2"/>
  <c r="BA31" i="2"/>
  <c r="AZ31" i="2"/>
  <c r="AY31" i="2"/>
  <c r="AX31" i="2"/>
  <c r="AW31" i="2"/>
  <c r="BB30" i="2"/>
  <c r="BA30" i="2"/>
  <c r="AZ30" i="2"/>
  <c r="AY30" i="2"/>
  <c r="AX30" i="2"/>
  <c r="AW30" i="2"/>
  <c r="BB29" i="2"/>
  <c r="BA29" i="2"/>
  <c r="AZ29" i="2"/>
  <c r="AY29" i="2"/>
  <c r="AX29" i="2"/>
  <c r="AW29" i="2"/>
  <c r="BB28" i="2"/>
  <c r="BA28" i="2"/>
  <c r="AZ28" i="2"/>
  <c r="AY28" i="2"/>
  <c r="AX28" i="2"/>
  <c r="AW28" i="2"/>
  <c r="BB27" i="2"/>
  <c r="BA27" i="2"/>
  <c r="AZ27" i="2"/>
  <c r="AY27" i="2"/>
  <c r="AX27" i="2"/>
  <c r="AW27" i="2"/>
  <c r="BB26" i="2"/>
  <c r="BA26" i="2"/>
  <c r="AZ26" i="2"/>
  <c r="AY26" i="2"/>
  <c r="AX26" i="2"/>
  <c r="AW26" i="2"/>
  <c r="BB25" i="2"/>
  <c r="BA25" i="2"/>
  <c r="AZ25" i="2"/>
  <c r="AY25" i="2"/>
  <c r="AX25" i="2"/>
  <c r="AW25" i="2"/>
  <c r="BB24" i="2"/>
  <c r="BA24" i="2"/>
  <c r="AZ24" i="2"/>
  <c r="AY24" i="2"/>
  <c r="AX24" i="2"/>
  <c r="AW24" i="2"/>
  <c r="BB23" i="2"/>
  <c r="BA23" i="2"/>
  <c r="AZ23" i="2"/>
  <c r="AY23" i="2"/>
  <c r="AX23" i="2"/>
  <c r="AW23" i="2"/>
  <c r="BB22" i="2"/>
  <c r="BA22" i="2"/>
  <c r="AZ22" i="2"/>
  <c r="AY22" i="2"/>
  <c r="AX22" i="2"/>
  <c r="AW22" i="2"/>
  <c r="BB21" i="2"/>
  <c r="BA21" i="2"/>
  <c r="AZ21" i="2"/>
  <c r="AY21" i="2"/>
  <c r="AX21" i="2"/>
  <c r="AW21" i="2"/>
  <c r="BB20" i="2"/>
  <c r="BA20" i="2"/>
  <c r="AZ20" i="2"/>
  <c r="AY20" i="2"/>
  <c r="AX20" i="2"/>
  <c r="AW20" i="2"/>
  <c r="BB19" i="2"/>
  <c r="BA19" i="2"/>
  <c r="AZ19" i="2"/>
  <c r="AY19" i="2"/>
  <c r="AX19" i="2"/>
  <c r="AW19" i="2"/>
  <c r="BB18" i="2"/>
  <c r="BA18" i="2"/>
  <c r="AZ18" i="2"/>
  <c r="AY18" i="2"/>
  <c r="AX18" i="2"/>
  <c r="AW18" i="2"/>
  <c r="N7" i="29"/>
  <c r="M7" i="29"/>
  <c r="L7" i="29"/>
  <c r="K7" i="29"/>
  <c r="J7" i="29"/>
  <c r="N6" i="29"/>
  <c r="M6" i="29"/>
  <c r="L6" i="29"/>
  <c r="K6" i="29"/>
  <c r="J6" i="29"/>
  <c r="BB10" i="2"/>
  <c r="BA10" i="2"/>
  <c r="AZ10" i="2"/>
  <c r="AY10" i="2"/>
  <c r="AX10" i="2"/>
  <c r="AW10" i="2"/>
  <c r="BB9" i="2"/>
  <c r="BA9" i="2"/>
  <c r="AZ9" i="2"/>
  <c r="AY9" i="2"/>
  <c r="AX9" i="2"/>
  <c r="AW9" i="2"/>
  <c r="BB8" i="2"/>
  <c r="BA8" i="2"/>
  <c r="AZ8" i="2"/>
  <c r="AY8" i="2"/>
  <c r="AX8" i="2"/>
  <c r="AW8" i="2"/>
  <c r="BB7" i="2"/>
  <c r="BB3" i="2" s="1"/>
  <c r="BA7" i="2"/>
  <c r="BA3" i="2" s="1"/>
  <c r="AZ7" i="2"/>
  <c r="AZ3" i="2" s="1"/>
  <c r="AY7" i="2"/>
  <c r="AY3" i="2" s="1"/>
  <c r="AX7" i="2"/>
  <c r="AX3" i="2" s="1"/>
  <c r="AW7" i="2"/>
  <c r="AW3" i="2" s="1"/>
  <c r="AV38" i="2"/>
  <c r="AU38" i="2"/>
  <c r="AT38" i="2"/>
  <c r="AS38" i="2"/>
  <c r="AR38" i="2"/>
  <c r="AQ38" i="2"/>
  <c r="AV37" i="2"/>
  <c r="AU37" i="2"/>
  <c r="AT37" i="2"/>
  <c r="AS37" i="2"/>
  <c r="AR37" i="2"/>
  <c r="AQ37" i="2"/>
  <c r="AV36" i="2"/>
  <c r="AU36" i="2"/>
  <c r="AT36" i="2"/>
  <c r="AS36" i="2"/>
  <c r="AR36" i="2"/>
  <c r="AQ36" i="2"/>
  <c r="AV35" i="2"/>
  <c r="AU35" i="2"/>
  <c r="AT35" i="2"/>
  <c r="AS35" i="2"/>
  <c r="AR35" i="2"/>
  <c r="AQ35" i="2"/>
  <c r="AV34" i="2"/>
  <c r="AU34" i="2"/>
  <c r="AT34" i="2"/>
  <c r="AS34" i="2"/>
  <c r="AR34" i="2"/>
  <c r="AQ34" i="2"/>
  <c r="AV33" i="2"/>
  <c r="AU33" i="2"/>
  <c r="AT33" i="2"/>
  <c r="AS33" i="2"/>
  <c r="AR33" i="2"/>
  <c r="AQ33" i="2"/>
  <c r="AV32" i="2"/>
  <c r="AU32" i="2"/>
  <c r="AT32" i="2"/>
  <c r="AS32" i="2"/>
  <c r="AR32" i="2"/>
  <c r="AQ32" i="2"/>
  <c r="AV31" i="2"/>
  <c r="AU31" i="2"/>
  <c r="AT31" i="2"/>
  <c r="AS31" i="2"/>
  <c r="AR31" i="2"/>
  <c r="AQ31" i="2"/>
  <c r="AV30" i="2"/>
  <c r="AU30" i="2"/>
  <c r="AT30" i="2"/>
  <c r="AS30" i="2"/>
  <c r="AR30" i="2"/>
  <c r="AQ30" i="2"/>
  <c r="AV29" i="2"/>
  <c r="AU29" i="2"/>
  <c r="AT29" i="2"/>
  <c r="AS29" i="2"/>
  <c r="AR29" i="2"/>
  <c r="AQ29" i="2"/>
  <c r="AV28" i="2"/>
  <c r="AU28" i="2"/>
  <c r="AT28" i="2"/>
  <c r="AS28" i="2"/>
  <c r="AR28" i="2"/>
  <c r="AQ28" i="2"/>
  <c r="AV27" i="2"/>
  <c r="AU27" i="2"/>
  <c r="AT27" i="2"/>
  <c r="AS27" i="2"/>
  <c r="AR27" i="2"/>
  <c r="AQ27" i="2"/>
  <c r="AV26" i="2"/>
  <c r="AU26" i="2"/>
  <c r="AT26" i="2"/>
  <c r="AS26" i="2"/>
  <c r="AR26" i="2"/>
  <c r="AQ26" i="2"/>
  <c r="AV25" i="2"/>
  <c r="AU25" i="2"/>
  <c r="AT25" i="2"/>
  <c r="AS25" i="2"/>
  <c r="AR25" i="2"/>
  <c r="AQ25" i="2"/>
  <c r="AV24" i="2"/>
  <c r="AU24" i="2"/>
  <c r="AT24" i="2"/>
  <c r="AS24" i="2"/>
  <c r="AR24" i="2"/>
  <c r="AQ24" i="2"/>
  <c r="AV23" i="2"/>
  <c r="AU23" i="2"/>
  <c r="AT23" i="2"/>
  <c r="AS23" i="2"/>
  <c r="AR23" i="2"/>
  <c r="AQ23" i="2"/>
  <c r="AV22" i="2"/>
  <c r="AU22" i="2"/>
  <c r="AT22" i="2"/>
  <c r="AS22" i="2"/>
  <c r="AR22" i="2"/>
  <c r="AQ22" i="2"/>
  <c r="AV21" i="2"/>
  <c r="AU21" i="2"/>
  <c r="AT21" i="2"/>
  <c r="AS21" i="2"/>
  <c r="AR21" i="2"/>
  <c r="AQ21" i="2"/>
  <c r="AV20" i="2"/>
  <c r="AU20" i="2"/>
  <c r="AT20" i="2"/>
  <c r="AS20" i="2"/>
  <c r="AR20" i="2"/>
  <c r="AQ20" i="2"/>
  <c r="AV19" i="2"/>
  <c r="AU19" i="2"/>
  <c r="AT19" i="2"/>
  <c r="AS19" i="2"/>
  <c r="AR19" i="2"/>
  <c r="AQ19" i="2"/>
  <c r="AV18" i="2"/>
  <c r="AU18" i="2"/>
  <c r="AT18" i="2"/>
  <c r="AS18" i="2"/>
  <c r="AR18" i="2"/>
  <c r="AQ18" i="2"/>
  <c r="AV10" i="2"/>
  <c r="AU10" i="2"/>
  <c r="AT10" i="2"/>
  <c r="AS10" i="2"/>
  <c r="AR10" i="2"/>
  <c r="AQ10" i="2"/>
  <c r="AV9" i="2"/>
  <c r="AU9" i="2"/>
  <c r="AT9" i="2"/>
  <c r="AS9" i="2"/>
  <c r="AR9" i="2"/>
  <c r="AQ9" i="2"/>
  <c r="AV8" i="2"/>
  <c r="AU8" i="2"/>
  <c r="AT8" i="2"/>
  <c r="AS8" i="2"/>
  <c r="AR8" i="2"/>
  <c r="AQ8" i="2"/>
  <c r="AV7" i="2"/>
  <c r="AV3" i="2" s="1"/>
  <c r="AU7" i="2"/>
  <c r="AU3" i="2" s="1"/>
  <c r="AT7" i="2"/>
  <c r="AT3" i="2" s="1"/>
  <c r="AS7" i="2"/>
  <c r="AS3" i="2" s="1"/>
  <c r="AR7" i="2"/>
  <c r="AR3" i="2" s="1"/>
  <c r="AQ7" i="2"/>
  <c r="AQ3" i="2" s="1"/>
  <c r="BV19" i="2"/>
  <c r="BV18" i="2"/>
  <c r="CK119" i="1"/>
  <c r="CK137" i="1"/>
  <c r="CK376" i="1"/>
  <c r="CK347" i="1"/>
  <c r="CK361" i="1"/>
  <c r="EF7" i="1"/>
  <c r="DJ7" i="2" s="1"/>
  <c r="EE7" i="1"/>
  <c r="DI7" i="2" s="1"/>
  <c r="ED7" i="1"/>
  <c r="DH7" i="2" s="1"/>
  <c r="EC7" i="1"/>
  <c r="DG7" i="2" s="1"/>
  <c r="EB7" i="1"/>
  <c r="DF7" i="2" s="1"/>
  <c r="EA7" i="1"/>
  <c r="DE7" i="2" s="1"/>
  <c r="DZ7" i="1"/>
  <c r="DD7" i="2" s="1"/>
  <c r="DY7" i="1"/>
  <c r="DC7" i="2" s="1"/>
  <c r="DX7" i="1"/>
  <c r="DB7" i="2" s="1"/>
  <c r="DM105" i="1"/>
  <c r="DM106" i="1"/>
  <c r="DM107" i="1"/>
  <c r="DM108" i="1"/>
  <c r="DM109" i="1"/>
  <c r="DM110" i="1"/>
  <c r="DM111" i="1"/>
  <c r="DM112" i="1"/>
  <c r="DM113" i="1"/>
  <c r="DM114" i="1"/>
  <c r="DM115" i="1"/>
  <c r="DM116" i="1"/>
  <c r="DM117" i="1"/>
  <c r="DM118" i="1"/>
  <c r="DM119" i="1"/>
  <c r="DM120" i="1"/>
  <c r="DM121" i="1"/>
  <c r="DM122" i="1"/>
  <c r="DM123" i="1"/>
  <c r="DM124" i="1"/>
  <c r="DM125" i="1"/>
  <c r="DM126" i="1"/>
  <c r="DM127" i="1"/>
  <c r="DM129" i="1"/>
  <c r="DM130" i="1"/>
  <c r="DM131" i="1"/>
  <c r="DM132" i="1"/>
  <c r="DM133" i="1"/>
  <c r="DM134" i="1"/>
  <c r="DM135" i="1"/>
  <c r="DM136" i="1"/>
  <c r="DM137" i="1"/>
  <c r="DM138" i="1"/>
  <c r="DM139" i="1"/>
  <c r="DM140" i="1"/>
  <c r="DM141" i="1"/>
  <c r="DM142" i="1"/>
  <c r="DM143" i="1"/>
  <c r="DM144" i="1"/>
  <c r="DM145" i="1"/>
  <c r="DM146" i="1"/>
  <c r="DM147" i="1"/>
  <c r="DM148" i="1"/>
  <c r="DM149" i="1"/>
  <c r="DM150" i="1"/>
  <c r="DM151" i="1"/>
  <c r="DM152" i="1"/>
  <c r="DM153" i="1"/>
  <c r="DM154" i="1"/>
  <c r="DM155" i="1"/>
  <c r="DM156" i="1"/>
  <c r="DM157" i="1"/>
  <c r="DM158" i="1"/>
  <c r="DM159" i="1"/>
  <c r="DM160" i="1"/>
  <c r="DM161" i="1"/>
  <c r="DM162" i="1"/>
  <c r="DM163" i="1"/>
  <c r="DM164" i="1"/>
  <c r="DM165" i="1"/>
  <c r="DM166" i="1"/>
  <c r="DM167" i="1"/>
  <c r="DM168" i="1"/>
  <c r="DM169" i="1"/>
  <c r="DM170" i="1"/>
  <c r="DM171" i="1"/>
  <c r="DM172" i="1"/>
  <c r="DM173" i="1"/>
  <c r="DM174" i="1"/>
  <c r="DM175" i="1"/>
  <c r="DM176" i="1"/>
  <c r="DM177" i="1"/>
  <c r="DM178" i="1"/>
  <c r="DM179" i="1"/>
  <c r="DM180" i="1"/>
  <c r="DM181" i="1"/>
  <c r="DM182" i="1"/>
  <c r="DM183" i="1"/>
  <c r="DM184" i="1"/>
  <c r="DM185" i="1"/>
  <c r="DM186" i="1"/>
  <c r="DM187" i="1"/>
  <c r="DM188" i="1"/>
  <c r="DM189" i="1"/>
  <c r="DM190" i="1"/>
  <c r="DM191" i="1"/>
  <c r="DM192" i="1"/>
  <c r="DM193" i="1"/>
  <c r="DM194" i="1"/>
  <c r="DM195" i="1"/>
  <c r="DM196" i="1"/>
  <c r="DM197" i="1"/>
  <c r="DM198" i="1"/>
  <c r="DM199" i="1"/>
  <c r="DM200" i="1"/>
  <c r="DM201" i="1"/>
  <c r="DM202" i="1"/>
  <c r="DM203" i="1"/>
  <c r="DM204" i="1"/>
  <c r="DM205" i="1"/>
  <c r="DM206" i="1"/>
  <c r="DM207" i="1"/>
  <c r="DM208" i="1"/>
  <c r="DM209" i="1"/>
  <c r="DM210" i="1"/>
  <c r="DM211" i="1"/>
  <c r="DM212" i="1"/>
  <c r="DM213" i="1"/>
  <c r="DM214" i="1"/>
  <c r="DM215" i="1"/>
  <c r="DM216" i="1"/>
  <c r="DM217" i="1"/>
  <c r="DM218" i="1"/>
  <c r="DM219" i="1"/>
  <c r="DM220" i="1"/>
  <c r="DM221" i="1"/>
  <c r="DM222" i="1"/>
  <c r="DM223" i="1"/>
  <c r="DM224" i="1"/>
  <c r="DM225" i="1"/>
  <c r="DM226" i="1"/>
  <c r="DM227" i="1"/>
  <c r="DM228" i="1"/>
  <c r="DM229" i="1"/>
  <c r="DM230" i="1"/>
  <c r="DM231" i="1"/>
  <c r="DM232" i="1"/>
  <c r="DM233" i="1"/>
  <c r="DM234" i="1"/>
  <c r="DM235" i="1"/>
  <c r="DM236" i="1"/>
  <c r="DM237" i="1"/>
  <c r="DM238" i="1"/>
  <c r="DM239" i="1"/>
  <c r="DM240" i="1"/>
  <c r="DM241" i="1"/>
  <c r="DM242" i="1"/>
  <c r="DM243" i="1"/>
  <c r="DM244" i="1"/>
  <c r="DM245" i="1"/>
  <c r="DM246" i="1"/>
  <c r="DM247" i="1"/>
  <c r="DM248" i="1"/>
  <c r="DM249" i="1"/>
  <c r="DM250" i="1"/>
  <c r="DM251" i="1"/>
  <c r="DM252" i="1"/>
  <c r="DM253" i="1"/>
  <c r="DM254" i="1"/>
  <c r="DM255" i="1"/>
  <c r="DM256" i="1"/>
  <c r="DM257" i="1"/>
  <c r="DM258" i="1"/>
  <c r="DM259" i="1"/>
  <c r="DM260" i="1"/>
  <c r="DM261" i="1"/>
  <c r="DM262" i="1"/>
  <c r="DM263" i="1"/>
  <c r="DM264" i="1"/>
  <c r="DM265" i="1"/>
  <c r="DM266" i="1"/>
  <c r="DM267" i="1"/>
  <c r="DM268" i="1"/>
  <c r="DM269" i="1"/>
  <c r="DM270" i="1"/>
  <c r="DM271" i="1"/>
  <c r="DM272" i="1"/>
  <c r="DM273" i="1"/>
  <c r="DM274" i="1"/>
  <c r="DM275" i="1"/>
  <c r="DM276" i="1"/>
  <c r="DM277" i="1"/>
  <c r="DM278" i="1"/>
  <c r="DM279" i="1"/>
  <c r="DM280" i="1"/>
  <c r="DM281" i="1"/>
  <c r="DM282" i="1"/>
  <c r="DM283" i="1"/>
  <c r="DM284" i="1"/>
  <c r="DM285" i="1"/>
  <c r="DM286" i="1"/>
  <c r="DM287" i="1"/>
  <c r="DM288" i="1"/>
  <c r="DM289" i="1"/>
  <c r="DM290" i="1"/>
  <c r="DM291" i="1"/>
  <c r="DM292" i="1"/>
  <c r="DM293" i="1"/>
  <c r="DM294" i="1"/>
  <c r="DM295" i="1"/>
  <c r="DM296" i="1"/>
  <c r="DM297" i="1"/>
  <c r="DM298" i="1"/>
  <c r="DM299" i="1"/>
  <c r="DM300" i="1"/>
  <c r="DM301" i="1"/>
  <c r="DM302" i="1"/>
  <c r="DM303" i="1"/>
  <c r="DM304" i="1"/>
  <c r="DM305" i="1"/>
  <c r="DM306" i="1"/>
  <c r="DM307" i="1"/>
  <c r="DM308" i="1"/>
  <c r="DM309" i="1"/>
  <c r="DM310" i="1"/>
  <c r="DM311" i="1"/>
  <c r="DM312" i="1"/>
  <c r="DM313" i="1"/>
  <c r="DM314" i="1"/>
  <c r="DM315" i="1"/>
  <c r="DM316" i="1"/>
  <c r="DM317" i="1"/>
  <c r="DM318" i="1"/>
  <c r="DM319" i="1"/>
  <c r="DM320" i="1"/>
  <c r="DM321" i="1"/>
  <c r="DM322" i="1"/>
  <c r="DM323" i="1"/>
  <c r="DM324" i="1"/>
  <c r="DM325" i="1"/>
  <c r="DM326" i="1"/>
  <c r="DM329" i="1"/>
  <c r="DM330" i="1"/>
  <c r="DM331" i="1"/>
  <c r="DM332" i="1"/>
  <c r="DM333" i="1"/>
  <c r="DM334" i="1"/>
  <c r="DM335" i="1"/>
  <c r="DM336" i="1"/>
  <c r="DM337" i="1"/>
  <c r="DM338" i="1"/>
  <c r="DM339" i="1"/>
  <c r="DM340" i="1"/>
  <c r="DM341" i="1"/>
  <c r="DM342" i="1"/>
  <c r="DM343" i="1"/>
  <c r="DM344" i="1"/>
  <c r="DM345" i="1"/>
  <c r="DM346" i="1"/>
  <c r="DM347" i="1"/>
  <c r="DM348" i="1"/>
  <c r="DM349" i="1"/>
  <c r="DM350" i="1"/>
  <c r="DM351" i="1"/>
  <c r="DM352" i="1"/>
  <c r="DM353" i="1"/>
  <c r="DM354" i="1"/>
  <c r="DM355" i="1"/>
  <c r="DM356" i="1"/>
  <c r="DM357" i="1"/>
  <c r="DM358" i="1"/>
  <c r="DM359" i="1"/>
  <c r="DM360" i="1"/>
  <c r="DM361" i="1"/>
  <c r="DM362" i="1"/>
  <c r="DM363" i="1"/>
  <c r="DM364" i="1"/>
  <c r="DM365" i="1"/>
  <c r="DM366" i="1"/>
  <c r="DM367" i="1"/>
  <c r="DM368" i="1"/>
  <c r="DM369" i="1"/>
  <c r="DM370" i="1"/>
  <c r="DM371" i="1"/>
  <c r="DM372" i="1"/>
  <c r="DM373" i="1"/>
  <c r="DM374" i="1"/>
  <c r="DM375" i="1"/>
  <c r="DM376" i="1"/>
  <c r="DM377" i="1"/>
  <c r="DM378" i="1"/>
  <c r="DM379" i="1"/>
  <c r="DM104" i="1"/>
  <c r="CK101" i="1"/>
  <c r="DN101" i="1" s="1"/>
  <c r="CK53" i="1"/>
  <c r="DN53" i="1" s="1"/>
  <c r="CK52" i="1"/>
  <c r="DN52" i="1" s="1"/>
  <c r="CK51" i="1"/>
  <c r="DN51" i="1" s="1"/>
  <c r="CK50" i="1"/>
  <c r="DN50" i="1" s="1"/>
  <c r="CK49" i="1"/>
  <c r="DN49" i="1" s="1"/>
  <c r="CK48" i="1"/>
  <c r="DN48" i="1" s="1"/>
  <c r="CK47" i="1"/>
  <c r="DN47" i="1" s="1"/>
  <c r="CK46" i="1"/>
  <c r="DN46" i="1" s="1"/>
  <c r="CK45" i="1"/>
  <c r="DN45" i="1" s="1"/>
  <c r="CK44" i="1"/>
  <c r="DN44" i="1" s="1"/>
  <c r="CK43" i="1"/>
  <c r="DN43" i="1" s="1"/>
  <c r="CK42" i="1"/>
  <c r="DN42" i="1" s="1"/>
  <c r="CK41" i="1"/>
  <c r="DN41" i="1" s="1"/>
  <c r="CK40" i="1"/>
  <c r="DN40" i="1" s="1"/>
  <c r="CK39" i="1"/>
  <c r="DN39" i="1" s="1"/>
  <c r="CK38" i="1"/>
  <c r="DN38" i="1" s="1"/>
  <c r="CK37" i="1"/>
  <c r="DN37" i="1" s="1"/>
  <c r="CK36" i="1"/>
  <c r="DN36" i="1" s="1"/>
  <c r="CK35" i="1"/>
  <c r="DN35" i="1" s="1"/>
  <c r="CK34" i="1"/>
  <c r="DN34" i="1" s="1"/>
  <c r="CK33" i="1"/>
  <c r="DN33" i="1" s="1"/>
  <c r="CK32" i="1"/>
  <c r="DN32" i="1" s="1"/>
  <c r="Q105" i="1"/>
  <c r="S105" i="1"/>
  <c r="T105" i="1"/>
  <c r="W105" i="1"/>
  <c r="Q106" i="1"/>
  <c r="R106" i="1"/>
  <c r="T106" i="1"/>
  <c r="W106" i="1"/>
  <c r="Q107" i="1"/>
  <c r="T107" i="1"/>
  <c r="W107" i="1"/>
  <c r="X107" i="1"/>
  <c r="Q108" i="1"/>
  <c r="T108" i="1"/>
  <c r="W108" i="1"/>
  <c r="Q109" i="1"/>
  <c r="T109" i="1"/>
  <c r="W109" i="1"/>
  <c r="P110" i="1"/>
  <c r="Q110" i="1"/>
  <c r="T110" i="1"/>
  <c r="W110" i="1"/>
  <c r="Q111" i="1"/>
  <c r="T111" i="1"/>
  <c r="W111" i="1"/>
  <c r="Q112" i="1"/>
  <c r="T112" i="1"/>
  <c r="W112" i="1"/>
  <c r="Q113" i="1"/>
  <c r="T113" i="1"/>
  <c r="W113" i="1"/>
  <c r="Q114" i="1"/>
  <c r="T114" i="1"/>
  <c r="W114" i="1"/>
  <c r="Q115" i="1"/>
  <c r="T115" i="1"/>
  <c r="W115" i="1"/>
  <c r="Q116" i="1"/>
  <c r="W116" i="1"/>
  <c r="X116" i="1"/>
  <c r="Q117" i="1"/>
  <c r="W117" i="1"/>
  <c r="Q118" i="1"/>
  <c r="W118" i="1"/>
  <c r="Q119" i="1"/>
  <c r="W119" i="1"/>
  <c r="Q120" i="1"/>
  <c r="V120" i="1"/>
  <c r="W120" i="1"/>
  <c r="Q121" i="1"/>
  <c r="W121" i="1"/>
  <c r="Q122" i="1"/>
  <c r="W122" i="1"/>
  <c r="Q123" i="1"/>
  <c r="V123" i="1"/>
  <c r="W123" i="1"/>
  <c r="Q124" i="1"/>
  <c r="R124" i="1"/>
  <c r="W124" i="1"/>
  <c r="Q125" i="1"/>
  <c r="W125" i="1"/>
  <c r="Q126" i="1"/>
  <c r="S126" i="1"/>
  <c r="W126" i="1"/>
  <c r="Q127" i="1"/>
  <c r="W127" i="1"/>
  <c r="X104" i="1"/>
  <c r="W104" i="1"/>
  <c r="U104" i="1"/>
  <c r="T104" i="1"/>
  <c r="Q104" i="1"/>
  <c r="P104" i="1"/>
  <c r="D36" i="2"/>
  <c r="S110" i="1"/>
  <c r="S115" i="1"/>
  <c r="P119" i="1"/>
  <c r="U106" i="1"/>
  <c r="R112" i="1"/>
  <c r="G20" i="2"/>
  <c r="G22" i="2"/>
  <c r="G26" i="2"/>
  <c r="R104" i="1"/>
  <c r="A38" i="2"/>
  <c r="A37" i="2"/>
  <c r="A36" i="2"/>
  <c r="A35" i="2"/>
  <c r="A34" i="2"/>
  <c r="A33" i="2"/>
  <c r="A32" i="2"/>
  <c r="A31" i="2"/>
  <c r="A30" i="2"/>
  <c r="A29" i="2"/>
  <c r="A28" i="2"/>
  <c r="A27" i="2"/>
  <c r="A26" i="2"/>
  <c r="A25" i="2"/>
  <c r="A24" i="2"/>
  <c r="A23" i="2"/>
  <c r="A22" i="2"/>
  <c r="A21" i="2"/>
  <c r="A20" i="2"/>
  <c r="A19" i="2"/>
  <c r="A18" i="2"/>
  <c r="B8" i="66" s="1"/>
  <c r="A17" i="2"/>
  <c r="A16" i="2"/>
  <c r="B6" i="66" s="1"/>
  <c r="A15" i="2"/>
  <c r="A14" i="2"/>
  <c r="A13" i="2"/>
  <c r="A12" i="2"/>
  <c r="A11" i="2"/>
  <c r="Z6" i="2"/>
  <c r="AA6" i="2"/>
  <c r="AB6" i="2"/>
  <c r="AC6" i="2"/>
  <c r="AD6" i="2"/>
  <c r="AH6" i="2"/>
  <c r="AI6" i="2"/>
  <c r="AJ6" i="2"/>
  <c r="AK6" i="2"/>
  <c r="AL6" i="2"/>
  <c r="AN6" i="2"/>
  <c r="BD6" i="2"/>
  <c r="BE6" i="2"/>
  <c r="BG6" i="2"/>
  <c r="BH6" i="2"/>
  <c r="BI6" i="2"/>
  <c r="BJ6" i="2"/>
  <c r="BK6" i="2"/>
  <c r="BL6" i="2"/>
  <c r="BM6" i="2"/>
  <c r="BN6" i="2"/>
  <c r="BP6" i="2"/>
  <c r="A7" i="2"/>
  <c r="B7" i="2"/>
  <c r="C7" i="2"/>
  <c r="D7" i="2"/>
  <c r="E7" i="2"/>
  <c r="F7" i="2"/>
  <c r="G7" i="2"/>
  <c r="I7" i="2"/>
  <c r="B11" i="34" s="1"/>
  <c r="J7" i="2"/>
  <c r="K7" i="2"/>
  <c r="L7" i="2"/>
  <c r="M7" i="2"/>
  <c r="C11" i="34" s="1"/>
  <c r="N7" i="2"/>
  <c r="O7" i="2"/>
  <c r="P7" i="2"/>
  <c r="Q7" i="2"/>
  <c r="D11" i="34" s="1"/>
  <c r="Z7" i="2"/>
  <c r="Z3" i="2" s="1"/>
  <c r="AA7" i="2"/>
  <c r="AA3" i="2" s="1"/>
  <c r="AB7" i="2"/>
  <c r="AB3" i="2" s="1"/>
  <c r="AC7" i="2"/>
  <c r="AC3" i="2" s="1"/>
  <c r="AD7" i="2"/>
  <c r="AD3" i="2" s="1"/>
  <c r="AE7" i="2"/>
  <c r="AE3" i="2" s="1"/>
  <c r="AF7" i="2"/>
  <c r="AF3" i="2" s="1"/>
  <c r="AG7" i="2"/>
  <c r="AG3" i="2" s="1"/>
  <c r="AH7" i="2"/>
  <c r="AH3" i="2" s="1"/>
  <c r="AI7" i="2"/>
  <c r="AI3" i="2" s="1"/>
  <c r="AJ7" i="2"/>
  <c r="AJ3" i="2" s="1"/>
  <c r="AK7" i="2"/>
  <c r="AK3" i="2" s="1"/>
  <c r="AL7" i="2"/>
  <c r="AL3" i="2" s="1"/>
  <c r="AM7" i="2"/>
  <c r="AN7" i="2"/>
  <c r="AN3" i="2" s="1"/>
  <c r="AO7" i="2"/>
  <c r="AO3" i="2" s="1"/>
  <c r="AP7" i="2"/>
  <c r="W5" i="66" s="1"/>
  <c r="BD7" i="2"/>
  <c r="BD3" i="2" s="1"/>
  <c r="BE7" i="2"/>
  <c r="BE3" i="2" s="1"/>
  <c r="BF7" i="2"/>
  <c r="BG7" i="2"/>
  <c r="BH7" i="2"/>
  <c r="BI7" i="2"/>
  <c r="BK7" i="2"/>
  <c r="BK3" i="2" s="1"/>
  <c r="BL7" i="2"/>
  <c r="BM7" i="2"/>
  <c r="BN7" i="2"/>
  <c r="BN3" i="2" s="1"/>
  <c r="BO7" i="2"/>
  <c r="BP7" i="2"/>
  <c r="BP3" i="2" s="1"/>
  <c r="BQ7" i="2"/>
  <c r="BR7" i="2"/>
  <c r="BR3" i="2" s="1"/>
  <c r="BS7" i="2"/>
  <c r="BS3" i="2" s="1"/>
  <c r="BT7" i="2"/>
  <c r="BT3" i="2" s="1"/>
  <c r="BU7" i="2"/>
  <c r="BU3" i="2" s="1"/>
  <c r="BV7" i="2"/>
  <c r="BV3" i="2" s="1"/>
  <c r="BW7" i="2"/>
  <c r="BX7" i="2"/>
  <c r="BY7" i="2"/>
  <c r="BZ7" i="2"/>
  <c r="CA7" i="2"/>
  <c r="CB7" i="2"/>
  <c r="CC7" i="2"/>
  <c r="CD7" i="2"/>
  <c r="CE7" i="2"/>
  <c r="CF7" i="2"/>
  <c r="CH7" i="2"/>
  <c r="CI7" i="2"/>
  <c r="CJ7" i="2"/>
  <c r="CK7" i="2"/>
  <c r="CL7" i="2"/>
  <c r="CM7" i="2"/>
  <c r="CN7" i="2"/>
  <c r="CO7" i="2"/>
  <c r="CP7" i="2"/>
  <c r="CQ7" i="2"/>
  <c r="CR7" i="2"/>
  <c r="CS7" i="2"/>
  <c r="CT7" i="2"/>
  <c r="CU7" i="2"/>
  <c r="CV7" i="2"/>
  <c r="CW7" i="2"/>
  <c r="CX7" i="2"/>
  <c r="CY7" i="2"/>
  <c r="CZ7" i="2"/>
  <c r="DA7" i="2"/>
  <c r="A8" i="2"/>
  <c r="B8" i="2"/>
  <c r="C8" i="2"/>
  <c r="D8" i="2"/>
  <c r="E8" i="2"/>
  <c r="F8" i="2"/>
  <c r="G8" i="2"/>
  <c r="Z8" i="2"/>
  <c r="AA8" i="2"/>
  <c r="AB8" i="2"/>
  <c r="AC8" i="2"/>
  <c r="AD8" i="2"/>
  <c r="AE8" i="2"/>
  <c r="AF8" i="2"/>
  <c r="AG8" i="2"/>
  <c r="AH8" i="2"/>
  <c r="AI8" i="2"/>
  <c r="AJ8" i="2"/>
  <c r="AK8" i="2"/>
  <c r="AL8" i="2"/>
  <c r="AM8" i="2"/>
  <c r="AN8" i="2"/>
  <c r="AO8" i="2"/>
  <c r="AP8" i="2"/>
  <c r="BD8" i="2"/>
  <c r="BE8" i="2"/>
  <c r="BG8" i="2"/>
  <c r="BH8" i="2"/>
  <c r="BI8" i="2"/>
  <c r="BJ8" i="2"/>
  <c r="BK8" i="2"/>
  <c r="BL8" i="2"/>
  <c r="BM8" i="2"/>
  <c r="BN8" i="2"/>
  <c r="BO8" i="2"/>
  <c r="BP8" i="2"/>
  <c r="BQ8" i="2"/>
  <c r="BR8" i="2"/>
  <c r="BS8" i="2"/>
  <c r="BT8" i="2"/>
  <c r="BU8" i="2"/>
  <c r="BV8" i="2"/>
  <c r="CH8" i="2"/>
  <c r="CI8" i="2"/>
  <c r="CJ8" i="2"/>
  <c r="CK8" i="2"/>
  <c r="CL8" i="2"/>
  <c r="CM8" i="2"/>
  <c r="CN8" i="2"/>
  <c r="CO8" i="2"/>
  <c r="CP8" i="2"/>
  <c r="A9" i="2"/>
  <c r="C9" i="2"/>
  <c r="E9" i="2"/>
  <c r="F9" i="2"/>
  <c r="G9" i="2"/>
  <c r="Z9" i="2"/>
  <c r="AA9" i="2"/>
  <c r="AB9" i="2"/>
  <c r="AC9" i="2"/>
  <c r="AD9" i="2"/>
  <c r="AE9" i="2"/>
  <c r="AF9" i="2"/>
  <c r="AG9" i="2"/>
  <c r="AH9" i="2"/>
  <c r="AI9" i="2"/>
  <c r="AJ9" i="2"/>
  <c r="AK9" i="2"/>
  <c r="AL9" i="2"/>
  <c r="AM9" i="2"/>
  <c r="AN9" i="2"/>
  <c r="AO9" i="2"/>
  <c r="AP9" i="2"/>
  <c r="BD9" i="2"/>
  <c r="BE9" i="2"/>
  <c r="BG9" i="2"/>
  <c r="BH9" i="2"/>
  <c r="BI9" i="2"/>
  <c r="BJ9" i="2"/>
  <c r="BK9" i="2"/>
  <c r="BL9" i="2"/>
  <c r="BM9" i="2"/>
  <c r="BN9" i="2"/>
  <c r="BO9" i="2"/>
  <c r="BP9" i="2"/>
  <c r="BQ9" i="2"/>
  <c r="BR9" i="2"/>
  <c r="BS9" i="2"/>
  <c r="BT9" i="2"/>
  <c r="BU9" i="2"/>
  <c r="BV9" i="2"/>
  <c r="CH9" i="2"/>
  <c r="CI9" i="2"/>
  <c r="CJ9" i="2"/>
  <c r="CK9" i="2"/>
  <c r="CL9" i="2"/>
  <c r="CM9" i="2"/>
  <c r="CN9" i="2"/>
  <c r="CO9" i="2"/>
  <c r="CP9" i="2"/>
  <c r="A10" i="2"/>
  <c r="B10" i="2"/>
  <c r="C10" i="2"/>
  <c r="D10" i="2"/>
  <c r="E10" i="2"/>
  <c r="F10" i="2"/>
  <c r="G10" i="2"/>
  <c r="I10" i="2"/>
  <c r="J10" i="2"/>
  <c r="K10" i="2"/>
  <c r="L10" i="2"/>
  <c r="M10" i="2"/>
  <c r="N10" i="2"/>
  <c r="O10" i="2"/>
  <c r="P10" i="2"/>
  <c r="Q10" i="2"/>
  <c r="Z10" i="2"/>
  <c r="AA10" i="2"/>
  <c r="AB10" i="2"/>
  <c r="AC10" i="2"/>
  <c r="AD10" i="2"/>
  <c r="AE10" i="2"/>
  <c r="AF10" i="2"/>
  <c r="AG10" i="2"/>
  <c r="AH10" i="2"/>
  <c r="AI10" i="2"/>
  <c r="AJ10" i="2"/>
  <c r="AK10" i="2"/>
  <c r="AL10" i="2"/>
  <c r="AM10" i="2"/>
  <c r="AN10" i="2"/>
  <c r="AO10" i="2"/>
  <c r="AP10" i="2"/>
  <c r="BD10" i="2"/>
  <c r="BE10" i="2"/>
  <c r="BF10" i="2"/>
  <c r="BG10" i="2"/>
  <c r="BH10" i="2"/>
  <c r="BI10" i="2"/>
  <c r="BJ10" i="2"/>
  <c r="BK10" i="2"/>
  <c r="BL10" i="2"/>
  <c r="BM10" i="2"/>
  <c r="BN10" i="2"/>
  <c r="BO10" i="2"/>
  <c r="BP10" i="2"/>
  <c r="BQ10" i="2"/>
  <c r="BR10" i="2"/>
  <c r="BS10" i="2"/>
  <c r="BT10" i="2"/>
  <c r="BU10" i="2"/>
  <c r="BV10" i="2"/>
  <c r="BX10" i="2"/>
  <c r="BY10" i="2"/>
  <c r="BZ10" i="2"/>
  <c r="CA10" i="2"/>
  <c r="CB10" i="2"/>
  <c r="CC10" i="2"/>
  <c r="CD10" i="2"/>
  <c r="CE10" i="2"/>
  <c r="CF10" i="2"/>
  <c r="CH10" i="2"/>
  <c r="CI10" i="2"/>
  <c r="CJ10" i="2"/>
  <c r="CK10" i="2"/>
  <c r="CL10" i="2"/>
  <c r="CM10" i="2"/>
  <c r="CN10" i="2"/>
  <c r="CO10" i="2"/>
  <c r="CP10" i="2"/>
  <c r="CQ10" i="2"/>
  <c r="N6" i="43"/>
  <c r="P6" i="43"/>
  <c r="Q6" i="43"/>
  <c r="T6" i="43"/>
  <c r="X6" i="43"/>
  <c r="Y6" i="43"/>
  <c r="S6" i="29"/>
  <c r="T6" i="29"/>
  <c r="U6" i="29"/>
  <c r="V6" i="29"/>
  <c r="W6" i="29"/>
  <c r="X6" i="29"/>
  <c r="Y6" i="29"/>
  <c r="Z6" i="29"/>
  <c r="AD7" i="27"/>
  <c r="P7" i="43"/>
  <c r="AF7" i="27"/>
  <c r="AM7" i="27" s="1"/>
  <c r="Q7" i="43"/>
  <c r="T7" i="43"/>
  <c r="V7" i="43"/>
  <c r="W7" i="43"/>
  <c r="X7" i="43"/>
  <c r="Y7" i="43"/>
  <c r="S7" i="29"/>
  <c r="T7" i="29"/>
  <c r="U7" i="29"/>
  <c r="V7" i="29"/>
  <c r="X7" i="29"/>
  <c r="Y7" i="29"/>
  <c r="Z7" i="29"/>
  <c r="B18" i="2"/>
  <c r="D18" i="2"/>
  <c r="E18" i="2"/>
  <c r="F18" i="2"/>
  <c r="Z18" i="2"/>
  <c r="AA18" i="2"/>
  <c r="AB18" i="2"/>
  <c r="AC18" i="2"/>
  <c r="AD18" i="2"/>
  <c r="AE18" i="2"/>
  <c r="AF18" i="2"/>
  <c r="AG18" i="2"/>
  <c r="AH18" i="2"/>
  <c r="AI18" i="2"/>
  <c r="AJ18" i="2"/>
  <c r="AK18" i="2"/>
  <c r="AL18" i="2"/>
  <c r="AN18" i="2"/>
  <c r="AO18" i="2"/>
  <c r="P8" i="43" s="1"/>
  <c r="AP18" i="2"/>
  <c r="BD18" i="2"/>
  <c r="BE18" i="2"/>
  <c r="J8" i="66" s="1"/>
  <c r="BF18" i="2"/>
  <c r="K8" i="66" s="1"/>
  <c r="BG18" i="2"/>
  <c r="L8" i="66" s="1"/>
  <c r="BH18" i="2"/>
  <c r="M8" i="66" s="1"/>
  <c r="BI18" i="2"/>
  <c r="N8" i="66" s="1"/>
  <c r="H18" i="2"/>
  <c r="BK18" i="2"/>
  <c r="BM18" i="2"/>
  <c r="BO18" i="2"/>
  <c r="V8" i="43" s="1"/>
  <c r="BP18" i="2"/>
  <c r="BQ18" i="2"/>
  <c r="X8" i="43" s="1"/>
  <c r="BR18" i="2"/>
  <c r="Y8" i="43" s="1"/>
  <c r="BS18" i="2"/>
  <c r="Z8" i="43" s="1"/>
  <c r="BT18" i="2"/>
  <c r="AG8" i="43" s="1"/>
  <c r="BU18" i="2"/>
  <c r="CH18" i="2"/>
  <c r="CI18" i="2"/>
  <c r="CJ18" i="2"/>
  <c r="CK18" i="2"/>
  <c r="CL18" i="2"/>
  <c r="CM18" i="2"/>
  <c r="CN18" i="2"/>
  <c r="CO18" i="2"/>
  <c r="CP18" i="2"/>
  <c r="B19" i="2"/>
  <c r="D19" i="2"/>
  <c r="F19" i="2"/>
  <c r="G19" i="2"/>
  <c r="Z19" i="2"/>
  <c r="AA19" i="2"/>
  <c r="AB19" i="2"/>
  <c r="AC19" i="2"/>
  <c r="AD19" i="2"/>
  <c r="AE19" i="2"/>
  <c r="AF19" i="2"/>
  <c r="AG19" i="2"/>
  <c r="AH19" i="2"/>
  <c r="AI19" i="2"/>
  <c r="AJ19" i="2"/>
  <c r="AK19" i="2"/>
  <c r="AL19" i="2"/>
  <c r="AN19" i="2"/>
  <c r="AO19" i="2"/>
  <c r="BE19" i="2"/>
  <c r="J9" i="66" s="1"/>
  <c r="BF19" i="2"/>
  <c r="K9" i="66" s="1"/>
  <c r="BG19" i="2"/>
  <c r="L9" i="66" s="1"/>
  <c r="BH19" i="2"/>
  <c r="M9" i="66" s="1"/>
  <c r="BI19" i="2"/>
  <c r="N9" i="66" s="1"/>
  <c r="BK19" i="2"/>
  <c r="BM19" i="2"/>
  <c r="BN19" i="2"/>
  <c r="U9" i="43" s="1"/>
  <c r="AN24" i="43" s="1"/>
  <c r="BO19" i="2"/>
  <c r="V9" i="43" s="1"/>
  <c r="AN25" i="43" s="1"/>
  <c r="BP19" i="2"/>
  <c r="W9" i="43" s="1"/>
  <c r="AN26" i="43" s="1"/>
  <c r="BQ19" i="2"/>
  <c r="X9" i="43" s="1"/>
  <c r="AN27" i="43" s="1"/>
  <c r="BR19" i="2"/>
  <c r="Y9" i="43" s="1"/>
  <c r="AN28" i="43" s="1"/>
  <c r="BS19" i="2"/>
  <c r="Z9" i="43" s="1"/>
  <c r="AN29" i="43" s="1"/>
  <c r="BT19" i="2"/>
  <c r="AG9" i="43" s="1"/>
  <c r="AN36" i="43" s="1"/>
  <c r="BU19" i="2"/>
  <c r="CH19" i="2"/>
  <c r="CI19" i="2"/>
  <c r="CJ19" i="2"/>
  <c r="CK19" i="2"/>
  <c r="CL19" i="2"/>
  <c r="CM19" i="2"/>
  <c r="R9" i="66" s="1"/>
  <c r="CN19" i="2"/>
  <c r="CO19" i="2"/>
  <c r="CP19" i="2"/>
  <c r="B20" i="2"/>
  <c r="D20" i="2"/>
  <c r="F20" i="2"/>
  <c r="Z20" i="2"/>
  <c r="AA20" i="2"/>
  <c r="AB20" i="2"/>
  <c r="AC20" i="2"/>
  <c r="AD20" i="2"/>
  <c r="AE20" i="2"/>
  <c r="AG20" i="2"/>
  <c r="AH20" i="2"/>
  <c r="AI20" i="2"/>
  <c r="AJ20" i="2"/>
  <c r="AK20" i="2"/>
  <c r="AL20" i="2"/>
  <c r="AN20" i="2"/>
  <c r="BE20" i="2"/>
  <c r="BF20" i="2"/>
  <c r="K10" i="66" s="1"/>
  <c r="BG20" i="2"/>
  <c r="L10" i="66" s="1"/>
  <c r="BH20" i="2"/>
  <c r="M10" i="66" s="1"/>
  <c r="BI20" i="2"/>
  <c r="N10" i="66" s="1"/>
  <c r="BK20" i="2"/>
  <c r="BM20" i="2"/>
  <c r="BN20" i="2"/>
  <c r="BO20" i="2"/>
  <c r="BP20" i="2"/>
  <c r="W10" i="43" s="1"/>
  <c r="AO26" i="43" s="1"/>
  <c r="BQ20" i="2"/>
  <c r="BR20" i="2"/>
  <c r="Y10" i="43" s="1"/>
  <c r="AO28" i="43" s="1"/>
  <c r="BS20" i="2"/>
  <c r="Z10" i="43" s="1"/>
  <c r="AO29" i="43" s="1"/>
  <c r="BT20" i="2"/>
  <c r="AG10" i="43" s="1"/>
  <c r="AO36" i="43" s="1"/>
  <c r="BU20" i="2"/>
  <c r="CH20" i="2"/>
  <c r="CI20" i="2"/>
  <c r="CJ20" i="2"/>
  <c r="CK20" i="2"/>
  <c r="CL20" i="2"/>
  <c r="CM20" i="2"/>
  <c r="CN20" i="2"/>
  <c r="CO20" i="2"/>
  <c r="CP20" i="2"/>
  <c r="B21" i="2"/>
  <c r="D21" i="2"/>
  <c r="E21" i="2"/>
  <c r="F21" i="2"/>
  <c r="Z21" i="2"/>
  <c r="AA21" i="2"/>
  <c r="AB21" i="2"/>
  <c r="AC21" i="2"/>
  <c r="AD21" i="2"/>
  <c r="AE21" i="2"/>
  <c r="AG21" i="2"/>
  <c r="AH21" i="2"/>
  <c r="AI21" i="2"/>
  <c r="AJ21" i="2"/>
  <c r="AK21" i="2"/>
  <c r="AL21" i="2"/>
  <c r="AN21" i="2"/>
  <c r="BE21" i="2"/>
  <c r="BF21" i="2"/>
  <c r="K11" i="66" s="1"/>
  <c r="BG21" i="2"/>
  <c r="L11" i="66" s="1"/>
  <c r="BH21" i="2"/>
  <c r="M11" i="66" s="1"/>
  <c r="BI21" i="2"/>
  <c r="N11" i="66" s="1"/>
  <c r="BK21" i="2"/>
  <c r="BM21" i="2"/>
  <c r="BN21" i="2"/>
  <c r="BO21" i="2"/>
  <c r="BP21" i="2"/>
  <c r="W11" i="43" s="1"/>
  <c r="AP26" i="43" s="1"/>
  <c r="BQ21" i="2"/>
  <c r="BR21" i="2"/>
  <c r="Y11" i="43" s="1"/>
  <c r="AP28" i="43" s="1"/>
  <c r="BS21" i="2"/>
  <c r="Z11" i="43" s="1"/>
  <c r="AP29" i="43" s="1"/>
  <c r="BT21" i="2"/>
  <c r="AG11" i="43" s="1"/>
  <c r="AP36" i="43" s="1"/>
  <c r="BU21" i="2"/>
  <c r="CH21" i="2"/>
  <c r="CI21" i="2"/>
  <c r="CJ21" i="2"/>
  <c r="CK21" i="2"/>
  <c r="CL21" i="2"/>
  <c r="CM21" i="2"/>
  <c r="CN21" i="2"/>
  <c r="S11" i="66" s="1"/>
  <c r="CO21" i="2"/>
  <c r="CP21" i="2"/>
  <c r="B22" i="2"/>
  <c r="D22" i="2"/>
  <c r="F22" i="2"/>
  <c r="Z22" i="2"/>
  <c r="AA22" i="2"/>
  <c r="AB22" i="2"/>
  <c r="AC22" i="2"/>
  <c r="AD22" i="2"/>
  <c r="AE22" i="2"/>
  <c r="AG22" i="2"/>
  <c r="AH22" i="2"/>
  <c r="AI22" i="2"/>
  <c r="AJ22" i="2"/>
  <c r="AK22" i="2"/>
  <c r="AL22" i="2"/>
  <c r="AN22" i="2"/>
  <c r="AP22" i="2"/>
  <c r="W12" i="66" s="1"/>
  <c r="BE22" i="2"/>
  <c r="BF22" i="2"/>
  <c r="K12" i="66" s="1"/>
  <c r="BG22" i="2"/>
  <c r="L12" i="66" s="1"/>
  <c r="BH22" i="2"/>
  <c r="M12" i="66" s="1"/>
  <c r="BI22" i="2"/>
  <c r="N12" i="66" s="1"/>
  <c r="BK22" i="2"/>
  <c r="BM22" i="2"/>
  <c r="BN22" i="2"/>
  <c r="U13" i="43" s="1"/>
  <c r="AQ24" i="43" s="1"/>
  <c r="BO22" i="2"/>
  <c r="BP22" i="2"/>
  <c r="W13" i="43" s="1"/>
  <c r="AQ26" i="43" s="1"/>
  <c r="BQ22" i="2"/>
  <c r="BR22" i="2"/>
  <c r="Y13" i="43" s="1"/>
  <c r="AQ28" i="43" s="1"/>
  <c r="BS22" i="2"/>
  <c r="Z13" i="43" s="1"/>
  <c r="AQ29" i="43" s="1"/>
  <c r="BT22" i="2"/>
  <c r="AG13" i="43" s="1"/>
  <c r="AQ36" i="43" s="1"/>
  <c r="BU22" i="2"/>
  <c r="CH22" i="2"/>
  <c r="CI22" i="2"/>
  <c r="CJ22" i="2"/>
  <c r="CK22" i="2"/>
  <c r="CL22" i="2"/>
  <c r="CM22" i="2"/>
  <c r="R12" i="66" s="1"/>
  <c r="CN22" i="2"/>
  <c r="CO22" i="2"/>
  <c r="CP22" i="2"/>
  <c r="B23" i="2"/>
  <c r="D23" i="2"/>
  <c r="E23" i="2"/>
  <c r="F23" i="2"/>
  <c r="Z23" i="2"/>
  <c r="AA23" i="2"/>
  <c r="AB23" i="2"/>
  <c r="AC23" i="2"/>
  <c r="AD23" i="2"/>
  <c r="AE23" i="2"/>
  <c r="AG23" i="2"/>
  <c r="AH23" i="2"/>
  <c r="AI23" i="2"/>
  <c r="AJ23" i="2"/>
  <c r="AK23" i="2"/>
  <c r="AL23" i="2"/>
  <c r="AN23" i="2"/>
  <c r="AP23" i="2"/>
  <c r="W13" i="66" s="1"/>
  <c r="BE23" i="2"/>
  <c r="BF23" i="2"/>
  <c r="K13" i="66" s="1"/>
  <c r="BG23" i="2"/>
  <c r="L13" i="66" s="1"/>
  <c r="BH23" i="2"/>
  <c r="M13" i="66" s="1"/>
  <c r="BI23" i="2"/>
  <c r="N13" i="66" s="1"/>
  <c r="BK23" i="2"/>
  <c r="BM23" i="2"/>
  <c r="BN23" i="2"/>
  <c r="U14" i="43" s="1"/>
  <c r="AR24" i="43" s="1"/>
  <c r="BO23" i="2"/>
  <c r="V14" i="43" s="1"/>
  <c r="AR25" i="43" s="1"/>
  <c r="BP23" i="2"/>
  <c r="W14" i="43" s="1"/>
  <c r="AR26" i="43" s="1"/>
  <c r="BQ23" i="2"/>
  <c r="X14" i="43" s="1"/>
  <c r="AR27" i="43" s="1"/>
  <c r="BR23" i="2"/>
  <c r="Y14" i="43" s="1"/>
  <c r="AR28" i="43" s="1"/>
  <c r="BS23" i="2"/>
  <c r="BT23" i="2"/>
  <c r="BU23" i="2"/>
  <c r="CH23" i="2"/>
  <c r="CI23" i="2"/>
  <c r="CJ23" i="2"/>
  <c r="CK23" i="2"/>
  <c r="CL23" i="2"/>
  <c r="CM23" i="2"/>
  <c r="CN23" i="2"/>
  <c r="CO23" i="2"/>
  <c r="CP23" i="2"/>
  <c r="B24" i="2"/>
  <c r="D24" i="2"/>
  <c r="F24" i="2"/>
  <c r="Z24" i="2"/>
  <c r="AA24" i="2"/>
  <c r="AB24" i="2"/>
  <c r="AC24" i="2"/>
  <c r="AD24" i="2"/>
  <c r="AE24" i="2"/>
  <c r="AG24" i="2"/>
  <c r="AH24" i="2"/>
  <c r="AI24" i="2"/>
  <c r="AJ24" i="2"/>
  <c r="AK24" i="2"/>
  <c r="AL24" i="2"/>
  <c r="AN24" i="2"/>
  <c r="AP24" i="2"/>
  <c r="BE24" i="2"/>
  <c r="BF24" i="2"/>
  <c r="BG24" i="2"/>
  <c r="BH24" i="2"/>
  <c r="BI24" i="2"/>
  <c r="BK24" i="2"/>
  <c r="BM24" i="2"/>
  <c r="BN24" i="2"/>
  <c r="U15" i="43" s="1"/>
  <c r="AS24" i="43" s="1"/>
  <c r="BO24" i="2"/>
  <c r="BP24" i="2"/>
  <c r="W15" i="43" s="1"/>
  <c r="AS26" i="43" s="1"/>
  <c r="BQ24" i="2"/>
  <c r="BR24" i="2"/>
  <c r="BS24" i="2"/>
  <c r="BT24" i="2"/>
  <c r="BU24" i="2"/>
  <c r="CH24" i="2"/>
  <c r="CI24" i="2"/>
  <c r="CJ24" i="2"/>
  <c r="CK24" i="2"/>
  <c r="CL24" i="2"/>
  <c r="CM24" i="2"/>
  <c r="CN24" i="2"/>
  <c r="CO24" i="2"/>
  <c r="CP24" i="2"/>
  <c r="B25" i="2"/>
  <c r="D25" i="2"/>
  <c r="E25" i="2"/>
  <c r="F25" i="2"/>
  <c r="Z25" i="2"/>
  <c r="AA25" i="2"/>
  <c r="AB25" i="2"/>
  <c r="AC25" i="2"/>
  <c r="AD25" i="2"/>
  <c r="AE25" i="2"/>
  <c r="AG25" i="2"/>
  <c r="AH25" i="2"/>
  <c r="AI25" i="2"/>
  <c r="AJ25" i="2"/>
  <c r="AK25" i="2"/>
  <c r="AL25" i="2"/>
  <c r="AN25" i="2"/>
  <c r="AP25" i="2"/>
  <c r="W15" i="66" s="1"/>
  <c r="BE25" i="2"/>
  <c r="BF25" i="2"/>
  <c r="BG25" i="2"/>
  <c r="BH25" i="2"/>
  <c r="BI25" i="2"/>
  <c r="BK25" i="2"/>
  <c r="BM25" i="2"/>
  <c r="BN25" i="2"/>
  <c r="BO25" i="2"/>
  <c r="V16" i="43" s="1"/>
  <c r="AT25" i="43" s="1"/>
  <c r="BP25" i="2"/>
  <c r="BQ25" i="2"/>
  <c r="X16" i="43" s="1"/>
  <c r="AT27" i="43" s="1"/>
  <c r="BR25" i="2"/>
  <c r="BS25" i="2"/>
  <c r="AH15" i="27" s="1"/>
  <c r="BT25" i="2"/>
  <c r="BU25" i="2"/>
  <c r="CH25" i="2"/>
  <c r="CI25" i="2"/>
  <c r="CJ25" i="2"/>
  <c r="O15" i="66" s="1"/>
  <c r="CK25" i="2"/>
  <c r="P15" i="66" s="1"/>
  <c r="CL25" i="2"/>
  <c r="Q15" i="66" s="1"/>
  <c r="CM25" i="2"/>
  <c r="R15" i="66" s="1"/>
  <c r="CN25" i="2"/>
  <c r="S15" i="66" s="1"/>
  <c r="CO25" i="2"/>
  <c r="T15" i="66" s="1"/>
  <c r="CP25" i="2"/>
  <c r="U15" i="66" s="1"/>
  <c r="B26" i="2"/>
  <c r="D26" i="2"/>
  <c r="F26" i="2"/>
  <c r="Z26" i="2"/>
  <c r="AA26" i="2"/>
  <c r="AB26" i="2"/>
  <c r="AC26" i="2"/>
  <c r="AD26" i="2"/>
  <c r="AE26" i="2"/>
  <c r="AG26" i="2"/>
  <c r="AH26" i="2"/>
  <c r="AI26" i="2"/>
  <c r="AJ26" i="2"/>
  <c r="AK26" i="2"/>
  <c r="AL26" i="2"/>
  <c r="AN26" i="2"/>
  <c r="AP26" i="2"/>
  <c r="W16" i="66" s="1"/>
  <c r="BE26" i="2"/>
  <c r="BF26" i="2"/>
  <c r="BG26" i="2"/>
  <c r="BH26" i="2"/>
  <c r="BI26" i="2"/>
  <c r="BK26" i="2"/>
  <c r="BM26" i="2"/>
  <c r="BN26" i="2"/>
  <c r="U17" i="43" s="1"/>
  <c r="AU24" i="43" s="1"/>
  <c r="BO26" i="2"/>
  <c r="BP26" i="2"/>
  <c r="BQ26" i="2"/>
  <c r="BR26" i="2"/>
  <c r="BS26" i="2"/>
  <c r="BT26" i="2"/>
  <c r="BU26" i="2"/>
  <c r="CH26" i="2"/>
  <c r="CI26" i="2"/>
  <c r="CJ26" i="2"/>
  <c r="O16" i="66" s="1"/>
  <c r="CK26" i="2"/>
  <c r="P16" i="66" s="1"/>
  <c r="CL26" i="2"/>
  <c r="Q16" i="66" s="1"/>
  <c r="CM26" i="2"/>
  <c r="R16" i="66" s="1"/>
  <c r="CN26" i="2"/>
  <c r="S16" i="66" s="1"/>
  <c r="CO26" i="2"/>
  <c r="T16" i="66" s="1"/>
  <c r="CP26" i="2"/>
  <c r="U16" i="66" s="1"/>
  <c r="B27" i="2"/>
  <c r="D27" i="2"/>
  <c r="E27" i="2"/>
  <c r="F27" i="2"/>
  <c r="Z27" i="2"/>
  <c r="AA27" i="2"/>
  <c r="AB27" i="2"/>
  <c r="AC27" i="2"/>
  <c r="AD27" i="2"/>
  <c r="AE27" i="2"/>
  <c r="AG27" i="2"/>
  <c r="AH27" i="2"/>
  <c r="AI27" i="2"/>
  <c r="AJ27" i="2"/>
  <c r="AK27" i="2"/>
  <c r="AL27" i="2"/>
  <c r="AN27" i="2"/>
  <c r="AP27" i="2"/>
  <c r="BE27" i="2"/>
  <c r="BF27" i="2"/>
  <c r="BG27" i="2"/>
  <c r="BH27" i="2"/>
  <c r="BI27" i="2"/>
  <c r="BK27" i="2"/>
  <c r="BM27" i="2"/>
  <c r="BN27" i="2"/>
  <c r="U18" i="43" s="1"/>
  <c r="AV24" i="43" s="1"/>
  <c r="BO27" i="2"/>
  <c r="BP27" i="2"/>
  <c r="W18" i="43" s="1"/>
  <c r="AV26" i="43" s="1"/>
  <c r="BQ27" i="2"/>
  <c r="BR27" i="2"/>
  <c r="BS27" i="2"/>
  <c r="BT27" i="2"/>
  <c r="BU27" i="2"/>
  <c r="CH27" i="2"/>
  <c r="CI27" i="2"/>
  <c r="CJ27" i="2"/>
  <c r="O17" i="66" s="1"/>
  <c r="CK27" i="2"/>
  <c r="P17" i="66" s="1"/>
  <c r="CL27" i="2"/>
  <c r="Q17" i="66" s="1"/>
  <c r="CM27" i="2"/>
  <c r="R17" i="66" s="1"/>
  <c r="CN27" i="2"/>
  <c r="S17" i="66" s="1"/>
  <c r="CO27" i="2"/>
  <c r="T17" i="66" s="1"/>
  <c r="CP27" i="2"/>
  <c r="U17" i="66" s="1"/>
  <c r="B28" i="2"/>
  <c r="D28" i="2"/>
  <c r="F28" i="2"/>
  <c r="G28" i="2"/>
  <c r="Z28" i="2"/>
  <c r="AA28" i="2"/>
  <c r="AB28" i="2"/>
  <c r="AC28" i="2"/>
  <c r="AD28" i="2"/>
  <c r="AE28" i="2"/>
  <c r="AG28" i="2"/>
  <c r="AH28" i="2"/>
  <c r="AI28" i="2"/>
  <c r="AJ28" i="2"/>
  <c r="AK28" i="2"/>
  <c r="AL28" i="2"/>
  <c r="AN28" i="2"/>
  <c r="AP28" i="2"/>
  <c r="W18" i="66" s="1"/>
  <c r="BE28" i="2"/>
  <c r="BF28" i="2"/>
  <c r="BG28" i="2"/>
  <c r="BH28" i="2"/>
  <c r="BI28" i="2"/>
  <c r="BK28" i="2"/>
  <c r="BM28" i="2"/>
  <c r="T19" i="43" s="1"/>
  <c r="AW23" i="43" s="1"/>
  <c r="BN28" i="2"/>
  <c r="BO28" i="2"/>
  <c r="V19" i="43" s="1"/>
  <c r="AW25" i="43" s="1"/>
  <c r="BP28" i="2"/>
  <c r="BQ28" i="2"/>
  <c r="X19" i="43" s="1"/>
  <c r="AW27" i="43" s="1"/>
  <c r="BR28" i="2"/>
  <c r="BS28" i="2"/>
  <c r="BT28" i="2"/>
  <c r="BU28" i="2"/>
  <c r="CH28" i="2"/>
  <c r="CI28" i="2"/>
  <c r="CJ28" i="2"/>
  <c r="O18" i="66" s="1"/>
  <c r="CK28" i="2"/>
  <c r="P18" i="66" s="1"/>
  <c r="CL28" i="2"/>
  <c r="Q18" i="66" s="1"/>
  <c r="CM28" i="2"/>
  <c r="R18" i="66" s="1"/>
  <c r="CN28" i="2"/>
  <c r="S18" i="66" s="1"/>
  <c r="CO28" i="2"/>
  <c r="T18" i="66" s="1"/>
  <c r="CP28" i="2"/>
  <c r="U18" i="66" s="1"/>
  <c r="B29" i="2"/>
  <c r="D29" i="2"/>
  <c r="E29" i="2"/>
  <c r="F29" i="2"/>
  <c r="Z29" i="2"/>
  <c r="AA29" i="2"/>
  <c r="AB29" i="2"/>
  <c r="AC29" i="2"/>
  <c r="AD29" i="2"/>
  <c r="AE29" i="2"/>
  <c r="AG29" i="2"/>
  <c r="AH29" i="2"/>
  <c r="AI29" i="2"/>
  <c r="AJ29" i="2"/>
  <c r="AK29" i="2"/>
  <c r="AL29" i="2"/>
  <c r="AN29" i="2"/>
  <c r="AP29" i="2"/>
  <c r="BE29" i="2"/>
  <c r="BF29" i="2"/>
  <c r="BG29" i="2"/>
  <c r="BH29" i="2"/>
  <c r="BI29" i="2"/>
  <c r="BK29" i="2"/>
  <c r="BM29" i="2"/>
  <c r="BN29" i="2"/>
  <c r="U20" i="43" s="1"/>
  <c r="AX24" i="43" s="1"/>
  <c r="BO29" i="2"/>
  <c r="BP29" i="2"/>
  <c r="W20" i="43" s="1"/>
  <c r="AX26" i="43" s="1"/>
  <c r="BQ29" i="2"/>
  <c r="BR29" i="2"/>
  <c r="BS29" i="2"/>
  <c r="BT29" i="2"/>
  <c r="BU29" i="2"/>
  <c r="CH29" i="2"/>
  <c r="CI29" i="2"/>
  <c r="CJ29" i="2"/>
  <c r="O19" i="66" s="1"/>
  <c r="CK29" i="2"/>
  <c r="P19" i="66" s="1"/>
  <c r="CL29" i="2"/>
  <c r="Q19" i="66" s="1"/>
  <c r="CM29" i="2"/>
  <c r="R19" i="66" s="1"/>
  <c r="CN29" i="2"/>
  <c r="S19" i="66" s="1"/>
  <c r="CO29" i="2"/>
  <c r="T19" i="66" s="1"/>
  <c r="CP29" i="2"/>
  <c r="U19" i="66" s="1"/>
  <c r="B30" i="2"/>
  <c r="D30" i="2"/>
  <c r="F30" i="2"/>
  <c r="Z30" i="2"/>
  <c r="AA30" i="2"/>
  <c r="AB30" i="2"/>
  <c r="AC30" i="2"/>
  <c r="AD30" i="2"/>
  <c r="AE30" i="2"/>
  <c r="AH30" i="2"/>
  <c r="AI30" i="2"/>
  <c r="AJ30" i="2"/>
  <c r="AK30" i="2"/>
  <c r="AL30" i="2"/>
  <c r="AN30" i="2"/>
  <c r="AP30" i="2"/>
  <c r="BE30" i="2"/>
  <c r="BF30" i="2"/>
  <c r="BG30" i="2"/>
  <c r="BH30" i="2"/>
  <c r="BI30" i="2"/>
  <c r="BK30" i="2"/>
  <c r="BM30" i="2"/>
  <c r="T21" i="43" s="1"/>
  <c r="AY23" i="43" s="1"/>
  <c r="BN30" i="2"/>
  <c r="U21" i="43" s="1"/>
  <c r="AY24" i="43" s="1"/>
  <c r="BO30" i="2"/>
  <c r="BP30" i="2"/>
  <c r="W21" i="43" s="1"/>
  <c r="AY26" i="43" s="1"/>
  <c r="BQ30" i="2"/>
  <c r="BR30" i="2"/>
  <c r="BS30" i="2"/>
  <c r="BT30" i="2"/>
  <c r="BU30" i="2"/>
  <c r="CH30" i="2"/>
  <c r="CI30" i="2"/>
  <c r="CJ30" i="2"/>
  <c r="O20" i="66" s="1"/>
  <c r="CK30" i="2"/>
  <c r="P20" i="66" s="1"/>
  <c r="CL30" i="2"/>
  <c r="Q20" i="66" s="1"/>
  <c r="CM30" i="2"/>
  <c r="R20" i="66" s="1"/>
  <c r="CN30" i="2"/>
  <c r="S20" i="66" s="1"/>
  <c r="CO30" i="2"/>
  <c r="T20" i="66" s="1"/>
  <c r="CP30" i="2"/>
  <c r="U20" i="66" s="1"/>
  <c r="B31" i="2"/>
  <c r="D31" i="2"/>
  <c r="E31" i="2"/>
  <c r="F31" i="2"/>
  <c r="Z31" i="2"/>
  <c r="AA31" i="2"/>
  <c r="AB31" i="2"/>
  <c r="AC31" i="2"/>
  <c r="AD31" i="2"/>
  <c r="AE31" i="2"/>
  <c r="AF31" i="2"/>
  <c r="AH31" i="2"/>
  <c r="AI31" i="2"/>
  <c r="AJ31" i="2"/>
  <c r="AK31" i="2"/>
  <c r="AL31" i="2"/>
  <c r="AN31" i="2"/>
  <c r="AP31" i="2"/>
  <c r="W21" i="66" s="1"/>
  <c r="BE31" i="2"/>
  <c r="BF31" i="2"/>
  <c r="BG31" i="2"/>
  <c r="BH31" i="2"/>
  <c r="BI31" i="2"/>
  <c r="BK31" i="2"/>
  <c r="BM31" i="2"/>
  <c r="BN31" i="2"/>
  <c r="BO31" i="2"/>
  <c r="BP31" i="2"/>
  <c r="BQ31" i="2"/>
  <c r="BR31" i="2"/>
  <c r="BS31" i="2"/>
  <c r="BT31" i="2"/>
  <c r="BU31" i="2"/>
  <c r="CH31" i="2"/>
  <c r="CI31" i="2"/>
  <c r="CJ31" i="2"/>
  <c r="O21" i="66" s="1"/>
  <c r="CK31" i="2"/>
  <c r="P21" i="66" s="1"/>
  <c r="CL31" i="2"/>
  <c r="Q21" i="66" s="1"/>
  <c r="CM31" i="2"/>
  <c r="R21" i="66" s="1"/>
  <c r="CN31" i="2"/>
  <c r="S21" i="66" s="1"/>
  <c r="CO31" i="2"/>
  <c r="T21" i="66" s="1"/>
  <c r="CP31" i="2"/>
  <c r="U21" i="66" s="1"/>
  <c r="B32" i="2"/>
  <c r="D32" i="2"/>
  <c r="E32" i="2"/>
  <c r="F32" i="2"/>
  <c r="Z32" i="2"/>
  <c r="AA32" i="2"/>
  <c r="AB32" i="2"/>
  <c r="AC32" i="2"/>
  <c r="AD32" i="2"/>
  <c r="AE32" i="2"/>
  <c r="AF32" i="2"/>
  <c r="AH32" i="2"/>
  <c r="AI32" i="2"/>
  <c r="AJ32" i="2"/>
  <c r="AK32" i="2"/>
  <c r="AL32" i="2"/>
  <c r="AN32" i="2"/>
  <c r="AP32" i="2"/>
  <c r="BE32" i="2"/>
  <c r="BF32" i="2"/>
  <c r="BG32" i="2"/>
  <c r="BH32" i="2"/>
  <c r="BI32" i="2"/>
  <c r="BK32" i="2"/>
  <c r="BM32" i="2"/>
  <c r="BN32" i="2"/>
  <c r="U23" i="43" s="1"/>
  <c r="BA24" i="43" s="1"/>
  <c r="BO32" i="2"/>
  <c r="V23" i="43" s="1"/>
  <c r="BA25" i="43" s="1"/>
  <c r="BP32" i="2"/>
  <c r="W23" i="43" s="1"/>
  <c r="BA26" i="43" s="1"/>
  <c r="BQ32" i="2"/>
  <c r="X23" i="43" s="1"/>
  <c r="BA27" i="43" s="1"/>
  <c r="BR32" i="2"/>
  <c r="BS32" i="2"/>
  <c r="BT32" i="2"/>
  <c r="BU32" i="2"/>
  <c r="BV32" i="2"/>
  <c r="CH32" i="2"/>
  <c r="CI32" i="2"/>
  <c r="CJ32" i="2"/>
  <c r="O22" i="66" s="1"/>
  <c r="CK32" i="2"/>
  <c r="P22" i="66" s="1"/>
  <c r="CL32" i="2"/>
  <c r="Q22" i="66" s="1"/>
  <c r="CM32" i="2"/>
  <c r="R22" i="66" s="1"/>
  <c r="CN32" i="2"/>
  <c r="S22" i="66" s="1"/>
  <c r="CO32" i="2"/>
  <c r="T22" i="66" s="1"/>
  <c r="CP32" i="2"/>
  <c r="U22" i="66" s="1"/>
  <c r="B33" i="2"/>
  <c r="D33" i="2"/>
  <c r="E33" i="2"/>
  <c r="F33" i="2"/>
  <c r="Z33" i="2"/>
  <c r="AA33" i="2"/>
  <c r="AB33" i="2"/>
  <c r="AC33" i="2"/>
  <c r="AD33" i="2"/>
  <c r="AE33" i="2"/>
  <c r="AF33" i="2"/>
  <c r="AH33" i="2"/>
  <c r="AI33" i="2"/>
  <c r="AJ33" i="2"/>
  <c r="AK33" i="2"/>
  <c r="AL33" i="2"/>
  <c r="AN33" i="2"/>
  <c r="AP33" i="2"/>
  <c r="W23" i="66" s="1"/>
  <c r="BE33" i="2"/>
  <c r="BF33" i="2"/>
  <c r="BG33" i="2"/>
  <c r="BH33" i="2"/>
  <c r="BI33" i="2"/>
  <c r="BK33" i="2"/>
  <c r="BM33" i="2"/>
  <c r="T24" i="43" s="1"/>
  <c r="BB23" i="43" s="1"/>
  <c r="BN33" i="2"/>
  <c r="U24" i="43" s="1"/>
  <c r="BB24" i="43" s="1"/>
  <c r="BO33" i="2"/>
  <c r="V24" i="43" s="1"/>
  <c r="BB25" i="43" s="1"/>
  <c r="BP33" i="2"/>
  <c r="W24" i="43" s="1"/>
  <c r="BB26" i="43" s="1"/>
  <c r="BQ33" i="2"/>
  <c r="X24" i="43" s="1"/>
  <c r="BB27" i="43" s="1"/>
  <c r="BR33" i="2"/>
  <c r="BS33" i="2"/>
  <c r="BT33" i="2"/>
  <c r="BU33" i="2"/>
  <c r="BV33" i="2"/>
  <c r="CH33" i="2"/>
  <c r="CI33" i="2"/>
  <c r="CJ33" i="2"/>
  <c r="O23" i="66" s="1"/>
  <c r="CK33" i="2"/>
  <c r="P23" i="66" s="1"/>
  <c r="CL33" i="2"/>
  <c r="Q23" i="66" s="1"/>
  <c r="CM33" i="2"/>
  <c r="R23" i="66" s="1"/>
  <c r="CN33" i="2"/>
  <c r="S23" i="66" s="1"/>
  <c r="CO33" i="2"/>
  <c r="T23" i="66" s="1"/>
  <c r="CP33" i="2"/>
  <c r="U23" i="66" s="1"/>
  <c r="B34" i="2"/>
  <c r="D34" i="2"/>
  <c r="E34" i="2"/>
  <c r="F34" i="2"/>
  <c r="Z34" i="2"/>
  <c r="AA34" i="2"/>
  <c r="AB34" i="2"/>
  <c r="AC34" i="2"/>
  <c r="AD34" i="2"/>
  <c r="AE34" i="2"/>
  <c r="AF34" i="2"/>
  <c r="AH34" i="2"/>
  <c r="AI34" i="2"/>
  <c r="AJ34" i="2"/>
  <c r="AK34" i="2"/>
  <c r="AL34" i="2"/>
  <c r="AN34" i="2"/>
  <c r="AP34" i="2"/>
  <c r="BE34" i="2"/>
  <c r="BF34" i="2"/>
  <c r="BG34" i="2"/>
  <c r="BH34" i="2"/>
  <c r="BI34" i="2"/>
  <c r="BK34" i="2"/>
  <c r="BM34" i="2"/>
  <c r="T25" i="43" s="1"/>
  <c r="BC23" i="43" s="1"/>
  <c r="BN34" i="2"/>
  <c r="BO34" i="2"/>
  <c r="V25" i="43" s="1"/>
  <c r="BC25" i="43" s="1"/>
  <c r="BP34" i="2"/>
  <c r="BQ34" i="2"/>
  <c r="X25" i="43" s="1"/>
  <c r="BC27" i="43" s="1"/>
  <c r="BR34" i="2"/>
  <c r="BS34" i="2"/>
  <c r="BT34" i="2"/>
  <c r="BU34" i="2"/>
  <c r="BV34" i="2"/>
  <c r="CH34" i="2"/>
  <c r="CI34" i="2"/>
  <c r="CJ34" i="2"/>
  <c r="O24" i="66" s="1"/>
  <c r="CK34" i="2"/>
  <c r="P24" i="66" s="1"/>
  <c r="CL34" i="2"/>
  <c r="Q24" i="66" s="1"/>
  <c r="CM34" i="2"/>
  <c r="R24" i="66" s="1"/>
  <c r="CN34" i="2"/>
  <c r="S24" i="66" s="1"/>
  <c r="CO34" i="2"/>
  <c r="T24" i="66" s="1"/>
  <c r="CP34" i="2"/>
  <c r="U24" i="66" s="1"/>
  <c r="B35" i="2"/>
  <c r="D35" i="2"/>
  <c r="F35" i="2"/>
  <c r="G35" i="2"/>
  <c r="Z35" i="2"/>
  <c r="AA35" i="2"/>
  <c r="AB35" i="2"/>
  <c r="AC35" i="2"/>
  <c r="AD35" i="2"/>
  <c r="AE35" i="2"/>
  <c r="AF35" i="2"/>
  <c r="AI35" i="2"/>
  <c r="AJ35" i="2"/>
  <c r="AK35" i="2"/>
  <c r="AL35" i="2"/>
  <c r="AN35" i="2"/>
  <c r="AP35" i="2"/>
  <c r="W25" i="66" s="1"/>
  <c r="BE35" i="2"/>
  <c r="BF35" i="2"/>
  <c r="BG35" i="2"/>
  <c r="BH35" i="2"/>
  <c r="BI35" i="2"/>
  <c r="BK35" i="2"/>
  <c r="BL35" i="2"/>
  <c r="F23" i="59" s="1"/>
  <c r="BM35" i="2"/>
  <c r="BN35" i="2"/>
  <c r="U26" i="43" s="1"/>
  <c r="BD24" i="43" s="1"/>
  <c r="BO35" i="2"/>
  <c r="BP35" i="2"/>
  <c r="W26" i="43" s="1"/>
  <c r="BD26" i="43" s="1"/>
  <c r="BQ35" i="2"/>
  <c r="BR35" i="2"/>
  <c r="BS35" i="2"/>
  <c r="BT35" i="2"/>
  <c r="BU35" i="2"/>
  <c r="BV35" i="2"/>
  <c r="CH35" i="2"/>
  <c r="CI35" i="2"/>
  <c r="CJ35" i="2"/>
  <c r="O25" i="66" s="1"/>
  <c r="CK35" i="2"/>
  <c r="P25" i="66" s="1"/>
  <c r="CL35" i="2"/>
  <c r="Q25" i="66" s="1"/>
  <c r="CM35" i="2"/>
  <c r="R25" i="66" s="1"/>
  <c r="CN35" i="2"/>
  <c r="S25" i="66" s="1"/>
  <c r="CO35" i="2"/>
  <c r="T25" i="66" s="1"/>
  <c r="CP35" i="2"/>
  <c r="U25" i="66" s="1"/>
  <c r="F36" i="2"/>
  <c r="Z36" i="2"/>
  <c r="AA36" i="2"/>
  <c r="AB36" i="2"/>
  <c r="AC36" i="2"/>
  <c r="AD36" i="2"/>
  <c r="AE36" i="2"/>
  <c r="AF36" i="2"/>
  <c r="AG36" i="2"/>
  <c r="AI36" i="2"/>
  <c r="AJ36" i="2"/>
  <c r="AK36" i="2"/>
  <c r="AL36" i="2"/>
  <c r="AN36" i="2"/>
  <c r="AP36" i="2"/>
  <c r="W26" i="66" s="1"/>
  <c r="BE36" i="2"/>
  <c r="BF36" i="2"/>
  <c r="BG36" i="2"/>
  <c r="BH36" i="2"/>
  <c r="BI36" i="2"/>
  <c r="BK36" i="2"/>
  <c r="BL36" i="2"/>
  <c r="F24" i="59" s="1"/>
  <c r="BM36" i="2"/>
  <c r="BN36" i="2"/>
  <c r="BO36" i="2"/>
  <c r="BP36" i="2"/>
  <c r="BQ36" i="2"/>
  <c r="BR36" i="2"/>
  <c r="BS36" i="2"/>
  <c r="BT36" i="2"/>
  <c r="BU36" i="2"/>
  <c r="BV36" i="2"/>
  <c r="CH36" i="2"/>
  <c r="CI36" i="2"/>
  <c r="CJ36" i="2"/>
  <c r="O26" i="66" s="1"/>
  <c r="CK36" i="2"/>
  <c r="P26" i="66" s="1"/>
  <c r="CL36" i="2"/>
  <c r="Q26" i="66" s="1"/>
  <c r="CM36" i="2"/>
  <c r="R26" i="66" s="1"/>
  <c r="CN36" i="2"/>
  <c r="S26" i="66" s="1"/>
  <c r="CO36" i="2"/>
  <c r="T26" i="66" s="1"/>
  <c r="CP36" i="2"/>
  <c r="U26" i="66" s="1"/>
  <c r="F37" i="2"/>
  <c r="Z37" i="2"/>
  <c r="AA37" i="2"/>
  <c r="AB37" i="2"/>
  <c r="AC37" i="2"/>
  <c r="AD37" i="2"/>
  <c r="AE37" i="2"/>
  <c r="AF37" i="2"/>
  <c r="AG37" i="2"/>
  <c r="AI37" i="2"/>
  <c r="AJ37" i="2"/>
  <c r="AK37" i="2"/>
  <c r="AL37" i="2"/>
  <c r="AN37" i="2"/>
  <c r="AP37" i="2"/>
  <c r="W27" i="66" s="1"/>
  <c r="BE37" i="2"/>
  <c r="BF37" i="2"/>
  <c r="BG37" i="2"/>
  <c r="BH37" i="2"/>
  <c r="BI37" i="2"/>
  <c r="BK37" i="2"/>
  <c r="BL37" i="2"/>
  <c r="F25" i="59" s="1"/>
  <c r="BM37" i="2"/>
  <c r="BN37" i="2"/>
  <c r="BO37" i="2"/>
  <c r="BP37" i="2"/>
  <c r="BQ37" i="2"/>
  <c r="BR37" i="2"/>
  <c r="BS37" i="2"/>
  <c r="BT37" i="2"/>
  <c r="BU37" i="2"/>
  <c r="BV37" i="2"/>
  <c r="CH37" i="2"/>
  <c r="CI37" i="2"/>
  <c r="CJ37" i="2"/>
  <c r="O27" i="66" s="1"/>
  <c r="CK37" i="2"/>
  <c r="P27" i="66" s="1"/>
  <c r="CL37" i="2"/>
  <c r="Q27" i="66" s="1"/>
  <c r="CM37" i="2"/>
  <c r="R27" i="66" s="1"/>
  <c r="CN37" i="2"/>
  <c r="S27" i="66" s="1"/>
  <c r="CO37" i="2"/>
  <c r="T27" i="66" s="1"/>
  <c r="CP37" i="2"/>
  <c r="U27" i="66" s="1"/>
  <c r="Z38" i="2"/>
  <c r="AA38" i="2"/>
  <c r="AB38" i="2"/>
  <c r="AC38" i="2"/>
  <c r="AD38" i="2"/>
  <c r="AE38" i="2"/>
  <c r="AF38" i="2"/>
  <c r="AG38" i="2"/>
  <c r="AI38" i="2"/>
  <c r="AJ38" i="2"/>
  <c r="AK38" i="2"/>
  <c r="AL38" i="2"/>
  <c r="AN38" i="2"/>
  <c r="AO38" i="2"/>
  <c r="V28" i="66" s="1"/>
  <c r="AP38" i="2"/>
  <c r="W28" i="66" s="1"/>
  <c r="BE38" i="2"/>
  <c r="BF38" i="2"/>
  <c r="BG38" i="2"/>
  <c r="BH38" i="2"/>
  <c r="BI38" i="2"/>
  <c r="BK38" i="2"/>
  <c r="BL38" i="2"/>
  <c r="F26" i="59" s="1"/>
  <c r="BM38" i="2"/>
  <c r="BN38" i="2"/>
  <c r="BO38" i="2"/>
  <c r="BP38" i="2"/>
  <c r="W29" i="43" s="1"/>
  <c r="BG26" i="43" s="1"/>
  <c r="BQ38" i="2"/>
  <c r="BR38" i="2"/>
  <c r="BS38" i="2"/>
  <c r="BT38" i="2"/>
  <c r="BU38" i="2"/>
  <c r="BV38" i="2"/>
  <c r="CH38" i="2"/>
  <c r="CI38" i="2"/>
  <c r="CJ38" i="2"/>
  <c r="O28" i="66" s="1"/>
  <c r="CK38" i="2"/>
  <c r="P28" i="66" s="1"/>
  <c r="CL38" i="2"/>
  <c r="Q28" i="66" s="1"/>
  <c r="CM38" i="2"/>
  <c r="R28" i="66" s="1"/>
  <c r="CN38" i="2"/>
  <c r="S28" i="66" s="1"/>
  <c r="CO38" i="2"/>
  <c r="T28" i="66" s="1"/>
  <c r="CP38" i="2"/>
  <c r="U28" i="66" s="1"/>
  <c r="CS57" i="2"/>
  <c r="CT57" i="2"/>
  <c r="CU57" i="2"/>
  <c r="CX57" i="2"/>
  <c r="CY57" i="2"/>
  <c r="CZ57" i="2"/>
  <c r="DA57" i="2"/>
  <c r="AE6" i="2"/>
  <c r="AF6" i="2"/>
  <c r="AG6" i="2"/>
  <c r="P8" i="1"/>
  <c r="DX8" i="1" s="1"/>
  <c r="Q8" i="1"/>
  <c r="R8" i="1"/>
  <c r="S8" i="1"/>
  <c r="T8" i="1"/>
  <c r="U8" i="1"/>
  <c r="V8" i="1"/>
  <c r="W8" i="1"/>
  <c r="X8" i="1"/>
  <c r="EF8" i="1" s="1"/>
  <c r="CK8" i="1"/>
  <c r="BW8" i="2" s="1"/>
  <c r="CL8" i="1"/>
  <c r="BX8" i="2" s="1"/>
  <c r="CM8" i="1"/>
  <c r="BY8" i="2" s="1"/>
  <c r="CN8" i="1"/>
  <c r="BZ8" i="2" s="1"/>
  <c r="CO8" i="1"/>
  <c r="CA8" i="2" s="1"/>
  <c r="CP8" i="1"/>
  <c r="CB8" i="2" s="1"/>
  <c r="CQ8" i="1"/>
  <c r="CC8" i="2" s="1"/>
  <c r="CR8" i="1"/>
  <c r="CD8" i="2" s="1"/>
  <c r="CS8" i="1"/>
  <c r="CE8" i="2" s="1"/>
  <c r="CT8" i="1"/>
  <c r="CF8" i="2" s="1"/>
  <c r="CU8" i="1"/>
  <c r="CV8" i="1"/>
  <c r="CW8" i="1"/>
  <c r="CX8" i="1"/>
  <c r="CY8" i="1"/>
  <c r="CZ8" i="1"/>
  <c r="DA8" i="1"/>
  <c r="DB8" i="1"/>
  <c r="DC8" i="1"/>
  <c r="DM8" i="1"/>
  <c r="CQ8" i="2" s="1"/>
  <c r="DN8" i="1"/>
  <c r="CR8" i="2" s="1"/>
  <c r="DO8" i="1"/>
  <c r="CS8" i="2" s="1"/>
  <c r="DP8" i="1"/>
  <c r="CT8" i="2" s="1"/>
  <c r="DQ8" i="1"/>
  <c r="CU8" i="2" s="1"/>
  <c r="DR8" i="1"/>
  <c r="CV8" i="2" s="1"/>
  <c r="DS8" i="1"/>
  <c r="CW8" i="2" s="1"/>
  <c r="DT8" i="1"/>
  <c r="CX8" i="2" s="1"/>
  <c r="DU8" i="1"/>
  <c r="CY8" i="2" s="1"/>
  <c r="DV8" i="1"/>
  <c r="CZ8" i="2" s="1"/>
  <c r="DW8" i="1"/>
  <c r="DA8" i="2" s="1"/>
  <c r="E9" i="1"/>
  <c r="P9" i="1"/>
  <c r="Q9" i="1"/>
  <c r="R9" i="1"/>
  <c r="S9" i="1"/>
  <c r="T9" i="1"/>
  <c r="U9" i="1"/>
  <c r="V9" i="1"/>
  <c r="W9" i="1"/>
  <c r="X9" i="1"/>
  <c r="CK9" i="1"/>
  <c r="CL9" i="1"/>
  <c r="CM9" i="1"/>
  <c r="CN9" i="1"/>
  <c r="CO9" i="1"/>
  <c r="CP9" i="1"/>
  <c r="CQ9" i="1"/>
  <c r="CR9" i="1"/>
  <c r="CS9" i="1"/>
  <c r="CT9" i="1"/>
  <c r="CU9" i="1"/>
  <c r="CV9" i="1"/>
  <c r="CW9" i="1"/>
  <c r="CX9" i="1"/>
  <c r="CY9" i="1"/>
  <c r="CZ9" i="1"/>
  <c r="DA9" i="1"/>
  <c r="DB9" i="1"/>
  <c r="DC9" i="1"/>
  <c r="DM9" i="1"/>
  <c r="DN9" i="1"/>
  <c r="DO9" i="1"/>
  <c r="DP9" i="1"/>
  <c r="DQ9" i="1"/>
  <c r="DZ9" i="1" s="1"/>
  <c r="DR9" i="1"/>
  <c r="DS9" i="1"/>
  <c r="DT9" i="1"/>
  <c r="DU9" i="1"/>
  <c r="DV9" i="1"/>
  <c r="EE9" i="1" s="1"/>
  <c r="DW9" i="1"/>
  <c r="E10" i="1"/>
  <c r="P10" i="1"/>
  <c r="Q10" i="1"/>
  <c r="R10" i="1"/>
  <c r="S10" i="1"/>
  <c r="T10" i="1"/>
  <c r="U10" i="1"/>
  <c r="V10" i="1"/>
  <c r="W10" i="1"/>
  <c r="X10" i="1"/>
  <c r="CK10" i="1"/>
  <c r="CL10" i="1"/>
  <c r="CM10" i="1"/>
  <c r="CN10" i="1"/>
  <c r="CO10" i="1"/>
  <c r="CP10" i="1"/>
  <c r="CQ10" i="1"/>
  <c r="CR10" i="1"/>
  <c r="CS10" i="1"/>
  <c r="CT10" i="1"/>
  <c r="CU10" i="1"/>
  <c r="CV10" i="1"/>
  <c r="CW10" i="1"/>
  <c r="CX10" i="1"/>
  <c r="CY10" i="1"/>
  <c r="CZ10" i="1"/>
  <c r="DA10" i="1"/>
  <c r="DB10" i="1"/>
  <c r="DC10" i="1"/>
  <c r="DM10" i="1"/>
  <c r="DN10" i="1"/>
  <c r="DO10" i="1"/>
  <c r="DP10" i="1"/>
  <c r="DQ10" i="1"/>
  <c r="DR10" i="1"/>
  <c r="DS10" i="1"/>
  <c r="DT10" i="1"/>
  <c r="DU10" i="1"/>
  <c r="ED10" i="1" s="1"/>
  <c r="DV10" i="1"/>
  <c r="EE10" i="1" s="1"/>
  <c r="DW10" i="1"/>
  <c r="E11" i="1"/>
  <c r="P11" i="1"/>
  <c r="Q11" i="1"/>
  <c r="R11" i="1"/>
  <c r="S11" i="1"/>
  <c r="T11" i="1"/>
  <c r="U11" i="1"/>
  <c r="V11" i="1"/>
  <c r="W11" i="1"/>
  <c r="X11" i="1"/>
  <c r="CK11" i="1"/>
  <c r="CL11" i="1"/>
  <c r="CM11" i="1"/>
  <c r="CN11" i="1"/>
  <c r="CO11" i="1"/>
  <c r="CP11" i="1"/>
  <c r="CQ11" i="1"/>
  <c r="CR11" i="1"/>
  <c r="CS11" i="1"/>
  <c r="CT11" i="1"/>
  <c r="CU11" i="1"/>
  <c r="CV11" i="1"/>
  <c r="CW11" i="1"/>
  <c r="CX11" i="1"/>
  <c r="CY11" i="1"/>
  <c r="CZ11" i="1"/>
  <c r="DA11" i="1"/>
  <c r="DB11" i="1"/>
  <c r="DC11" i="1"/>
  <c r="DM11" i="1"/>
  <c r="DN11" i="1"/>
  <c r="DO11" i="1"/>
  <c r="DP11" i="1"/>
  <c r="DQ11" i="1"/>
  <c r="DZ11" i="1" s="1"/>
  <c r="DR11" i="1"/>
  <c r="DS11" i="1"/>
  <c r="DT11" i="1"/>
  <c r="DU11" i="1"/>
  <c r="ED11" i="1" s="1"/>
  <c r="DV11" i="1"/>
  <c r="EE11" i="1" s="1"/>
  <c r="DW11" i="1"/>
  <c r="E12" i="1"/>
  <c r="P12" i="1"/>
  <c r="Q12" i="1"/>
  <c r="R12" i="1"/>
  <c r="S12" i="1"/>
  <c r="T12" i="1"/>
  <c r="U12" i="1"/>
  <c r="V12" i="1"/>
  <c r="W12" i="1"/>
  <c r="X12" i="1"/>
  <c r="CK12" i="1"/>
  <c r="CL12" i="1"/>
  <c r="CM12" i="1"/>
  <c r="CN12" i="1"/>
  <c r="CO12" i="1"/>
  <c r="CP12" i="1"/>
  <c r="CQ12" i="1"/>
  <c r="CR12" i="1"/>
  <c r="CS12" i="1"/>
  <c r="CT12" i="1"/>
  <c r="CU12" i="1"/>
  <c r="CV12" i="1"/>
  <c r="CW12" i="1"/>
  <c r="CX12" i="1"/>
  <c r="CY12" i="1"/>
  <c r="CZ12" i="1"/>
  <c r="DA12" i="1"/>
  <c r="DB12" i="1"/>
  <c r="DC12" i="1"/>
  <c r="DM12" i="1"/>
  <c r="DN12" i="1"/>
  <c r="DO12" i="1"/>
  <c r="DP12" i="1"/>
  <c r="DQ12" i="1"/>
  <c r="DZ12" i="1" s="1"/>
  <c r="DR12" i="1"/>
  <c r="DS12" i="1"/>
  <c r="DT12" i="1"/>
  <c r="DU12" i="1"/>
  <c r="DV12" i="1"/>
  <c r="EE12" i="1" s="1"/>
  <c r="DW12" i="1"/>
  <c r="E13" i="1"/>
  <c r="P13" i="1"/>
  <c r="Q13" i="1"/>
  <c r="R13" i="1"/>
  <c r="S13" i="1"/>
  <c r="T13" i="1"/>
  <c r="U13" i="1"/>
  <c r="V13" i="1"/>
  <c r="W13" i="1"/>
  <c r="X13" i="1"/>
  <c r="CK13" i="1"/>
  <c r="CL13" i="1"/>
  <c r="CM13" i="1"/>
  <c r="CN13" i="1"/>
  <c r="CO13" i="1"/>
  <c r="CP13" i="1"/>
  <c r="CQ13" i="1"/>
  <c r="CR13" i="1"/>
  <c r="CS13" i="1"/>
  <c r="CT13" i="1"/>
  <c r="CU13" i="1"/>
  <c r="CV13" i="1"/>
  <c r="CW13" i="1"/>
  <c r="CX13" i="1"/>
  <c r="CY13" i="1"/>
  <c r="CZ13" i="1"/>
  <c r="DA13" i="1"/>
  <c r="DB13" i="1"/>
  <c r="DC13" i="1"/>
  <c r="DM13" i="1"/>
  <c r="DN13" i="1"/>
  <c r="DO13" i="1"/>
  <c r="DP13" i="1"/>
  <c r="DQ13" i="1"/>
  <c r="DR13" i="1"/>
  <c r="DS13" i="1"/>
  <c r="DT13" i="1"/>
  <c r="DU13" i="1"/>
  <c r="ED13" i="1" s="1"/>
  <c r="DV13" i="1"/>
  <c r="EE13" i="1" s="1"/>
  <c r="DW13" i="1"/>
  <c r="E14" i="1"/>
  <c r="P14" i="1"/>
  <c r="Q14" i="1"/>
  <c r="R14" i="1"/>
  <c r="S14" i="1"/>
  <c r="T14" i="1"/>
  <c r="U14" i="1"/>
  <c r="V14" i="1"/>
  <c r="W14" i="1"/>
  <c r="X14" i="1"/>
  <c r="CK14" i="1"/>
  <c r="CL14" i="1"/>
  <c r="CM14" i="1"/>
  <c r="CN14" i="1"/>
  <c r="CO14" i="1"/>
  <c r="CP14" i="1"/>
  <c r="CQ14" i="1"/>
  <c r="CR14" i="1"/>
  <c r="CS14" i="1"/>
  <c r="CT14" i="1"/>
  <c r="CU14" i="1"/>
  <c r="CV14" i="1"/>
  <c r="CW14" i="1"/>
  <c r="CX14" i="1"/>
  <c r="CY14" i="1"/>
  <c r="CZ14" i="1"/>
  <c r="DA14" i="1"/>
  <c r="DB14" i="1"/>
  <c r="DC14" i="1"/>
  <c r="DM14" i="1"/>
  <c r="DN14" i="1"/>
  <c r="DO14" i="1"/>
  <c r="DP14" i="1"/>
  <c r="DQ14" i="1"/>
  <c r="DZ14" i="1" s="1"/>
  <c r="DR14" i="1"/>
  <c r="DS14" i="1"/>
  <c r="DT14" i="1"/>
  <c r="DU14" i="1"/>
  <c r="ED14" i="1" s="1"/>
  <c r="DV14" i="1"/>
  <c r="EE14" i="1" s="1"/>
  <c r="DW14" i="1"/>
  <c r="E15" i="1"/>
  <c r="P15" i="1"/>
  <c r="Q15" i="1"/>
  <c r="R15" i="1"/>
  <c r="S15" i="1"/>
  <c r="T15" i="1"/>
  <c r="U15" i="1"/>
  <c r="V15" i="1"/>
  <c r="W15" i="1"/>
  <c r="X15" i="1"/>
  <c r="CK15" i="1"/>
  <c r="CL15" i="1"/>
  <c r="CM15" i="1"/>
  <c r="CN15" i="1"/>
  <c r="CO15" i="1"/>
  <c r="CP15" i="1"/>
  <c r="CQ15" i="1"/>
  <c r="CR15" i="1"/>
  <c r="CS15" i="1"/>
  <c r="CT15" i="1"/>
  <c r="CU15" i="1"/>
  <c r="CV15" i="1"/>
  <c r="CW15" i="1"/>
  <c r="CX15" i="1"/>
  <c r="CY15" i="1"/>
  <c r="CZ15" i="1"/>
  <c r="DA15" i="1"/>
  <c r="DB15" i="1"/>
  <c r="DC15" i="1"/>
  <c r="DM15" i="1"/>
  <c r="DN15" i="1"/>
  <c r="DO15" i="1"/>
  <c r="DP15" i="1"/>
  <c r="DQ15" i="1"/>
  <c r="DZ15" i="1" s="1"/>
  <c r="DR15" i="1"/>
  <c r="DS15" i="1"/>
  <c r="DT15" i="1"/>
  <c r="DU15" i="1"/>
  <c r="DV15" i="1"/>
  <c r="EE15" i="1" s="1"/>
  <c r="DW15" i="1"/>
  <c r="E16" i="1"/>
  <c r="P16" i="1"/>
  <c r="Q16" i="1"/>
  <c r="R16" i="1"/>
  <c r="S16" i="1"/>
  <c r="T16" i="1"/>
  <c r="U16" i="1"/>
  <c r="V16" i="1"/>
  <c r="W16" i="1"/>
  <c r="X16" i="1"/>
  <c r="CK16" i="1"/>
  <c r="CL16" i="1"/>
  <c r="CM16" i="1"/>
  <c r="CN16" i="1"/>
  <c r="CO16" i="1"/>
  <c r="CP16" i="1"/>
  <c r="CQ16" i="1"/>
  <c r="CR16" i="1"/>
  <c r="CS16" i="1"/>
  <c r="CT16" i="1"/>
  <c r="CU16" i="1"/>
  <c r="CV16" i="1"/>
  <c r="CW16" i="1"/>
  <c r="CX16" i="1"/>
  <c r="CY16" i="1"/>
  <c r="CZ16" i="1"/>
  <c r="DA16" i="1"/>
  <c r="DB16" i="1"/>
  <c r="DC16" i="1"/>
  <c r="DM16" i="1"/>
  <c r="DN16" i="1"/>
  <c r="DO16" i="1"/>
  <c r="DP16" i="1"/>
  <c r="DQ16" i="1"/>
  <c r="DR16" i="1"/>
  <c r="DS16" i="1"/>
  <c r="DT16" i="1"/>
  <c r="DU16" i="1"/>
  <c r="ED16" i="1" s="1"/>
  <c r="DV16" i="1"/>
  <c r="EE16" i="1" s="1"/>
  <c r="DW16" i="1"/>
  <c r="E17" i="1"/>
  <c r="P17" i="1"/>
  <c r="Q17" i="1"/>
  <c r="R17" i="1"/>
  <c r="S17" i="1"/>
  <c r="T17" i="1"/>
  <c r="U17" i="1"/>
  <c r="V17" i="1"/>
  <c r="W17" i="1"/>
  <c r="X17" i="1"/>
  <c r="CK17" i="1"/>
  <c r="CL17" i="1"/>
  <c r="CM17" i="1"/>
  <c r="CN17" i="1"/>
  <c r="CO17" i="1"/>
  <c r="CP17" i="1"/>
  <c r="CQ17" i="1"/>
  <c r="CR17" i="1"/>
  <c r="CS17" i="1"/>
  <c r="CT17" i="1"/>
  <c r="CU17" i="1"/>
  <c r="CV17" i="1"/>
  <c r="CW17" i="1"/>
  <c r="CX17" i="1"/>
  <c r="CY17" i="1"/>
  <c r="CZ17" i="1"/>
  <c r="DA17" i="1"/>
  <c r="DB17" i="1"/>
  <c r="DC17" i="1"/>
  <c r="DM17" i="1"/>
  <c r="DN17" i="1"/>
  <c r="DO17" i="1"/>
  <c r="DP17" i="1"/>
  <c r="DQ17" i="1"/>
  <c r="DZ17" i="1" s="1"/>
  <c r="DR17" i="1"/>
  <c r="DS17" i="1"/>
  <c r="DT17" i="1"/>
  <c r="DU17" i="1"/>
  <c r="ED17" i="1" s="1"/>
  <c r="DV17" i="1"/>
  <c r="EE17" i="1" s="1"/>
  <c r="DW17" i="1"/>
  <c r="E18" i="1"/>
  <c r="P18" i="1"/>
  <c r="Q18" i="1"/>
  <c r="R18" i="1"/>
  <c r="S18" i="1"/>
  <c r="T18" i="1"/>
  <c r="U18" i="1"/>
  <c r="V18" i="1"/>
  <c r="W18" i="1"/>
  <c r="X18" i="1"/>
  <c r="BR18" i="1"/>
  <c r="CK18" i="1"/>
  <c r="CL18" i="1"/>
  <c r="CM18" i="1"/>
  <c r="CN18" i="1"/>
  <c r="CO18" i="1"/>
  <c r="CP18" i="1"/>
  <c r="CQ18" i="1"/>
  <c r="CR18" i="1"/>
  <c r="CS18" i="1"/>
  <c r="CT18" i="1"/>
  <c r="CU18" i="1"/>
  <c r="CV18" i="1"/>
  <c r="CW18" i="1"/>
  <c r="CX18" i="1"/>
  <c r="CY18" i="1"/>
  <c r="CZ18" i="1"/>
  <c r="DA18" i="1"/>
  <c r="DB18" i="1"/>
  <c r="DC18" i="1"/>
  <c r="DM18" i="1"/>
  <c r="DN18" i="1"/>
  <c r="DO18" i="1"/>
  <c r="DP18" i="1"/>
  <c r="DQ18" i="1"/>
  <c r="DZ18" i="1" s="1"/>
  <c r="DR18" i="1"/>
  <c r="DS18" i="1"/>
  <c r="DT18" i="1"/>
  <c r="DU18" i="1"/>
  <c r="ED18" i="1" s="1"/>
  <c r="DV18" i="1"/>
  <c r="DW18" i="1"/>
  <c r="E19" i="1"/>
  <c r="P19" i="1"/>
  <c r="Q19" i="1"/>
  <c r="R19" i="1"/>
  <c r="S19" i="1"/>
  <c r="T19" i="1"/>
  <c r="U19" i="1"/>
  <c r="V19" i="1"/>
  <c r="W19" i="1"/>
  <c r="X19" i="1"/>
  <c r="BR19" i="1"/>
  <c r="CK19" i="1"/>
  <c r="CL19" i="1"/>
  <c r="CM19" i="1"/>
  <c r="CN19" i="1"/>
  <c r="CO19" i="1"/>
  <c r="CP19" i="1"/>
  <c r="CQ19" i="1"/>
  <c r="CR19" i="1"/>
  <c r="CS19" i="1"/>
  <c r="CT19" i="1"/>
  <c r="CU19" i="1"/>
  <c r="CV19" i="1"/>
  <c r="CW19" i="1"/>
  <c r="CX19" i="1"/>
  <c r="CY19" i="1"/>
  <c r="CZ19" i="1"/>
  <c r="DA19" i="1"/>
  <c r="DB19" i="1"/>
  <c r="DC19" i="1"/>
  <c r="DM19" i="1"/>
  <c r="DN19" i="1"/>
  <c r="DO19" i="1"/>
  <c r="DP19" i="1"/>
  <c r="DY19" i="1" s="1"/>
  <c r="DQ19" i="1"/>
  <c r="DR19" i="1"/>
  <c r="DS19" i="1"/>
  <c r="EB19" i="1" s="1"/>
  <c r="DT19" i="1"/>
  <c r="EC19" i="1" s="1"/>
  <c r="DU19" i="1"/>
  <c r="ED19" i="1" s="1"/>
  <c r="DV19" i="1"/>
  <c r="DW19" i="1"/>
  <c r="D20" i="1"/>
  <c r="E20" i="1"/>
  <c r="P20" i="1"/>
  <c r="I9" i="2" s="1"/>
  <c r="Q20" i="1"/>
  <c r="J9" i="2" s="1"/>
  <c r="R20" i="1"/>
  <c r="K9" i="2" s="1"/>
  <c r="S20" i="1"/>
  <c r="L9" i="2" s="1"/>
  <c r="T20" i="1"/>
  <c r="M9" i="2" s="1"/>
  <c r="U20" i="1"/>
  <c r="N9" i="2" s="1"/>
  <c r="V20" i="1"/>
  <c r="O9" i="2" s="1"/>
  <c r="W20" i="1"/>
  <c r="P9" i="2" s="1"/>
  <c r="X20" i="1"/>
  <c r="Q9" i="2" s="1"/>
  <c r="BR20" i="1"/>
  <c r="CK20" i="1"/>
  <c r="BW9" i="2" s="1"/>
  <c r="CL20" i="1"/>
  <c r="BX9" i="2" s="1"/>
  <c r="CM20" i="1"/>
  <c r="BY9" i="2" s="1"/>
  <c r="CN20" i="1"/>
  <c r="BZ9" i="2" s="1"/>
  <c r="CO20" i="1"/>
  <c r="CA9" i="2" s="1"/>
  <c r="CP20" i="1"/>
  <c r="CB9" i="2" s="1"/>
  <c r="CQ20" i="1"/>
  <c r="CC9" i="2" s="1"/>
  <c r="CR20" i="1"/>
  <c r="CD9" i="2" s="1"/>
  <c r="CS20" i="1"/>
  <c r="CE9" i="2" s="1"/>
  <c r="CT20" i="1"/>
  <c r="CF9" i="2" s="1"/>
  <c r="CU20" i="1"/>
  <c r="CV20" i="1"/>
  <c r="CW20" i="1"/>
  <c r="CX20" i="1"/>
  <c r="CY20" i="1"/>
  <c r="CZ20" i="1"/>
  <c r="DA20" i="1"/>
  <c r="DB20" i="1"/>
  <c r="DC20" i="1"/>
  <c r="DM20" i="1"/>
  <c r="CQ9" i="2" s="1"/>
  <c r="DN20" i="1"/>
  <c r="CR9" i="2" s="1"/>
  <c r="DO20" i="1"/>
  <c r="DP20" i="1"/>
  <c r="DQ20" i="1"/>
  <c r="DR20" i="1"/>
  <c r="DS20" i="1"/>
  <c r="DT20" i="1"/>
  <c r="DU20" i="1"/>
  <c r="DV20" i="1"/>
  <c r="DW20" i="1"/>
  <c r="D21" i="1"/>
  <c r="E21" i="1"/>
  <c r="P21" i="1"/>
  <c r="Q21" i="1"/>
  <c r="R21" i="1"/>
  <c r="S21" i="1"/>
  <c r="T21" i="1"/>
  <c r="U21" i="1"/>
  <c r="V21" i="1"/>
  <c r="W21" i="1"/>
  <c r="X21" i="1"/>
  <c r="BR21" i="1"/>
  <c r="CK21" i="1"/>
  <c r="CL21" i="1"/>
  <c r="CM21" i="1"/>
  <c r="CN21" i="1"/>
  <c r="CO21" i="1"/>
  <c r="CP21" i="1"/>
  <c r="CQ21" i="1"/>
  <c r="CR21" i="1"/>
  <c r="CS21" i="1"/>
  <c r="CT21" i="1"/>
  <c r="CU21" i="1"/>
  <c r="CV21" i="1"/>
  <c r="CW21" i="1"/>
  <c r="CX21" i="1"/>
  <c r="CY21" i="1"/>
  <c r="CZ21" i="1"/>
  <c r="DA21" i="1"/>
  <c r="DB21" i="1"/>
  <c r="DC21" i="1"/>
  <c r="DM21" i="1"/>
  <c r="DN21" i="1"/>
  <c r="DO21" i="1"/>
  <c r="DP21" i="1"/>
  <c r="DY21" i="1" s="1"/>
  <c r="DQ21" i="1"/>
  <c r="DR21" i="1"/>
  <c r="DS21" i="1"/>
  <c r="EB21" i="1" s="1"/>
  <c r="DT21" i="1"/>
  <c r="EC21" i="1" s="1"/>
  <c r="DU21" i="1"/>
  <c r="DV21" i="1"/>
  <c r="EE21" i="1" s="1"/>
  <c r="DW21" i="1"/>
  <c r="D22" i="1"/>
  <c r="E22" i="1"/>
  <c r="P22" i="1"/>
  <c r="Q22" i="1"/>
  <c r="R22" i="1"/>
  <c r="S22" i="1"/>
  <c r="T22" i="1"/>
  <c r="U22" i="1"/>
  <c r="V22" i="1"/>
  <c r="W22" i="1"/>
  <c r="X22" i="1"/>
  <c r="BR22" i="1"/>
  <c r="CK22" i="1"/>
  <c r="CL22" i="1"/>
  <c r="CM22" i="1"/>
  <c r="CN22" i="1"/>
  <c r="CO22" i="1"/>
  <c r="CP22" i="1"/>
  <c r="CQ22" i="1"/>
  <c r="CR22" i="1"/>
  <c r="CS22" i="1"/>
  <c r="CT22" i="1"/>
  <c r="CU22" i="1"/>
  <c r="CV22" i="1"/>
  <c r="CW22" i="1"/>
  <c r="CX22" i="1"/>
  <c r="CY22" i="1"/>
  <c r="CZ22" i="1"/>
  <c r="DA22" i="1"/>
  <c r="DB22" i="1"/>
  <c r="DC22" i="1"/>
  <c r="DM22" i="1"/>
  <c r="DN22" i="1"/>
  <c r="DO22" i="1"/>
  <c r="DX22" i="1" s="1"/>
  <c r="DP22" i="1"/>
  <c r="DQ22" i="1"/>
  <c r="DR22" i="1"/>
  <c r="EA22" i="1" s="1"/>
  <c r="DS22" i="1"/>
  <c r="DT22" i="1"/>
  <c r="DU22" i="1"/>
  <c r="DV22" i="1"/>
  <c r="EE22" i="1" s="1"/>
  <c r="DW22" i="1"/>
  <c r="D23" i="1"/>
  <c r="E23" i="1"/>
  <c r="P23" i="1"/>
  <c r="Q23" i="1"/>
  <c r="R23" i="1"/>
  <c r="S23" i="1"/>
  <c r="T23" i="1"/>
  <c r="U23" i="1"/>
  <c r="V23" i="1"/>
  <c r="W23" i="1"/>
  <c r="X23" i="1"/>
  <c r="BR23" i="1"/>
  <c r="CK23" i="1"/>
  <c r="CL23" i="1"/>
  <c r="CM23" i="1"/>
  <c r="CN23" i="1"/>
  <c r="CO23" i="1"/>
  <c r="CP23" i="1"/>
  <c r="CQ23" i="1"/>
  <c r="CR23" i="1"/>
  <c r="CS23" i="1"/>
  <c r="CT23" i="1"/>
  <c r="CU23" i="1"/>
  <c r="CV23" i="1"/>
  <c r="CW23" i="1"/>
  <c r="CX23" i="1"/>
  <c r="CY23" i="1"/>
  <c r="CZ23" i="1"/>
  <c r="DA23" i="1"/>
  <c r="DB23" i="1"/>
  <c r="DC23" i="1"/>
  <c r="DM23" i="1"/>
  <c r="DN23" i="1"/>
  <c r="DO23" i="1"/>
  <c r="DP23" i="1"/>
  <c r="DY23" i="1" s="1"/>
  <c r="DQ23" i="1"/>
  <c r="DR23" i="1"/>
  <c r="DS23" i="1"/>
  <c r="EB23" i="1" s="1"/>
  <c r="DT23" i="1"/>
  <c r="EC23" i="1" s="1"/>
  <c r="DU23" i="1"/>
  <c r="ED23" i="1" s="1"/>
  <c r="DV23" i="1"/>
  <c r="DW23" i="1"/>
  <c r="D24" i="1"/>
  <c r="E24" i="1"/>
  <c r="P24" i="1"/>
  <c r="Q24" i="1"/>
  <c r="R24" i="1"/>
  <c r="S24" i="1"/>
  <c r="T24" i="1"/>
  <c r="U24" i="1"/>
  <c r="V24" i="1"/>
  <c r="W24" i="1"/>
  <c r="X24" i="1"/>
  <c r="BR24" i="1"/>
  <c r="CK24" i="1"/>
  <c r="CL24" i="1"/>
  <c r="CM24" i="1"/>
  <c r="CN24" i="1"/>
  <c r="CO24" i="1"/>
  <c r="CP24" i="1"/>
  <c r="CQ24" i="1"/>
  <c r="CR24" i="1"/>
  <c r="CS24" i="1"/>
  <c r="CT24" i="1"/>
  <c r="CU24" i="1"/>
  <c r="CV24" i="1"/>
  <c r="CW24" i="1"/>
  <c r="CX24" i="1"/>
  <c r="CY24" i="1"/>
  <c r="CZ24" i="1"/>
  <c r="DA24" i="1"/>
  <c r="DB24" i="1"/>
  <c r="DC24" i="1"/>
  <c r="DM24" i="1"/>
  <c r="DN24" i="1"/>
  <c r="DO24" i="1"/>
  <c r="DP24" i="1"/>
  <c r="DY24" i="1" s="1"/>
  <c r="DQ24" i="1"/>
  <c r="DR24" i="1"/>
  <c r="EA24" i="1" s="1"/>
  <c r="DS24" i="1"/>
  <c r="DT24" i="1"/>
  <c r="DU24" i="1"/>
  <c r="DV24" i="1"/>
  <c r="EE24" i="1" s="1"/>
  <c r="DW24" i="1"/>
  <c r="D25" i="1"/>
  <c r="E25" i="1"/>
  <c r="P25" i="1"/>
  <c r="Q25" i="1"/>
  <c r="R25" i="1"/>
  <c r="S25" i="1"/>
  <c r="T25" i="1"/>
  <c r="U25" i="1"/>
  <c r="V25" i="1"/>
  <c r="W25" i="1"/>
  <c r="X25" i="1"/>
  <c r="BR25" i="1"/>
  <c r="CK25" i="1"/>
  <c r="CL25" i="1"/>
  <c r="CM25" i="1"/>
  <c r="CN25" i="1"/>
  <c r="CO25" i="1"/>
  <c r="CP25" i="1"/>
  <c r="CQ25" i="1"/>
  <c r="CR25" i="1"/>
  <c r="CS25" i="1"/>
  <c r="CT25" i="1"/>
  <c r="CU25" i="1"/>
  <c r="CV25" i="1"/>
  <c r="CW25" i="1"/>
  <c r="CX25" i="1"/>
  <c r="CY25" i="1"/>
  <c r="CZ25" i="1"/>
  <c r="DA25" i="1"/>
  <c r="DB25" i="1"/>
  <c r="DC25" i="1"/>
  <c r="DM25" i="1"/>
  <c r="DN25" i="1"/>
  <c r="DO25" i="1"/>
  <c r="DP25" i="1"/>
  <c r="DY25" i="1" s="1"/>
  <c r="DQ25" i="1"/>
  <c r="DR25" i="1"/>
  <c r="DS25" i="1"/>
  <c r="EB25" i="1" s="1"/>
  <c r="DT25" i="1"/>
  <c r="EC25" i="1" s="1"/>
  <c r="DU25" i="1"/>
  <c r="DV25" i="1"/>
  <c r="EE25" i="1" s="1"/>
  <c r="DW25" i="1"/>
  <c r="D26" i="1"/>
  <c r="E26" i="1"/>
  <c r="P26" i="1"/>
  <c r="Q26" i="1"/>
  <c r="R26" i="1"/>
  <c r="S26" i="1"/>
  <c r="T26" i="1"/>
  <c r="U26" i="1"/>
  <c r="V26" i="1"/>
  <c r="W26" i="1"/>
  <c r="X26" i="1"/>
  <c r="BR26" i="1"/>
  <c r="CK26" i="1"/>
  <c r="CL26" i="1"/>
  <c r="CM26" i="1"/>
  <c r="CN26" i="1"/>
  <c r="CO26" i="1"/>
  <c r="CP26" i="1"/>
  <c r="CQ26" i="1"/>
  <c r="CR26" i="1"/>
  <c r="CS26" i="1"/>
  <c r="CT26" i="1"/>
  <c r="CU26" i="1"/>
  <c r="CV26" i="1"/>
  <c r="CW26" i="1"/>
  <c r="CX26" i="1"/>
  <c r="CY26" i="1"/>
  <c r="CZ26" i="1"/>
  <c r="DA26" i="1"/>
  <c r="DB26" i="1"/>
  <c r="DC26" i="1"/>
  <c r="DM26" i="1"/>
  <c r="DN26" i="1"/>
  <c r="DO26" i="1"/>
  <c r="DX26" i="1" s="1"/>
  <c r="DP26" i="1"/>
  <c r="DQ26" i="1"/>
  <c r="DR26" i="1"/>
  <c r="EA26" i="1" s="1"/>
  <c r="DS26" i="1"/>
  <c r="DT26" i="1"/>
  <c r="DU26" i="1"/>
  <c r="DV26" i="1"/>
  <c r="EE26" i="1" s="1"/>
  <c r="DW26" i="1"/>
  <c r="D27" i="1"/>
  <c r="E27" i="1"/>
  <c r="P27" i="1"/>
  <c r="Q27" i="1"/>
  <c r="R27" i="1"/>
  <c r="S27" i="1"/>
  <c r="T27" i="1"/>
  <c r="U27" i="1"/>
  <c r="V27" i="1"/>
  <c r="W27" i="1"/>
  <c r="X27" i="1"/>
  <c r="BR27" i="1"/>
  <c r="CK27" i="1"/>
  <c r="CL27" i="1"/>
  <c r="CM27" i="1"/>
  <c r="CN27" i="1"/>
  <c r="CO27" i="1"/>
  <c r="CP27" i="1"/>
  <c r="CQ27" i="1"/>
  <c r="CR27" i="1"/>
  <c r="CS27" i="1"/>
  <c r="CT27" i="1"/>
  <c r="CU27" i="1"/>
  <c r="CV27" i="1"/>
  <c r="CW27" i="1"/>
  <c r="CX27" i="1"/>
  <c r="CY27" i="1"/>
  <c r="CZ27" i="1"/>
  <c r="DA27" i="1"/>
  <c r="DB27" i="1"/>
  <c r="DC27" i="1"/>
  <c r="DM27" i="1"/>
  <c r="DN27" i="1"/>
  <c r="DO27" i="1"/>
  <c r="DP27" i="1"/>
  <c r="DY27" i="1" s="1"/>
  <c r="DQ27" i="1"/>
  <c r="DR27" i="1"/>
  <c r="DS27" i="1"/>
  <c r="EB27" i="1" s="1"/>
  <c r="DT27" i="1"/>
  <c r="EC27" i="1" s="1"/>
  <c r="DU27" i="1"/>
  <c r="ED27" i="1" s="1"/>
  <c r="DV27" i="1"/>
  <c r="DW27" i="1"/>
  <c r="D28" i="1"/>
  <c r="E28" i="1"/>
  <c r="P28" i="1"/>
  <c r="Q28" i="1"/>
  <c r="R28" i="1"/>
  <c r="S28" i="1"/>
  <c r="T28" i="1"/>
  <c r="U28" i="1"/>
  <c r="V28" i="1"/>
  <c r="W28" i="1"/>
  <c r="X28" i="1"/>
  <c r="BR28" i="1"/>
  <c r="CK28" i="1"/>
  <c r="CL28" i="1"/>
  <c r="CM28" i="1"/>
  <c r="CN28" i="1"/>
  <c r="CO28" i="1"/>
  <c r="CP28" i="1"/>
  <c r="CQ28" i="1"/>
  <c r="CR28" i="1"/>
  <c r="CS28" i="1"/>
  <c r="CT28" i="1"/>
  <c r="CU28" i="1"/>
  <c r="CV28" i="1"/>
  <c r="CW28" i="1"/>
  <c r="CX28" i="1"/>
  <c r="CY28" i="1"/>
  <c r="CZ28" i="1"/>
  <c r="DA28" i="1"/>
  <c r="DB28" i="1"/>
  <c r="DC28" i="1"/>
  <c r="DM28" i="1"/>
  <c r="DN28" i="1"/>
  <c r="DO28" i="1"/>
  <c r="DP28" i="1"/>
  <c r="DY28" i="1" s="1"/>
  <c r="DQ28" i="1"/>
  <c r="DR28" i="1"/>
  <c r="EA28" i="1" s="1"/>
  <c r="DS28" i="1"/>
  <c r="DT28" i="1"/>
  <c r="DU28" i="1"/>
  <c r="DV28" i="1"/>
  <c r="EE28" i="1" s="1"/>
  <c r="DW28" i="1"/>
  <c r="D29" i="1"/>
  <c r="E29" i="1"/>
  <c r="P29" i="1"/>
  <c r="Q29" i="1"/>
  <c r="R29" i="1"/>
  <c r="S29" i="1"/>
  <c r="T29" i="1"/>
  <c r="U29" i="1"/>
  <c r="V29" i="1"/>
  <c r="W29" i="1"/>
  <c r="X29" i="1"/>
  <c r="BR29" i="1"/>
  <c r="CK29" i="1"/>
  <c r="CL29" i="1"/>
  <c r="CM29" i="1"/>
  <c r="CN29" i="1"/>
  <c r="CO29" i="1"/>
  <c r="CP29" i="1"/>
  <c r="CQ29" i="1"/>
  <c r="CR29" i="1"/>
  <c r="CS29" i="1"/>
  <c r="CT29" i="1"/>
  <c r="CU29" i="1"/>
  <c r="CV29" i="1"/>
  <c r="CW29" i="1"/>
  <c r="CX29" i="1"/>
  <c r="CY29" i="1"/>
  <c r="CZ29" i="1"/>
  <c r="DA29" i="1"/>
  <c r="DB29" i="1"/>
  <c r="DC29" i="1"/>
  <c r="DM29" i="1"/>
  <c r="DN29" i="1"/>
  <c r="DO29" i="1"/>
  <c r="DP29" i="1"/>
  <c r="DY29" i="1" s="1"/>
  <c r="DQ29" i="1"/>
  <c r="DR29" i="1"/>
  <c r="DS29" i="1"/>
  <c r="EB29" i="1" s="1"/>
  <c r="DT29" i="1"/>
  <c r="EC29" i="1" s="1"/>
  <c r="DU29" i="1"/>
  <c r="DV29" i="1"/>
  <c r="EE29" i="1" s="1"/>
  <c r="DW29" i="1"/>
  <c r="D30" i="1"/>
  <c r="E30" i="1"/>
  <c r="P30" i="1"/>
  <c r="Q30" i="1"/>
  <c r="R30" i="1"/>
  <c r="S30" i="1"/>
  <c r="T30" i="1"/>
  <c r="U30" i="1"/>
  <c r="V30" i="1"/>
  <c r="W30" i="1"/>
  <c r="X30" i="1"/>
  <c r="BR30" i="1"/>
  <c r="CK30" i="1"/>
  <c r="CL30" i="1"/>
  <c r="CM30" i="1"/>
  <c r="CN30" i="1"/>
  <c r="CO30" i="1"/>
  <c r="CP30" i="1"/>
  <c r="CQ30" i="1"/>
  <c r="CR30" i="1"/>
  <c r="CS30" i="1"/>
  <c r="CT30" i="1"/>
  <c r="CU30" i="1"/>
  <c r="CV30" i="1"/>
  <c r="CW30" i="1"/>
  <c r="CX30" i="1"/>
  <c r="CY30" i="1"/>
  <c r="CZ30" i="1"/>
  <c r="DA30" i="1"/>
  <c r="DB30" i="1"/>
  <c r="DC30" i="1"/>
  <c r="DM30" i="1"/>
  <c r="DN30" i="1"/>
  <c r="DO30" i="1"/>
  <c r="DX30" i="1" s="1"/>
  <c r="DP30" i="1"/>
  <c r="DQ30" i="1"/>
  <c r="DR30" i="1"/>
  <c r="EA30" i="1" s="1"/>
  <c r="DS30" i="1"/>
  <c r="DT30" i="1"/>
  <c r="DU30" i="1"/>
  <c r="DV30" i="1"/>
  <c r="EE30" i="1" s="1"/>
  <c r="DW30" i="1"/>
  <c r="D31" i="1"/>
  <c r="E31" i="1"/>
  <c r="P31" i="1"/>
  <c r="Q31" i="1"/>
  <c r="R31" i="1"/>
  <c r="S31" i="1"/>
  <c r="T31" i="1"/>
  <c r="U31" i="1"/>
  <c r="V31" i="1"/>
  <c r="W31" i="1"/>
  <c r="X31" i="1"/>
  <c r="BR31" i="1"/>
  <c r="CK31" i="1"/>
  <c r="CL31" i="1"/>
  <c r="CM31" i="1"/>
  <c r="CN31" i="1"/>
  <c r="CO31" i="1"/>
  <c r="CP31" i="1"/>
  <c r="CQ31" i="1"/>
  <c r="CR31" i="1"/>
  <c r="CS31" i="1"/>
  <c r="CT31" i="1"/>
  <c r="CU31" i="1"/>
  <c r="CV31" i="1"/>
  <c r="CW31" i="1"/>
  <c r="CX31" i="1"/>
  <c r="CY31" i="1"/>
  <c r="CZ31" i="1"/>
  <c r="DA31" i="1"/>
  <c r="DB31" i="1"/>
  <c r="DC31" i="1"/>
  <c r="DM31" i="1"/>
  <c r="DN31" i="1"/>
  <c r="DO31" i="1"/>
  <c r="DP31" i="1"/>
  <c r="DY31" i="1" s="1"/>
  <c r="DQ31" i="1"/>
  <c r="DR31" i="1"/>
  <c r="DS31" i="1"/>
  <c r="EB31" i="1" s="1"/>
  <c r="DT31" i="1"/>
  <c r="EC31" i="1" s="1"/>
  <c r="DU31" i="1"/>
  <c r="ED31" i="1" s="1"/>
  <c r="DV31" i="1"/>
  <c r="DW31" i="1"/>
  <c r="DO32" i="1"/>
  <c r="DP32" i="1"/>
  <c r="DQ32" i="1"/>
  <c r="DR32" i="1"/>
  <c r="DS32" i="1"/>
  <c r="DT32" i="1"/>
  <c r="DU32" i="1"/>
  <c r="DV32" i="1"/>
  <c r="DW32" i="1"/>
  <c r="DO33" i="1"/>
  <c r="DX33" i="1" s="1"/>
  <c r="DP33" i="1"/>
  <c r="DY33" i="1" s="1"/>
  <c r="DQ33" i="1"/>
  <c r="DZ33" i="1" s="1"/>
  <c r="DR33" i="1"/>
  <c r="EA33" i="1" s="1"/>
  <c r="DS33" i="1"/>
  <c r="EB33" i="1" s="1"/>
  <c r="DT33" i="1"/>
  <c r="EC33" i="1" s="1"/>
  <c r="DU33" i="1"/>
  <c r="ED33" i="1" s="1"/>
  <c r="DV33" i="1"/>
  <c r="EE33" i="1" s="1"/>
  <c r="DW33" i="1"/>
  <c r="EF33" i="1" s="1"/>
  <c r="DO34" i="1"/>
  <c r="DX34" i="1" s="1"/>
  <c r="DP34" i="1"/>
  <c r="DY34" i="1" s="1"/>
  <c r="DQ34" i="1"/>
  <c r="DZ34" i="1" s="1"/>
  <c r="DR34" i="1"/>
  <c r="EA34" i="1" s="1"/>
  <c r="DS34" i="1"/>
  <c r="EB34" i="1" s="1"/>
  <c r="DT34" i="1"/>
  <c r="EC34" i="1" s="1"/>
  <c r="DU34" i="1"/>
  <c r="ED34" i="1" s="1"/>
  <c r="DV34" i="1"/>
  <c r="EE34" i="1" s="1"/>
  <c r="DW34" i="1"/>
  <c r="EF34" i="1" s="1"/>
  <c r="DO35" i="1"/>
  <c r="DX35" i="1" s="1"/>
  <c r="DP35" i="1"/>
  <c r="DY35" i="1" s="1"/>
  <c r="DQ35" i="1"/>
  <c r="DZ35" i="1" s="1"/>
  <c r="DR35" i="1"/>
  <c r="EA35" i="1" s="1"/>
  <c r="DS35" i="1"/>
  <c r="EB35" i="1" s="1"/>
  <c r="DT35" i="1"/>
  <c r="EC35" i="1" s="1"/>
  <c r="DU35" i="1"/>
  <c r="ED35" i="1" s="1"/>
  <c r="DV35" i="1"/>
  <c r="EE35" i="1" s="1"/>
  <c r="DW35" i="1"/>
  <c r="EF35" i="1" s="1"/>
  <c r="DO36" i="1"/>
  <c r="DX36" i="1" s="1"/>
  <c r="DP36" i="1"/>
  <c r="DY36" i="1" s="1"/>
  <c r="DQ36" i="1"/>
  <c r="DZ36" i="1" s="1"/>
  <c r="DR36" i="1"/>
  <c r="EA36" i="1" s="1"/>
  <c r="DS36" i="1"/>
  <c r="EB36" i="1" s="1"/>
  <c r="DT36" i="1"/>
  <c r="EC36" i="1" s="1"/>
  <c r="DU36" i="1"/>
  <c r="ED36" i="1" s="1"/>
  <c r="DV36" i="1"/>
  <c r="EE36" i="1" s="1"/>
  <c r="DW36" i="1"/>
  <c r="EF36" i="1" s="1"/>
  <c r="DO37" i="1"/>
  <c r="DX37" i="1" s="1"/>
  <c r="DP37" i="1"/>
  <c r="DY37" i="1" s="1"/>
  <c r="DQ37" i="1"/>
  <c r="DZ37" i="1" s="1"/>
  <c r="DR37" i="1"/>
  <c r="EA37" i="1" s="1"/>
  <c r="DS37" i="1"/>
  <c r="EB37" i="1" s="1"/>
  <c r="DT37" i="1"/>
  <c r="EC37" i="1" s="1"/>
  <c r="DU37" i="1"/>
  <c r="ED37" i="1" s="1"/>
  <c r="DV37" i="1"/>
  <c r="EE37" i="1" s="1"/>
  <c r="DW37" i="1"/>
  <c r="EF37" i="1" s="1"/>
  <c r="DO38" i="1"/>
  <c r="DX38" i="1" s="1"/>
  <c r="DP38" i="1"/>
  <c r="DY38" i="1" s="1"/>
  <c r="DQ38" i="1"/>
  <c r="DZ38" i="1" s="1"/>
  <c r="DR38" i="1"/>
  <c r="EA38" i="1" s="1"/>
  <c r="DS38" i="1"/>
  <c r="EB38" i="1" s="1"/>
  <c r="DT38" i="1"/>
  <c r="EC38" i="1" s="1"/>
  <c r="DU38" i="1"/>
  <c r="ED38" i="1" s="1"/>
  <c r="DV38" i="1"/>
  <c r="EE38" i="1" s="1"/>
  <c r="DW38" i="1"/>
  <c r="EF38" i="1" s="1"/>
  <c r="DO39" i="1"/>
  <c r="DX39" i="1" s="1"/>
  <c r="DP39" i="1"/>
  <c r="DY39" i="1" s="1"/>
  <c r="DQ39" i="1"/>
  <c r="DZ39" i="1" s="1"/>
  <c r="DR39" i="1"/>
  <c r="EA39" i="1" s="1"/>
  <c r="DS39" i="1"/>
  <c r="EB39" i="1" s="1"/>
  <c r="DT39" i="1"/>
  <c r="EC39" i="1" s="1"/>
  <c r="DU39" i="1"/>
  <c r="ED39" i="1" s="1"/>
  <c r="DV39" i="1"/>
  <c r="EE39" i="1" s="1"/>
  <c r="DW39" i="1"/>
  <c r="EF39" i="1" s="1"/>
  <c r="DO40" i="1"/>
  <c r="DX40" i="1" s="1"/>
  <c r="DP40" i="1"/>
  <c r="DY40" i="1" s="1"/>
  <c r="DQ40" i="1"/>
  <c r="DZ40" i="1" s="1"/>
  <c r="DR40" i="1"/>
  <c r="EA40" i="1" s="1"/>
  <c r="DS40" i="1"/>
  <c r="EB40" i="1" s="1"/>
  <c r="DT40" i="1"/>
  <c r="EC40" i="1" s="1"/>
  <c r="DU40" i="1"/>
  <c r="ED40" i="1" s="1"/>
  <c r="DV40" i="1"/>
  <c r="EE40" i="1" s="1"/>
  <c r="DW40" i="1"/>
  <c r="EF40" i="1" s="1"/>
  <c r="DO41" i="1"/>
  <c r="DX41" i="1" s="1"/>
  <c r="DP41" i="1"/>
  <c r="DY41" i="1" s="1"/>
  <c r="DQ41" i="1"/>
  <c r="DZ41" i="1" s="1"/>
  <c r="DR41" i="1"/>
  <c r="EA41" i="1" s="1"/>
  <c r="DS41" i="1"/>
  <c r="EB41" i="1" s="1"/>
  <c r="DT41" i="1"/>
  <c r="EC41" i="1" s="1"/>
  <c r="DU41" i="1"/>
  <c r="ED41" i="1" s="1"/>
  <c r="DV41" i="1"/>
  <c r="EE41" i="1" s="1"/>
  <c r="DW41" i="1"/>
  <c r="EF41" i="1" s="1"/>
  <c r="DO42" i="1"/>
  <c r="DX42" i="1" s="1"/>
  <c r="DP42" i="1"/>
  <c r="DY42" i="1" s="1"/>
  <c r="DQ42" i="1"/>
  <c r="DZ42" i="1" s="1"/>
  <c r="DR42" i="1"/>
  <c r="EA42" i="1" s="1"/>
  <c r="DS42" i="1"/>
  <c r="EB42" i="1" s="1"/>
  <c r="DT42" i="1"/>
  <c r="EC42" i="1" s="1"/>
  <c r="DU42" i="1"/>
  <c r="ED42" i="1" s="1"/>
  <c r="DV42" i="1"/>
  <c r="EE42" i="1" s="1"/>
  <c r="DW42" i="1"/>
  <c r="EF42" i="1" s="1"/>
  <c r="DO43" i="1"/>
  <c r="DX43" i="1" s="1"/>
  <c r="DP43" i="1"/>
  <c r="DY43" i="1" s="1"/>
  <c r="DQ43" i="1"/>
  <c r="DZ43" i="1" s="1"/>
  <c r="DR43" i="1"/>
  <c r="EA43" i="1" s="1"/>
  <c r="DS43" i="1"/>
  <c r="EB43" i="1" s="1"/>
  <c r="DT43" i="1"/>
  <c r="EC43" i="1" s="1"/>
  <c r="DU43" i="1"/>
  <c r="ED43" i="1" s="1"/>
  <c r="DV43" i="1"/>
  <c r="EE43" i="1" s="1"/>
  <c r="DW43" i="1"/>
  <c r="EF43" i="1" s="1"/>
  <c r="DO44" i="1"/>
  <c r="DX44" i="1" s="1"/>
  <c r="DP44" i="1"/>
  <c r="DY44" i="1" s="1"/>
  <c r="DQ44" i="1"/>
  <c r="DZ44" i="1" s="1"/>
  <c r="DR44" i="1"/>
  <c r="EA44" i="1" s="1"/>
  <c r="DS44" i="1"/>
  <c r="EB44" i="1" s="1"/>
  <c r="DT44" i="1"/>
  <c r="EC44" i="1" s="1"/>
  <c r="DU44" i="1"/>
  <c r="ED44" i="1" s="1"/>
  <c r="DV44" i="1"/>
  <c r="EE44" i="1" s="1"/>
  <c r="DW44" i="1"/>
  <c r="EF44" i="1" s="1"/>
  <c r="DO45" i="1"/>
  <c r="DX45" i="1" s="1"/>
  <c r="DP45" i="1"/>
  <c r="DY45" i="1" s="1"/>
  <c r="DQ45" i="1"/>
  <c r="DZ45" i="1" s="1"/>
  <c r="DR45" i="1"/>
  <c r="EA45" i="1" s="1"/>
  <c r="DS45" i="1"/>
  <c r="EB45" i="1" s="1"/>
  <c r="DT45" i="1"/>
  <c r="EC45" i="1" s="1"/>
  <c r="DU45" i="1"/>
  <c r="ED45" i="1" s="1"/>
  <c r="DV45" i="1"/>
  <c r="EE45" i="1" s="1"/>
  <c r="DW45" i="1"/>
  <c r="EF45" i="1" s="1"/>
  <c r="DO46" i="1"/>
  <c r="DX46" i="1" s="1"/>
  <c r="DP46" i="1"/>
  <c r="DY46" i="1" s="1"/>
  <c r="DQ46" i="1"/>
  <c r="DZ46" i="1" s="1"/>
  <c r="DR46" i="1"/>
  <c r="EA46" i="1" s="1"/>
  <c r="DS46" i="1"/>
  <c r="EB46" i="1" s="1"/>
  <c r="DT46" i="1"/>
  <c r="EC46" i="1" s="1"/>
  <c r="DU46" i="1"/>
  <c r="ED46" i="1" s="1"/>
  <c r="DV46" i="1"/>
  <c r="EE46" i="1" s="1"/>
  <c r="DW46" i="1"/>
  <c r="EF46" i="1" s="1"/>
  <c r="DO47" i="1"/>
  <c r="DX47" i="1" s="1"/>
  <c r="DP47" i="1"/>
  <c r="DY47" i="1" s="1"/>
  <c r="DQ47" i="1"/>
  <c r="DZ47" i="1" s="1"/>
  <c r="DR47" i="1"/>
  <c r="EA47" i="1" s="1"/>
  <c r="DS47" i="1"/>
  <c r="EB47" i="1" s="1"/>
  <c r="DT47" i="1"/>
  <c r="EC47" i="1" s="1"/>
  <c r="DU47" i="1"/>
  <c r="ED47" i="1" s="1"/>
  <c r="DV47" i="1"/>
  <c r="EE47" i="1" s="1"/>
  <c r="DW47" i="1"/>
  <c r="EF47" i="1" s="1"/>
  <c r="DO48" i="1"/>
  <c r="DX48" i="1" s="1"/>
  <c r="DP48" i="1"/>
  <c r="DY48" i="1" s="1"/>
  <c r="DQ48" i="1"/>
  <c r="DZ48" i="1" s="1"/>
  <c r="DR48" i="1"/>
  <c r="EA48" i="1" s="1"/>
  <c r="DS48" i="1"/>
  <c r="EB48" i="1" s="1"/>
  <c r="DT48" i="1"/>
  <c r="EC48" i="1" s="1"/>
  <c r="DU48" i="1"/>
  <c r="ED48" i="1" s="1"/>
  <c r="DV48" i="1"/>
  <c r="EE48" i="1" s="1"/>
  <c r="DW48" i="1"/>
  <c r="EF48" i="1" s="1"/>
  <c r="DO49" i="1"/>
  <c r="DX49" i="1" s="1"/>
  <c r="DP49" i="1"/>
  <c r="DY49" i="1" s="1"/>
  <c r="DQ49" i="1"/>
  <c r="DZ49" i="1" s="1"/>
  <c r="DR49" i="1"/>
  <c r="EA49" i="1" s="1"/>
  <c r="DS49" i="1"/>
  <c r="EB49" i="1" s="1"/>
  <c r="DT49" i="1"/>
  <c r="EC49" i="1" s="1"/>
  <c r="DU49" i="1"/>
  <c r="ED49" i="1" s="1"/>
  <c r="DV49" i="1"/>
  <c r="EE49" i="1" s="1"/>
  <c r="DW49" i="1"/>
  <c r="EF49" i="1" s="1"/>
  <c r="DO50" i="1"/>
  <c r="DX50" i="1" s="1"/>
  <c r="DP50" i="1"/>
  <c r="DY50" i="1" s="1"/>
  <c r="DQ50" i="1"/>
  <c r="DZ50" i="1" s="1"/>
  <c r="DR50" i="1"/>
  <c r="EA50" i="1" s="1"/>
  <c r="DS50" i="1"/>
  <c r="EB50" i="1" s="1"/>
  <c r="DT50" i="1"/>
  <c r="EC50" i="1" s="1"/>
  <c r="DU50" i="1"/>
  <c r="ED50" i="1" s="1"/>
  <c r="DV50" i="1"/>
  <c r="EE50" i="1" s="1"/>
  <c r="DW50" i="1"/>
  <c r="EF50" i="1" s="1"/>
  <c r="DO51" i="1"/>
  <c r="DX51" i="1" s="1"/>
  <c r="DP51" i="1"/>
  <c r="DY51" i="1" s="1"/>
  <c r="DQ51" i="1"/>
  <c r="DZ51" i="1" s="1"/>
  <c r="DR51" i="1"/>
  <c r="EA51" i="1" s="1"/>
  <c r="DS51" i="1"/>
  <c r="EB51" i="1" s="1"/>
  <c r="DT51" i="1"/>
  <c r="EC51" i="1" s="1"/>
  <c r="DU51" i="1"/>
  <c r="ED51" i="1" s="1"/>
  <c r="DV51" i="1"/>
  <c r="EE51" i="1" s="1"/>
  <c r="DW51" i="1"/>
  <c r="EF51" i="1" s="1"/>
  <c r="DO52" i="1"/>
  <c r="DX52" i="1" s="1"/>
  <c r="DP52" i="1"/>
  <c r="DY52" i="1" s="1"/>
  <c r="DQ52" i="1"/>
  <c r="DZ52" i="1" s="1"/>
  <c r="DR52" i="1"/>
  <c r="EA52" i="1" s="1"/>
  <c r="DS52" i="1"/>
  <c r="EB52" i="1" s="1"/>
  <c r="DT52" i="1"/>
  <c r="EC52" i="1" s="1"/>
  <c r="DU52" i="1"/>
  <c r="ED52" i="1" s="1"/>
  <c r="DV52" i="1"/>
  <c r="EE52" i="1" s="1"/>
  <c r="DW52" i="1"/>
  <c r="EF52" i="1" s="1"/>
  <c r="DO53" i="1"/>
  <c r="DX53" i="1" s="1"/>
  <c r="DP53" i="1"/>
  <c r="DY53" i="1" s="1"/>
  <c r="DQ53" i="1"/>
  <c r="DZ53" i="1" s="1"/>
  <c r="DR53" i="1"/>
  <c r="EA53" i="1" s="1"/>
  <c r="DS53" i="1"/>
  <c r="EB53" i="1" s="1"/>
  <c r="DT53" i="1"/>
  <c r="EC53" i="1" s="1"/>
  <c r="DU53" i="1"/>
  <c r="ED53" i="1" s="1"/>
  <c r="DV53" i="1"/>
  <c r="EE53" i="1" s="1"/>
  <c r="DW53" i="1"/>
  <c r="EF53" i="1" s="1"/>
  <c r="CK54" i="1"/>
  <c r="DN54" i="1" s="1"/>
  <c r="DO54" i="1"/>
  <c r="DX54" i="1" s="1"/>
  <c r="DP54" i="1"/>
  <c r="DY54" i="1" s="1"/>
  <c r="DQ54" i="1"/>
  <c r="DZ54" i="1" s="1"/>
  <c r="DR54" i="1"/>
  <c r="EA54" i="1" s="1"/>
  <c r="DS54" i="1"/>
  <c r="EB54" i="1" s="1"/>
  <c r="DT54" i="1"/>
  <c r="EC54" i="1" s="1"/>
  <c r="DU54" i="1"/>
  <c r="ED54" i="1" s="1"/>
  <c r="DV54" i="1"/>
  <c r="EE54" i="1" s="1"/>
  <c r="DW54" i="1"/>
  <c r="EF54" i="1" s="1"/>
  <c r="CK55" i="1"/>
  <c r="DN55" i="1" s="1"/>
  <c r="DO55" i="1"/>
  <c r="DX55" i="1" s="1"/>
  <c r="DP55" i="1"/>
  <c r="DY55" i="1" s="1"/>
  <c r="DQ55" i="1"/>
  <c r="DZ55" i="1" s="1"/>
  <c r="DR55" i="1"/>
  <c r="EA55" i="1" s="1"/>
  <c r="DS55" i="1"/>
  <c r="EB55" i="1" s="1"/>
  <c r="DT55" i="1"/>
  <c r="EC55" i="1" s="1"/>
  <c r="DU55" i="1"/>
  <c r="ED55" i="1" s="1"/>
  <c r="DV55" i="1"/>
  <c r="EE55" i="1" s="1"/>
  <c r="DW55" i="1"/>
  <c r="EF55" i="1" s="1"/>
  <c r="CK56" i="1"/>
  <c r="DN56" i="1" s="1"/>
  <c r="DO56" i="1"/>
  <c r="DX56" i="1" s="1"/>
  <c r="DP56" i="1"/>
  <c r="DY56" i="1" s="1"/>
  <c r="DQ56" i="1"/>
  <c r="DZ56" i="1" s="1"/>
  <c r="DR56" i="1"/>
  <c r="EA56" i="1" s="1"/>
  <c r="DS56" i="1"/>
  <c r="EB56" i="1" s="1"/>
  <c r="DT56" i="1"/>
  <c r="EC56" i="1" s="1"/>
  <c r="DU56" i="1"/>
  <c r="ED56" i="1" s="1"/>
  <c r="DV56" i="1"/>
  <c r="EE56" i="1" s="1"/>
  <c r="DW56" i="1"/>
  <c r="EF56" i="1" s="1"/>
  <c r="CK57" i="1"/>
  <c r="DN57" i="1" s="1"/>
  <c r="DO57" i="1"/>
  <c r="DX57" i="1" s="1"/>
  <c r="DP57" i="1"/>
  <c r="DY57" i="1" s="1"/>
  <c r="DQ57" i="1"/>
  <c r="DZ57" i="1" s="1"/>
  <c r="DR57" i="1"/>
  <c r="EA57" i="1" s="1"/>
  <c r="DS57" i="1"/>
  <c r="EB57" i="1" s="1"/>
  <c r="DT57" i="1"/>
  <c r="EC57" i="1" s="1"/>
  <c r="DU57" i="1"/>
  <c r="ED57" i="1" s="1"/>
  <c r="DV57" i="1"/>
  <c r="EE57" i="1" s="1"/>
  <c r="DW57" i="1"/>
  <c r="EF57" i="1" s="1"/>
  <c r="CK58" i="1"/>
  <c r="DN58" i="1" s="1"/>
  <c r="DO58" i="1"/>
  <c r="DX58" i="1" s="1"/>
  <c r="DP58" i="1"/>
  <c r="DY58" i="1" s="1"/>
  <c r="DQ58" i="1"/>
  <c r="DZ58" i="1" s="1"/>
  <c r="DR58" i="1"/>
  <c r="EA58" i="1" s="1"/>
  <c r="DS58" i="1"/>
  <c r="EB58" i="1" s="1"/>
  <c r="DT58" i="1"/>
  <c r="EC58" i="1" s="1"/>
  <c r="DU58" i="1"/>
  <c r="ED58" i="1" s="1"/>
  <c r="DV58" i="1"/>
  <c r="EE58" i="1" s="1"/>
  <c r="DW58" i="1"/>
  <c r="EF58" i="1" s="1"/>
  <c r="CK59" i="1"/>
  <c r="DN59" i="1" s="1"/>
  <c r="DO59" i="1"/>
  <c r="DX59" i="1" s="1"/>
  <c r="DP59" i="1"/>
  <c r="DY59" i="1" s="1"/>
  <c r="DQ59" i="1"/>
  <c r="DZ59" i="1" s="1"/>
  <c r="DR59" i="1"/>
  <c r="EA59" i="1" s="1"/>
  <c r="DS59" i="1"/>
  <c r="EB59" i="1" s="1"/>
  <c r="DT59" i="1"/>
  <c r="EC59" i="1" s="1"/>
  <c r="DU59" i="1"/>
  <c r="ED59" i="1" s="1"/>
  <c r="DV59" i="1"/>
  <c r="EE59" i="1" s="1"/>
  <c r="DW59" i="1"/>
  <c r="EF59" i="1" s="1"/>
  <c r="CK60" i="1"/>
  <c r="DN60" i="1" s="1"/>
  <c r="DO60" i="1"/>
  <c r="DX60" i="1" s="1"/>
  <c r="DP60" i="1"/>
  <c r="DY60" i="1" s="1"/>
  <c r="DQ60" i="1"/>
  <c r="DZ60" i="1" s="1"/>
  <c r="DR60" i="1"/>
  <c r="EA60" i="1" s="1"/>
  <c r="DS60" i="1"/>
  <c r="EB60" i="1" s="1"/>
  <c r="DT60" i="1"/>
  <c r="EC60" i="1" s="1"/>
  <c r="DU60" i="1"/>
  <c r="ED60" i="1" s="1"/>
  <c r="DV60" i="1"/>
  <c r="EE60" i="1" s="1"/>
  <c r="DW60" i="1"/>
  <c r="EF60" i="1" s="1"/>
  <c r="CK61" i="1"/>
  <c r="DN61" i="1" s="1"/>
  <c r="DO61" i="1"/>
  <c r="DX61" i="1" s="1"/>
  <c r="DP61" i="1"/>
  <c r="DY61" i="1" s="1"/>
  <c r="DQ61" i="1"/>
  <c r="DZ61" i="1" s="1"/>
  <c r="DR61" i="1"/>
  <c r="EA61" i="1" s="1"/>
  <c r="DS61" i="1"/>
  <c r="EB61" i="1" s="1"/>
  <c r="DT61" i="1"/>
  <c r="EC61" i="1" s="1"/>
  <c r="DU61" i="1"/>
  <c r="ED61" i="1" s="1"/>
  <c r="DV61" i="1"/>
  <c r="EE61" i="1" s="1"/>
  <c r="DW61" i="1"/>
  <c r="EF61" i="1" s="1"/>
  <c r="CK62" i="1"/>
  <c r="DN62" i="1" s="1"/>
  <c r="DO62" i="1"/>
  <c r="DX62" i="1" s="1"/>
  <c r="DP62" i="1"/>
  <c r="DY62" i="1" s="1"/>
  <c r="DQ62" i="1"/>
  <c r="DZ62" i="1" s="1"/>
  <c r="DR62" i="1"/>
  <c r="EA62" i="1" s="1"/>
  <c r="DS62" i="1"/>
  <c r="EB62" i="1" s="1"/>
  <c r="DT62" i="1"/>
  <c r="EC62" i="1" s="1"/>
  <c r="DU62" i="1"/>
  <c r="ED62" i="1" s="1"/>
  <c r="DV62" i="1"/>
  <c r="EE62" i="1" s="1"/>
  <c r="DW62" i="1"/>
  <c r="EF62" i="1" s="1"/>
  <c r="CK63" i="1"/>
  <c r="DN63" i="1" s="1"/>
  <c r="DO63" i="1"/>
  <c r="DX63" i="1" s="1"/>
  <c r="DP63" i="1"/>
  <c r="DY63" i="1" s="1"/>
  <c r="DQ63" i="1"/>
  <c r="DZ63" i="1" s="1"/>
  <c r="DR63" i="1"/>
  <c r="EA63" i="1" s="1"/>
  <c r="DS63" i="1"/>
  <c r="EB63" i="1" s="1"/>
  <c r="DT63" i="1"/>
  <c r="EC63" i="1" s="1"/>
  <c r="DU63" i="1"/>
  <c r="ED63" i="1" s="1"/>
  <c r="DV63" i="1"/>
  <c r="EE63" i="1" s="1"/>
  <c r="DW63" i="1"/>
  <c r="EF63" i="1" s="1"/>
  <c r="CK64" i="1"/>
  <c r="DN64" i="1" s="1"/>
  <c r="DO64" i="1"/>
  <c r="DX64" i="1" s="1"/>
  <c r="DP64" i="1"/>
  <c r="DY64" i="1" s="1"/>
  <c r="DQ64" i="1"/>
  <c r="DZ64" i="1" s="1"/>
  <c r="DR64" i="1"/>
  <c r="EA64" i="1" s="1"/>
  <c r="DS64" i="1"/>
  <c r="EB64" i="1" s="1"/>
  <c r="DT64" i="1"/>
  <c r="EC64" i="1" s="1"/>
  <c r="DU64" i="1"/>
  <c r="ED64" i="1" s="1"/>
  <c r="DV64" i="1"/>
  <c r="EE64" i="1" s="1"/>
  <c r="DW64" i="1"/>
  <c r="EF64" i="1" s="1"/>
  <c r="CK65" i="1"/>
  <c r="DN65" i="1" s="1"/>
  <c r="DO65" i="1"/>
  <c r="DX65" i="1" s="1"/>
  <c r="DP65" i="1"/>
  <c r="DY65" i="1" s="1"/>
  <c r="DQ65" i="1"/>
  <c r="DZ65" i="1" s="1"/>
  <c r="DR65" i="1"/>
  <c r="EA65" i="1" s="1"/>
  <c r="DS65" i="1"/>
  <c r="EB65" i="1" s="1"/>
  <c r="DT65" i="1"/>
  <c r="EC65" i="1" s="1"/>
  <c r="DU65" i="1"/>
  <c r="ED65" i="1" s="1"/>
  <c r="DV65" i="1"/>
  <c r="EE65" i="1" s="1"/>
  <c r="DW65" i="1"/>
  <c r="EF65" i="1" s="1"/>
  <c r="CK66" i="1"/>
  <c r="DN66" i="1" s="1"/>
  <c r="DO66" i="1"/>
  <c r="DX66" i="1" s="1"/>
  <c r="DP66" i="1"/>
  <c r="DY66" i="1" s="1"/>
  <c r="DQ66" i="1"/>
  <c r="DZ66" i="1" s="1"/>
  <c r="DR66" i="1"/>
  <c r="EA66" i="1" s="1"/>
  <c r="DS66" i="1"/>
  <c r="EB66" i="1" s="1"/>
  <c r="DT66" i="1"/>
  <c r="EC66" i="1" s="1"/>
  <c r="DU66" i="1"/>
  <c r="ED66" i="1" s="1"/>
  <c r="DV66" i="1"/>
  <c r="EE66" i="1" s="1"/>
  <c r="DW66" i="1"/>
  <c r="EF66" i="1" s="1"/>
  <c r="CK67" i="1"/>
  <c r="DN67" i="1" s="1"/>
  <c r="DO67" i="1"/>
  <c r="DX67" i="1" s="1"/>
  <c r="DP67" i="1"/>
  <c r="DY67" i="1" s="1"/>
  <c r="DQ67" i="1"/>
  <c r="DZ67" i="1" s="1"/>
  <c r="DR67" i="1"/>
  <c r="EA67" i="1" s="1"/>
  <c r="DS67" i="1"/>
  <c r="EB67" i="1" s="1"/>
  <c r="DT67" i="1"/>
  <c r="EC67" i="1" s="1"/>
  <c r="DU67" i="1"/>
  <c r="ED67" i="1" s="1"/>
  <c r="DV67" i="1"/>
  <c r="EE67" i="1" s="1"/>
  <c r="DW67" i="1"/>
  <c r="EF67" i="1" s="1"/>
  <c r="DO68" i="1"/>
  <c r="DX68" i="1" s="1"/>
  <c r="DP68" i="1"/>
  <c r="DY68" i="1" s="1"/>
  <c r="DQ68" i="1"/>
  <c r="DZ68" i="1" s="1"/>
  <c r="DR68" i="1"/>
  <c r="EA68" i="1" s="1"/>
  <c r="DS68" i="1"/>
  <c r="EB68" i="1" s="1"/>
  <c r="DT68" i="1"/>
  <c r="EC68" i="1" s="1"/>
  <c r="DU68" i="1"/>
  <c r="ED68" i="1" s="1"/>
  <c r="DV68" i="1"/>
  <c r="EE68" i="1" s="1"/>
  <c r="DW68" i="1"/>
  <c r="EF68" i="1" s="1"/>
  <c r="CK69" i="1"/>
  <c r="DN69" i="1" s="1"/>
  <c r="DO69" i="1"/>
  <c r="DX69" i="1" s="1"/>
  <c r="DP69" i="1"/>
  <c r="DY69" i="1" s="1"/>
  <c r="DQ69" i="1"/>
  <c r="DZ69" i="1" s="1"/>
  <c r="DR69" i="1"/>
  <c r="EA69" i="1" s="1"/>
  <c r="DS69" i="1"/>
  <c r="EB69" i="1" s="1"/>
  <c r="DT69" i="1"/>
  <c r="EC69" i="1" s="1"/>
  <c r="DU69" i="1"/>
  <c r="ED69" i="1" s="1"/>
  <c r="DV69" i="1"/>
  <c r="EE69" i="1" s="1"/>
  <c r="DW69" i="1"/>
  <c r="EF69" i="1" s="1"/>
  <c r="CK70" i="1"/>
  <c r="DN70" i="1" s="1"/>
  <c r="DO70" i="1"/>
  <c r="DX70" i="1" s="1"/>
  <c r="DP70" i="1"/>
  <c r="DY70" i="1" s="1"/>
  <c r="DQ70" i="1"/>
  <c r="DZ70" i="1" s="1"/>
  <c r="DR70" i="1"/>
  <c r="EA70" i="1" s="1"/>
  <c r="DS70" i="1"/>
  <c r="EB70" i="1" s="1"/>
  <c r="DT70" i="1"/>
  <c r="EC70" i="1" s="1"/>
  <c r="DU70" i="1"/>
  <c r="ED70" i="1" s="1"/>
  <c r="DV70" i="1"/>
  <c r="EE70" i="1" s="1"/>
  <c r="DW70" i="1"/>
  <c r="EF70" i="1" s="1"/>
  <c r="CK71" i="1"/>
  <c r="DN71" i="1" s="1"/>
  <c r="DO71" i="1"/>
  <c r="DX71" i="1" s="1"/>
  <c r="DP71" i="1"/>
  <c r="DY71" i="1" s="1"/>
  <c r="DQ71" i="1"/>
  <c r="DZ71" i="1" s="1"/>
  <c r="DR71" i="1"/>
  <c r="EA71" i="1" s="1"/>
  <c r="DS71" i="1"/>
  <c r="EB71" i="1" s="1"/>
  <c r="DT71" i="1"/>
  <c r="EC71" i="1" s="1"/>
  <c r="DU71" i="1"/>
  <c r="ED71" i="1" s="1"/>
  <c r="DV71" i="1"/>
  <c r="EE71" i="1" s="1"/>
  <c r="DW71" i="1"/>
  <c r="EF71" i="1" s="1"/>
  <c r="CK72" i="1"/>
  <c r="DN72" i="1" s="1"/>
  <c r="DO72" i="1"/>
  <c r="DX72" i="1" s="1"/>
  <c r="DP72" i="1"/>
  <c r="DY72" i="1" s="1"/>
  <c r="DQ72" i="1"/>
  <c r="DZ72" i="1" s="1"/>
  <c r="DR72" i="1"/>
  <c r="EA72" i="1" s="1"/>
  <c r="DS72" i="1"/>
  <c r="EB72" i="1" s="1"/>
  <c r="DT72" i="1"/>
  <c r="EC72" i="1" s="1"/>
  <c r="DU72" i="1"/>
  <c r="ED72" i="1" s="1"/>
  <c r="DV72" i="1"/>
  <c r="EE72" i="1" s="1"/>
  <c r="DW72" i="1"/>
  <c r="EF72" i="1" s="1"/>
  <c r="CK73" i="1"/>
  <c r="DN73" i="1" s="1"/>
  <c r="DO73" i="1"/>
  <c r="DX73" i="1" s="1"/>
  <c r="DP73" i="1"/>
  <c r="DY73" i="1" s="1"/>
  <c r="DQ73" i="1"/>
  <c r="DZ73" i="1" s="1"/>
  <c r="DR73" i="1"/>
  <c r="EA73" i="1" s="1"/>
  <c r="DS73" i="1"/>
  <c r="EB73" i="1" s="1"/>
  <c r="DT73" i="1"/>
  <c r="EC73" i="1" s="1"/>
  <c r="DU73" i="1"/>
  <c r="ED73" i="1" s="1"/>
  <c r="DV73" i="1"/>
  <c r="EE73" i="1" s="1"/>
  <c r="DW73" i="1"/>
  <c r="EF73" i="1" s="1"/>
  <c r="CK74" i="1"/>
  <c r="DN74" i="1" s="1"/>
  <c r="DO74" i="1"/>
  <c r="DX74" i="1" s="1"/>
  <c r="DP74" i="1"/>
  <c r="DY74" i="1" s="1"/>
  <c r="DQ74" i="1"/>
  <c r="DZ74" i="1" s="1"/>
  <c r="DR74" i="1"/>
  <c r="EA74" i="1" s="1"/>
  <c r="DS74" i="1"/>
  <c r="EB74" i="1" s="1"/>
  <c r="DT74" i="1"/>
  <c r="EC74" i="1" s="1"/>
  <c r="DU74" i="1"/>
  <c r="ED74" i="1" s="1"/>
  <c r="DV74" i="1"/>
  <c r="EE74" i="1" s="1"/>
  <c r="DW74" i="1"/>
  <c r="EF74" i="1" s="1"/>
  <c r="CK75" i="1"/>
  <c r="DN75" i="1" s="1"/>
  <c r="DO75" i="1"/>
  <c r="DX75" i="1" s="1"/>
  <c r="DP75" i="1"/>
  <c r="DY75" i="1" s="1"/>
  <c r="DQ75" i="1"/>
  <c r="DZ75" i="1" s="1"/>
  <c r="DR75" i="1"/>
  <c r="EA75" i="1" s="1"/>
  <c r="DS75" i="1"/>
  <c r="EB75" i="1" s="1"/>
  <c r="DT75" i="1"/>
  <c r="EC75" i="1" s="1"/>
  <c r="DU75" i="1"/>
  <c r="ED75" i="1" s="1"/>
  <c r="DV75" i="1"/>
  <c r="EE75" i="1" s="1"/>
  <c r="DW75" i="1"/>
  <c r="EF75" i="1" s="1"/>
  <c r="CK76" i="1"/>
  <c r="DN76" i="1" s="1"/>
  <c r="DO76" i="1"/>
  <c r="DX76" i="1" s="1"/>
  <c r="DP76" i="1"/>
  <c r="DY76" i="1" s="1"/>
  <c r="DQ76" i="1"/>
  <c r="DZ76" i="1" s="1"/>
  <c r="DR76" i="1"/>
  <c r="EA76" i="1" s="1"/>
  <c r="DS76" i="1"/>
  <c r="EB76" i="1" s="1"/>
  <c r="DT76" i="1"/>
  <c r="EC76" i="1" s="1"/>
  <c r="DU76" i="1"/>
  <c r="ED76" i="1" s="1"/>
  <c r="DV76" i="1"/>
  <c r="EE76" i="1" s="1"/>
  <c r="DW76" i="1"/>
  <c r="EF76" i="1" s="1"/>
  <c r="CK77" i="1"/>
  <c r="DN77" i="1" s="1"/>
  <c r="DO77" i="1"/>
  <c r="DX77" i="1" s="1"/>
  <c r="DP77" i="1"/>
  <c r="DY77" i="1" s="1"/>
  <c r="DQ77" i="1"/>
  <c r="DZ77" i="1" s="1"/>
  <c r="DR77" i="1"/>
  <c r="EA77" i="1" s="1"/>
  <c r="DS77" i="1"/>
  <c r="EB77" i="1" s="1"/>
  <c r="DT77" i="1"/>
  <c r="EC77" i="1" s="1"/>
  <c r="DU77" i="1"/>
  <c r="ED77" i="1" s="1"/>
  <c r="DV77" i="1"/>
  <c r="EE77" i="1" s="1"/>
  <c r="DW77" i="1"/>
  <c r="EF77" i="1" s="1"/>
  <c r="CK78" i="1"/>
  <c r="DN78" i="1" s="1"/>
  <c r="DO78" i="1"/>
  <c r="DX78" i="1" s="1"/>
  <c r="DP78" i="1"/>
  <c r="DY78" i="1" s="1"/>
  <c r="DQ78" i="1"/>
  <c r="DZ78" i="1" s="1"/>
  <c r="DR78" i="1"/>
  <c r="EA78" i="1" s="1"/>
  <c r="DS78" i="1"/>
  <c r="EB78" i="1" s="1"/>
  <c r="DT78" i="1"/>
  <c r="EC78" i="1" s="1"/>
  <c r="DU78" i="1"/>
  <c r="ED78" i="1" s="1"/>
  <c r="DV78" i="1"/>
  <c r="EE78" i="1" s="1"/>
  <c r="DW78" i="1"/>
  <c r="EF78" i="1" s="1"/>
  <c r="CK79" i="1"/>
  <c r="DN79" i="1" s="1"/>
  <c r="DO79" i="1"/>
  <c r="DX79" i="1" s="1"/>
  <c r="DP79" i="1"/>
  <c r="DY79" i="1" s="1"/>
  <c r="DQ79" i="1"/>
  <c r="DZ79" i="1" s="1"/>
  <c r="DR79" i="1"/>
  <c r="EA79" i="1" s="1"/>
  <c r="DS79" i="1"/>
  <c r="EB79" i="1" s="1"/>
  <c r="DT79" i="1"/>
  <c r="EC79" i="1" s="1"/>
  <c r="DU79" i="1"/>
  <c r="ED79" i="1" s="1"/>
  <c r="DV79" i="1"/>
  <c r="EE79" i="1" s="1"/>
  <c r="DW79" i="1"/>
  <c r="EF79" i="1" s="1"/>
  <c r="DO80" i="1"/>
  <c r="DX80" i="1" s="1"/>
  <c r="DP80" i="1"/>
  <c r="DY80" i="1" s="1"/>
  <c r="DQ80" i="1"/>
  <c r="DZ80" i="1" s="1"/>
  <c r="DR80" i="1"/>
  <c r="EA80" i="1" s="1"/>
  <c r="DS80" i="1"/>
  <c r="EB80" i="1" s="1"/>
  <c r="DT80" i="1"/>
  <c r="EC80" i="1" s="1"/>
  <c r="DU80" i="1"/>
  <c r="ED80" i="1" s="1"/>
  <c r="DV80" i="1"/>
  <c r="EE80" i="1" s="1"/>
  <c r="DW80" i="1"/>
  <c r="EF80" i="1" s="1"/>
  <c r="DO81" i="1"/>
  <c r="DX81" i="1" s="1"/>
  <c r="DP81" i="1"/>
  <c r="DY81" i="1" s="1"/>
  <c r="DQ81" i="1"/>
  <c r="DZ81" i="1" s="1"/>
  <c r="DR81" i="1"/>
  <c r="EA81" i="1" s="1"/>
  <c r="DS81" i="1"/>
  <c r="EB81" i="1" s="1"/>
  <c r="DT81" i="1"/>
  <c r="EC81" i="1" s="1"/>
  <c r="DU81" i="1"/>
  <c r="ED81" i="1" s="1"/>
  <c r="DV81" i="1"/>
  <c r="EE81" i="1" s="1"/>
  <c r="DW81" i="1"/>
  <c r="EF81" i="1" s="1"/>
  <c r="DO82" i="1"/>
  <c r="DX82" i="1" s="1"/>
  <c r="DP82" i="1"/>
  <c r="DY82" i="1" s="1"/>
  <c r="DQ82" i="1"/>
  <c r="DZ82" i="1" s="1"/>
  <c r="DR82" i="1"/>
  <c r="EA82" i="1" s="1"/>
  <c r="DS82" i="1"/>
  <c r="EB82" i="1" s="1"/>
  <c r="DT82" i="1"/>
  <c r="EC82" i="1" s="1"/>
  <c r="DU82" i="1"/>
  <c r="ED82" i="1" s="1"/>
  <c r="DV82" i="1"/>
  <c r="EE82" i="1" s="1"/>
  <c r="DW82" i="1"/>
  <c r="EF82" i="1" s="1"/>
  <c r="DO83" i="1"/>
  <c r="DX83" i="1" s="1"/>
  <c r="DP83" i="1"/>
  <c r="DY83" i="1" s="1"/>
  <c r="DQ83" i="1"/>
  <c r="DZ83" i="1" s="1"/>
  <c r="DR83" i="1"/>
  <c r="EA83" i="1" s="1"/>
  <c r="DS83" i="1"/>
  <c r="EB83" i="1" s="1"/>
  <c r="DT83" i="1"/>
  <c r="EC83" i="1" s="1"/>
  <c r="DU83" i="1"/>
  <c r="ED83" i="1" s="1"/>
  <c r="DV83" i="1"/>
  <c r="EE83" i="1" s="1"/>
  <c r="DW83" i="1"/>
  <c r="EF83" i="1" s="1"/>
  <c r="DO84" i="1"/>
  <c r="DX84" i="1" s="1"/>
  <c r="DP84" i="1"/>
  <c r="DY84" i="1" s="1"/>
  <c r="DQ84" i="1"/>
  <c r="DZ84" i="1" s="1"/>
  <c r="DR84" i="1"/>
  <c r="EA84" i="1" s="1"/>
  <c r="DS84" i="1"/>
  <c r="EB84" i="1" s="1"/>
  <c r="DT84" i="1"/>
  <c r="EC84" i="1" s="1"/>
  <c r="DU84" i="1"/>
  <c r="ED84" i="1" s="1"/>
  <c r="DV84" i="1"/>
  <c r="EE84" i="1" s="1"/>
  <c r="DW84" i="1"/>
  <c r="EF84" i="1" s="1"/>
  <c r="DO85" i="1"/>
  <c r="DX85" i="1" s="1"/>
  <c r="DP85" i="1"/>
  <c r="DY85" i="1" s="1"/>
  <c r="DQ85" i="1"/>
  <c r="DZ85" i="1" s="1"/>
  <c r="DR85" i="1"/>
  <c r="EA85" i="1" s="1"/>
  <c r="DS85" i="1"/>
  <c r="EB85" i="1" s="1"/>
  <c r="DT85" i="1"/>
  <c r="EC85" i="1" s="1"/>
  <c r="DU85" i="1"/>
  <c r="ED85" i="1" s="1"/>
  <c r="DV85" i="1"/>
  <c r="EE85" i="1" s="1"/>
  <c r="DW85" i="1"/>
  <c r="EF85" i="1" s="1"/>
  <c r="DO86" i="1"/>
  <c r="DX86" i="1" s="1"/>
  <c r="DP86" i="1"/>
  <c r="DY86" i="1" s="1"/>
  <c r="DQ86" i="1"/>
  <c r="DZ86" i="1" s="1"/>
  <c r="DR86" i="1"/>
  <c r="EA86" i="1" s="1"/>
  <c r="DS86" i="1"/>
  <c r="EB86" i="1" s="1"/>
  <c r="DT86" i="1"/>
  <c r="EC86" i="1" s="1"/>
  <c r="DU86" i="1"/>
  <c r="ED86" i="1" s="1"/>
  <c r="DV86" i="1"/>
  <c r="EE86" i="1" s="1"/>
  <c r="DW86" i="1"/>
  <c r="EF86" i="1" s="1"/>
  <c r="DO87" i="1"/>
  <c r="DX87" i="1" s="1"/>
  <c r="DP87" i="1"/>
  <c r="DY87" i="1" s="1"/>
  <c r="DQ87" i="1"/>
  <c r="DZ87" i="1" s="1"/>
  <c r="DR87" i="1"/>
  <c r="EA87" i="1" s="1"/>
  <c r="DS87" i="1"/>
  <c r="EB87" i="1" s="1"/>
  <c r="DT87" i="1"/>
  <c r="EC87" i="1" s="1"/>
  <c r="DU87" i="1"/>
  <c r="ED87" i="1" s="1"/>
  <c r="DV87" i="1"/>
  <c r="EE87" i="1" s="1"/>
  <c r="DW87" i="1"/>
  <c r="EF87" i="1" s="1"/>
  <c r="DO88" i="1"/>
  <c r="DX88" i="1" s="1"/>
  <c r="DP88" i="1"/>
  <c r="DY88" i="1" s="1"/>
  <c r="DQ88" i="1"/>
  <c r="DZ88" i="1" s="1"/>
  <c r="DR88" i="1"/>
  <c r="EA88" i="1" s="1"/>
  <c r="DS88" i="1"/>
  <c r="EB88" i="1" s="1"/>
  <c r="DT88" i="1"/>
  <c r="EC88" i="1" s="1"/>
  <c r="DU88" i="1"/>
  <c r="ED88" i="1" s="1"/>
  <c r="DV88" i="1"/>
  <c r="EE88" i="1" s="1"/>
  <c r="DW88" i="1"/>
  <c r="EF88" i="1" s="1"/>
  <c r="DO89" i="1"/>
  <c r="DX89" i="1" s="1"/>
  <c r="DP89" i="1"/>
  <c r="DY89" i="1" s="1"/>
  <c r="DQ89" i="1"/>
  <c r="DZ89" i="1" s="1"/>
  <c r="DR89" i="1"/>
  <c r="EA89" i="1" s="1"/>
  <c r="DS89" i="1"/>
  <c r="EB89" i="1" s="1"/>
  <c r="DT89" i="1"/>
  <c r="EC89" i="1" s="1"/>
  <c r="DU89" i="1"/>
  <c r="ED89" i="1" s="1"/>
  <c r="DV89" i="1"/>
  <c r="EE89" i="1" s="1"/>
  <c r="DW89" i="1"/>
  <c r="EF89" i="1" s="1"/>
  <c r="DO90" i="1"/>
  <c r="DX90" i="1" s="1"/>
  <c r="DP90" i="1"/>
  <c r="DY90" i="1" s="1"/>
  <c r="DQ90" i="1"/>
  <c r="DZ90" i="1" s="1"/>
  <c r="DR90" i="1"/>
  <c r="EA90" i="1" s="1"/>
  <c r="DS90" i="1"/>
  <c r="EB90" i="1" s="1"/>
  <c r="DT90" i="1"/>
  <c r="EC90" i="1" s="1"/>
  <c r="DU90" i="1"/>
  <c r="ED90" i="1" s="1"/>
  <c r="DV90" i="1"/>
  <c r="EE90" i="1" s="1"/>
  <c r="DW90" i="1"/>
  <c r="EF90" i="1" s="1"/>
  <c r="CK91" i="1"/>
  <c r="DN91" i="1" s="1"/>
  <c r="DO91" i="1"/>
  <c r="DX91" i="1" s="1"/>
  <c r="DP91" i="1"/>
  <c r="DY91" i="1" s="1"/>
  <c r="DQ91" i="1"/>
  <c r="DZ91" i="1" s="1"/>
  <c r="DR91" i="1"/>
  <c r="EA91" i="1" s="1"/>
  <c r="DS91" i="1"/>
  <c r="EB91" i="1" s="1"/>
  <c r="DT91" i="1"/>
  <c r="EC91" i="1" s="1"/>
  <c r="DU91" i="1"/>
  <c r="ED91" i="1" s="1"/>
  <c r="DV91" i="1"/>
  <c r="EE91" i="1" s="1"/>
  <c r="DW91" i="1"/>
  <c r="EF91" i="1" s="1"/>
  <c r="DO92" i="1"/>
  <c r="DX92" i="1" s="1"/>
  <c r="DP92" i="1"/>
  <c r="DY92" i="1" s="1"/>
  <c r="DQ92" i="1"/>
  <c r="DZ92" i="1" s="1"/>
  <c r="DR92" i="1"/>
  <c r="EA92" i="1" s="1"/>
  <c r="DS92" i="1"/>
  <c r="EB92" i="1" s="1"/>
  <c r="DT92" i="1"/>
  <c r="EC92" i="1" s="1"/>
  <c r="DU92" i="1"/>
  <c r="ED92" i="1" s="1"/>
  <c r="DV92" i="1"/>
  <c r="EE92" i="1" s="1"/>
  <c r="DW92" i="1"/>
  <c r="EF92" i="1" s="1"/>
  <c r="DO93" i="1"/>
  <c r="DX93" i="1" s="1"/>
  <c r="DP93" i="1"/>
  <c r="DY93" i="1" s="1"/>
  <c r="DQ93" i="1"/>
  <c r="DZ93" i="1" s="1"/>
  <c r="DR93" i="1"/>
  <c r="EA93" i="1" s="1"/>
  <c r="DS93" i="1"/>
  <c r="EB93" i="1" s="1"/>
  <c r="DT93" i="1"/>
  <c r="EC93" i="1" s="1"/>
  <c r="DU93" i="1"/>
  <c r="ED93" i="1" s="1"/>
  <c r="DV93" i="1"/>
  <c r="EE93" i="1" s="1"/>
  <c r="DW93" i="1"/>
  <c r="EF93" i="1" s="1"/>
  <c r="CK94" i="1"/>
  <c r="DN94" i="1" s="1"/>
  <c r="DO94" i="1"/>
  <c r="DX94" i="1" s="1"/>
  <c r="DP94" i="1"/>
  <c r="DY94" i="1" s="1"/>
  <c r="DQ94" i="1"/>
  <c r="DZ94" i="1" s="1"/>
  <c r="DR94" i="1"/>
  <c r="EA94" i="1" s="1"/>
  <c r="DS94" i="1"/>
  <c r="EB94" i="1" s="1"/>
  <c r="DT94" i="1"/>
  <c r="EC94" i="1" s="1"/>
  <c r="DU94" i="1"/>
  <c r="ED94" i="1" s="1"/>
  <c r="DV94" i="1"/>
  <c r="EE94" i="1" s="1"/>
  <c r="DW94" i="1"/>
  <c r="EF94" i="1" s="1"/>
  <c r="CK95" i="1"/>
  <c r="DN95" i="1" s="1"/>
  <c r="DO95" i="1"/>
  <c r="DX95" i="1" s="1"/>
  <c r="DP95" i="1"/>
  <c r="DY95" i="1" s="1"/>
  <c r="DQ95" i="1"/>
  <c r="DZ95" i="1" s="1"/>
  <c r="DR95" i="1"/>
  <c r="EA95" i="1" s="1"/>
  <c r="DS95" i="1"/>
  <c r="EB95" i="1" s="1"/>
  <c r="DT95" i="1"/>
  <c r="EC95" i="1" s="1"/>
  <c r="DU95" i="1"/>
  <c r="ED95" i="1" s="1"/>
  <c r="DV95" i="1"/>
  <c r="EE95" i="1" s="1"/>
  <c r="DW95" i="1"/>
  <c r="EF95" i="1" s="1"/>
  <c r="CK96" i="1"/>
  <c r="DN96" i="1" s="1"/>
  <c r="DO96" i="1"/>
  <c r="DX96" i="1" s="1"/>
  <c r="DP96" i="1"/>
  <c r="DY96" i="1" s="1"/>
  <c r="DQ96" i="1"/>
  <c r="DZ96" i="1" s="1"/>
  <c r="DR96" i="1"/>
  <c r="EA96" i="1" s="1"/>
  <c r="DS96" i="1"/>
  <c r="EB96" i="1" s="1"/>
  <c r="DT96" i="1"/>
  <c r="EC96" i="1" s="1"/>
  <c r="DU96" i="1"/>
  <c r="ED96" i="1" s="1"/>
  <c r="DV96" i="1"/>
  <c r="EE96" i="1" s="1"/>
  <c r="DW96" i="1"/>
  <c r="EF96" i="1" s="1"/>
  <c r="CK97" i="1"/>
  <c r="DN97" i="1" s="1"/>
  <c r="DO97" i="1"/>
  <c r="DX97" i="1" s="1"/>
  <c r="DP97" i="1"/>
  <c r="DY97" i="1" s="1"/>
  <c r="DQ97" i="1"/>
  <c r="DZ97" i="1" s="1"/>
  <c r="DR97" i="1"/>
  <c r="EA97" i="1" s="1"/>
  <c r="DS97" i="1"/>
  <c r="EB97" i="1" s="1"/>
  <c r="DT97" i="1"/>
  <c r="EC97" i="1" s="1"/>
  <c r="DU97" i="1"/>
  <c r="ED97" i="1" s="1"/>
  <c r="DV97" i="1"/>
  <c r="EE97" i="1" s="1"/>
  <c r="DW97" i="1"/>
  <c r="EF97" i="1" s="1"/>
  <c r="DO98" i="1"/>
  <c r="DX98" i="1" s="1"/>
  <c r="DP98" i="1"/>
  <c r="DY98" i="1" s="1"/>
  <c r="DQ98" i="1"/>
  <c r="DZ98" i="1" s="1"/>
  <c r="DR98" i="1"/>
  <c r="EA98" i="1" s="1"/>
  <c r="DS98" i="1"/>
  <c r="EB98" i="1" s="1"/>
  <c r="DT98" i="1"/>
  <c r="EC98" i="1" s="1"/>
  <c r="DU98" i="1"/>
  <c r="ED98" i="1" s="1"/>
  <c r="DV98" i="1"/>
  <c r="EE98" i="1" s="1"/>
  <c r="DW98" i="1"/>
  <c r="EF98" i="1" s="1"/>
  <c r="CK99" i="1"/>
  <c r="DN99" i="1" s="1"/>
  <c r="DO99" i="1"/>
  <c r="DX99" i="1" s="1"/>
  <c r="DP99" i="1"/>
  <c r="DY99" i="1" s="1"/>
  <c r="DQ99" i="1"/>
  <c r="DZ99" i="1" s="1"/>
  <c r="DR99" i="1"/>
  <c r="EA99" i="1" s="1"/>
  <c r="DS99" i="1"/>
  <c r="EB99" i="1" s="1"/>
  <c r="DT99" i="1"/>
  <c r="EC99" i="1" s="1"/>
  <c r="DU99" i="1"/>
  <c r="ED99" i="1" s="1"/>
  <c r="DV99" i="1"/>
  <c r="EE99" i="1" s="1"/>
  <c r="DW99" i="1"/>
  <c r="EF99" i="1" s="1"/>
  <c r="CK100" i="1"/>
  <c r="DN100" i="1" s="1"/>
  <c r="DO100" i="1"/>
  <c r="DX100" i="1" s="1"/>
  <c r="DP100" i="1"/>
  <c r="DY100" i="1" s="1"/>
  <c r="DQ100" i="1"/>
  <c r="DZ100" i="1" s="1"/>
  <c r="DR100" i="1"/>
  <c r="EA100" i="1" s="1"/>
  <c r="DS100" i="1"/>
  <c r="EB100" i="1" s="1"/>
  <c r="DT100" i="1"/>
  <c r="EC100" i="1" s="1"/>
  <c r="DU100" i="1"/>
  <c r="ED100" i="1" s="1"/>
  <c r="DV100" i="1"/>
  <c r="EE100" i="1" s="1"/>
  <c r="DW100" i="1"/>
  <c r="EF100" i="1" s="1"/>
  <c r="DO101" i="1"/>
  <c r="DX101" i="1" s="1"/>
  <c r="DP101" i="1"/>
  <c r="DY101" i="1" s="1"/>
  <c r="DQ101" i="1"/>
  <c r="DZ101" i="1" s="1"/>
  <c r="DR101" i="1"/>
  <c r="EA101" i="1" s="1"/>
  <c r="DS101" i="1"/>
  <c r="EB101" i="1" s="1"/>
  <c r="DT101" i="1"/>
  <c r="EC101" i="1" s="1"/>
  <c r="DU101" i="1"/>
  <c r="ED101" i="1" s="1"/>
  <c r="DV101" i="1"/>
  <c r="EE101" i="1" s="1"/>
  <c r="DW101" i="1"/>
  <c r="EF101" i="1" s="1"/>
  <c r="DO102" i="1"/>
  <c r="DX102" i="1" s="1"/>
  <c r="DP102" i="1"/>
  <c r="DY102" i="1" s="1"/>
  <c r="DQ102" i="1"/>
  <c r="DZ102" i="1" s="1"/>
  <c r="DR102" i="1"/>
  <c r="EA102" i="1" s="1"/>
  <c r="DS102" i="1"/>
  <c r="EB102" i="1" s="1"/>
  <c r="DT102" i="1"/>
  <c r="EC102" i="1" s="1"/>
  <c r="DU102" i="1"/>
  <c r="ED102" i="1" s="1"/>
  <c r="DV102" i="1"/>
  <c r="EE102" i="1" s="1"/>
  <c r="DW102" i="1"/>
  <c r="EF102" i="1" s="1"/>
  <c r="DO103" i="1"/>
  <c r="DX103" i="1" s="1"/>
  <c r="DP103" i="1"/>
  <c r="DY103" i="1" s="1"/>
  <c r="DQ103" i="1"/>
  <c r="DZ103" i="1" s="1"/>
  <c r="DR103" i="1"/>
  <c r="EA103" i="1" s="1"/>
  <c r="DS103" i="1"/>
  <c r="EB103" i="1" s="1"/>
  <c r="DT103" i="1"/>
  <c r="EC103" i="1" s="1"/>
  <c r="DU103" i="1"/>
  <c r="ED103" i="1" s="1"/>
  <c r="DV103" i="1"/>
  <c r="EE103" i="1" s="1"/>
  <c r="DW103" i="1"/>
  <c r="EF103" i="1" s="1"/>
  <c r="CK104" i="1"/>
  <c r="CK107" i="1"/>
  <c r="CK108" i="1"/>
  <c r="CK109" i="1"/>
  <c r="CK110" i="1"/>
  <c r="CK111" i="1"/>
  <c r="CK112" i="1"/>
  <c r="CK113" i="1"/>
  <c r="CK121" i="1"/>
  <c r="CK124" i="1"/>
  <c r="CK125" i="1"/>
  <c r="CK127" i="1"/>
  <c r="BN18" i="2"/>
  <c r="CK133" i="1"/>
  <c r="CK136" i="1"/>
  <c r="CK138" i="1"/>
  <c r="CK139" i="1"/>
  <c r="CK145" i="1"/>
  <c r="CK149" i="1"/>
  <c r="F153" i="1"/>
  <c r="BL21" i="2"/>
  <c r="F9" i="59" s="1"/>
  <c r="BL22" i="2"/>
  <c r="F10" i="59" s="1"/>
  <c r="F201" i="1"/>
  <c r="BL26" i="2"/>
  <c r="F14" i="59" s="1"/>
  <c r="CK247" i="1"/>
  <c r="F249" i="1"/>
  <c r="BL30" i="2"/>
  <c r="F18" i="59" s="1"/>
  <c r="F297" i="1"/>
  <c r="AH35" i="2"/>
  <c r="F345" i="1"/>
  <c r="N2" i="23"/>
  <c r="P2" i="23"/>
  <c r="Q2" i="23"/>
  <c r="R2" i="23"/>
  <c r="S2" i="23"/>
  <c r="T2" i="23"/>
  <c r="U2" i="23"/>
  <c r="V2" i="23"/>
  <c r="Z2" i="23"/>
  <c r="A3" i="23"/>
  <c r="F3" i="23"/>
  <c r="J3" i="23"/>
  <c r="K3" i="23"/>
  <c r="W3" i="23"/>
  <c r="X3" i="23"/>
  <c r="Y3" i="23"/>
  <c r="F4" i="23"/>
  <c r="G4" i="23"/>
  <c r="H4" i="23"/>
  <c r="I4" i="23"/>
  <c r="J4" i="23"/>
  <c r="K4" i="23"/>
  <c r="W4" i="23"/>
  <c r="X4" i="23"/>
  <c r="Y4" i="23"/>
  <c r="Z4" i="23"/>
  <c r="F5" i="23"/>
  <c r="G5" i="23"/>
  <c r="H5" i="23"/>
  <c r="I5" i="23"/>
  <c r="J5" i="23"/>
  <c r="K5" i="23"/>
  <c r="W5" i="23"/>
  <c r="X5" i="23"/>
  <c r="Y5" i="23"/>
  <c r="Z5" i="23"/>
  <c r="F6" i="23"/>
  <c r="G6" i="23"/>
  <c r="H6" i="23"/>
  <c r="I6" i="23"/>
  <c r="J6" i="23"/>
  <c r="K6" i="23"/>
  <c r="W6" i="23"/>
  <c r="X6" i="23"/>
  <c r="Y6" i="23"/>
  <c r="Z6" i="23"/>
  <c r="F7" i="23"/>
  <c r="G7" i="23"/>
  <c r="H7" i="23"/>
  <c r="I7" i="23"/>
  <c r="J7" i="23"/>
  <c r="K7" i="23"/>
  <c r="W7" i="23"/>
  <c r="X7" i="23"/>
  <c r="Y7" i="23"/>
  <c r="Z7" i="23"/>
  <c r="H8" i="23"/>
  <c r="I8" i="23"/>
  <c r="J8" i="23"/>
  <c r="K8" i="23"/>
  <c r="Z8" i="23"/>
  <c r="H9" i="23"/>
  <c r="I9" i="23"/>
  <c r="J9" i="23"/>
  <c r="K9" i="23"/>
  <c r="Z9" i="23"/>
  <c r="H10" i="23"/>
  <c r="I10" i="23"/>
  <c r="J10" i="23"/>
  <c r="K10" i="23"/>
  <c r="Z10" i="23"/>
  <c r="H11" i="23"/>
  <c r="I11" i="23"/>
  <c r="J11" i="23"/>
  <c r="K11" i="23"/>
  <c r="Y11" i="23"/>
  <c r="Z11" i="23"/>
  <c r="H12" i="23"/>
  <c r="I12" i="23"/>
  <c r="J12" i="23"/>
  <c r="K12" i="23"/>
  <c r="Y12" i="23"/>
  <c r="Z12" i="23"/>
  <c r="H13" i="23"/>
  <c r="I13" i="23"/>
  <c r="J13" i="23"/>
  <c r="K13" i="23"/>
  <c r="Y13" i="23"/>
  <c r="Z13" i="23"/>
  <c r="G14" i="23"/>
  <c r="H14" i="23"/>
  <c r="I14" i="23"/>
  <c r="J14" i="23"/>
  <c r="K14" i="23"/>
  <c r="W14" i="23"/>
  <c r="X14" i="23"/>
  <c r="Y14" i="23"/>
  <c r="Z14" i="23"/>
  <c r="G15" i="23"/>
  <c r="H15" i="23"/>
  <c r="I15" i="23"/>
  <c r="J15" i="23"/>
  <c r="K15" i="23"/>
  <c r="W15" i="23"/>
  <c r="X15" i="23"/>
  <c r="Y15" i="23"/>
  <c r="Z15" i="23"/>
  <c r="G16" i="23"/>
  <c r="H16" i="23"/>
  <c r="I16" i="23"/>
  <c r="J16" i="23"/>
  <c r="K16" i="23"/>
  <c r="W16" i="23"/>
  <c r="X16" i="23"/>
  <c r="Y16" i="23"/>
  <c r="Z16" i="23"/>
  <c r="G17" i="23"/>
  <c r="H17" i="23"/>
  <c r="I17" i="23"/>
  <c r="J17" i="23"/>
  <c r="K17" i="23"/>
  <c r="W17" i="23"/>
  <c r="X17" i="23"/>
  <c r="Y17" i="23"/>
  <c r="Z17" i="23"/>
  <c r="G18" i="23"/>
  <c r="H18" i="23"/>
  <c r="I18" i="23"/>
  <c r="J18" i="23"/>
  <c r="K18" i="23"/>
  <c r="W18" i="23"/>
  <c r="X18" i="23"/>
  <c r="Y18" i="23"/>
  <c r="Z18" i="23"/>
  <c r="G19" i="23"/>
  <c r="H19" i="23"/>
  <c r="I19" i="23"/>
  <c r="J19" i="23"/>
  <c r="K19" i="23"/>
  <c r="W19" i="23"/>
  <c r="X19" i="23"/>
  <c r="Y19" i="23"/>
  <c r="Z19" i="23"/>
  <c r="G20" i="23"/>
  <c r="H20" i="23"/>
  <c r="I20" i="23"/>
  <c r="J20" i="23"/>
  <c r="K20" i="23"/>
  <c r="W20" i="23"/>
  <c r="X20" i="23"/>
  <c r="Y20" i="23"/>
  <c r="Z20" i="23"/>
  <c r="G21" i="23"/>
  <c r="H21" i="23"/>
  <c r="I21" i="23"/>
  <c r="J21" i="23"/>
  <c r="K21" i="23"/>
  <c r="W21" i="23"/>
  <c r="X21" i="23"/>
  <c r="Y21" i="23"/>
  <c r="Z21" i="23"/>
  <c r="G22" i="23"/>
  <c r="H22" i="23"/>
  <c r="I22" i="23"/>
  <c r="J22" i="23"/>
  <c r="K22" i="23"/>
  <c r="W22" i="23"/>
  <c r="X22" i="23"/>
  <c r="Y22" i="23"/>
  <c r="Z22" i="23"/>
  <c r="G23" i="23"/>
  <c r="H23" i="23"/>
  <c r="I23" i="23"/>
  <c r="J23" i="23"/>
  <c r="K23" i="23"/>
  <c r="W23" i="23"/>
  <c r="X23" i="23"/>
  <c r="Y23" i="23"/>
  <c r="Z23" i="23"/>
  <c r="G24" i="23"/>
  <c r="H24" i="23"/>
  <c r="I24" i="23"/>
  <c r="J24" i="23"/>
  <c r="K24" i="23"/>
  <c r="W24" i="23"/>
  <c r="X24" i="23"/>
  <c r="Y24" i="23"/>
  <c r="Z24" i="23"/>
  <c r="G25" i="23"/>
  <c r="H25" i="23"/>
  <c r="I25" i="23"/>
  <c r="J25" i="23"/>
  <c r="K25" i="23"/>
  <c r="W25" i="23"/>
  <c r="X25" i="23"/>
  <c r="Y25" i="23"/>
  <c r="Z25" i="23"/>
  <c r="G26" i="23"/>
  <c r="H26" i="23"/>
  <c r="I26" i="23"/>
  <c r="J26" i="23"/>
  <c r="K26" i="23"/>
  <c r="W26" i="23"/>
  <c r="X26" i="23"/>
  <c r="Y26" i="23"/>
  <c r="Z26" i="23"/>
  <c r="G27" i="23"/>
  <c r="H27" i="23"/>
  <c r="I27" i="23"/>
  <c r="J27" i="23"/>
  <c r="W27" i="23"/>
  <c r="X27" i="23"/>
  <c r="Y27" i="23"/>
  <c r="Z27" i="23"/>
  <c r="G28" i="23"/>
  <c r="H28" i="23"/>
  <c r="I28" i="23"/>
  <c r="J28" i="23"/>
  <c r="W28" i="23"/>
  <c r="X28" i="23"/>
  <c r="Y28" i="23"/>
  <c r="Z28" i="23"/>
  <c r="G29" i="23"/>
  <c r="H29" i="23"/>
  <c r="I29" i="23"/>
  <c r="J29" i="23"/>
  <c r="W29" i="23"/>
  <c r="X29" i="23"/>
  <c r="Y29" i="23"/>
  <c r="Z29" i="23"/>
  <c r="L2" i="21"/>
  <c r="O2" i="23" s="1"/>
  <c r="A3" i="21"/>
  <c r="K3" i="21" s="1"/>
  <c r="N3" i="23" s="1"/>
  <c r="H3" i="21"/>
  <c r="Q3" i="21"/>
  <c r="T3" i="23" s="1"/>
  <c r="E4" i="21"/>
  <c r="F4" i="21"/>
  <c r="G4" i="21"/>
  <c r="H4" i="21"/>
  <c r="K4" i="21"/>
  <c r="N4" i="23" s="1"/>
  <c r="L4" i="21"/>
  <c r="O4" i="23" s="1"/>
  <c r="Q4" i="21"/>
  <c r="T4" i="23" s="1"/>
  <c r="T4" i="21"/>
  <c r="W4" i="21"/>
  <c r="E5" i="21"/>
  <c r="F5" i="21"/>
  <c r="G5" i="21"/>
  <c r="H5" i="21"/>
  <c r="K5" i="21"/>
  <c r="N5" i="23" s="1"/>
  <c r="L5" i="21"/>
  <c r="O5" i="23" s="1"/>
  <c r="Q5" i="21"/>
  <c r="T5" i="23" s="1"/>
  <c r="T5" i="21"/>
  <c r="W5" i="21"/>
  <c r="E6" i="21"/>
  <c r="F6" i="21"/>
  <c r="G6" i="21"/>
  <c r="H6" i="21"/>
  <c r="K6" i="21"/>
  <c r="N6" i="23" s="1"/>
  <c r="L6" i="21"/>
  <c r="O6" i="23" s="1"/>
  <c r="T6" i="21"/>
  <c r="W6" i="21"/>
  <c r="E7" i="21"/>
  <c r="F7" i="21"/>
  <c r="G7" i="21"/>
  <c r="H7" i="21"/>
  <c r="K7" i="21"/>
  <c r="N7" i="23" s="1"/>
  <c r="L7" i="21"/>
  <c r="O7" i="23" s="1"/>
  <c r="T7" i="21"/>
  <c r="W7" i="21"/>
  <c r="E8" i="21"/>
  <c r="F8" i="21"/>
  <c r="G8" i="21"/>
  <c r="H8" i="21"/>
  <c r="K8" i="21"/>
  <c r="N8" i="23" s="1"/>
  <c r="L8" i="21"/>
  <c r="O8" i="23" s="1"/>
  <c r="T8" i="21"/>
  <c r="W8" i="21"/>
  <c r="E9" i="21"/>
  <c r="F9" i="21"/>
  <c r="G9" i="21"/>
  <c r="H9" i="21"/>
  <c r="K9" i="21"/>
  <c r="N9" i="23" s="1"/>
  <c r="L9" i="21"/>
  <c r="O9" i="23" s="1"/>
  <c r="T9" i="21"/>
  <c r="W9" i="21"/>
  <c r="E10" i="21"/>
  <c r="F10" i="21"/>
  <c r="G10" i="21"/>
  <c r="H10" i="21"/>
  <c r="K10" i="21"/>
  <c r="N10" i="23" s="1"/>
  <c r="L10" i="21"/>
  <c r="O10" i="23" s="1"/>
  <c r="T10" i="21"/>
  <c r="W10" i="21"/>
  <c r="E11" i="21"/>
  <c r="F11" i="21"/>
  <c r="G11" i="21"/>
  <c r="H11" i="21"/>
  <c r="K11" i="21"/>
  <c r="N11" i="23" s="1"/>
  <c r="L11" i="21"/>
  <c r="O11" i="23" s="1"/>
  <c r="T11" i="21"/>
  <c r="W11" i="21"/>
  <c r="E12" i="21"/>
  <c r="F12" i="21"/>
  <c r="G12" i="21"/>
  <c r="H12" i="21"/>
  <c r="K12" i="21"/>
  <c r="N12" i="23" s="1"/>
  <c r="L12" i="21"/>
  <c r="O12" i="23" s="1"/>
  <c r="N12" i="21"/>
  <c r="Q12" i="23" s="1"/>
  <c r="T12" i="21"/>
  <c r="W12" i="21"/>
  <c r="E13" i="21"/>
  <c r="F13" i="21"/>
  <c r="G13" i="21"/>
  <c r="H13" i="21"/>
  <c r="K13" i="21"/>
  <c r="N13" i="23" s="1"/>
  <c r="L13" i="21"/>
  <c r="O13" i="23" s="1"/>
  <c r="N13" i="21"/>
  <c r="Q13" i="23" s="1"/>
  <c r="T13" i="21"/>
  <c r="W13" i="21"/>
  <c r="E14" i="21"/>
  <c r="F14" i="21"/>
  <c r="G14" i="21"/>
  <c r="H14" i="21"/>
  <c r="K14" i="21"/>
  <c r="N14" i="23" s="1"/>
  <c r="L14" i="21"/>
  <c r="O14" i="23" s="1"/>
  <c r="N14" i="21"/>
  <c r="Q14" i="23" s="1"/>
  <c r="T14" i="21"/>
  <c r="W14" i="21"/>
  <c r="E15" i="21"/>
  <c r="F15" i="21"/>
  <c r="G15" i="21"/>
  <c r="H15" i="21"/>
  <c r="K15" i="21"/>
  <c r="N15" i="23" s="1"/>
  <c r="L15" i="21"/>
  <c r="O15" i="23" s="1"/>
  <c r="N15" i="21"/>
  <c r="Q15" i="23" s="1"/>
  <c r="T15" i="21"/>
  <c r="W15" i="21"/>
  <c r="E16" i="21"/>
  <c r="F16" i="21"/>
  <c r="G16" i="21"/>
  <c r="H16" i="21"/>
  <c r="K16" i="21"/>
  <c r="N16" i="23" s="1"/>
  <c r="L16" i="21"/>
  <c r="O16" i="23" s="1"/>
  <c r="N16" i="21"/>
  <c r="Q16" i="23" s="1"/>
  <c r="T16" i="21"/>
  <c r="W16" i="21"/>
  <c r="E17" i="21"/>
  <c r="F17" i="21"/>
  <c r="G17" i="21"/>
  <c r="H17" i="21"/>
  <c r="K17" i="21"/>
  <c r="N17" i="23" s="1"/>
  <c r="L17" i="21"/>
  <c r="O17" i="23" s="1"/>
  <c r="N17" i="21"/>
  <c r="Q17" i="23" s="1"/>
  <c r="T17" i="21"/>
  <c r="W17" i="21"/>
  <c r="E18" i="21"/>
  <c r="F18" i="21"/>
  <c r="G18" i="21"/>
  <c r="H18" i="21"/>
  <c r="K18" i="21"/>
  <c r="N18" i="23" s="1"/>
  <c r="L18" i="21"/>
  <c r="O18" i="23" s="1"/>
  <c r="N18" i="21"/>
  <c r="Q18" i="23" s="1"/>
  <c r="T18" i="21"/>
  <c r="W18" i="21"/>
  <c r="E19" i="21"/>
  <c r="F19" i="21"/>
  <c r="G19" i="21"/>
  <c r="H19" i="21"/>
  <c r="K19" i="21"/>
  <c r="N19" i="23" s="1"/>
  <c r="L19" i="21"/>
  <c r="O19" i="23" s="1"/>
  <c r="N19" i="21"/>
  <c r="Q19" i="23" s="1"/>
  <c r="T19" i="21"/>
  <c r="W19" i="21"/>
  <c r="E20" i="21"/>
  <c r="F20" i="21"/>
  <c r="G20" i="21"/>
  <c r="H20" i="21"/>
  <c r="K20" i="21"/>
  <c r="N20" i="23" s="1"/>
  <c r="L20" i="21"/>
  <c r="O20" i="23" s="1"/>
  <c r="N20" i="21"/>
  <c r="Q20" i="23" s="1"/>
  <c r="T20" i="21"/>
  <c r="W20" i="21"/>
  <c r="E21" i="21"/>
  <c r="F21" i="21"/>
  <c r="G21" i="21"/>
  <c r="H21" i="21"/>
  <c r="K21" i="21"/>
  <c r="N21" i="23" s="1"/>
  <c r="L21" i="21"/>
  <c r="O21" i="23" s="1"/>
  <c r="N21" i="21"/>
  <c r="Q21" i="23" s="1"/>
  <c r="T21" i="21"/>
  <c r="W21" i="21"/>
  <c r="E22" i="21"/>
  <c r="F22" i="21"/>
  <c r="G22" i="21"/>
  <c r="H22" i="21"/>
  <c r="K22" i="21"/>
  <c r="N22" i="23" s="1"/>
  <c r="L22" i="21"/>
  <c r="O22" i="23" s="1"/>
  <c r="N22" i="21"/>
  <c r="Q22" i="23" s="1"/>
  <c r="T22" i="21"/>
  <c r="W22" i="21"/>
  <c r="E23" i="21"/>
  <c r="F23" i="21"/>
  <c r="G23" i="21"/>
  <c r="H23" i="21"/>
  <c r="K23" i="21"/>
  <c r="N23" i="23" s="1"/>
  <c r="L23" i="21"/>
  <c r="O23" i="23" s="1"/>
  <c r="N23" i="21"/>
  <c r="Q23" i="23" s="1"/>
  <c r="R23" i="21"/>
  <c r="U23" i="23" s="1"/>
  <c r="T23" i="21"/>
  <c r="W23" i="21"/>
  <c r="E24" i="21"/>
  <c r="F24" i="21"/>
  <c r="G24" i="21"/>
  <c r="H24" i="21"/>
  <c r="K24" i="21"/>
  <c r="N24" i="23" s="1"/>
  <c r="L24" i="21"/>
  <c r="O24" i="23" s="1"/>
  <c r="N24" i="21"/>
  <c r="Q24" i="23" s="1"/>
  <c r="R24" i="21"/>
  <c r="U24" i="23" s="1"/>
  <c r="T24" i="21"/>
  <c r="W24" i="21"/>
  <c r="E25" i="21"/>
  <c r="F25" i="21"/>
  <c r="G25" i="21"/>
  <c r="H25" i="21"/>
  <c r="K25" i="21"/>
  <c r="N25" i="23" s="1"/>
  <c r="L25" i="21"/>
  <c r="O25" i="23" s="1"/>
  <c r="N25" i="21"/>
  <c r="Q25" i="23" s="1"/>
  <c r="R25" i="21"/>
  <c r="U25" i="23" s="1"/>
  <c r="T25" i="21"/>
  <c r="W25" i="21"/>
  <c r="E26" i="21"/>
  <c r="F26" i="21"/>
  <c r="G26" i="21"/>
  <c r="H26" i="21"/>
  <c r="K26" i="21"/>
  <c r="N26" i="23" s="1"/>
  <c r="L26" i="21"/>
  <c r="O26" i="23" s="1"/>
  <c r="N26" i="21"/>
  <c r="Q26" i="23" s="1"/>
  <c r="Q26" i="21"/>
  <c r="T26" i="23" s="1"/>
  <c r="R26" i="21"/>
  <c r="U26" i="23" s="1"/>
  <c r="T26" i="21"/>
  <c r="W26" i="21"/>
  <c r="E27" i="21"/>
  <c r="F27" i="21"/>
  <c r="G27" i="21"/>
  <c r="H27" i="21"/>
  <c r="K27" i="21"/>
  <c r="N27" i="23" s="1"/>
  <c r="L27" i="21"/>
  <c r="O27" i="23" s="1"/>
  <c r="N27" i="21"/>
  <c r="Q27" i="23" s="1"/>
  <c r="Q27" i="21"/>
  <c r="T27" i="23" s="1"/>
  <c r="R27" i="21"/>
  <c r="U27" i="23" s="1"/>
  <c r="T27" i="21"/>
  <c r="W27" i="21"/>
  <c r="E28" i="21"/>
  <c r="F28" i="21"/>
  <c r="K28" i="21"/>
  <c r="N28" i="23" s="1"/>
  <c r="L28" i="21"/>
  <c r="O28" i="23" s="1"/>
  <c r="N28" i="21"/>
  <c r="Q28" i="23" s="1"/>
  <c r="Q28" i="21"/>
  <c r="T28" i="23" s="1"/>
  <c r="R28" i="21"/>
  <c r="U28" i="23" s="1"/>
  <c r="T28" i="21"/>
  <c r="W28" i="21"/>
  <c r="E29" i="21"/>
  <c r="F29" i="21"/>
  <c r="K29" i="21"/>
  <c r="N29" i="23" s="1"/>
  <c r="L29" i="21"/>
  <c r="O29" i="23" s="1"/>
  <c r="N29" i="21"/>
  <c r="Q29" i="23" s="1"/>
  <c r="P29" i="21"/>
  <c r="S29" i="23" s="1"/>
  <c r="Q29" i="21"/>
  <c r="T29" i="23" s="1"/>
  <c r="R29" i="21"/>
  <c r="U29" i="23" s="1"/>
  <c r="T29" i="21"/>
  <c r="W29" i="21"/>
  <c r="AG3" i="20"/>
  <c r="I4" i="20"/>
  <c r="J4" i="20"/>
  <c r="K4" i="20"/>
  <c r="L4" i="20"/>
  <c r="M4" i="20"/>
  <c r="N4" i="20"/>
  <c r="O4" i="20"/>
  <c r="P4" i="20"/>
  <c r="Q4" i="20"/>
  <c r="R4" i="20"/>
  <c r="S4" i="20"/>
  <c r="T4" i="20"/>
  <c r="U4" i="20"/>
  <c r="V4" i="20"/>
  <c r="W4" i="20"/>
  <c r="X4" i="20"/>
  <c r="Y4" i="20"/>
  <c r="Z4" i="20"/>
  <c r="AA4" i="20"/>
  <c r="AB4" i="20"/>
  <c r="AC4" i="20"/>
  <c r="AD4" i="20"/>
  <c r="AE4" i="20"/>
  <c r="AF4" i="20"/>
  <c r="AG4" i="20"/>
  <c r="AH4" i="20"/>
  <c r="AI4" i="20"/>
  <c r="AJ4" i="20"/>
  <c r="AK4" i="20"/>
  <c r="AL4" i="20"/>
  <c r="AM4" i="20"/>
  <c r="AN4" i="20"/>
  <c r="AO4" i="20"/>
  <c r="AP4" i="20"/>
  <c r="AQ4" i="20"/>
  <c r="AR4" i="20"/>
  <c r="G5" i="20"/>
  <c r="B3" i="21" s="1"/>
  <c r="L3" i="21" s="1"/>
  <c r="I5" i="20"/>
  <c r="J5" i="20"/>
  <c r="K5" i="20"/>
  <c r="L5" i="20"/>
  <c r="M5" i="20"/>
  <c r="N5" i="20"/>
  <c r="S3" i="21" s="1"/>
  <c r="V3" i="23" s="1"/>
  <c r="O5" i="20"/>
  <c r="P5" i="20"/>
  <c r="Q5" i="20"/>
  <c r="R5" i="20"/>
  <c r="R3" i="21" s="1"/>
  <c r="U3" i="23" s="1"/>
  <c r="S5" i="20"/>
  <c r="T5" i="20"/>
  <c r="P3" i="21" s="1"/>
  <c r="S3" i="23" s="1"/>
  <c r="W5" i="20"/>
  <c r="X5" i="20"/>
  <c r="Y5" i="20"/>
  <c r="Z5" i="20"/>
  <c r="AA5" i="20"/>
  <c r="AB5" i="20"/>
  <c r="AG5" i="20"/>
  <c r="AH5" i="20"/>
  <c r="AI5" i="20"/>
  <c r="AJ5" i="20"/>
  <c r="AK5" i="20"/>
  <c r="AL5" i="20"/>
  <c r="AM5" i="20"/>
  <c r="AN5" i="20"/>
  <c r="AO5" i="20"/>
  <c r="AP5" i="20"/>
  <c r="D6" i="20"/>
  <c r="E6" i="20"/>
  <c r="I6" i="20"/>
  <c r="L6" i="20"/>
  <c r="M6" i="20"/>
  <c r="N6" i="20"/>
  <c r="S4" i="21" s="1"/>
  <c r="V4" i="23" s="1"/>
  <c r="O6" i="20"/>
  <c r="P6" i="20"/>
  <c r="Q6" i="20"/>
  <c r="R6" i="20"/>
  <c r="R4" i="21" s="1"/>
  <c r="U4" i="23" s="1"/>
  <c r="S6" i="20"/>
  <c r="T6" i="20"/>
  <c r="U6" i="20"/>
  <c r="W6" i="20"/>
  <c r="X6" i="20"/>
  <c r="Y6" i="20"/>
  <c r="Z6" i="20"/>
  <c r="AA6" i="20"/>
  <c r="AB6" i="20"/>
  <c r="AG6" i="20"/>
  <c r="AH6" i="20"/>
  <c r="AI6" i="20"/>
  <c r="AJ6" i="20"/>
  <c r="AK6" i="20"/>
  <c r="AL6" i="20"/>
  <c r="AM6" i="20"/>
  <c r="AN6" i="20"/>
  <c r="AO6" i="20"/>
  <c r="AP6" i="20"/>
  <c r="D7" i="20"/>
  <c r="A5" i="23" s="1"/>
  <c r="E7" i="20"/>
  <c r="I7" i="20"/>
  <c r="L7" i="20"/>
  <c r="M7" i="20"/>
  <c r="N7" i="20"/>
  <c r="S5" i="21" s="1"/>
  <c r="V5" i="23" s="1"/>
  <c r="O7" i="20"/>
  <c r="P7" i="20"/>
  <c r="Q7" i="20"/>
  <c r="R7" i="20"/>
  <c r="R5" i="21" s="1"/>
  <c r="U5" i="23" s="1"/>
  <c r="S7" i="20"/>
  <c r="T7" i="20"/>
  <c r="U7" i="20"/>
  <c r="W7" i="20"/>
  <c r="X7" i="20"/>
  <c r="Y7" i="20"/>
  <c r="Z7" i="20"/>
  <c r="AA7" i="20"/>
  <c r="AB7" i="20"/>
  <c r="AG7" i="20"/>
  <c r="AH7" i="20"/>
  <c r="AI7" i="20"/>
  <c r="AJ7" i="20"/>
  <c r="AK7" i="20"/>
  <c r="AL7" i="20"/>
  <c r="AM7" i="20"/>
  <c r="AN7" i="20"/>
  <c r="AO7" i="20"/>
  <c r="AP7" i="20"/>
  <c r="D8" i="20"/>
  <c r="E8" i="20"/>
  <c r="I8" i="20"/>
  <c r="L8" i="20"/>
  <c r="M8" i="20"/>
  <c r="N8" i="20"/>
  <c r="S6" i="21" s="1"/>
  <c r="V6" i="23" s="1"/>
  <c r="O8" i="20"/>
  <c r="P8" i="20"/>
  <c r="Q8" i="20"/>
  <c r="R8" i="20"/>
  <c r="R6" i="21" s="1"/>
  <c r="U6" i="23" s="1"/>
  <c r="S8" i="20"/>
  <c r="T8" i="20"/>
  <c r="U8" i="20"/>
  <c r="W8" i="20"/>
  <c r="X8" i="20"/>
  <c r="Y8" i="20"/>
  <c r="Z8" i="20"/>
  <c r="AA8" i="20"/>
  <c r="AB8" i="20"/>
  <c r="AG8" i="20"/>
  <c r="AH8" i="20"/>
  <c r="AI8" i="20"/>
  <c r="AJ8" i="20"/>
  <c r="AK8" i="20"/>
  <c r="AL8" i="20"/>
  <c r="AM8" i="20"/>
  <c r="AN8" i="20"/>
  <c r="AO8" i="20"/>
  <c r="AP8" i="20"/>
  <c r="D9" i="20"/>
  <c r="A7" i="21" s="1"/>
  <c r="E9" i="20"/>
  <c r="M9" i="20"/>
  <c r="N7" i="21" s="1"/>
  <c r="Q7" i="23" s="1"/>
  <c r="N9" i="20"/>
  <c r="S7" i="21" s="1"/>
  <c r="V7" i="23" s="1"/>
  <c r="O9" i="20"/>
  <c r="P9" i="20"/>
  <c r="Q9" i="20"/>
  <c r="R9" i="20"/>
  <c r="R7" i="21" s="1"/>
  <c r="U7" i="23" s="1"/>
  <c r="S9" i="20"/>
  <c r="T9" i="20"/>
  <c r="U9" i="20"/>
  <c r="W9" i="20"/>
  <c r="X9" i="20"/>
  <c r="Y9" i="20"/>
  <c r="Z9" i="20"/>
  <c r="AA9" i="20"/>
  <c r="AB9" i="20"/>
  <c r="AG9" i="20"/>
  <c r="AH9" i="20"/>
  <c r="AI9" i="20"/>
  <c r="AJ9" i="20"/>
  <c r="AK9" i="20"/>
  <c r="AL9" i="20"/>
  <c r="AM9" i="20"/>
  <c r="AN9" i="20"/>
  <c r="AO9" i="20"/>
  <c r="AP9" i="20"/>
  <c r="D10" i="20"/>
  <c r="E10" i="20"/>
  <c r="M10" i="20"/>
  <c r="N8" i="21" s="1"/>
  <c r="Q8" i="23" s="1"/>
  <c r="N10" i="20"/>
  <c r="S8" i="21" s="1"/>
  <c r="V8" i="23" s="1"/>
  <c r="O10" i="20"/>
  <c r="P10" i="20"/>
  <c r="Q10" i="20"/>
  <c r="R10" i="20"/>
  <c r="R8" i="21" s="1"/>
  <c r="U8" i="23" s="1"/>
  <c r="S10" i="20"/>
  <c r="T10" i="20"/>
  <c r="U10" i="20"/>
  <c r="W10" i="20"/>
  <c r="X10" i="20"/>
  <c r="Y10" i="20"/>
  <c r="Z10" i="20"/>
  <c r="AA10" i="20"/>
  <c r="AB10" i="20"/>
  <c r="AD10" i="20"/>
  <c r="AE10" i="20"/>
  <c r="AF10" i="20"/>
  <c r="Y8" i="23" s="1"/>
  <c r="AG10" i="20"/>
  <c r="AH10" i="20"/>
  <c r="AI10" i="20"/>
  <c r="AJ10" i="20"/>
  <c r="AK10" i="20"/>
  <c r="AL10" i="20"/>
  <c r="AM10" i="20"/>
  <c r="AN10" i="20"/>
  <c r="AO10" i="20"/>
  <c r="AP10" i="20"/>
  <c r="D11" i="20"/>
  <c r="E11" i="20"/>
  <c r="M11" i="20"/>
  <c r="N9" i="21" s="1"/>
  <c r="Q9" i="23" s="1"/>
  <c r="N11" i="20"/>
  <c r="S9" i="21" s="1"/>
  <c r="V9" i="23" s="1"/>
  <c r="O11" i="20"/>
  <c r="P11" i="20"/>
  <c r="Q11" i="20"/>
  <c r="R11" i="20"/>
  <c r="R9" i="21" s="1"/>
  <c r="U9" i="23" s="1"/>
  <c r="S11" i="20"/>
  <c r="T11" i="20"/>
  <c r="U11" i="20"/>
  <c r="W11" i="20"/>
  <c r="X11" i="20"/>
  <c r="Y11" i="20"/>
  <c r="Z11" i="20"/>
  <c r="AA11" i="20"/>
  <c r="AB11" i="20"/>
  <c r="AD11" i="20"/>
  <c r="AE11" i="20"/>
  <c r="AF11" i="20"/>
  <c r="Y9" i="23" s="1"/>
  <c r="AG11" i="20"/>
  <c r="AH11" i="20"/>
  <c r="AI11" i="20"/>
  <c r="AJ11" i="20"/>
  <c r="AK11" i="20"/>
  <c r="AL11" i="20"/>
  <c r="AM11" i="20"/>
  <c r="AN11" i="20"/>
  <c r="AO11" i="20"/>
  <c r="AP11" i="20"/>
  <c r="D12" i="20"/>
  <c r="E12" i="20"/>
  <c r="M12" i="20"/>
  <c r="N10" i="21" s="1"/>
  <c r="Q10" i="23" s="1"/>
  <c r="N12" i="20"/>
  <c r="S10" i="21" s="1"/>
  <c r="V10" i="23" s="1"/>
  <c r="O12" i="20"/>
  <c r="P12" i="20"/>
  <c r="Q12" i="20"/>
  <c r="R12" i="20"/>
  <c r="R10" i="21" s="1"/>
  <c r="U10" i="23" s="1"/>
  <c r="S12" i="20"/>
  <c r="T12" i="20"/>
  <c r="U12" i="20"/>
  <c r="W12" i="20"/>
  <c r="X12" i="20"/>
  <c r="Y12" i="20"/>
  <c r="Z12" i="20"/>
  <c r="AA12" i="20"/>
  <c r="AB12" i="20"/>
  <c r="AD12" i="20"/>
  <c r="F10" i="23" s="1"/>
  <c r="AE12" i="20"/>
  <c r="AF12" i="20"/>
  <c r="Y10" i="23" s="1"/>
  <c r="AG12" i="20"/>
  <c r="AH12" i="20"/>
  <c r="AI12" i="20"/>
  <c r="AJ12" i="20"/>
  <c r="AK12" i="20"/>
  <c r="AL12" i="20"/>
  <c r="AM12" i="20"/>
  <c r="AN12" i="20"/>
  <c r="AO12" i="20"/>
  <c r="AP12" i="20"/>
  <c r="D13" i="20"/>
  <c r="E13" i="20"/>
  <c r="M13" i="20"/>
  <c r="N11" i="21" s="1"/>
  <c r="Q11" i="23" s="1"/>
  <c r="N13" i="20"/>
  <c r="S11" i="21" s="1"/>
  <c r="V11" i="23" s="1"/>
  <c r="O13" i="20"/>
  <c r="P13" i="20"/>
  <c r="Q13" i="20"/>
  <c r="R13" i="20"/>
  <c r="R11" i="21" s="1"/>
  <c r="U11" i="23" s="1"/>
  <c r="S13" i="20"/>
  <c r="T13" i="20"/>
  <c r="U13" i="20"/>
  <c r="W13" i="20"/>
  <c r="X13" i="20"/>
  <c r="Y13" i="20"/>
  <c r="Z13" i="20"/>
  <c r="AA13" i="20"/>
  <c r="AB13" i="20"/>
  <c r="AD13" i="20"/>
  <c r="W11" i="23" s="1"/>
  <c r="AE13" i="20"/>
  <c r="AG13" i="20"/>
  <c r="AH13" i="20"/>
  <c r="AI13" i="20"/>
  <c r="AJ13" i="20"/>
  <c r="AK13" i="20"/>
  <c r="AL13" i="20"/>
  <c r="AM13" i="20"/>
  <c r="AN13" i="20"/>
  <c r="AO13" i="20"/>
  <c r="AP13" i="20"/>
  <c r="D14" i="20"/>
  <c r="A12" i="23" s="1"/>
  <c r="E14" i="20"/>
  <c r="N14" i="20"/>
  <c r="S12" i="21" s="1"/>
  <c r="V12" i="23" s="1"/>
  <c r="O14" i="20"/>
  <c r="P14" i="20"/>
  <c r="R14" i="20"/>
  <c r="R12" i="21" s="1"/>
  <c r="U12" i="23" s="1"/>
  <c r="S14" i="20"/>
  <c r="T14" i="20"/>
  <c r="U14" i="20"/>
  <c r="W14" i="20"/>
  <c r="X14" i="20"/>
  <c r="Y14" i="20"/>
  <c r="Z14" i="20"/>
  <c r="AA14" i="20"/>
  <c r="AB14" i="20"/>
  <c r="AD14" i="20"/>
  <c r="F12" i="23" s="1"/>
  <c r="AE14" i="20"/>
  <c r="X12" i="23" s="1"/>
  <c r="AG14" i="20"/>
  <c r="AH14" i="20"/>
  <c r="AI14" i="20"/>
  <c r="AJ14" i="20"/>
  <c r="AK14" i="20"/>
  <c r="AL14" i="20"/>
  <c r="AM14" i="20"/>
  <c r="AN14" i="20"/>
  <c r="AO14" i="20"/>
  <c r="AP14" i="20"/>
  <c r="D15" i="20"/>
  <c r="E15" i="20"/>
  <c r="N15" i="20"/>
  <c r="S13" i="21" s="1"/>
  <c r="V13" i="23" s="1"/>
  <c r="O15" i="20"/>
  <c r="P15" i="20"/>
  <c r="R15" i="20"/>
  <c r="R13" i="21" s="1"/>
  <c r="U13" i="23" s="1"/>
  <c r="S15" i="20"/>
  <c r="W15" i="20"/>
  <c r="X15" i="20"/>
  <c r="Y15" i="20"/>
  <c r="Z15" i="20"/>
  <c r="AA15" i="20"/>
  <c r="AB15" i="20"/>
  <c r="AD15" i="20"/>
  <c r="W13" i="23" s="1"/>
  <c r="AE15" i="20"/>
  <c r="AG15" i="20"/>
  <c r="AH15" i="20"/>
  <c r="AI15" i="20"/>
  <c r="AJ15" i="20"/>
  <c r="AK15" i="20"/>
  <c r="AL15" i="20"/>
  <c r="AM15" i="20"/>
  <c r="AN15" i="20"/>
  <c r="AO15" i="20"/>
  <c r="AP15" i="20"/>
  <c r="D16" i="20"/>
  <c r="E16" i="20"/>
  <c r="N16" i="20"/>
  <c r="S14" i="21" s="1"/>
  <c r="V14" i="23" s="1"/>
  <c r="O16" i="20"/>
  <c r="P16" i="20"/>
  <c r="R16" i="20"/>
  <c r="R14" i="21" s="1"/>
  <c r="U14" i="23" s="1"/>
  <c r="S16" i="20"/>
  <c r="W16" i="20"/>
  <c r="X16" i="20"/>
  <c r="Y16" i="20"/>
  <c r="Z16" i="20"/>
  <c r="AA16" i="20"/>
  <c r="AB16" i="20"/>
  <c r="AG16" i="20"/>
  <c r="AH16" i="20"/>
  <c r="AI16" i="20"/>
  <c r="AJ16" i="20"/>
  <c r="AK16" i="20"/>
  <c r="AL16" i="20"/>
  <c r="AM16" i="20"/>
  <c r="AN16" i="20"/>
  <c r="AO16" i="20"/>
  <c r="AP16" i="20"/>
  <c r="D17" i="20"/>
  <c r="A15" i="23" s="1"/>
  <c r="E17" i="20"/>
  <c r="N17" i="20"/>
  <c r="S15" i="21" s="1"/>
  <c r="V15" i="23" s="1"/>
  <c r="O17" i="20"/>
  <c r="P17" i="20"/>
  <c r="R17" i="20"/>
  <c r="R15" i="21" s="1"/>
  <c r="U15" i="23" s="1"/>
  <c r="S17" i="20"/>
  <c r="W17" i="20"/>
  <c r="X17" i="20"/>
  <c r="Y17" i="20"/>
  <c r="Z17" i="20"/>
  <c r="AA17" i="20"/>
  <c r="AB17" i="20"/>
  <c r="AG17" i="20"/>
  <c r="AH17" i="20"/>
  <c r="AI17" i="20"/>
  <c r="AJ17" i="20"/>
  <c r="AK17" i="20"/>
  <c r="AL17" i="20"/>
  <c r="AM17" i="20"/>
  <c r="AN17" i="20"/>
  <c r="AO17" i="20"/>
  <c r="AP17" i="20"/>
  <c r="D18" i="20"/>
  <c r="A16" i="23" s="1"/>
  <c r="E18" i="20"/>
  <c r="N18" i="20"/>
  <c r="S16" i="21" s="1"/>
  <c r="V16" i="23" s="1"/>
  <c r="O18" i="20"/>
  <c r="P18" i="20"/>
  <c r="R18" i="20"/>
  <c r="R16" i="21" s="1"/>
  <c r="U16" i="23" s="1"/>
  <c r="S18" i="20"/>
  <c r="W18" i="20"/>
  <c r="X18" i="20"/>
  <c r="Y18" i="20"/>
  <c r="Z18" i="20"/>
  <c r="AA18" i="20"/>
  <c r="AB18" i="20"/>
  <c r="AG18" i="20"/>
  <c r="AH18" i="20"/>
  <c r="AI18" i="20"/>
  <c r="AJ18" i="20"/>
  <c r="AK18" i="20"/>
  <c r="AL18" i="20"/>
  <c r="AM18" i="20"/>
  <c r="AN18" i="20"/>
  <c r="AO18" i="20"/>
  <c r="AP18" i="20"/>
  <c r="D19" i="20"/>
  <c r="E19" i="20"/>
  <c r="N19" i="20"/>
  <c r="S17" i="21" s="1"/>
  <c r="V17" i="23" s="1"/>
  <c r="O19" i="20"/>
  <c r="P19" i="20"/>
  <c r="R19" i="20"/>
  <c r="R17" i="21" s="1"/>
  <c r="U17" i="23" s="1"/>
  <c r="S19" i="20"/>
  <c r="W19" i="20"/>
  <c r="X19" i="20"/>
  <c r="Y19" i="20"/>
  <c r="Z19" i="20"/>
  <c r="AA19" i="20"/>
  <c r="AB19" i="20"/>
  <c r="AG19" i="20"/>
  <c r="AH19" i="20"/>
  <c r="AI19" i="20"/>
  <c r="AJ19" i="20"/>
  <c r="AK19" i="20"/>
  <c r="AL19" i="20"/>
  <c r="AM19" i="20"/>
  <c r="AN19" i="20"/>
  <c r="AO19" i="20"/>
  <c r="AP19" i="20"/>
  <c r="D20" i="20"/>
  <c r="E20" i="20"/>
  <c r="N20" i="20"/>
  <c r="S18" i="21" s="1"/>
  <c r="V18" i="23" s="1"/>
  <c r="O20" i="20"/>
  <c r="P20" i="20"/>
  <c r="R20" i="20"/>
  <c r="R18" i="21" s="1"/>
  <c r="U18" i="23" s="1"/>
  <c r="S20" i="20"/>
  <c r="W20" i="20"/>
  <c r="X20" i="20"/>
  <c r="Y20" i="20"/>
  <c r="Z20" i="20"/>
  <c r="AA20" i="20"/>
  <c r="AB20" i="20"/>
  <c r="AG20" i="20"/>
  <c r="AH20" i="20"/>
  <c r="AI20" i="20"/>
  <c r="AJ20" i="20"/>
  <c r="AK20" i="20"/>
  <c r="AL20" i="20"/>
  <c r="AM20" i="20"/>
  <c r="AN20" i="20"/>
  <c r="AO20" i="20"/>
  <c r="AP20" i="20"/>
  <c r="D21" i="20"/>
  <c r="A19" i="23" s="1"/>
  <c r="E21" i="20"/>
  <c r="N21" i="20"/>
  <c r="S19" i="21" s="1"/>
  <c r="V19" i="23" s="1"/>
  <c r="O21" i="20"/>
  <c r="P21" i="20"/>
  <c r="R21" i="20"/>
  <c r="R19" i="21" s="1"/>
  <c r="U19" i="23" s="1"/>
  <c r="S21" i="20"/>
  <c r="W21" i="20"/>
  <c r="X21" i="20"/>
  <c r="Y21" i="20"/>
  <c r="Z21" i="20"/>
  <c r="AA21" i="20"/>
  <c r="AB21" i="20"/>
  <c r="AG21" i="20"/>
  <c r="AH21" i="20"/>
  <c r="AI21" i="20"/>
  <c r="AJ21" i="20"/>
  <c r="AK21" i="20"/>
  <c r="AL21" i="20"/>
  <c r="AM21" i="20"/>
  <c r="AN21" i="20"/>
  <c r="AO21" i="20"/>
  <c r="AP21" i="20"/>
  <c r="D22" i="20"/>
  <c r="A20" i="23" s="1"/>
  <c r="E22" i="20"/>
  <c r="N22" i="20"/>
  <c r="S20" i="21" s="1"/>
  <c r="V20" i="23" s="1"/>
  <c r="O22" i="20"/>
  <c r="P22" i="20"/>
  <c r="R22" i="20"/>
  <c r="R20" i="21" s="1"/>
  <c r="U20" i="23" s="1"/>
  <c r="S22" i="20"/>
  <c r="W22" i="20"/>
  <c r="X22" i="20"/>
  <c r="Y22" i="20"/>
  <c r="Z22" i="20"/>
  <c r="AA22" i="20"/>
  <c r="AB22" i="20"/>
  <c r="AG22" i="20"/>
  <c r="AH22" i="20"/>
  <c r="AI22" i="20"/>
  <c r="AJ22" i="20"/>
  <c r="AK22" i="20"/>
  <c r="AL22" i="20"/>
  <c r="AM22" i="20"/>
  <c r="AN22" i="20"/>
  <c r="AO22" i="20"/>
  <c r="AP22" i="20"/>
  <c r="D23" i="20"/>
  <c r="E23" i="20"/>
  <c r="N23" i="20"/>
  <c r="S21" i="21" s="1"/>
  <c r="V21" i="23" s="1"/>
  <c r="O23" i="20"/>
  <c r="P23" i="20"/>
  <c r="R23" i="20"/>
  <c r="R21" i="21" s="1"/>
  <c r="U21" i="23" s="1"/>
  <c r="S23" i="20"/>
  <c r="W23" i="20"/>
  <c r="X23" i="20"/>
  <c r="Y23" i="20"/>
  <c r="Z23" i="20"/>
  <c r="AA23" i="20"/>
  <c r="AB23" i="20"/>
  <c r="AG23" i="20"/>
  <c r="AH23" i="20"/>
  <c r="AI23" i="20"/>
  <c r="AJ23" i="20"/>
  <c r="AK23" i="20"/>
  <c r="AL23" i="20"/>
  <c r="AM23" i="20"/>
  <c r="AN23" i="20"/>
  <c r="AO23" i="20"/>
  <c r="AP23" i="20"/>
  <c r="D24" i="20"/>
  <c r="E24" i="20"/>
  <c r="N24" i="20"/>
  <c r="S22" i="21" s="1"/>
  <c r="V22" i="23" s="1"/>
  <c r="O24" i="20"/>
  <c r="P24" i="20"/>
  <c r="R24" i="20"/>
  <c r="R22" i="21" s="1"/>
  <c r="U22" i="23" s="1"/>
  <c r="S24" i="20"/>
  <c r="W24" i="20"/>
  <c r="X24" i="20"/>
  <c r="Y24" i="20"/>
  <c r="Z24" i="20"/>
  <c r="AA24" i="20"/>
  <c r="AB24" i="20"/>
  <c r="AG24" i="20"/>
  <c r="AH24" i="20"/>
  <c r="AI24" i="20"/>
  <c r="AJ24" i="20"/>
  <c r="AK24" i="20"/>
  <c r="AL24" i="20"/>
  <c r="AM24" i="20"/>
  <c r="AN24" i="20"/>
  <c r="AO24" i="20"/>
  <c r="AP24" i="20"/>
  <c r="D25" i="20"/>
  <c r="A23" i="23" s="1"/>
  <c r="E25" i="20"/>
  <c r="N25" i="20"/>
  <c r="S23" i="21" s="1"/>
  <c r="V23" i="23" s="1"/>
  <c r="O25" i="20"/>
  <c r="P25" i="20"/>
  <c r="S25" i="20"/>
  <c r="W25" i="20"/>
  <c r="X25" i="20"/>
  <c r="Y25" i="20"/>
  <c r="Z25" i="20"/>
  <c r="AA25" i="20"/>
  <c r="AB25" i="20"/>
  <c r="AG25" i="20"/>
  <c r="AH25" i="20"/>
  <c r="AI25" i="20"/>
  <c r="AJ25" i="20"/>
  <c r="AK25" i="20"/>
  <c r="AL25" i="20"/>
  <c r="AM25" i="20"/>
  <c r="AN25" i="20"/>
  <c r="AO25" i="20"/>
  <c r="AP25" i="20"/>
  <c r="D26" i="20"/>
  <c r="A24" i="23" s="1"/>
  <c r="E26" i="20"/>
  <c r="N26" i="20"/>
  <c r="S24" i="21" s="1"/>
  <c r="V24" i="23" s="1"/>
  <c r="O26" i="20"/>
  <c r="P26" i="20"/>
  <c r="W26" i="20"/>
  <c r="X26" i="20"/>
  <c r="Y26" i="20"/>
  <c r="Z26" i="20"/>
  <c r="AA26" i="20"/>
  <c r="AB26" i="20"/>
  <c r="O24" i="21" s="1"/>
  <c r="R24" i="23" s="1"/>
  <c r="AG26" i="20"/>
  <c r="AH26" i="20"/>
  <c r="AI26" i="20"/>
  <c r="AJ26" i="20"/>
  <c r="AK26" i="20"/>
  <c r="AL26" i="20"/>
  <c r="AM26" i="20"/>
  <c r="AN26" i="20"/>
  <c r="AO26" i="20"/>
  <c r="AP26" i="20"/>
  <c r="D27" i="20"/>
  <c r="E27" i="20"/>
  <c r="N27" i="20"/>
  <c r="S25" i="21" s="1"/>
  <c r="V25" i="23" s="1"/>
  <c r="O27" i="20"/>
  <c r="P27" i="20"/>
  <c r="W27" i="20"/>
  <c r="X27" i="20"/>
  <c r="Y27" i="20"/>
  <c r="Z27" i="20"/>
  <c r="AA27" i="20"/>
  <c r="AB27" i="20"/>
  <c r="O25" i="21" s="1"/>
  <c r="R25" i="23" s="1"/>
  <c r="AG27" i="20"/>
  <c r="AH27" i="20"/>
  <c r="AI27" i="20"/>
  <c r="AJ27" i="20"/>
  <c r="AK27" i="20"/>
  <c r="AL27" i="20"/>
  <c r="AM27" i="20"/>
  <c r="AN27" i="20"/>
  <c r="AO27" i="20"/>
  <c r="AP27" i="20"/>
  <c r="D28" i="20"/>
  <c r="A26" i="23" s="1"/>
  <c r="E28" i="20"/>
  <c r="N28" i="20"/>
  <c r="S26" i="21" s="1"/>
  <c r="V26" i="23" s="1"/>
  <c r="O28" i="20"/>
  <c r="P28" i="20"/>
  <c r="W28" i="20"/>
  <c r="X28" i="20"/>
  <c r="Y28" i="20"/>
  <c r="Z28" i="20"/>
  <c r="AA28" i="20"/>
  <c r="AB28" i="20"/>
  <c r="O26" i="21" s="1"/>
  <c r="R26" i="23" s="1"/>
  <c r="AG28" i="20"/>
  <c r="AH28" i="20"/>
  <c r="AI28" i="20"/>
  <c r="AJ28" i="20"/>
  <c r="AK28" i="20"/>
  <c r="AL28" i="20"/>
  <c r="AM28" i="20"/>
  <c r="AN28" i="20"/>
  <c r="AO28" i="20"/>
  <c r="AP28" i="20"/>
  <c r="D29" i="20"/>
  <c r="A27" i="23" s="1"/>
  <c r="E29" i="20"/>
  <c r="N29" i="20"/>
  <c r="S27" i="21" s="1"/>
  <c r="V27" i="23" s="1"/>
  <c r="O29" i="20"/>
  <c r="P29" i="20"/>
  <c r="W29" i="20"/>
  <c r="X29" i="20"/>
  <c r="Y29" i="20"/>
  <c r="Z29" i="20"/>
  <c r="AA29" i="20"/>
  <c r="AB29" i="20"/>
  <c r="O27" i="21" s="1"/>
  <c r="R27" i="23" s="1"/>
  <c r="AG29" i="20"/>
  <c r="AH29" i="20"/>
  <c r="AI29" i="20"/>
  <c r="AJ29" i="20"/>
  <c r="AK29" i="20"/>
  <c r="AL29" i="20"/>
  <c r="AM29" i="20"/>
  <c r="AN29" i="20"/>
  <c r="AO29" i="20"/>
  <c r="AP29" i="20"/>
  <c r="D30" i="20"/>
  <c r="A28" i="23" s="1"/>
  <c r="E30" i="20"/>
  <c r="N30" i="20"/>
  <c r="S28" i="21" s="1"/>
  <c r="V28" i="23" s="1"/>
  <c r="O30" i="20"/>
  <c r="P30" i="20"/>
  <c r="W30" i="20"/>
  <c r="X30" i="20"/>
  <c r="Y30" i="20"/>
  <c r="Z30" i="20"/>
  <c r="AA30" i="20"/>
  <c r="AB30" i="20"/>
  <c r="O28" i="21" s="1"/>
  <c r="R28" i="23" s="1"/>
  <c r="AG30" i="20"/>
  <c r="AH30" i="20"/>
  <c r="AI30" i="20"/>
  <c r="AJ30" i="20"/>
  <c r="AK30" i="20"/>
  <c r="AL30" i="20"/>
  <c r="AM30" i="20"/>
  <c r="AN30" i="20"/>
  <c r="AO30" i="20"/>
  <c r="AP30" i="20"/>
  <c r="D31" i="20"/>
  <c r="E31" i="20"/>
  <c r="N31" i="20"/>
  <c r="S29" i="21" s="1"/>
  <c r="V29" i="23" s="1"/>
  <c r="O31" i="20"/>
  <c r="P31" i="20"/>
  <c r="W31" i="20"/>
  <c r="X31" i="20"/>
  <c r="Y31" i="20"/>
  <c r="Z31" i="20"/>
  <c r="AA31" i="20"/>
  <c r="AB31" i="20"/>
  <c r="O29" i="21" s="1"/>
  <c r="R29" i="23" s="1"/>
  <c r="AG31" i="20"/>
  <c r="AH31" i="20"/>
  <c r="AI31" i="20"/>
  <c r="AJ31" i="20"/>
  <c r="AK31" i="20"/>
  <c r="AL31" i="20"/>
  <c r="AM31" i="20"/>
  <c r="AN31" i="20"/>
  <c r="AO31" i="20"/>
  <c r="AP31" i="20"/>
  <c r="AG3" i="19"/>
  <c r="F5" i="19"/>
  <c r="F5" i="20" s="1"/>
  <c r="H5" i="19"/>
  <c r="H5" i="20" s="1"/>
  <c r="AC5" i="19"/>
  <c r="AC5" i="20" s="1"/>
  <c r="AQ5" i="19"/>
  <c r="AQ5" i="20" s="1"/>
  <c r="AR5" i="19"/>
  <c r="AR5" i="20" s="1"/>
  <c r="AT5" i="19"/>
  <c r="AU5" i="19"/>
  <c r="F6" i="19"/>
  <c r="H6" i="19"/>
  <c r="AC6" i="19"/>
  <c r="AQ6" i="19"/>
  <c r="AR6" i="19"/>
  <c r="AS6" i="19"/>
  <c r="AT6" i="19"/>
  <c r="AU6" i="19"/>
  <c r="F7" i="19"/>
  <c r="H7" i="19"/>
  <c r="AC7" i="19"/>
  <c r="AQ7" i="19"/>
  <c r="AR7" i="19"/>
  <c r="AS7" i="19"/>
  <c r="AT7" i="19"/>
  <c r="AU7" i="19"/>
  <c r="F8" i="19"/>
  <c r="H8" i="19"/>
  <c r="AC8" i="19"/>
  <c r="AQ8" i="19"/>
  <c r="AR8" i="19"/>
  <c r="AS8" i="19"/>
  <c r="AT8" i="19"/>
  <c r="AU8" i="19"/>
  <c r="F9" i="19"/>
  <c r="H9" i="19"/>
  <c r="AC9" i="19"/>
  <c r="AQ9" i="19"/>
  <c r="AR9" i="19"/>
  <c r="AS9" i="19"/>
  <c r="AT9" i="19"/>
  <c r="AU9" i="19"/>
  <c r="F10" i="19"/>
  <c r="H10" i="19"/>
  <c r="AC10" i="19"/>
  <c r="AQ10" i="19"/>
  <c r="AR10" i="19"/>
  <c r="AS10" i="19"/>
  <c r="AT10" i="19"/>
  <c r="AU10" i="19"/>
  <c r="F11" i="19"/>
  <c r="H11" i="19"/>
  <c r="AC11" i="19"/>
  <c r="AQ11" i="19"/>
  <c r="AR11" i="19"/>
  <c r="AS11" i="19"/>
  <c r="AT11" i="19"/>
  <c r="AU11" i="19"/>
  <c r="F12" i="19"/>
  <c r="H12" i="19"/>
  <c r="AC12" i="19"/>
  <c r="AQ12" i="19"/>
  <c r="AR12" i="19"/>
  <c r="AS12" i="19"/>
  <c r="AT12" i="19"/>
  <c r="AU12" i="19"/>
  <c r="F13" i="19"/>
  <c r="H13" i="19"/>
  <c r="AC13" i="19"/>
  <c r="AQ13" i="19"/>
  <c r="AR13" i="19"/>
  <c r="AS13" i="19"/>
  <c r="AT13" i="19"/>
  <c r="AU13" i="19"/>
  <c r="F14" i="19"/>
  <c r="H14" i="19"/>
  <c r="AC14" i="19"/>
  <c r="AQ14" i="19"/>
  <c r="AR14" i="19"/>
  <c r="AS14" i="19"/>
  <c r="AT14" i="19"/>
  <c r="AU14" i="19"/>
  <c r="F15" i="19"/>
  <c r="H15" i="19"/>
  <c r="AC15" i="19"/>
  <c r="AQ15" i="19"/>
  <c r="AR15" i="19"/>
  <c r="AS15" i="19"/>
  <c r="AT15" i="19"/>
  <c r="AU15" i="19"/>
  <c r="F16" i="19"/>
  <c r="H16" i="19"/>
  <c r="AC16" i="19"/>
  <c r="AQ16" i="19"/>
  <c r="AR16" i="19"/>
  <c r="AS16" i="19"/>
  <c r="AT16" i="19"/>
  <c r="AU16" i="19"/>
  <c r="D17" i="19"/>
  <c r="E17" i="19"/>
  <c r="F17" i="19"/>
  <c r="F6" i="20" s="1"/>
  <c r="G17" i="19"/>
  <c r="H17" i="19"/>
  <c r="H6" i="20" s="1"/>
  <c r="AC17" i="19"/>
  <c r="AC6" i="20" s="1"/>
  <c r="AQ17" i="19"/>
  <c r="AQ6" i="20" s="1"/>
  <c r="AR17" i="19"/>
  <c r="AR6" i="20" s="1"/>
  <c r="AS17" i="19"/>
  <c r="AT17" i="19"/>
  <c r="AU17" i="19"/>
  <c r="D18" i="19"/>
  <c r="E18" i="19"/>
  <c r="F18" i="19"/>
  <c r="G18" i="19"/>
  <c r="H18" i="19"/>
  <c r="AC18" i="19"/>
  <c r="AQ18" i="19"/>
  <c r="AR18" i="19"/>
  <c r="AS18" i="19"/>
  <c r="AT18" i="19"/>
  <c r="AU18" i="19"/>
  <c r="D19" i="19"/>
  <c r="E19" i="19"/>
  <c r="F19" i="19"/>
  <c r="G19" i="19"/>
  <c r="H19" i="19"/>
  <c r="AC19" i="19"/>
  <c r="AQ19" i="19"/>
  <c r="AR19" i="19"/>
  <c r="AS19" i="19"/>
  <c r="AT19" i="19"/>
  <c r="AU19" i="19"/>
  <c r="D20" i="19"/>
  <c r="E20" i="19"/>
  <c r="F20" i="19"/>
  <c r="G20" i="19"/>
  <c r="H20" i="19"/>
  <c r="AC20" i="19"/>
  <c r="AQ20" i="19"/>
  <c r="AR20" i="19"/>
  <c r="AS20" i="19"/>
  <c r="AT20" i="19"/>
  <c r="AU20" i="19"/>
  <c r="D21" i="19"/>
  <c r="E21" i="19"/>
  <c r="F21" i="19"/>
  <c r="G21" i="19"/>
  <c r="H21" i="19"/>
  <c r="AC21" i="19"/>
  <c r="AQ21" i="19"/>
  <c r="AR21" i="19"/>
  <c r="AS21" i="19"/>
  <c r="AT21" i="19"/>
  <c r="AU21" i="19"/>
  <c r="D22" i="19"/>
  <c r="E22" i="19"/>
  <c r="F22" i="19"/>
  <c r="G22" i="19"/>
  <c r="H22" i="19"/>
  <c r="AC22" i="19"/>
  <c r="AQ22" i="19"/>
  <c r="AR22" i="19"/>
  <c r="AS22" i="19"/>
  <c r="AT22" i="19"/>
  <c r="AU22" i="19"/>
  <c r="D23" i="19"/>
  <c r="E23" i="19"/>
  <c r="F23" i="19"/>
  <c r="G23" i="19"/>
  <c r="H23" i="19"/>
  <c r="AC23" i="19"/>
  <c r="AQ23" i="19"/>
  <c r="AR23" i="19"/>
  <c r="AS23" i="19"/>
  <c r="AT23" i="19"/>
  <c r="AU23" i="19"/>
  <c r="D24" i="19"/>
  <c r="E24" i="19"/>
  <c r="F24" i="19"/>
  <c r="G24" i="19"/>
  <c r="H24" i="19"/>
  <c r="AC24" i="19"/>
  <c r="AQ24" i="19"/>
  <c r="AR24" i="19"/>
  <c r="AS24" i="19"/>
  <c r="AT24" i="19"/>
  <c r="AU24" i="19"/>
  <c r="D25" i="19"/>
  <c r="E25" i="19"/>
  <c r="F25" i="19"/>
  <c r="G25" i="19"/>
  <c r="H25" i="19"/>
  <c r="AC25" i="19"/>
  <c r="AQ25" i="19"/>
  <c r="AR25" i="19"/>
  <c r="AS25" i="19"/>
  <c r="AT25" i="19"/>
  <c r="AU25" i="19"/>
  <c r="D26" i="19"/>
  <c r="E26" i="19"/>
  <c r="F26" i="19"/>
  <c r="G26" i="19"/>
  <c r="H26" i="19"/>
  <c r="AC26" i="19"/>
  <c r="AQ26" i="19"/>
  <c r="AR26" i="19"/>
  <c r="AS26" i="19"/>
  <c r="AT26" i="19"/>
  <c r="AU26" i="19"/>
  <c r="D27" i="19"/>
  <c r="E27" i="19"/>
  <c r="F27" i="19"/>
  <c r="G27" i="19"/>
  <c r="H27" i="19"/>
  <c r="AC27" i="19"/>
  <c r="AQ27" i="19"/>
  <c r="AR27" i="19"/>
  <c r="AS27" i="19"/>
  <c r="AT27" i="19"/>
  <c r="AU27" i="19"/>
  <c r="D28" i="19"/>
  <c r="E28" i="19"/>
  <c r="F28" i="19"/>
  <c r="G28" i="19"/>
  <c r="H28" i="19"/>
  <c r="AC28" i="19"/>
  <c r="AQ28" i="19"/>
  <c r="AR28" i="19"/>
  <c r="AS28" i="19"/>
  <c r="AT28" i="19"/>
  <c r="AU28" i="19"/>
  <c r="D29" i="19"/>
  <c r="E29" i="19"/>
  <c r="F29" i="19"/>
  <c r="F7" i="20" s="1"/>
  <c r="G29" i="19"/>
  <c r="G7" i="20" s="1"/>
  <c r="H29" i="19"/>
  <c r="H7" i="20" s="1"/>
  <c r="AC29" i="19"/>
  <c r="AC7" i="20" s="1"/>
  <c r="AQ29" i="19"/>
  <c r="AQ7" i="20" s="1"/>
  <c r="AR29" i="19"/>
  <c r="AR7" i="20" s="1"/>
  <c r="AS29" i="19"/>
  <c r="AT29" i="19"/>
  <c r="AU29" i="19"/>
  <c r="D30" i="19"/>
  <c r="E30" i="19"/>
  <c r="F30" i="19"/>
  <c r="G30" i="19"/>
  <c r="H30" i="19"/>
  <c r="AC30" i="19"/>
  <c r="AQ30" i="19"/>
  <c r="AR30" i="19"/>
  <c r="AS30" i="19"/>
  <c r="AT30" i="19"/>
  <c r="AU30" i="19"/>
  <c r="D31" i="19"/>
  <c r="E31" i="19"/>
  <c r="F31" i="19"/>
  <c r="G31" i="19"/>
  <c r="H31" i="19"/>
  <c r="AC31" i="19"/>
  <c r="AQ31" i="19"/>
  <c r="AR31" i="19"/>
  <c r="AS31" i="19"/>
  <c r="AT31" i="19"/>
  <c r="AU31" i="19"/>
  <c r="D32" i="19"/>
  <c r="E32" i="19"/>
  <c r="F32" i="19"/>
  <c r="G32" i="19"/>
  <c r="H32" i="19"/>
  <c r="AC32" i="19"/>
  <c r="AQ32" i="19"/>
  <c r="AR32" i="19"/>
  <c r="AS32" i="19"/>
  <c r="AT32" i="19"/>
  <c r="AU32" i="19"/>
  <c r="D33" i="19"/>
  <c r="E33" i="19"/>
  <c r="F33" i="19"/>
  <c r="G33" i="19"/>
  <c r="H33" i="19"/>
  <c r="AC33" i="19"/>
  <c r="AQ33" i="19"/>
  <c r="AR33" i="19"/>
  <c r="AS33" i="19"/>
  <c r="AT33" i="19"/>
  <c r="AU33" i="19"/>
  <c r="D34" i="19"/>
  <c r="E34" i="19"/>
  <c r="F34" i="19"/>
  <c r="G34" i="19"/>
  <c r="H34" i="19"/>
  <c r="AC34" i="19"/>
  <c r="AQ34" i="19"/>
  <c r="AR34" i="19"/>
  <c r="AS34" i="19"/>
  <c r="AT34" i="19"/>
  <c r="AU34" i="19"/>
  <c r="D35" i="19"/>
  <c r="E35" i="19"/>
  <c r="F35" i="19"/>
  <c r="G35" i="19"/>
  <c r="H35" i="19"/>
  <c r="AC35" i="19"/>
  <c r="AQ35" i="19"/>
  <c r="AR35" i="19"/>
  <c r="AS35" i="19"/>
  <c r="AT35" i="19"/>
  <c r="AU35" i="19"/>
  <c r="D36" i="19"/>
  <c r="E36" i="19"/>
  <c r="F36" i="19"/>
  <c r="G36" i="19"/>
  <c r="H36" i="19"/>
  <c r="AC36" i="19"/>
  <c r="AQ36" i="19"/>
  <c r="AR36" i="19"/>
  <c r="AS36" i="19"/>
  <c r="AT36" i="19"/>
  <c r="AU36" i="19"/>
  <c r="D37" i="19"/>
  <c r="E37" i="19"/>
  <c r="F37" i="19"/>
  <c r="G37" i="19"/>
  <c r="H37" i="19"/>
  <c r="AC37" i="19"/>
  <c r="AQ37" i="19"/>
  <c r="AR37" i="19"/>
  <c r="AS37" i="19"/>
  <c r="AT37" i="19"/>
  <c r="AU37" i="19"/>
  <c r="D38" i="19"/>
  <c r="E38" i="19"/>
  <c r="F38" i="19"/>
  <c r="G38" i="19"/>
  <c r="H38" i="19"/>
  <c r="AC38" i="19"/>
  <c r="AQ38" i="19"/>
  <c r="AR38" i="19"/>
  <c r="AS38" i="19"/>
  <c r="AT38" i="19"/>
  <c r="AU38" i="19"/>
  <c r="D39" i="19"/>
  <c r="E39" i="19"/>
  <c r="F39" i="19"/>
  <c r="G39" i="19"/>
  <c r="H39" i="19"/>
  <c r="AC39" i="19"/>
  <c r="AQ39" i="19"/>
  <c r="AR39" i="19"/>
  <c r="AS39" i="19"/>
  <c r="AT39" i="19"/>
  <c r="AU39" i="19"/>
  <c r="D40" i="19"/>
  <c r="E40" i="19"/>
  <c r="F40" i="19"/>
  <c r="G40" i="19"/>
  <c r="H40" i="19"/>
  <c r="AC40" i="19"/>
  <c r="AQ40" i="19"/>
  <c r="AR40" i="19"/>
  <c r="AS40" i="19"/>
  <c r="AT40" i="19"/>
  <c r="AU40" i="19"/>
  <c r="D41" i="19"/>
  <c r="E41" i="19"/>
  <c r="F41" i="19"/>
  <c r="F8" i="20" s="1"/>
  <c r="G41" i="19"/>
  <c r="G8" i="20" s="1"/>
  <c r="H41" i="19"/>
  <c r="H8" i="20" s="1"/>
  <c r="V41" i="19"/>
  <c r="AC41" i="19"/>
  <c r="AC8" i="20" s="1"/>
  <c r="AQ41" i="19"/>
  <c r="AQ8" i="20" s="1"/>
  <c r="AR41" i="19"/>
  <c r="AR8" i="20" s="1"/>
  <c r="AS41" i="19"/>
  <c r="AT41" i="19"/>
  <c r="AU41" i="19"/>
  <c r="D42" i="19"/>
  <c r="E42" i="19"/>
  <c r="F42" i="19"/>
  <c r="G42" i="19"/>
  <c r="H42" i="19"/>
  <c r="V42" i="19"/>
  <c r="AC42" i="19"/>
  <c r="AQ42" i="19"/>
  <c r="AR42" i="19"/>
  <c r="AS42" i="19"/>
  <c r="AT42" i="19"/>
  <c r="AU42" i="19"/>
  <c r="D43" i="19"/>
  <c r="E43" i="19"/>
  <c r="F43" i="19"/>
  <c r="G43" i="19"/>
  <c r="H43" i="19"/>
  <c r="V43" i="19"/>
  <c r="AC43" i="19"/>
  <c r="AQ43" i="19"/>
  <c r="AR43" i="19"/>
  <c r="AS43" i="19"/>
  <c r="AT43" i="19"/>
  <c r="AU43" i="19"/>
  <c r="D44" i="19"/>
  <c r="E44" i="19"/>
  <c r="F44" i="19"/>
  <c r="G44" i="19"/>
  <c r="H44" i="19"/>
  <c r="V44" i="19"/>
  <c r="AC44" i="19"/>
  <c r="AQ44" i="19"/>
  <c r="AR44" i="19"/>
  <c r="AS44" i="19"/>
  <c r="AT44" i="19"/>
  <c r="AU44" i="19"/>
  <c r="D45" i="19"/>
  <c r="E45" i="19"/>
  <c r="F45" i="19"/>
  <c r="G45" i="19"/>
  <c r="H45" i="19"/>
  <c r="V45" i="19"/>
  <c r="AC45" i="19"/>
  <c r="AQ45" i="19"/>
  <c r="AR45" i="19"/>
  <c r="AS45" i="19"/>
  <c r="AT45" i="19"/>
  <c r="AU45" i="19"/>
  <c r="D46" i="19"/>
  <c r="E46" i="19"/>
  <c r="F46" i="19"/>
  <c r="G46" i="19"/>
  <c r="H46" i="19"/>
  <c r="V46" i="19"/>
  <c r="AC46" i="19"/>
  <c r="AQ46" i="19"/>
  <c r="AR46" i="19"/>
  <c r="AS46" i="19"/>
  <c r="AT46" i="19"/>
  <c r="AU46" i="19"/>
  <c r="D47" i="19"/>
  <c r="E47" i="19"/>
  <c r="F47" i="19"/>
  <c r="G47" i="19"/>
  <c r="H47" i="19"/>
  <c r="V47" i="19"/>
  <c r="AC47" i="19"/>
  <c r="AQ47" i="19"/>
  <c r="AR47" i="19"/>
  <c r="AS47" i="19"/>
  <c r="AT47" i="19"/>
  <c r="AU47" i="19"/>
  <c r="D48" i="19"/>
  <c r="E48" i="19"/>
  <c r="F48" i="19"/>
  <c r="G48" i="19"/>
  <c r="H48" i="19"/>
  <c r="V48" i="19"/>
  <c r="AC48" i="19"/>
  <c r="AQ48" i="19"/>
  <c r="AR48" i="19"/>
  <c r="AS48" i="19"/>
  <c r="AT48" i="19"/>
  <c r="AU48" i="19"/>
  <c r="D49" i="19"/>
  <c r="E49" i="19"/>
  <c r="F49" i="19"/>
  <c r="G49" i="19"/>
  <c r="H49" i="19"/>
  <c r="V49" i="19"/>
  <c r="AC49" i="19"/>
  <c r="AQ49" i="19"/>
  <c r="AR49" i="19"/>
  <c r="AS49" i="19"/>
  <c r="AT49" i="19"/>
  <c r="AU49" i="19"/>
  <c r="D50" i="19"/>
  <c r="E50" i="19"/>
  <c r="F50" i="19"/>
  <c r="G50" i="19"/>
  <c r="H50" i="19"/>
  <c r="V50" i="19"/>
  <c r="AC50" i="19"/>
  <c r="AQ50" i="19"/>
  <c r="AR50" i="19"/>
  <c r="AS50" i="19"/>
  <c r="AT50" i="19"/>
  <c r="AU50" i="19"/>
  <c r="D51" i="19"/>
  <c r="E51" i="19"/>
  <c r="F51" i="19"/>
  <c r="G51" i="19"/>
  <c r="H51" i="19"/>
  <c r="V51" i="19"/>
  <c r="AC51" i="19"/>
  <c r="AQ51" i="19"/>
  <c r="AR51" i="19"/>
  <c r="AS51" i="19"/>
  <c r="AT51" i="19"/>
  <c r="AU51" i="19"/>
  <c r="D52" i="19"/>
  <c r="E52" i="19"/>
  <c r="F52" i="19"/>
  <c r="G52" i="19"/>
  <c r="H52" i="19"/>
  <c r="V52" i="19"/>
  <c r="AC52" i="19"/>
  <c r="AQ52" i="19"/>
  <c r="AR52" i="19"/>
  <c r="AS52" i="19"/>
  <c r="AT52" i="19"/>
  <c r="AU52" i="19"/>
  <c r="D53" i="19"/>
  <c r="E53" i="19"/>
  <c r="F53" i="19"/>
  <c r="F9" i="20" s="1"/>
  <c r="G53" i="19"/>
  <c r="G9" i="20" s="1"/>
  <c r="H53" i="19"/>
  <c r="H9" i="20" s="1"/>
  <c r="V53" i="19"/>
  <c r="V9" i="20" s="1"/>
  <c r="Q7" i="21" s="1"/>
  <c r="T7" i="23" s="1"/>
  <c r="AC53" i="19"/>
  <c r="AC9" i="20" s="1"/>
  <c r="AQ53" i="19"/>
  <c r="AQ9" i="20" s="1"/>
  <c r="AR53" i="19"/>
  <c r="AR9" i="20" s="1"/>
  <c r="AS53" i="19"/>
  <c r="AT53" i="19"/>
  <c r="AU53" i="19"/>
  <c r="D54" i="19"/>
  <c r="E54" i="19"/>
  <c r="F54" i="19"/>
  <c r="G54" i="19"/>
  <c r="H54" i="19"/>
  <c r="V54" i="19"/>
  <c r="AC54" i="19"/>
  <c r="AQ54" i="19"/>
  <c r="AR54" i="19"/>
  <c r="AS54" i="19"/>
  <c r="AT54" i="19"/>
  <c r="AU54" i="19"/>
  <c r="D55" i="19"/>
  <c r="E55" i="19"/>
  <c r="F55" i="19"/>
  <c r="G55" i="19"/>
  <c r="H55" i="19"/>
  <c r="V55" i="19"/>
  <c r="AC55" i="19"/>
  <c r="AQ55" i="19"/>
  <c r="AR55" i="19"/>
  <c r="AS55" i="19"/>
  <c r="AT55" i="19"/>
  <c r="AU55" i="19"/>
  <c r="D56" i="19"/>
  <c r="E56" i="19"/>
  <c r="F56" i="19"/>
  <c r="G56" i="19"/>
  <c r="H56" i="19"/>
  <c r="V56" i="19"/>
  <c r="AC56" i="19"/>
  <c r="AQ56" i="19"/>
  <c r="AR56" i="19"/>
  <c r="AS56" i="19"/>
  <c r="AT56" i="19"/>
  <c r="AU56" i="19"/>
  <c r="D57" i="19"/>
  <c r="E57" i="19"/>
  <c r="F57" i="19"/>
  <c r="G57" i="19"/>
  <c r="H57" i="19"/>
  <c r="V57" i="19"/>
  <c r="AC57" i="19"/>
  <c r="AQ57" i="19"/>
  <c r="AR57" i="19"/>
  <c r="AS57" i="19"/>
  <c r="AT57" i="19"/>
  <c r="AU57" i="19"/>
  <c r="D58" i="19"/>
  <c r="E58" i="19"/>
  <c r="F58" i="19"/>
  <c r="G58" i="19"/>
  <c r="H58" i="19"/>
  <c r="V58" i="19"/>
  <c r="AC58" i="19"/>
  <c r="AQ58" i="19"/>
  <c r="AR58" i="19"/>
  <c r="AS58" i="19"/>
  <c r="AT58" i="19"/>
  <c r="AU58" i="19"/>
  <c r="D59" i="19"/>
  <c r="E59" i="19"/>
  <c r="F59" i="19"/>
  <c r="G59" i="19"/>
  <c r="H59" i="19"/>
  <c r="V59" i="19"/>
  <c r="AC59" i="19"/>
  <c r="AQ59" i="19"/>
  <c r="AR59" i="19"/>
  <c r="AS59" i="19"/>
  <c r="AT59" i="19"/>
  <c r="AU59" i="19"/>
  <c r="D60" i="19"/>
  <c r="E60" i="19"/>
  <c r="F60" i="19"/>
  <c r="G60" i="19"/>
  <c r="H60" i="19"/>
  <c r="V60" i="19"/>
  <c r="AC60" i="19"/>
  <c r="AQ60" i="19"/>
  <c r="AR60" i="19"/>
  <c r="AS60" i="19"/>
  <c r="AT60" i="19"/>
  <c r="AU60" i="19"/>
  <c r="D61" i="19"/>
  <c r="E61" i="19"/>
  <c r="F61" i="19"/>
  <c r="G61" i="19"/>
  <c r="H61" i="19"/>
  <c r="V61" i="19"/>
  <c r="AC61" i="19"/>
  <c r="AQ61" i="19"/>
  <c r="AR61" i="19"/>
  <c r="AS61" i="19"/>
  <c r="AT61" i="19"/>
  <c r="AU61" i="19"/>
  <c r="D62" i="19"/>
  <c r="E62" i="19"/>
  <c r="F62" i="19"/>
  <c r="G62" i="19"/>
  <c r="H62" i="19"/>
  <c r="V62" i="19"/>
  <c r="AC62" i="19"/>
  <c r="AQ62" i="19"/>
  <c r="AR62" i="19"/>
  <c r="AS62" i="19"/>
  <c r="AT62" i="19"/>
  <c r="AU62" i="19"/>
  <c r="D63" i="19"/>
  <c r="E63" i="19"/>
  <c r="F63" i="19"/>
  <c r="G63" i="19"/>
  <c r="H63" i="19"/>
  <c r="V63" i="19"/>
  <c r="AC63" i="19"/>
  <c r="AQ63" i="19"/>
  <c r="AR63" i="19"/>
  <c r="AS63" i="19"/>
  <c r="AT63" i="19"/>
  <c r="AU63" i="19"/>
  <c r="D64" i="19"/>
  <c r="E64" i="19"/>
  <c r="F64" i="19"/>
  <c r="G64" i="19"/>
  <c r="H64" i="19"/>
  <c r="V64" i="19"/>
  <c r="AC64" i="19"/>
  <c r="AQ64" i="19"/>
  <c r="AR64" i="19"/>
  <c r="AS64" i="19"/>
  <c r="AT64" i="19"/>
  <c r="AU64" i="19"/>
  <c r="D65" i="19"/>
  <c r="E65" i="19"/>
  <c r="F65" i="19"/>
  <c r="F10" i="20" s="1"/>
  <c r="G65" i="19"/>
  <c r="G10" i="20" s="1"/>
  <c r="H65" i="19"/>
  <c r="H10" i="20" s="1"/>
  <c r="V65" i="19"/>
  <c r="V10" i="20" s="1"/>
  <c r="Q8" i="21" s="1"/>
  <c r="T8" i="23" s="1"/>
  <c r="AC65" i="19"/>
  <c r="AC10" i="20" s="1"/>
  <c r="AQ65" i="19"/>
  <c r="AQ10" i="20" s="1"/>
  <c r="AR65" i="19"/>
  <c r="AR10" i="20" s="1"/>
  <c r="AS65" i="19"/>
  <c r="AT65" i="19"/>
  <c r="AU65" i="19"/>
  <c r="D66" i="19"/>
  <c r="E66" i="19"/>
  <c r="F66" i="19"/>
  <c r="G66" i="19"/>
  <c r="H66" i="19"/>
  <c r="V66" i="19"/>
  <c r="AC66" i="19"/>
  <c r="AQ66" i="19"/>
  <c r="AR66" i="19"/>
  <c r="AS66" i="19"/>
  <c r="AT66" i="19"/>
  <c r="AU66" i="19"/>
  <c r="D67" i="19"/>
  <c r="E67" i="19"/>
  <c r="F67" i="19"/>
  <c r="G67" i="19"/>
  <c r="H67" i="19"/>
  <c r="V67" i="19"/>
  <c r="AC67" i="19"/>
  <c r="AQ67" i="19"/>
  <c r="AR67" i="19"/>
  <c r="AS67" i="19"/>
  <c r="AT67" i="19"/>
  <c r="AU67" i="19"/>
  <c r="D68" i="19"/>
  <c r="E68" i="19"/>
  <c r="F68" i="19"/>
  <c r="G68" i="19"/>
  <c r="H68" i="19"/>
  <c r="V68" i="19"/>
  <c r="AC68" i="19"/>
  <c r="AQ68" i="19"/>
  <c r="AR68" i="19"/>
  <c r="AS68" i="19"/>
  <c r="AT68" i="19"/>
  <c r="AU68" i="19"/>
  <c r="D69" i="19"/>
  <c r="E69" i="19"/>
  <c r="F69" i="19"/>
  <c r="G69" i="19"/>
  <c r="H69" i="19"/>
  <c r="V69" i="19"/>
  <c r="AC69" i="19"/>
  <c r="AQ69" i="19"/>
  <c r="AR69" i="19"/>
  <c r="AS69" i="19"/>
  <c r="AT69" i="19"/>
  <c r="AU69" i="19"/>
  <c r="D70" i="19"/>
  <c r="E70" i="19"/>
  <c r="F70" i="19"/>
  <c r="G70" i="19"/>
  <c r="H70" i="19"/>
  <c r="V70" i="19"/>
  <c r="AC70" i="19"/>
  <c r="AQ70" i="19"/>
  <c r="AR70" i="19"/>
  <c r="AS70" i="19"/>
  <c r="AT70" i="19"/>
  <c r="AU70" i="19"/>
  <c r="D71" i="19"/>
  <c r="E71" i="19"/>
  <c r="F71" i="19"/>
  <c r="G71" i="19"/>
  <c r="H71" i="19"/>
  <c r="V71" i="19"/>
  <c r="AC71" i="19"/>
  <c r="AQ71" i="19"/>
  <c r="AR71" i="19"/>
  <c r="AS71" i="19"/>
  <c r="AT71" i="19"/>
  <c r="AU71" i="19"/>
  <c r="D72" i="19"/>
  <c r="E72" i="19"/>
  <c r="F72" i="19"/>
  <c r="G72" i="19"/>
  <c r="H72" i="19"/>
  <c r="V72" i="19"/>
  <c r="AC72" i="19"/>
  <c r="AQ72" i="19"/>
  <c r="AR72" i="19"/>
  <c r="AS72" i="19"/>
  <c r="AT72" i="19"/>
  <c r="AU72" i="19"/>
  <c r="D73" i="19"/>
  <c r="E73" i="19"/>
  <c r="F73" i="19"/>
  <c r="G73" i="19"/>
  <c r="H73" i="19"/>
  <c r="V73" i="19"/>
  <c r="AC73" i="19"/>
  <c r="AQ73" i="19"/>
  <c r="AR73" i="19"/>
  <c r="AS73" i="19"/>
  <c r="AT73" i="19"/>
  <c r="AU73" i="19"/>
  <c r="D74" i="19"/>
  <c r="E74" i="19"/>
  <c r="F74" i="19"/>
  <c r="G74" i="19"/>
  <c r="H74" i="19"/>
  <c r="V74" i="19"/>
  <c r="AC74" i="19"/>
  <c r="AQ74" i="19"/>
  <c r="AR74" i="19"/>
  <c r="AS74" i="19"/>
  <c r="AT74" i="19"/>
  <c r="AU74" i="19"/>
  <c r="D75" i="19"/>
  <c r="E75" i="19"/>
  <c r="F75" i="19"/>
  <c r="G75" i="19"/>
  <c r="H75" i="19"/>
  <c r="V75" i="19"/>
  <c r="AC75" i="19"/>
  <c r="AQ75" i="19"/>
  <c r="AR75" i="19"/>
  <c r="AS75" i="19"/>
  <c r="AT75" i="19"/>
  <c r="AU75" i="19"/>
  <c r="D76" i="19"/>
  <c r="E76" i="19"/>
  <c r="F76" i="19"/>
  <c r="G76" i="19"/>
  <c r="H76" i="19"/>
  <c r="V76" i="19"/>
  <c r="AC76" i="19"/>
  <c r="AQ76" i="19"/>
  <c r="AR76" i="19"/>
  <c r="AS76" i="19"/>
  <c r="AT76" i="19"/>
  <c r="AU76" i="19"/>
  <c r="D77" i="19"/>
  <c r="E77" i="19"/>
  <c r="F77" i="19"/>
  <c r="F11" i="20" s="1"/>
  <c r="G77" i="19"/>
  <c r="G11" i="20" s="1"/>
  <c r="H77" i="19"/>
  <c r="H11" i="20" s="1"/>
  <c r="V77" i="19"/>
  <c r="V11" i="20" s="1"/>
  <c r="Q9" i="21" s="1"/>
  <c r="T9" i="23" s="1"/>
  <c r="AC77" i="19"/>
  <c r="AC11" i="20" s="1"/>
  <c r="AQ77" i="19"/>
  <c r="AQ11" i="20" s="1"/>
  <c r="AR77" i="19"/>
  <c r="AR11" i="20" s="1"/>
  <c r="AS77" i="19"/>
  <c r="AT77" i="19"/>
  <c r="AU77" i="19"/>
  <c r="D78" i="19"/>
  <c r="E78" i="19"/>
  <c r="F78" i="19"/>
  <c r="G78" i="19"/>
  <c r="H78" i="19"/>
  <c r="V78" i="19"/>
  <c r="AC78" i="19"/>
  <c r="AQ78" i="19"/>
  <c r="AR78" i="19"/>
  <c r="AS78" i="19"/>
  <c r="AT78" i="19"/>
  <c r="AU78" i="19"/>
  <c r="D79" i="19"/>
  <c r="E79" i="19"/>
  <c r="F79" i="19"/>
  <c r="G79" i="19"/>
  <c r="H79" i="19"/>
  <c r="V79" i="19"/>
  <c r="AC79" i="19"/>
  <c r="AQ79" i="19"/>
  <c r="AR79" i="19"/>
  <c r="AS79" i="19"/>
  <c r="AT79" i="19"/>
  <c r="AU79" i="19"/>
  <c r="D80" i="19"/>
  <c r="E80" i="19"/>
  <c r="F80" i="19"/>
  <c r="G80" i="19"/>
  <c r="H80" i="19"/>
  <c r="V80" i="19"/>
  <c r="AC80" i="19"/>
  <c r="AQ80" i="19"/>
  <c r="AR80" i="19"/>
  <c r="AS80" i="19"/>
  <c r="AT80" i="19"/>
  <c r="AU80" i="19"/>
  <c r="D81" i="19"/>
  <c r="E81" i="19"/>
  <c r="F81" i="19"/>
  <c r="G81" i="19"/>
  <c r="H81" i="19"/>
  <c r="V81" i="19"/>
  <c r="AC81" i="19"/>
  <c r="AQ81" i="19"/>
  <c r="AR81" i="19"/>
  <c r="AS81" i="19"/>
  <c r="AT81" i="19"/>
  <c r="AU81" i="19"/>
  <c r="D82" i="19"/>
  <c r="E82" i="19"/>
  <c r="F82" i="19"/>
  <c r="G82" i="19"/>
  <c r="H82" i="19"/>
  <c r="V82" i="19"/>
  <c r="AC82" i="19"/>
  <c r="AQ82" i="19"/>
  <c r="AR82" i="19"/>
  <c r="AS82" i="19"/>
  <c r="AT82" i="19"/>
  <c r="AU82" i="19"/>
  <c r="D83" i="19"/>
  <c r="E83" i="19"/>
  <c r="F83" i="19"/>
  <c r="G83" i="19"/>
  <c r="H83" i="19"/>
  <c r="V83" i="19"/>
  <c r="AC83" i="19"/>
  <c r="AQ83" i="19"/>
  <c r="AR83" i="19"/>
  <c r="AS83" i="19"/>
  <c r="AT83" i="19"/>
  <c r="AU83" i="19"/>
  <c r="D84" i="19"/>
  <c r="E84" i="19"/>
  <c r="F84" i="19"/>
  <c r="G84" i="19"/>
  <c r="H84" i="19"/>
  <c r="V84" i="19"/>
  <c r="AC84" i="19"/>
  <c r="AQ84" i="19"/>
  <c r="AR84" i="19"/>
  <c r="AS84" i="19"/>
  <c r="AT84" i="19"/>
  <c r="AU84" i="19"/>
  <c r="D85" i="19"/>
  <c r="E85" i="19"/>
  <c r="F85" i="19"/>
  <c r="G85" i="19"/>
  <c r="H85" i="19"/>
  <c r="V85" i="19"/>
  <c r="AC85" i="19"/>
  <c r="AQ85" i="19"/>
  <c r="AR85" i="19"/>
  <c r="AS85" i="19"/>
  <c r="AT85" i="19"/>
  <c r="AU85" i="19"/>
  <c r="D86" i="19"/>
  <c r="E86" i="19"/>
  <c r="F86" i="19"/>
  <c r="G86" i="19"/>
  <c r="H86" i="19"/>
  <c r="V86" i="19"/>
  <c r="AC86" i="19"/>
  <c r="AQ86" i="19"/>
  <c r="AR86" i="19"/>
  <c r="AS86" i="19"/>
  <c r="AT86" i="19"/>
  <c r="AU86" i="19"/>
  <c r="D87" i="19"/>
  <c r="E87" i="19"/>
  <c r="F87" i="19"/>
  <c r="G87" i="19"/>
  <c r="H87" i="19"/>
  <c r="V87" i="19"/>
  <c r="AC87" i="19"/>
  <c r="AQ87" i="19"/>
  <c r="AR87" i="19"/>
  <c r="AS87" i="19"/>
  <c r="AT87" i="19"/>
  <c r="AU87" i="19"/>
  <c r="D88" i="19"/>
  <c r="E88" i="19"/>
  <c r="F88" i="19"/>
  <c r="G88" i="19"/>
  <c r="H88" i="19"/>
  <c r="V88" i="19"/>
  <c r="AC88" i="19"/>
  <c r="AQ88" i="19"/>
  <c r="AR88" i="19"/>
  <c r="AS88" i="19"/>
  <c r="AT88" i="19"/>
  <c r="AU88" i="19"/>
  <c r="D89" i="19"/>
  <c r="E89" i="19"/>
  <c r="F89" i="19"/>
  <c r="F12" i="20" s="1"/>
  <c r="G89" i="19"/>
  <c r="G12" i="20" s="1"/>
  <c r="H89" i="19"/>
  <c r="H12" i="20" s="1"/>
  <c r="V89" i="19"/>
  <c r="V12" i="20" s="1"/>
  <c r="Q10" i="21" s="1"/>
  <c r="T10" i="23" s="1"/>
  <c r="AC89" i="19"/>
  <c r="AC12" i="20" s="1"/>
  <c r="AQ89" i="19"/>
  <c r="AQ12" i="20" s="1"/>
  <c r="AR89" i="19"/>
  <c r="AR12" i="20" s="1"/>
  <c r="AS89" i="19"/>
  <c r="AT89" i="19"/>
  <c r="AU89" i="19"/>
  <c r="D90" i="19"/>
  <c r="E90" i="19"/>
  <c r="F90" i="19"/>
  <c r="G90" i="19"/>
  <c r="H90" i="19"/>
  <c r="V90" i="19"/>
  <c r="AC90" i="19"/>
  <c r="AQ90" i="19"/>
  <c r="AR90" i="19"/>
  <c r="AS90" i="19"/>
  <c r="AT90" i="19"/>
  <c r="AU90" i="19"/>
  <c r="D91" i="19"/>
  <c r="E91" i="19"/>
  <c r="F91" i="19"/>
  <c r="G91" i="19"/>
  <c r="H91" i="19"/>
  <c r="V91" i="19"/>
  <c r="AC91" i="19"/>
  <c r="AQ91" i="19"/>
  <c r="AR91" i="19"/>
  <c r="AS91" i="19"/>
  <c r="AT91" i="19"/>
  <c r="AU91" i="19"/>
  <c r="D92" i="19"/>
  <c r="E92" i="19"/>
  <c r="F92" i="19"/>
  <c r="G92" i="19"/>
  <c r="H92" i="19"/>
  <c r="V92" i="19"/>
  <c r="AC92" i="19"/>
  <c r="AQ92" i="19"/>
  <c r="AR92" i="19"/>
  <c r="AS92" i="19"/>
  <c r="AT92" i="19"/>
  <c r="AU92" i="19"/>
  <c r="D93" i="19"/>
  <c r="E93" i="19"/>
  <c r="F93" i="19"/>
  <c r="G93" i="19"/>
  <c r="H93" i="19"/>
  <c r="V93" i="19"/>
  <c r="AC93" i="19"/>
  <c r="AQ93" i="19"/>
  <c r="AR93" i="19"/>
  <c r="AS93" i="19"/>
  <c r="AT93" i="19"/>
  <c r="AU93" i="19"/>
  <c r="D94" i="19"/>
  <c r="E94" i="19"/>
  <c r="F94" i="19"/>
  <c r="G94" i="19"/>
  <c r="H94" i="19"/>
  <c r="V94" i="19"/>
  <c r="AC94" i="19"/>
  <c r="AQ94" i="19"/>
  <c r="AR94" i="19"/>
  <c r="AS94" i="19"/>
  <c r="AT94" i="19"/>
  <c r="AU94" i="19"/>
  <c r="D95" i="19"/>
  <c r="E95" i="19"/>
  <c r="F95" i="19"/>
  <c r="G95" i="19"/>
  <c r="H95" i="19"/>
  <c r="V95" i="19"/>
  <c r="AC95" i="19"/>
  <c r="AQ95" i="19"/>
  <c r="AR95" i="19"/>
  <c r="AS95" i="19"/>
  <c r="AT95" i="19"/>
  <c r="AU95" i="19"/>
  <c r="D96" i="19"/>
  <c r="E96" i="19"/>
  <c r="F96" i="19"/>
  <c r="G96" i="19"/>
  <c r="H96" i="19"/>
  <c r="V96" i="19"/>
  <c r="AC96" i="19"/>
  <c r="AQ96" i="19"/>
  <c r="AR96" i="19"/>
  <c r="AS96" i="19"/>
  <c r="AT96" i="19"/>
  <c r="AU96" i="19"/>
  <c r="D97" i="19"/>
  <c r="E97" i="19"/>
  <c r="F97" i="19"/>
  <c r="G97" i="19"/>
  <c r="H97" i="19"/>
  <c r="V97" i="19"/>
  <c r="AC97" i="19"/>
  <c r="AQ97" i="19"/>
  <c r="AR97" i="19"/>
  <c r="AS97" i="19"/>
  <c r="AT97" i="19"/>
  <c r="AU97" i="19"/>
  <c r="D98" i="19"/>
  <c r="E98" i="19"/>
  <c r="F98" i="19"/>
  <c r="G98" i="19"/>
  <c r="H98" i="19"/>
  <c r="V98" i="19"/>
  <c r="AC98" i="19"/>
  <c r="AQ98" i="19"/>
  <c r="AR98" i="19"/>
  <c r="AS98" i="19"/>
  <c r="AT98" i="19"/>
  <c r="AU98" i="19"/>
  <c r="D99" i="19"/>
  <c r="E99" i="19"/>
  <c r="F99" i="19"/>
  <c r="G99" i="19"/>
  <c r="H99" i="19"/>
  <c r="V99" i="19"/>
  <c r="AC99" i="19"/>
  <c r="AQ99" i="19"/>
  <c r="AR99" i="19"/>
  <c r="AS99" i="19"/>
  <c r="AT99" i="19"/>
  <c r="AU99" i="19"/>
  <c r="D100" i="19"/>
  <c r="E100" i="19"/>
  <c r="F100" i="19"/>
  <c r="G100" i="19"/>
  <c r="H100" i="19"/>
  <c r="V100" i="19"/>
  <c r="AC100" i="19"/>
  <c r="AQ100" i="19"/>
  <c r="AR100" i="19"/>
  <c r="AS100" i="19"/>
  <c r="AT100" i="19"/>
  <c r="AU100" i="19"/>
  <c r="D101" i="19"/>
  <c r="E101" i="19"/>
  <c r="F101" i="19"/>
  <c r="F13" i="20" s="1"/>
  <c r="G101" i="19"/>
  <c r="G13" i="20" s="1"/>
  <c r="H101" i="19"/>
  <c r="H13" i="20" s="1"/>
  <c r="V101" i="19"/>
  <c r="V13" i="20" s="1"/>
  <c r="Q11" i="21" s="1"/>
  <c r="T11" i="23" s="1"/>
  <c r="AC101" i="19"/>
  <c r="AC13" i="20" s="1"/>
  <c r="AQ101" i="19"/>
  <c r="AQ13" i="20" s="1"/>
  <c r="AR101" i="19"/>
  <c r="AR13" i="20" s="1"/>
  <c r="AS101" i="19"/>
  <c r="AT101" i="19"/>
  <c r="AU101" i="19"/>
  <c r="D102" i="19"/>
  <c r="E102" i="19"/>
  <c r="F102" i="19"/>
  <c r="G102" i="19"/>
  <c r="H102" i="19"/>
  <c r="V102" i="19"/>
  <c r="AC102" i="19"/>
  <c r="AQ102" i="19"/>
  <c r="AR102" i="19"/>
  <c r="AS102" i="19"/>
  <c r="AT102" i="19"/>
  <c r="AU102" i="19"/>
  <c r="D103" i="19"/>
  <c r="E103" i="19"/>
  <c r="F103" i="19"/>
  <c r="G103" i="19"/>
  <c r="H103" i="19"/>
  <c r="V103" i="19"/>
  <c r="AC103" i="19"/>
  <c r="AQ103" i="19"/>
  <c r="AR103" i="19"/>
  <c r="AS103" i="19"/>
  <c r="AT103" i="19"/>
  <c r="AU103" i="19"/>
  <c r="D104" i="19"/>
  <c r="E104" i="19"/>
  <c r="F104" i="19"/>
  <c r="G104" i="19"/>
  <c r="H104" i="19"/>
  <c r="V104" i="19"/>
  <c r="AC104" i="19"/>
  <c r="AQ104" i="19"/>
  <c r="AR104" i="19"/>
  <c r="AS104" i="19"/>
  <c r="AT104" i="19"/>
  <c r="AU104" i="19"/>
  <c r="D105" i="19"/>
  <c r="E105" i="19"/>
  <c r="F105" i="19"/>
  <c r="G105" i="19"/>
  <c r="H105" i="19"/>
  <c r="V105" i="19"/>
  <c r="AC105" i="19"/>
  <c r="AQ105" i="19"/>
  <c r="AR105" i="19"/>
  <c r="AS105" i="19"/>
  <c r="AT105" i="19"/>
  <c r="AU105" i="19"/>
  <c r="D106" i="19"/>
  <c r="E106" i="19"/>
  <c r="F106" i="19"/>
  <c r="G106" i="19"/>
  <c r="H106" i="19"/>
  <c r="V106" i="19"/>
  <c r="AC106" i="19"/>
  <c r="AQ106" i="19"/>
  <c r="AR106" i="19"/>
  <c r="AS106" i="19"/>
  <c r="AT106" i="19"/>
  <c r="AU106" i="19"/>
  <c r="D107" i="19"/>
  <c r="E107" i="19"/>
  <c r="F107" i="19"/>
  <c r="G107" i="19"/>
  <c r="H107" i="19"/>
  <c r="V107" i="19"/>
  <c r="AC107" i="19"/>
  <c r="AQ107" i="19"/>
  <c r="AR107" i="19"/>
  <c r="AS107" i="19"/>
  <c r="AT107" i="19"/>
  <c r="AU107" i="19"/>
  <c r="D108" i="19"/>
  <c r="E108" i="19"/>
  <c r="F108" i="19"/>
  <c r="G108" i="19"/>
  <c r="H108" i="19"/>
  <c r="V108" i="19"/>
  <c r="AC108" i="19"/>
  <c r="AQ108" i="19"/>
  <c r="AR108" i="19"/>
  <c r="AS108" i="19"/>
  <c r="AT108" i="19"/>
  <c r="AU108" i="19"/>
  <c r="D109" i="19"/>
  <c r="E109" i="19"/>
  <c r="F109" i="19"/>
  <c r="G109" i="19"/>
  <c r="H109" i="19"/>
  <c r="V109" i="19"/>
  <c r="AC109" i="19"/>
  <c r="AQ109" i="19"/>
  <c r="AR109" i="19"/>
  <c r="AS109" i="19"/>
  <c r="AT109" i="19"/>
  <c r="AU109" i="19"/>
  <c r="D110" i="19"/>
  <c r="E110" i="19"/>
  <c r="F110" i="19"/>
  <c r="G110" i="19"/>
  <c r="H110" i="19"/>
  <c r="V110" i="19"/>
  <c r="AC110" i="19"/>
  <c r="AQ110" i="19"/>
  <c r="AR110" i="19"/>
  <c r="AS110" i="19"/>
  <c r="AT110" i="19"/>
  <c r="AU110" i="19"/>
  <c r="D111" i="19"/>
  <c r="E111" i="19"/>
  <c r="F111" i="19"/>
  <c r="G111" i="19"/>
  <c r="H111" i="19"/>
  <c r="V111" i="19"/>
  <c r="AC111" i="19"/>
  <c r="AQ111" i="19"/>
  <c r="AR111" i="19"/>
  <c r="AS111" i="19"/>
  <c r="AT111" i="19"/>
  <c r="AU111" i="19"/>
  <c r="D112" i="19"/>
  <c r="E112" i="19"/>
  <c r="F112" i="19"/>
  <c r="G112" i="19"/>
  <c r="H112" i="19"/>
  <c r="V112" i="19"/>
  <c r="AC112" i="19"/>
  <c r="AQ112" i="19"/>
  <c r="AR112" i="19"/>
  <c r="AS112" i="19"/>
  <c r="AT112" i="19"/>
  <c r="AU112" i="19"/>
  <c r="D113" i="19"/>
  <c r="E113" i="19"/>
  <c r="F113" i="19"/>
  <c r="F14" i="20" s="1"/>
  <c r="G113" i="19"/>
  <c r="G14" i="20" s="1"/>
  <c r="H113" i="19"/>
  <c r="H14" i="20" s="1"/>
  <c r="V113" i="19"/>
  <c r="V14" i="20" s="1"/>
  <c r="Q12" i="21" s="1"/>
  <c r="T12" i="23" s="1"/>
  <c r="AC113" i="19"/>
  <c r="AC14" i="20" s="1"/>
  <c r="AQ113" i="19"/>
  <c r="AQ14" i="20" s="1"/>
  <c r="AR113" i="19"/>
  <c r="AR14" i="20" s="1"/>
  <c r="AS113" i="19"/>
  <c r="AT113" i="19"/>
  <c r="AU113" i="19"/>
  <c r="D114" i="19"/>
  <c r="E114" i="19"/>
  <c r="F114" i="19"/>
  <c r="G114" i="19"/>
  <c r="H114" i="19"/>
  <c r="V114" i="19"/>
  <c r="AC114" i="19"/>
  <c r="AQ114" i="19"/>
  <c r="AR114" i="19"/>
  <c r="AS114" i="19"/>
  <c r="AT114" i="19"/>
  <c r="AU114" i="19"/>
  <c r="D115" i="19"/>
  <c r="E115" i="19"/>
  <c r="F115" i="19"/>
  <c r="G115" i="19"/>
  <c r="H115" i="19"/>
  <c r="V115" i="19"/>
  <c r="AC115" i="19"/>
  <c r="AQ115" i="19"/>
  <c r="AR115" i="19"/>
  <c r="AS115" i="19"/>
  <c r="AT115" i="19"/>
  <c r="AU115" i="19"/>
  <c r="D116" i="19"/>
  <c r="E116" i="19"/>
  <c r="F116" i="19"/>
  <c r="G116" i="19"/>
  <c r="H116" i="19"/>
  <c r="V116" i="19"/>
  <c r="AC116" i="19"/>
  <c r="AQ116" i="19"/>
  <c r="AR116" i="19"/>
  <c r="AS116" i="19"/>
  <c r="AT116" i="19"/>
  <c r="AU116" i="19"/>
  <c r="D117" i="19"/>
  <c r="E117" i="19"/>
  <c r="F117" i="19"/>
  <c r="G117" i="19"/>
  <c r="H117" i="19"/>
  <c r="V117" i="19"/>
  <c r="AC117" i="19"/>
  <c r="AQ117" i="19"/>
  <c r="AR117" i="19"/>
  <c r="AS117" i="19"/>
  <c r="AT117" i="19"/>
  <c r="AU117" i="19"/>
  <c r="D118" i="19"/>
  <c r="E118" i="19"/>
  <c r="F118" i="19"/>
  <c r="G118" i="19"/>
  <c r="H118" i="19"/>
  <c r="V118" i="19"/>
  <c r="AC118" i="19"/>
  <c r="AQ118" i="19"/>
  <c r="AR118" i="19"/>
  <c r="AS118" i="19"/>
  <c r="AT118" i="19"/>
  <c r="AU118" i="19"/>
  <c r="D119" i="19"/>
  <c r="E119" i="19"/>
  <c r="F119" i="19"/>
  <c r="G119" i="19"/>
  <c r="H119" i="19"/>
  <c r="V119" i="19"/>
  <c r="AC119" i="19"/>
  <c r="AQ119" i="19"/>
  <c r="AR119" i="19"/>
  <c r="AS119" i="19"/>
  <c r="AT119" i="19"/>
  <c r="AU119" i="19"/>
  <c r="D120" i="19"/>
  <c r="E120" i="19"/>
  <c r="F120" i="19"/>
  <c r="G120" i="19"/>
  <c r="H120" i="19"/>
  <c r="V120" i="19"/>
  <c r="AC120" i="19"/>
  <c r="AQ120" i="19"/>
  <c r="AR120" i="19"/>
  <c r="AS120" i="19"/>
  <c r="AT120" i="19"/>
  <c r="AU120" i="19"/>
  <c r="D121" i="19"/>
  <c r="E121" i="19"/>
  <c r="F121" i="19"/>
  <c r="G121" i="19"/>
  <c r="H121" i="19"/>
  <c r="V121" i="19"/>
  <c r="AC121" i="19"/>
  <c r="AQ121" i="19"/>
  <c r="AR121" i="19"/>
  <c r="AS121" i="19"/>
  <c r="AT121" i="19"/>
  <c r="AU121" i="19"/>
  <c r="D122" i="19"/>
  <c r="E122" i="19"/>
  <c r="F122" i="19"/>
  <c r="G122" i="19"/>
  <c r="H122" i="19"/>
  <c r="V122" i="19"/>
  <c r="AC122" i="19"/>
  <c r="AQ122" i="19"/>
  <c r="AR122" i="19"/>
  <c r="AS122" i="19"/>
  <c r="AT122" i="19"/>
  <c r="AU122" i="19"/>
  <c r="D123" i="19"/>
  <c r="E123" i="19"/>
  <c r="F123" i="19"/>
  <c r="G123" i="19"/>
  <c r="H123" i="19"/>
  <c r="V123" i="19"/>
  <c r="AC123" i="19"/>
  <c r="AQ123" i="19"/>
  <c r="AR123" i="19"/>
  <c r="AS123" i="19"/>
  <c r="AT123" i="19"/>
  <c r="AU123" i="19"/>
  <c r="D124" i="19"/>
  <c r="E124" i="19"/>
  <c r="F124" i="19"/>
  <c r="G124" i="19"/>
  <c r="H124" i="19"/>
  <c r="V124" i="19"/>
  <c r="AC124" i="19"/>
  <c r="AQ124" i="19"/>
  <c r="AR124" i="19"/>
  <c r="AS124" i="19"/>
  <c r="AT124" i="19"/>
  <c r="AU124" i="19"/>
  <c r="D125" i="19"/>
  <c r="E125" i="19"/>
  <c r="F125" i="19"/>
  <c r="F15" i="20" s="1"/>
  <c r="G125" i="19"/>
  <c r="G15" i="20" s="1"/>
  <c r="H125" i="19"/>
  <c r="H15" i="20" s="1"/>
  <c r="V125" i="19"/>
  <c r="V15" i="20" s="1"/>
  <c r="Q13" i="21" s="1"/>
  <c r="T13" i="23" s="1"/>
  <c r="AC125" i="19"/>
  <c r="AC15" i="20" s="1"/>
  <c r="AQ125" i="19"/>
  <c r="AQ15" i="20" s="1"/>
  <c r="AR125" i="19"/>
  <c r="AR15" i="20" s="1"/>
  <c r="AS125" i="19"/>
  <c r="AT125" i="19"/>
  <c r="AU125" i="19"/>
  <c r="D126" i="19"/>
  <c r="E126" i="19"/>
  <c r="F126" i="19"/>
  <c r="G126" i="19"/>
  <c r="H126" i="19"/>
  <c r="V126" i="19"/>
  <c r="AC126" i="19"/>
  <c r="AQ126" i="19"/>
  <c r="AR126" i="19"/>
  <c r="AS126" i="19"/>
  <c r="AT126" i="19"/>
  <c r="AU126" i="19"/>
  <c r="D127" i="19"/>
  <c r="E127" i="19"/>
  <c r="F127" i="19"/>
  <c r="G127" i="19"/>
  <c r="H127" i="19"/>
  <c r="V127" i="19"/>
  <c r="AC127" i="19"/>
  <c r="AQ127" i="19"/>
  <c r="AR127" i="19"/>
  <c r="AS127" i="19"/>
  <c r="AT127" i="19"/>
  <c r="AU127" i="19"/>
  <c r="D128" i="19"/>
  <c r="E128" i="19"/>
  <c r="F128" i="19"/>
  <c r="G128" i="19"/>
  <c r="H128" i="19"/>
  <c r="V128" i="19"/>
  <c r="AC128" i="19"/>
  <c r="AQ128" i="19"/>
  <c r="AR128" i="19"/>
  <c r="AS128" i="19"/>
  <c r="AT128" i="19"/>
  <c r="AU128" i="19"/>
  <c r="D129" i="19"/>
  <c r="E129" i="19"/>
  <c r="F129" i="19"/>
  <c r="G129" i="19"/>
  <c r="H129" i="19"/>
  <c r="V129" i="19"/>
  <c r="AC129" i="19"/>
  <c r="AQ129" i="19"/>
  <c r="AR129" i="19"/>
  <c r="AS129" i="19"/>
  <c r="AT129" i="19"/>
  <c r="AU129" i="19"/>
  <c r="D130" i="19"/>
  <c r="E130" i="19"/>
  <c r="F130" i="19"/>
  <c r="G130" i="19"/>
  <c r="H130" i="19"/>
  <c r="U130" i="19"/>
  <c r="V130" i="19"/>
  <c r="AC130" i="19"/>
  <c r="AQ130" i="19"/>
  <c r="AR130" i="19"/>
  <c r="AS130" i="19"/>
  <c r="AT130" i="19"/>
  <c r="AU130" i="19"/>
  <c r="D131" i="19"/>
  <c r="E131" i="19"/>
  <c r="F131" i="19"/>
  <c r="G131" i="19"/>
  <c r="H131" i="19"/>
  <c r="U131" i="19"/>
  <c r="V131" i="19"/>
  <c r="AC131" i="19"/>
  <c r="AQ131" i="19"/>
  <c r="AR131" i="19"/>
  <c r="AS131" i="19"/>
  <c r="AT131" i="19"/>
  <c r="AU131" i="19"/>
  <c r="D132" i="19"/>
  <c r="E132" i="19"/>
  <c r="F132" i="19"/>
  <c r="G132" i="19"/>
  <c r="H132" i="19"/>
  <c r="U132" i="19"/>
  <c r="V132" i="19"/>
  <c r="AC132" i="19"/>
  <c r="AQ132" i="19"/>
  <c r="AR132" i="19"/>
  <c r="AS132" i="19"/>
  <c r="AT132" i="19"/>
  <c r="AU132" i="19"/>
  <c r="D133" i="19"/>
  <c r="E133" i="19"/>
  <c r="F133" i="19"/>
  <c r="G133" i="19"/>
  <c r="H133" i="19"/>
  <c r="U133" i="19"/>
  <c r="V133" i="19"/>
  <c r="AC133" i="19"/>
  <c r="AQ133" i="19"/>
  <c r="AR133" i="19"/>
  <c r="AS133" i="19"/>
  <c r="AT133" i="19"/>
  <c r="AU133" i="19"/>
  <c r="D134" i="19"/>
  <c r="E134" i="19"/>
  <c r="F134" i="19"/>
  <c r="G134" i="19"/>
  <c r="H134" i="19"/>
  <c r="U134" i="19"/>
  <c r="V134" i="19"/>
  <c r="AC134" i="19"/>
  <c r="AQ134" i="19"/>
  <c r="AR134" i="19"/>
  <c r="AS134" i="19"/>
  <c r="AT134" i="19"/>
  <c r="AU134" i="19"/>
  <c r="D135" i="19"/>
  <c r="E135" i="19"/>
  <c r="F135" i="19"/>
  <c r="G135" i="19"/>
  <c r="H135" i="19"/>
  <c r="U135" i="19"/>
  <c r="V135" i="19"/>
  <c r="AC135" i="19"/>
  <c r="AQ135" i="19"/>
  <c r="AR135" i="19"/>
  <c r="AS135" i="19"/>
  <c r="AT135" i="19"/>
  <c r="AU135" i="19"/>
  <c r="D136" i="19"/>
  <c r="E136" i="19"/>
  <c r="F136" i="19"/>
  <c r="G136" i="19"/>
  <c r="H136" i="19"/>
  <c r="U136" i="19"/>
  <c r="V136" i="19"/>
  <c r="AC136" i="19"/>
  <c r="AQ136" i="19"/>
  <c r="AR136" i="19"/>
  <c r="AS136" i="19"/>
  <c r="AT136" i="19"/>
  <c r="AU136" i="19"/>
  <c r="D137" i="19"/>
  <c r="E137" i="19"/>
  <c r="F137" i="19"/>
  <c r="F16" i="20" s="1"/>
  <c r="G137" i="19"/>
  <c r="G16" i="20" s="1"/>
  <c r="H137" i="19"/>
  <c r="H16" i="20" s="1"/>
  <c r="U137" i="19"/>
  <c r="U16" i="20" s="1"/>
  <c r="P14" i="21" s="1"/>
  <c r="S14" i="23" s="1"/>
  <c r="V137" i="19"/>
  <c r="V16" i="20" s="1"/>
  <c r="Q14" i="21" s="1"/>
  <c r="T14" i="23" s="1"/>
  <c r="AC137" i="19"/>
  <c r="AC16" i="20" s="1"/>
  <c r="AQ137" i="19"/>
  <c r="AQ16" i="20" s="1"/>
  <c r="AR137" i="19"/>
  <c r="AR16" i="20" s="1"/>
  <c r="AS137" i="19"/>
  <c r="AT137" i="19"/>
  <c r="AU137" i="19"/>
  <c r="D138" i="19"/>
  <c r="E138" i="19"/>
  <c r="F138" i="19"/>
  <c r="G138" i="19"/>
  <c r="H138" i="19"/>
  <c r="U138" i="19"/>
  <c r="V138" i="19"/>
  <c r="AC138" i="19"/>
  <c r="AQ138" i="19"/>
  <c r="AR138" i="19"/>
  <c r="AS138" i="19"/>
  <c r="AT138" i="19"/>
  <c r="AU138" i="19"/>
  <c r="D139" i="19"/>
  <c r="E139" i="19"/>
  <c r="F139" i="19"/>
  <c r="G139" i="19"/>
  <c r="H139" i="19"/>
  <c r="U139" i="19"/>
  <c r="V139" i="19"/>
  <c r="AC139" i="19"/>
  <c r="AQ139" i="19"/>
  <c r="AR139" i="19"/>
  <c r="AS139" i="19"/>
  <c r="AT139" i="19"/>
  <c r="AU139" i="19"/>
  <c r="D140" i="19"/>
  <c r="E140" i="19"/>
  <c r="F140" i="19"/>
  <c r="G140" i="19"/>
  <c r="H140" i="19"/>
  <c r="U140" i="19"/>
  <c r="V140" i="19"/>
  <c r="AC140" i="19"/>
  <c r="AQ140" i="19"/>
  <c r="AR140" i="19"/>
  <c r="AS140" i="19"/>
  <c r="AT140" i="19"/>
  <c r="AU140" i="19"/>
  <c r="D141" i="19"/>
  <c r="E141" i="19"/>
  <c r="F141" i="19"/>
  <c r="G141" i="19"/>
  <c r="H141" i="19"/>
  <c r="U141" i="19"/>
  <c r="V141" i="19"/>
  <c r="AC141" i="19"/>
  <c r="AQ141" i="19"/>
  <c r="AR141" i="19"/>
  <c r="AS141" i="19"/>
  <c r="AT141" i="19"/>
  <c r="AU141" i="19"/>
  <c r="D142" i="19"/>
  <c r="E142" i="19"/>
  <c r="F142" i="19"/>
  <c r="G142" i="19"/>
  <c r="H142" i="19"/>
  <c r="U142" i="19"/>
  <c r="V142" i="19"/>
  <c r="AC142" i="19"/>
  <c r="AQ142" i="19"/>
  <c r="AR142" i="19"/>
  <c r="AS142" i="19"/>
  <c r="AT142" i="19"/>
  <c r="AU142" i="19"/>
  <c r="D143" i="19"/>
  <c r="E143" i="19"/>
  <c r="F143" i="19"/>
  <c r="G143" i="19"/>
  <c r="H143" i="19"/>
  <c r="U143" i="19"/>
  <c r="V143" i="19"/>
  <c r="AC143" i="19"/>
  <c r="AQ143" i="19"/>
  <c r="AR143" i="19"/>
  <c r="AS143" i="19"/>
  <c r="AT143" i="19"/>
  <c r="AU143" i="19"/>
  <c r="D144" i="19"/>
  <c r="E144" i="19"/>
  <c r="F144" i="19"/>
  <c r="G144" i="19"/>
  <c r="H144" i="19"/>
  <c r="U144" i="19"/>
  <c r="V144" i="19"/>
  <c r="AC144" i="19"/>
  <c r="AQ144" i="19"/>
  <c r="AR144" i="19"/>
  <c r="AS144" i="19"/>
  <c r="AT144" i="19"/>
  <c r="AU144" i="19"/>
  <c r="D145" i="19"/>
  <c r="E145" i="19"/>
  <c r="F145" i="19"/>
  <c r="G145" i="19"/>
  <c r="H145" i="19"/>
  <c r="U145" i="19"/>
  <c r="V145" i="19"/>
  <c r="AC145" i="19"/>
  <c r="AQ145" i="19"/>
  <c r="AR145" i="19"/>
  <c r="AS145" i="19"/>
  <c r="AT145" i="19"/>
  <c r="AU145" i="19"/>
  <c r="D146" i="19"/>
  <c r="E146" i="19"/>
  <c r="F146" i="19"/>
  <c r="G146" i="19"/>
  <c r="H146" i="19"/>
  <c r="U146" i="19"/>
  <c r="V146" i="19"/>
  <c r="AC146" i="19"/>
  <c r="AQ146" i="19"/>
  <c r="AR146" i="19"/>
  <c r="AS146" i="19"/>
  <c r="AT146" i="19"/>
  <c r="AU146" i="19"/>
  <c r="D147" i="19"/>
  <c r="E147" i="19"/>
  <c r="F147" i="19"/>
  <c r="G147" i="19"/>
  <c r="H147" i="19"/>
  <c r="U147" i="19"/>
  <c r="V147" i="19"/>
  <c r="AC147" i="19"/>
  <c r="AQ147" i="19"/>
  <c r="AR147" i="19"/>
  <c r="AS147" i="19"/>
  <c r="AT147" i="19"/>
  <c r="AU147" i="19"/>
  <c r="D148" i="19"/>
  <c r="E148" i="19"/>
  <c r="F148" i="19"/>
  <c r="G148" i="19"/>
  <c r="H148" i="19"/>
  <c r="U148" i="19"/>
  <c r="V148" i="19"/>
  <c r="AC148" i="19"/>
  <c r="AQ148" i="19"/>
  <c r="AR148" i="19"/>
  <c r="AS148" i="19"/>
  <c r="AT148" i="19"/>
  <c r="AU148" i="19"/>
  <c r="D149" i="19"/>
  <c r="E149" i="19"/>
  <c r="F149" i="19"/>
  <c r="F17" i="20" s="1"/>
  <c r="G149" i="19"/>
  <c r="G17" i="20" s="1"/>
  <c r="H149" i="19"/>
  <c r="H17" i="20" s="1"/>
  <c r="U149" i="19"/>
  <c r="U17" i="20" s="1"/>
  <c r="P15" i="21" s="1"/>
  <c r="S15" i="23" s="1"/>
  <c r="V149" i="19"/>
  <c r="V17" i="20" s="1"/>
  <c r="Q15" i="21" s="1"/>
  <c r="T15" i="23" s="1"/>
  <c r="AC149" i="19"/>
  <c r="AC17" i="20" s="1"/>
  <c r="AQ149" i="19"/>
  <c r="AQ17" i="20" s="1"/>
  <c r="AR149" i="19"/>
  <c r="AR17" i="20" s="1"/>
  <c r="AS149" i="19"/>
  <c r="AT149" i="19"/>
  <c r="AU149" i="19"/>
  <c r="D150" i="19"/>
  <c r="E150" i="19"/>
  <c r="F150" i="19"/>
  <c r="G150" i="19"/>
  <c r="H150" i="19"/>
  <c r="U150" i="19"/>
  <c r="V150" i="19"/>
  <c r="AC150" i="19"/>
  <c r="AQ150" i="19"/>
  <c r="AR150" i="19"/>
  <c r="AS150" i="19"/>
  <c r="AT150" i="19"/>
  <c r="AU150" i="19"/>
  <c r="D151" i="19"/>
  <c r="E151" i="19"/>
  <c r="F151" i="19"/>
  <c r="G151" i="19"/>
  <c r="H151" i="19"/>
  <c r="U151" i="19"/>
  <c r="V151" i="19"/>
  <c r="AC151" i="19"/>
  <c r="AQ151" i="19"/>
  <c r="AR151" i="19"/>
  <c r="AS151" i="19"/>
  <c r="AT151" i="19"/>
  <c r="AU151" i="19"/>
  <c r="D152" i="19"/>
  <c r="E152" i="19"/>
  <c r="F152" i="19"/>
  <c r="G152" i="19"/>
  <c r="H152" i="19"/>
  <c r="U152" i="19"/>
  <c r="V152" i="19"/>
  <c r="AC152" i="19"/>
  <c r="AQ152" i="19"/>
  <c r="AR152" i="19"/>
  <c r="AS152" i="19"/>
  <c r="AT152" i="19"/>
  <c r="AU152" i="19"/>
  <c r="D153" i="19"/>
  <c r="E153" i="19"/>
  <c r="F153" i="19"/>
  <c r="G153" i="19"/>
  <c r="H153" i="19"/>
  <c r="U153" i="19"/>
  <c r="V153" i="19"/>
  <c r="AC153" i="19"/>
  <c r="AQ153" i="19"/>
  <c r="AR153" i="19"/>
  <c r="AS153" i="19"/>
  <c r="AT153" i="19"/>
  <c r="AU153" i="19"/>
  <c r="D154" i="19"/>
  <c r="E154" i="19"/>
  <c r="F154" i="19"/>
  <c r="G154" i="19"/>
  <c r="H154" i="19"/>
  <c r="U154" i="19"/>
  <c r="V154" i="19"/>
  <c r="AC154" i="19"/>
  <c r="AQ154" i="19"/>
  <c r="AR154" i="19"/>
  <c r="AS154" i="19"/>
  <c r="AT154" i="19"/>
  <c r="AU154" i="19"/>
  <c r="D155" i="19"/>
  <c r="E155" i="19"/>
  <c r="F155" i="19"/>
  <c r="G155" i="19"/>
  <c r="H155" i="19"/>
  <c r="U155" i="19"/>
  <c r="V155" i="19"/>
  <c r="AC155" i="19"/>
  <c r="AQ155" i="19"/>
  <c r="AR155" i="19"/>
  <c r="AS155" i="19"/>
  <c r="AT155" i="19"/>
  <c r="AU155" i="19"/>
  <c r="D156" i="19"/>
  <c r="E156" i="19"/>
  <c r="F156" i="19"/>
  <c r="G156" i="19"/>
  <c r="H156" i="19"/>
  <c r="U156" i="19"/>
  <c r="V156" i="19"/>
  <c r="AC156" i="19"/>
  <c r="AQ156" i="19"/>
  <c r="AR156" i="19"/>
  <c r="AS156" i="19"/>
  <c r="AT156" i="19"/>
  <c r="AU156" i="19"/>
  <c r="D157" i="19"/>
  <c r="E157" i="19"/>
  <c r="F157" i="19"/>
  <c r="G157" i="19"/>
  <c r="H157" i="19"/>
  <c r="U157" i="19"/>
  <c r="V157" i="19"/>
  <c r="AC157" i="19"/>
  <c r="AQ157" i="19"/>
  <c r="AR157" i="19"/>
  <c r="AS157" i="19"/>
  <c r="AT157" i="19"/>
  <c r="AU157" i="19"/>
  <c r="D158" i="19"/>
  <c r="E158" i="19"/>
  <c r="F158" i="19"/>
  <c r="G158" i="19"/>
  <c r="H158" i="19"/>
  <c r="U158" i="19"/>
  <c r="V158" i="19"/>
  <c r="AC158" i="19"/>
  <c r="AQ158" i="19"/>
  <c r="AR158" i="19"/>
  <c r="AS158" i="19"/>
  <c r="AT158" i="19"/>
  <c r="AU158" i="19"/>
  <c r="D159" i="19"/>
  <c r="E159" i="19"/>
  <c r="F159" i="19"/>
  <c r="G159" i="19"/>
  <c r="H159" i="19"/>
  <c r="U159" i="19"/>
  <c r="V159" i="19"/>
  <c r="AC159" i="19"/>
  <c r="AQ159" i="19"/>
  <c r="AR159" i="19"/>
  <c r="AS159" i="19"/>
  <c r="AT159" i="19"/>
  <c r="AU159" i="19"/>
  <c r="D160" i="19"/>
  <c r="E160" i="19"/>
  <c r="F160" i="19"/>
  <c r="G160" i="19"/>
  <c r="H160" i="19"/>
  <c r="U160" i="19"/>
  <c r="V160" i="19"/>
  <c r="AC160" i="19"/>
  <c r="AQ160" i="19"/>
  <c r="AR160" i="19"/>
  <c r="AS160" i="19"/>
  <c r="AT160" i="19"/>
  <c r="AU160" i="19"/>
  <c r="D161" i="19"/>
  <c r="E161" i="19"/>
  <c r="F161" i="19"/>
  <c r="F18" i="20" s="1"/>
  <c r="G161" i="19"/>
  <c r="G18" i="20" s="1"/>
  <c r="H161" i="19"/>
  <c r="H18" i="20" s="1"/>
  <c r="U161" i="19"/>
  <c r="U18" i="20" s="1"/>
  <c r="P16" i="21" s="1"/>
  <c r="S16" i="23" s="1"/>
  <c r="V161" i="19"/>
  <c r="V18" i="20" s="1"/>
  <c r="Q16" i="21" s="1"/>
  <c r="T16" i="23" s="1"/>
  <c r="AC161" i="19"/>
  <c r="AC18" i="20" s="1"/>
  <c r="AQ161" i="19"/>
  <c r="AQ18" i="20" s="1"/>
  <c r="AR161" i="19"/>
  <c r="AR18" i="20" s="1"/>
  <c r="AS161" i="19"/>
  <c r="AT161" i="19"/>
  <c r="AU161" i="19"/>
  <c r="D162" i="19"/>
  <c r="E162" i="19"/>
  <c r="F162" i="19"/>
  <c r="G162" i="19"/>
  <c r="H162" i="19"/>
  <c r="U162" i="19"/>
  <c r="V162" i="19"/>
  <c r="AC162" i="19"/>
  <c r="AQ162" i="19"/>
  <c r="AR162" i="19"/>
  <c r="AS162" i="19"/>
  <c r="AT162" i="19"/>
  <c r="AU162" i="19"/>
  <c r="D163" i="19"/>
  <c r="E163" i="19"/>
  <c r="F163" i="19"/>
  <c r="G163" i="19"/>
  <c r="H163" i="19"/>
  <c r="U163" i="19"/>
  <c r="V163" i="19"/>
  <c r="AC163" i="19"/>
  <c r="AQ163" i="19"/>
  <c r="AR163" i="19"/>
  <c r="AS163" i="19"/>
  <c r="AT163" i="19"/>
  <c r="AU163" i="19"/>
  <c r="D164" i="19"/>
  <c r="E164" i="19"/>
  <c r="F164" i="19"/>
  <c r="G164" i="19"/>
  <c r="H164" i="19"/>
  <c r="U164" i="19"/>
  <c r="V164" i="19"/>
  <c r="AC164" i="19"/>
  <c r="AQ164" i="19"/>
  <c r="AR164" i="19"/>
  <c r="AS164" i="19"/>
  <c r="AT164" i="19"/>
  <c r="AU164" i="19"/>
  <c r="D165" i="19"/>
  <c r="E165" i="19"/>
  <c r="F165" i="19"/>
  <c r="G165" i="19"/>
  <c r="H165" i="19"/>
  <c r="U165" i="19"/>
  <c r="V165" i="19"/>
  <c r="AC165" i="19"/>
  <c r="AQ165" i="19"/>
  <c r="AR165" i="19"/>
  <c r="AS165" i="19"/>
  <c r="AT165" i="19"/>
  <c r="AU165" i="19"/>
  <c r="D166" i="19"/>
  <c r="E166" i="19"/>
  <c r="F166" i="19"/>
  <c r="G166" i="19"/>
  <c r="H166" i="19"/>
  <c r="U166" i="19"/>
  <c r="V166" i="19"/>
  <c r="AC166" i="19"/>
  <c r="AQ166" i="19"/>
  <c r="AR166" i="19"/>
  <c r="AS166" i="19"/>
  <c r="AT166" i="19"/>
  <c r="AU166" i="19"/>
  <c r="D167" i="19"/>
  <c r="E167" i="19"/>
  <c r="F167" i="19"/>
  <c r="G167" i="19"/>
  <c r="H167" i="19"/>
  <c r="U167" i="19"/>
  <c r="V167" i="19"/>
  <c r="AC167" i="19"/>
  <c r="AQ167" i="19"/>
  <c r="AR167" i="19"/>
  <c r="AS167" i="19"/>
  <c r="AT167" i="19"/>
  <c r="AU167" i="19"/>
  <c r="D168" i="19"/>
  <c r="E168" i="19"/>
  <c r="F168" i="19"/>
  <c r="G168" i="19"/>
  <c r="H168" i="19"/>
  <c r="U168" i="19"/>
  <c r="V168" i="19"/>
  <c r="AC168" i="19"/>
  <c r="AQ168" i="19"/>
  <c r="AR168" i="19"/>
  <c r="AS168" i="19"/>
  <c r="AT168" i="19"/>
  <c r="AU168" i="19"/>
  <c r="D169" i="19"/>
  <c r="E169" i="19"/>
  <c r="F169" i="19"/>
  <c r="G169" i="19"/>
  <c r="H169" i="19"/>
  <c r="U169" i="19"/>
  <c r="V169" i="19"/>
  <c r="AC169" i="19"/>
  <c r="AQ169" i="19"/>
  <c r="AR169" i="19"/>
  <c r="AS169" i="19"/>
  <c r="AT169" i="19"/>
  <c r="AU169" i="19"/>
  <c r="D170" i="19"/>
  <c r="E170" i="19"/>
  <c r="F170" i="19"/>
  <c r="G170" i="19"/>
  <c r="H170" i="19"/>
  <c r="U170" i="19"/>
  <c r="V170" i="19"/>
  <c r="AC170" i="19"/>
  <c r="AQ170" i="19"/>
  <c r="AR170" i="19"/>
  <c r="AS170" i="19"/>
  <c r="AT170" i="19"/>
  <c r="AU170" i="19"/>
  <c r="D171" i="19"/>
  <c r="E171" i="19"/>
  <c r="F171" i="19"/>
  <c r="G171" i="19"/>
  <c r="H171" i="19"/>
  <c r="U171" i="19"/>
  <c r="V171" i="19"/>
  <c r="AC171" i="19"/>
  <c r="AQ171" i="19"/>
  <c r="AR171" i="19"/>
  <c r="AS171" i="19"/>
  <c r="AT171" i="19"/>
  <c r="AU171" i="19"/>
  <c r="D172" i="19"/>
  <c r="E172" i="19"/>
  <c r="F172" i="19"/>
  <c r="G172" i="19"/>
  <c r="H172" i="19"/>
  <c r="U172" i="19"/>
  <c r="V172" i="19"/>
  <c r="AC172" i="19"/>
  <c r="AQ172" i="19"/>
  <c r="AR172" i="19"/>
  <c r="AS172" i="19"/>
  <c r="AT172" i="19"/>
  <c r="AU172" i="19"/>
  <c r="D173" i="19"/>
  <c r="E173" i="19"/>
  <c r="F173" i="19"/>
  <c r="F19" i="20" s="1"/>
  <c r="G173" i="19"/>
  <c r="G19" i="20" s="1"/>
  <c r="H173" i="19"/>
  <c r="H19" i="20" s="1"/>
  <c r="U173" i="19"/>
  <c r="U19" i="20" s="1"/>
  <c r="P17" i="21" s="1"/>
  <c r="S17" i="23" s="1"/>
  <c r="V173" i="19"/>
  <c r="V19" i="20" s="1"/>
  <c r="Q17" i="21" s="1"/>
  <c r="T17" i="23" s="1"/>
  <c r="AC173" i="19"/>
  <c r="AC19" i="20" s="1"/>
  <c r="AQ173" i="19"/>
  <c r="AQ19" i="20" s="1"/>
  <c r="AR173" i="19"/>
  <c r="AR19" i="20" s="1"/>
  <c r="AS173" i="19"/>
  <c r="AT173" i="19"/>
  <c r="AU173" i="19"/>
  <c r="D174" i="19"/>
  <c r="E174" i="19"/>
  <c r="F174" i="19"/>
  <c r="G174" i="19"/>
  <c r="H174" i="19"/>
  <c r="U174" i="19"/>
  <c r="V174" i="19"/>
  <c r="AC174" i="19"/>
  <c r="AQ174" i="19"/>
  <c r="AR174" i="19"/>
  <c r="AS174" i="19"/>
  <c r="AT174" i="19"/>
  <c r="AU174" i="19"/>
  <c r="D175" i="19"/>
  <c r="E175" i="19"/>
  <c r="F175" i="19"/>
  <c r="G175" i="19"/>
  <c r="H175" i="19"/>
  <c r="U175" i="19"/>
  <c r="V175" i="19"/>
  <c r="AC175" i="19"/>
  <c r="AQ175" i="19"/>
  <c r="AR175" i="19"/>
  <c r="AS175" i="19"/>
  <c r="AT175" i="19"/>
  <c r="AU175" i="19"/>
  <c r="D176" i="19"/>
  <c r="E176" i="19"/>
  <c r="F176" i="19"/>
  <c r="G176" i="19"/>
  <c r="H176" i="19"/>
  <c r="U176" i="19"/>
  <c r="V176" i="19"/>
  <c r="AC176" i="19"/>
  <c r="AQ176" i="19"/>
  <c r="AR176" i="19"/>
  <c r="AS176" i="19"/>
  <c r="AT176" i="19"/>
  <c r="AU176" i="19"/>
  <c r="D177" i="19"/>
  <c r="E177" i="19"/>
  <c r="F177" i="19"/>
  <c r="G177" i="19"/>
  <c r="H177" i="19"/>
  <c r="U177" i="19"/>
  <c r="V177" i="19"/>
  <c r="AC177" i="19"/>
  <c r="AQ177" i="19"/>
  <c r="AR177" i="19"/>
  <c r="AS177" i="19"/>
  <c r="AT177" i="19"/>
  <c r="AU177" i="19"/>
  <c r="D178" i="19"/>
  <c r="E178" i="19"/>
  <c r="F178" i="19"/>
  <c r="G178" i="19"/>
  <c r="H178" i="19"/>
  <c r="U178" i="19"/>
  <c r="V178" i="19"/>
  <c r="AC178" i="19"/>
  <c r="AQ178" i="19"/>
  <c r="AR178" i="19"/>
  <c r="AS178" i="19"/>
  <c r="AT178" i="19"/>
  <c r="AU178" i="19"/>
  <c r="D179" i="19"/>
  <c r="E179" i="19"/>
  <c r="F179" i="19"/>
  <c r="G179" i="19"/>
  <c r="H179" i="19"/>
  <c r="U179" i="19"/>
  <c r="V179" i="19"/>
  <c r="AC179" i="19"/>
  <c r="AQ179" i="19"/>
  <c r="AR179" i="19"/>
  <c r="AS179" i="19"/>
  <c r="AT179" i="19"/>
  <c r="AU179" i="19"/>
  <c r="D180" i="19"/>
  <c r="E180" i="19"/>
  <c r="F180" i="19"/>
  <c r="G180" i="19"/>
  <c r="H180" i="19"/>
  <c r="U180" i="19"/>
  <c r="V180" i="19"/>
  <c r="AC180" i="19"/>
  <c r="AQ180" i="19"/>
  <c r="AR180" i="19"/>
  <c r="AS180" i="19"/>
  <c r="AT180" i="19"/>
  <c r="AU180" i="19"/>
  <c r="D181" i="19"/>
  <c r="E181" i="19"/>
  <c r="F181" i="19"/>
  <c r="G181" i="19"/>
  <c r="H181" i="19"/>
  <c r="U181" i="19"/>
  <c r="V181" i="19"/>
  <c r="AC181" i="19"/>
  <c r="AQ181" i="19"/>
  <c r="AR181" i="19"/>
  <c r="AS181" i="19"/>
  <c r="AT181" i="19"/>
  <c r="AU181" i="19"/>
  <c r="D182" i="19"/>
  <c r="E182" i="19"/>
  <c r="F182" i="19"/>
  <c r="G182" i="19"/>
  <c r="H182" i="19"/>
  <c r="U182" i="19"/>
  <c r="V182" i="19"/>
  <c r="AC182" i="19"/>
  <c r="AQ182" i="19"/>
  <c r="AR182" i="19"/>
  <c r="AS182" i="19"/>
  <c r="AT182" i="19"/>
  <c r="AU182" i="19"/>
  <c r="D183" i="19"/>
  <c r="E183" i="19"/>
  <c r="F183" i="19"/>
  <c r="G183" i="19"/>
  <c r="H183" i="19"/>
  <c r="U183" i="19"/>
  <c r="V183" i="19"/>
  <c r="AC183" i="19"/>
  <c r="AQ183" i="19"/>
  <c r="AR183" i="19"/>
  <c r="AS183" i="19"/>
  <c r="AT183" i="19"/>
  <c r="AU183" i="19"/>
  <c r="D184" i="19"/>
  <c r="E184" i="19"/>
  <c r="F184" i="19"/>
  <c r="G184" i="19"/>
  <c r="H184" i="19"/>
  <c r="U184" i="19"/>
  <c r="V184" i="19"/>
  <c r="AC184" i="19"/>
  <c r="AQ184" i="19"/>
  <c r="AR184" i="19"/>
  <c r="AS184" i="19"/>
  <c r="AT184" i="19"/>
  <c r="AU184" i="19"/>
  <c r="D185" i="19"/>
  <c r="E185" i="19"/>
  <c r="F185" i="19"/>
  <c r="F20" i="20" s="1"/>
  <c r="G185" i="19"/>
  <c r="G20" i="20" s="1"/>
  <c r="H185" i="19"/>
  <c r="H20" i="20" s="1"/>
  <c r="U185" i="19"/>
  <c r="U20" i="20" s="1"/>
  <c r="P18" i="21" s="1"/>
  <c r="S18" i="23" s="1"/>
  <c r="V185" i="19"/>
  <c r="V20" i="20" s="1"/>
  <c r="Q18" i="21" s="1"/>
  <c r="T18" i="23" s="1"/>
  <c r="AC185" i="19"/>
  <c r="AC20" i="20" s="1"/>
  <c r="AQ185" i="19"/>
  <c r="AQ20" i="20" s="1"/>
  <c r="AR185" i="19"/>
  <c r="AR20" i="20" s="1"/>
  <c r="AS185" i="19"/>
  <c r="AT185" i="19"/>
  <c r="AU185" i="19"/>
  <c r="D186" i="19"/>
  <c r="E186" i="19"/>
  <c r="F186" i="19"/>
  <c r="G186" i="19"/>
  <c r="H186" i="19"/>
  <c r="U186" i="19"/>
  <c r="V186" i="19"/>
  <c r="AC186" i="19"/>
  <c r="AQ186" i="19"/>
  <c r="AR186" i="19"/>
  <c r="AS186" i="19"/>
  <c r="AT186" i="19"/>
  <c r="AU186" i="19"/>
  <c r="D187" i="19"/>
  <c r="E187" i="19"/>
  <c r="F187" i="19"/>
  <c r="G187" i="19"/>
  <c r="H187" i="19"/>
  <c r="U187" i="19"/>
  <c r="V187" i="19"/>
  <c r="AC187" i="19"/>
  <c r="AQ187" i="19"/>
  <c r="AR187" i="19"/>
  <c r="AS187" i="19"/>
  <c r="AT187" i="19"/>
  <c r="AU187" i="19"/>
  <c r="D188" i="19"/>
  <c r="E188" i="19"/>
  <c r="F188" i="19"/>
  <c r="G188" i="19"/>
  <c r="H188" i="19"/>
  <c r="U188" i="19"/>
  <c r="V188" i="19"/>
  <c r="AC188" i="19"/>
  <c r="AQ188" i="19"/>
  <c r="AR188" i="19"/>
  <c r="AS188" i="19"/>
  <c r="AT188" i="19"/>
  <c r="AU188" i="19"/>
  <c r="D189" i="19"/>
  <c r="E189" i="19"/>
  <c r="F189" i="19"/>
  <c r="G189" i="19"/>
  <c r="H189" i="19"/>
  <c r="U189" i="19"/>
  <c r="V189" i="19"/>
  <c r="AC189" i="19"/>
  <c r="AQ189" i="19"/>
  <c r="AR189" i="19"/>
  <c r="AS189" i="19"/>
  <c r="AT189" i="19"/>
  <c r="AU189" i="19"/>
  <c r="D190" i="19"/>
  <c r="E190" i="19"/>
  <c r="F190" i="19"/>
  <c r="G190" i="19"/>
  <c r="H190" i="19"/>
  <c r="U190" i="19"/>
  <c r="V190" i="19"/>
  <c r="AC190" i="19"/>
  <c r="AQ190" i="19"/>
  <c r="AR190" i="19"/>
  <c r="AS190" i="19"/>
  <c r="AT190" i="19"/>
  <c r="AU190" i="19"/>
  <c r="D191" i="19"/>
  <c r="E191" i="19"/>
  <c r="F191" i="19"/>
  <c r="G191" i="19"/>
  <c r="H191" i="19"/>
  <c r="U191" i="19"/>
  <c r="V191" i="19"/>
  <c r="AC191" i="19"/>
  <c r="AQ191" i="19"/>
  <c r="AR191" i="19"/>
  <c r="AS191" i="19"/>
  <c r="AT191" i="19"/>
  <c r="AU191" i="19"/>
  <c r="D192" i="19"/>
  <c r="E192" i="19"/>
  <c r="F192" i="19"/>
  <c r="G192" i="19"/>
  <c r="H192" i="19"/>
  <c r="U192" i="19"/>
  <c r="V192" i="19"/>
  <c r="AC192" i="19"/>
  <c r="AQ192" i="19"/>
  <c r="AR192" i="19"/>
  <c r="AS192" i="19"/>
  <c r="AT192" i="19"/>
  <c r="AU192" i="19"/>
  <c r="D193" i="19"/>
  <c r="E193" i="19"/>
  <c r="F193" i="19"/>
  <c r="G193" i="19"/>
  <c r="H193" i="19"/>
  <c r="U193" i="19"/>
  <c r="V193" i="19"/>
  <c r="AC193" i="19"/>
  <c r="AQ193" i="19"/>
  <c r="AR193" i="19"/>
  <c r="AS193" i="19"/>
  <c r="AT193" i="19"/>
  <c r="AU193" i="19"/>
  <c r="D194" i="19"/>
  <c r="E194" i="19"/>
  <c r="F194" i="19"/>
  <c r="G194" i="19"/>
  <c r="H194" i="19"/>
  <c r="U194" i="19"/>
  <c r="V194" i="19"/>
  <c r="AC194" i="19"/>
  <c r="AQ194" i="19"/>
  <c r="AR194" i="19"/>
  <c r="AS194" i="19"/>
  <c r="AT194" i="19"/>
  <c r="AU194" i="19"/>
  <c r="D195" i="19"/>
  <c r="E195" i="19"/>
  <c r="F195" i="19"/>
  <c r="G195" i="19"/>
  <c r="H195" i="19"/>
  <c r="U195" i="19"/>
  <c r="V195" i="19"/>
  <c r="AC195" i="19"/>
  <c r="AQ195" i="19"/>
  <c r="AR195" i="19"/>
  <c r="AS195" i="19"/>
  <c r="AT195" i="19"/>
  <c r="AU195" i="19"/>
  <c r="D196" i="19"/>
  <c r="E196" i="19"/>
  <c r="F196" i="19"/>
  <c r="G196" i="19"/>
  <c r="H196" i="19"/>
  <c r="U196" i="19"/>
  <c r="V196" i="19"/>
  <c r="AC196" i="19"/>
  <c r="AQ196" i="19"/>
  <c r="AR196" i="19"/>
  <c r="AS196" i="19"/>
  <c r="AT196" i="19"/>
  <c r="AU196" i="19"/>
  <c r="D197" i="19"/>
  <c r="E197" i="19"/>
  <c r="F197" i="19"/>
  <c r="F21" i="20" s="1"/>
  <c r="G197" i="19"/>
  <c r="G21" i="20" s="1"/>
  <c r="H197" i="19"/>
  <c r="H21" i="20" s="1"/>
  <c r="U197" i="19"/>
  <c r="U21" i="20" s="1"/>
  <c r="P19" i="21" s="1"/>
  <c r="S19" i="23" s="1"/>
  <c r="V197" i="19"/>
  <c r="V21" i="20" s="1"/>
  <c r="Q19" i="21" s="1"/>
  <c r="T19" i="23" s="1"/>
  <c r="AC197" i="19"/>
  <c r="AC21" i="20" s="1"/>
  <c r="AQ197" i="19"/>
  <c r="AQ21" i="20" s="1"/>
  <c r="AR197" i="19"/>
  <c r="AR21" i="20" s="1"/>
  <c r="AS197" i="19"/>
  <c r="AT197" i="19"/>
  <c r="AU197" i="19"/>
  <c r="D198" i="19"/>
  <c r="E198" i="19"/>
  <c r="F198" i="19"/>
  <c r="G198" i="19"/>
  <c r="H198" i="19"/>
  <c r="U198" i="19"/>
  <c r="V198" i="19"/>
  <c r="AC198" i="19"/>
  <c r="AQ198" i="19"/>
  <c r="AR198" i="19"/>
  <c r="AS198" i="19"/>
  <c r="AT198" i="19"/>
  <c r="AU198" i="19"/>
  <c r="D199" i="19"/>
  <c r="E199" i="19"/>
  <c r="F199" i="19"/>
  <c r="G199" i="19"/>
  <c r="H199" i="19"/>
  <c r="U199" i="19"/>
  <c r="V199" i="19"/>
  <c r="AC199" i="19"/>
  <c r="AQ199" i="19"/>
  <c r="AR199" i="19"/>
  <c r="AS199" i="19"/>
  <c r="AT199" i="19"/>
  <c r="AU199" i="19"/>
  <c r="D200" i="19"/>
  <c r="E200" i="19"/>
  <c r="F200" i="19"/>
  <c r="G200" i="19"/>
  <c r="H200" i="19"/>
  <c r="U200" i="19"/>
  <c r="V200" i="19"/>
  <c r="AC200" i="19"/>
  <c r="AQ200" i="19"/>
  <c r="AR200" i="19"/>
  <c r="AS200" i="19"/>
  <c r="AT200" i="19"/>
  <c r="AU200" i="19"/>
  <c r="D201" i="19"/>
  <c r="E201" i="19"/>
  <c r="F201" i="19"/>
  <c r="G201" i="19"/>
  <c r="H201" i="19"/>
  <c r="U201" i="19"/>
  <c r="V201" i="19"/>
  <c r="AC201" i="19"/>
  <c r="AQ201" i="19"/>
  <c r="AR201" i="19"/>
  <c r="AS201" i="19"/>
  <c r="AT201" i="19"/>
  <c r="AU201" i="19"/>
  <c r="D202" i="19"/>
  <c r="E202" i="19"/>
  <c r="F202" i="19"/>
  <c r="G202" i="19"/>
  <c r="H202" i="19"/>
  <c r="U202" i="19"/>
  <c r="V202" i="19"/>
  <c r="AC202" i="19"/>
  <c r="AQ202" i="19"/>
  <c r="AR202" i="19"/>
  <c r="AS202" i="19"/>
  <c r="AT202" i="19"/>
  <c r="AU202" i="19"/>
  <c r="D203" i="19"/>
  <c r="E203" i="19"/>
  <c r="F203" i="19"/>
  <c r="G203" i="19"/>
  <c r="H203" i="19"/>
  <c r="U203" i="19"/>
  <c r="V203" i="19"/>
  <c r="AC203" i="19"/>
  <c r="AQ203" i="19"/>
  <c r="AR203" i="19"/>
  <c r="AS203" i="19"/>
  <c r="AT203" i="19"/>
  <c r="AU203" i="19"/>
  <c r="D204" i="19"/>
  <c r="E204" i="19"/>
  <c r="F204" i="19"/>
  <c r="G204" i="19"/>
  <c r="H204" i="19"/>
  <c r="U204" i="19"/>
  <c r="V204" i="19"/>
  <c r="AC204" i="19"/>
  <c r="AQ204" i="19"/>
  <c r="AR204" i="19"/>
  <c r="AS204" i="19"/>
  <c r="AT204" i="19"/>
  <c r="AU204" i="19"/>
  <c r="D205" i="19"/>
  <c r="E205" i="19"/>
  <c r="F205" i="19"/>
  <c r="G205" i="19"/>
  <c r="H205" i="19"/>
  <c r="U205" i="19"/>
  <c r="V205" i="19"/>
  <c r="AC205" i="19"/>
  <c r="AQ205" i="19"/>
  <c r="AR205" i="19"/>
  <c r="AS205" i="19"/>
  <c r="AT205" i="19"/>
  <c r="AU205" i="19"/>
  <c r="D206" i="19"/>
  <c r="E206" i="19"/>
  <c r="F206" i="19"/>
  <c r="G206" i="19"/>
  <c r="H206" i="19"/>
  <c r="U206" i="19"/>
  <c r="V206" i="19"/>
  <c r="AC206" i="19"/>
  <c r="AQ206" i="19"/>
  <c r="AR206" i="19"/>
  <c r="AS206" i="19"/>
  <c r="AT206" i="19"/>
  <c r="AU206" i="19"/>
  <c r="D207" i="19"/>
  <c r="E207" i="19"/>
  <c r="F207" i="19"/>
  <c r="G207" i="19"/>
  <c r="H207" i="19"/>
  <c r="U207" i="19"/>
  <c r="V207" i="19"/>
  <c r="AC207" i="19"/>
  <c r="AQ207" i="19"/>
  <c r="AR207" i="19"/>
  <c r="AS207" i="19"/>
  <c r="AT207" i="19"/>
  <c r="AU207" i="19"/>
  <c r="D208" i="19"/>
  <c r="E208" i="19"/>
  <c r="F208" i="19"/>
  <c r="G208" i="19"/>
  <c r="H208" i="19"/>
  <c r="U208" i="19"/>
  <c r="V208" i="19"/>
  <c r="AC208" i="19"/>
  <c r="AQ208" i="19"/>
  <c r="AR208" i="19"/>
  <c r="AS208" i="19"/>
  <c r="AT208" i="19"/>
  <c r="AU208" i="19"/>
  <c r="D209" i="19"/>
  <c r="E209" i="19"/>
  <c r="F209" i="19"/>
  <c r="F22" i="20" s="1"/>
  <c r="G209" i="19"/>
  <c r="G22" i="20" s="1"/>
  <c r="H209" i="19"/>
  <c r="H22" i="20" s="1"/>
  <c r="U209" i="19"/>
  <c r="U22" i="20" s="1"/>
  <c r="P20" i="21" s="1"/>
  <c r="S20" i="23" s="1"/>
  <c r="V209" i="19"/>
  <c r="V22" i="20" s="1"/>
  <c r="Q20" i="21" s="1"/>
  <c r="T20" i="23" s="1"/>
  <c r="AC209" i="19"/>
  <c r="AC22" i="20" s="1"/>
  <c r="AQ209" i="19"/>
  <c r="AQ22" i="20" s="1"/>
  <c r="AR209" i="19"/>
  <c r="AR22" i="20" s="1"/>
  <c r="AS209" i="19"/>
  <c r="AT209" i="19"/>
  <c r="AU209" i="19"/>
  <c r="D210" i="19"/>
  <c r="E210" i="19"/>
  <c r="F210" i="19"/>
  <c r="G210" i="19"/>
  <c r="H210" i="19"/>
  <c r="U210" i="19"/>
  <c r="V210" i="19"/>
  <c r="AC210" i="19"/>
  <c r="AQ210" i="19"/>
  <c r="AR210" i="19"/>
  <c r="AS210" i="19"/>
  <c r="AT210" i="19"/>
  <c r="AU210" i="19"/>
  <c r="D211" i="19"/>
  <c r="E211" i="19"/>
  <c r="F211" i="19"/>
  <c r="G211" i="19"/>
  <c r="H211" i="19"/>
  <c r="U211" i="19"/>
  <c r="V211" i="19"/>
  <c r="AC211" i="19"/>
  <c r="AQ211" i="19"/>
  <c r="AR211" i="19"/>
  <c r="AS211" i="19"/>
  <c r="AT211" i="19"/>
  <c r="AU211" i="19"/>
  <c r="D212" i="19"/>
  <c r="E212" i="19"/>
  <c r="F212" i="19"/>
  <c r="G212" i="19"/>
  <c r="H212" i="19"/>
  <c r="U212" i="19"/>
  <c r="V212" i="19"/>
  <c r="AC212" i="19"/>
  <c r="AQ212" i="19"/>
  <c r="AR212" i="19"/>
  <c r="AS212" i="19"/>
  <c r="AT212" i="19"/>
  <c r="AU212" i="19"/>
  <c r="D213" i="19"/>
  <c r="E213" i="19"/>
  <c r="F213" i="19"/>
  <c r="G213" i="19"/>
  <c r="H213" i="19"/>
  <c r="U213" i="19"/>
  <c r="V213" i="19"/>
  <c r="AC213" i="19"/>
  <c r="AQ213" i="19"/>
  <c r="AR213" i="19"/>
  <c r="AS213" i="19"/>
  <c r="AT213" i="19"/>
  <c r="AU213" i="19"/>
  <c r="D214" i="19"/>
  <c r="E214" i="19"/>
  <c r="F214" i="19"/>
  <c r="G214" i="19"/>
  <c r="H214" i="19"/>
  <c r="U214" i="19"/>
  <c r="V214" i="19"/>
  <c r="AC214" i="19"/>
  <c r="AQ214" i="19"/>
  <c r="AR214" i="19"/>
  <c r="AS214" i="19"/>
  <c r="AT214" i="19"/>
  <c r="AU214" i="19"/>
  <c r="D215" i="19"/>
  <c r="E215" i="19"/>
  <c r="F215" i="19"/>
  <c r="G215" i="19"/>
  <c r="H215" i="19"/>
  <c r="U215" i="19"/>
  <c r="V215" i="19"/>
  <c r="AC215" i="19"/>
  <c r="AQ215" i="19"/>
  <c r="AR215" i="19"/>
  <c r="AS215" i="19"/>
  <c r="AT215" i="19"/>
  <c r="AU215" i="19"/>
  <c r="D216" i="19"/>
  <c r="E216" i="19"/>
  <c r="F216" i="19"/>
  <c r="G216" i="19"/>
  <c r="H216" i="19"/>
  <c r="U216" i="19"/>
  <c r="V216" i="19"/>
  <c r="AC216" i="19"/>
  <c r="AQ216" i="19"/>
  <c r="AR216" i="19"/>
  <c r="AS216" i="19"/>
  <c r="AT216" i="19"/>
  <c r="AU216" i="19"/>
  <c r="D217" i="19"/>
  <c r="E217" i="19"/>
  <c r="F217" i="19"/>
  <c r="G217" i="19"/>
  <c r="H217" i="19"/>
  <c r="U217" i="19"/>
  <c r="V217" i="19"/>
  <c r="AC217" i="19"/>
  <c r="AQ217" i="19"/>
  <c r="AR217" i="19"/>
  <c r="AS217" i="19"/>
  <c r="AT217" i="19"/>
  <c r="AU217" i="19"/>
  <c r="D218" i="19"/>
  <c r="E218" i="19"/>
  <c r="F218" i="19"/>
  <c r="G218" i="19"/>
  <c r="H218" i="19"/>
  <c r="U218" i="19"/>
  <c r="V218" i="19"/>
  <c r="AC218" i="19"/>
  <c r="AQ218" i="19"/>
  <c r="AR218" i="19"/>
  <c r="AS218" i="19"/>
  <c r="AT218" i="19"/>
  <c r="AU218" i="19"/>
  <c r="D219" i="19"/>
  <c r="E219" i="19"/>
  <c r="F219" i="19"/>
  <c r="G219" i="19"/>
  <c r="H219" i="19"/>
  <c r="U219" i="19"/>
  <c r="V219" i="19"/>
  <c r="AC219" i="19"/>
  <c r="AQ219" i="19"/>
  <c r="AR219" i="19"/>
  <c r="AS219" i="19"/>
  <c r="AT219" i="19"/>
  <c r="AU219" i="19"/>
  <c r="D220" i="19"/>
  <c r="E220" i="19"/>
  <c r="F220" i="19"/>
  <c r="G220" i="19"/>
  <c r="H220" i="19"/>
  <c r="U220" i="19"/>
  <c r="V220" i="19"/>
  <c r="AC220" i="19"/>
  <c r="AQ220" i="19"/>
  <c r="AR220" i="19"/>
  <c r="AS220" i="19"/>
  <c r="AT220" i="19"/>
  <c r="AU220" i="19"/>
  <c r="D221" i="19"/>
  <c r="E221" i="19"/>
  <c r="F221" i="19"/>
  <c r="F23" i="20" s="1"/>
  <c r="G221" i="19"/>
  <c r="G23" i="20" s="1"/>
  <c r="H221" i="19"/>
  <c r="H23" i="20" s="1"/>
  <c r="U221" i="19"/>
  <c r="U23" i="20" s="1"/>
  <c r="P21" i="21" s="1"/>
  <c r="S21" i="23" s="1"/>
  <c r="V221" i="19"/>
  <c r="V23" i="20" s="1"/>
  <c r="Q21" i="21" s="1"/>
  <c r="T21" i="23" s="1"/>
  <c r="AC221" i="19"/>
  <c r="AC23" i="20" s="1"/>
  <c r="AQ221" i="19"/>
  <c r="AQ23" i="20" s="1"/>
  <c r="AR221" i="19"/>
  <c r="AR23" i="20" s="1"/>
  <c r="AS221" i="19"/>
  <c r="AT221" i="19"/>
  <c r="AU221" i="19"/>
  <c r="D222" i="19"/>
  <c r="E222" i="19"/>
  <c r="F222" i="19"/>
  <c r="G222" i="19"/>
  <c r="H222" i="19"/>
  <c r="U222" i="19"/>
  <c r="V222" i="19"/>
  <c r="AC222" i="19"/>
  <c r="AQ222" i="19"/>
  <c r="AR222" i="19"/>
  <c r="AS222" i="19"/>
  <c r="AT222" i="19"/>
  <c r="AU222" i="19"/>
  <c r="D223" i="19"/>
  <c r="E223" i="19"/>
  <c r="F223" i="19"/>
  <c r="G223" i="19"/>
  <c r="H223" i="19"/>
  <c r="U223" i="19"/>
  <c r="V223" i="19"/>
  <c r="AC223" i="19"/>
  <c r="AQ223" i="19"/>
  <c r="AR223" i="19"/>
  <c r="AS223" i="19"/>
  <c r="AT223" i="19"/>
  <c r="AU223" i="19"/>
  <c r="D224" i="19"/>
  <c r="E224" i="19"/>
  <c r="F224" i="19"/>
  <c r="G224" i="19"/>
  <c r="H224" i="19"/>
  <c r="U224" i="19"/>
  <c r="V224" i="19"/>
  <c r="AC224" i="19"/>
  <c r="AQ224" i="19"/>
  <c r="AR224" i="19"/>
  <c r="AS224" i="19"/>
  <c r="AT224" i="19"/>
  <c r="AU224" i="19"/>
  <c r="D225" i="19"/>
  <c r="E225" i="19"/>
  <c r="F225" i="19"/>
  <c r="G225" i="19"/>
  <c r="H225" i="19"/>
  <c r="U225" i="19"/>
  <c r="V225" i="19"/>
  <c r="AC225" i="19"/>
  <c r="AQ225" i="19"/>
  <c r="AR225" i="19"/>
  <c r="AS225" i="19"/>
  <c r="AT225" i="19"/>
  <c r="AU225" i="19"/>
  <c r="D226" i="19"/>
  <c r="E226" i="19"/>
  <c r="F226" i="19"/>
  <c r="G226" i="19"/>
  <c r="H226" i="19"/>
  <c r="U226" i="19"/>
  <c r="V226" i="19"/>
  <c r="AC226" i="19"/>
  <c r="AQ226" i="19"/>
  <c r="AR226" i="19"/>
  <c r="AS226" i="19"/>
  <c r="AT226" i="19"/>
  <c r="AU226" i="19"/>
  <c r="D227" i="19"/>
  <c r="E227" i="19"/>
  <c r="F227" i="19"/>
  <c r="G227" i="19"/>
  <c r="H227" i="19"/>
  <c r="U227" i="19"/>
  <c r="V227" i="19"/>
  <c r="AC227" i="19"/>
  <c r="AQ227" i="19"/>
  <c r="AR227" i="19"/>
  <c r="AS227" i="19"/>
  <c r="AT227" i="19"/>
  <c r="AU227" i="19"/>
  <c r="D228" i="19"/>
  <c r="E228" i="19"/>
  <c r="F228" i="19"/>
  <c r="G228" i="19"/>
  <c r="H228" i="19"/>
  <c r="U228" i="19"/>
  <c r="V228" i="19"/>
  <c r="AC228" i="19"/>
  <c r="AQ228" i="19"/>
  <c r="AR228" i="19"/>
  <c r="AS228" i="19"/>
  <c r="AT228" i="19"/>
  <c r="AU228" i="19"/>
  <c r="D229" i="19"/>
  <c r="E229" i="19"/>
  <c r="F229" i="19"/>
  <c r="G229" i="19"/>
  <c r="H229" i="19"/>
  <c r="U229" i="19"/>
  <c r="V229" i="19"/>
  <c r="AC229" i="19"/>
  <c r="AQ229" i="19"/>
  <c r="AR229" i="19"/>
  <c r="AS229" i="19"/>
  <c r="AT229" i="19"/>
  <c r="AU229" i="19"/>
  <c r="D230" i="19"/>
  <c r="E230" i="19"/>
  <c r="F230" i="19"/>
  <c r="G230" i="19"/>
  <c r="H230" i="19"/>
  <c r="U230" i="19"/>
  <c r="V230" i="19"/>
  <c r="AC230" i="19"/>
  <c r="AQ230" i="19"/>
  <c r="AR230" i="19"/>
  <c r="AS230" i="19"/>
  <c r="AT230" i="19"/>
  <c r="AU230" i="19"/>
  <c r="D231" i="19"/>
  <c r="E231" i="19"/>
  <c r="F231" i="19"/>
  <c r="G231" i="19"/>
  <c r="H231" i="19"/>
  <c r="U231" i="19"/>
  <c r="V231" i="19"/>
  <c r="AC231" i="19"/>
  <c r="AQ231" i="19"/>
  <c r="AR231" i="19"/>
  <c r="AS231" i="19"/>
  <c r="AT231" i="19"/>
  <c r="AU231" i="19"/>
  <c r="D232" i="19"/>
  <c r="E232" i="19"/>
  <c r="F232" i="19"/>
  <c r="G232" i="19"/>
  <c r="H232" i="19"/>
  <c r="U232" i="19"/>
  <c r="V232" i="19"/>
  <c r="AC232" i="19"/>
  <c r="AQ232" i="19"/>
  <c r="AR232" i="19"/>
  <c r="AS232" i="19"/>
  <c r="AT232" i="19"/>
  <c r="AU232" i="19"/>
  <c r="D233" i="19"/>
  <c r="E233" i="19"/>
  <c r="F233" i="19"/>
  <c r="F24" i="20" s="1"/>
  <c r="G233" i="19"/>
  <c r="G24" i="20" s="1"/>
  <c r="H233" i="19"/>
  <c r="H24" i="20" s="1"/>
  <c r="U233" i="19"/>
  <c r="U24" i="20" s="1"/>
  <c r="P22" i="21" s="1"/>
  <c r="S22" i="23" s="1"/>
  <c r="V233" i="19"/>
  <c r="V24" i="20" s="1"/>
  <c r="Q22" i="21" s="1"/>
  <c r="T22" i="23" s="1"/>
  <c r="AC233" i="19"/>
  <c r="AC24" i="20" s="1"/>
  <c r="AQ233" i="19"/>
  <c r="AQ24" i="20" s="1"/>
  <c r="AR233" i="19"/>
  <c r="AR24" i="20" s="1"/>
  <c r="AS233" i="19"/>
  <c r="AT233" i="19"/>
  <c r="AU233" i="19"/>
  <c r="D234" i="19"/>
  <c r="E234" i="19"/>
  <c r="F234" i="19"/>
  <c r="G234" i="19"/>
  <c r="H234" i="19"/>
  <c r="U234" i="19"/>
  <c r="V234" i="19"/>
  <c r="AC234" i="19"/>
  <c r="AQ234" i="19"/>
  <c r="AR234" i="19"/>
  <c r="AS234" i="19"/>
  <c r="AT234" i="19"/>
  <c r="AU234" i="19"/>
  <c r="D235" i="19"/>
  <c r="E235" i="19"/>
  <c r="F235" i="19"/>
  <c r="G235" i="19"/>
  <c r="H235" i="19"/>
  <c r="U235" i="19"/>
  <c r="V235" i="19"/>
  <c r="AC235" i="19"/>
  <c r="AQ235" i="19"/>
  <c r="AR235" i="19"/>
  <c r="AS235" i="19"/>
  <c r="AT235" i="19"/>
  <c r="AU235" i="19"/>
  <c r="D236" i="19"/>
  <c r="E236" i="19"/>
  <c r="F236" i="19"/>
  <c r="G236" i="19"/>
  <c r="H236" i="19"/>
  <c r="U236" i="19"/>
  <c r="V236" i="19"/>
  <c r="AC236" i="19"/>
  <c r="AQ236" i="19"/>
  <c r="AR236" i="19"/>
  <c r="AS236" i="19"/>
  <c r="AT236" i="19"/>
  <c r="AU236" i="19"/>
  <c r="D237" i="19"/>
  <c r="E237" i="19"/>
  <c r="F237" i="19"/>
  <c r="G237" i="19"/>
  <c r="H237" i="19"/>
  <c r="U237" i="19"/>
  <c r="V237" i="19"/>
  <c r="AC237" i="19"/>
  <c r="AQ237" i="19"/>
  <c r="AR237" i="19"/>
  <c r="AS237" i="19"/>
  <c r="AT237" i="19"/>
  <c r="AU237" i="19"/>
  <c r="D238" i="19"/>
  <c r="E238" i="19"/>
  <c r="F238" i="19"/>
  <c r="G238" i="19"/>
  <c r="H238" i="19"/>
  <c r="U238" i="19"/>
  <c r="V238" i="19"/>
  <c r="AC238" i="19"/>
  <c r="AQ238" i="19"/>
  <c r="AR238" i="19"/>
  <c r="AS238" i="19"/>
  <c r="AT238" i="19"/>
  <c r="AU238" i="19"/>
  <c r="D239" i="19"/>
  <c r="E239" i="19"/>
  <c r="F239" i="19"/>
  <c r="G239" i="19"/>
  <c r="H239" i="19"/>
  <c r="U239" i="19"/>
  <c r="V239" i="19"/>
  <c r="AC239" i="19"/>
  <c r="AQ239" i="19"/>
  <c r="AR239" i="19"/>
  <c r="AS239" i="19"/>
  <c r="AT239" i="19"/>
  <c r="AU239" i="19"/>
  <c r="D240" i="19"/>
  <c r="E240" i="19"/>
  <c r="F240" i="19"/>
  <c r="G240" i="19"/>
  <c r="H240" i="19"/>
  <c r="U240" i="19"/>
  <c r="V240" i="19"/>
  <c r="AC240" i="19"/>
  <c r="AQ240" i="19"/>
  <c r="AR240" i="19"/>
  <c r="AS240" i="19"/>
  <c r="AT240" i="19"/>
  <c r="AU240" i="19"/>
  <c r="D241" i="19"/>
  <c r="E241" i="19"/>
  <c r="F241" i="19"/>
  <c r="G241" i="19"/>
  <c r="H241" i="19"/>
  <c r="U241" i="19"/>
  <c r="V241" i="19"/>
  <c r="AC241" i="19"/>
  <c r="AQ241" i="19"/>
  <c r="AR241" i="19"/>
  <c r="AS241" i="19"/>
  <c r="AT241" i="19"/>
  <c r="AU241" i="19"/>
  <c r="D242" i="19"/>
  <c r="E242" i="19"/>
  <c r="F242" i="19"/>
  <c r="G242" i="19"/>
  <c r="H242" i="19"/>
  <c r="U242" i="19"/>
  <c r="V242" i="19"/>
  <c r="AC242" i="19"/>
  <c r="AQ242" i="19"/>
  <c r="AR242" i="19"/>
  <c r="AS242" i="19"/>
  <c r="AT242" i="19"/>
  <c r="AU242" i="19"/>
  <c r="D243" i="19"/>
  <c r="E243" i="19"/>
  <c r="F243" i="19"/>
  <c r="G243" i="19"/>
  <c r="H243" i="19"/>
  <c r="U243" i="19"/>
  <c r="V243" i="19"/>
  <c r="AC243" i="19"/>
  <c r="AQ243" i="19"/>
  <c r="AR243" i="19"/>
  <c r="AS243" i="19"/>
  <c r="AT243" i="19"/>
  <c r="AU243" i="19"/>
  <c r="D244" i="19"/>
  <c r="E244" i="19"/>
  <c r="F244" i="19"/>
  <c r="G244" i="19"/>
  <c r="H244" i="19"/>
  <c r="U244" i="19"/>
  <c r="V244" i="19"/>
  <c r="AC244" i="19"/>
  <c r="AQ244" i="19"/>
  <c r="AR244" i="19"/>
  <c r="AS244" i="19"/>
  <c r="AT244" i="19"/>
  <c r="AU244" i="19"/>
  <c r="D245" i="19"/>
  <c r="E245" i="19"/>
  <c r="F245" i="19"/>
  <c r="F25" i="20" s="1"/>
  <c r="G245" i="19"/>
  <c r="G25" i="20" s="1"/>
  <c r="H245" i="19"/>
  <c r="H25" i="20" s="1"/>
  <c r="U245" i="19"/>
  <c r="U25" i="20" s="1"/>
  <c r="P23" i="21" s="1"/>
  <c r="S23" i="23" s="1"/>
  <c r="V245" i="19"/>
  <c r="V25" i="20" s="1"/>
  <c r="Q23" i="21" s="1"/>
  <c r="T23" i="23" s="1"/>
  <c r="AC245" i="19"/>
  <c r="AC25" i="20" s="1"/>
  <c r="AQ245" i="19"/>
  <c r="AQ25" i="20" s="1"/>
  <c r="AR245" i="19"/>
  <c r="AR25" i="20" s="1"/>
  <c r="AS245" i="19"/>
  <c r="AT245" i="19"/>
  <c r="AU245" i="19"/>
  <c r="B246" i="19"/>
  <c r="D246" i="19"/>
  <c r="E246" i="19"/>
  <c r="F246" i="19"/>
  <c r="G246" i="19"/>
  <c r="H246" i="19"/>
  <c r="U246" i="19"/>
  <c r="V246" i="19"/>
  <c r="AC246" i="19"/>
  <c r="AQ246" i="19"/>
  <c r="AR246" i="19"/>
  <c r="AS246" i="19"/>
  <c r="AT246" i="19"/>
  <c r="AU246" i="19"/>
  <c r="B247" i="19"/>
  <c r="D247" i="19"/>
  <c r="E247" i="19"/>
  <c r="F247" i="19"/>
  <c r="G247" i="19"/>
  <c r="H247" i="19"/>
  <c r="U247" i="19"/>
  <c r="V247" i="19"/>
  <c r="AC247" i="19"/>
  <c r="AQ247" i="19"/>
  <c r="AR247" i="19"/>
  <c r="AS247" i="19"/>
  <c r="AT247" i="19"/>
  <c r="AU247" i="19"/>
  <c r="B248" i="19"/>
  <c r="D248" i="19"/>
  <c r="E248" i="19"/>
  <c r="F248" i="19"/>
  <c r="G248" i="19"/>
  <c r="H248" i="19"/>
  <c r="U248" i="19"/>
  <c r="V248" i="19"/>
  <c r="AC248" i="19"/>
  <c r="AQ248" i="19"/>
  <c r="AR248" i="19"/>
  <c r="AS248" i="19"/>
  <c r="AT248" i="19"/>
  <c r="AU248" i="19"/>
  <c r="B249" i="19"/>
  <c r="D249" i="19"/>
  <c r="E249" i="19"/>
  <c r="F249" i="19"/>
  <c r="G249" i="19"/>
  <c r="H249" i="19"/>
  <c r="U249" i="19"/>
  <c r="V249" i="19"/>
  <c r="AC249" i="19"/>
  <c r="AQ249" i="19"/>
  <c r="AR249" i="19"/>
  <c r="AS249" i="19"/>
  <c r="AT249" i="19"/>
  <c r="AU249" i="19"/>
  <c r="B250" i="19"/>
  <c r="D250" i="19"/>
  <c r="E250" i="19"/>
  <c r="F250" i="19"/>
  <c r="G250" i="19"/>
  <c r="H250" i="19"/>
  <c r="U250" i="19"/>
  <c r="V250" i="19"/>
  <c r="AC250" i="19"/>
  <c r="AQ250" i="19"/>
  <c r="AR250" i="19"/>
  <c r="AS250" i="19"/>
  <c r="AT250" i="19"/>
  <c r="AU250" i="19"/>
  <c r="B251" i="19"/>
  <c r="D251" i="19"/>
  <c r="E251" i="19"/>
  <c r="F251" i="19"/>
  <c r="G251" i="19"/>
  <c r="H251" i="19"/>
  <c r="U251" i="19"/>
  <c r="V251" i="19"/>
  <c r="AC251" i="19"/>
  <c r="AQ251" i="19"/>
  <c r="AR251" i="19"/>
  <c r="AS251" i="19"/>
  <c r="AT251" i="19"/>
  <c r="AU251" i="19"/>
  <c r="B252" i="19"/>
  <c r="D252" i="19"/>
  <c r="E252" i="19"/>
  <c r="F252" i="19"/>
  <c r="G252" i="19"/>
  <c r="H252" i="19"/>
  <c r="U252" i="19"/>
  <c r="V252" i="19"/>
  <c r="AC252" i="19"/>
  <c r="AQ252" i="19"/>
  <c r="AR252" i="19"/>
  <c r="AS252" i="19"/>
  <c r="AT252" i="19"/>
  <c r="AU252" i="19"/>
  <c r="B253" i="19"/>
  <c r="D253" i="19"/>
  <c r="E253" i="19"/>
  <c r="F253" i="19"/>
  <c r="G253" i="19"/>
  <c r="H253" i="19"/>
  <c r="U253" i="19"/>
  <c r="V253" i="19"/>
  <c r="AC253" i="19"/>
  <c r="AQ253" i="19"/>
  <c r="AR253" i="19"/>
  <c r="AS253" i="19"/>
  <c r="AT253" i="19"/>
  <c r="AU253" i="19"/>
  <c r="B254" i="19"/>
  <c r="D254" i="19"/>
  <c r="E254" i="19"/>
  <c r="F254" i="19"/>
  <c r="G254" i="19"/>
  <c r="H254" i="19"/>
  <c r="U254" i="19"/>
  <c r="V254" i="19"/>
  <c r="AC254" i="19"/>
  <c r="AQ254" i="19"/>
  <c r="AR254" i="19"/>
  <c r="AS254" i="19"/>
  <c r="AT254" i="19"/>
  <c r="AU254" i="19"/>
  <c r="B255" i="19"/>
  <c r="D255" i="19"/>
  <c r="E255" i="19"/>
  <c r="F255" i="19"/>
  <c r="G255" i="19"/>
  <c r="H255" i="19"/>
  <c r="U255" i="19"/>
  <c r="V255" i="19"/>
  <c r="AC255" i="19"/>
  <c r="AQ255" i="19"/>
  <c r="AR255" i="19"/>
  <c r="AS255" i="19"/>
  <c r="AT255" i="19"/>
  <c r="AU255" i="19"/>
  <c r="B256" i="19"/>
  <c r="D256" i="19"/>
  <c r="E256" i="19"/>
  <c r="F256" i="19"/>
  <c r="G256" i="19"/>
  <c r="H256" i="19"/>
  <c r="U256" i="19"/>
  <c r="V256" i="19"/>
  <c r="AC256" i="19"/>
  <c r="AQ256" i="19"/>
  <c r="AR256" i="19"/>
  <c r="AS256" i="19"/>
  <c r="AT256" i="19"/>
  <c r="AU256" i="19"/>
  <c r="B257" i="19"/>
  <c r="D257" i="19"/>
  <c r="E257" i="19"/>
  <c r="F257" i="19"/>
  <c r="F26" i="20" s="1"/>
  <c r="G257" i="19"/>
  <c r="G26" i="20" s="1"/>
  <c r="H257" i="19"/>
  <c r="H26" i="20" s="1"/>
  <c r="U257" i="19"/>
  <c r="U26" i="20" s="1"/>
  <c r="P24" i="21" s="1"/>
  <c r="S24" i="23" s="1"/>
  <c r="V257" i="19"/>
  <c r="V26" i="20" s="1"/>
  <c r="Q24" i="21" s="1"/>
  <c r="T24" i="23" s="1"/>
  <c r="AC257" i="19"/>
  <c r="AC26" i="20" s="1"/>
  <c r="AQ257" i="19"/>
  <c r="AQ26" i="20" s="1"/>
  <c r="AR257" i="19"/>
  <c r="AR26" i="20" s="1"/>
  <c r="AS257" i="19"/>
  <c r="AT257" i="19"/>
  <c r="AU257" i="19"/>
  <c r="B258" i="19"/>
  <c r="D258" i="19"/>
  <c r="E258" i="19"/>
  <c r="F258" i="19"/>
  <c r="G258" i="19"/>
  <c r="H258" i="19"/>
  <c r="U258" i="19"/>
  <c r="V258" i="19"/>
  <c r="AC258" i="19"/>
  <c r="AQ258" i="19"/>
  <c r="AR258" i="19"/>
  <c r="AS258" i="19"/>
  <c r="AT258" i="19"/>
  <c r="AU258" i="19"/>
  <c r="B259" i="19"/>
  <c r="D259" i="19"/>
  <c r="E259" i="19"/>
  <c r="F259" i="19"/>
  <c r="G259" i="19"/>
  <c r="H259" i="19"/>
  <c r="U259" i="19"/>
  <c r="V259" i="19"/>
  <c r="AC259" i="19"/>
  <c r="AQ259" i="19"/>
  <c r="AR259" i="19"/>
  <c r="AS259" i="19"/>
  <c r="AT259" i="19"/>
  <c r="AU259" i="19"/>
  <c r="B260" i="19"/>
  <c r="D260" i="19"/>
  <c r="E260" i="19"/>
  <c r="F260" i="19"/>
  <c r="G260" i="19"/>
  <c r="H260" i="19"/>
  <c r="U260" i="19"/>
  <c r="V260" i="19"/>
  <c r="AC260" i="19"/>
  <c r="AQ260" i="19"/>
  <c r="AR260" i="19"/>
  <c r="AS260" i="19"/>
  <c r="AT260" i="19"/>
  <c r="AU260" i="19"/>
  <c r="B261" i="19"/>
  <c r="D261" i="19"/>
  <c r="E261" i="19"/>
  <c r="F261" i="19"/>
  <c r="G261" i="19"/>
  <c r="H261" i="19"/>
  <c r="U261" i="19"/>
  <c r="V261" i="19"/>
  <c r="AC261" i="19"/>
  <c r="AQ261" i="19"/>
  <c r="AR261" i="19"/>
  <c r="AS261" i="19"/>
  <c r="AT261" i="19"/>
  <c r="AU261" i="19"/>
  <c r="B262" i="19"/>
  <c r="D262" i="19"/>
  <c r="E262" i="19"/>
  <c r="F262" i="19"/>
  <c r="G262" i="19"/>
  <c r="H262" i="19"/>
  <c r="U262" i="19"/>
  <c r="V262" i="19"/>
  <c r="AC262" i="19"/>
  <c r="AQ262" i="19"/>
  <c r="AR262" i="19"/>
  <c r="AS262" i="19"/>
  <c r="AT262" i="19"/>
  <c r="AU262" i="19"/>
  <c r="B263" i="19"/>
  <c r="D263" i="19"/>
  <c r="E263" i="19"/>
  <c r="F263" i="19"/>
  <c r="G263" i="19"/>
  <c r="H263" i="19"/>
  <c r="U263" i="19"/>
  <c r="V263" i="19"/>
  <c r="AC263" i="19"/>
  <c r="AQ263" i="19"/>
  <c r="AR263" i="19"/>
  <c r="AS263" i="19"/>
  <c r="AT263" i="19"/>
  <c r="AU263" i="19"/>
  <c r="B264" i="19"/>
  <c r="D264" i="19"/>
  <c r="E264" i="19"/>
  <c r="F264" i="19"/>
  <c r="G264" i="19"/>
  <c r="H264" i="19"/>
  <c r="U264" i="19"/>
  <c r="V264" i="19"/>
  <c r="AC264" i="19"/>
  <c r="AQ264" i="19"/>
  <c r="AR264" i="19"/>
  <c r="AS264" i="19"/>
  <c r="AT264" i="19"/>
  <c r="AU264" i="19"/>
  <c r="B265" i="19"/>
  <c r="D265" i="19"/>
  <c r="E265" i="19"/>
  <c r="F265" i="19"/>
  <c r="G265" i="19"/>
  <c r="H265" i="19"/>
  <c r="U265" i="19"/>
  <c r="V265" i="19"/>
  <c r="AC265" i="19"/>
  <c r="AQ265" i="19"/>
  <c r="AR265" i="19"/>
  <c r="AS265" i="19"/>
  <c r="AT265" i="19"/>
  <c r="AU265" i="19"/>
  <c r="B266" i="19"/>
  <c r="D266" i="19"/>
  <c r="E266" i="19"/>
  <c r="F266" i="19"/>
  <c r="G266" i="19"/>
  <c r="H266" i="19"/>
  <c r="U266" i="19"/>
  <c r="V266" i="19"/>
  <c r="AC266" i="19"/>
  <c r="AQ266" i="19"/>
  <c r="AR266" i="19"/>
  <c r="AS266" i="19"/>
  <c r="AT266" i="19"/>
  <c r="AU266" i="19"/>
  <c r="B267" i="19"/>
  <c r="D267" i="19"/>
  <c r="E267" i="19"/>
  <c r="F267" i="19"/>
  <c r="G267" i="19"/>
  <c r="H267" i="19"/>
  <c r="U267" i="19"/>
  <c r="V267" i="19"/>
  <c r="AC267" i="19"/>
  <c r="AQ267" i="19"/>
  <c r="AR267" i="19"/>
  <c r="AS267" i="19"/>
  <c r="AT267" i="19"/>
  <c r="AU267" i="19"/>
  <c r="B268" i="19"/>
  <c r="D268" i="19"/>
  <c r="E268" i="19"/>
  <c r="F268" i="19"/>
  <c r="G268" i="19"/>
  <c r="H268" i="19"/>
  <c r="U268" i="19"/>
  <c r="V268" i="19"/>
  <c r="AC268" i="19"/>
  <c r="AQ268" i="19"/>
  <c r="AR268" i="19"/>
  <c r="AS268" i="19"/>
  <c r="AT268" i="19"/>
  <c r="AU268" i="19"/>
  <c r="B269" i="19"/>
  <c r="D269" i="19"/>
  <c r="E269" i="19"/>
  <c r="F269" i="19"/>
  <c r="F27" i="20" s="1"/>
  <c r="G269" i="19"/>
  <c r="G27" i="20" s="1"/>
  <c r="H269" i="19"/>
  <c r="H27" i="20" s="1"/>
  <c r="U269" i="19"/>
  <c r="U27" i="20" s="1"/>
  <c r="P25" i="21" s="1"/>
  <c r="S25" i="23" s="1"/>
  <c r="V269" i="19"/>
  <c r="V27" i="20" s="1"/>
  <c r="Q25" i="21" s="1"/>
  <c r="T25" i="23" s="1"/>
  <c r="AC269" i="19"/>
  <c r="AC27" i="20" s="1"/>
  <c r="AQ269" i="19"/>
  <c r="AQ27" i="20" s="1"/>
  <c r="AR269" i="19"/>
  <c r="AR27" i="20" s="1"/>
  <c r="AS269" i="19"/>
  <c r="AT269" i="19"/>
  <c r="AU269" i="19"/>
  <c r="B270" i="19"/>
  <c r="D270" i="19"/>
  <c r="E270" i="19"/>
  <c r="F270" i="19"/>
  <c r="G270" i="19"/>
  <c r="H270" i="19"/>
  <c r="U270" i="19"/>
  <c r="V270" i="19"/>
  <c r="AC270" i="19"/>
  <c r="AQ270" i="19"/>
  <c r="AR270" i="19"/>
  <c r="AS270" i="19"/>
  <c r="AT270" i="19"/>
  <c r="AU270" i="19"/>
  <c r="B271" i="19"/>
  <c r="D271" i="19"/>
  <c r="E271" i="19"/>
  <c r="F271" i="19"/>
  <c r="G271" i="19"/>
  <c r="H271" i="19"/>
  <c r="U271" i="19"/>
  <c r="V271" i="19"/>
  <c r="AC271" i="19"/>
  <c r="AQ271" i="19"/>
  <c r="AR271" i="19"/>
  <c r="AS271" i="19"/>
  <c r="AT271" i="19"/>
  <c r="AU271" i="19"/>
  <c r="B272" i="19"/>
  <c r="D272" i="19"/>
  <c r="E272" i="19"/>
  <c r="F272" i="19"/>
  <c r="G272" i="19"/>
  <c r="H272" i="19"/>
  <c r="U272" i="19"/>
  <c r="V272" i="19"/>
  <c r="AC272" i="19"/>
  <c r="AQ272" i="19"/>
  <c r="AR272" i="19"/>
  <c r="AS272" i="19"/>
  <c r="AT272" i="19"/>
  <c r="AU272" i="19"/>
  <c r="B273" i="19"/>
  <c r="D273" i="19"/>
  <c r="E273" i="19"/>
  <c r="F273" i="19"/>
  <c r="G273" i="19"/>
  <c r="H273" i="19"/>
  <c r="U273" i="19"/>
  <c r="V273" i="19"/>
  <c r="AC273" i="19"/>
  <c r="AQ273" i="19"/>
  <c r="AR273" i="19"/>
  <c r="AS273" i="19"/>
  <c r="AT273" i="19"/>
  <c r="AU273" i="19"/>
  <c r="B274" i="19"/>
  <c r="D274" i="19"/>
  <c r="E274" i="19"/>
  <c r="F274" i="19"/>
  <c r="G274" i="19"/>
  <c r="H274" i="19"/>
  <c r="U274" i="19"/>
  <c r="V274" i="19"/>
  <c r="AC274" i="19"/>
  <c r="AQ274" i="19"/>
  <c r="AR274" i="19"/>
  <c r="AS274" i="19"/>
  <c r="AT274" i="19"/>
  <c r="AU274" i="19"/>
  <c r="B275" i="19"/>
  <c r="D275" i="19"/>
  <c r="E275" i="19"/>
  <c r="F275" i="19"/>
  <c r="G275" i="19"/>
  <c r="H275" i="19"/>
  <c r="U275" i="19"/>
  <c r="V275" i="19"/>
  <c r="AC275" i="19"/>
  <c r="AQ275" i="19"/>
  <c r="AR275" i="19"/>
  <c r="AS275" i="19"/>
  <c r="AT275" i="19"/>
  <c r="AU275" i="19"/>
  <c r="B276" i="19"/>
  <c r="D276" i="19"/>
  <c r="E276" i="19"/>
  <c r="F276" i="19"/>
  <c r="G276" i="19"/>
  <c r="H276" i="19"/>
  <c r="U276" i="19"/>
  <c r="V276" i="19"/>
  <c r="AC276" i="19"/>
  <c r="AQ276" i="19"/>
  <c r="AR276" i="19"/>
  <c r="AS276" i="19"/>
  <c r="AT276" i="19"/>
  <c r="AU276" i="19"/>
  <c r="B277" i="19"/>
  <c r="D277" i="19"/>
  <c r="E277" i="19"/>
  <c r="F277" i="19"/>
  <c r="G277" i="19"/>
  <c r="H277" i="19"/>
  <c r="U277" i="19"/>
  <c r="V277" i="19"/>
  <c r="AC277" i="19"/>
  <c r="AQ277" i="19"/>
  <c r="AR277" i="19"/>
  <c r="AS277" i="19"/>
  <c r="AT277" i="19"/>
  <c r="AU277" i="19"/>
  <c r="B278" i="19"/>
  <c r="D278" i="19"/>
  <c r="E278" i="19"/>
  <c r="F278" i="19"/>
  <c r="G278" i="19"/>
  <c r="H278" i="19"/>
  <c r="U278" i="19"/>
  <c r="V278" i="19"/>
  <c r="AC278" i="19"/>
  <c r="AQ278" i="19"/>
  <c r="AR278" i="19"/>
  <c r="AS278" i="19"/>
  <c r="AT278" i="19"/>
  <c r="AU278" i="19"/>
  <c r="B279" i="19"/>
  <c r="D279" i="19"/>
  <c r="E279" i="19"/>
  <c r="F279" i="19"/>
  <c r="G279" i="19"/>
  <c r="H279" i="19"/>
  <c r="U279" i="19"/>
  <c r="V279" i="19"/>
  <c r="AC279" i="19"/>
  <c r="AQ279" i="19"/>
  <c r="AR279" i="19"/>
  <c r="AS279" i="19"/>
  <c r="AT279" i="19"/>
  <c r="AU279" i="19"/>
  <c r="B280" i="19"/>
  <c r="D280" i="19"/>
  <c r="E280" i="19"/>
  <c r="F280" i="19"/>
  <c r="G280" i="19"/>
  <c r="H280" i="19"/>
  <c r="U280" i="19"/>
  <c r="V280" i="19"/>
  <c r="AC280" i="19"/>
  <c r="AQ280" i="19"/>
  <c r="AR280" i="19"/>
  <c r="AS280" i="19"/>
  <c r="AT280" i="19"/>
  <c r="AU280" i="19"/>
  <c r="B281" i="19"/>
  <c r="D281" i="19"/>
  <c r="E281" i="19"/>
  <c r="F281" i="19"/>
  <c r="F28" i="20" s="1"/>
  <c r="G281" i="19"/>
  <c r="G28" i="20" s="1"/>
  <c r="H281" i="19"/>
  <c r="H28" i="20" s="1"/>
  <c r="U281" i="19"/>
  <c r="U28" i="20" s="1"/>
  <c r="P26" i="21" s="1"/>
  <c r="S26" i="23" s="1"/>
  <c r="AC281" i="19"/>
  <c r="AC28" i="20" s="1"/>
  <c r="AQ281" i="19"/>
  <c r="AQ28" i="20" s="1"/>
  <c r="AR281" i="19"/>
  <c r="AR28" i="20" s="1"/>
  <c r="AS281" i="19"/>
  <c r="AT281" i="19"/>
  <c r="AU281" i="19"/>
  <c r="B282" i="19"/>
  <c r="D282" i="19"/>
  <c r="E282" i="19"/>
  <c r="F282" i="19"/>
  <c r="G282" i="19"/>
  <c r="H282" i="19"/>
  <c r="U282" i="19"/>
  <c r="AC282" i="19"/>
  <c r="AQ282" i="19"/>
  <c r="AR282" i="19"/>
  <c r="AS282" i="19"/>
  <c r="AT282" i="19"/>
  <c r="AU282" i="19"/>
  <c r="B283" i="19"/>
  <c r="D283" i="19"/>
  <c r="E283" i="19"/>
  <c r="F283" i="19"/>
  <c r="G283" i="19"/>
  <c r="H283" i="19"/>
  <c r="U283" i="19"/>
  <c r="AC283" i="19"/>
  <c r="AQ283" i="19"/>
  <c r="AR283" i="19"/>
  <c r="AS283" i="19"/>
  <c r="AT283" i="19"/>
  <c r="AU283" i="19"/>
  <c r="B284" i="19"/>
  <c r="D284" i="19"/>
  <c r="E284" i="19"/>
  <c r="F284" i="19"/>
  <c r="G284" i="19"/>
  <c r="H284" i="19"/>
  <c r="U284" i="19"/>
  <c r="AC284" i="19"/>
  <c r="AQ284" i="19"/>
  <c r="AR284" i="19"/>
  <c r="AS284" i="19"/>
  <c r="AT284" i="19"/>
  <c r="AU284" i="19"/>
  <c r="B285" i="19"/>
  <c r="D285" i="19"/>
  <c r="E285" i="19"/>
  <c r="F285" i="19"/>
  <c r="G285" i="19"/>
  <c r="H285" i="19"/>
  <c r="U285" i="19"/>
  <c r="AC285" i="19"/>
  <c r="AQ285" i="19"/>
  <c r="AR285" i="19"/>
  <c r="AS285" i="19"/>
  <c r="AT285" i="19"/>
  <c r="AU285" i="19"/>
  <c r="B286" i="19"/>
  <c r="D286" i="19"/>
  <c r="E286" i="19"/>
  <c r="F286" i="19"/>
  <c r="G286" i="19"/>
  <c r="H286" i="19"/>
  <c r="U286" i="19"/>
  <c r="AC286" i="19"/>
  <c r="AQ286" i="19"/>
  <c r="AR286" i="19"/>
  <c r="AS286" i="19"/>
  <c r="AT286" i="19"/>
  <c r="AU286" i="19"/>
  <c r="B287" i="19"/>
  <c r="D287" i="19"/>
  <c r="E287" i="19"/>
  <c r="F287" i="19"/>
  <c r="G287" i="19"/>
  <c r="H287" i="19"/>
  <c r="U287" i="19"/>
  <c r="AC287" i="19"/>
  <c r="AQ287" i="19"/>
  <c r="AR287" i="19"/>
  <c r="AS287" i="19"/>
  <c r="AT287" i="19"/>
  <c r="AU287" i="19"/>
  <c r="B288" i="19"/>
  <c r="D288" i="19"/>
  <c r="E288" i="19"/>
  <c r="F288" i="19"/>
  <c r="G288" i="19"/>
  <c r="H288" i="19"/>
  <c r="U288" i="19"/>
  <c r="AC288" i="19"/>
  <c r="AQ288" i="19"/>
  <c r="AR288" i="19"/>
  <c r="AS288" i="19"/>
  <c r="AT288" i="19"/>
  <c r="AU288" i="19"/>
  <c r="B289" i="19"/>
  <c r="D289" i="19"/>
  <c r="E289" i="19"/>
  <c r="F289" i="19"/>
  <c r="G289" i="19"/>
  <c r="H289" i="19"/>
  <c r="U289" i="19"/>
  <c r="AC289" i="19"/>
  <c r="AQ289" i="19"/>
  <c r="AR289" i="19"/>
  <c r="AS289" i="19"/>
  <c r="AT289" i="19"/>
  <c r="AU289" i="19"/>
  <c r="B290" i="19"/>
  <c r="D290" i="19"/>
  <c r="E290" i="19"/>
  <c r="F290" i="19"/>
  <c r="G290" i="19"/>
  <c r="H290" i="19"/>
  <c r="U290" i="19"/>
  <c r="AC290" i="19"/>
  <c r="AQ290" i="19"/>
  <c r="AR290" i="19"/>
  <c r="AS290" i="19"/>
  <c r="AT290" i="19"/>
  <c r="AU290" i="19"/>
  <c r="B291" i="19"/>
  <c r="D291" i="19"/>
  <c r="E291" i="19"/>
  <c r="F291" i="19"/>
  <c r="G291" i="19"/>
  <c r="H291" i="19"/>
  <c r="U291" i="19"/>
  <c r="AC291" i="19"/>
  <c r="AQ291" i="19"/>
  <c r="AR291" i="19"/>
  <c r="AS291" i="19"/>
  <c r="AT291" i="19"/>
  <c r="AU291" i="19"/>
  <c r="B292" i="19"/>
  <c r="D292" i="19"/>
  <c r="E292" i="19"/>
  <c r="F292" i="19"/>
  <c r="G292" i="19"/>
  <c r="H292" i="19"/>
  <c r="U292" i="19"/>
  <c r="AC292" i="19"/>
  <c r="AQ292" i="19"/>
  <c r="AR292" i="19"/>
  <c r="AS292" i="19"/>
  <c r="AT292" i="19"/>
  <c r="AU292" i="19"/>
  <c r="B293" i="19"/>
  <c r="D293" i="19"/>
  <c r="E293" i="19"/>
  <c r="F293" i="19"/>
  <c r="F29" i="20" s="1"/>
  <c r="G293" i="19"/>
  <c r="G29" i="20" s="1"/>
  <c r="H293" i="19"/>
  <c r="H29" i="20" s="1"/>
  <c r="U293" i="19"/>
  <c r="U29" i="20" s="1"/>
  <c r="P27" i="21" s="1"/>
  <c r="S27" i="23" s="1"/>
  <c r="AC293" i="19"/>
  <c r="AC29" i="20" s="1"/>
  <c r="AQ293" i="19"/>
  <c r="AQ29" i="20" s="1"/>
  <c r="AR293" i="19"/>
  <c r="AR29" i="20" s="1"/>
  <c r="AS293" i="19"/>
  <c r="AT293" i="19"/>
  <c r="AU293" i="19"/>
  <c r="B294" i="19"/>
  <c r="D294" i="19"/>
  <c r="E294" i="19"/>
  <c r="F294" i="19"/>
  <c r="G294" i="19"/>
  <c r="H294" i="19"/>
  <c r="U294" i="19"/>
  <c r="AC294" i="19"/>
  <c r="AQ294" i="19"/>
  <c r="AR294" i="19"/>
  <c r="AS294" i="19"/>
  <c r="AT294" i="19"/>
  <c r="AU294" i="19"/>
  <c r="B295" i="19"/>
  <c r="D295" i="19"/>
  <c r="E295" i="19"/>
  <c r="F295" i="19"/>
  <c r="G295" i="19"/>
  <c r="H295" i="19"/>
  <c r="U295" i="19"/>
  <c r="AC295" i="19"/>
  <c r="AQ295" i="19"/>
  <c r="AR295" i="19"/>
  <c r="AS295" i="19"/>
  <c r="AT295" i="19"/>
  <c r="AU295" i="19"/>
  <c r="B296" i="19"/>
  <c r="D296" i="19"/>
  <c r="E296" i="19"/>
  <c r="F296" i="19"/>
  <c r="G296" i="19"/>
  <c r="H296" i="19"/>
  <c r="U296" i="19"/>
  <c r="AC296" i="19"/>
  <c r="AQ296" i="19"/>
  <c r="AR296" i="19"/>
  <c r="AS296" i="19"/>
  <c r="AT296" i="19"/>
  <c r="AU296" i="19"/>
  <c r="B297" i="19"/>
  <c r="D297" i="19"/>
  <c r="E297" i="19"/>
  <c r="F297" i="19"/>
  <c r="G297" i="19"/>
  <c r="H297" i="19"/>
  <c r="U297" i="19"/>
  <c r="AC297" i="19"/>
  <c r="AQ297" i="19"/>
  <c r="AR297" i="19"/>
  <c r="AS297" i="19"/>
  <c r="AT297" i="19"/>
  <c r="AU297" i="19"/>
  <c r="B298" i="19"/>
  <c r="D298" i="19"/>
  <c r="E298" i="19"/>
  <c r="F298" i="19"/>
  <c r="G298" i="19"/>
  <c r="H298" i="19"/>
  <c r="U298" i="19"/>
  <c r="AC298" i="19"/>
  <c r="AQ298" i="19"/>
  <c r="AR298" i="19"/>
  <c r="AS298" i="19"/>
  <c r="AT298" i="19"/>
  <c r="AU298" i="19"/>
  <c r="B299" i="19"/>
  <c r="D299" i="19"/>
  <c r="E299" i="19"/>
  <c r="F299" i="19"/>
  <c r="G299" i="19"/>
  <c r="H299" i="19"/>
  <c r="U299" i="19"/>
  <c r="AC299" i="19"/>
  <c r="AQ299" i="19"/>
  <c r="AR299" i="19"/>
  <c r="AS299" i="19"/>
  <c r="AT299" i="19"/>
  <c r="AU299" i="19"/>
  <c r="B300" i="19"/>
  <c r="D300" i="19"/>
  <c r="E300" i="19"/>
  <c r="F300" i="19"/>
  <c r="G300" i="19"/>
  <c r="H300" i="19"/>
  <c r="U300" i="19"/>
  <c r="AC300" i="19"/>
  <c r="AQ300" i="19"/>
  <c r="AR300" i="19"/>
  <c r="AS300" i="19"/>
  <c r="AT300" i="19"/>
  <c r="AU300" i="19"/>
  <c r="B301" i="19"/>
  <c r="D301" i="19"/>
  <c r="E301" i="19"/>
  <c r="F301" i="19"/>
  <c r="G301" i="19"/>
  <c r="H301" i="19"/>
  <c r="U301" i="19"/>
  <c r="AC301" i="19"/>
  <c r="AQ301" i="19"/>
  <c r="AR301" i="19"/>
  <c r="AS301" i="19"/>
  <c r="AT301" i="19"/>
  <c r="AU301" i="19"/>
  <c r="B302" i="19"/>
  <c r="D302" i="19"/>
  <c r="E302" i="19"/>
  <c r="F302" i="19"/>
  <c r="G302" i="19"/>
  <c r="H302" i="19"/>
  <c r="U302" i="19"/>
  <c r="AC302" i="19"/>
  <c r="AQ302" i="19"/>
  <c r="AR302" i="19"/>
  <c r="AS302" i="19"/>
  <c r="AT302" i="19"/>
  <c r="AU302" i="19"/>
  <c r="B303" i="19"/>
  <c r="D303" i="19"/>
  <c r="E303" i="19"/>
  <c r="F303" i="19"/>
  <c r="G303" i="19"/>
  <c r="H303" i="19"/>
  <c r="U303" i="19"/>
  <c r="AC303" i="19"/>
  <c r="AQ303" i="19"/>
  <c r="AR303" i="19"/>
  <c r="AS303" i="19"/>
  <c r="AT303" i="19"/>
  <c r="AU303" i="19"/>
  <c r="B304" i="19"/>
  <c r="D304" i="19"/>
  <c r="E304" i="19"/>
  <c r="F304" i="19"/>
  <c r="G304" i="19"/>
  <c r="H304" i="19"/>
  <c r="U304" i="19"/>
  <c r="AC304" i="19"/>
  <c r="AQ304" i="19"/>
  <c r="AR304" i="19"/>
  <c r="AS304" i="19"/>
  <c r="AT304" i="19"/>
  <c r="AU304" i="19"/>
  <c r="B305" i="19"/>
  <c r="D305" i="19"/>
  <c r="E305" i="19"/>
  <c r="F305" i="19"/>
  <c r="F30" i="20" s="1"/>
  <c r="G305" i="19"/>
  <c r="G30" i="20" s="1"/>
  <c r="H305" i="19"/>
  <c r="H30" i="20" s="1"/>
  <c r="U305" i="19"/>
  <c r="U30" i="20" s="1"/>
  <c r="P28" i="21" s="1"/>
  <c r="S28" i="23" s="1"/>
  <c r="AC305" i="19"/>
  <c r="AC30" i="20" s="1"/>
  <c r="AQ305" i="19"/>
  <c r="AQ30" i="20" s="1"/>
  <c r="AR305" i="19"/>
  <c r="AR30" i="20" s="1"/>
  <c r="AS305" i="19"/>
  <c r="AT305" i="19"/>
  <c r="AU305" i="19"/>
  <c r="B306" i="19"/>
  <c r="D306" i="19"/>
  <c r="E306" i="19"/>
  <c r="F306" i="19"/>
  <c r="G306" i="19"/>
  <c r="H306" i="19"/>
  <c r="U306" i="19"/>
  <c r="AC306" i="19"/>
  <c r="AQ306" i="19"/>
  <c r="AR306" i="19"/>
  <c r="AS306" i="19"/>
  <c r="AT306" i="19"/>
  <c r="AU306" i="19"/>
  <c r="B307" i="19"/>
  <c r="D307" i="19"/>
  <c r="E307" i="19"/>
  <c r="F307" i="19"/>
  <c r="G307" i="19"/>
  <c r="H307" i="19"/>
  <c r="U307" i="19"/>
  <c r="AC307" i="19"/>
  <c r="AQ307" i="19"/>
  <c r="AR307" i="19"/>
  <c r="AS307" i="19"/>
  <c r="AT307" i="19"/>
  <c r="AU307" i="19"/>
  <c r="B308" i="19"/>
  <c r="D308" i="19"/>
  <c r="E308" i="19"/>
  <c r="F308" i="19"/>
  <c r="G308" i="19"/>
  <c r="H308" i="19"/>
  <c r="U308" i="19"/>
  <c r="AC308" i="19"/>
  <c r="AQ308" i="19"/>
  <c r="AR308" i="19"/>
  <c r="AS308" i="19"/>
  <c r="AT308" i="19"/>
  <c r="AU308" i="19"/>
  <c r="B309" i="19"/>
  <c r="D309" i="19"/>
  <c r="E309" i="19"/>
  <c r="F309" i="19"/>
  <c r="G309" i="19"/>
  <c r="H309" i="19"/>
  <c r="U309" i="19"/>
  <c r="AC309" i="19"/>
  <c r="AQ309" i="19"/>
  <c r="AR309" i="19"/>
  <c r="AS309" i="19"/>
  <c r="AT309" i="19"/>
  <c r="AU309" i="19"/>
  <c r="B310" i="19"/>
  <c r="D310" i="19"/>
  <c r="E310" i="19"/>
  <c r="F310" i="19"/>
  <c r="G310" i="19"/>
  <c r="H310" i="19"/>
  <c r="U310" i="19"/>
  <c r="AC310" i="19"/>
  <c r="AQ310" i="19"/>
  <c r="AR310" i="19"/>
  <c r="AS310" i="19"/>
  <c r="AT310" i="19"/>
  <c r="AU310" i="19"/>
  <c r="B311" i="19"/>
  <c r="D311" i="19"/>
  <c r="E311" i="19"/>
  <c r="F311" i="19"/>
  <c r="G311" i="19"/>
  <c r="H311" i="19"/>
  <c r="U311" i="19"/>
  <c r="AC311" i="19"/>
  <c r="AQ311" i="19"/>
  <c r="AR311" i="19"/>
  <c r="AS311" i="19"/>
  <c r="AT311" i="19"/>
  <c r="AU311" i="19"/>
  <c r="B312" i="19"/>
  <c r="D312" i="19"/>
  <c r="E312" i="19"/>
  <c r="F312" i="19"/>
  <c r="G312" i="19"/>
  <c r="H312" i="19"/>
  <c r="U312" i="19"/>
  <c r="AC312" i="19"/>
  <c r="AQ312" i="19"/>
  <c r="AR312" i="19"/>
  <c r="AS312" i="19"/>
  <c r="AT312" i="19"/>
  <c r="AU312" i="19"/>
  <c r="B313" i="19"/>
  <c r="D313" i="19"/>
  <c r="E313" i="19"/>
  <c r="F313" i="19"/>
  <c r="G313" i="19"/>
  <c r="H313" i="19"/>
  <c r="U313" i="19"/>
  <c r="AC313" i="19"/>
  <c r="AQ313" i="19"/>
  <c r="AR313" i="19"/>
  <c r="AS313" i="19"/>
  <c r="AT313" i="19"/>
  <c r="AU313" i="19"/>
  <c r="B314" i="19"/>
  <c r="D314" i="19"/>
  <c r="E314" i="19"/>
  <c r="F314" i="19"/>
  <c r="G314" i="19"/>
  <c r="H314" i="19"/>
  <c r="U314" i="19"/>
  <c r="AC314" i="19"/>
  <c r="AQ314" i="19"/>
  <c r="AR314" i="19"/>
  <c r="AS314" i="19"/>
  <c r="AT314" i="19"/>
  <c r="AU314" i="19"/>
  <c r="B315" i="19"/>
  <c r="D315" i="19"/>
  <c r="E315" i="19"/>
  <c r="F315" i="19"/>
  <c r="G315" i="19"/>
  <c r="H315" i="19"/>
  <c r="U315" i="19"/>
  <c r="AC315" i="19"/>
  <c r="AQ315" i="19"/>
  <c r="AR315" i="19"/>
  <c r="AS315" i="19"/>
  <c r="AT315" i="19"/>
  <c r="AU315" i="19"/>
  <c r="B316" i="19"/>
  <c r="D316" i="19"/>
  <c r="E316" i="19"/>
  <c r="F316" i="19"/>
  <c r="G316" i="19"/>
  <c r="H316" i="19"/>
  <c r="U316" i="19"/>
  <c r="AC316" i="19"/>
  <c r="AQ316" i="19"/>
  <c r="AR316" i="19"/>
  <c r="AS316" i="19"/>
  <c r="AT316" i="19"/>
  <c r="AU316" i="19"/>
  <c r="B317" i="19"/>
  <c r="D317" i="19"/>
  <c r="E317" i="19"/>
  <c r="F317" i="19"/>
  <c r="F31" i="20" s="1"/>
  <c r="G317" i="19"/>
  <c r="G31" i="20" s="1"/>
  <c r="H317" i="19"/>
  <c r="H31" i="20" s="1"/>
  <c r="AC317" i="19"/>
  <c r="AC31" i="20" s="1"/>
  <c r="AQ317" i="19"/>
  <c r="AQ31" i="20" s="1"/>
  <c r="AR317" i="19"/>
  <c r="AR31" i="20" s="1"/>
  <c r="AS317" i="19"/>
  <c r="AT317" i="19"/>
  <c r="AU317" i="19"/>
  <c r="B318" i="19"/>
  <c r="D318" i="19"/>
  <c r="E318" i="19"/>
  <c r="F318" i="19"/>
  <c r="G318" i="19"/>
  <c r="H318" i="19"/>
  <c r="AC318" i="19"/>
  <c r="AQ318" i="19"/>
  <c r="AR318" i="19"/>
  <c r="AS318" i="19"/>
  <c r="AT318" i="19"/>
  <c r="AU318" i="19"/>
  <c r="B319" i="19"/>
  <c r="D319" i="19"/>
  <c r="E319" i="19"/>
  <c r="F319" i="19"/>
  <c r="G319" i="19"/>
  <c r="H319" i="19"/>
  <c r="AC319" i="19"/>
  <c r="AQ319" i="19"/>
  <c r="AR319" i="19"/>
  <c r="AS319" i="19"/>
  <c r="AT319" i="19"/>
  <c r="AU319" i="19"/>
  <c r="B320" i="19"/>
  <c r="D320" i="19"/>
  <c r="E320" i="19"/>
  <c r="F320" i="19"/>
  <c r="G320" i="19"/>
  <c r="H320" i="19"/>
  <c r="AC320" i="19"/>
  <c r="AQ320" i="19"/>
  <c r="AR320" i="19"/>
  <c r="AS320" i="19"/>
  <c r="AT320" i="19"/>
  <c r="AU320" i="19"/>
  <c r="B321" i="19"/>
  <c r="D321" i="19"/>
  <c r="E321" i="19"/>
  <c r="F321" i="19"/>
  <c r="G321" i="19"/>
  <c r="H321" i="19"/>
  <c r="AC321" i="19"/>
  <c r="AQ321" i="19"/>
  <c r="AR321" i="19"/>
  <c r="AS321" i="19"/>
  <c r="AT321" i="19"/>
  <c r="AU321" i="19"/>
  <c r="B322" i="19"/>
  <c r="D322" i="19"/>
  <c r="E322" i="19"/>
  <c r="F322" i="19"/>
  <c r="G322" i="19"/>
  <c r="H322" i="19"/>
  <c r="AC322" i="19"/>
  <c r="AQ322" i="19"/>
  <c r="AR322" i="19"/>
  <c r="AS322" i="19"/>
  <c r="AT322" i="19"/>
  <c r="AU322" i="19"/>
  <c r="B323" i="19"/>
  <c r="D323" i="19"/>
  <c r="E323" i="19"/>
  <c r="F323" i="19"/>
  <c r="G323" i="19"/>
  <c r="H323" i="19"/>
  <c r="AC323" i="19"/>
  <c r="AQ323" i="19"/>
  <c r="AR323" i="19"/>
  <c r="AS323" i="19"/>
  <c r="AT323" i="19"/>
  <c r="AU323" i="19"/>
  <c r="B324" i="19"/>
  <c r="D324" i="19"/>
  <c r="E324" i="19"/>
  <c r="F324" i="19"/>
  <c r="G324" i="19"/>
  <c r="H324" i="19"/>
  <c r="AC324" i="19"/>
  <c r="AQ324" i="19"/>
  <c r="AR324" i="19"/>
  <c r="AS324" i="19"/>
  <c r="AT324" i="19"/>
  <c r="AU324" i="19"/>
  <c r="B325" i="19"/>
  <c r="D325" i="19"/>
  <c r="E325" i="19"/>
  <c r="G325" i="19"/>
  <c r="F325" i="19" s="1"/>
  <c r="AC325" i="19"/>
  <c r="AQ325" i="19"/>
  <c r="AS325" i="19"/>
  <c r="AT325" i="19"/>
  <c r="AU325" i="19"/>
  <c r="B326" i="19"/>
  <c r="D326" i="19"/>
  <c r="E326" i="19"/>
  <c r="G326" i="19"/>
  <c r="F326" i="19" s="1"/>
  <c r="AC326" i="19"/>
  <c r="AQ326" i="19"/>
  <c r="AT326" i="19"/>
  <c r="AU326" i="19"/>
  <c r="B327" i="19"/>
  <c r="D327" i="19"/>
  <c r="E327" i="19"/>
  <c r="G327" i="19"/>
  <c r="F327" i="19" s="1"/>
  <c r="AC327" i="19"/>
  <c r="AQ327" i="19"/>
  <c r="AT327" i="19"/>
  <c r="AU327" i="19"/>
  <c r="B328" i="19"/>
  <c r="D328" i="19"/>
  <c r="E328" i="19"/>
  <c r="G328" i="19"/>
  <c r="F328" i="19" s="1"/>
  <c r="AC328" i="19"/>
  <c r="AQ328" i="19"/>
  <c r="AT328" i="19"/>
  <c r="AU328" i="19"/>
  <c r="CK151" i="1"/>
  <c r="CK158" i="1"/>
  <c r="CK143" i="1"/>
  <c r="CK135" i="1"/>
  <c r="CK131" i="1"/>
  <c r="CK155" i="1"/>
  <c r="AJ7" i="27"/>
  <c r="AN7" i="27" s="1"/>
  <c r="CK349" i="1"/>
  <c r="CK175" i="1"/>
  <c r="CK179" i="1"/>
  <c r="CK181" i="1"/>
  <c r="CK185" i="1"/>
  <c r="CK187" i="1"/>
  <c r="CK205" i="1"/>
  <c r="CK193" i="1"/>
  <c r="CK199" i="1"/>
  <c r="CK211" i="1"/>
  <c r="CK217" i="1"/>
  <c r="CK223" i="1"/>
  <c r="CK182" i="1"/>
  <c r="CK196" i="1"/>
  <c r="CK229" i="1"/>
  <c r="CK253" i="1"/>
  <c r="AF26" i="2"/>
  <c r="CK235" i="1"/>
  <c r="CK259" i="1"/>
  <c r="CK265" i="1"/>
  <c r="AF22" i="2"/>
  <c r="CK277" i="1"/>
  <c r="AH38" i="2"/>
  <c r="CK271" i="1"/>
  <c r="BL20" i="2"/>
  <c r="F8" i="59" s="1"/>
  <c r="BL28" i="2"/>
  <c r="F16" i="59" s="1"/>
  <c r="CK241" i="1"/>
  <c r="BL24" i="2"/>
  <c r="F12" i="59" s="1"/>
  <c r="CK375" i="1"/>
  <c r="CK147" i="1"/>
  <c r="CK134" i="1"/>
  <c r="BL18" i="2"/>
  <c r="CK105" i="1"/>
  <c r="CK68" i="1"/>
  <c r="DN68" i="1" s="1"/>
  <c r="AH37" i="2"/>
  <c r="BL31" i="2"/>
  <c r="F19" i="59" s="1"/>
  <c r="BL23" i="2"/>
  <c r="F11" i="59" s="1"/>
  <c r="F38" i="2"/>
  <c r="BL33" i="2"/>
  <c r="F21" i="59" s="1"/>
  <c r="BL29" i="2"/>
  <c r="F17" i="59" s="1"/>
  <c r="BL27" i="2"/>
  <c r="F15" i="59" s="1"/>
  <c r="AG31" i="2"/>
  <c r="CK289" i="1"/>
  <c r="CK295" i="1"/>
  <c r="CK301" i="1"/>
  <c r="CK313" i="1"/>
  <c r="AG32" i="2"/>
  <c r="AG34" i="2"/>
  <c r="CK325" i="1"/>
  <c r="D7" i="27"/>
  <c r="AF6" i="27"/>
  <c r="AM6" i="27" s="1"/>
  <c r="R126" i="1"/>
  <c r="U126" i="1"/>
  <c r="U122" i="1"/>
  <c r="R122" i="1"/>
  <c r="X122" i="1"/>
  <c r="X118" i="1"/>
  <c r="R118" i="1"/>
  <c r="U118" i="1"/>
  <c r="U114" i="1"/>
  <c r="X114" i="1"/>
  <c r="R114" i="1"/>
  <c r="X110" i="1"/>
  <c r="R110" i="1"/>
  <c r="U110" i="1"/>
  <c r="G36" i="2"/>
  <c r="G33" i="2"/>
  <c r="R125" i="1"/>
  <c r="X125" i="1"/>
  <c r="U125" i="1"/>
  <c r="X117" i="1"/>
  <c r="R117" i="1"/>
  <c r="U117" i="1"/>
  <c r="X109" i="1"/>
  <c r="R109" i="1"/>
  <c r="U109" i="1"/>
  <c r="CK120" i="1"/>
  <c r="AG35" i="2"/>
  <c r="CK126" i="1"/>
  <c r="CK114" i="1"/>
  <c r="CK89" i="1"/>
  <c r="DN89" i="1" s="1"/>
  <c r="CK86" i="1"/>
  <c r="DN86" i="1" s="1"/>
  <c r="CK82" i="1"/>
  <c r="DN82" i="1" s="1"/>
  <c r="G34" i="2"/>
  <c r="G32" i="2"/>
  <c r="G31" i="2"/>
  <c r="G29" i="2"/>
  <c r="G27" i="2"/>
  <c r="G25" i="2"/>
  <c r="G23" i="2"/>
  <c r="G21" i="2"/>
  <c r="G18" i="2"/>
  <c r="X121" i="1"/>
  <c r="U121" i="1"/>
  <c r="R121" i="1"/>
  <c r="X113" i="1"/>
  <c r="U113" i="1"/>
  <c r="R113" i="1"/>
  <c r="X105" i="1"/>
  <c r="U105" i="1"/>
  <c r="R105" i="1"/>
  <c r="CK130" i="1"/>
  <c r="CK117" i="1"/>
  <c r="AH36" i="2"/>
  <c r="BL25" i="2"/>
  <c r="F13" i="59" s="1"/>
  <c r="BL19" i="2"/>
  <c r="F7" i="59" s="1"/>
  <c r="CK118" i="1"/>
  <c r="CK90" i="1"/>
  <c r="DN90" i="1" s="1"/>
  <c r="CK88" i="1"/>
  <c r="DN88" i="1" s="1"/>
  <c r="CK87" i="1"/>
  <c r="DN87" i="1" s="1"/>
  <c r="CK85" i="1"/>
  <c r="DN85" i="1" s="1"/>
  <c r="CK84" i="1"/>
  <c r="DN84" i="1" s="1"/>
  <c r="CK83" i="1"/>
  <c r="DN83" i="1" s="1"/>
  <c r="BL34" i="2"/>
  <c r="F22" i="59" s="1"/>
  <c r="BL32" i="2"/>
  <c r="F20" i="59" s="1"/>
  <c r="G30" i="2"/>
  <c r="G24" i="2"/>
  <c r="E35" i="2"/>
  <c r="E30" i="2"/>
  <c r="E28" i="2"/>
  <c r="E26" i="2"/>
  <c r="E24" i="2"/>
  <c r="E22" i="2"/>
  <c r="E20" i="2"/>
  <c r="E19" i="2"/>
  <c r="S125" i="1"/>
  <c r="V125" i="1"/>
  <c r="P125" i="1"/>
  <c r="P121" i="1"/>
  <c r="V121" i="1"/>
  <c r="S121" i="1"/>
  <c r="P117" i="1"/>
  <c r="S117" i="1"/>
  <c r="V117" i="1"/>
  <c r="P113" i="1"/>
  <c r="S113" i="1"/>
  <c r="V113" i="1"/>
  <c r="P109" i="1"/>
  <c r="S109" i="1"/>
  <c r="V109" i="1"/>
  <c r="P105" i="1"/>
  <c r="V105" i="1"/>
  <c r="B36" i="2"/>
  <c r="B37" i="2"/>
  <c r="X126" i="1"/>
  <c r="X106" i="1"/>
  <c r="CK115" i="1"/>
  <c r="CK80" i="1"/>
  <c r="DN80" i="1" s="1"/>
  <c r="V104" i="1"/>
  <c r="S104" i="1"/>
  <c r="CK106" i="1"/>
  <c r="CK103" i="1"/>
  <c r="DN103" i="1" s="1"/>
  <c r="CK102" i="1"/>
  <c r="DN102" i="1" s="1"/>
  <c r="CK93" i="1"/>
  <c r="DN93" i="1" s="1"/>
  <c r="CK92" i="1"/>
  <c r="DN92" i="1" s="1"/>
  <c r="CK81" i="1"/>
  <c r="DN81" i="1" s="1"/>
  <c r="P124" i="1"/>
  <c r="S124" i="1"/>
  <c r="V124" i="1"/>
  <c r="P120" i="1"/>
  <c r="S120" i="1"/>
  <c r="V116" i="1"/>
  <c r="S116" i="1"/>
  <c r="P112" i="1"/>
  <c r="S112" i="1"/>
  <c r="V112" i="1"/>
  <c r="V108" i="1"/>
  <c r="P108" i="1"/>
  <c r="S108" i="1"/>
  <c r="P116" i="1"/>
  <c r="U127" i="1"/>
  <c r="X127" i="1"/>
  <c r="R127" i="1"/>
  <c r="U123" i="1"/>
  <c r="X123" i="1"/>
  <c r="R123" i="1"/>
  <c r="R119" i="1"/>
  <c r="X119" i="1"/>
  <c r="U119" i="1"/>
  <c r="R115" i="1"/>
  <c r="U115" i="1"/>
  <c r="X115" i="1"/>
  <c r="R111" i="1"/>
  <c r="X111" i="1"/>
  <c r="R107" i="1"/>
  <c r="U107" i="1"/>
  <c r="V126" i="1"/>
  <c r="P126" i="1"/>
  <c r="S122" i="1"/>
  <c r="V122" i="1"/>
  <c r="P122" i="1"/>
  <c r="S118" i="1"/>
  <c r="P118" i="1"/>
  <c r="V118" i="1"/>
  <c r="S114" i="1"/>
  <c r="V114" i="1"/>
  <c r="P114" i="1"/>
  <c r="S106" i="1"/>
  <c r="V106" i="1"/>
  <c r="P106" i="1"/>
  <c r="X124" i="1"/>
  <c r="U124" i="1"/>
  <c r="U120" i="1"/>
  <c r="X120" i="1"/>
  <c r="R120" i="1"/>
  <c r="U116" i="1"/>
  <c r="R116" i="1"/>
  <c r="U112" i="1"/>
  <c r="X112" i="1"/>
  <c r="U108" i="1"/>
  <c r="R108" i="1"/>
  <c r="X108" i="1"/>
  <c r="P127" i="1"/>
  <c r="S127" i="1"/>
  <c r="P123" i="1"/>
  <c r="S123" i="1"/>
  <c r="V119" i="1"/>
  <c r="S119" i="1"/>
  <c r="V115" i="1"/>
  <c r="P115" i="1"/>
  <c r="V111" i="1"/>
  <c r="S111" i="1"/>
  <c r="P111" i="1"/>
  <c r="V107" i="1"/>
  <c r="P107" i="1"/>
  <c r="S107" i="1"/>
  <c r="V127" i="1"/>
  <c r="U111" i="1"/>
  <c r="V110" i="1"/>
  <c r="AO20" i="2"/>
  <c r="CK123" i="1"/>
  <c r="CK98" i="1"/>
  <c r="DN98" i="1" s="1"/>
  <c r="CK150" i="1"/>
  <c r="CK146" i="1"/>
  <c r="CK116" i="1"/>
  <c r="CK122" i="1"/>
  <c r="B16" i="29"/>
  <c r="F16" i="29" s="1"/>
  <c r="CK194" i="1"/>
  <c r="CK337" i="1"/>
  <c r="CK157" i="1"/>
  <c r="CK148" i="1"/>
  <c r="AP19" i="2"/>
  <c r="CK183" i="1"/>
  <c r="CK161" i="1"/>
  <c r="W7" i="29"/>
  <c r="CK184" i="1"/>
  <c r="CK170" i="1"/>
  <c r="EQ16" i="2"/>
  <c r="AO21" i="2"/>
  <c r="BD19" i="2"/>
  <c r="CK132" i="1"/>
  <c r="CK173" i="1"/>
  <c r="CK283" i="1"/>
  <c r="AG30" i="2"/>
  <c r="AF27" i="2"/>
  <c r="AM18" i="2"/>
  <c r="AE8" i="27" s="1"/>
  <c r="AO8" i="27" s="1"/>
  <c r="CK142" i="1"/>
  <c r="AG33" i="2"/>
  <c r="E36" i="2"/>
  <c r="D37" i="2"/>
  <c r="CK129" i="1"/>
  <c r="AF24" i="2"/>
  <c r="AF23" i="2"/>
  <c r="AF25" i="2"/>
  <c r="AF30" i="2"/>
  <c r="AF21" i="2"/>
  <c r="AF29" i="2"/>
  <c r="E37" i="2"/>
  <c r="AF28" i="2"/>
  <c r="AF20" i="2"/>
  <c r="CK162" i="1"/>
  <c r="CK159" i="1"/>
  <c r="CK208" i="1"/>
  <c r="CK167" i="1"/>
  <c r="BV21" i="2"/>
  <c r="AP20" i="2"/>
  <c r="CK160" i="1"/>
  <c r="CK174" i="1"/>
  <c r="AO22" i="2"/>
  <c r="CK186" i="1"/>
  <c r="CK197" i="1"/>
  <c r="CK206" i="1"/>
  <c r="BD20" i="2"/>
  <c r="CK163" i="1"/>
  <c r="CK191" i="1"/>
  <c r="AP21" i="2"/>
  <c r="CK195" i="1"/>
  <c r="CK209" i="1"/>
  <c r="CK169" i="1"/>
  <c r="CK307" i="1"/>
  <c r="D38" i="2"/>
  <c r="B38" i="2"/>
  <c r="G37" i="2"/>
  <c r="CK141" i="1"/>
  <c r="CK154" i="1"/>
  <c r="AM19" i="2"/>
  <c r="AE9" i="27" s="1"/>
  <c r="AO9" i="27" s="1"/>
  <c r="CK140" i="1"/>
  <c r="CK144" i="1"/>
  <c r="CK171" i="1"/>
  <c r="AO23" i="2"/>
  <c r="V13" i="66" s="1"/>
  <c r="CK319" i="1"/>
  <c r="CK207" i="1"/>
  <c r="CK198" i="1"/>
  <c r="CK220" i="1"/>
  <c r="CK203" i="1"/>
  <c r="CK172" i="1"/>
  <c r="CK221" i="1"/>
  <c r="BD21" i="2"/>
  <c r="CK218" i="1"/>
  <c r="CK152" i="1"/>
  <c r="AM20" i="2"/>
  <c r="AE10" i="27" s="1"/>
  <c r="AO10" i="27" s="1"/>
  <c r="G38" i="2"/>
  <c r="CK156" i="1"/>
  <c r="CK153" i="1"/>
  <c r="CK166" i="1"/>
  <c r="E38" i="2"/>
  <c r="BD22" i="2"/>
  <c r="CK331" i="1"/>
  <c r="CK230" i="1"/>
  <c r="CK215" i="1"/>
  <c r="CK210" i="1"/>
  <c r="CK233" i="1"/>
  <c r="CK219" i="1"/>
  <c r="CK232" i="1"/>
  <c r="AO24" i="2"/>
  <c r="CK168" i="1"/>
  <c r="AM21" i="2"/>
  <c r="CK164" i="1"/>
  <c r="CK178" i="1"/>
  <c r="CK165" i="1"/>
  <c r="CK244" i="1"/>
  <c r="CK231" i="1"/>
  <c r="CK245" i="1"/>
  <c r="BD23" i="2"/>
  <c r="CK222" i="1"/>
  <c r="CK343" i="1"/>
  <c r="AO25" i="2"/>
  <c r="CK227" i="1"/>
  <c r="CK242" i="1"/>
  <c r="CK190" i="1"/>
  <c r="CK177" i="1"/>
  <c r="AM22" i="2"/>
  <c r="AE12" i="27" s="1"/>
  <c r="AO12" i="27" s="1"/>
  <c r="CK176" i="1"/>
  <c r="CK180" i="1"/>
  <c r="CK239" i="1"/>
  <c r="CK257" i="1"/>
  <c r="CK243" i="1"/>
  <c r="CK256" i="1"/>
  <c r="AO26" i="2"/>
  <c r="V16" i="66" s="1"/>
  <c r="BD24" i="2"/>
  <c r="CK254" i="1"/>
  <c r="CK355" i="1"/>
  <c r="CK234" i="1"/>
  <c r="AM23" i="2"/>
  <c r="AE13" i="27" s="1"/>
  <c r="AO13" i="27" s="1"/>
  <c r="CK188" i="1"/>
  <c r="CK189" i="1"/>
  <c r="CK202" i="1"/>
  <c r="CK192" i="1"/>
  <c r="AO27" i="2"/>
  <c r="V17" i="66" s="1"/>
  <c r="CK255" i="1"/>
  <c r="CK246" i="1"/>
  <c r="CK266" i="1"/>
  <c r="CK268" i="1"/>
  <c r="CK269" i="1"/>
  <c r="CK251" i="1"/>
  <c r="BD25" i="2"/>
  <c r="CK201" i="1"/>
  <c r="CK204" i="1"/>
  <c r="CK214" i="1"/>
  <c r="AM24" i="2"/>
  <c r="AE14" i="27" s="1"/>
  <c r="AO14" i="27" s="1"/>
  <c r="CK200" i="1"/>
  <c r="BD26" i="2"/>
  <c r="CK263" i="1"/>
  <c r="CK281" i="1"/>
  <c r="CK258" i="1"/>
  <c r="CK267" i="1"/>
  <c r="CK280" i="1"/>
  <c r="AO28" i="2"/>
  <c r="CK278" i="1"/>
  <c r="CK226" i="1"/>
  <c r="CK216" i="1"/>
  <c r="AM25" i="2"/>
  <c r="AE15" i="27" s="1"/>
  <c r="AO15" i="27" s="1"/>
  <c r="CK212" i="1"/>
  <c r="CK213" i="1"/>
  <c r="BD27" i="2"/>
  <c r="CK290" i="1"/>
  <c r="AO29" i="2"/>
  <c r="CK270" i="1"/>
  <c r="CK293" i="1"/>
  <c r="CK275" i="1"/>
  <c r="CK292" i="1"/>
  <c r="CK279" i="1"/>
  <c r="CK238" i="1"/>
  <c r="CK225" i="1"/>
  <c r="AM26" i="2"/>
  <c r="AE16" i="27" s="1"/>
  <c r="AO16" i="27" s="1"/>
  <c r="CK224" i="1"/>
  <c r="CK228" i="1"/>
  <c r="CK291" i="1"/>
  <c r="CK282" i="1"/>
  <c r="CK304" i="1"/>
  <c r="AO30" i="2"/>
  <c r="CK302" i="1"/>
  <c r="BD28" i="2"/>
  <c r="CK287" i="1"/>
  <c r="CK305" i="1"/>
  <c r="CK237" i="1"/>
  <c r="CK250" i="1"/>
  <c r="CK240" i="1"/>
  <c r="AM27" i="2"/>
  <c r="AE17" i="27" s="1"/>
  <c r="AO17" i="27" s="1"/>
  <c r="CK236" i="1"/>
  <c r="CK317" i="1"/>
  <c r="CK299" i="1"/>
  <c r="CK294" i="1"/>
  <c r="BD29" i="2"/>
  <c r="AO31" i="2"/>
  <c r="CK303" i="1"/>
  <c r="CK314" i="1"/>
  <c r="CK316" i="1"/>
  <c r="CK262" i="1"/>
  <c r="CK249" i="1"/>
  <c r="AM28" i="2"/>
  <c r="AE18" i="27" s="1"/>
  <c r="AO18" i="27" s="1"/>
  <c r="CK248" i="1"/>
  <c r="CK252" i="1"/>
  <c r="AO32" i="2"/>
  <c r="BD30" i="2"/>
  <c r="CK306" i="1"/>
  <c r="CK326" i="1"/>
  <c r="CK311" i="1"/>
  <c r="CK315" i="1"/>
  <c r="CK329" i="1"/>
  <c r="CK274" i="1"/>
  <c r="CK264" i="1"/>
  <c r="AM29" i="2"/>
  <c r="AE19" i="27" s="1"/>
  <c r="AO19" i="27" s="1"/>
  <c r="CK260" i="1"/>
  <c r="CK261" i="1"/>
  <c r="CK323" i="1"/>
  <c r="BD31" i="2"/>
  <c r="CK340" i="1"/>
  <c r="CK318" i="1"/>
  <c r="CK341" i="1"/>
  <c r="CK338" i="1"/>
  <c r="AO33" i="2"/>
  <c r="V23" i="66" s="1"/>
  <c r="CK273" i="1"/>
  <c r="CK276" i="1"/>
  <c r="AM30" i="2"/>
  <c r="AE20" i="27" s="1"/>
  <c r="AO20" i="27" s="1"/>
  <c r="CK272" i="1"/>
  <c r="CK286" i="1"/>
  <c r="CK353" i="1"/>
  <c r="CK330" i="1"/>
  <c r="AO34" i="2"/>
  <c r="V24" i="66" s="1"/>
  <c r="CK364" i="1"/>
  <c r="CK352" i="1"/>
  <c r="BD32" i="2"/>
  <c r="CK339" i="1"/>
  <c r="CK335" i="1"/>
  <c r="CK285" i="1"/>
  <c r="CK298" i="1"/>
  <c r="CK288" i="1"/>
  <c r="AM31" i="2"/>
  <c r="AE21" i="27" s="1"/>
  <c r="AO21" i="27" s="1"/>
  <c r="CK284" i="1"/>
  <c r="AO35" i="2"/>
  <c r="V25" i="66" s="1"/>
  <c r="CK342" i="1"/>
  <c r="CK351" i="1"/>
  <c r="BD33" i="2"/>
  <c r="AM32" i="2"/>
  <c r="AE22" i="27" s="1"/>
  <c r="AO22" i="27" s="1"/>
  <c r="CK296" i="1"/>
  <c r="CK300" i="1"/>
  <c r="CK310" i="1"/>
  <c r="CK297" i="1"/>
  <c r="BD34" i="2"/>
  <c r="CK363" i="1"/>
  <c r="AO36" i="2"/>
  <c r="V26" i="66" s="1"/>
  <c r="CK309" i="1"/>
  <c r="CK322" i="1"/>
  <c r="CK312" i="1"/>
  <c r="AM33" i="2"/>
  <c r="AE23" i="27" s="1"/>
  <c r="AO23" i="27" s="1"/>
  <c r="CK308" i="1"/>
  <c r="BD35" i="2"/>
  <c r="AO37" i="2"/>
  <c r="V27" i="66" s="1"/>
  <c r="CK324" i="1"/>
  <c r="CK334" i="1"/>
  <c r="CK321" i="1"/>
  <c r="AM34" i="2"/>
  <c r="AE24" i="27" s="1"/>
  <c r="AO24" i="27" s="1"/>
  <c r="CK320" i="1"/>
  <c r="BD36" i="2"/>
  <c r="L27" i="43" s="1"/>
  <c r="BE15" i="43" s="1"/>
  <c r="CK346" i="1"/>
  <c r="AM35" i="2"/>
  <c r="AE25" i="27" s="1"/>
  <c r="AO25" i="27" s="1"/>
  <c r="CK332" i="1"/>
  <c r="CK345" i="1"/>
  <c r="CK333" i="1"/>
  <c r="CK336" i="1"/>
  <c r="BD37" i="2"/>
  <c r="L28" i="43" s="1"/>
  <c r="BF15" i="43" s="1"/>
  <c r="CK344" i="1"/>
  <c r="CK357" i="1"/>
  <c r="BD38" i="2"/>
  <c r="L29" i="43" s="1"/>
  <c r="BG15" i="43" s="1"/>
  <c r="CK369" i="1"/>
  <c r="ED29" i="1" l="1"/>
  <c r="DX28" i="1"/>
  <c r="ED25" i="1"/>
  <c r="DX24" i="1"/>
  <c r="ED21" i="1"/>
  <c r="EB17" i="1"/>
  <c r="EB14" i="1"/>
  <c r="EB11" i="1"/>
  <c r="K368" i="70"/>
  <c r="K320" i="70"/>
  <c r="K272" i="70"/>
  <c r="K319" i="70"/>
  <c r="K271" i="70"/>
  <c r="K330" i="70"/>
  <c r="K282" i="70"/>
  <c r="K338" i="70"/>
  <c r="K290" i="70"/>
  <c r="K373" i="70"/>
  <c r="K325" i="70"/>
  <c r="K277" i="70"/>
  <c r="K268" i="70"/>
  <c r="K360" i="70"/>
  <c r="K312" i="70"/>
  <c r="K264" i="70"/>
  <c r="K347" i="70"/>
  <c r="K299" i="70"/>
  <c r="L354" i="70"/>
  <c r="AD354" i="70" s="1"/>
  <c r="L365" i="70"/>
  <c r="AD365" i="70" s="1"/>
  <c r="M370" i="70"/>
  <c r="AE370" i="70" s="1"/>
  <c r="K310" i="70"/>
  <c r="K346" i="70"/>
  <c r="K341" i="70"/>
  <c r="K293" i="70"/>
  <c r="K259" i="70"/>
  <c r="K363" i="70"/>
  <c r="K315" i="70"/>
  <c r="K267" i="70"/>
  <c r="K295" i="70"/>
  <c r="K370" i="70"/>
  <c r="K261" i="70"/>
  <c r="K286" i="70"/>
  <c r="K369" i="70"/>
  <c r="L327" i="70"/>
  <c r="AD327" i="70" s="1"/>
  <c r="M353" i="70"/>
  <c r="AE353" i="70" s="1"/>
  <c r="M334" i="70"/>
  <c r="AE334" i="70" s="1"/>
  <c r="L284" i="70"/>
  <c r="AD284" i="70" s="1"/>
  <c r="M361" i="70"/>
  <c r="AE361" i="70" s="1"/>
  <c r="M373" i="70"/>
  <c r="AE373" i="70" s="1"/>
  <c r="L366" i="70"/>
  <c r="AD366" i="70" s="1"/>
  <c r="L350" i="70"/>
  <c r="AD350" i="70" s="1"/>
  <c r="L372" i="70"/>
  <c r="AD372" i="70" s="1"/>
  <c r="M315" i="70"/>
  <c r="AE315" i="70" s="1"/>
  <c r="L267" i="70"/>
  <c r="AD267" i="70" s="1"/>
  <c r="M366" i="70"/>
  <c r="AE366" i="70" s="1"/>
  <c r="L316" i="70"/>
  <c r="AD316" i="70" s="1"/>
  <c r="L328" i="70"/>
  <c r="AD328" i="70" s="1"/>
  <c r="M275" i="70"/>
  <c r="AE275" i="70" s="1"/>
  <c r="M292" i="70"/>
  <c r="AE292" i="70" s="1"/>
  <c r="M356" i="70"/>
  <c r="AE356" i="70" s="1"/>
  <c r="M305" i="70"/>
  <c r="AE305" i="70" s="1"/>
  <c r="L305" i="70"/>
  <c r="AD305" i="70" s="1"/>
  <c r="L344" i="70"/>
  <c r="AD344" i="70" s="1"/>
  <c r="L283" i="70"/>
  <c r="AD283" i="70" s="1"/>
  <c r="L287" i="70"/>
  <c r="AD287" i="70" s="1"/>
  <c r="M317" i="70"/>
  <c r="AE317" i="70" s="1"/>
  <c r="L343" i="70"/>
  <c r="AD343" i="70" s="1"/>
  <c r="L353" i="70"/>
  <c r="AD353" i="70" s="1"/>
  <c r="M367" i="70"/>
  <c r="AE367" i="70" s="1"/>
  <c r="M338" i="70"/>
  <c r="AE338" i="70" s="1"/>
  <c r="M277" i="70"/>
  <c r="AE277" i="70" s="1"/>
  <c r="L304" i="70"/>
  <c r="AD304" i="70" s="1"/>
  <c r="L371" i="70"/>
  <c r="AD371" i="70" s="1"/>
  <c r="K344" i="70"/>
  <c r="K354" i="70"/>
  <c r="K314" i="70"/>
  <c r="K304" i="70"/>
  <c r="K328" i="70"/>
  <c r="K275" i="70"/>
  <c r="L335" i="70"/>
  <c r="AD335" i="70" s="1"/>
  <c r="L276" i="70"/>
  <c r="AD276" i="70" s="1"/>
  <c r="L369" i="70"/>
  <c r="AD369" i="70" s="1"/>
  <c r="M322" i="70"/>
  <c r="AE322" i="70" s="1"/>
  <c r="M339" i="70"/>
  <c r="AE339" i="70" s="1"/>
  <c r="L297" i="70"/>
  <c r="AD297" i="70" s="1"/>
  <c r="K317" i="70"/>
  <c r="K339" i="70"/>
  <c r="K345" i="70"/>
  <c r="L345" i="70"/>
  <c r="AD345" i="70" s="1"/>
  <c r="L279" i="70"/>
  <c r="AD279" i="70" s="1"/>
  <c r="M327" i="70"/>
  <c r="AE327" i="70" s="1"/>
  <c r="M342" i="70"/>
  <c r="AE342" i="70" s="1"/>
  <c r="L323" i="70"/>
  <c r="AD323" i="70" s="1"/>
  <c r="M270" i="70"/>
  <c r="AE270" i="70" s="1"/>
  <c r="M326" i="70"/>
  <c r="AE326" i="70" s="1"/>
  <c r="L374" i="70"/>
  <c r="AD374" i="70" s="1"/>
  <c r="M298" i="70"/>
  <c r="AE298" i="70" s="1"/>
  <c r="L268" i="70"/>
  <c r="AD268" i="70" s="1"/>
  <c r="M364" i="70"/>
  <c r="AE364" i="70" s="1"/>
  <c r="L352" i="70"/>
  <c r="AD352" i="70" s="1"/>
  <c r="M330" i="70"/>
  <c r="AE330" i="70" s="1"/>
  <c r="M321" i="70"/>
  <c r="AE321" i="70" s="1"/>
  <c r="K356" i="70"/>
  <c r="K308" i="70"/>
  <c r="K260" i="70"/>
  <c r="K307" i="70"/>
  <c r="K309" i="70"/>
  <c r="K366" i="70"/>
  <c r="K318" i="70"/>
  <c r="K270" i="70"/>
  <c r="K367" i="70"/>
  <c r="K262" i="70"/>
  <c r="K374" i="70"/>
  <c r="K326" i="70"/>
  <c r="K278" i="70"/>
  <c r="K361" i="70"/>
  <c r="K313" i="70"/>
  <c r="K265" i="70"/>
  <c r="K352" i="70"/>
  <c r="K348" i="70"/>
  <c r="K300" i="70"/>
  <c r="K335" i="70"/>
  <c r="K287" i="70"/>
  <c r="L362" i="70"/>
  <c r="AD362" i="70" s="1"/>
  <c r="M341" i="70"/>
  <c r="AE341" i="70" s="1"/>
  <c r="M336" i="70"/>
  <c r="AE336" i="70" s="1"/>
  <c r="L298" i="70"/>
  <c r="AD298" i="70" s="1"/>
  <c r="L324" i="70"/>
  <c r="AD324" i="70" s="1"/>
  <c r="L360" i="70"/>
  <c r="AD360" i="70" s="1"/>
  <c r="L342" i="70"/>
  <c r="AD342" i="70" s="1"/>
  <c r="L322" i="70"/>
  <c r="AD322" i="70" s="1"/>
  <c r="L358" i="70"/>
  <c r="AD358" i="70" s="1"/>
  <c r="M267" i="70"/>
  <c r="AE267" i="70" s="1"/>
  <c r="L273" i="70"/>
  <c r="AD273" i="70" s="1"/>
  <c r="M362" i="70"/>
  <c r="AE362" i="70" s="1"/>
  <c r="M307" i="70"/>
  <c r="AE307" i="70" s="1"/>
  <c r="M319" i="70"/>
  <c r="AE319" i="70" s="1"/>
  <c r="L271" i="70"/>
  <c r="AD271" i="70" s="1"/>
  <c r="L288" i="70"/>
  <c r="AD288" i="70" s="1"/>
  <c r="M352" i="70"/>
  <c r="AE352" i="70" s="1"/>
  <c r="M296" i="70"/>
  <c r="AE296" i="70" s="1"/>
  <c r="L317" i="70"/>
  <c r="AD317" i="70" s="1"/>
  <c r="M335" i="70"/>
  <c r="AE335" i="70" s="1"/>
  <c r="M274" i="70"/>
  <c r="AE274" i="70" s="1"/>
  <c r="M278" i="70"/>
  <c r="AE278" i="70" s="1"/>
  <c r="M308" i="70"/>
  <c r="AE308" i="70" s="1"/>
  <c r="L330" i="70"/>
  <c r="AD330" i="70" s="1"/>
  <c r="L364" i="70"/>
  <c r="AD364" i="70" s="1"/>
  <c r="M355" i="70"/>
  <c r="AE355" i="70" s="1"/>
  <c r="L334" i="70"/>
  <c r="AD334" i="70" s="1"/>
  <c r="M268" i="70"/>
  <c r="AE268" i="70" s="1"/>
  <c r="L308" i="70"/>
  <c r="AD308" i="70" s="1"/>
  <c r="K333" i="70"/>
  <c r="K273" i="70"/>
  <c r="K306" i="70"/>
  <c r="K362" i="70"/>
  <c r="K301" i="70"/>
  <c r="K288" i="70"/>
  <c r="K323" i="70"/>
  <c r="M346" i="70"/>
  <c r="AE346" i="70" s="1"/>
  <c r="M280" i="70"/>
  <c r="AE280" i="70" s="1"/>
  <c r="M289" i="70"/>
  <c r="AE289" i="70" s="1"/>
  <c r="M291" i="70"/>
  <c r="AE291" i="70" s="1"/>
  <c r="M276" i="70"/>
  <c r="AE276" i="70" s="1"/>
  <c r="M357" i="70"/>
  <c r="AE357" i="70" s="1"/>
  <c r="M350" i="70"/>
  <c r="AE350" i="70" s="1"/>
  <c r="L302" i="70"/>
  <c r="AD302" i="70" s="1"/>
  <c r="L336" i="70"/>
  <c r="AD336" i="70" s="1"/>
  <c r="L320" i="70"/>
  <c r="AD320" i="70" s="1"/>
  <c r="M283" i="70"/>
  <c r="AE283" i="70" s="1"/>
  <c r="L318" i="70"/>
  <c r="AD318" i="70" s="1"/>
  <c r="L319" i="70"/>
  <c r="AD319" i="70" s="1"/>
  <c r="M299" i="70"/>
  <c r="AE299" i="70" s="1"/>
  <c r="M316" i="70"/>
  <c r="AE316" i="70" s="1"/>
  <c r="K269" i="70"/>
  <c r="M347" i="70"/>
  <c r="AE347" i="70" s="1"/>
  <c r="M324" i="70"/>
  <c r="AE324" i="70" s="1"/>
  <c r="M303" i="70"/>
  <c r="AE303" i="70" s="1"/>
  <c r="L309" i="70"/>
  <c r="AD309" i="70" s="1"/>
  <c r="M293" i="70"/>
  <c r="AE293" i="70" s="1"/>
  <c r="L340" i="70"/>
  <c r="AD340" i="70" s="1"/>
  <c r="M309" i="70"/>
  <c r="AE309" i="70" s="1"/>
  <c r="M282" i="70"/>
  <c r="AE282" i="70" s="1"/>
  <c r="L301" i="70"/>
  <c r="AD301" i="70" s="1"/>
  <c r="L312" i="70"/>
  <c r="AD312" i="70" s="1"/>
  <c r="L370" i="70"/>
  <c r="AD370" i="70" s="1"/>
  <c r="M290" i="70"/>
  <c r="AE290" i="70" s="1"/>
  <c r="K334" i="70"/>
  <c r="K329" i="70"/>
  <c r="K281" i="70"/>
  <c r="K340" i="70"/>
  <c r="K316" i="70"/>
  <c r="K351" i="70"/>
  <c r="K303" i="70"/>
  <c r="K255" i="70"/>
  <c r="K364" i="70"/>
  <c r="K322" i="70"/>
  <c r="K357" i="70"/>
  <c r="M359" i="70"/>
  <c r="AE359" i="70" s="1"/>
  <c r="M337" i="70"/>
  <c r="AE337" i="70" s="1"/>
  <c r="M288" i="70"/>
  <c r="AE288" i="70" s="1"/>
  <c r="L346" i="70"/>
  <c r="AD346" i="70" s="1"/>
  <c r="L294" i="70"/>
  <c r="AD294" i="70" s="1"/>
  <c r="L351" i="70"/>
  <c r="AD351" i="70" s="1"/>
  <c r="M333" i="70"/>
  <c r="AE333" i="70" s="1"/>
  <c r="L303" i="70"/>
  <c r="AD303" i="70" s="1"/>
  <c r="M349" i="70"/>
  <c r="AE349" i="70" s="1"/>
  <c r="L363" i="70"/>
  <c r="AD363" i="70" s="1"/>
  <c r="L285" i="70"/>
  <c r="AD285" i="70" s="1"/>
  <c r="M354" i="70"/>
  <c r="AE354" i="70" s="1"/>
  <c r="M294" i="70"/>
  <c r="AE294" i="70" s="1"/>
  <c r="M306" i="70"/>
  <c r="AE306" i="70" s="1"/>
  <c r="M340" i="70"/>
  <c r="AE340" i="70" s="1"/>
  <c r="L275" i="70"/>
  <c r="AD275" i="70" s="1"/>
  <c r="M348" i="70"/>
  <c r="AE348" i="70" s="1"/>
  <c r="L292" i="70"/>
  <c r="AD292" i="70" s="1"/>
  <c r="L329" i="70"/>
  <c r="AD329" i="70" s="1"/>
  <c r="L331" i="70"/>
  <c r="AD331" i="70" s="1"/>
  <c r="L270" i="70"/>
  <c r="AD270" i="70" s="1"/>
  <c r="L274" i="70"/>
  <c r="AD274" i="70" s="1"/>
  <c r="L277" i="70"/>
  <c r="AD277" i="70" s="1"/>
  <c r="M325" i="70"/>
  <c r="AE325" i="70" s="1"/>
  <c r="K296" i="70"/>
  <c r="K283" i="70"/>
  <c r="K258" i="70"/>
  <c r="K266" i="70"/>
  <c r="K349" i="70"/>
  <c r="K336" i="70"/>
  <c r="K371" i="70"/>
  <c r="L290" i="70"/>
  <c r="AD290" i="70" s="1"/>
  <c r="M344" i="70"/>
  <c r="AE344" i="70" s="1"/>
  <c r="L341" i="70"/>
  <c r="AD341" i="70" s="1"/>
  <c r="L272" i="70"/>
  <c r="AD272" i="70" s="1"/>
  <c r="M295" i="70"/>
  <c r="AE295" i="70" s="1"/>
  <c r="L289" i="70"/>
  <c r="AD289" i="70" s="1"/>
  <c r="K365" i="70"/>
  <c r="K321" i="70"/>
  <c r="K291" i="70"/>
  <c r="K274" i="70"/>
  <c r="L349" i="70"/>
  <c r="AD349" i="70" s="1"/>
  <c r="M351" i="70"/>
  <c r="AE351" i="70" s="1"/>
  <c r="M328" i="70"/>
  <c r="AE328" i="70" s="1"/>
  <c r="M281" i="70"/>
  <c r="AE281" i="70" s="1"/>
  <c r="L332" i="70"/>
  <c r="AD332" i="70" s="1"/>
  <c r="L306" i="70"/>
  <c r="AD306" i="70" s="1"/>
  <c r="L368" i="70"/>
  <c r="AD368" i="70" s="1"/>
  <c r="L295" i="70"/>
  <c r="AD295" i="70" s="1"/>
  <c r="L359" i="70"/>
  <c r="AD359" i="70" s="1"/>
  <c r="M371" i="70"/>
  <c r="AE371" i="70" s="1"/>
  <c r="M279" i="70"/>
  <c r="AE279" i="70" s="1"/>
  <c r="M365" i="70"/>
  <c r="AE365" i="70" s="1"/>
  <c r="L333" i="70"/>
  <c r="AD333" i="70" s="1"/>
  <c r="L280" i="70"/>
  <c r="AD280" i="70" s="1"/>
  <c r="M318" i="70"/>
  <c r="AE318" i="70" s="1"/>
  <c r="L296" i="70"/>
  <c r="AD296" i="70" s="1"/>
  <c r="M269" i="70"/>
  <c r="AE269" i="70" s="1"/>
  <c r="L325" i="70"/>
  <c r="AD325" i="70" s="1"/>
  <c r="L367" i="70"/>
  <c r="AD367" i="70" s="1"/>
  <c r="K332" i="70"/>
  <c r="K284" i="70"/>
  <c r="K355" i="70"/>
  <c r="K342" i="70"/>
  <c r="K294" i="70"/>
  <c r="K297" i="70"/>
  <c r="K280" i="70"/>
  <c r="K350" i="70"/>
  <c r="K302" i="70"/>
  <c r="K337" i="70"/>
  <c r="K289" i="70"/>
  <c r="K292" i="70"/>
  <c r="K372" i="70"/>
  <c r="K324" i="70"/>
  <c r="K276" i="70"/>
  <c r="K256" i="70"/>
  <c r="K359" i="70"/>
  <c r="K311" i="70"/>
  <c r="K263" i="70"/>
  <c r="M323" i="70"/>
  <c r="AE323" i="70" s="1"/>
  <c r="L361" i="70"/>
  <c r="AD361" i="70" s="1"/>
  <c r="L357" i="70"/>
  <c r="AD357" i="70" s="1"/>
  <c r="L311" i="70"/>
  <c r="AD311" i="70" s="1"/>
  <c r="M345" i="70"/>
  <c r="AE345" i="70" s="1"/>
  <c r="L291" i="70"/>
  <c r="AD291" i="70" s="1"/>
  <c r="M372" i="70"/>
  <c r="AE372" i="70" s="1"/>
  <c r="M302" i="70"/>
  <c r="AE302" i="70" s="1"/>
  <c r="L315" i="70"/>
  <c r="AD315" i="70" s="1"/>
  <c r="L321" i="70"/>
  <c r="AD321" i="70" s="1"/>
  <c r="L338" i="70"/>
  <c r="AD338" i="70" s="1"/>
  <c r="M272" i="70"/>
  <c r="AE272" i="70" s="1"/>
  <c r="M284" i="70"/>
  <c r="AE284" i="70" s="1"/>
  <c r="M314" i="70"/>
  <c r="AE314" i="70" s="1"/>
  <c r="M368" i="70"/>
  <c r="AE368" i="70" s="1"/>
  <c r="M331" i="70"/>
  <c r="AE331" i="70" s="1"/>
  <c r="L269" i="70"/>
  <c r="AD269" i="70" s="1"/>
  <c r="L356" i="70"/>
  <c r="AD356" i="70" s="1"/>
  <c r="M300" i="70"/>
  <c r="AE300" i="70" s="1"/>
  <c r="M313" i="70"/>
  <c r="AE313" i="70" s="1"/>
  <c r="M343" i="70"/>
  <c r="AE343" i="70" s="1"/>
  <c r="L278" i="70"/>
  <c r="AD278" i="70" s="1"/>
  <c r="M286" i="70"/>
  <c r="AE286" i="70" s="1"/>
  <c r="L313" i="70"/>
  <c r="AD313" i="70" s="1"/>
  <c r="L347" i="70"/>
  <c r="AD347" i="70" s="1"/>
  <c r="L299" i="70"/>
  <c r="AD299" i="70" s="1"/>
  <c r="K298" i="70"/>
  <c r="K353" i="70"/>
  <c r="K305" i="70"/>
  <c r="K257" i="70"/>
  <c r="K327" i="70"/>
  <c r="K279" i="70"/>
  <c r="K343" i="70"/>
  <c r="K285" i="70"/>
  <c r="K331" i="70"/>
  <c r="K358" i="70"/>
  <c r="L307" i="70"/>
  <c r="AD307" i="70" s="1"/>
  <c r="M297" i="70"/>
  <c r="AE297" i="70" s="1"/>
  <c r="M363" i="70"/>
  <c r="AE363" i="70" s="1"/>
  <c r="M329" i="70"/>
  <c r="AE329" i="70" s="1"/>
  <c r="L310" i="70"/>
  <c r="AD310" i="70" s="1"/>
  <c r="L281" i="70"/>
  <c r="AD281" i="70" s="1"/>
  <c r="M304" i="70"/>
  <c r="AE304" i="70" s="1"/>
  <c r="L282" i="70"/>
  <c r="AD282" i="70" s="1"/>
  <c r="M369" i="70"/>
  <c r="AE369" i="70" s="1"/>
  <c r="L339" i="70"/>
  <c r="AD339" i="70" s="1"/>
  <c r="M311" i="70"/>
  <c r="AE311" i="70" s="1"/>
  <c r="M285" i="70"/>
  <c r="AE285" i="70" s="1"/>
  <c r="L293" i="70"/>
  <c r="AD293" i="70" s="1"/>
  <c r="M312" i="70"/>
  <c r="AE312" i="70" s="1"/>
  <c r="L348" i="70"/>
  <c r="AD348" i="70" s="1"/>
  <c r="M273" i="70"/>
  <c r="AE273" i="70" s="1"/>
  <c r="M374" i="70"/>
  <c r="AE374" i="70" s="1"/>
  <c r="L286" i="70"/>
  <c r="AD286" i="70" s="1"/>
  <c r="M320" i="70"/>
  <c r="AE320" i="70" s="1"/>
  <c r="M358" i="70"/>
  <c r="AE358" i="70" s="1"/>
  <c r="L337" i="70"/>
  <c r="AD337" i="70" s="1"/>
  <c r="L373" i="70"/>
  <c r="AD373" i="70" s="1"/>
  <c r="M287" i="70"/>
  <c r="AE287" i="70" s="1"/>
  <c r="M332" i="70"/>
  <c r="AE332" i="70" s="1"/>
  <c r="L300" i="70"/>
  <c r="AD300" i="70" s="1"/>
  <c r="L314" i="70"/>
  <c r="AD314" i="70" s="1"/>
  <c r="M271" i="70"/>
  <c r="AE271" i="70" s="1"/>
  <c r="L326" i="70"/>
  <c r="AD326" i="70" s="1"/>
  <c r="M301" i="70"/>
  <c r="AE301" i="70" s="1"/>
  <c r="L355" i="70"/>
  <c r="AD355" i="70" s="1"/>
  <c r="M310" i="70"/>
  <c r="AE310" i="70" s="1"/>
  <c r="M360" i="70"/>
  <c r="AE360" i="70" s="1"/>
  <c r="M180" i="70"/>
  <c r="AE180" i="70" s="1"/>
  <c r="M218" i="70"/>
  <c r="AE218" i="70" s="1"/>
  <c r="M203" i="70"/>
  <c r="AE203" i="70" s="1"/>
  <c r="M187" i="70"/>
  <c r="AE187" i="70" s="1"/>
  <c r="M183" i="70"/>
  <c r="K199" i="70"/>
  <c r="M173" i="70"/>
  <c r="AE173" i="70" s="1"/>
  <c r="M211" i="70"/>
  <c r="AE211" i="70" s="1"/>
  <c r="M199" i="70"/>
  <c r="AE199" i="70" s="1"/>
  <c r="K197" i="70"/>
  <c r="M200" i="70"/>
  <c r="M214" i="70"/>
  <c r="AE214" i="70" s="1"/>
  <c r="M179" i="70"/>
  <c r="AE179" i="70" s="1"/>
  <c r="K193" i="70"/>
  <c r="M184" i="70"/>
  <c r="AE184" i="70" s="1"/>
  <c r="K181" i="70"/>
  <c r="M181" i="70"/>
  <c r="AE181" i="70" s="1"/>
  <c r="K188" i="70"/>
  <c r="K185" i="70"/>
  <c r="M172" i="70"/>
  <c r="AE172" i="70" s="1"/>
  <c r="M191" i="70"/>
  <c r="AE191" i="70" s="1"/>
  <c r="K189" i="70"/>
  <c r="M207" i="70"/>
  <c r="K179" i="70"/>
  <c r="M216" i="70"/>
  <c r="AE216" i="70" s="1"/>
  <c r="M186" i="70"/>
  <c r="AE186" i="70" s="1"/>
  <c r="K213" i="70"/>
  <c r="K211" i="70"/>
  <c r="M198" i="70"/>
  <c r="AE198" i="70" s="1"/>
  <c r="M201" i="70"/>
  <c r="AE201" i="70" s="1"/>
  <c r="M206" i="70"/>
  <c r="AE206" i="70" s="1"/>
  <c r="M178" i="70"/>
  <c r="AE178" i="70" s="1"/>
  <c r="K208" i="70"/>
  <c r="K218" i="70"/>
  <c r="K172" i="70"/>
  <c r="K174" i="70"/>
  <c r="K204" i="70"/>
  <c r="M204" i="70"/>
  <c r="AE204" i="70" s="1"/>
  <c r="M197" i="70"/>
  <c r="AE197" i="70" s="1"/>
  <c r="M209" i="70"/>
  <c r="AE209" i="70" s="1"/>
  <c r="M192" i="70"/>
  <c r="AE192" i="70" s="1"/>
  <c r="K200" i="70"/>
  <c r="M175" i="70"/>
  <c r="AE175" i="70" s="1"/>
  <c r="K186" i="70"/>
  <c r="M215" i="70"/>
  <c r="AE215" i="70" s="1"/>
  <c r="M210" i="70"/>
  <c r="AE210" i="70" s="1"/>
  <c r="M202" i="70"/>
  <c r="AE202" i="70" s="1"/>
  <c r="M188" i="70"/>
  <c r="K180" i="70"/>
  <c r="M212" i="70"/>
  <c r="K201" i="70"/>
  <c r="M195" i="70"/>
  <c r="M190" i="70"/>
  <c r="AE190" i="70" s="1"/>
  <c r="K198" i="70"/>
  <c r="K215" i="70"/>
  <c r="M208" i="70"/>
  <c r="AE208" i="70" s="1"/>
  <c r="K176" i="70"/>
  <c r="K184" i="70"/>
  <c r="K175" i="70"/>
  <c r="K214" i="70"/>
  <c r="K196" i="70"/>
  <c r="K203" i="70"/>
  <c r="K187" i="70"/>
  <c r="M171" i="70"/>
  <c r="K194" i="70"/>
  <c r="M185" i="70"/>
  <c r="AE185" i="70" s="1"/>
  <c r="K217" i="70"/>
  <c r="K202" i="70"/>
  <c r="K192" i="70"/>
  <c r="K177" i="70"/>
  <c r="K205" i="70"/>
  <c r="K212" i="70"/>
  <c r="K182" i="70"/>
  <c r="M193" i="70"/>
  <c r="AE193" i="70" s="1"/>
  <c r="M194" i="70"/>
  <c r="AE194" i="70" s="1"/>
  <c r="M196" i="70"/>
  <c r="AE196" i="70" s="1"/>
  <c r="M182" i="70"/>
  <c r="AE182" i="70" s="1"/>
  <c r="K206" i="70"/>
  <c r="K210" i="70"/>
  <c r="M213" i="70"/>
  <c r="AE213" i="70" s="1"/>
  <c r="M176" i="70"/>
  <c r="K190" i="70"/>
  <c r="M189" i="70"/>
  <c r="AE189" i="70" s="1"/>
  <c r="M217" i="70"/>
  <c r="AE217" i="70" s="1"/>
  <c r="M174" i="70"/>
  <c r="AE174" i="70" s="1"/>
  <c r="K191" i="70"/>
  <c r="M205" i="70"/>
  <c r="AE205" i="70" s="1"/>
  <c r="K173" i="70"/>
  <c r="M177" i="70"/>
  <c r="AE177" i="70" s="1"/>
  <c r="K216" i="70"/>
  <c r="K209" i="70"/>
  <c r="K178" i="70"/>
  <c r="K195" i="70"/>
  <c r="K183" i="70"/>
  <c r="K171" i="70"/>
  <c r="K207" i="70"/>
  <c r="M257" i="70"/>
  <c r="AE257" i="70" s="1"/>
  <c r="M263" i="70"/>
  <c r="AE263" i="70" s="1"/>
  <c r="M231" i="70"/>
  <c r="M237" i="70"/>
  <c r="AE237" i="70" s="1"/>
  <c r="K223" i="70"/>
  <c r="K230" i="70"/>
  <c r="M241" i="70"/>
  <c r="AE241" i="70" s="1"/>
  <c r="K240" i="70"/>
  <c r="M260" i="70"/>
  <c r="M219" i="70"/>
  <c r="M259" i="70"/>
  <c r="AE259" i="70" s="1"/>
  <c r="K242" i="70"/>
  <c r="M233" i="70"/>
  <c r="AE233" i="70" s="1"/>
  <c r="K231" i="70"/>
  <c r="M229" i="70"/>
  <c r="AE229" i="70" s="1"/>
  <c r="M222" i="70"/>
  <c r="AE222" i="70" s="1"/>
  <c r="M220" i="70"/>
  <c r="AE220" i="70" s="1"/>
  <c r="K252" i="70"/>
  <c r="M254" i="70"/>
  <c r="AE254" i="70" s="1"/>
  <c r="M252" i="70"/>
  <c r="AE252" i="70" s="1"/>
  <c r="M243" i="70"/>
  <c r="K234" i="70"/>
  <c r="K220" i="70"/>
  <c r="M242" i="70"/>
  <c r="AE242" i="70" s="1"/>
  <c r="K241" i="70"/>
  <c r="K248" i="70"/>
  <c r="M262" i="70"/>
  <c r="AE262" i="70" s="1"/>
  <c r="M221" i="70"/>
  <c r="AE221" i="70" s="1"/>
  <c r="K253" i="70"/>
  <c r="K244" i="70"/>
  <c r="M246" i="70"/>
  <c r="AE246" i="70" s="1"/>
  <c r="M236" i="70"/>
  <c r="K251" i="70"/>
  <c r="M248" i="70"/>
  <c r="M266" i="70"/>
  <c r="AE266" i="70" s="1"/>
  <c r="K226" i="70"/>
  <c r="M224" i="70"/>
  <c r="K254" i="70"/>
  <c r="M251" i="70"/>
  <c r="AE251" i="70" s="1"/>
  <c r="M228" i="70"/>
  <c r="AE228" i="70" s="1"/>
  <c r="M256" i="70"/>
  <c r="AE256" i="70" s="1"/>
  <c r="K232" i="70"/>
  <c r="M247" i="70"/>
  <c r="AE247" i="70" s="1"/>
  <c r="M238" i="70"/>
  <c r="AE238" i="70" s="1"/>
  <c r="K245" i="70"/>
  <c r="K236" i="70"/>
  <c r="M230" i="70"/>
  <c r="AE230" i="70" s="1"/>
  <c r="K243" i="70"/>
  <c r="M232" i="70"/>
  <c r="AE232" i="70" s="1"/>
  <c r="K239" i="70"/>
  <c r="M258" i="70"/>
  <c r="AE258" i="70" s="1"/>
  <c r="K229" i="70"/>
  <c r="M240" i="70"/>
  <c r="AE240" i="70" s="1"/>
  <c r="M239" i="70"/>
  <c r="AE239" i="70" s="1"/>
  <c r="K222" i="70"/>
  <c r="K237" i="70"/>
  <c r="K228" i="70"/>
  <c r="K235" i="70"/>
  <c r="M244" i="70"/>
  <c r="AE244" i="70" s="1"/>
  <c r="M250" i="70"/>
  <c r="AE250" i="70" s="1"/>
  <c r="M223" i="70"/>
  <c r="AE223" i="70" s="1"/>
  <c r="M264" i="70"/>
  <c r="AE264" i="70" s="1"/>
  <c r="M253" i="70"/>
  <c r="AE253" i="70" s="1"/>
  <c r="K221" i="70"/>
  <c r="K246" i="70"/>
  <c r="M265" i="70"/>
  <c r="AE265" i="70" s="1"/>
  <c r="K249" i="70"/>
  <c r="M235" i="70"/>
  <c r="AE235" i="70" s="1"/>
  <c r="K219" i="70"/>
  <c r="M234" i="70"/>
  <c r="AE234" i="70" s="1"/>
  <c r="M261" i="70"/>
  <c r="AE261" i="70" s="1"/>
  <c r="K227" i="70"/>
  <c r="M255" i="70"/>
  <c r="K224" i="70"/>
  <c r="M245" i="70"/>
  <c r="AE245" i="70" s="1"/>
  <c r="K247" i="70"/>
  <c r="K238" i="70"/>
  <c r="M249" i="70"/>
  <c r="AE249" i="70" s="1"/>
  <c r="K233" i="70"/>
  <c r="M227" i="70"/>
  <c r="AE227" i="70" s="1"/>
  <c r="M225" i="70"/>
  <c r="AE225" i="70" s="1"/>
  <c r="M226" i="70"/>
  <c r="AE226" i="70" s="1"/>
  <c r="K250" i="70"/>
  <c r="K225" i="70"/>
  <c r="L255" i="70"/>
  <c r="L209" i="70"/>
  <c r="AD209" i="70" s="1"/>
  <c r="L214" i="70"/>
  <c r="AD214" i="70" s="1"/>
  <c r="L207" i="70"/>
  <c r="L260" i="70"/>
  <c r="L212" i="70"/>
  <c r="L265" i="70"/>
  <c r="AD265" i="70" s="1"/>
  <c r="L217" i="70"/>
  <c r="AD217" i="70" s="1"/>
  <c r="L258" i="70"/>
  <c r="AD258" i="70" s="1"/>
  <c r="L210" i="70"/>
  <c r="AD210" i="70" s="1"/>
  <c r="L263" i="70"/>
  <c r="AD263" i="70" s="1"/>
  <c r="L215" i="70"/>
  <c r="AD215" i="70" s="1"/>
  <c r="L256" i="70"/>
  <c r="AD256" i="70" s="1"/>
  <c r="L208" i="70"/>
  <c r="AD208" i="70" s="1"/>
  <c r="L261" i="70"/>
  <c r="AD261" i="70" s="1"/>
  <c r="L213" i="70"/>
  <c r="AD213" i="70" s="1"/>
  <c r="L266" i="70"/>
  <c r="AD266" i="70" s="1"/>
  <c r="L218" i="70"/>
  <c r="AD218" i="70" s="1"/>
  <c r="L259" i="70"/>
  <c r="AD259" i="70" s="1"/>
  <c r="L211" i="70"/>
  <c r="AD211" i="70" s="1"/>
  <c r="L264" i="70"/>
  <c r="AD264" i="70" s="1"/>
  <c r="L216" i="70"/>
  <c r="AD216" i="70" s="1"/>
  <c r="L257" i="70"/>
  <c r="AD257" i="70" s="1"/>
  <c r="L262" i="70"/>
  <c r="AD262" i="70" s="1"/>
  <c r="L201" i="70"/>
  <c r="AD201" i="70" s="1"/>
  <c r="L206" i="70"/>
  <c r="AD206" i="70" s="1"/>
  <c r="L247" i="70"/>
  <c r="AD247" i="70" s="1"/>
  <c r="L199" i="70"/>
  <c r="AD199" i="70" s="1"/>
  <c r="L252" i="70"/>
  <c r="AD252" i="70" s="1"/>
  <c r="L204" i="70"/>
  <c r="AD204" i="70" s="1"/>
  <c r="L245" i="70"/>
  <c r="AD245" i="70" s="1"/>
  <c r="L243" i="70"/>
  <c r="L195" i="70"/>
  <c r="L248" i="70"/>
  <c r="L200" i="70"/>
  <c r="L253" i="70"/>
  <c r="AD253" i="70" s="1"/>
  <c r="L205" i="70"/>
  <c r="AD205" i="70" s="1"/>
  <c r="L246" i="70"/>
  <c r="AD246" i="70" s="1"/>
  <c r="L198" i="70"/>
  <c r="AD198" i="70" s="1"/>
  <c r="L251" i="70"/>
  <c r="AD251" i="70" s="1"/>
  <c r="L203" i="70"/>
  <c r="AD203" i="70" s="1"/>
  <c r="L244" i="70"/>
  <c r="AD244" i="70" s="1"/>
  <c r="L196" i="70"/>
  <c r="AD196" i="70" s="1"/>
  <c r="L249" i="70"/>
  <c r="AD249" i="70" s="1"/>
  <c r="L254" i="70"/>
  <c r="AD254" i="70" s="1"/>
  <c r="L197" i="70"/>
  <c r="AD197" i="70" s="1"/>
  <c r="L250" i="70"/>
  <c r="AD250" i="70" s="1"/>
  <c r="L202" i="70"/>
  <c r="AD202" i="70" s="1"/>
  <c r="L219" i="70"/>
  <c r="L229" i="70"/>
  <c r="AD229" i="70" s="1"/>
  <c r="L222" i="70"/>
  <c r="AD222" i="70" s="1"/>
  <c r="L227" i="70"/>
  <c r="AD227" i="70" s="1"/>
  <c r="L180" i="70"/>
  <c r="AD180" i="70" s="1"/>
  <c r="L221" i="70"/>
  <c r="AD221" i="70" s="1"/>
  <c r="L173" i="70"/>
  <c r="AD173" i="70" s="1"/>
  <c r="L226" i="70"/>
  <c r="AD226" i="70" s="1"/>
  <c r="L178" i="70"/>
  <c r="AD178" i="70" s="1"/>
  <c r="L231" i="70"/>
  <c r="L183" i="70"/>
  <c r="L236" i="70"/>
  <c r="L188" i="70"/>
  <c r="L241" i="70"/>
  <c r="AD241" i="70" s="1"/>
  <c r="L193" i="70"/>
  <c r="AD193" i="70" s="1"/>
  <c r="L234" i="70"/>
  <c r="AD234" i="70" s="1"/>
  <c r="L186" i="70"/>
  <c r="AD186" i="70" s="1"/>
  <c r="L239" i="70"/>
  <c r="AD239" i="70" s="1"/>
  <c r="L191" i="70"/>
  <c r="AD191" i="70" s="1"/>
  <c r="L232" i="70"/>
  <c r="AD232" i="70" s="1"/>
  <c r="L184" i="70"/>
  <c r="AD184" i="70" s="1"/>
  <c r="L237" i="70"/>
  <c r="AD237" i="70" s="1"/>
  <c r="L189" i="70"/>
  <c r="AD189" i="70" s="1"/>
  <c r="L242" i="70"/>
  <c r="AD242" i="70" s="1"/>
  <c r="L194" i="70"/>
  <c r="AD194" i="70" s="1"/>
  <c r="L235" i="70"/>
  <c r="AD235" i="70" s="1"/>
  <c r="L187" i="70"/>
  <c r="AD187" i="70" s="1"/>
  <c r="L240" i="70"/>
  <c r="AD240" i="70" s="1"/>
  <c r="L192" i="70"/>
  <c r="AD192" i="70" s="1"/>
  <c r="L233" i="70"/>
  <c r="AD233" i="70" s="1"/>
  <c r="L185" i="70"/>
  <c r="AD185" i="70" s="1"/>
  <c r="L238" i="70"/>
  <c r="AD238" i="70" s="1"/>
  <c r="L190" i="70"/>
  <c r="AD190" i="70" s="1"/>
  <c r="L171" i="70"/>
  <c r="L176" i="70"/>
  <c r="L181" i="70"/>
  <c r="AD181" i="70" s="1"/>
  <c r="L174" i="70"/>
  <c r="AD174" i="70" s="1"/>
  <c r="L179" i="70"/>
  <c r="AD179" i="70" s="1"/>
  <c r="L220" i="70"/>
  <c r="AD220" i="70" s="1"/>
  <c r="L172" i="70"/>
  <c r="AD172" i="70" s="1"/>
  <c r="L225" i="70"/>
  <c r="AD225" i="70" s="1"/>
  <c r="L177" i="70"/>
  <c r="AD177" i="70" s="1"/>
  <c r="L224" i="70"/>
  <c r="L230" i="70"/>
  <c r="AD230" i="70" s="1"/>
  <c r="L182" i="70"/>
  <c r="AD182" i="70" s="1"/>
  <c r="L223" i="70"/>
  <c r="AD223" i="70" s="1"/>
  <c r="L175" i="70"/>
  <c r="AD175" i="70" s="1"/>
  <c r="L228" i="70"/>
  <c r="AD228" i="70" s="1"/>
  <c r="EA17" i="1"/>
  <c r="EA16" i="1"/>
  <c r="EA15" i="1"/>
  <c r="EA14" i="1"/>
  <c r="EA13" i="1"/>
  <c r="EA12" i="1"/>
  <c r="EA11" i="1"/>
  <c r="EA10" i="1"/>
  <c r="EA9" i="1"/>
  <c r="EE31" i="1"/>
  <c r="DY30" i="1"/>
  <c r="EE27" i="1"/>
  <c r="DY26" i="1"/>
  <c r="EE23" i="1"/>
  <c r="DY22" i="1"/>
  <c r="EE19" i="1"/>
  <c r="DX18" i="1"/>
  <c r="EF16" i="1"/>
  <c r="DX15" i="1"/>
  <c r="EF13" i="1"/>
  <c r="DX12" i="1"/>
  <c r="EF10" i="1"/>
  <c r="DX9" i="1"/>
  <c r="EC8" i="1"/>
  <c r="Q23" i="43"/>
  <c r="BA20" i="43" s="1"/>
  <c r="W22" i="66"/>
  <c r="Q21" i="43"/>
  <c r="AY20" i="43" s="1"/>
  <c r="W20" i="66"/>
  <c r="Q11" i="43"/>
  <c r="AP20" i="43" s="1"/>
  <c r="W11" i="66"/>
  <c r="Q10" i="43"/>
  <c r="AO20" i="43" s="1"/>
  <c r="W10" i="66"/>
  <c r="P11" i="43"/>
  <c r="AP19" i="43" s="1"/>
  <c r="V11" i="66"/>
  <c r="Q20" i="43"/>
  <c r="AX20" i="43" s="1"/>
  <c r="W19" i="66"/>
  <c r="Q18" i="43"/>
  <c r="AV20" i="43" s="1"/>
  <c r="W17" i="66"/>
  <c r="P22" i="43"/>
  <c r="AZ19" i="43" s="1"/>
  <c r="V21" i="66"/>
  <c r="P19" i="43"/>
  <c r="AW19" i="43" s="1"/>
  <c r="V18" i="66"/>
  <c r="P21" i="43"/>
  <c r="AY19" i="43" s="1"/>
  <c r="V20" i="66"/>
  <c r="P23" i="43"/>
  <c r="BA19" i="43" s="1"/>
  <c r="V22" i="66"/>
  <c r="P20" i="43"/>
  <c r="AX19" i="43" s="1"/>
  <c r="V19" i="66"/>
  <c r="P13" i="43"/>
  <c r="AQ19" i="43" s="1"/>
  <c r="V12" i="66"/>
  <c r="Q15" i="43"/>
  <c r="AS20" i="43" s="1"/>
  <c r="W14" i="66"/>
  <c r="Q9" i="43"/>
  <c r="AN20" i="43" s="1"/>
  <c r="W9" i="66"/>
  <c r="P10" i="43"/>
  <c r="AO19" i="43" s="1"/>
  <c r="V10" i="66"/>
  <c r="Q25" i="43"/>
  <c r="BC20" i="43" s="1"/>
  <c r="W24" i="66"/>
  <c r="P9" i="43"/>
  <c r="AN19" i="43" s="1"/>
  <c r="V9" i="66"/>
  <c r="P16" i="43"/>
  <c r="AT19" i="43" s="1"/>
  <c r="V15" i="66"/>
  <c r="P15" i="43"/>
  <c r="AS19" i="43" s="1"/>
  <c r="V14" i="66"/>
  <c r="DN30" i="2"/>
  <c r="DT30" i="2"/>
  <c r="DN35" i="2"/>
  <c r="DT35" i="2"/>
  <c r="DT25" i="2"/>
  <c r="DN25" i="2"/>
  <c r="DT29" i="2"/>
  <c r="DN29" i="2"/>
  <c r="DN27" i="2"/>
  <c r="DT27" i="2"/>
  <c r="DN33" i="2"/>
  <c r="DT33" i="2"/>
  <c r="DT31" i="2"/>
  <c r="DN31" i="2"/>
  <c r="DT32" i="2"/>
  <c r="DN32" i="2"/>
  <c r="DT24" i="2"/>
  <c r="DN24" i="2"/>
  <c r="DN34" i="2"/>
  <c r="DT34" i="2"/>
  <c r="DT28" i="2"/>
  <c r="DN28" i="2"/>
  <c r="DT26" i="2"/>
  <c r="DN26" i="2"/>
  <c r="EB30" i="1"/>
  <c r="EB28" i="1"/>
  <c r="EB26" i="1"/>
  <c r="EB24" i="1"/>
  <c r="EB22" i="1"/>
  <c r="EA18" i="1"/>
  <c r="DY8" i="1"/>
  <c r="CO120" i="1"/>
  <c r="CX120" i="1" s="1"/>
  <c r="CN120" i="1"/>
  <c r="CW120" i="1" s="1"/>
  <c r="CM120" i="1"/>
  <c r="CV120" i="1" s="1"/>
  <c r="CL120" i="1"/>
  <c r="CU120" i="1" s="1"/>
  <c r="CT120" i="1"/>
  <c r="DC120" i="1" s="1"/>
  <c r="CS120" i="1"/>
  <c r="DB120" i="1" s="1"/>
  <c r="CR120" i="1"/>
  <c r="DA120" i="1" s="1"/>
  <c r="CQ120" i="1"/>
  <c r="CZ120" i="1" s="1"/>
  <c r="CP120" i="1"/>
  <c r="CY120" i="1" s="1"/>
  <c r="CQ113" i="1"/>
  <c r="CZ113" i="1" s="1"/>
  <c r="CT113" i="1"/>
  <c r="DC113" i="1" s="1"/>
  <c r="CS113" i="1"/>
  <c r="DB113" i="1" s="1"/>
  <c r="CO113" i="1"/>
  <c r="CX113" i="1" s="1"/>
  <c r="CR113" i="1"/>
  <c r="DA113" i="1" s="1"/>
  <c r="CM113" i="1"/>
  <c r="CV113" i="1" s="1"/>
  <c r="CP113" i="1"/>
  <c r="CY113" i="1" s="1"/>
  <c r="CN113" i="1"/>
  <c r="CW113" i="1" s="1"/>
  <c r="CL113" i="1"/>
  <c r="CU113" i="1" s="1"/>
  <c r="CV10" i="2"/>
  <c r="EA32" i="1"/>
  <c r="DX31" i="1"/>
  <c r="ED30" i="1"/>
  <c r="DX29" i="1"/>
  <c r="ED28" i="1"/>
  <c r="DX27" i="1"/>
  <c r="ED26" i="1"/>
  <c r="DX25" i="1"/>
  <c r="ED24" i="1"/>
  <c r="DX23" i="1"/>
  <c r="ED22" i="1"/>
  <c r="DX21" i="1"/>
  <c r="CY9" i="2"/>
  <c r="ED20" i="1"/>
  <c r="DX19" i="1"/>
  <c r="EC18" i="1"/>
  <c r="DZ16" i="1"/>
  <c r="ED15" i="1"/>
  <c r="DZ13" i="1"/>
  <c r="ED12" i="1"/>
  <c r="DZ10" i="1"/>
  <c r="ED9" i="1"/>
  <c r="EB8" i="1"/>
  <c r="T5" i="43"/>
  <c r="AJ23" i="43" s="1"/>
  <c r="BM3" i="2"/>
  <c r="AF5" i="50"/>
  <c r="AM3" i="2"/>
  <c r="CW10" i="2"/>
  <c r="EB32" i="1"/>
  <c r="CO123" i="1"/>
  <c r="CX123" i="1" s="1"/>
  <c r="CN123" i="1"/>
  <c r="CW123" i="1" s="1"/>
  <c r="CM123" i="1"/>
  <c r="CV123" i="1" s="1"/>
  <c r="CL123" i="1"/>
  <c r="CU123" i="1" s="1"/>
  <c r="CT123" i="1"/>
  <c r="DC123" i="1" s="1"/>
  <c r="CS123" i="1"/>
  <c r="DB123" i="1" s="1"/>
  <c r="CQ123" i="1"/>
  <c r="CZ123" i="1" s="1"/>
  <c r="CP123" i="1"/>
  <c r="CY123" i="1" s="1"/>
  <c r="CR123" i="1"/>
  <c r="DA123" i="1" s="1"/>
  <c r="CR115" i="1"/>
  <c r="DA115" i="1" s="1"/>
  <c r="CT115" i="1"/>
  <c r="DC115" i="1" s="1"/>
  <c r="CO115" i="1"/>
  <c r="CX115" i="1" s="1"/>
  <c r="CS115" i="1"/>
  <c r="DB115" i="1" s="1"/>
  <c r="CN115" i="1"/>
  <c r="CW115" i="1" s="1"/>
  <c r="CQ115" i="1"/>
  <c r="CZ115" i="1" s="1"/>
  <c r="CP115" i="1"/>
  <c r="CY115" i="1" s="1"/>
  <c r="CM115" i="1"/>
  <c r="CV115" i="1" s="1"/>
  <c r="CL115" i="1"/>
  <c r="CU115" i="1" s="1"/>
  <c r="CR112" i="1"/>
  <c r="DA112" i="1" s="1"/>
  <c r="CT112" i="1"/>
  <c r="DC112" i="1" s="1"/>
  <c r="CS112" i="1"/>
  <c r="DB112" i="1" s="1"/>
  <c r="CQ112" i="1"/>
  <c r="CZ112" i="1" s="1"/>
  <c r="CO112" i="1"/>
  <c r="CX112" i="1" s="1"/>
  <c r="CN112" i="1"/>
  <c r="CW112" i="1" s="1"/>
  <c r="CP112" i="1"/>
  <c r="CY112" i="1" s="1"/>
  <c r="CL112" i="1"/>
  <c r="CU112" i="1" s="1"/>
  <c r="CM112" i="1"/>
  <c r="CV112" i="1" s="1"/>
  <c r="CU10" i="2"/>
  <c r="DZ32" i="1"/>
  <c r="EC30" i="1"/>
  <c r="EC28" i="1"/>
  <c r="EC26" i="1"/>
  <c r="EC24" i="1"/>
  <c r="EC22" i="1"/>
  <c r="CX9" i="2"/>
  <c r="EC20" i="1"/>
  <c r="EB18" i="1"/>
  <c r="DY16" i="1"/>
  <c r="EC15" i="1"/>
  <c r="DY13" i="1"/>
  <c r="EC12" i="1"/>
  <c r="DY10" i="1"/>
  <c r="EC9" i="1"/>
  <c r="EA8" i="1"/>
  <c r="F4" i="59"/>
  <c r="BL3" i="2"/>
  <c r="CO111" i="1"/>
  <c r="CX111" i="1" s="1"/>
  <c r="CM111" i="1"/>
  <c r="CV111" i="1" s="1"/>
  <c r="CT111" i="1"/>
  <c r="DC111" i="1" s="1"/>
  <c r="CS111" i="1"/>
  <c r="DB111" i="1" s="1"/>
  <c r="CL111" i="1"/>
  <c r="CU111" i="1" s="1"/>
  <c r="CP111" i="1"/>
  <c r="CY111" i="1" s="1"/>
  <c r="CR111" i="1"/>
  <c r="DA111" i="1" s="1"/>
  <c r="CN111" i="1"/>
  <c r="CW111" i="1" s="1"/>
  <c r="CQ111" i="1"/>
  <c r="CZ111" i="1" s="1"/>
  <c r="CT10" i="2"/>
  <c r="DY32" i="1"/>
  <c r="CW9" i="2"/>
  <c r="EB20" i="1"/>
  <c r="EF17" i="1"/>
  <c r="DX16" i="1"/>
  <c r="EB15" i="1"/>
  <c r="EF14" i="1"/>
  <c r="DX13" i="1"/>
  <c r="EB12" i="1"/>
  <c r="EF11" i="1"/>
  <c r="DX10" i="1"/>
  <c r="EB9" i="1"/>
  <c r="DZ8" i="1"/>
  <c r="CR121" i="1"/>
  <c r="DA121" i="1" s="1"/>
  <c r="CT121" i="1"/>
  <c r="DC121" i="1" s="1"/>
  <c r="CS121" i="1"/>
  <c r="DB121" i="1" s="1"/>
  <c r="CQ121" i="1"/>
  <c r="CZ121" i="1" s="1"/>
  <c r="CO121" i="1"/>
  <c r="CX121" i="1" s="1"/>
  <c r="CN121" i="1"/>
  <c r="CW121" i="1" s="1"/>
  <c r="CM121" i="1"/>
  <c r="CV121" i="1" s="1"/>
  <c r="CP121" i="1"/>
  <c r="CY121" i="1" s="1"/>
  <c r="CL121" i="1"/>
  <c r="CU121" i="1" s="1"/>
  <c r="CQ110" i="1"/>
  <c r="CZ110" i="1" s="1"/>
  <c r="CT110" i="1"/>
  <c r="DC110" i="1" s="1"/>
  <c r="CS110" i="1"/>
  <c r="DB110" i="1" s="1"/>
  <c r="CR110" i="1"/>
  <c r="DA110" i="1" s="1"/>
  <c r="CM110" i="1"/>
  <c r="CV110" i="1" s="1"/>
  <c r="CP110" i="1"/>
  <c r="CY110" i="1" s="1"/>
  <c r="CO110" i="1"/>
  <c r="CX110" i="1" s="1"/>
  <c r="CN110" i="1"/>
  <c r="CW110" i="1" s="1"/>
  <c r="CL110" i="1"/>
  <c r="CU110" i="1" s="1"/>
  <c r="CS10" i="2"/>
  <c r="DX32" i="1"/>
  <c r="CV9" i="2"/>
  <c r="EA20" i="1"/>
  <c r="EM18" i="1"/>
  <c r="EL18" i="1" s="1"/>
  <c r="EH18" i="1"/>
  <c r="EI18" i="1" s="1"/>
  <c r="EJ18" i="1"/>
  <c r="EK18" i="1" s="1"/>
  <c r="N5" i="66"/>
  <c r="BI3" i="2"/>
  <c r="CQ119" i="1"/>
  <c r="CZ119" i="1" s="1"/>
  <c r="CO119" i="1"/>
  <c r="CX119" i="1" s="1"/>
  <c r="CN119" i="1"/>
  <c r="CW119" i="1" s="1"/>
  <c r="CM119" i="1"/>
  <c r="CV119" i="1" s="1"/>
  <c r="CL119" i="1"/>
  <c r="CU119" i="1" s="1"/>
  <c r="CT119" i="1"/>
  <c r="DC119" i="1" s="1"/>
  <c r="CR119" i="1"/>
  <c r="DA119" i="1" s="1"/>
  <c r="CS119" i="1"/>
  <c r="DB119" i="1" s="1"/>
  <c r="CP119" i="1"/>
  <c r="CY119" i="1" s="1"/>
  <c r="CR109" i="1"/>
  <c r="DA109" i="1" s="1"/>
  <c r="CT109" i="1"/>
  <c r="DC109" i="1" s="1"/>
  <c r="CS109" i="1"/>
  <c r="DB109" i="1" s="1"/>
  <c r="CQ109" i="1"/>
  <c r="CZ109" i="1" s="1"/>
  <c r="CO109" i="1"/>
  <c r="CX109" i="1" s="1"/>
  <c r="CN109" i="1"/>
  <c r="CW109" i="1" s="1"/>
  <c r="CL109" i="1"/>
  <c r="CU109" i="1" s="1"/>
  <c r="CM109" i="1"/>
  <c r="CV109" i="1" s="1"/>
  <c r="CP109" i="1"/>
  <c r="CY109" i="1" s="1"/>
  <c r="EF31" i="1"/>
  <c r="DZ30" i="1"/>
  <c r="EM30" i="1"/>
  <c r="EJ30" i="1"/>
  <c r="EK30" i="1" s="1"/>
  <c r="EH30" i="1"/>
  <c r="EI30" i="1" s="1"/>
  <c r="EF29" i="1"/>
  <c r="DZ28" i="1"/>
  <c r="EJ28" i="1"/>
  <c r="EK28" i="1" s="1"/>
  <c r="EM28" i="1"/>
  <c r="EH28" i="1"/>
  <c r="EI28" i="1" s="1"/>
  <c r="EF27" i="1"/>
  <c r="DZ26" i="1"/>
  <c r="EJ26" i="1"/>
  <c r="EK26" i="1" s="1"/>
  <c r="EM26" i="1"/>
  <c r="EH26" i="1"/>
  <c r="EI26" i="1" s="1"/>
  <c r="EF25" i="1"/>
  <c r="DZ24" i="1"/>
  <c r="EJ24" i="1"/>
  <c r="EK24" i="1" s="1"/>
  <c r="EH24" i="1"/>
  <c r="EI24" i="1" s="1"/>
  <c r="EM24" i="1"/>
  <c r="EF23" i="1"/>
  <c r="DZ22" i="1"/>
  <c r="EM22" i="1"/>
  <c r="EL22" i="1" s="1"/>
  <c r="EJ22" i="1"/>
  <c r="EK22" i="1" s="1"/>
  <c r="EH22" i="1"/>
  <c r="EI22" i="1" s="1"/>
  <c r="EF21" i="1"/>
  <c r="CU9" i="2"/>
  <c r="DZ20" i="1"/>
  <c r="EH20" i="1"/>
  <c r="EI20" i="1" s="1"/>
  <c r="EM20" i="1"/>
  <c r="EL20" i="1" s="1"/>
  <c r="EJ20" i="1"/>
  <c r="EK20" i="1" s="1"/>
  <c r="EF19" i="1"/>
  <c r="DY18" i="1"/>
  <c r="M5" i="66"/>
  <c r="BH3" i="2"/>
  <c r="CR118" i="1"/>
  <c r="DA118" i="1" s="1"/>
  <c r="CT118" i="1"/>
  <c r="DC118" i="1" s="1"/>
  <c r="CS118" i="1"/>
  <c r="DB118" i="1" s="1"/>
  <c r="CQ118" i="1"/>
  <c r="CZ118" i="1" s="1"/>
  <c r="CO118" i="1"/>
  <c r="CX118" i="1" s="1"/>
  <c r="CN118" i="1"/>
  <c r="CW118" i="1" s="1"/>
  <c r="CP118" i="1"/>
  <c r="CY118" i="1" s="1"/>
  <c r="CM118" i="1"/>
  <c r="CV118" i="1" s="1"/>
  <c r="CL118" i="1"/>
  <c r="CU118" i="1" s="1"/>
  <c r="CO108" i="1"/>
  <c r="CX108" i="1" s="1"/>
  <c r="CM108" i="1"/>
  <c r="CV108" i="1" s="1"/>
  <c r="CT108" i="1"/>
  <c r="DC108" i="1" s="1"/>
  <c r="CS108" i="1"/>
  <c r="DB108" i="1" s="1"/>
  <c r="CR108" i="1"/>
  <c r="DA108" i="1" s="1"/>
  <c r="CQ108" i="1"/>
  <c r="CZ108" i="1" s="1"/>
  <c r="CP108" i="1"/>
  <c r="CY108" i="1" s="1"/>
  <c r="CN108" i="1"/>
  <c r="CW108" i="1" s="1"/>
  <c r="CL108" i="1"/>
  <c r="CU108" i="1" s="1"/>
  <c r="CT9" i="2"/>
  <c r="DY20" i="1"/>
  <c r="EC17" i="1"/>
  <c r="DY15" i="1"/>
  <c r="EC14" i="1"/>
  <c r="DY12" i="1"/>
  <c r="EC11" i="1"/>
  <c r="DY9" i="1"/>
  <c r="L5" i="66"/>
  <c r="BG3" i="2"/>
  <c r="CQ107" i="1"/>
  <c r="CZ107" i="1" s="1"/>
  <c r="CM107" i="1"/>
  <c r="CV107" i="1" s="1"/>
  <c r="CT107" i="1"/>
  <c r="DC107" i="1" s="1"/>
  <c r="CP107" i="1"/>
  <c r="CY107" i="1" s="1"/>
  <c r="CL107" i="1"/>
  <c r="CU107" i="1" s="1"/>
  <c r="CS107" i="1"/>
  <c r="DB107" i="1" s="1"/>
  <c r="CR107" i="1"/>
  <c r="DA107" i="1" s="1"/>
  <c r="CO107" i="1"/>
  <c r="CX107" i="1" s="1"/>
  <c r="CN107" i="1"/>
  <c r="CW107" i="1" s="1"/>
  <c r="CS9" i="2"/>
  <c r="DX20" i="1"/>
  <c r="K5" i="66"/>
  <c r="BF3" i="2"/>
  <c r="CO105" i="1"/>
  <c r="CX105" i="1" s="1"/>
  <c r="CT105" i="1"/>
  <c r="DC105" i="1" s="1"/>
  <c r="CM105" i="1"/>
  <c r="CV105" i="1" s="1"/>
  <c r="CS105" i="1"/>
  <c r="DB105" i="1" s="1"/>
  <c r="CR105" i="1"/>
  <c r="DA105" i="1" s="1"/>
  <c r="CQ105" i="1"/>
  <c r="CZ105" i="1" s="1"/>
  <c r="CL105" i="1"/>
  <c r="CU105" i="1" s="1"/>
  <c r="CN105" i="1"/>
  <c r="CW105" i="1" s="1"/>
  <c r="CP105" i="1"/>
  <c r="CY105" i="1" s="1"/>
  <c r="CQ104" i="1"/>
  <c r="CZ104" i="1" s="1"/>
  <c r="CT104" i="1"/>
  <c r="DC104" i="1" s="1"/>
  <c r="CM104" i="1"/>
  <c r="CV104" i="1" s="1"/>
  <c r="CP104" i="1"/>
  <c r="CY104" i="1" s="1"/>
  <c r="CS104" i="1"/>
  <c r="DB104" i="1" s="1"/>
  <c r="CR104" i="1"/>
  <c r="DA104" i="1" s="1"/>
  <c r="CN104" i="1"/>
  <c r="CW104" i="1" s="1"/>
  <c r="CL104" i="1"/>
  <c r="CU104" i="1" s="1"/>
  <c r="CO104" i="1"/>
  <c r="CX104" i="1" s="1"/>
  <c r="DA10" i="2"/>
  <c r="EF32" i="1"/>
  <c r="CQ122" i="1"/>
  <c r="CZ122" i="1" s="1"/>
  <c r="CT122" i="1"/>
  <c r="DC122" i="1" s="1"/>
  <c r="CS122" i="1"/>
  <c r="DB122" i="1" s="1"/>
  <c r="CR122" i="1"/>
  <c r="DA122" i="1" s="1"/>
  <c r="CO122" i="1"/>
  <c r="CX122" i="1" s="1"/>
  <c r="CN122" i="1"/>
  <c r="CW122" i="1" s="1"/>
  <c r="CM122" i="1"/>
  <c r="CV122" i="1" s="1"/>
  <c r="CL122" i="1"/>
  <c r="CU122" i="1" s="1"/>
  <c r="CP122" i="1"/>
  <c r="CY122" i="1" s="1"/>
  <c r="CS114" i="1"/>
  <c r="DB114" i="1" s="1"/>
  <c r="CO114" i="1"/>
  <c r="CX114" i="1" s="1"/>
  <c r="CR114" i="1"/>
  <c r="DA114" i="1" s="1"/>
  <c r="CN114" i="1"/>
  <c r="CW114" i="1" s="1"/>
  <c r="CQ114" i="1"/>
  <c r="CZ114" i="1" s="1"/>
  <c r="CM114" i="1"/>
  <c r="CV114" i="1" s="1"/>
  <c r="CL114" i="1"/>
  <c r="CU114" i="1" s="1"/>
  <c r="CP114" i="1"/>
  <c r="CY114" i="1" s="1"/>
  <c r="CT114" i="1"/>
  <c r="DC114" i="1" s="1"/>
  <c r="CR127" i="1"/>
  <c r="DA127" i="1" s="1"/>
  <c r="CT127" i="1"/>
  <c r="DC127" i="1" s="1"/>
  <c r="CO127" i="1"/>
  <c r="CX127" i="1" s="1"/>
  <c r="CS127" i="1"/>
  <c r="DB127" i="1" s="1"/>
  <c r="CN127" i="1"/>
  <c r="CW127" i="1" s="1"/>
  <c r="CP127" i="1"/>
  <c r="CY127" i="1" s="1"/>
  <c r="CM127" i="1"/>
  <c r="CV127" i="1" s="1"/>
  <c r="CQ127" i="1"/>
  <c r="CZ127" i="1" s="1"/>
  <c r="CL127" i="1"/>
  <c r="CU127" i="1" s="1"/>
  <c r="CZ10" i="2"/>
  <c r="EE32" i="1"/>
  <c r="X5" i="43"/>
  <c r="AJ27" i="43" s="1"/>
  <c r="BQ3" i="2"/>
  <c r="CZ9" i="2"/>
  <c r="EE20" i="1"/>
  <c r="CQ116" i="1"/>
  <c r="CZ116" i="1" s="1"/>
  <c r="CO116" i="1"/>
  <c r="CX116" i="1" s="1"/>
  <c r="CN116" i="1"/>
  <c r="CW116" i="1" s="1"/>
  <c r="CT116" i="1"/>
  <c r="DC116" i="1" s="1"/>
  <c r="CM116" i="1"/>
  <c r="CV116" i="1" s="1"/>
  <c r="CP116" i="1"/>
  <c r="CY116" i="1" s="1"/>
  <c r="CS116" i="1"/>
  <c r="DB116" i="1" s="1"/>
  <c r="CR116" i="1"/>
  <c r="DA116" i="1" s="1"/>
  <c r="CL116" i="1"/>
  <c r="CU116" i="1" s="1"/>
  <c r="CR106" i="1"/>
  <c r="DA106" i="1" s="1"/>
  <c r="CT106" i="1"/>
  <c r="DC106" i="1" s="1"/>
  <c r="CS106" i="1"/>
  <c r="DB106" i="1" s="1"/>
  <c r="CQ106" i="1"/>
  <c r="CZ106" i="1" s="1"/>
  <c r="CO106" i="1"/>
  <c r="CX106" i="1" s="1"/>
  <c r="CN106" i="1"/>
  <c r="CW106" i="1" s="1"/>
  <c r="CL106" i="1"/>
  <c r="CU106" i="1" s="1"/>
  <c r="CM106" i="1"/>
  <c r="CV106" i="1" s="1"/>
  <c r="CP106" i="1"/>
  <c r="CY106" i="1" s="1"/>
  <c r="CO117" i="1"/>
  <c r="CX117" i="1" s="1"/>
  <c r="CN117" i="1"/>
  <c r="CW117" i="1" s="1"/>
  <c r="CT117" i="1"/>
  <c r="DC117" i="1" s="1"/>
  <c r="CM117" i="1"/>
  <c r="CV117" i="1" s="1"/>
  <c r="CS117" i="1"/>
  <c r="DB117" i="1" s="1"/>
  <c r="CL117" i="1"/>
  <c r="CU117" i="1" s="1"/>
  <c r="CR117" i="1"/>
  <c r="DA117" i="1" s="1"/>
  <c r="CQ117" i="1"/>
  <c r="CZ117" i="1" s="1"/>
  <c r="CP117" i="1"/>
  <c r="CY117" i="1" s="1"/>
  <c r="CS126" i="1"/>
  <c r="DB126" i="1" s="1"/>
  <c r="CO126" i="1"/>
  <c r="CX126" i="1" s="1"/>
  <c r="CR126" i="1"/>
  <c r="DA126" i="1" s="1"/>
  <c r="CN126" i="1"/>
  <c r="CW126" i="1" s="1"/>
  <c r="CQ126" i="1"/>
  <c r="CZ126" i="1" s="1"/>
  <c r="CM126" i="1"/>
  <c r="CV126" i="1" s="1"/>
  <c r="CL126" i="1"/>
  <c r="CU126" i="1" s="1"/>
  <c r="CP126" i="1"/>
  <c r="CY126" i="1" s="1"/>
  <c r="CT126" i="1"/>
  <c r="DC126" i="1" s="1"/>
  <c r="CQ125" i="1"/>
  <c r="CZ125" i="1" s="1"/>
  <c r="CT125" i="1"/>
  <c r="DC125" i="1" s="1"/>
  <c r="CS125" i="1"/>
  <c r="DB125" i="1" s="1"/>
  <c r="CO125" i="1"/>
  <c r="CX125" i="1" s="1"/>
  <c r="CR125" i="1"/>
  <c r="DA125" i="1" s="1"/>
  <c r="CN125" i="1"/>
  <c r="CW125" i="1" s="1"/>
  <c r="CM125" i="1"/>
  <c r="CV125" i="1" s="1"/>
  <c r="CL125" i="1"/>
  <c r="CU125" i="1" s="1"/>
  <c r="CP125" i="1"/>
  <c r="CY125" i="1" s="1"/>
  <c r="CY10" i="2"/>
  <c r="ED32" i="1"/>
  <c r="EA31" i="1"/>
  <c r="EA29" i="1"/>
  <c r="EA27" i="1"/>
  <c r="EA25" i="1"/>
  <c r="EA23" i="1"/>
  <c r="EA21" i="1"/>
  <c r="EA19" i="1"/>
  <c r="EF18" i="1"/>
  <c r="DY17" i="1"/>
  <c r="EC16" i="1"/>
  <c r="DY14" i="1"/>
  <c r="EC13" i="1"/>
  <c r="DY11" i="1"/>
  <c r="EC10" i="1"/>
  <c r="EE8" i="1"/>
  <c r="AH5" i="50"/>
  <c r="AP3" i="2"/>
  <c r="CR124" i="1"/>
  <c r="DA124" i="1" s="1"/>
  <c r="CT124" i="1"/>
  <c r="DC124" i="1" s="1"/>
  <c r="CS124" i="1"/>
  <c r="DB124" i="1" s="1"/>
  <c r="CQ124" i="1"/>
  <c r="CZ124" i="1" s="1"/>
  <c r="CO124" i="1"/>
  <c r="CX124" i="1" s="1"/>
  <c r="CN124" i="1"/>
  <c r="CW124" i="1" s="1"/>
  <c r="CP124" i="1"/>
  <c r="CY124" i="1" s="1"/>
  <c r="CM124" i="1"/>
  <c r="CV124" i="1" s="1"/>
  <c r="CL124" i="1"/>
  <c r="CU124" i="1" s="1"/>
  <c r="CX10" i="2"/>
  <c r="EC32" i="1"/>
  <c r="DZ31" i="1"/>
  <c r="EM31" i="1"/>
  <c r="EJ31" i="1"/>
  <c r="EK31" i="1" s="1"/>
  <c r="EH31" i="1"/>
  <c r="EI31" i="1" s="1"/>
  <c r="EF30" i="1"/>
  <c r="DZ29" i="1"/>
  <c r="EJ29" i="1"/>
  <c r="EK29" i="1" s="1"/>
  <c r="EH29" i="1"/>
  <c r="EI29" i="1" s="1"/>
  <c r="EM29" i="1"/>
  <c r="EF28" i="1"/>
  <c r="DZ27" i="1"/>
  <c r="EM27" i="1"/>
  <c r="EH27" i="1"/>
  <c r="EI27" i="1" s="1"/>
  <c r="EJ27" i="1"/>
  <c r="EK27" i="1" s="1"/>
  <c r="EF26" i="1"/>
  <c r="DZ25" i="1"/>
  <c r="EH25" i="1"/>
  <c r="EI25" i="1" s="1"/>
  <c r="EM25" i="1"/>
  <c r="EJ25" i="1"/>
  <c r="EK25" i="1" s="1"/>
  <c r="EF24" i="1"/>
  <c r="DZ23" i="1"/>
  <c r="EM23" i="1"/>
  <c r="EJ23" i="1"/>
  <c r="EK23" i="1" s="1"/>
  <c r="EH23" i="1"/>
  <c r="EI23" i="1" s="1"/>
  <c r="EF22" i="1"/>
  <c r="DZ21" i="1"/>
  <c r="EM21" i="1"/>
  <c r="EL21" i="1" s="1"/>
  <c r="EH21" i="1"/>
  <c r="EI21" i="1" s="1"/>
  <c r="EJ21" i="1"/>
  <c r="EK21" i="1" s="1"/>
  <c r="DA9" i="2"/>
  <c r="EF20" i="1"/>
  <c r="DZ19" i="1"/>
  <c r="EH19" i="1"/>
  <c r="EI19" i="1" s="1"/>
  <c r="EM19" i="1"/>
  <c r="EL19" i="1" s="1"/>
  <c r="EJ19" i="1"/>
  <c r="EK19" i="1" s="1"/>
  <c r="EE18" i="1"/>
  <c r="DX17" i="1"/>
  <c r="EB16" i="1"/>
  <c r="EF15" i="1"/>
  <c r="DX14" i="1"/>
  <c r="EB13" i="1"/>
  <c r="EF12" i="1"/>
  <c r="DX11" i="1"/>
  <c r="EB10" i="1"/>
  <c r="EF9" i="1"/>
  <c r="ED8" i="1"/>
  <c r="V5" i="43"/>
  <c r="AJ25" i="43" s="1"/>
  <c r="BO3" i="2"/>
  <c r="Y15" i="43"/>
  <c r="AS28" i="43" s="1"/>
  <c r="Y16" i="43"/>
  <c r="AT28" i="43" s="1"/>
  <c r="I8" i="66"/>
  <c r="I10" i="66"/>
  <c r="V27" i="29"/>
  <c r="AI24" i="27"/>
  <c r="AG25" i="43"/>
  <c r="BC36" i="43" s="1"/>
  <c r="AI16" i="27"/>
  <c r="AG17" i="43"/>
  <c r="AU36" i="43" s="1"/>
  <c r="U15" i="29"/>
  <c r="AH14" i="27"/>
  <c r="Z15" i="43"/>
  <c r="AS29" i="43" s="1"/>
  <c r="W8" i="29"/>
  <c r="R8" i="66"/>
  <c r="B12" i="66"/>
  <c r="C8" i="57"/>
  <c r="C37" i="57" s="1"/>
  <c r="AI28" i="27"/>
  <c r="AG29" i="43"/>
  <c r="BG36" i="43" s="1"/>
  <c r="T27" i="29"/>
  <c r="Y26" i="29"/>
  <c r="Y27" i="43"/>
  <c r="BE28" i="43" s="1"/>
  <c r="AG26" i="27"/>
  <c r="O26" i="29"/>
  <c r="Y24" i="29"/>
  <c r="Y25" i="43"/>
  <c r="BC28" i="43" s="1"/>
  <c r="AG24" i="27"/>
  <c r="T23" i="29"/>
  <c r="AI22" i="27"/>
  <c r="AG23" i="43"/>
  <c r="BA36" i="43" s="1"/>
  <c r="V21" i="29"/>
  <c r="AI20" i="27"/>
  <c r="AG21" i="43"/>
  <c r="AY36" i="43" s="1"/>
  <c r="T19" i="29"/>
  <c r="Z18" i="29"/>
  <c r="Y19" i="43"/>
  <c r="AW28" i="43" s="1"/>
  <c r="AG18" i="27"/>
  <c r="T17" i="29"/>
  <c r="Z16" i="29"/>
  <c r="Y17" i="43"/>
  <c r="AU28" i="43" s="1"/>
  <c r="AG16" i="27"/>
  <c r="Y14" i="29"/>
  <c r="T14" i="66"/>
  <c r="X12" i="29"/>
  <c r="S12" i="66"/>
  <c r="V10" i="29"/>
  <c r="Q10" i="66"/>
  <c r="Z9" i="29"/>
  <c r="U9" i="66"/>
  <c r="U8" i="29"/>
  <c r="P8" i="66"/>
  <c r="Z5" i="29"/>
  <c r="U5" i="66"/>
  <c r="B14" i="66"/>
  <c r="C10" i="57"/>
  <c r="C39" i="57" s="1"/>
  <c r="B27" i="43"/>
  <c r="B26" i="66"/>
  <c r="C22" i="57"/>
  <c r="C51" i="57" s="1"/>
  <c r="N5" i="29"/>
  <c r="K9" i="29"/>
  <c r="K11" i="29"/>
  <c r="K13" i="29"/>
  <c r="K15" i="29"/>
  <c r="K17" i="29"/>
  <c r="K19" i="29"/>
  <c r="K21" i="29"/>
  <c r="K23" i="29"/>
  <c r="K25" i="29"/>
  <c r="K27" i="29"/>
  <c r="AI26" i="27"/>
  <c r="AG27" i="43"/>
  <c r="BE36" i="43" s="1"/>
  <c r="T25" i="29"/>
  <c r="X21" i="29"/>
  <c r="Z28" i="29"/>
  <c r="AH28" i="27"/>
  <c r="Z29" i="43"/>
  <c r="BG29" i="43" s="1"/>
  <c r="X26" i="29"/>
  <c r="X24" i="29"/>
  <c r="Z22" i="29"/>
  <c r="AH22" i="27"/>
  <c r="Z23" i="43"/>
  <c r="BA29" i="43" s="1"/>
  <c r="O22" i="29"/>
  <c r="U21" i="29"/>
  <c r="AH20" i="27"/>
  <c r="Z21" i="43"/>
  <c r="AY29" i="43" s="1"/>
  <c r="O20" i="29"/>
  <c r="Y18" i="29"/>
  <c r="Y16" i="29"/>
  <c r="X14" i="29"/>
  <c r="S14" i="66"/>
  <c r="U10" i="29"/>
  <c r="P10" i="66"/>
  <c r="Y9" i="29"/>
  <c r="T9" i="66"/>
  <c r="T8" i="29"/>
  <c r="O8" i="66"/>
  <c r="Y5" i="29"/>
  <c r="T5" i="66"/>
  <c r="B15" i="27"/>
  <c r="P15" i="27" s="1"/>
  <c r="B15" i="66"/>
  <c r="C11" i="57"/>
  <c r="C40" i="57" s="1"/>
  <c r="B28" i="43"/>
  <c r="B27" i="66"/>
  <c r="C23" i="57"/>
  <c r="C52" i="57" s="1"/>
  <c r="J12" i="29"/>
  <c r="J14" i="29"/>
  <c r="J16" i="29"/>
  <c r="J18" i="29"/>
  <c r="J20" i="29"/>
  <c r="J22" i="29"/>
  <c r="J24" i="29"/>
  <c r="J26" i="29"/>
  <c r="J28" i="29"/>
  <c r="V23" i="29"/>
  <c r="O14" i="29"/>
  <c r="B24" i="66"/>
  <c r="C20" i="57"/>
  <c r="C49" i="57" s="1"/>
  <c r="Y28" i="29"/>
  <c r="Y29" i="43"/>
  <c r="BG28" i="43" s="1"/>
  <c r="AG28" i="27"/>
  <c r="W26" i="29"/>
  <c r="W24" i="29"/>
  <c r="Y22" i="29"/>
  <c r="Y23" i="43"/>
  <c r="BA28" i="43" s="1"/>
  <c r="AG22" i="27"/>
  <c r="T21" i="29"/>
  <c r="Z20" i="29"/>
  <c r="Y21" i="43"/>
  <c r="AY28" i="43" s="1"/>
  <c r="AG20" i="27"/>
  <c r="X18" i="29"/>
  <c r="X16" i="29"/>
  <c r="W14" i="29"/>
  <c r="R14" i="66"/>
  <c r="AI13" i="27"/>
  <c r="AG14" i="43"/>
  <c r="AR36" i="43" s="1"/>
  <c r="V12" i="29"/>
  <c r="Q12" i="66"/>
  <c r="O11" i="29"/>
  <c r="J11" i="66"/>
  <c r="T10" i="29"/>
  <c r="O10" i="66"/>
  <c r="X9" i="29"/>
  <c r="S9" i="66"/>
  <c r="X5" i="29"/>
  <c r="S5" i="66"/>
  <c r="B16" i="27"/>
  <c r="P16" i="27" s="1"/>
  <c r="B16" i="66"/>
  <c r="C12" i="57"/>
  <c r="C41" i="57" s="1"/>
  <c r="B28" i="66"/>
  <c r="C24" i="57"/>
  <c r="C53" i="57" s="1"/>
  <c r="L9" i="29"/>
  <c r="L11" i="29"/>
  <c r="L13" i="29"/>
  <c r="L15" i="29"/>
  <c r="L17" i="29"/>
  <c r="L19" i="29"/>
  <c r="L21" i="29"/>
  <c r="L23" i="29"/>
  <c r="L25" i="29"/>
  <c r="L27" i="29"/>
  <c r="X28" i="29"/>
  <c r="V26" i="29"/>
  <c r="AI25" i="27"/>
  <c r="AG26" i="43"/>
  <c r="BD36" i="43" s="1"/>
  <c r="V24" i="29"/>
  <c r="X22" i="29"/>
  <c r="Y20" i="29"/>
  <c r="W16" i="29"/>
  <c r="AI15" i="27"/>
  <c r="AG16" i="43"/>
  <c r="AT36" i="43" s="1"/>
  <c r="V14" i="29"/>
  <c r="Q14" i="66"/>
  <c r="AH13" i="27"/>
  <c r="Z14" i="43"/>
  <c r="AR29" i="43" s="1"/>
  <c r="O13" i="29"/>
  <c r="J13" i="66"/>
  <c r="U12" i="29"/>
  <c r="P12" i="66"/>
  <c r="Z11" i="29"/>
  <c r="U11" i="66"/>
  <c r="W5" i="29"/>
  <c r="R5" i="66"/>
  <c r="B17" i="27"/>
  <c r="P17" i="27" s="1"/>
  <c r="B17" i="66"/>
  <c r="C13" i="57"/>
  <c r="C42" i="57" s="1"/>
  <c r="M9" i="29"/>
  <c r="M11" i="29"/>
  <c r="M13" i="29"/>
  <c r="M15" i="29"/>
  <c r="M17" i="29"/>
  <c r="M19" i="29"/>
  <c r="M21" i="29"/>
  <c r="M23" i="29"/>
  <c r="M25" i="29"/>
  <c r="M27" i="29"/>
  <c r="W28" i="29"/>
  <c r="U26" i="29"/>
  <c r="Z25" i="29"/>
  <c r="AH25" i="27"/>
  <c r="Z26" i="43"/>
  <c r="BD29" i="43" s="1"/>
  <c r="U24" i="29"/>
  <c r="W22" i="29"/>
  <c r="X20" i="29"/>
  <c r="AI19" i="27"/>
  <c r="AG20" i="43"/>
  <c r="AX36" i="43" s="1"/>
  <c r="V18" i="29"/>
  <c r="AI17" i="27"/>
  <c r="AG18" i="43"/>
  <c r="AV36" i="43" s="1"/>
  <c r="V16" i="29"/>
  <c r="Z16" i="43"/>
  <c r="AT29" i="43" s="1"/>
  <c r="O15" i="29"/>
  <c r="U14" i="29"/>
  <c r="P14" i="66"/>
  <c r="Z13" i="29"/>
  <c r="U13" i="66"/>
  <c r="T12" i="29"/>
  <c r="O12" i="66"/>
  <c r="Y11" i="29"/>
  <c r="T11" i="66"/>
  <c r="V9" i="29"/>
  <c r="Q9" i="66"/>
  <c r="V5" i="29"/>
  <c r="Q5" i="66"/>
  <c r="B18" i="29"/>
  <c r="AA18" i="29" s="1"/>
  <c r="B18" i="66"/>
  <c r="C14" i="57"/>
  <c r="C43" i="57" s="1"/>
  <c r="N9" i="29"/>
  <c r="N11" i="29"/>
  <c r="N13" i="29"/>
  <c r="N15" i="29"/>
  <c r="N17" i="29"/>
  <c r="N19" i="29"/>
  <c r="N21" i="29"/>
  <c r="N23" i="29"/>
  <c r="N25" i="29"/>
  <c r="N27" i="29"/>
  <c r="V28" i="29"/>
  <c r="AI27" i="27"/>
  <c r="AG28" i="43"/>
  <c r="BF36" i="43" s="1"/>
  <c r="T26" i="29"/>
  <c r="Y25" i="29"/>
  <c r="Y26" i="43"/>
  <c r="BD28" i="43" s="1"/>
  <c r="AG25" i="27"/>
  <c r="O25" i="29"/>
  <c r="T24" i="29"/>
  <c r="AI23" i="27"/>
  <c r="AG24" i="43"/>
  <c r="BB36" i="43" s="1"/>
  <c r="V22" i="29"/>
  <c r="W20" i="29"/>
  <c r="AH19" i="27"/>
  <c r="Z20" i="43"/>
  <c r="AX29" i="43" s="1"/>
  <c r="U18" i="29"/>
  <c r="AH17" i="27"/>
  <c r="Z18" i="43"/>
  <c r="AV29" i="43" s="1"/>
  <c r="U16" i="29"/>
  <c r="Z15" i="29"/>
  <c r="T14" i="29"/>
  <c r="O14" i="66"/>
  <c r="Y13" i="29"/>
  <c r="T13" i="66"/>
  <c r="U9" i="29"/>
  <c r="P9" i="66"/>
  <c r="U5" i="29"/>
  <c r="P5" i="66"/>
  <c r="B7" i="29"/>
  <c r="B7" i="66"/>
  <c r="B19" i="27"/>
  <c r="P19" i="27" s="1"/>
  <c r="B19" i="66"/>
  <c r="C15" i="57"/>
  <c r="C44" i="57" s="1"/>
  <c r="U28" i="29"/>
  <c r="Z27" i="29"/>
  <c r="AH27" i="27"/>
  <c r="Z28" i="43"/>
  <c r="BF29" i="43" s="1"/>
  <c r="X25" i="29"/>
  <c r="Z23" i="29"/>
  <c r="AH23" i="27"/>
  <c r="Z24" i="43"/>
  <c r="BB29" i="43" s="1"/>
  <c r="O23" i="29"/>
  <c r="U22" i="29"/>
  <c r="AI21" i="27"/>
  <c r="AG22" i="43"/>
  <c r="AZ36" i="43" s="1"/>
  <c r="V20" i="29"/>
  <c r="Z19" i="29"/>
  <c r="Y20" i="43"/>
  <c r="AX28" i="43" s="1"/>
  <c r="AG19" i="27"/>
  <c r="T18" i="29"/>
  <c r="Z17" i="29"/>
  <c r="Y18" i="43"/>
  <c r="AV28" i="43" s="1"/>
  <c r="AG17" i="27"/>
  <c r="T16" i="29"/>
  <c r="Y15" i="29"/>
  <c r="X13" i="29"/>
  <c r="S13" i="66"/>
  <c r="W11" i="29"/>
  <c r="R11" i="66"/>
  <c r="T9" i="29"/>
  <c r="O9" i="66"/>
  <c r="T5" i="29"/>
  <c r="O5" i="66"/>
  <c r="B20" i="29"/>
  <c r="B20" i="66"/>
  <c r="C16" i="57"/>
  <c r="C45" i="57" s="1"/>
  <c r="K8" i="29"/>
  <c r="K10" i="29"/>
  <c r="K12" i="29"/>
  <c r="K14" i="29"/>
  <c r="K16" i="29"/>
  <c r="K18" i="29"/>
  <c r="K20" i="29"/>
  <c r="K22" i="29"/>
  <c r="K24" i="29"/>
  <c r="K26" i="29"/>
  <c r="K28" i="29"/>
  <c r="T28" i="29"/>
  <c r="Y27" i="29"/>
  <c r="Y28" i="43"/>
  <c r="BF28" i="43" s="1"/>
  <c r="AG27" i="27"/>
  <c r="W25" i="29"/>
  <c r="Y23" i="29"/>
  <c r="Y24" i="43"/>
  <c r="BB28" i="43" s="1"/>
  <c r="AG23" i="27"/>
  <c r="T22" i="29"/>
  <c r="AH21" i="27"/>
  <c r="Z22" i="43"/>
  <c r="AZ29" i="43" s="1"/>
  <c r="O21" i="29"/>
  <c r="U20" i="29"/>
  <c r="Y19" i="29"/>
  <c r="Y17" i="29"/>
  <c r="X15" i="29"/>
  <c r="W13" i="29"/>
  <c r="R13" i="66"/>
  <c r="V11" i="29"/>
  <c r="Q11" i="66"/>
  <c r="O10" i="29"/>
  <c r="J10" i="66"/>
  <c r="Z8" i="29"/>
  <c r="U8" i="66"/>
  <c r="B9" i="29"/>
  <c r="B55" i="29" s="1"/>
  <c r="B9" i="66"/>
  <c r="C5" i="57"/>
  <c r="C34" i="57" s="1"/>
  <c r="B21" i="66"/>
  <c r="C17" i="57"/>
  <c r="C46" i="57" s="1"/>
  <c r="J13" i="29"/>
  <c r="J15" i="29"/>
  <c r="J17" i="29"/>
  <c r="J19" i="29"/>
  <c r="J21" i="29"/>
  <c r="J23" i="29"/>
  <c r="J25" i="29"/>
  <c r="J27" i="29"/>
  <c r="X27" i="29"/>
  <c r="V25" i="29"/>
  <c r="X23" i="29"/>
  <c r="Z21" i="29"/>
  <c r="Y22" i="43"/>
  <c r="AZ28" i="43" s="1"/>
  <c r="AG21" i="27"/>
  <c r="T20" i="29"/>
  <c r="X19" i="29"/>
  <c r="W15" i="29"/>
  <c r="V13" i="29"/>
  <c r="Q13" i="66"/>
  <c r="U11" i="29"/>
  <c r="P11" i="66"/>
  <c r="Z10" i="29"/>
  <c r="U10" i="66"/>
  <c r="Y8" i="29"/>
  <c r="T8" i="66"/>
  <c r="B10" i="66"/>
  <c r="C6" i="57"/>
  <c r="C35" i="57" s="1"/>
  <c r="B22" i="27"/>
  <c r="P22" i="27" s="1"/>
  <c r="B22" i="66"/>
  <c r="C18" i="57"/>
  <c r="C47" i="57" s="1"/>
  <c r="K5" i="29"/>
  <c r="L10" i="29"/>
  <c r="L12" i="29"/>
  <c r="L14" i="29"/>
  <c r="L16" i="29"/>
  <c r="L18" i="29"/>
  <c r="L20" i="29"/>
  <c r="L22" i="29"/>
  <c r="L24" i="29"/>
  <c r="L26" i="29"/>
  <c r="L28" i="29"/>
  <c r="W27" i="29"/>
  <c r="U25" i="29"/>
  <c r="W23" i="29"/>
  <c r="Y21" i="29"/>
  <c r="W19" i="29"/>
  <c r="W17" i="29"/>
  <c r="V15" i="29"/>
  <c r="AI14" i="27"/>
  <c r="AG15" i="43"/>
  <c r="AS36" i="43" s="1"/>
  <c r="U13" i="29"/>
  <c r="P13" i="66"/>
  <c r="O12" i="29"/>
  <c r="J12" i="66"/>
  <c r="T11" i="29"/>
  <c r="O11" i="66"/>
  <c r="Y10" i="29"/>
  <c r="T10" i="66"/>
  <c r="X8" i="29"/>
  <c r="S8" i="66"/>
  <c r="AI5" i="27"/>
  <c r="AG5" i="43"/>
  <c r="AJ36" i="43" s="1"/>
  <c r="B11" i="29"/>
  <c r="B57" i="29" s="1"/>
  <c r="B11" i="66"/>
  <c r="C7" i="57"/>
  <c r="C36" i="57" s="1"/>
  <c r="B23" i="66"/>
  <c r="C19" i="57"/>
  <c r="C48" i="57" s="1"/>
  <c r="M8" i="29"/>
  <c r="M10" i="29"/>
  <c r="M12" i="29"/>
  <c r="M14" i="29"/>
  <c r="M16" i="29"/>
  <c r="M18" i="29"/>
  <c r="M20" i="29"/>
  <c r="M22" i="29"/>
  <c r="M24" i="29"/>
  <c r="M26" i="29"/>
  <c r="M28" i="29"/>
  <c r="L5" i="29"/>
  <c r="N8" i="29"/>
  <c r="N10" i="29"/>
  <c r="N12" i="29"/>
  <c r="N14" i="29"/>
  <c r="N16" i="29"/>
  <c r="N18" i="29"/>
  <c r="N20" i="29"/>
  <c r="N22" i="29"/>
  <c r="N24" i="29"/>
  <c r="N26" i="29"/>
  <c r="N28" i="29"/>
  <c r="V19" i="29"/>
  <c r="AI18" i="27"/>
  <c r="AG19" i="43"/>
  <c r="AW36" i="43" s="1"/>
  <c r="V17" i="29"/>
  <c r="T13" i="29"/>
  <c r="O13" i="66"/>
  <c r="Z12" i="29"/>
  <c r="U12" i="66"/>
  <c r="X10" i="29"/>
  <c r="S10" i="66"/>
  <c r="AH5" i="27"/>
  <c r="Z5" i="43"/>
  <c r="AJ29" i="43" s="1"/>
  <c r="U27" i="29"/>
  <c r="Z26" i="29"/>
  <c r="AH26" i="27"/>
  <c r="Z27" i="43"/>
  <c r="BE29" i="43" s="1"/>
  <c r="Z24" i="29"/>
  <c r="AH24" i="27"/>
  <c r="Z25" i="43"/>
  <c r="BC29" i="43" s="1"/>
  <c r="O24" i="29"/>
  <c r="U23" i="29"/>
  <c r="U19" i="29"/>
  <c r="AH18" i="27"/>
  <c r="Z19" i="43"/>
  <c r="AW29" i="43" s="1"/>
  <c r="U17" i="29"/>
  <c r="AH16" i="27"/>
  <c r="Z17" i="43"/>
  <c r="AU29" i="43" s="1"/>
  <c r="T15" i="29"/>
  <c r="Z14" i="29"/>
  <c r="U14" i="66"/>
  <c r="Y12" i="29"/>
  <c r="T12" i="66"/>
  <c r="W10" i="29"/>
  <c r="R10" i="66"/>
  <c r="V8" i="29"/>
  <c r="Q8" i="66"/>
  <c r="Y5" i="43"/>
  <c r="AJ28" i="43" s="1"/>
  <c r="AG5" i="27"/>
  <c r="O5" i="29"/>
  <c r="J5" i="66"/>
  <c r="B13" i="66"/>
  <c r="C9" i="57"/>
  <c r="C38" i="57" s="1"/>
  <c r="B25" i="66"/>
  <c r="C21" i="57"/>
  <c r="C50" i="57" s="1"/>
  <c r="M5" i="29"/>
  <c r="I9" i="66"/>
  <c r="I11" i="66"/>
  <c r="A19" i="50"/>
  <c r="P19" i="50" s="1"/>
  <c r="O19" i="27"/>
  <c r="G17" i="59"/>
  <c r="CS157" i="1"/>
  <c r="DB157" i="1" s="1"/>
  <c r="CM157" i="1"/>
  <c r="CV157" i="1" s="1"/>
  <c r="CN157" i="1"/>
  <c r="CW157" i="1" s="1"/>
  <c r="CL157" i="1"/>
  <c r="CU157" i="1" s="1"/>
  <c r="CR157" i="1"/>
  <c r="DA157" i="1" s="1"/>
  <c r="CT157" i="1"/>
  <c r="DC157" i="1" s="1"/>
  <c r="CT138" i="1"/>
  <c r="DC138" i="1" s="1"/>
  <c r="CO138" i="1"/>
  <c r="CX138" i="1" s="1"/>
  <c r="CS138" i="1"/>
  <c r="DB138" i="1" s="1"/>
  <c r="CN138" i="1"/>
  <c r="CW138" i="1" s="1"/>
  <c r="CR138" i="1"/>
  <c r="DA138" i="1" s="1"/>
  <c r="CM138" i="1"/>
  <c r="CV138" i="1" s="1"/>
  <c r="CQ138" i="1"/>
  <c r="CZ138" i="1" s="1"/>
  <c r="CL138" i="1"/>
  <c r="CU138" i="1" s="1"/>
  <c r="CP138" i="1"/>
  <c r="CY138" i="1" s="1"/>
  <c r="CS153" i="1"/>
  <c r="DB153" i="1" s="1"/>
  <c r="CM153" i="1"/>
  <c r="CV153" i="1" s="1"/>
  <c r="CN153" i="1"/>
  <c r="CW153" i="1" s="1"/>
  <c r="CT153" i="1"/>
  <c r="DC153" i="1" s="1"/>
  <c r="CL153" i="1"/>
  <c r="CU153" i="1" s="1"/>
  <c r="CR153" i="1"/>
  <c r="DA153" i="1" s="1"/>
  <c r="CT132" i="1"/>
  <c r="DC132" i="1" s="1"/>
  <c r="CO132" i="1"/>
  <c r="CX132" i="1" s="1"/>
  <c r="CS132" i="1"/>
  <c r="DB132" i="1" s="1"/>
  <c r="CN132" i="1"/>
  <c r="CW132" i="1" s="1"/>
  <c r="CR132" i="1"/>
  <c r="DA132" i="1" s="1"/>
  <c r="CM132" i="1"/>
  <c r="CV132" i="1" s="1"/>
  <c r="CP132" i="1"/>
  <c r="CY132" i="1" s="1"/>
  <c r="CQ132" i="1"/>
  <c r="CZ132" i="1" s="1"/>
  <c r="CL132" i="1"/>
  <c r="CU132" i="1" s="1"/>
  <c r="CS155" i="1"/>
  <c r="DB155" i="1" s="1"/>
  <c r="CM155" i="1"/>
  <c r="CV155" i="1" s="1"/>
  <c r="CL155" i="1"/>
  <c r="CU155" i="1" s="1"/>
  <c r="CN155" i="1"/>
  <c r="CW155" i="1" s="1"/>
  <c r="CT155" i="1"/>
  <c r="DC155" i="1" s="1"/>
  <c r="CR155" i="1"/>
  <c r="DA155" i="1" s="1"/>
  <c r="CR136" i="1"/>
  <c r="DA136" i="1" s="1"/>
  <c r="CM136" i="1"/>
  <c r="CV136" i="1" s="1"/>
  <c r="CP136" i="1"/>
  <c r="CY136" i="1" s="1"/>
  <c r="CQ136" i="1"/>
  <c r="CZ136" i="1" s="1"/>
  <c r="CL136" i="1"/>
  <c r="CU136" i="1" s="1"/>
  <c r="CO136" i="1"/>
  <c r="CX136" i="1" s="1"/>
  <c r="CT136" i="1"/>
  <c r="DC136" i="1" s="1"/>
  <c r="CS136" i="1"/>
  <c r="DB136" i="1" s="1"/>
  <c r="CN136" i="1"/>
  <c r="CW136" i="1" s="1"/>
  <c r="CP137" i="1"/>
  <c r="CY137" i="1" s="1"/>
  <c r="CM137" i="1"/>
  <c r="CV137" i="1" s="1"/>
  <c r="CR137" i="1"/>
  <c r="DA137" i="1" s="1"/>
  <c r="CQ137" i="1"/>
  <c r="CZ137" i="1" s="1"/>
  <c r="CT137" i="1"/>
  <c r="DC137" i="1" s="1"/>
  <c r="CO137" i="1"/>
  <c r="CX137" i="1" s="1"/>
  <c r="CS137" i="1"/>
  <c r="DB137" i="1" s="1"/>
  <c r="CN137" i="1"/>
  <c r="CW137" i="1" s="1"/>
  <c r="CL137" i="1"/>
  <c r="CU137" i="1" s="1"/>
  <c r="CS161" i="1"/>
  <c r="DB161" i="1" s="1"/>
  <c r="CM161" i="1"/>
  <c r="CV161" i="1" s="1"/>
  <c r="CT161" i="1"/>
  <c r="DC161" i="1" s="1"/>
  <c r="CL161" i="1"/>
  <c r="CU161" i="1" s="1"/>
  <c r="CR161" i="1"/>
  <c r="DA161" i="1" s="1"/>
  <c r="CN161" i="1"/>
  <c r="CW161" i="1" s="1"/>
  <c r="CM160" i="1"/>
  <c r="CV160" i="1" s="1"/>
  <c r="CS160" i="1"/>
  <c r="DB160" i="1" s="1"/>
  <c r="CR160" i="1"/>
  <c r="DA160" i="1" s="1"/>
  <c r="CN160" i="1"/>
  <c r="CW160" i="1" s="1"/>
  <c r="CT160" i="1"/>
  <c r="DC160" i="1" s="1"/>
  <c r="CL160" i="1"/>
  <c r="CU160" i="1" s="1"/>
  <c r="CM152" i="1"/>
  <c r="CV152" i="1" s="1"/>
  <c r="CS152" i="1"/>
  <c r="DB152" i="1" s="1"/>
  <c r="CN152" i="1"/>
  <c r="CW152" i="1" s="1"/>
  <c r="CR152" i="1"/>
  <c r="DA152" i="1" s="1"/>
  <c r="CL152" i="1"/>
  <c r="CU152" i="1" s="1"/>
  <c r="CT152" i="1"/>
  <c r="DC152" i="1" s="1"/>
  <c r="CM144" i="1"/>
  <c r="CV144" i="1" s="1"/>
  <c r="CS144" i="1"/>
  <c r="DB144" i="1" s="1"/>
  <c r="CT144" i="1"/>
  <c r="DC144" i="1" s="1"/>
  <c r="CL144" i="1"/>
  <c r="CU144" i="1" s="1"/>
  <c r="CN144" i="1"/>
  <c r="CW144" i="1" s="1"/>
  <c r="CR144" i="1"/>
  <c r="DA144" i="1" s="1"/>
  <c r="CR131" i="1"/>
  <c r="DA131" i="1" s="1"/>
  <c r="CQ131" i="1"/>
  <c r="CZ131" i="1" s="1"/>
  <c r="CP131" i="1"/>
  <c r="CY131" i="1" s="1"/>
  <c r="CT131" i="1"/>
  <c r="DC131" i="1" s="1"/>
  <c r="CO131" i="1"/>
  <c r="CX131" i="1" s="1"/>
  <c r="CL131" i="1"/>
  <c r="CU131" i="1" s="1"/>
  <c r="CS131" i="1"/>
  <c r="DB131" i="1" s="1"/>
  <c r="CN131" i="1"/>
  <c r="CW131" i="1" s="1"/>
  <c r="CM131" i="1"/>
  <c r="CV131" i="1" s="1"/>
  <c r="CR133" i="1"/>
  <c r="DA133" i="1" s="1"/>
  <c r="CM133" i="1"/>
  <c r="CV133" i="1" s="1"/>
  <c r="CT133" i="1"/>
  <c r="DC133" i="1" s="1"/>
  <c r="CS133" i="1"/>
  <c r="DB133" i="1" s="1"/>
  <c r="CQ133" i="1"/>
  <c r="CZ133" i="1" s="1"/>
  <c r="CL133" i="1"/>
  <c r="CU133" i="1" s="1"/>
  <c r="CN133" i="1"/>
  <c r="CW133" i="1" s="1"/>
  <c r="CP133" i="1"/>
  <c r="CY133" i="1" s="1"/>
  <c r="CO133" i="1"/>
  <c r="CX133" i="1" s="1"/>
  <c r="CM140" i="1"/>
  <c r="CV140" i="1" s="1"/>
  <c r="CS140" i="1"/>
  <c r="DB140" i="1" s="1"/>
  <c r="CR140" i="1"/>
  <c r="DA140" i="1" s="1"/>
  <c r="CN140" i="1"/>
  <c r="CW140" i="1" s="1"/>
  <c r="CL140" i="1"/>
  <c r="CU140" i="1" s="1"/>
  <c r="CT140" i="1"/>
  <c r="DC140" i="1" s="1"/>
  <c r="CT129" i="1"/>
  <c r="DC129" i="1" s="1"/>
  <c r="CO129" i="1"/>
  <c r="CX129" i="1" s="1"/>
  <c r="CS129" i="1"/>
  <c r="DB129" i="1" s="1"/>
  <c r="CN129" i="1"/>
  <c r="CW129" i="1" s="1"/>
  <c r="CR129" i="1"/>
  <c r="DA129" i="1" s="1"/>
  <c r="CM129" i="1"/>
  <c r="CV129" i="1" s="1"/>
  <c r="CQ129" i="1"/>
  <c r="CZ129" i="1" s="1"/>
  <c r="CL129" i="1"/>
  <c r="CU129" i="1" s="1"/>
  <c r="CP129" i="1"/>
  <c r="CY129" i="1" s="1"/>
  <c r="CP135" i="1"/>
  <c r="CY135" i="1" s="1"/>
  <c r="CT135" i="1"/>
  <c r="DC135" i="1" s="1"/>
  <c r="CO135" i="1"/>
  <c r="CX135" i="1" s="1"/>
  <c r="CS135" i="1"/>
  <c r="DB135" i="1" s="1"/>
  <c r="CN135" i="1"/>
  <c r="CW135" i="1" s="1"/>
  <c r="CR135" i="1"/>
  <c r="DA135" i="1" s="1"/>
  <c r="CM135" i="1"/>
  <c r="CV135" i="1" s="1"/>
  <c r="CQ135" i="1"/>
  <c r="CZ135" i="1" s="1"/>
  <c r="CL135" i="1"/>
  <c r="CU135" i="1" s="1"/>
  <c r="CS145" i="1"/>
  <c r="DB145" i="1" s="1"/>
  <c r="CM145" i="1"/>
  <c r="CV145" i="1" s="1"/>
  <c r="CL145" i="1"/>
  <c r="CU145" i="1" s="1"/>
  <c r="CR145" i="1"/>
  <c r="DA145" i="1" s="1"/>
  <c r="CN145" i="1"/>
  <c r="CW145" i="1" s="1"/>
  <c r="CT145" i="1"/>
  <c r="DC145" i="1" s="1"/>
  <c r="CS148" i="1"/>
  <c r="DB148" i="1" s="1"/>
  <c r="CM148" i="1"/>
  <c r="CV148" i="1" s="1"/>
  <c r="CR148" i="1"/>
  <c r="DA148" i="1" s="1"/>
  <c r="CN148" i="1"/>
  <c r="CW148" i="1" s="1"/>
  <c r="CL148" i="1"/>
  <c r="CU148" i="1" s="1"/>
  <c r="CT148" i="1"/>
  <c r="DC148" i="1" s="1"/>
  <c r="CM159" i="1"/>
  <c r="CV159" i="1" s="1"/>
  <c r="CS159" i="1"/>
  <c r="DB159" i="1" s="1"/>
  <c r="CR159" i="1"/>
  <c r="DA159" i="1" s="1"/>
  <c r="CT159" i="1"/>
  <c r="DC159" i="1" s="1"/>
  <c r="CN159" i="1"/>
  <c r="CW159" i="1" s="1"/>
  <c r="CL159" i="1"/>
  <c r="CU159" i="1" s="1"/>
  <c r="CM143" i="1"/>
  <c r="CV143" i="1" s="1"/>
  <c r="CS143" i="1"/>
  <c r="DB143" i="1" s="1"/>
  <c r="CT143" i="1"/>
  <c r="DC143" i="1" s="1"/>
  <c r="CL143" i="1"/>
  <c r="CU143" i="1" s="1"/>
  <c r="CR143" i="1"/>
  <c r="DA143" i="1" s="1"/>
  <c r="CN143" i="1"/>
  <c r="CW143" i="1" s="1"/>
  <c r="CM149" i="1"/>
  <c r="CV149" i="1" s="1"/>
  <c r="CS149" i="1"/>
  <c r="DB149" i="1" s="1"/>
  <c r="CN149" i="1"/>
  <c r="CW149" i="1" s="1"/>
  <c r="CR149" i="1"/>
  <c r="DA149" i="1" s="1"/>
  <c r="CL149" i="1"/>
  <c r="CU149" i="1" s="1"/>
  <c r="CT149" i="1"/>
  <c r="DC149" i="1" s="1"/>
  <c r="CM156" i="1"/>
  <c r="CV156" i="1" s="1"/>
  <c r="CS156" i="1"/>
  <c r="DB156" i="1" s="1"/>
  <c r="CL156" i="1"/>
  <c r="CU156" i="1" s="1"/>
  <c r="CT156" i="1"/>
  <c r="DC156" i="1" s="1"/>
  <c r="CR156" i="1"/>
  <c r="DA156" i="1" s="1"/>
  <c r="CN156" i="1"/>
  <c r="CW156" i="1" s="1"/>
  <c r="CS154" i="1"/>
  <c r="DB154" i="1" s="1"/>
  <c r="CM154" i="1"/>
  <c r="CV154" i="1" s="1"/>
  <c r="CT154" i="1"/>
  <c r="DC154" i="1" s="1"/>
  <c r="CN154" i="1"/>
  <c r="CW154" i="1" s="1"/>
  <c r="CR154" i="1"/>
  <c r="DA154" i="1" s="1"/>
  <c r="CL154" i="1"/>
  <c r="CU154" i="1" s="1"/>
  <c r="CS162" i="1"/>
  <c r="DB162" i="1" s="1"/>
  <c r="CM162" i="1"/>
  <c r="CV162" i="1" s="1"/>
  <c r="CL162" i="1"/>
  <c r="CU162" i="1" s="1"/>
  <c r="CT162" i="1"/>
  <c r="DC162" i="1" s="1"/>
  <c r="CN162" i="1"/>
  <c r="CW162" i="1" s="1"/>
  <c r="CR162" i="1"/>
  <c r="DA162" i="1" s="1"/>
  <c r="CL134" i="1"/>
  <c r="CU134" i="1" s="1"/>
  <c r="CR134" i="1"/>
  <c r="DA134" i="1" s="1"/>
  <c r="CQ134" i="1"/>
  <c r="CZ134" i="1" s="1"/>
  <c r="CP134" i="1"/>
  <c r="CY134" i="1" s="1"/>
  <c r="CM134" i="1"/>
  <c r="CV134" i="1" s="1"/>
  <c r="CT134" i="1"/>
  <c r="DC134" i="1" s="1"/>
  <c r="CO134" i="1"/>
  <c r="CX134" i="1" s="1"/>
  <c r="CS134" i="1"/>
  <c r="DB134" i="1" s="1"/>
  <c r="CN134" i="1"/>
  <c r="CW134" i="1" s="1"/>
  <c r="CS158" i="1"/>
  <c r="DB158" i="1" s="1"/>
  <c r="CM158" i="1"/>
  <c r="CV158" i="1" s="1"/>
  <c r="CL158" i="1"/>
  <c r="CU158" i="1" s="1"/>
  <c r="CR158" i="1"/>
  <c r="DA158" i="1" s="1"/>
  <c r="CN158" i="1"/>
  <c r="CW158" i="1" s="1"/>
  <c r="CT158" i="1"/>
  <c r="DC158" i="1" s="1"/>
  <c r="CR139" i="1"/>
  <c r="DA139" i="1" s="1"/>
  <c r="CM139" i="1"/>
  <c r="CV139" i="1" s="1"/>
  <c r="CP139" i="1"/>
  <c r="CY139" i="1" s="1"/>
  <c r="CQ139" i="1"/>
  <c r="CZ139" i="1" s="1"/>
  <c r="CL139" i="1"/>
  <c r="CU139" i="1" s="1"/>
  <c r="CT139" i="1"/>
  <c r="DC139" i="1" s="1"/>
  <c r="CS139" i="1"/>
  <c r="DB139" i="1" s="1"/>
  <c r="CN139" i="1"/>
  <c r="CW139" i="1" s="1"/>
  <c r="CO139" i="1"/>
  <c r="CX139" i="1" s="1"/>
  <c r="CM141" i="1"/>
  <c r="CV141" i="1" s="1"/>
  <c r="CS141" i="1"/>
  <c r="DB141" i="1" s="1"/>
  <c r="CN141" i="1"/>
  <c r="CW141" i="1" s="1"/>
  <c r="CR141" i="1"/>
  <c r="DA141" i="1" s="1"/>
  <c r="CL141" i="1"/>
  <c r="CU141" i="1" s="1"/>
  <c r="CT141" i="1"/>
  <c r="DC141" i="1" s="1"/>
  <c r="CM146" i="1"/>
  <c r="CV146" i="1" s="1"/>
  <c r="CS146" i="1"/>
  <c r="DB146" i="1" s="1"/>
  <c r="CR146" i="1"/>
  <c r="DA146" i="1" s="1"/>
  <c r="CL146" i="1"/>
  <c r="CU146" i="1" s="1"/>
  <c r="CT146" i="1"/>
  <c r="DC146" i="1" s="1"/>
  <c r="CN146" i="1"/>
  <c r="CW146" i="1" s="1"/>
  <c r="CR130" i="1"/>
  <c r="DA130" i="1" s="1"/>
  <c r="CM130" i="1"/>
  <c r="CV130" i="1" s="1"/>
  <c r="CN130" i="1"/>
  <c r="CW130" i="1" s="1"/>
  <c r="CQ130" i="1"/>
  <c r="CZ130" i="1" s="1"/>
  <c r="CL130" i="1"/>
  <c r="CU130" i="1" s="1"/>
  <c r="CO130" i="1"/>
  <c r="CX130" i="1" s="1"/>
  <c r="CS130" i="1"/>
  <c r="DB130" i="1" s="1"/>
  <c r="CP130" i="1"/>
  <c r="CY130" i="1" s="1"/>
  <c r="CT130" i="1"/>
  <c r="DC130" i="1" s="1"/>
  <c r="CS147" i="1"/>
  <c r="DB147" i="1" s="1"/>
  <c r="CM147" i="1"/>
  <c r="CV147" i="1" s="1"/>
  <c r="CN147" i="1"/>
  <c r="CW147" i="1" s="1"/>
  <c r="CT147" i="1"/>
  <c r="DC147" i="1" s="1"/>
  <c r="CR147" i="1"/>
  <c r="DA147" i="1" s="1"/>
  <c r="CL147" i="1"/>
  <c r="CU147" i="1" s="1"/>
  <c r="CS151" i="1"/>
  <c r="DB151" i="1" s="1"/>
  <c r="CM151" i="1"/>
  <c r="CV151" i="1" s="1"/>
  <c r="CT151" i="1"/>
  <c r="DC151" i="1" s="1"/>
  <c r="CN151" i="1"/>
  <c r="CW151" i="1" s="1"/>
  <c r="CR151" i="1"/>
  <c r="DA151" i="1" s="1"/>
  <c r="CL151" i="1"/>
  <c r="CU151" i="1" s="1"/>
  <c r="CS142" i="1"/>
  <c r="DB142" i="1" s="1"/>
  <c r="CM142" i="1"/>
  <c r="CV142" i="1" s="1"/>
  <c r="CL142" i="1"/>
  <c r="CU142" i="1" s="1"/>
  <c r="CN142" i="1"/>
  <c r="CW142" i="1" s="1"/>
  <c r="CT142" i="1"/>
  <c r="DC142" i="1" s="1"/>
  <c r="CR142" i="1"/>
  <c r="DA142" i="1" s="1"/>
  <c r="CS150" i="1"/>
  <c r="DB150" i="1" s="1"/>
  <c r="CM150" i="1"/>
  <c r="CV150" i="1" s="1"/>
  <c r="CT150" i="1"/>
  <c r="DC150" i="1" s="1"/>
  <c r="CR150" i="1"/>
  <c r="DA150" i="1" s="1"/>
  <c r="CL150" i="1"/>
  <c r="CU150" i="1" s="1"/>
  <c r="CN150" i="1"/>
  <c r="CW150" i="1" s="1"/>
  <c r="CS187" i="1"/>
  <c r="DB187" i="1" s="1"/>
  <c r="CM187" i="1"/>
  <c r="CV187" i="1" s="1"/>
  <c r="CT187" i="1"/>
  <c r="DC187" i="1" s="1"/>
  <c r="CR187" i="1"/>
  <c r="DA187" i="1" s="1"/>
  <c r="CN187" i="1"/>
  <c r="CW187" i="1" s="1"/>
  <c r="CL187" i="1"/>
  <c r="CU187" i="1" s="1"/>
  <c r="CM186" i="1"/>
  <c r="CV186" i="1" s="1"/>
  <c r="CS186" i="1"/>
  <c r="DB186" i="1" s="1"/>
  <c r="CL186" i="1"/>
  <c r="CU186" i="1" s="1"/>
  <c r="CR186" i="1"/>
  <c r="DA186" i="1" s="1"/>
  <c r="CN186" i="1"/>
  <c r="CW186" i="1" s="1"/>
  <c r="CT186" i="1"/>
  <c r="DC186" i="1" s="1"/>
  <c r="CM185" i="1"/>
  <c r="CV185" i="1" s="1"/>
  <c r="CS185" i="1"/>
  <c r="DB185" i="1" s="1"/>
  <c r="CR185" i="1"/>
  <c r="DA185" i="1" s="1"/>
  <c r="CN185" i="1"/>
  <c r="CW185" i="1" s="1"/>
  <c r="CT185" i="1"/>
  <c r="DC185" i="1" s="1"/>
  <c r="CL185" i="1"/>
  <c r="CU185" i="1" s="1"/>
  <c r="CM184" i="1"/>
  <c r="CV184" i="1" s="1"/>
  <c r="CS184" i="1"/>
  <c r="DB184" i="1" s="1"/>
  <c r="CL184" i="1"/>
  <c r="CU184" i="1" s="1"/>
  <c r="CT184" i="1"/>
  <c r="DC184" i="1" s="1"/>
  <c r="CN184" i="1"/>
  <c r="CW184" i="1" s="1"/>
  <c r="CR184" i="1"/>
  <c r="DA184" i="1" s="1"/>
  <c r="CM183" i="1"/>
  <c r="CV183" i="1" s="1"/>
  <c r="CS183" i="1"/>
  <c r="DB183" i="1" s="1"/>
  <c r="CN183" i="1"/>
  <c r="CW183" i="1" s="1"/>
  <c r="CT183" i="1"/>
  <c r="DC183" i="1" s="1"/>
  <c r="CL183" i="1"/>
  <c r="CU183" i="1" s="1"/>
  <c r="CR183" i="1"/>
  <c r="DA183" i="1" s="1"/>
  <c r="CS182" i="1"/>
  <c r="DB182" i="1" s="1"/>
  <c r="CM182" i="1"/>
  <c r="CV182" i="1" s="1"/>
  <c r="CR182" i="1"/>
  <c r="DA182" i="1" s="1"/>
  <c r="CL182" i="1"/>
  <c r="CU182" i="1" s="1"/>
  <c r="CT182" i="1"/>
  <c r="DC182" i="1" s="1"/>
  <c r="CN182" i="1"/>
  <c r="CW182" i="1" s="1"/>
  <c r="CM181" i="1"/>
  <c r="CV181" i="1" s="1"/>
  <c r="CS181" i="1"/>
  <c r="DB181" i="1" s="1"/>
  <c r="CR181" i="1"/>
  <c r="DA181" i="1" s="1"/>
  <c r="CN181" i="1"/>
  <c r="CW181" i="1" s="1"/>
  <c r="CT181" i="1"/>
  <c r="DC181" i="1" s="1"/>
  <c r="CL181" i="1"/>
  <c r="CU181" i="1" s="1"/>
  <c r="CM180" i="1"/>
  <c r="CV180" i="1" s="1"/>
  <c r="CS180" i="1"/>
  <c r="DB180" i="1" s="1"/>
  <c r="CN180" i="1"/>
  <c r="CW180" i="1" s="1"/>
  <c r="CR180" i="1"/>
  <c r="DA180" i="1" s="1"/>
  <c r="CL180" i="1"/>
  <c r="CU180" i="1" s="1"/>
  <c r="CT180" i="1"/>
  <c r="DC180" i="1" s="1"/>
  <c r="CM179" i="1"/>
  <c r="CV179" i="1" s="1"/>
  <c r="CS179" i="1"/>
  <c r="DB179" i="1" s="1"/>
  <c r="CN179" i="1"/>
  <c r="CW179" i="1" s="1"/>
  <c r="CT179" i="1"/>
  <c r="DC179" i="1" s="1"/>
  <c r="CL179" i="1"/>
  <c r="CU179" i="1" s="1"/>
  <c r="CR179" i="1"/>
  <c r="DA179" i="1" s="1"/>
  <c r="CM178" i="1"/>
  <c r="CV178" i="1" s="1"/>
  <c r="CS178" i="1"/>
  <c r="DB178" i="1" s="1"/>
  <c r="CN178" i="1"/>
  <c r="CW178" i="1" s="1"/>
  <c r="CT178" i="1"/>
  <c r="DC178" i="1" s="1"/>
  <c r="CL178" i="1"/>
  <c r="CU178" i="1" s="1"/>
  <c r="CR178" i="1"/>
  <c r="DA178" i="1" s="1"/>
  <c r="CM177" i="1"/>
  <c r="CV177" i="1" s="1"/>
  <c r="CS177" i="1"/>
  <c r="DB177" i="1" s="1"/>
  <c r="CL177" i="1"/>
  <c r="CU177" i="1" s="1"/>
  <c r="CR177" i="1"/>
  <c r="DA177" i="1" s="1"/>
  <c r="CT177" i="1"/>
  <c r="DC177" i="1" s="1"/>
  <c r="CN177" i="1"/>
  <c r="CW177" i="1" s="1"/>
  <c r="CM176" i="1"/>
  <c r="CV176" i="1" s="1"/>
  <c r="CS176" i="1"/>
  <c r="DB176" i="1" s="1"/>
  <c r="CN176" i="1"/>
  <c r="CW176" i="1" s="1"/>
  <c r="CR176" i="1"/>
  <c r="DA176" i="1" s="1"/>
  <c r="CL176" i="1"/>
  <c r="CU176" i="1" s="1"/>
  <c r="CT176" i="1"/>
  <c r="DC176" i="1" s="1"/>
  <c r="CS175" i="1"/>
  <c r="DB175" i="1" s="1"/>
  <c r="CM175" i="1"/>
  <c r="CV175" i="1" s="1"/>
  <c r="CT175" i="1"/>
  <c r="DC175" i="1" s="1"/>
  <c r="CR175" i="1"/>
  <c r="DA175" i="1" s="1"/>
  <c r="CN175" i="1"/>
  <c r="CW175" i="1" s="1"/>
  <c r="CL175" i="1"/>
  <c r="CU175" i="1" s="1"/>
  <c r="CS174" i="1"/>
  <c r="DB174" i="1" s="1"/>
  <c r="CM174" i="1"/>
  <c r="CV174" i="1" s="1"/>
  <c r="CN174" i="1"/>
  <c r="CW174" i="1" s="1"/>
  <c r="CT174" i="1"/>
  <c r="DC174" i="1" s="1"/>
  <c r="CL174" i="1"/>
  <c r="CU174" i="1" s="1"/>
  <c r="CR174" i="1"/>
  <c r="DA174" i="1" s="1"/>
  <c r="CS173" i="1"/>
  <c r="DB173" i="1" s="1"/>
  <c r="CM173" i="1"/>
  <c r="CV173" i="1" s="1"/>
  <c r="CT173" i="1"/>
  <c r="DC173" i="1" s="1"/>
  <c r="CL173" i="1"/>
  <c r="CU173" i="1" s="1"/>
  <c r="CN173" i="1"/>
  <c r="CW173" i="1" s="1"/>
  <c r="CR173" i="1"/>
  <c r="DA173" i="1" s="1"/>
  <c r="CS172" i="1"/>
  <c r="DB172" i="1" s="1"/>
  <c r="CM172" i="1"/>
  <c r="CV172" i="1" s="1"/>
  <c r="CR172" i="1"/>
  <c r="DA172" i="1" s="1"/>
  <c r="CT172" i="1"/>
  <c r="DC172" i="1" s="1"/>
  <c r="CN172" i="1"/>
  <c r="CW172" i="1" s="1"/>
  <c r="CL172" i="1"/>
  <c r="CU172" i="1" s="1"/>
  <c r="CM171" i="1"/>
  <c r="CV171" i="1" s="1"/>
  <c r="CS171" i="1"/>
  <c r="DB171" i="1" s="1"/>
  <c r="CR171" i="1"/>
  <c r="DA171" i="1" s="1"/>
  <c r="CT171" i="1"/>
  <c r="DC171" i="1" s="1"/>
  <c r="CN171" i="1"/>
  <c r="CW171" i="1" s="1"/>
  <c r="CL171" i="1"/>
  <c r="CU171" i="1" s="1"/>
  <c r="CS170" i="1"/>
  <c r="DB170" i="1" s="1"/>
  <c r="CM170" i="1"/>
  <c r="CV170" i="1" s="1"/>
  <c r="CR170" i="1"/>
  <c r="DA170" i="1" s="1"/>
  <c r="CT170" i="1"/>
  <c r="DC170" i="1" s="1"/>
  <c r="CN170" i="1"/>
  <c r="CW170" i="1" s="1"/>
  <c r="CL170" i="1"/>
  <c r="CU170" i="1" s="1"/>
  <c r="CS169" i="1"/>
  <c r="DB169" i="1" s="1"/>
  <c r="CM169" i="1"/>
  <c r="CV169" i="1" s="1"/>
  <c r="CR169" i="1"/>
  <c r="DA169" i="1" s="1"/>
  <c r="CN169" i="1"/>
  <c r="CW169" i="1" s="1"/>
  <c r="CT169" i="1"/>
  <c r="DC169" i="1" s="1"/>
  <c r="CL169" i="1"/>
  <c r="CU169" i="1" s="1"/>
  <c r="CS168" i="1"/>
  <c r="DB168" i="1" s="1"/>
  <c r="CM168" i="1"/>
  <c r="CV168" i="1" s="1"/>
  <c r="CL168" i="1"/>
  <c r="CU168" i="1" s="1"/>
  <c r="CR168" i="1"/>
  <c r="DA168" i="1" s="1"/>
  <c r="CN168" i="1"/>
  <c r="CW168" i="1" s="1"/>
  <c r="CT168" i="1"/>
  <c r="DC168" i="1" s="1"/>
  <c r="CS167" i="1"/>
  <c r="DB167" i="1" s="1"/>
  <c r="CM167" i="1"/>
  <c r="CV167" i="1" s="1"/>
  <c r="CR167" i="1"/>
  <c r="DA167" i="1" s="1"/>
  <c r="CN167" i="1"/>
  <c r="CW167" i="1" s="1"/>
  <c r="CT167" i="1"/>
  <c r="DC167" i="1" s="1"/>
  <c r="CL167" i="1"/>
  <c r="CU167" i="1" s="1"/>
  <c r="CM166" i="1"/>
  <c r="CV166" i="1" s="1"/>
  <c r="CS166" i="1"/>
  <c r="DB166" i="1" s="1"/>
  <c r="CN166" i="1"/>
  <c r="CW166" i="1" s="1"/>
  <c r="CT166" i="1"/>
  <c r="DC166" i="1" s="1"/>
  <c r="CR166" i="1"/>
  <c r="DA166" i="1" s="1"/>
  <c r="CL166" i="1"/>
  <c r="CU166" i="1" s="1"/>
  <c r="CM165" i="1"/>
  <c r="CV165" i="1" s="1"/>
  <c r="CS165" i="1"/>
  <c r="DB165" i="1" s="1"/>
  <c r="CN165" i="1"/>
  <c r="CW165" i="1" s="1"/>
  <c r="CT165" i="1"/>
  <c r="DC165" i="1" s="1"/>
  <c r="CL165" i="1"/>
  <c r="CU165" i="1" s="1"/>
  <c r="CR165" i="1"/>
  <c r="DA165" i="1" s="1"/>
  <c r="CS164" i="1"/>
  <c r="DB164" i="1" s="1"/>
  <c r="CM164" i="1"/>
  <c r="CV164" i="1" s="1"/>
  <c r="CN164" i="1"/>
  <c r="CW164" i="1" s="1"/>
  <c r="CR164" i="1"/>
  <c r="DA164" i="1" s="1"/>
  <c r="CL164" i="1"/>
  <c r="CU164" i="1" s="1"/>
  <c r="CT164" i="1"/>
  <c r="DC164" i="1" s="1"/>
  <c r="CS163" i="1"/>
  <c r="DB163" i="1" s="1"/>
  <c r="CM163" i="1"/>
  <c r="CV163" i="1" s="1"/>
  <c r="CN163" i="1"/>
  <c r="CW163" i="1" s="1"/>
  <c r="CT163" i="1"/>
  <c r="DC163" i="1" s="1"/>
  <c r="CL163" i="1"/>
  <c r="CU163" i="1" s="1"/>
  <c r="CR163" i="1"/>
  <c r="DA163" i="1" s="1"/>
  <c r="CS192" i="1"/>
  <c r="DB192" i="1" s="1"/>
  <c r="CM192" i="1"/>
  <c r="CV192" i="1" s="1"/>
  <c r="CN192" i="1"/>
  <c r="CW192" i="1" s="1"/>
  <c r="CL192" i="1"/>
  <c r="CU192" i="1" s="1"/>
  <c r="CR192" i="1"/>
  <c r="DA192" i="1" s="1"/>
  <c r="CT192" i="1"/>
  <c r="DC192" i="1" s="1"/>
  <c r="CS191" i="1"/>
  <c r="DB191" i="1" s="1"/>
  <c r="CM191" i="1"/>
  <c r="CV191" i="1" s="1"/>
  <c r="CT191" i="1"/>
  <c r="DC191" i="1" s="1"/>
  <c r="CL191" i="1"/>
  <c r="CU191" i="1" s="1"/>
  <c r="CR191" i="1"/>
  <c r="DA191" i="1" s="1"/>
  <c r="CN191" i="1"/>
  <c r="CW191" i="1" s="1"/>
  <c r="CM189" i="1"/>
  <c r="CV189" i="1" s="1"/>
  <c r="CS189" i="1"/>
  <c r="DB189" i="1" s="1"/>
  <c r="CR189" i="1"/>
  <c r="DA189" i="1" s="1"/>
  <c r="CN189" i="1"/>
  <c r="CW189" i="1" s="1"/>
  <c r="CT189" i="1"/>
  <c r="DC189" i="1" s="1"/>
  <c r="CL189" i="1"/>
  <c r="CU189" i="1" s="1"/>
  <c r="CS188" i="1"/>
  <c r="DB188" i="1" s="1"/>
  <c r="CM188" i="1"/>
  <c r="CV188" i="1" s="1"/>
  <c r="CR188" i="1"/>
  <c r="DA188" i="1" s="1"/>
  <c r="CN188" i="1"/>
  <c r="CW188" i="1" s="1"/>
  <c r="CL188" i="1"/>
  <c r="CU188" i="1" s="1"/>
  <c r="CT188" i="1"/>
  <c r="DC188" i="1" s="1"/>
  <c r="CS190" i="1"/>
  <c r="DB190" i="1" s="1"/>
  <c r="CM190" i="1"/>
  <c r="CV190" i="1" s="1"/>
  <c r="CR190" i="1"/>
  <c r="DA190" i="1" s="1"/>
  <c r="CL190" i="1"/>
  <c r="CU190" i="1" s="1"/>
  <c r="CN190" i="1"/>
  <c r="CW190" i="1" s="1"/>
  <c r="CT190" i="1"/>
  <c r="DC190" i="1" s="1"/>
  <c r="CS264" i="1"/>
  <c r="DB264" i="1" s="1"/>
  <c r="CM264" i="1"/>
  <c r="CV264" i="1" s="1"/>
  <c r="CR264" i="1"/>
  <c r="DA264" i="1" s="1"/>
  <c r="CN264" i="1"/>
  <c r="CW264" i="1" s="1"/>
  <c r="CL264" i="1"/>
  <c r="CU264" i="1" s="1"/>
  <c r="CT264" i="1"/>
  <c r="DC264" i="1" s="1"/>
  <c r="CM249" i="1"/>
  <c r="CV249" i="1" s="1"/>
  <c r="CS249" i="1"/>
  <c r="DB249" i="1" s="1"/>
  <c r="CR249" i="1"/>
  <c r="DA249" i="1" s="1"/>
  <c r="CT249" i="1"/>
  <c r="DC249" i="1" s="1"/>
  <c r="CN249" i="1"/>
  <c r="CW249" i="1" s="1"/>
  <c r="CL249" i="1"/>
  <c r="CU249" i="1" s="1"/>
  <c r="CM224" i="1"/>
  <c r="CV224" i="1" s="1"/>
  <c r="CS224" i="1"/>
  <c r="DB224" i="1" s="1"/>
  <c r="CR224" i="1"/>
  <c r="DA224" i="1" s="1"/>
  <c r="CN224" i="1"/>
  <c r="CW224" i="1" s="1"/>
  <c r="CL224" i="1"/>
  <c r="CU224" i="1" s="1"/>
  <c r="CT224" i="1"/>
  <c r="DC224" i="1" s="1"/>
  <c r="CS213" i="1"/>
  <c r="DB213" i="1" s="1"/>
  <c r="CM213" i="1"/>
  <c r="CV213" i="1" s="1"/>
  <c r="CT213" i="1"/>
  <c r="DC213" i="1" s="1"/>
  <c r="CL213" i="1"/>
  <c r="CU213" i="1" s="1"/>
  <c r="CR213" i="1"/>
  <c r="DA213" i="1" s="1"/>
  <c r="CN213" i="1"/>
  <c r="CW213" i="1" s="1"/>
  <c r="CS255" i="1"/>
  <c r="DB255" i="1" s="1"/>
  <c r="CM255" i="1"/>
  <c r="CV255" i="1" s="1"/>
  <c r="CR255" i="1"/>
  <c r="DA255" i="1" s="1"/>
  <c r="CT255" i="1"/>
  <c r="DC255" i="1" s="1"/>
  <c r="CN255" i="1"/>
  <c r="CW255" i="1" s="1"/>
  <c r="CL255" i="1"/>
  <c r="CU255" i="1" s="1"/>
  <c r="CS256" i="1"/>
  <c r="DB256" i="1" s="1"/>
  <c r="CM256" i="1"/>
  <c r="CV256" i="1" s="1"/>
  <c r="CR256" i="1"/>
  <c r="DA256" i="1" s="1"/>
  <c r="CN256" i="1"/>
  <c r="CW256" i="1" s="1"/>
  <c r="CL256" i="1"/>
  <c r="CU256" i="1" s="1"/>
  <c r="CT256" i="1"/>
  <c r="DC256" i="1" s="1"/>
  <c r="CS232" i="1"/>
  <c r="DB232" i="1" s="1"/>
  <c r="CM232" i="1"/>
  <c r="CV232" i="1" s="1"/>
  <c r="CN232" i="1"/>
  <c r="CW232" i="1" s="1"/>
  <c r="CL232" i="1"/>
  <c r="CU232" i="1" s="1"/>
  <c r="CT232" i="1"/>
  <c r="DC232" i="1" s="1"/>
  <c r="CR232" i="1"/>
  <c r="DA232" i="1" s="1"/>
  <c r="CS209" i="1"/>
  <c r="DB209" i="1" s="1"/>
  <c r="CM209" i="1"/>
  <c r="CV209" i="1" s="1"/>
  <c r="CT209" i="1"/>
  <c r="DC209" i="1" s="1"/>
  <c r="CN209" i="1"/>
  <c r="CW209" i="1" s="1"/>
  <c r="CR209" i="1"/>
  <c r="DA209" i="1" s="1"/>
  <c r="CL209" i="1"/>
  <c r="CU209" i="1" s="1"/>
  <c r="CS271" i="1"/>
  <c r="DB271" i="1" s="1"/>
  <c r="CM271" i="1"/>
  <c r="CV271" i="1" s="1"/>
  <c r="CT271" i="1"/>
  <c r="DC271" i="1" s="1"/>
  <c r="CL271" i="1"/>
  <c r="CU271" i="1" s="1"/>
  <c r="CR271" i="1"/>
  <c r="DA271" i="1" s="1"/>
  <c r="CN271" i="1"/>
  <c r="CW271" i="1" s="1"/>
  <c r="CS223" i="1"/>
  <c r="DB223" i="1" s="1"/>
  <c r="CM223" i="1"/>
  <c r="CV223" i="1" s="1"/>
  <c r="CL223" i="1"/>
  <c r="CU223" i="1" s="1"/>
  <c r="CT223" i="1"/>
  <c r="DC223" i="1" s="1"/>
  <c r="CR223" i="1"/>
  <c r="DA223" i="1" s="1"/>
  <c r="CN223" i="1"/>
  <c r="CW223" i="1" s="1"/>
  <c r="CM276" i="1"/>
  <c r="CV276" i="1" s="1"/>
  <c r="CS276" i="1"/>
  <c r="DB276" i="1" s="1"/>
  <c r="CR276" i="1"/>
  <c r="DA276" i="1" s="1"/>
  <c r="CL276" i="1"/>
  <c r="CU276" i="1" s="1"/>
  <c r="CT276" i="1"/>
  <c r="DC276" i="1" s="1"/>
  <c r="CN276" i="1"/>
  <c r="CW276" i="1" s="1"/>
  <c r="CS240" i="1"/>
  <c r="DB240" i="1" s="1"/>
  <c r="CM240" i="1"/>
  <c r="CV240" i="1" s="1"/>
  <c r="CN240" i="1"/>
  <c r="CW240" i="1" s="1"/>
  <c r="CL240" i="1"/>
  <c r="CU240" i="1" s="1"/>
  <c r="CT240" i="1"/>
  <c r="DC240" i="1" s="1"/>
  <c r="CR240" i="1"/>
  <c r="DA240" i="1" s="1"/>
  <c r="CM300" i="1"/>
  <c r="CV300" i="1" s="1"/>
  <c r="CS300" i="1"/>
  <c r="DB300" i="1" s="1"/>
  <c r="CN300" i="1"/>
  <c r="CW300" i="1" s="1"/>
  <c r="CT300" i="1"/>
  <c r="DC300" i="1" s="1"/>
  <c r="CL300" i="1"/>
  <c r="CU300" i="1" s="1"/>
  <c r="CR300" i="1"/>
  <c r="DA300" i="1" s="1"/>
  <c r="CS273" i="1"/>
  <c r="DB273" i="1" s="1"/>
  <c r="CM273" i="1"/>
  <c r="CV273" i="1" s="1"/>
  <c r="CT273" i="1"/>
  <c r="DC273" i="1" s="1"/>
  <c r="CL273" i="1"/>
  <c r="CU273" i="1" s="1"/>
  <c r="CR273" i="1"/>
  <c r="DA273" i="1" s="1"/>
  <c r="CN273" i="1"/>
  <c r="CW273" i="1" s="1"/>
  <c r="CM274" i="1"/>
  <c r="CV274" i="1" s="1"/>
  <c r="CS274" i="1"/>
  <c r="DB274" i="1" s="1"/>
  <c r="CN274" i="1"/>
  <c r="CW274" i="1" s="1"/>
  <c r="CT274" i="1"/>
  <c r="DC274" i="1" s="1"/>
  <c r="CL274" i="1"/>
  <c r="CU274" i="1" s="1"/>
  <c r="CR274" i="1"/>
  <c r="DA274" i="1" s="1"/>
  <c r="CM262" i="1"/>
  <c r="CV262" i="1" s="1"/>
  <c r="CS262" i="1"/>
  <c r="DB262" i="1" s="1"/>
  <c r="CT262" i="1"/>
  <c r="DC262" i="1" s="1"/>
  <c r="CL262" i="1"/>
  <c r="CU262" i="1" s="1"/>
  <c r="CN262" i="1"/>
  <c r="CW262" i="1" s="1"/>
  <c r="CR262" i="1"/>
  <c r="DA262" i="1" s="1"/>
  <c r="CM250" i="1"/>
  <c r="CV250" i="1" s="1"/>
  <c r="CS250" i="1"/>
  <c r="DB250" i="1" s="1"/>
  <c r="CN250" i="1"/>
  <c r="CW250" i="1" s="1"/>
  <c r="CT250" i="1"/>
  <c r="DC250" i="1" s="1"/>
  <c r="CR250" i="1"/>
  <c r="DA250" i="1" s="1"/>
  <c r="CL250" i="1"/>
  <c r="CU250" i="1" s="1"/>
  <c r="CS212" i="1"/>
  <c r="DB212" i="1" s="1"/>
  <c r="CM212" i="1"/>
  <c r="CV212" i="1" s="1"/>
  <c r="CN212" i="1"/>
  <c r="CW212" i="1" s="1"/>
  <c r="CR212" i="1"/>
  <c r="DA212" i="1" s="1"/>
  <c r="CT212" i="1"/>
  <c r="DC212" i="1" s="1"/>
  <c r="CL212" i="1"/>
  <c r="CU212" i="1" s="1"/>
  <c r="CM243" i="1"/>
  <c r="CV243" i="1" s="1"/>
  <c r="CS243" i="1"/>
  <c r="DB243" i="1" s="1"/>
  <c r="CL243" i="1"/>
  <c r="CU243" i="1" s="1"/>
  <c r="CR243" i="1"/>
  <c r="DA243" i="1" s="1"/>
  <c r="CT243" i="1"/>
  <c r="DC243" i="1" s="1"/>
  <c r="CN243" i="1"/>
  <c r="CW243" i="1" s="1"/>
  <c r="CM222" i="1"/>
  <c r="CV222" i="1" s="1"/>
  <c r="CS222" i="1"/>
  <c r="DB222" i="1" s="1"/>
  <c r="CL222" i="1"/>
  <c r="CU222" i="1" s="1"/>
  <c r="CR222" i="1"/>
  <c r="DA222" i="1" s="1"/>
  <c r="CT222" i="1"/>
  <c r="DC222" i="1" s="1"/>
  <c r="CN222" i="1"/>
  <c r="CW222" i="1" s="1"/>
  <c r="CM219" i="1"/>
  <c r="CV219" i="1" s="1"/>
  <c r="CS219" i="1"/>
  <c r="DB219" i="1" s="1"/>
  <c r="CT219" i="1"/>
  <c r="DC219" i="1" s="1"/>
  <c r="CR219" i="1"/>
  <c r="DA219" i="1" s="1"/>
  <c r="CN219" i="1"/>
  <c r="CW219" i="1" s="1"/>
  <c r="CL219" i="1"/>
  <c r="CU219" i="1" s="1"/>
  <c r="CM217" i="1"/>
  <c r="CV217" i="1" s="1"/>
  <c r="CS217" i="1"/>
  <c r="DB217" i="1" s="1"/>
  <c r="CT217" i="1"/>
  <c r="DC217" i="1" s="1"/>
  <c r="CR217" i="1"/>
  <c r="DA217" i="1" s="1"/>
  <c r="CN217" i="1"/>
  <c r="CW217" i="1" s="1"/>
  <c r="CL217" i="1"/>
  <c r="CU217" i="1" s="1"/>
  <c r="CM296" i="1"/>
  <c r="CV296" i="1" s="1"/>
  <c r="CS296" i="1"/>
  <c r="DB296" i="1" s="1"/>
  <c r="CR296" i="1"/>
  <c r="DA296" i="1" s="1"/>
  <c r="CN296" i="1"/>
  <c r="CW296" i="1" s="1"/>
  <c r="CT296" i="1"/>
  <c r="DC296" i="1" s="1"/>
  <c r="CL296" i="1"/>
  <c r="CU296" i="1" s="1"/>
  <c r="CS237" i="1"/>
  <c r="DB237" i="1" s="1"/>
  <c r="CM237" i="1"/>
  <c r="CV237" i="1" s="1"/>
  <c r="CN237" i="1"/>
  <c r="CW237" i="1" s="1"/>
  <c r="CR237" i="1"/>
  <c r="DA237" i="1" s="1"/>
  <c r="CT237" i="1"/>
  <c r="DC237" i="1" s="1"/>
  <c r="CL237" i="1"/>
  <c r="CU237" i="1" s="1"/>
  <c r="CM225" i="1"/>
  <c r="CV225" i="1" s="1"/>
  <c r="CS225" i="1"/>
  <c r="DB225" i="1" s="1"/>
  <c r="CN225" i="1"/>
  <c r="CW225" i="1" s="1"/>
  <c r="CT225" i="1"/>
  <c r="DC225" i="1" s="1"/>
  <c r="CR225" i="1"/>
  <c r="DA225" i="1" s="1"/>
  <c r="CL225" i="1"/>
  <c r="CU225" i="1" s="1"/>
  <c r="CS257" i="1"/>
  <c r="DB257" i="1" s="1"/>
  <c r="CM257" i="1"/>
  <c r="CV257" i="1" s="1"/>
  <c r="CN257" i="1"/>
  <c r="CW257" i="1" s="1"/>
  <c r="CR257" i="1"/>
  <c r="DA257" i="1" s="1"/>
  <c r="CL257" i="1"/>
  <c r="CU257" i="1" s="1"/>
  <c r="CT257" i="1"/>
  <c r="DC257" i="1" s="1"/>
  <c r="CM233" i="1"/>
  <c r="CV233" i="1" s="1"/>
  <c r="CS233" i="1"/>
  <c r="DB233" i="1" s="1"/>
  <c r="CL233" i="1"/>
  <c r="CU233" i="1" s="1"/>
  <c r="CT233" i="1"/>
  <c r="DC233" i="1" s="1"/>
  <c r="CR233" i="1"/>
  <c r="DA233" i="1" s="1"/>
  <c r="CN233" i="1"/>
  <c r="CW233" i="1" s="1"/>
  <c r="CM277" i="1"/>
  <c r="CV277" i="1" s="1"/>
  <c r="CS277" i="1"/>
  <c r="DB277" i="1" s="1"/>
  <c r="CR277" i="1"/>
  <c r="DA277" i="1" s="1"/>
  <c r="CN277" i="1"/>
  <c r="CW277" i="1" s="1"/>
  <c r="CL277" i="1"/>
  <c r="CU277" i="1" s="1"/>
  <c r="CT277" i="1"/>
  <c r="DC277" i="1" s="1"/>
  <c r="CM211" i="1"/>
  <c r="CV211" i="1" s="1"/>
  <c r="CS211" i="1"/>
  <c r="DB211" i="1" s="1"/>
  <c r="CN211" i="1"/>
  <c r="CW211" i="1" s="1"/>
  <c r="CR211" i="1"/>
  <c r="DA211" i="1" s="1"/>
  <c r="CL211" i="1"/>
  <c r="CU211" i="1" s="1"/>
  <c r="CT211" i="1"/>
  <c r="DC211" i="1" s="1"/>
  <c r="CS305" i="1"/>
  <c r="DB305" i="1" s="1"/>
  <c r="CM305" i="1"/>
  <c r="CV305" i="1" s="1"/>
  <c r="CT305" i="1"/>
  <c r="DC305" i="1" s="1"/>
  <c r="CR305" i="1"/>
  <c r="DA305" i="1" s="1"/>
  <c r="CN305" i="1"/>
  <c r="CW305" i="1" s="1"/>
  <c r="CL305" i="1"/>
  <c r="CU305" i="1" s="1"/>
  <c r="CM238" i="1"/>
  <c r="CV238" i="1" s="1"/>
  <c r="CS238" i="1"/>
  <c r="DB238" i="1" s="1"/>
  <c r="CT238" i="1"/>
  <c r="DC238" i="1" s="1"/>
  <c r="CN238" i="1"/>
  <c r="CW238" i="1" s="1"/>
  <c r="CL238" i="1"/>
  <c r="CU238" i="1" s="1"/>
  <c r="CR238" i="1"/>
  <c r="DA238" i="1" s="1"/>
  <c r="CM216" i="1"/>
  <c r="CV216" i="1" s="1"/>
  <c r="CS216" i="1"/>
  <c r="DB216" i="1" s="1"/>
  <c r="CL216" i="1"/>
  <c r="CU216" i="1" s="1"/>
  <c r="CT216" i="1"/>
  <c r="DC216" i="1" s="1"/>
  <c r="CR216" i="1"/>
  <c r="DA216" i="1" s="1"/>
  <c r="CN216" i="1"/>
  <c r="CW216" i="1" s="1"/>
  <c r="CM214" i="1"/>
  <c r="CV214" i="1" s="1"/>
  <c r="CS214" i="1"/>
  <c r="DB214" i="1" s="1"/>
  <c r="CT214" i="1"/>
  <c r="DC214" i="1" s="1"/>
  <c r="CR214" i="1"/>
  <c r="DA214" i="1" s="1"/>
  <c r="CN214" i="1"/>
  <c r="CW214" i="1" s="1"/>
  <c r="CL214" i="1"/>
  <c r="CU214" i="1" s="1"/>
  <c r="CM239" i="1"/>
  <c r="CV239" i="1" s="1"/>
  <c r="CS239" i="1"/>
  <c r="DB239" i="1" s="1"/>
  <c r="CT239" i="1"/>
  <c r="DC239" i="1" s="1"/>
  <c r="CR239" i="1"/>
  <c r="DA239" i="1" s="1"/>
  <c r="CN239" i="1"/>
  <c r="CW239" i="1" s="1"/>
  <c r="CL239" i="1"/>
  <c r="CU239" i="1" s="1"/>
  <c r="CM245" i="1"/>
  <c r="CV245" i="1" s="1"/>
  <c r="CS245" i="1"/>
  <c r="DB245" i="1" s="1"/>
  <c r="CT245" i="1"/>
  <c r="DC245" i="1" s="1"/>
  <c r="CR245" i="1"/>
  <c r="DA245" i="1" s="1"/>
  <c r="CL245" i="1"/>
  <c r="CU245" i="1" s="1"/>
  <c r="CN245" i="1"/>
  <c r="CW245" i="1" s="1"/>
  <c r="CM210" i="1"/>
  <c r="CV210" i="1" s="1"/>
  <c r="CS210" i="1"/>
  <c r="DB210" i="1" s="1"/>
  <c r="CL210" i="1"/>
  <c r="CU210" i="1" s="1"/>
  <c r="CT210" i="1"/>
  <c r="DC210" i="1" s="1"/>
  <c r="CR210" i="1"/>
  <c r="DA210" i="1" s="1"/>
  <c r="CN210" i="1"/>
  <c r="CW210" i="1" s="1"/>
  <c r="CS218" i="1"/>
  <c r="DB218" i="1" s="1"/>
  <c r="CM218" i="1"/>
  <c r="CV218" i="1" s="1"/>
  <c r="CN218" i="1"/>
  <c r="CW218" i="1" s="1"/>
  <c r="CL218" i="1"/>
  <c r="CU218" i="1" s="1"/>
  <c r="CT218" i="1"/>
  <c r="DC218" i="1" s="1"/>
  <c r="CR218" i="1"/>
  <c r="DA218" i="1" s="1"/>
  <c r="CM208" i="1"/>
  <c r="CV208" i="1" s="1"/>
  <c r="CS208" i="1"/>
  <c r="DB208" i="1" s="1"/>
  <c r="CL208" i="1"/>
  <c r="CU208" i="1" s="1"/>
  <c r="CT208" i="1"/>
  <c r="DC208" i="1" s="1"/>
  <c r="CR208" i="1"/>
  <c r="DA208" i="1" s="1"/>
  <c r="CN208" i="1"/>
  <c r="CW208" i="1" s="1"/>
  <c r="CM301" i="1"/>
  <c r="CV301" i="1" s="1"/>
  <c r="CS301" i="1"/>
  <c r="DB301" i="1" s="1"/>
  <c r="CL301" i="1"/>
  <c r="CU301" i="1" s="1"/>
  <c r="CR301" i="1"/>
  <c r="DA301" i="1" s="1"/>
  <c r="CN301" i="1"/>
  <c r="CW301" i="1" s="1"/>
  <c r="CT301" i="1"/>
  <c r="DC301" i="1" s="1"/>
  <c r="CS247" i="1"/>
  <c r="DB247" i="1" s="1"/>
  <c r="CM247" i="1"/>
  <c r="CV247" i="1" s="1"/>
  <c r="CR247" i="1"/>
  <c r="DA247" i="1" s="1"/>
  <c r="CN247" i="1"/>
  <c r="CW247" i="1" s="1"/>
  <c r="CL247" i="1"/>
  <c r="CU247" i="1" s="1"/>
  <c r="CT247" i="1"/>
  <c r="DC247" i="1" s="1"/>
  <c r="CM285" i="1"/>
  <c r="CV285" i="1" s="1"/>
  <c r="CS285" i="1"/>
  <c r="DB285" i="1" s="1"/>
  <c r="CR285" i="1"/>
  <c r="DA285" i="1" s="1"/>
  <c r="CN285" i="1"/>
  <c r="CW285" i="1" s="1"/>
  <c r="CT285" i="1"/>
  <c r="DC285" i="1" s="1"/>
  <c r="CL285" i="1"/>
  <c r="CU285" i="1" s="1"/>
  <c r="CS303" i="1"/>
  <c r="DB303" i="1" s="1"/>
  <c r="CM303" i="1"/>
  <c r="CV303" i="1" s="1"/>
  <c r="CT303" i="1"/>
  <c r="DC303" i="1" s="1"/>
  <c r="CR303" i="1"/>
  <c r="DA303" i="1" s="1"/>
  <c r="CN303" i="1"/>
  <c r="CW303" i="1" s="1"/>
  <c r="CL303" i="1"/>
  <c r="CU303" i="1" s="1"/>
  <c r="CM287" i="1"/>
  <c r="CV287" i="1" s="1"/>
  <c r="CS287" i="1"/>
  <c r="DB287" i="1" s="1"/>
  <c r="CT287" i="1"/>
  <c r="DC287" i="1" s="1"/>
  <c r="CR287" i="1"/>
  <c r="DA287" i="1" s="1"/>
  <c r="CN287" i="1"/>
  <c r="CW287" i="1" s="1"/>
  <c r="CL287" i="1"/>
  <c r="CU287" i="1" s="1"/>
  <c r="CS279" i="1"/>
  <c r="DB279" i="1" s="1"/>
  <c r="CM279" i="1"/>
  <c r="CV279" i="1" s="1"/>
  <c r="CR279" i="1"/>
  <c r="DA279" i="1" s="1"/>
  <c r="CN279" i="1"/>
  <c r="CW279" i="1" s="1"/>
  <c r="CL279" i="1"/>
  <c r="CU279" i="1" s="1"/>
  <c r="CT279" i="1"/>
  <c r="DC279" i="1" s="1"/>
  <c r="CM226" i="1"/>
  <c r="CV226" i="1" s="1"/>
  <c r="CS226" i="1"/>
  <c r="DB226" i="1" s="1"/>
  <c r="CT226" i="1"/>
  <c r="DC226" i="1" s="1"/>
  <c r="CR226" i="1"/>
  <c r="DA226" i="1" s="1"/>
  <c r="CL226" i="1"/>
  <c r="CU226" i="1" s="1"/>
  <c r="CN226" i="1"/>
  <c r="CW226" i="1" s="1"/>
  <c r="CS231" i="1"/>
  <c r="DB231" i="1" s="1"/>
  <c r="CM231" i="1"/>
  <c r="CV231" i="1" s="1"/>
  <c r="CR231" i="1"/>
  <c r="DA231" i="1" s="1"/>
  <c r="CN231" i="1"/>
  <c r="CW231" i="1" s="1"/>
  <c r="CL231" i="1"/>
  <c r="CU231" i="1" s="1"/>
  <c r="CT231" i="1"/>
  <c r="DC231" i="1" s="1"/>
  <c r="CM215" i="1"/>
  <c r="CV215" i="1" s="1"/>
  <c r="CS215" i="1"/>
  <c r="DB215" i="1" s="1"/>
  <c r="CL215" i="1"/>
  <c r="CU215" i="1" s="1"/>
  <c r="CT215" i="1"/>
  <c r="DC215" i="1" s="1"/>
  <c r="CR215" i="1"/>
  <c r="DA215" i="1" s="1"/>
  <c r="CN215" i="1"/>
  <c r="CW215" i="1" s="1"/>
  <c r="CS295" i="1"/>
  <c r="DB295" i="1" s="1"/>
  <c r="CM295" i="1"/>
  <c r="CV295" i="1" s="1"/>
  <c r="CR295" i="1"/>
  <c r="DA295" i="1" s="1"/>
  <c r="CN295" i="1"/>
  <c r="CW295" i="1" s="1"/>
  <c r="CL295" i="1"/>
  <c r="CU295" i="1" s="1"/>
  <c r="CT295" i="1"/>
  <c r="DC295" i="1" s="1"/>
  <c r="CM265" i="1"/>
  <c r="CV265" i="1" s="1"/>
  <c r="CS265" i="1"/>
  <c r="DB265" i="1" s="1"/>
  <c r="CL265" i="1"/>
  <c r="CU265" i="1" s="1"/>
  <c r="CN265" i="1"/>
  <c r="CW265" i="1" s="1"/>
  <c r="CT265" i="1"/>
  <c r="DC265" i="1" s="1"/>
  <c r="CR265" i="1"/>
  <c r="DA265" i="1" s="1"/>
  <c r="CM292" i="1"/>
  <c r="CV292" i="1" s="1"/>
  <c r="CS292" i="1"/>
  <c r="DB292" i="1" s="1"/>
  <c r="CL292" i="1"/>
  <c r="CU292" i="1" s="1"/>
  <c r="CT292" i="1"/>
  <c r="DC292" i="1" s="1"/>
  <c r="CR292" i="1"/>
  <c r="DA292" i="1" s="1"/>
  <c r="CN292" i="1"/>
  <c r="CW292" i="1" s="1"/>
  <c r="CM278" i="1"/>
  <c r="CV278" i="1" s="1"/>
  <c r="CS278" i="1"/>
  <c r="DB278" i="1" s="1"/>
  <c r="CR278" i="1"/>
  <c r="DA278" i="1" s="1"/>
  <c r="CN278" i="1"/>
  <c r="CW278" i="1" s="1"/>
  <c r="CL278" i="1"/>
  <c r="CU278" i="1" s="1"/>
  <c r="CT278" i="1"/>
  <c r="DC278" i="1" s="1"/>
  <c r="CS244" i="1"/>
  <c r="DB244" i="1" s="1"/>
  <c r="CM244" i="1"/>
  <c r="CV244" i="1" s="1"/>
  <c r="CT244" i="1"/>
  <c r="DC244" i="1" s="1"/>
  <c r="CL244" i="1"/>
  <c r="CU244" i="1" s="1"/>
  <c r="CR244" i="1"/>
  <c r="DA244" i="1" s="1"/>
  <c r="CN244" i="1"/>
  <c r="CW244" i="1" s="1"/>
  <c r="CM230" i="1"/>
  <c r="CV230" i="1" s="1"/>
  <c r="CS230" i="1"/>
  <c r="DB230" i="1" s="1"/>
  <c r="CN230" i="1"/>
  <c r="CW230" i="1" s="1"/>
  <c r="CT230" i="1"/>
  <c r="DC230" i="1" s="1"/>
  <c r="CL230" i="1"/>
  <c r="CU230" i="1" s="1"/>
  <c r="CR230" i="1"/>
  <c r="DA230" i="1" s="1"/>
  <c r="CM221" i="1"/>
  <c r="CV221" i="1" s="1"/>
  <c r="CS221" i="1"/>
  <c r="DB221" i="1" s="1"/>
  <c r="CT221" i="1"/>
  <c r="DC221" i="1" s="1"/>
  <c r="CL221" i="1"/>
  <c r="CU221" i="1" s="1"/>
  <c r="CR221" i="1"/>
  <c r="DA221" i="1" s="1"/>
  <c r="CN221" i="1"/>
  <c r="CW221" i="1" s="1"/>
  <c r="CM289" i="1"/>
  <c r="CV289" i="1" s="1"/>
  <c r="CS289" i="1"/>
  <c r="DB289" i="1" s="1"/>
  <c r="CN289" i="1"/>
  <c r="CW289" i="1" s="1"/>
  <c r="CL289" i="1"/>
  <c r="CU289" i="1" s="1"/>
  <c r="CT289" i="1"/>
  <c r="DC289" i="1" s="1"/>
  <c r="CR289" i="1"/>
  <c r="DA289" i="1" s="1"/>
  <c r="CM259" i="1"/>
  <c r="CV259" i="1" s="1"/>
  <c r="CS259" i="1"/>
  <c r="DB259" i="1" s="1"/>
  <c r="CN259" i="1"/>
  <c r="CW259" i="1" s="1"/>
  <c r="CR259" i="1"/>
  <c r="DA259" i="1" s="1"/>
  <c r="CL259" i="1"/>
  <c r="CU259" i="1" s="1"/>
  <c r="CT259" i="1"/>
  <c r="DC259" i="1" s="1"/>
  <c r="CM306" i="1"/>
  <c r="CV306" i="1" s="1"/>
  <c r="CS306" i="1"/>
  <c r="DB306" i="1" s="1"/>
  <c r="CN306" i="1"/>
  <c r="CW306" i="1" s="1"/>
  <c r="CL306" i="1"/>
  <c r="CU306" i="1" s="1"/>
  <c r="CR306" i="1"/>
  <c r="DA306" i="1" s="1"/>
  <c r="CT306" i="1"/>
  <c r="DC306" i="1" s="1"/>
  <c r="CM302" i="1"/>
  <c r="CV302" i="1" s="1"/>
  <c r="CS302" i="1"/>
  <c r="DB302" i="1" s="1"/>
  <c r="CL302" i="1"/>
  <c r="CU302" i="1" s="1"/>
  <c r="CR302" i="1"/>
  <c r="DA302" i="1" s="1"/>
  <c r="CT302" i="1"/>
  <c r="DC302" i="1" s="1"/>
  <c r="CN302" i="1"/>
  <c r="CW302" i="1" s="1"/>
  <c r="CS275" i="1"/>
  <c r="DB275" i="1" s="1"/>
  <c r="CM275" i="1"/>
  <c r="CV275" i="1" s="1"/>
  <c r="CL275" i="1"/>
  <c r="CU275" i="1" s="1"/>
  <c r="CT275" i="1"/>
  <c r="DC275" i="1" s="1"/>
  <c r="CN275" i="1"/>
  <c r="CW275" i="1" s="1"/>
  <c r="CR275" i="1"/>
  <c r="DA275" i="1" s="1"/>
  <c r="CM206" i="1"/>
  <c r="CV206" i="1" s="1"/>
  <c r="CS206" i="1"/>
  <c r="DB206" i="1" s="1"/>
  <c r="CR206" i="1"/>
  <c r="DA206" i="1" s="1"/>
  <c r="CT206" i="1"/>
  <c r="DC206" i="1" s="1"/>
  <c r="CN206" i="1"/>
  <c r="CW206" i="1" s="1"/>
  <c r="CL206" i="1"/>
  <c r="CU206" i="1" s="1"/>
  <c r="CM235" i="1"/>
  <c r="CV235" i="1" s="1"/>
  <c r="CS235" i="1"/>
  <c r="DB235" i="1" s="1"/>
  <c r="CR235" i="1"/>
  <c r="DA235" i="1" s="1"/>
  <c r="CL235" i="1"/>
  <c r="CU235" i="1" s="1"/>
  <c r="CT235" i="1"/>
  <c r="DC235" i="1" s="1"/>
  <c r="CN235" i="1"/>
  <c r="CW235" i="1" s="1"/>
  <c r="CM294" i="1"/>
  <c r="CV294" i="1" s="1"/>
  <c r="CS294" i="1"/>
  <c r="DB294" i="1" s="1"/>
  <c r="CR294" i="1"/>
  <c r="DA294" i="1" s="1"/>
  <c r="CN294" i="1"/>
  <c r="CW294" i="1" s="1"/>
  <c r="CT294" i="1"/>
  <c r="DC294" i="1" s="1"/>
  <c r="CL294" i="1"/>
  <c r="CU294" i="1" s="1"/>
  <c r="CM293" i="1"/>
  <c r="CV293" i="1" s="1"/>
  <c r="CS293" i="1"/>
  <c r="DB293" i="1" s="1"/>
  <c r="CN293" i="1"/>
  <c r="CW293" i="1" s="1"/>
  <c r="CR293" i="1"/>
  <c r="DA293" i="1" s="1"/>
  <c r="CT293" i="1"/>
  <c r="DC293" i="1" s="1"/>
  <c r="CL293" i="1"/>
  <c r="CU293" i="1" s="1"/>
  <c r="CS280" i="1"/>
  <c r="DB280" i="1" s="1"/>
  <c r="CM280" i="1"/>
  <c r="CV280" i="1" s="1"/>
  <c r="CN280" i="1"/>
  <c r="CW280" i="1" s="1"/>
  <c r="CL280" i="1"/>
  <c r="CU280" i="1" s="1"/>
  <c r="CT280" i="1"/>
  <c r="DC280" i="1" s="1"/>
  <c r="CR280" i="1"/>
  <c r="DA280" i="1" s="1"/>
  <c r="CS251" i="1"/>
  <c r="DB251" i="1" s="1"/>
  <c r="CM251" i="1"/>
  <c r="CV251" i="1" s="1"/>
  <c r="CN251" i="1"/>
  <c r="CW251" i="1" s="1"/>
  <c r="CL251" i="1"/>
  <c r="CU251" i="1" s="1"/>
  <c r="CT251" i="1"/>
  <c r="DC251" i="1" s="1"/>
  <c r="CR251" i="1"/>
  <c r="DA251" i="1" s="1"/>
  <c r="CM234" i="1"/>
  <c r="CV234" i="1" s="1"/>
  <c r="CS234" i="1"/>
  <c r="DB234" i="1" s="1"/>
  <c r="CN234" i="1"/>
  <c r="CW234" i="1" s="1"/>
  <c r="CT234" i="1"/>
  <c r="DC234" i="1" s="1"/>
  <c r="CR234" i="1"/>
  <c r="DA234" i="1" s="1"/>
  <c r="CL234" i="1"/>
  <c r="CU234" i="1" s="1"/>
  <c r="CM284" i="1"/>
  <c r="CV284" i="1" s="1"/>
  <c r="CS284" i="1"/>
  <c r="DB284" i="1" s="1"/>
  <c r="CR284" i="1"/>
  <c r="DA284" i="1" s="1"/>
  <c r="CN284" i="1"/>
  <c r="CW284" i="1" s="1"/>
  <c r="CT284" i="1"/>
  <c r="DC284" i="1" s="1"/>
  <c r="CL284" i="1"/>
  <c r="CU284" i="1" s="1"/>
  <c r="CS299" i="1"/>
  <c r="DB299" i="1" s="1"/>
  <c r="CM299" i="1"/>
  <c r="CV299" i="1" s="1"/>
  <c r="CN299" i="1"/>
  <c r="CW299" i="1" s="1"/>
  <c r="CL299" i="1"/>
  <c r="CU299" i="1" s="1"/>
  <c r="CR299" i="1"/>
  <c r="DA299" i="1" s="1"/>
  <c r="CT299" i="1"/>
  <c r="DC299" i="1" s="1"/>
  <c r="CS304" i="1"/>
  <c r="DB304" i="1" s="1"/>
  <c r="CM304" i="1"/>
  <c r="CV304" i="1" s="1"/>
  <c r="CR304" i="1"/>
  <c r="DA304" i="1" s="1"/>
  <c r="CT304" i="1"/>
  <c r="DC304" i="1" s="1"/>
  <c r="CL304" i="1"/>
  <c r="CU304" i="1" s="1"/>
  <c r="CN304" i="1"/>
  <c r="CW304" i="1" s="1"/>
  <c r="CM270" i="1"/>
  <c r="CV270" i="1" s="1"/>
  <c r="CS270" i="1"/>
  <c r="DB270" i="1" s="1"/>
  <c r="CL270" i="1"/>
  <c r="CU270" i="1" s="1"/>
  <c r="CT270" i="1"/>
  <c r="DC270" i="1" s="1"/>
  <c r="CR270" i="1"/>
  <c r="DA270" i="1" s="1"/>
  <c r="CN270" i="1"/>
  <c r="CW270" i="1" s="1"/>
  <c r="CM267" i="1"/>
  <c r="CV267" i="1" s="1"/>
  <c r="CS267" i="1"/>
  <c r="DB267" i="1" s="1"/>
  <c r="CT267" i="1"/>
  <c r="DC267" i="1" s="1"/>
  <c r="CN267" i="1"/>
  <c r="CW267" i="1" s="1"/>
  <c r="CR267" i="1"/>
  <c r="DA267" i="1" s="1"/>
  <c r="CL267" i="1"/>
  <c r="CU267" i="1" s="1"/>
  <c r="CM269" i="1"/>
  <c r="CV269" i="1" s="1"/>
  <c r="CS269" i="1"/>
  <c r="DB269" i="1" s="1"/>
  <c r="CN269" i="1"/>
  <c r="CW269" i="1" s="1"/>
  <c r="CL269" i="1"/>
  <c r="CU269" i="1" s="1"/>
  <c r="CR269" i="1"/>
  <c r="DA269" i="1" s="1"/>
  <c r="CT269" i="1"/>
  <c r="DC269" i="1" s="1"/>
  <c r="CM220" i="1"/>
  <c r="CV220" i="1" s="1"/>
  <c r="CS220" i="1"/>
  <c r="DB220" i="1" s="1"/>
  <c r="CN220" i="1"/>
  <c r="CW220" i="1" s="1"/>
  <c r="CL220" i="1"/>
  <c r="CU220" i="1" s="1"/>
  <c r="CR220" i="1"/>
  <c r="DA220" i="1" s="1"/>
  <c r="CT220" i="1"/>
  <c r="DC220" i="1" s="1"/>
  <c r="CS253" i="1"/>
  <c r="DB253" i="1" s="1"/>
  <c r="CM253" i="1"/>
  <c r="CV253" i="1" s="1"/>
  <c r="CT253" i="1"/>
  <c r="DC253" i="1" s="1"/>
  <c r="CL253" i="1"/>
  <c r="CU253" i="1" s="1"/>
  <c r="CN253" i="1"/>
  <c r="CW253" i="1" s="1"/>
  <c r="CR253" i="1"/>
  <c r="DA253" i="1" s="1"/>
  <c r="CM286" i="1"/>
  <c r="CV286" i="1" s="1"/>
  <c r="CS286" i="1"/>
  <c r="DB286" i="1" s="1"/>
  <c r="CR286" i="1"/>
  <c r="DA286" i="1" s="1"/>
  <c r="CT286" i="1"/>
  <c r="DC286" i="1" s="1"/>
  <c r="CN286" i="1"/>
  <c r="CW286" i="1" s="1"/>
  <c r="CL286" i="1"/>
  <c r="CU286" i="1" s="1"/>
  <c r="CM261" i="1"/>
  <c r="CV261" i="1" s="1"/>
  <c r="CS261" i="1"/>
  <c r="DB261" i="1" s="1"/>
  <c r="CL261" i="1"/>
  <c r="CU261" i="1" s="1"/>
  <c r="CN261" i="1"/>
  <c r="CW261" i="1" s="1"/>
  <c r="CR261" i="1"/>
  <c r="DA261" i="1" s="1"/>
  <c r="CT261" i="1"/>
  <c r="DC261" i="1" s="1"/>
  <c r="CM252" i="1"/>
  <c r="CV252" i="1" s="1"/>
  <c r="CS252" i="1"/>
  <c r="DB252" i="1" s="1"/>
  <c r="CN252" i="1"/>
  <c r="CW252" i="1" s="1"/>
  <c r="CT252" i="1"/>
  <c r="DC252" i="1" s="1"/>
  <c r="CR252" i="1"/>
  <c r="DA252" i="1" s="1"/>
  <c r="CL252" i="1"/>
  <c r="CU252" i="1" s="1"/>
  <c r="CM282" i="1"/>
  <c r="CV282" i="1" s="1"/>
  <c r="CS282" i="1"/>
  <c r="DB282" i="1" s="1"/>
  <c r="CN282" i="1"/>
  <c r="CW282" i="1" s="1"/>
  <c r="CT282" i="1"/>
  <c r="DC282" i="1" s="1"/>
  <c r="CR282" i="1"/>
  <c r="DA282" i="1" s="1"/>
  <c r="CL282" i="1"/>
  <c r="CU282" i="1" s="1"/>
  <c r="CM258" i="1"/>
  <c r="CV258" i="1" s="1"/>
  <c r="CS258" i="1"/>
  <c r="DB258" i="1" s="1"/>
  <c r="CL258" i="1"/>
  <c r="CU258" i="1" s="1"/>
  <c r="CN258" i="1"/>
  <c r="CW258" i="1" s="1"/>
  <c r="CT258" i="1"/>
  <c r="DC258" i="1" s="1"/>
  <c r="CR258" i="1"/>
  <c r="DA258" i="1" s="1"/>
  <c r="CM268" i="1"/>
  <c r="CV268" i="1" s="1"/>
  <c r="CS268" i="1"/>
  <c r="DB268" i="1" s="1"/>
  <c r="CT268" i="1"/>
  <c r="DC268" i="1" s="1"/>
  <c r="CL268" i="1"/>
  <c r="CU268" i="1" s="1"/>
  <c r="CN268" i="1"/>
  <c r="CW268" i="1" s="1"/>
  <c r="CR268" i="1"/>
  <c r="DA268" i="1" s="1"/>
  <c r="CM254" i="1"/>
  <c r="CV254" i="1" s="1"/>
  <c r="CS254" i="1"/>
  <c r="DB254" i="1" s="1"/>
  <c r="CR254" i="1"/>
  <c r="DA254" i="1" s="1"/>
  <c r="CT254" i="1"/>
  <c r="DC254" i="1" s="1"/>
  <c r="CN254" i="1"/>
  <c r="CW254" i="1" s="1"/>
  <c r="CL254" i="1"/>
  <c r="CU254" i="1" s="1"/>
  <c r="CS242" i="1"/>
  <c r="DB242" i="1" s="1"/>
  <c r="CM242" i="1"/>
  <c r="CV242" i="1" s="1"/>
  <c r="CT242" i="1"/>
  <c r="DC242" i="1" s="1"/>
  <c r="CL242" i="1"/>
  <c r="CU242" i="1" s="1"/>
  <c r="CR242" i="1"/>
  <c r="DA242" i="1" s="1"/>
  <c r="CN242" i="1"/>
  <c r="CW242" i="1" s="1"/>
  <c r="CM241" i="1"/>
  <c r="CV241" i="1" s="1"/>
  <c r="CS241" i="1"/>
  <c r="DB241" i="1" s="1"/>
  <c r="CT241" i="1"/>
  <c r="DC241" i="1" s="1"/>
  <c r="CN241" i="1"/>
  <c r="CW241" i="1" s="1"/>
  <c r="CL241" i="1"/>
  <c r="CU241" i="1" s="1"/>
  <c r="CR241" i="1"/>
  <c r="DA241" i="1" s="1"/>
  <c r="CS229" i="1"/>
  <c r="DB229" i="1" s="1"/>
  <c r="CM229" i="1"/>
  <c r="CV229" i="1" s="1"/>
  <c r="CR229" i="1"/>
  <c r="DA229" i="1" s="1"/>
  <c r="CT229" i="1"/>
  <c r="DC229" i="1" s="1"/>
  <c r="CL229" i="1"/>
  <c r="CU229" i="1" s="1"/>
  <c r="CN229" i="1"/>
  <c r="CW229" i="1" s="1"/>
  <c r="CM288" i="1"/>
  <c r="CV288" i="1" s="1"/>
  <c r="CS288" i="1"/>
  <c r="DB288" i="1" s="1"/>
  <c r="CN288" i="1"/>
  <c r="CW288" i="1" s="1"/>
  <c r="CT288" i="1"/>
  <c r="DC288" i="1" s="1"/>
  <c r="CR288" i="1"/>
  <c r="DA288" i="1" s="1"/>
  <c r="CL288" i="1"/>
  <c r="CU288" i="1" s="1"/>
  <c r="CS260" i="1"/>
  <c r="DB260" i="1" s="1"/>
  <c r="CM260" i="1"/>
  <c r="CV260" i="1" s="1"/>
  <c r="CR260" i="1"/>
  <c r="DA260" i="1" s="1"/>
  <c r="CN260" i="1"/>
  <c r="CW260" i="1" s="1"/>
  <c r="CL260" i="1"/>
  <c r="CU260" i="1" s="1"/>
  <c r="CT260" i="1"/>
  <c r="DC260" i="1" s="1"/>
  <c r="CS236" i="1"/>
  <c r="DB236" i="1" s="1"/>
  <c r="CM236" i="1"/>
  <c r="CV236" i="1" s="1"/>
  <c r="CR236" i="1"/>
  <c r="DA236" i="1" s="1"/>
  <c r="CN236" i="1"/>
  <c r="CW236" i="1" s="1"/>
  <c r="CT236" i="1"/>
  <c r="DC236" i="1" s="1"/>
  <c r="CL236" i="1"/>
  <c r="CU236" i="1" s="1"/>
  <c r="CM291" i="1"/>
  <c r="CV291" i="1" s="1"/>
  <c r="CS291" i="1"/>
  <c r="DB291" i="1" s="1"/>
  <c r="CR291" i="1"/>
  <c r="DA291" i="1" s="1"/>
  <c r="CL291" i="1"/>
  <c r="CU291" i="1" s="1"/>
  <c r="CT291" i="1"/>
  <c r="DC291" i="1" s="1"/>
  <c r="CN291" i="1"/>
  <c r="CW291" i="1" s="1"/>
  <c r="CS290" i="1"/>
  <c r="DB290" i="1" s="1"/>
  <c r="CM290" i="1"/>
  <c r="CV290" i="1" s="1"/>
  <c r="CT290" i="1"/>
  <c r="DC290" i="1" s="1"/>
  <c r="CN290" i="1"/>
  <c r="CW290" i="1" s="1"/>
  <c r="CR290" i="1"/>
  <c r="DA290" i="1" s="1"/>
  <c r="CL290" i="1"/>
  <c r="CU290" i="1" s="1"/>
  <c r="CS281" i="1"/>
  <c r="DB281" i="1" s="1"/>
  <c r="CM281" i="1"/>
  <c r="CV281" i="1" s="1"/>
  <c r="CT281" i="1"/>
  <c r="DC281" i="1" s="1"/>
  <c r="CL281" i="1"/>
  <c r="CU281" i="1" s="1"/>
  <c r="CN281" i="1"/>
  <c r="CW281" i="1" s="1"/>
  <c r="CR281" i="1"/>
  <c r="DA281" i="1" s="1"/>
  <c r="CS266" i="1"/>
  <c r="DB266" i="1" s="1"/>
  <c r="CM266" i="1"/>
  <c r="CV266" i="1" s="1"/>
  <c r="CN266" i="1"/>
  <c r="CW266" i="1" s="1"/>
  <c r="CR266" i="1"/>
  <c r="DA266" i="1" s="1"/>
  <c r="CT266" i="1"/>
  <c r="DC266" i="1" s="1"/>
  <c r="CL266" i="1"/>
  <c r="CU266" i="1" s="1"/>
  <c r="CS227" i="1"/>
  <c r="DB227" i="1" s="1"/>
  <c r="CM227" i="1"/>
  <c r="CV227" i="1" s="1"/>
  <c r="CL227" i="1"/>
  <c r="CU227" i="1" s="1"/>
  <c r="CT227" i="1"/>
  <c r="DC227" i="1" s="1"/>
  <c r="CN227" i="1"/>
  <c r="CW227" i="1" s="1"/>
  <c r="CR227" i="1"/>
  <c r="DA227" i="1" s="1"/>
  <c r="CS207" i="1"/>
  <c r="DB207" i="1" s="1"/>
  <c r="CM207" i="1"/>
  <c r="CV207" i="1" s="1"/>
  <c r="CR207" i="1"/>
  <c r="DA207" i="1" s="1"/>
  <c r="CN207" i="1"/>
  <c r="CW207" i="1" s="1"/>
  <c r="CT207" i="1"/>
  <c r="DC207" i="1" s="1"/>
  <c r="CL207" i="1"/>
  <c r="CU207" i="1" s="1"/>
  <c r="CM307" i="1"/>
  <c r="CV307" i="1" s="1"/>
  <c r="CS307" i="1"/>
  <c r="DB307" i="1" s="1"/>
  <c r="CN307" i="1"/>
  <c r="CW307" i="1" s="1"/>
  <c r="CL307" i="1"/>
  <c r="CU307" i="1" s="1"/>
  <c r="CR307" i="1"/>
  <c r="DA307" i="1" s="1"/>
  <c r="CT307" i="1"/>
  <c r="DC307" i="1" s="1"/>
  <c r="CM272" i="1"/>
  <c r="CV272" i="1" s="1"/>
  <c r="CS272" i="1"/>
  <c r="DB272" i="1" s="1"/>
  <c r="CR272" i="1"/>
  <c r="DA272" i="1" s="1"/>
  <c r="CN272" i="1"/>
  <c r="CW272" i="1" s="1"/>
  <c r="CL272" i="1"/>
  <c r="CU272" i="1" s="1"/>
  <c r="CT272" i="1"/>
  <c r="DC272" i="1" s="1"/>
  <c r="CM248" i="1"/>
  <c r="CV248" i="1" s="1"/>
  <c r="CS248" i="1"/>
  <c r="DB248" i="1" s="1"/>
  <c r="CN248" i="1"/>
  <c r="CW248" i="1" s="1"/>
  <c r="CR248" i="1"/>
  <c r="DA248" i="1" s="1"/>
  <c r="CL248" i="1"/>
  <c r="CU248" i="1" s="1"/>
  <c r="CT248" i="1"/>
  <c r="DC248" i="1" s="1"/>
  <c r="CS297" i="1"/>
  <c r="DB297" i="1" s="1"/>
  <c r="CM297" i="1"/>
  <c r="CV297" i="1" s="1"/>
  <c r="CL297" i="1"/>
  <c r="CU297" i="1" s="1"/>
  <c r="CR297" i="1"/>
  <c r="DA297" i="1" s="1"/>
  <c r="CT297" i="1"/>
  <c r="DC297" i="1" s="1"/>
  <c r="CN297" i="1"/>
  <c r="CW297" i="1" s="1"/>
  <c r="CM298" i="1"/>
  <c r="CV298" i="1" s="1"/>
  <c r="CS298" i="1"/>
  <c r="DB298" i="1" s="1"/>
  <c r="CR298" i="1"/>
  <c r="DA298" i="1" s="1"/>
  <c r="CL298" i="1"/>
  <c r="CU298" i="1" s="1"/>
  <c r="CN298" i="1"/>
  <c r="CW298" i="1" s="1"/>
  <c r="CT298" i="1"/>
  <c r="DC298" i="1" s="1"/>
  <c r="CM228" i="1"/>
  <c r="CV228" i="1" s="1"/>
  <c r="CS228" i="1"/>
  <c r="DB228" i="1" s="1"/>
  <c r="CT228" i="1"/>
  <c r="DC228" i="1" s="1"/>
  <c r="CN228" i="1"/>
  <c r="CW228" i="1" s="1"/>
  <c r="CL228" i="1"/>
  <c r="CU228" i="1" s="1"/>
  <c r="CR228" i="1"/>
  <c r="DA228" i="1" s="1"/>
  <c r="CM263" i="1"/>
  <c r="CV263" i="1" s="1"/>
  <c r="CS263" i="1"/>
  <c r="DB263" i="1" s="1"/>
  <c r="CL263" i="1"/>
  <c r="CU263" i="1" s="1"/>
  <c r="CT263" i="1"/>
  <c r="DC263" i="1" s="1"/>
  <c r="CR263" i="1"/>
  <c r="DA263" i="1" s="1"/>
  <c r="CN263" i="1"/>
  <c r="CW263" i="1" s="1"/>
  <c r="CM246" i="1"/>
  <c r="CV246" i="1" s="1"/>
  <c r="CS246" i="1"/>
  <c r="DB246" i="1" s="1"/>
  <c r="CN246" i="1"/>
  <c r="CW246" i="1" s="1"/>
  <c r="CL246" i="1"/>
  <c r="CU246" i="1" s="1"/>
  <c r="CR246" i="1"/>
  <c r="DA246" i="1" s="1"/>
  <c r="CT246" i="1"/>
  <c r="DC246" i="1" s="1"/>
  <c r="CM283" i="1"/>
  <c r="CV283" i="1" s="1"/>
  <c r="CS283" i="1"/>
  <c r="DB283" i="1" s="1"/>
  <c r="CL283" i="1"/>
  <c r="CU283" i="1" s="1"/>
  <c r="CT283" i="1"/>
  <c r="DC283" i="1" s="1"/>
  <c r="CR283" i="1"/>
  <c r="DA283" i="1" s="1"/>
  <c r="CN283" i="1"/>
  <c r="CW283" i="1" s="1"/>
  <c r="CS336" i="1"/>
  <c r="DB336" i="1" s="1"/>
  <c r="CM336" i="1"/>
  <c r="CV336" i="1" s="1"/>
  <c r="CL336" i="1"/>
  <c r="CU336" i="1" s="1"/>
  <c r="CN336" i="1"/>
  <c r="CW336" i="1" s="1"/>
  <c r="CT336" i="1"/>
  <c r="DC336" i="1" s="1"/>
  <c r="CR336" i="1"/>
  <c r="DA336" i="1" s="1"/>
  <c r="CM335" i="1"/>
  <c r="CV335" i="1" s="1"/>
  <c r="CS335" i="1"/>
  <c r="DB335" i="1" s="1"/>
  <c r="CT335" i="1"/>
  <c r="DC335" i="1" s="1"/>
  <c r="CN335" i="1"/>
  <c r="CW335" i="1" s="1"/>
  <c r="CL335" i="1"/>
  <c r="CU335" i="1" s="1"/>
  <c r="CR335" i="1"/>
  <c r="DA335" i="1" s="1"/>
  <c r="CM337" i="1"/>
  <c r="CV337" i="1" s="1"/>
  <c r="CS337" i="1"/>
  <c r="DB337" i="1" s="1"/>
  <c r="CL337" i="1"/>
  <c r="CU337" i="1" s="1"/>
  <c r="CR337" i="1"/>
  <c r="DA337" i="1" s="1"/>
  <c r="CN337" i="1"/>
  <c r="CW337" i="1" s="1"/>
  <c r="CT337" i="1"/>
  <c r="DC337" i="1" s="1"/>
  <c r="CM361" i="1"/>
  <c r="CV361" i="1" s="1"/>
  <c r="CS361" i="1"/>
  <c r="DB361" i="1" s="1"/>
  <c r="CR361" i="1"/>
  <c r="DA361" i="1" s="1"/>
  <c r="CT361" i="1"/>
  <c r="DC361" i="1" s="1"/>
  <c r="CL361" i="1"/>
  <c r="CU361" i="1" s="1"/>
  <c r="CN361" i="1"/>
  <c r="CW361" i="1" s="1"/>
  <c r="CM310" i="1"/>
  <c r="CV310" i="1" s="1"/>
  <c r="CS310" i="1"/>
  <c r="DB310" i="1" s="1"/>
  <c r="CT310" i="1"/>
  <c r="DC310" i="1" s="1"/>
  <c r="CR310" i="1"/>
  <c r="DA310" i="1" s="1"/>
  <c r="CL310" i="1"/>
  <c r="CU310" i="1" s="1"/>
  <c r="CN310" i="1"/>
  <c r="CW310" i="1" s="1"/>
  <c r="CS333" i="1"/>
  <c r="DB333" i="1" s="1"/>
  <c r="CM333" i="1"/>
  <c r="CV333" i="1" s="1"/>
  <c r="CT333" i="1"/>
  <c r="DC333" i="1" s="1"/>
  <c r="CR333" i="1"/>
  <c r="DA333" i="1" s="1"/>
  <c r="CL333" i="1"/>
  <c r="CU333" i="1" s="1"/>
  <c r="CN333" i="1"/>
  <c r="CW333" i="1" s="1"/>
  <c r="CM339" i="1"/>
  <c r="CV339" i="1" s="1"/>
  <c r="CS339" i="1"/>
  <c r="DB339" i="1" s="1"/>
  <c r="CL339" i="1"/>
  <c r="CU339" i="1" s="1"/>
  <c r="CR339" i="1"/>
  <c r="DA339" i="1" s="1"/>
  <c r="CT339" i="1"/>
  <c r="DC339" i="1" s="1"/>
  <c r="CN339" i="1"/>
  <c r="CW339" i="1" s="1"/>
  <c r="CS329" i="1"/>
  <c r="DB329" i="1" s="1"/>
  <c r="CM329" i="1"/>
  <c r="CV329" i="1" s="1"/>
  <c r="CN329" i="1"/>
  <c r="CW329" i="1" s="1"/>
  <c r="CR329" i="1"/>
  <c r="DA329" i="1" s="1"/>
  <c r="CL329" i="1"/>
  <c r="CU329" i="1" s="1"/>
  <c r="CT329" i="1"/>
  <c r="DC329" i="1" s="1"/>
  <c r="CM316" i="1"/>
  <c r="CV316" i="1" s="1"/>
  <c r="CS316" i="1"/>
  <c r="DB316" i="1" s="1"/>
  <c r="CL316" i="1"/>
  <c r="CU316" i="1" s="1"/>
  <c r="CT316" i="1"/>
  <c r="DC316" i="1" s="1"/>
  <c r="CN316" i="1"/>
  <c r="CW316" i="1" s="1"/>
  <c r="CR316" i="1"/>
  <c r="DA316" i="1" s="1"/>
  <c r="CM313" i="1"/>
  <c r="CV313" i="1" s="1"/>
  <c r="CS313" i="1"/>
  <c r="DB313" i="1" s="1"/>
  <c r="CN313" i="1"/>
  <c r="CW313" i="1" s="1"/>
  <c r="CR313" i="1"/>
  <c r="DA313" i="1" s="1"/>
  <c r="CT313" i="1"/>
  <c r="DC313" i="1" s="1"/>
  <c r="CL313" i="1"/>
  <c r="CU313" i="1" s="1"/>
  <c r="CS347" i="1"/>
  <c r="DB347" i="1" s="1"/>
  <c r="CM347" i="1"/>
  <c r="CV347" i="1" s="1"/>
  <c r="CN347" i="1"/>
  <c r="CW347" i="1" s="1"/>
  <c r="CL347" i="1"/>
  <c r="CU347" i="1" s="1"/>
  <c r="CR347" i="1"/>
  <c r="DA347" i="1" s="1"/>
  <c r="CT347" i="1"/>
  <c r="DC347" i="1" s="1"/>
  <c r="CS345" i="1"/>
  <c r="DB345" i="1" s="1"/>
  <c r="CM345" i="1"/>
  <c r="CV345" i="1" s="1"/>
  <c r="CT345" i="1"/>
  <c r="DC345" i="1" s="1"/>
  <c r="CN345" i="1"/>
  <c r="CW345" i="1" s="1"/>
  <c r="CL345" i="1"/>
  <c r="CU345" i="1" s="1"/>
  <c r="CR345" i="1"/>
  <c r="DA345" i="1" s="1"/>
  <c r="CS308" i="1"/>
  <c r="DB308" i="1" s="1"/>
  <c r="CM308" i="1"/>
  <c r="CV308" i="1" s="1"/>
  <c r="CN308" i="1"/>
  <c r="CW308" i="1" s="1"/>
  <c r="CR308" i="1"/>
  <c r="DA308" i="1" s="1"/>
  <c r="CL308" i="1"/>
  <c r="CU308" i="1" s="1"/>
  <c r="CT308" i="1"/>
  <c r="DC308" i="1" s="1"/>
  <c r="CS338" i="1"/>
  <c r="DB338" i="1" s="1"/>
  <c r="CM338" i="1"/>
  <c r="CV338" i="1" s="1"/>
  <c r="CR338" i="1"/>
  <c r="DA338" i="1" s="1"/>
  <c r="CT338" i="1"/>
  <c r="DC338" i="1" s="1"/>
  <c r="CL338" i="1"/>
  <c r="CU338" i="1" s="1"/>
  <c r="CN338" i="1"/>
  <c r="CW338" i="1" s="1"/>
  <c r="CM315" i="1"/>
  <c r="CV315" i="1" s="1"/>
  <c r="CS315" i="1"/>
  <c r="DB315" i="1" s="1"/>
  <c r="CR315" i="1"/>
  <c r="DA315" i="1" s="1"/>
  <c r="CT315" i="1"/>
  <c r="DC315" i="1" s="1"/>
  <c r="CN315" i="1"/>
  <c r="CW315" i="1" s="1"/>
  <c r="CL315" i="1"/>
  <c r="CU315" i="1" s="1"/>
  <c r="CS314" i="1"/>
  <c r="DB314" i="1" s="1"/>
  <c r="CM314" i="1"/>
  <c r="CV314" i="1" s="1"/>
  <c r="CL314" i="1"/>
  <c r="CU314" i="1" s="1"/>
  <c r="CR314" i="1"/>
  <c r="DA314" i="1" s="1"/>
  <c r="CT314" i="1"/>
  <c r="DC314" i="1" s="1"/>
  <c r="CN314" i="1"/>
  <c r="CW314" i="1" s="1"/>
  <c r="CS376" i="1"/>
  <c r="DB376" i="1" s="1"/>
  <c r="CR376" i="1"/>
  <c r="DA376" i="1" s="1"/>
  <c r="CT376" i="1"/>
  <c r="DC376" i="1" s="1"/>
  <c r="CM376" i="1"/>
  <c r="CV376" i="1" s="1"/>
  <c r="CL376" i="1"/>
  <c r="CU376" i="1" s="1"/>
  <c r="CN376" i="1"/>
  <c r="CW376" i="1" s="1"/>
  <c r="CM352" i="1"/>
  <c r="CV352" i="1" s="1"/>
  <c r="CS352" i="1"/>
  <c r="DB352" i="1" s="1"/>
  <c r="CN352" i="1"/>
  <c r="CW352" i="1" s="1"/>
  <c r="CR352" i="1"/>
  <c r="DA352" i="1" s="1"/>
  <c r="CL352" i="1"/>
  <c r="CU352" i="1" s="1"/>
  <c r="CT352" i="1"/>
  <c r="DC352" i="1" s="1"/>
  <c r="CM341" i="1"/>
  <c r="CV341" i="1" s="1"/>
  <c r="CS341" i="1"/>
  <c r="DB341" i="1" s="1"/>
  <c r="CN341" i="1"/>
  <c r="CW341" i="1" s="1"/>
  <c r="CT341" i="1"/>
  <c r="DC341" i="1" s="1"/>
  <c r="CR341" i="1"/>
  <c r="DA341" i="1" s="1"/>
  <c r="CL341" i="1"/>
  <c r="CU341" i="1" s="1"/>
  <c r="CM311" i="1"/>
  <c r="CV311" i="1" s="1"/>
  <c r="CS311" i="1"/>
  <c r="DB311" i="1" s="1"/>
  <c r="CT311" i="1"/>
  <c r="DC311" i="1" s="1"/>
  <c r="CL311" i="1"/>
  <c r="CU311" i="1" s="1"/>
  <c r="CR311" i="1"/>
  <c r="DA311" i="1" s="1"/>
  <c r="CN311" i="1"/>
  <c r="CW311" i="1" s="1"/>
  <c r="CM312" i="1"/>
  <c r="CV312" i="1" s="1"/>
  <c r="CS312" i="1"/>
  <c r="DB312" i="1" s="1"/>
  <c r="CR312" i="1"/>
  <c r="DA312" i="1" s="1"/>
  <c r="CN312" i="1"/>
  <c r="CW312" i="1" s="1"/>
  <c r="CT312" i="1"/>
  <c r="DC312" i="1" s="1"/>
  <c r="CL312" i="1"/>
  <c r="CU312" i="1" s="1"/>
  <c r="CM351" i="1"/>
  <c r="CV351" i="1" s="1"/>
  <c r="CS351" i="1"/>
  <c r="DB351" i="1" s="1"/>
  <c r="CL351" i="1"/>
  <c r="CU351" i="1" s="1"/>
  <c r="CR351" i="1"/>
  <c r="DA351" i="1" s="1"/>
  <c r="CT351" i="1"/>
  <c r="DC351" i="1" s="1"/>
  <c r="CN351" i="1"/>
  <c r="CW351" i="1" s="1"/>
  <c r="CM364" i="1"/>
  <c r="CV364" i="1" s="1"/>
  <c r="CS364" i="1"/>
  <c r="DB364" i="1" s="1"/>
  <c r="CN364" i="1"/>
  <c r="CW364" i="1" s="1"/>
  <c r="CT364" i="1"/>
  <c r="DC364" i="1" s="1"/>
  <c r="CL364" i="1"/>
  <c r="CU364" i="1" s="1"/>
  <c r="CR364" i="1"/>
  <c r="DA364" i="1" s="1"/>
  <c r="CM318" i="1"/>
  <c r="CV318" i="1" s="1"/>
  <c r="CS318" i="1"/>
  <c r="DB318" i="1" s="1"/>
  <c r="CN318" i="1"/>
  <c r="CW318" i="1" s="1"/>
  <c r="CT318" i="1"/>
  <c r="DC318" i="1" s="1"/>
  <c r="CR318" i="1"/>
  <c r="DA318" i="1" s="1"/>
  <c r="CL318" i="1"/>
  <c r="CU318" i="1" s="1"/>
  <c r="CM326" i="1"/>
  <c r="CV326" i="1" s="1"/>
  <c r="CS326" i="1"/>
  <c r="DB326" i="1" s="1"/>
  <c r="CL326" i="1"/>
  <c r="CU326" i="1" s="1"/>
  <c r="CT326" i="1"/>
  <c r="DC326" i="1" s="1"/>
  <c r="CN326" i="1"/>
  <c r="CW326" i="1" s="1"/>
  <c r="CR326" i="1"/>
  <c r="DA326" i="1" s="1"/>
  <c r="CS332" i="1"/>
  <c r="DB332" i="1" s="1"/>
  <c r="CM332" i="1"/>
  <c r="CV332" i="1" s="1"/>
  <c r="CR332" i="1"/>
  <c r="DA332" i="1" s="1"/>
  <c r="CN332" i="1"/>
  <c r="CW332" i="1" s="1"/>
  <c r="CL332" i="1"/>
  <c r="CU332" i="1" s="1"/>
  <c r="CT332" i="1"/>
  <c r="DC332" i="1" s="1"/>
  <c r="CM322" i="1"/>
  <c r="CV322" i="1" s="1"/>
  <c r="CS322" i="1"/>
  <c r="DB322" i="1" s="1"/>
  <c r="CL322" i="1"/>
  <c r="CU322" i="1" s="1"/>
  <c r="CN322" i="1"/>
  <c r="CW322" i="1" s="1"/>
  <c r="CR322" i="1"/>
  <c r="DA322" i="1" s="1"/>
  <c r="CT322" i="1"/>
  <c r="DC322" i="1" s="1"/>
  <c r="CM342" i="1"/>
  <c r="CV342" i="1" s="1"/>
  <c r="CS342" i="1"/>
  <c r="DB342" i="1" s="1"/>
  <c r="CT342" i="1"/>
  <c r="DC342" i="1" s="1"/>
  <c r="CR342" i="1"/>
  <c r="DA342" i="1" s="1"/>
  <c r="CL342" i="1"/>
  <c r="CU342" i="1" s="1"/>
  <c r="CN342" i="1"/>
  <c r="CW342" i="1" s="1"/>
  <c r="CM340" i="1"/>
  <c r="CV340" i="1" s="1"/>
  <c r="CS340" i="1"/>
  <c r="DB340" i="1" s="1"/>
  <c r="CT340" i="1"/>
  <c r="DC340" i="1" s="1"/>
  <c r="CR340" i="1"/>
  <c r="DA340" i="1" s="1"/>
  <c r="CL340" i="1"/>
  <c r="CU340" i="1" s="1"/>
  <c r="CN340" i="1"/>
  <c r="CW340" i="1" s="1"/>
  <c r="CM331" i="1"/>
  <c r="CV331" i="1" s="1"/>
  <c r="CS331" i="1"/>
  <c r="DB331" i="1" s="1"/>
  <c r="CR331" i="1"/>
  <c r="DA331" i="1" s="1"/>
  <c r="CT331" i="1"/>
  <c r="DC331" i="1" s="1"/>
  <c r="CN331" i="1"/>
  <c r="CW331" i="1" s="1"/>
  <c r="CL331" i="1"/>
  <c r="CU331" i="1" s="1"/>
  <c r="CS309" i="1"/>
  <c r="DB309" i="1" s="1"/>
  <c r="CM309" i="1"/>
  <c r="CV309" i="1" s="1"/>
  <c r="CL309" i="1"/>
  <c r="CU309" i="1" s="1"/>
  <c r="CR309" i="1"/>
  <c r="DA309" i="1" s="1"/>
  <c r="CT309" i="1"/>
  <c r="DC309" i="1" s="1"/>
  <c r="CN309" i="1"/>
  <c r="CW309" i="1" s="1"/>
  <c r="CM330" i="1"/>
  <c r="CV330" i="1" s="1"/>
  <c r="CS330" i="1"/>
  <c r="DB330" i="1" s="1"/>
  <c r="CT330" i="1"/>
  <c r="DC330" i="1" s="1"/>
  <c r="CL330" i="1"/>
  <c r="CU330" i="1" s="1"/>
  <c r="CR330" i="1"/>
  <c r="DA330" i="1" s="1"/>
  <c r="CN330" i="1"/>
  <c r="CW330" i="1" s="1"/>
  <c r="CS375" i="1"/>
  <c r="DB375" i="1" s="1"/>
  <c r="CR375" i="1"/>
  <c r="DA375" i="1" s="1"/>
  <c r="CT375" i="1"/>
  <c r="DC375" i="1" s="1"/>
  <c r="CM375" i="1"/>
  <c r="CV375" i="1" s="1"/>
  <c r="CL375" i="1"/>
  <c r="CU375" i="1" s="1"/>
  <c r="CN375" i="1"/>
  <c r="CW375" i="1" s="1"/>
  <c r="CS369" i="1"/>
  <c r="DB369" i="1" s="1"/>
  <c r="CR369" i="1"/>
  <c r="DA369" i="1" s="1"/>
  <c r="CT369" i="1"/>
  <c r="DC369" i="1" s="1"/>
  <c r="CN369" i="1"/>
  <c r="CW369" i="1" s="1"/>
  <c r="CM369" i="1"/>
  <c r="CV369" i="1" s="1"/>
  <c r="CL369" i="1"/>
  <c r="CU369" i="1" s="1"/>
  <c r="CS353" i="1"/>
  <c r="DB353" i="1" s="1"/>
  <c r="CM353" i="1"/>
  <c r="CV353" i="1" s="1"/>
  <c r="CL353" i="1"/>
  <c r="CU353" i="1" s="1"/>
  <c r="CN353" i="1"/>
  <c r="CW353" i="1" s="1"/>
  <c r="CT353" i="1"/>
  <c r="DC353" i="1" s="1"/>
  <c r="CR353" i="1"/>
  <c r="DA353" i="1" s="1"/>
  <c r="CS323" i="1"/>
  <c r="DB323" i="1" s="1"/>
  <c r="CM323" i="1"/>
  <c r="CV323" i="1" s="1"/>
  <c r="CR323" i="1"/>
  <c r="DA323" i="1" s="1"/>
  <c r="CT323" i="1"/>
  <c r="DC323" i="1" s="1"/>
  <c r="CN323" i="1"/>
  <c r="CW323" i="1" s="1"/>
  <c r="CL323" i="1"/>
  <c r="CU323" i="1" s="1"/>
  <c r="CM355" i="1"/>
  <c r="CV355" i="1" s="1"/>
  <c r="CS355" i="1"/>
  <c r="DB355" i="1" s="1"/>
  <c r="CT355" i="1"/>
  <c r="DC355" i="1" s="1"/>
  <c r="CN355" i="1"/>
  <c r="CW355" i="1" s="1"/>
  <c r="CL355" i="1"/>
  <c r="CU355" i="1" s="1"/>
  <c r="CR355" i="1"/>
  <c r="DA355" i="1" s="1"/>
  <c r="CM363" i="1"/>
  <c r="CV363" i="1" s="1"/>
  <c r="CS363" i="1"/>
  <c r="DB363" i="1" s="1"/>
  <c r="CT363" i="1"/>
  <c r="DC363" i="1" s="1"/>
  <c r="CR363" i="1"/>
  <c r="DA363" i="1" s="1"/>
  <c r="CN363" i="1"/>
  <c r="CW363" i="1" s="1"/>
  <c r="CL363" i="1"/>
  <c r="CU363" i="1" s="1"/>
  <c r="CM317" i="1"/>
  <c r="CV317" i="1" s="1"/>
  <c r="CS317" i="1"/>
  <c r="DB317" i="1" s="1"/>
  <c r="CT317" i="1"/>
  <c r="DC317" i="1" s="1"/>
  <c r="CR317" i="1"/>
  <c r="DA317" i="1" s="1"/>
  <c r="CL317" i="1"/>
  <c r="CU317" i="1" s="1"/>
  <c r="CN317" i="1"/>
  <c r="CW317" i="1" s="1"/>
  <c r="CS357" i="1"/>
  <c r="DB357" i="1" s="1"/>
  <c r="CM357" i="1"/>
  <c r="CV357" i="1" s="1"/>
  <c r="CT357" i="1"/>
  <c r="DC357" i="1" s="1"/>
  <c r="CL357" i="1"/>
  <c r="CU357" i="1" s="1"/>
  <c r="CR357" i="1"/>
  <c r="DA357" i="1" s="1"/>
  <c r="CN357" i="1"/>
  <c r="CW357" i="1" s="1"/>
  <c r="CS324" i="1"/>
  <c r="DB324" i="1" s="1"/>
  <c r="CM324" i="1"/>
  <c r="CV324" i="1" s="1"/>
  <c r="CR324" i="1"/>
  <c r="DA324" i="1" s="1"/>
  <c r="CT324" i="1"/>
  <c r="DC324" i="1" s="1"/>
  <c r="CL324" i="1"/>
  <c r="CU324" i="1" s="1"/>
  <c r="CN324" i="1"/>
  <c r="CW324" i="1" s="1"/>
  <c r="CS343" i="1"/>
  <c r="DB343" i="1" s="1"/>
  <c r="CM343" i="1"/>
  <c r="CV343" i="1" s="1"/>
  <c r="CN343" i="1"/>
  <c r="CW343" i="1" s="1"/>
  <c r="CT343" i="1"/>
  <c r="DC343" i="1" s="1"/>
  <c r="CR343" i="1"/>
  <c r="DA343" i="1" s="1"/>
  <c r="CL343" i="1"/>
  <c r="CU343" i="1" s="1"/>
  <c r="CM346" i="1"/>
  <c r="CV346" i="1" s="1"/>
  <c r="CS346" i="1"/>
  <c r="DB346" i="1" s="1"/>
  <c r="CR346" i="1"/>
  <c r="DA346" i="1" s="1"/>
  <c r="CL346" i="1"/>
  <c r="CU346" i="1" s="1"/>
  <c r="CT346" i="1"/>
  <c r="DC346" i="1" s="1"/>
  <c r="CN346" i="1"/>
  <c r="CW346" i="1" s="1"/>
  <c r="CM320" i="1"/>
  <c r="CV320" i="1" s="1"/>
  <c r="CS320" i="1"/>
  <c r="DB320" i="1" s="1"/>
  <c r="CN320" i="1"/>
  <c r="CW320" i="1" s="1"/>
  <c r="CR320" i="1"/>
  <c r="DA320" i="1" s="1"/>
  <c r="CL320" i="1"/>
  <c r="CU320" i="1" s="1"/>
  <c r="CT320" i="1"/>
  <c r="DC320" i="1" s="1"/>
  <c r="CM321" i="1"/>
  <c r="CV321" i="1" s="1"/>
  <c r="CS321" i="1"/>
  <c r="DB321" i="1" s="1"/>
  <c r="CT321" i="1"/>
  <c r="DC321" i="1" s="1"/>
  <c r="CL321" i="1"/>
  <c r="CU321" i="1" s="1"/>
  <c r="CR321" i="1"/>
  <c r="DA321" i="1" s="1"/>
  <c r="CN321" i="1"/>
  <c r="CW321" i="1" s="1"/>
  <c r="CM344" i="1"/>
  <c r="CV344" i="1" s="1"/>
  <c r="CS344" i="1"/>
  <c r="DB344" i="1" s="1"/>
  <c r="CR344" i="1"/>
  <c r="DA344" i="1" s="1"/>
  <c r="CN344" i="1"/>
  <c r="CW344" i="1" s="1"/>
  <c r="CT344" i="1"/>
  <c r="DC344" i="1" s="1"/>
  <c r="CL344" i="1"/>
  <c r="CU344" i="1" s="1"/>
  <c r="CM334" i="1"/>
  <c r="CV334" i="1" s="1"/>
  <c r="CS334" i="1"/>
  <c r="DB334" i="1" s="1"/>
  <c r="CL334" i="1"/>
  <c r="CU334" i="1" s="1"/>
  <c r="CN334" i="1"/>
  <c r="CW334" i="1" s="1"/>
  <c r="CR334" i="1"/>
  <c r="DA334" i="1" s="1"/>
  <c r="CT334" i="1"/>
  <c r="DC334" i="1" s="1"/>
  <c r="CS319" i="1"/>
  <c r="DB319" i="1" s="1"/>
  <c r="CM319" i="1"/>
  <c r="CV319" i="1" s="1"/>
  <c r="CL319" i="1"/>
  <c r="CU319" i="1" s="1"/>
  <c r="CR319" i="1"/>
  <c r="DA319" i="1" s="1"/>
  <c r="CN319" i="1"/>
  <c r="CW319" i="1" s="1"/>
  <c r="CT319" i="1"/>
  <c r="DC319" i="1" s="1"/>
  <c r="CS325" i="1"/>
  <c r="DB325" i="1" s="1"/>
  <c r="CM325" i="1"/>
  <c r="CV325" i="1" s="1"/>
  <c r="CN325" i="1"/>
  <c r="CW325" i="1" s="1"/>
  <c r="CT325" i="1"/>
  <c r="DC325" i="1" s="1"/>
  <c r="CL325" i="1"/>
  <c r="CU325" i="1" s="1"/>
  <c r="CR325" i="1"/>
  <c r="DA325" i="1" s="1"/>
  <c r="CS349" i="1"/>
  <c r="DB349" i="1" s="1"/>
  <c r="CM349" i="1"/>
  <c r="CV349" i="1" s="1"/>
  <c r="CR349" i="1"/>
  <c r="DA349" i="1" s="1"/>
  <c r="CT349" i="1"/>
  <c r="DC349" i="1" s="1"/>
  <c r="CN349" i="1"/>
  <c r="CW349" i="1" s="1"/>
  <c r="CL349" i="1"/>
  <c r="CU349" i="1" s="1"/>
  <c r="CM205" i="1"/>
  <c r="CV205" i="1" s="1"/>
  <c r="CS205" i="1"/>
  <c r="DB205" i="1" s="1"/>
  <c r="CT205" i="1"/>
  <c r="DC205" i="1" s="1"/>
  <c r="CN205" i="1"/>
  <c r="CW205" i="1" s="1"/>
  <c r="CL205" i="1"/>
  <c r="CU205" i="1" s="1"/>
  <c r="CR205" i="1"/>
  <c r="DA205" i="1" s="1"/>
  <c r="CM202" i="1"/>
  <c r="CV202" i="1" s="1"/>
  <c r="CS202" i="1"/>
  <c r="DB202" i="1" s="1"/>
  <c r="CL202" i="1"/>
  <c r="CU202" i="1" s="1"/>
  <c r="CN202" i="1"/>
  <c r="CW202" i="1" s="1"/>
  <c r="CT202" i="1"/>
  <c r="DC202" i="1" s="1"/>
  <c r="CR202" i="1"/>
  <c r="DA202" i="1" s="1"/>
  <c r="CM199" i="1"/>
  <c r="CV199" i="1" s="1"/>
  <c r="CS199" i="1"/>
  <c r="DB199" i="1" s="1"/>
  <c r="CR199" i="1"/>
  <c r="DA199" i="1" s="1"/>
  <c r="CL199" i="1"/>
  <c r="CU199" i="1" s="1"/>
  <c r="CT199" i="1"/>
  <c r="DC199" i="1" s="1"/>
  <c r="CN199" i="1"/>
  <c r="CW199" i="1" s="1"/>
  <c r="CM200" i="1"/>
  <c r="CV200" i="1" s="1"/>
  <c r="CS200" i="1"/>
  <c r="DB200" i="1" s="1"/>
  <c r="CN200" i="1"/>
  <c r="CW200" i="1" s="1"/>
  <c r="CR200" i="1"/>
  <c r="DA200" i="1" s="1"/>
  <c r="CL200" i="1"/>
  <c r="CU200" i="1" s="1"/>
  <c r="CT200" i="1"/>
  <c r="DC200" i="1" s="1"/>
  <c r="CM204" i="1"/>
  <c r="CV204" i="1" s="1"/>
  <c r="CS204" i="1"/>
  <c r="DB204" i="1" s="1"/>
  <c r="CN204" i="1"/>
  <c r="CW204" i="1" s="1"/>
  <c r="CR204" i="1"/>
  <c r="DA204" i="1" s="1"/>
  <c r="CT204" i="1"/>
  <c r="DC204" i="1" s="1"/>
  <c r="CL204" i="1"/>
  <c r="CU204" i="1" s="1"/>
  <c r="CS201" i="1"/>
  <c r="DB201" i="1" s="1"/>
  <c r="CM201" i="1"/>
  <c r="CV201" i="1" s="1"/>
  <c r="CT201" i="1"/>
  <c r="DC201" i="1" s="1"/>
  <c r="CN201" i="1"/>
  <c r="CW201" i="1" s="1"/>
  <c r="CR201" i="1"/>
  <c r="DA201" i="1" s="1"/>
  <c r="CL201" i="1"/>
  <c r="CU201" i="1" s="1"/>
  <c r="CM203" i="1"/>
  <c r="CV203" i="1" s="1"/>
  <c r="CS203" i="1"/>
  <c r="DB203" i="1" s="1"/>
  <c r="CL203" i="1"/>
  <c r="CU203" i="1" s="1"/>
  <c r="CT203" i="1"/>
  <c r="DC203" i="1" s="1"/>
  <c r="CR203" i="1"/>
  <c r="DA203" i="1" s="1"/>
  <c r="CN203" i="1"/>
  <c r="CW203" i="1" s="1"/>
  <c r="CS197" i="1"/>
  <c r="DB197" i="1" s="1"/>
  <c r="CM197" i="1"/>
  <c r="CV197" i="1" s="1"/>
  <c r="CT197" i="1"/>
  <c r="DC197" i="1" s="1"/>
  <c r="CR197" i="1"/>
  <c r="DA197" i="1" s="1"/>
  <c r="CN197" i="1"/>
  <c r="CW197" i="1" s="1"/>
  <c r="CL197" i="1"/>
  <c r="CU197" i="1" s="1"/>
  <c r="CS198" i="1"/>
  <c r="DB198" i="1" s="1"/>
  <c r="CM198" i="1"/>
  <c r="CV198" i="1" s="1"/>
  <c r="CR198" i="1"/>
  <c r="DA198" i="1" s="1"/>
  <c r="CT198" i="1"/>
  <c r="DC198" i="1" s="1"/>
  <c r="CN198" i="1"/>
  <c r="CW198" i="1" s="1"/>
  <c r="CL198" i="1"/>
  <c r="CU198" i="1" s="1"/>
  <c r="CM196" i="1"/>
  <c r="CV196" i="1" s="1"/>
  <c r="CS196" i="1"/>
  <c r="DB196" i="1" s="1"/>
  <c r="CT196" i="1"/>
  <c r="DC196" i="1" s="1"/>
  <c r="CR196" i="1"/>
  <c r="DA196" i="1" s="1"/>
  <c r="CL196" i="1"/>
  <c r="CU196" i="1" s="1"/>
  <c r="CN196" i="1"/>
  <c r="CW196" i="1" s="1"/>
  <c r="CS195" i="1"/>
  <c r="DB195" i="1" s="1"/>
  <c r="CM195" i="1"/>
  <c r="CV195" i="1" s="1"/>
  <c r="CT195" i="1"/>
  <c r="DC195" i="1" s="1"/>
  <c r="CN195" i="1"/>
  <c r="CW195" i="1" s="1"/>
  <c r="CR195" i="1"/>
  <c r="DA195" i="1" s="1"/>
  <c r="CL195" i="1"/>
  <c r="CU195" i="1" s="1"/>
  <c r="CS194" i="1"/>
  <c r="DB194" i="1" s="1"/>
  <c r="CM194" i="1"/>
  <c r="CV194" i="1" s="1"/>
  <c r="CL194" i="1"/>
  <c r="CU194" i="1" s="1"/>
  <c r="CT194" i="1"/>
  <c r="DC194" i="1" s="1"/>
  <c r="CN194" i="1"/>
  <c r="CW194" i="1" s="1"/>
  <c r="CR194" i="1"/>
  <c r="DA194" i="1" s="1"/>
  <c r="CM193" i="1"/>
  <c r="CV193" i="1" s="1"/>
  <c r="CS193" i="1"/>
  <c r="DB193" i="1" s="1"/>
  <c r="CL193" i="1"/>
  <c r="CU193" i="1" s="1"/>
  <c r="CT193" i="1"/>
  <c r="DC193" i="1" s="1"/>
  <c r="CR193" i="1"/>
  <c r="DA193" i="1" s="1"/>
  <c r="CN193" i="1"/>
  <c r="CW193" i="1" s="1"/>
  <c r="J10" i="43"/>
  <c r="AO13" i="43" s="1"/>
  <c r="AA10" i="27"/>
  <c r="B66" i="29"/>
  <c r="AB20" i="29"/>
  <c r="J9" i="43"/>
  <c r="AN13" i="43" s="1"/>
  <c r="AA9" i="27"/>
  <c r="B62" i="29"/>
  <c r="AB16" i="29"/>
  <c r="AA16" i="29"/>
  <c r="AA11" i="27"/>
  <c r="J11" i="43"/>
  <c r="AP13" i="43" s="1"/>
  <c r="AA8" i="27"/>
  <c r="J8" i="43"/>
  <c r="B64" i="29"/>
  <c r="AA28" i="27"/>
  <c r="J29" i="43"/>
  <c r="BG13" i="43" s="1"/>
  <c r="AA27" i="27"/>
  <c r="J28" i="43"/>
  <c r="AA26" i="27"/>
  <c r="J27" i="43"/>
  <c r="BE13" i="43" s="1"/>
  <c r="AA25" i="27"/>
  <c r="J26" i="43"/>
  <c r="BD13" i="43" s="1"/>
  <c r="AA24" i="27"/>
  <c r="J25" i="43"/>
  <c r="BC13" i="43" s="1"/>
  <c r="AA19" i="27"/>
  <c r="J20" i="43"/>
  <c r="AA18" i="27"/>
  <c r="J19" i="43"/>
  <c r="AW13" i="43" s="1"/>
  <c r="AA17" i="27"/>
  <c r="J18" i="43"/>
  <c r="AA16" i="27"/>
  <c r="J17" i="43"/>
  <c r="AU13" i="43" s="1"/>
  <c r="AA23" i="27"/>
  <c r="J24" i="43"/>
  <c r="AA20" i="27"/>
  <c r="J21" i="43"/>
  <c r="AA22" i="27"/>
  <c r="J23" i="43"/>
  <c r="AA21" i="27"/>
  <c r="J22" i="43"/>
  <c r="AZ13" i="43" s="1"/>
  <c r="AA15" i="27"/>
  <c r="J16" i="43"/>
  <c r="J14" i="43"/>
  <c r="AR13" i="43" s="1"/>
  <c r="AA13" i="27"/>
  <c r="J15" i="43"/>
  <c r="AA14" i="27"/>
  <c r="AA12" i="27"/>
  <c r="J13" i="43"/>
  <c r="S38" i="2"/>
  <c r="T38" i="2"/>
  <c r="R38" i="2"/>
  <c r="Q38" i="2"/>
  <c r="E29" i="43" s="1"/>
  <c r="BG8" i="43" s="1"/>
  <c r="O24" i="43"/>
  <c r="BB18" i="43" s="1"/>
  <c r="B18" i="27"/>
  <c r="P18" i="27" s="1"/>
  <c r="B22" i="29"/>
  <c r="F22" i="29" s="1"/>
  <c r="B26" i="27"/>
  <c r="P26" i="27" s="1"/>
  <c r="O15" i="43"/>
  <c r="AS18" i="43" s="1"/>
  <c r="AF12" i="27"/>
  <c r="AM12" i="27" s="1"/>
  <c r="O16" i="43"/>
  <c r="AT18" i="43" s="1"/>
  <c r="B27" i="27"/>
  <c r="P27" i="27" s="1"/>
  <c r="AF20" i="27"/>
  <c r="AM20" i="27" s="1"/>
  <c r="S8" i="43"/>
  <c r="F6" i="59"/>
  <c r="E17" i="34"/>
  <c r="AU9" i="59"/>
  <c r="AR325" i="19"/>
  <c r="M25" i="21"/>
  <c r="P25" i="23" s="1"/>
  <c r="M20" i="21"/>
  <c r="P20" i="23" s="1"/>
  <c r="O19" i="21"/>
  <c r="R19" i="23" s="1"/>
  <c r="M16" i="21"/>
  <c r="P16" i="23" s="1"/>
  <c r="O15" i="21"/>
  <c r="R15" i="23" s="1"/>
  <c r="O11" i="21"/>
  <c r="R11" i="23" s="1"/>
  <c r="M10" i="21"/>
  <c r="P10" i="23" s="1"/>
  <c r="M4" i="21"/>
  <c r="P4" i="23" s="1"/>
  <c r="N4" i="21"/>
  <c r="Q4" i="23" s="1"/>
  <c r="M3" i="21"/>
  <c r="P3" i="23" s="1"/>
  <c r="B26" i="29"/>
  <c r="F26" i="29" s="1"/>
  <c r="AR328" i="19"/>
  <c r="AS328" i="19" s="1"/>
  <c r="M26" i="21"/>
  <c r="P26" i="23" s="1"/>
  <c r="M7" i="21"/>
  <c r="P7" i="23" s="1"/>
  <c r="M5" i="21"/>
  <c r="P5" i="23" s="1"/>
  <c r="F18" i="57"/>
  <c r="F11" i="57"/>
  <c r="F15" i="57"/>
  <c r="F9" i="57"/>
  <c r="S10" i="43"/>
  <c r="AO22" i="43" s="1"/>
  <c r="F6" i="57"/>
  <c r="F16" i="57"/>
  <c r="S11" i="43"/>
  <c r="AP22" i="43" s="1"/>
  <c r="F7" i="57"/>
  <c r="F24" i="57"/>
  <c r="F22" i="57"/>
  <c r="O22" i="43"/>
  <c r="AZ18" i="43" s="1"/>
  <c r="F20" i="57"/>
  <c r="F5" i="57"/>
  <c r="S18" i="43"/>
  <c r="AV22" i="43" s="1"/>
  <c r="F13" i="57"/>
  <c r="F19" i="57"/>
  <c r="S22" i="43"/>
  <c r="AZ22" i="43" s="1"/>
  <c r="F17" i="57"/>
  <c r="S15" i="43"/>
  <c r="AS22" i="43" s="1"/>
  <c r="F10" i="57"/>
  <c r="S19" i="43"/>
  <c r="AW22" i="43" s="1"/>
  <c r="F14" i="57"/>
  <c r="S17" i="43"/>
  <c r="AU22" i="43" s="1"/>
  <c r="F12" i="57"/>
  <c r="F8" i="57"/>
  <c r="S28" i="43"/>
  <c r="BF22" i="43" s="1"/>
  <c r="F23" i="57"/>
  <c r="S26" i="43"/>
  <c r="BD22" i="43" s="1"/>
  <c r="F21" i="57"/>
  <c r="X11" i="29"/>
  <c r="H328" i="19"/>
  <c r="AR327" i="19"/>
  <c r="AS327" i="19" s="1"/>
  <c r="U15" i="20"/>
  <c r="P13" i="21" s="1"/>
  <c r="S13" i="23" s="1"/>
  <c r="M28" i="21"/>
  <c r="P28" i="23" s="1"/>
  <c r="M24" i="21"/>
  <c r="P24" i="23" s="1"/>
  <c r="O23" i="21"/>
  <c r="R23" i="23" s="1"/>
  <c r="M21" i="21"/>
  <c r="P21" i="23" s="1"/>
  <c r="O20" i="21"/>
  <c r="R20" i="23" s="1"/>
  <c r="M17" i="21"/>
  <c r="P17" i="23" s="1"/>
  <c r="O16" i="21"/>
  <c r="R16" i="23" s="1"/>
  <c r="P9" i="21"/>
  <c r="S9" i="23" s="1"/>
  <c r="P6" i="21"/>
  <c r="S6" i="23" s="1"/>
  <c r="H325" i="19"/>
  <c r="B245" i="19"/>
  <c r="G6" i="20"/>
  <c r="B4" i="21" s="1"/>
  <c r="O18" i="43"/>
  <c r="AV18" i="43" s="1"/>
  <c r="H327" i="19"/>
  <c r="AR326" i="19"/>
  <c r="AS326" i="19" s="1"/>
  <c r="M29" i="21"/>
  <c r="P29" i="23" s="1"/>
  <c r="M22" i="21"/>
  <c r="P22" i="23" s="1"/>
  <c r="M18" i="21"/>
  <c r="P18" i="23" s="1"/>
  <c r="M14" i="21"/>
  <c r="P14" i="23" s="1"/>
  <c r="P12" i="21"/>
  <c r="S12" i="23" s="1"/>
  <c r="M12" i="21"/>
  <c r="P12" i="23" s="1"/>
  <c r="M11" i="21"/>
  <c r="P11" i="23" s="1"/>
  <c r="M9" i="21"/>
  <c r="P9" i="23" s="1"/>
  <c r="O8" i="21"/>
  <c r="R8" i="23" s="1"/>
  <c r="P7" i="21"/>
  <c r="S7" i="23" s="1"/>
  <c r="P5" i="21"/>
  <c r="S5" i="23" s="1"/>
  <c r="O3" i="21"/>
  <c r="R3" i="23" s="1"/>
  <c r="A7" i="23"/>
  <c r="B25" i="29"/>
  <c r="F25" i="29" s="1"/>
  <c r="W18" i="29"/>
  <c r="H326" i="19"/>
  <c r="V8" i="20"/>
  <c r="Q6" i="21" s="1"/>
  <c r="T6" i="23" s="1"/>
  <c r="O12" i="21"/>
  <c r="R12" i="23" s="1"/>
  <c r="P10" i="21"/>
  <c r="S10" i="23" s="1"/>
  <c r="P8" i="21"/>
  <c r="S8" i="23" s="1"/>
  <c r="N5" i="21"/>
  <c r="Q5" i="23" s="1"/>
  <c r="P4" i="21"/>
  <c r="S4" i="23" s="1"/>
  <c r="BF9" i="2"/>
  <c r="J9" i="29"/>
  <c r="J11" i="29"/>
  <c r="O23" i="43"/>
  <c r="BA18" i="43" s="1"/>
  <c r="O19" i="43"/>
  <c r="AW18" i="43" s="1"/>
  <c r="O14" i="43"/>
  <c r="AR18" i="43" s="1"/>
  <c r="O13" i="43"/>
  <c r="AQ18" i="43" s="1"/>
  <c r="B11" i="27"/>
  <c r="P11" i="27" s="1"/>
  <c r="B19" i="29"/>
  <c r="F19" i="29" s="1"/>
  <c r="N28" i="43"/>
  <c r="BF17" i="43" s="1"/>
  <c r="B23" i="29"/>
  <c r="F23" i="29" s="1"/>
  <c r="B23" i="27"/>
  <c r="P23" i="27" s="1"/>
  <c r="M28" i="43"/>
  <c r="BF16" i="43" s="1"/>
  <c r="J10" i="29"/>
  <c r="O9" i="43"/>
  <c r="AN18" i="43" s="1"/>
  <c r="B9" i="27"/>
  <c r="P9" i="27" s="1"/>
  <c r="B27" i="29"/>
  <c r="F27" i="29" s="1"/>
  <c r="AJ14" i="27"/>
  <c r="AN14" i="27" s="1"/>
  <c r="L8" i="29"/>
  <c r="J8" i="29"/>
  <c r="D28" i="21"/>
  <c r="D28" i="23"/>
  <c r="D27" i="23"/>
  <c r="D27" i="21"/>
  <c r="AF19" i="27"/>
  <c r="AM19" i="27" s="1"/>
  <c r="D29" i="23"/>
  <c r="D29" i="21"/>
  <c r="D5" i="23"/>
  <c r="D5" i="21"/>
  <c r="D4" i="23"/>
  <c r="D4" i="21"/>
  <c r="C29" i="23"/>
  <c r="K29" i="23" s="1"/>
  <c r="C29" i="21"/>
  <c r="H29" i="21" s="1"/>
  <c r="C27" i="21"/>
  <c r="C27" i="23"/>
  <c r="K27" i="23" s="1"/>
  <c r="C25" i="23"/>
  <c r="C25" i="21"/>
  <c r="C24" i="23"/>
  <c r="C24" i="21"/>
  <c r="C23" i="21"/>
  <c r="C23" i="23"/>
  <c r="C13" i="21"/>
  <c r="C13" i="23"/>
  <c r="C10" i="23"/>
  <c r="C10" i="21"/>
  <c r="C9" i="21"/>
  <c r="C9" i="23"/>
  <c r="C8" i="23"/>
  <c r="C8" i="21"/>
  <c r="B28" i="23"/>
  <c r="B28" i="21"/>
  <c r="G28" i="21" s="1"/>
  <c r="B27" i="23"/>
  <c r="B27" i="21"/>
  <c r="B26" i="23"/>
  <c r="B26" i="21"/>
  <c r="D25" i="23"/>
  <c r="D25" i="21"/>
  <c r="B25" i="23"/>
  <c r="B25" i="21"/>
  <c r="D24" i="21"/>
  <c r="D24" i="23"/>
  <c r="B24" i="23"/>
  <c r="B24" i="21"/>
  <c r="D23" i="23"/>
  <c r="D23" i="21"/>
  <c r="B23" i="23"/>
  <c r="B23" i="21"/>
  <c r="C22" i="23"/>
  <c r="C22" i="21"/>
  <c r="C21" i="21"/>
  <c r="C21" i="23"/>
  <c r="C20" i="23"/>
  <c r="C20" i="21"/>
  <c r="C19" i="21"/>
  <c r="C19" i="23"/>
  <c r="C18" i="23"/>
  <c r="C18" i="21"/>
  <c r="C17" i="23"/>
  <c r="C17" i="21"/>
  <c r="C16" i="23"/>
  <c r="C16" i="21"/>
  <c r="C15" i="23"/>
  <c r="C15" i="21"/>
  <c r="C14" i="23"/>
  <c r="C14" i="21"/>
  <c r="B13" i="23"/>
  <c r="B13" i="21"/>
  <c r="B12" i="23"/>
  <c r="B12" i="21"/>
  <c r="B11" i="23"/>
  <c r="B11" i="21"/>
  <c r="B10" i="23"/>
  <c r="B10" i="21"/>
  <c r="B9" i="23"/>
  <c r="B9" i="21"/>
  <c r="B8" i="21"/>
  <c r="B8" i="23"/>
  <c r="B7" i="23"/>
  <c r="B7" i="21"/>
  <c r="B6" i="23"/>
  <c r="B6" i="21"/>
  <c r="B5" i="23"/>
  <c r="B5" i="21"/>
  <c r="D3" i="21"/>
  <c r="D3" i="23"/>
  <c r="C28" i="23"/>
  <c r="K28" i="23" s="1"/>
  <c r="C28" i="21"/>
  <c r="H28" i="21" s="1"/>
  <c r="C26" i="23"/>
  <c r="C26" i="21"/>
  <c r="C12" i="23"/>
  <c r="C12" i="21"/>
  <c r="C11" i="23"/>
  <c r="C11" i="21"/>
  <c r="C7" i="23"/>
  <c r="C7" i="21"/>
  <c r="C6" i="23"/>
  <c r="C6" i="21"/>
  <c r="C5" i="23"/>
  <c r="C5" i="21"/>
  <c r="C4" i="23"/>
  <c r="C4" i="21"/>
  <c r="B29" i="23"/>
  <c r="B29" i="21"/>
  <c r="G29" i="21" s="1"/>
  <c r="AJ11" i="27"/>
  <c r="AN11" i="27" s="1"/>
  <c r="D26" i="23"/>
  <c r="D26" i="21"/>
  <c r="D22" i="23"/>
  <c r="D22" i="21"/>
  <c r="B22" i="23"/>
  <c r="B22" i="21"/>
  <c r="D21" i="23"/>
  <c r="D21" i="21"/>
  <c r="B21" i="23"/>
  <c r="B21" i="21"/>
  <c r="D20" i="21"/>
  <c r="D20" i="23"/>
  <c r="B20" i="23"/>
  <c r="B20" i="21"/>
  <c r="D19" i="23"/>
  <c r="D19" i="21"/>
  <c r="B19" i="23"/>
  <c r="B19" i="21"/>
  <c r="D18" i="23"/>
  <c r="D18" i="21"/>
  <c r="B18" i="23"/>
  <c r="B18" i="21"/>
  <c r="D17" i="21"/>
  <c r="D17" i="23"/>
  <c r="B17" i="23"/>
  <c r="B17" i="21"/>
  <c r="D16" i="23"/>
  <c r="D16" i="21"/>
  <c r="B16" i="23"/>
  <c r="B16" i="21"/>
  <c r="D15" i="23"/>
  <c r="D15" i="21"/>
  <c r="B15" i="23"/>
  <c r="B15" i="21"/>
  <c r="D14" i="23"/>
  <c r="D14" i="21"/>
  <c r="B14" i="21"/>
  <c r="B14" i="23"/>
  <c r="D13" i="23"/>
  <c r="D13" i="21"/>
  <c r="D12" i="23"/>
  <c r="D12" i="21"/>
  <c r="D11" i="23"/>
  <c r="D11" i="21"/>
  <c r="D10" i="21"/>
  <c r="D10" i="23"/>
  <c r="D9" i="23"/>
  <c r="D9" i="21"/>
  <c r="D8" i="21"/>
  <c r="D8" i="23"/>
  <c r="D7" i="23"/>
  <c r="D7" i="21"/>
  <c r="D6" i="23"/>
  <c r="D6" i="21"/>
  <c r="C3" i="23"/>
  <c r="I3" i="23" s="1"/>
  <c r="C3" i="21"/>
  <c r="AS5" i="19"/>
  <c r="A22" i="23"/>
  <c r="A22" i="21"/>
  <c r="A18" i="23"/>
  <c r="A18" i="21"/>
  <c r="A14" i="23"/>
  <c r="A14" i="21"/>
  <c r="O13" i="21"/>
  <c r="R13" i="23" s="1"/>
  <c r="G11" i="23"/>
  <c r="X11" i="23"/>
  <c r="A10" i="23"/>
  <c r="A10" i="21"/>
  <c r="O9" i="21"/>
  <c r="R9" i="23" s="1"/>
  <c r="F8" i="23"/>
  <c r="W8" i="23"/>
  <c r="A6" i="23"/>
  <c r="A6" i="21"/>
  <c r="O5" i="21"/>
  <c r="R5" i="23" s="1"/>
  <c r="W12" i="23"/>
  <c r="A29" i="23"/>
  <c r="A29" i="21"/>
  <c r="G13" i="23"/>
  <c r="X13" i="23"/>
  <c r="A13" i="23"/>
  <c r="A13" i="21"/>
  <c r="X10" i="23"/>
  <c r="G10" i="23"/>
  <c r="A9" i="23"/>
  <c r="A9" i="21"/>
  <c r="O6" i="21"/>
  <c r="R6" i="23" s="1"/>
  <c r="N3" i="21"/>
  <c r="Q3" i="23" s="1"/>
  <c r="A28" i="21"/>
  <c r="A24" i="21"/>
  <c r="A20" i="21"/>
  <c r="A16" i="21"/>
  <c r="A12" i="21"/>
  <c r="A5" i="21"/>
  <c r="G12" i="23"/>
  <c r="F11" i="23"/>
  <c r="A25" i="23"/>
  <c r="A25" i="21"/>
  <c r="O21" i="21"/>
  <c r="R21" i="23" s="1"/>
  <c r="O17" i="21"/>
  <c r="R17" i="23" s="1"/>
  <c r="G9" i="23"/>
  <c r="X9" i="23"/>
  <c r="A8" i="23"/>
  <c r="A8" i="21"/>
  <c r="A4" i="23"/>
  <c r="A4" i="21"/>
  <c r="A27" i="21"/>
  <c r="S28" i="29"/>
  <c r="AF29" i="43"/>
  <c r="BG35" i="43" s="1"/>
  <c r="AB29" i="43"/>
  <c r="BG31" i="43" s="1"/>
  <c r="O28" i="29"/>
  <c r="M27" i="21"/>
  <c r="P27" i="23" s="1"/>
  <c r="M23" i="21"/>
  <c r="P23" i="23" s="1"/>
  <c r="O22" i="21"/>
  <c r="R22" i="23" s="1"/>
  <c r="A21" i="23"/>
  <c r="A21" i="21"/>
  <c r="M19" i="21"/>
  <c r="P19" i="23" s="1"/>
  <c r="O18" i="21"/>
  <c r="R18" i="23" s="1"/>
  <c r="A17" i="21"/>
  <c r="A17" i="23"/>
  <c r="M15" i="21"/>
  <c r="P15" i="23" s="1"/>
  <c r="O14" i="21"/>
  <c r="R14" i="23" s="1"/>
  <c r="M13" i="21"/>
  <c r="P13" i="23" s="1"/>
  <c r="P11" i="21"/>
  <c r="S11" i="23" s="1"/>
  <c r="A11" i="23"/>
  <c r="A11" i="21"/>
  <c r="O10" i="21"/>
  <c r="R10" i="23" s="1"/>
  <c r="W9" i="23"/>
  <c r="F9" i="23"/>
  <c r="X8" i="23"/>
  <c r="G8" i="23"/>
  <c r="M8" i="21"/>
  <c r="P8" i="23" s="1"/>
  <c r="O7" i="21"/>
  <c r="R7" i="23" s="1"/>
  <c r="M6" i="21"/>
  <c r="P6" i="23" s="1"/>
  <c r="N6" i="21"/>
  <c r="Q6" i="23" s="1"/>
  <c r="O4" i="21"/>
  <c r="R4" i="23" s="1"/>
  <c r="O3" i="23"/>
  <c r="A26" i="21"/>
  <c r="A23" i="21"/>
  <c r="A19" i="21"/>
  <c r="A15" i="21"/>
  <c r="W10" i="23"/>
  <c r="B3" i="23"/>
  <c r="Q19" i="43"/>
  <c r="AW20" i="43" s="1"/>
  <c r="AJ18" i="27"/>
  <c r="AN18" i="27" s="1"/>
  <c r="Q17" i="29"/>
  <c r="AD18" i="43"/>
  <c r="AV33" i="43" s="1"/>
  <c r="R16" i="29"/>
  <c r="AE17" i="43"/>
  <c r="AU34" i="43" s="1"/>
  <c r="S15" i="29"/>
  <c r="AF16" i="43"/>
  <c r="AT35" i="43" s="1"/>
  <c r="S27" i="29"/>
  <c r="AF28" i="43"/>
  <c r="BF35" i="43" s="1"/>
  <c r="AB28" i="43"/>
  <c r="BF31" i="43" s="1"/>
  <c r="O27" i="29"/>
  <c r="P26" i="29"/>
  <c r="AC27" i="43"/>
  <c r="BE32" i="43" s="1"/>
  <c r="Q25" i="29"/>
  <c r="AD26" i="43"/>
  <c r="BD33" i="43" s="1"/>
  <c r="P24" i="29"/>
  <c r="AC25" i="43"/>
  <c r="BC32" i="43" s="1"/>
  <c r="P23" i="29"/>
  <c r="AC24" i="43"/>
  <c r="BB32" i="43" s="1"/>
  <c r="P22" i="29"/>
  <c r="AC23" i="43"/>
  <c r="BA32" i="43" s="1"/>
  <c r="S21" i="29"/>
  <c r="AF22" i="43"/>
  <c r="AZ35" i="43" s="1"/>
  <c r="R20" i="29"/>
  <c r="AE21" i="43"/>
  <c r="AY34" i="43" s="1"/>
  <c r="P19" i="29"/>
  <c r="AC20" i="43"/>
  <c r="AX32" i="43" s="1"/>
  <c r="Q18" i="29"/>
  <c r="AD19" i="43"/>
  <c r="AW33" i="43" s="1"/>
  <c r="Q11" i="29"/>
  <c r="AD11" i="43"/>
  <c r="AP33" i="43" s="1"/>
  <c r="S10" i="29"/>
  <c r="AF10" i="43"/>
  <c r="AO35" i="43" s="1"/>
  <c r="P10" i="29"/>
  <c r="AC10" i="43"/>
  <c r="AO32" i="43" s="1"/>
  <c r="S9" i="29"/>
  <c r="AF9" i="43"/>
  <c r="AN35" i="43" s="1"/>
  <c r="AB9" i="43"/>
  <c r="AN31" i="43" s="1"/>
  <c r="O9" i="29"/>
  <c r="P8" i="2"/>
  <c r="L8" i="2"/>
  <c r="R14" i="29"/>
  <c r="AE15" i="43"/>
  <c r="AS34" i="43" s="1"/>
  <c r="P13" i="29"/>
  <c r="AC14" i="43"/>
  <c r="AR32" i="43" s="1"/>
  <c r="R12" i="29"/>
  <c r="AE13" i="43"/>
  <c r="AQ34" i="43" s="1"/>
  <c r="D9" i="2"/>
  <c r="Q8" i="2"/>
  <c r="M8" i="2"/>
  <c r="I8" i="2"/>
  <c r="P28" i="29"/>
  <c r="AC29" i="43"/>
  <c r="BG32" i="43" s="1"/>
  <c r="M29" i="43"/>
  <c r="BG16" i="43" s="1"/>
  <c r="P27" i="29"/>
  <c r="AC28" i="43"/>
  <c r="BF32" i="43" s="1"/>
  <c r="Q26" i="29"/>
  <c r="AD27" i="43"/>
  <c r="BE33" i="43" s="1"/>
  <c r="R25" i="29"/>
  <c r="AE26" i="43"/>
  <c r="BD34" i="43" s="1"/>
  <c r="Q24" i="29"/>
  <c r="AD25" i="43"/>
  <c r="BC33" i="43" s="1"/>
  <c r="Q23" i="29"/>
  <c r="AD24" i="43"/>
  <c r="BB33" i="43" s="1"/>
  <c r="Q22" i="29"/>
  <c r="AD23" i="43"/>
  <c r="BA33" i="43" s="1"/>
  <c r="P21" i="29"/>
  <c r="AC22" i="43"/>
  <c r="AZ32" i="43" s="1"/>
  <c r="S20" i="29"/>
  <c r="AF21" i="43"/>
  <c r="AY35" i="43" s="1"/>
  <c r="Q19" i="29"/>
  <c r="AD20" i="43"/>
  <c r="AX33" i="43" s="1"/>
  <c r="R18" i="29"/>
  <c r="AE19" i="43"/>
  <c r="AW34" i="43" s="1"/>
  <c r="R17" i="29"/>
  <c r="AE18" i="43"/>
  <c r="AV34" i="43" s="1"/>
  <c r="S16" i="29"/>
  <c r="AF17" i="43"/>
  <c r="AU35" i="43" s="1"/>
  <c r="O16" i="29"/>
  <c r="P15" i="29"/>
  <c r="AC16" i="43"/>
  <c r="AT32" i="43" s="1"/>
  <c r="S14" i="29"/>
  <c r="AF15" i="43"/>
  <c r="AS35" i="43" s="1"/>
  <c r="Q13" i="29"/>
  <c r="AD14" i="43"/>
  <c r="AR33" i="43" s="1"/>
  <c r="S12" i="29"/>
  <c r="AF13" i="43"/>
  <c r="AQ35" i="43" s="1"/>
  <c r="R11" i="29"/>
  <c r="AE11" i="43"/>
  <c r="AP34" i="43" s="1"/>
  <c r="Q10" i="29"/>
  <c r="AD10" i="43"/>
  <c r="AO33" i="43" s="1"/>
  <c r="AC9" i="43"/>
  <c r="AN32" i="43" s="1"/>
  <c r="P9" i="29"/>
  <c r="B9" i="2"/>
  <c r="BF8" i="2"/>
  <c r="O8" i="2"/>
  <c r="K8" i="2"/>
  <c r="R28" i="29"/>
  <c r="AE29" i="43"/>
  <c r="BG34" i="43" s="1"/>
  <c r="N29" i="43"/>
  <c r="BG17" i="43" s="1"/>
  <c r="R27" i="29"/>
  <c r="AE28" i="43"/>
  <c r="BF34" i="43" s="1"/>
  <c r="S26" i="29"/>
  <c r="AF27" i="43"/>
  <c r="BE35" i="43" s="1"/>
  <c r="P25" i="29"/>
  <c r="AC26" i="43"/>
  <c r="BD32" i="43" s="1"/>
  <c r="S24" i="29"/>
  <c r="AF25" i="43"/>
  <c r="BC35" i="43" s="1"/>
  <c r="S23" i="29"/>
  <c r="AF24" i="43"/>
  <c r="BB35" i="43" s="1"/>
  <c r="S22" i="29"/>
  <c r="AF23" i="43"/>
  <c r="BA35" i="43" s="1"/>
  <c r="R21" i="29"/>
  <c r="AE22" i="43"/>
  <c r="AZ34" i="43" s="1"/>
  <c r="AD21" i="27"/>
  <c r="Q20" i="29"/>
  <c r="AD21" i="43"/>
  <c r="AY33" i="43" s="1"/>
  <c r="S19" i="29"/>
  <c r="AF20" i="43"/>
  <c r="AX35" i="43" s="1"/>
  <c r="O19" i="29"/>
  <c r="P18" i="29"/>
  <c r="AC19" i="43"/>
  <c r="AW32" i="43" s="1"/>
  <c r="P17" i="29"/>
  <c r="AC18" i="43"/>
  <c r="AV32" i="43" s="1"/>
  <c r="Q16" i="29"/>
  <c r="AD17" i="43"/>
  <c r="AU33" i="43" s="1"/>
  <c r="R15" i="29"/>
  <c r="AE16" i="43"/>
  <c r="AT34" i="43" s="1"/>
  <c r="Q14" i="29"/>
  <c r="AD15" i="43"/>
  <c r="AS33" i="43" s="1"/>
  <c r="S13" i="29"/>
  <c r="AF14" i="43"/>
  <c r="AR35" i="43" s="1"/>
  <c r="Q12" i="29"/>
  <c r="AD13" i="43"/>
  <c r="AQ33" i="43" s="1"/>
  <c r="P11" i="29"/>
  <c r="AC11" i="43"/>
  <c r="AP32" i="43" s="1"/>
  <c r="R9" i="29"/>
  <c r="AE9" i="43"/>
  <c r="AN34" i="43" s="1"/>
  <c r="N8" i="2"/>
  <c r="J8" i="2"/>
  <c r="Q28" i="29"/>
  <c r="AD29" i="43"/>
  <c r="BG33" i="43" s="1"/>
  <c r="Q27" i="29"/>
  <c r="AD28" i="43"/>
  <c r="BF33" i="43" s="1"/>
  <c r="R26" i="29"/>
  <c r="AE27" i="43"/>
  <c r="BE34" i="43" s="1"/>
  <c r="S25" i="29"/>
  <c r="AF26" i="43"/>
  <c r="BD35" i="43" s="1"/>
  <c r="R24" i="29"/>
  <c r="AE25" i="43"/>
  <c r="BC34" i="43" s="1"/>
  <c r="R23" i="29"/>
  <c r="AE24" i="43"/>
  <c r="BB34" i="43" s="1"/>
  <c r="R22" i="29"/>
  <c r="AE23" i="43"/>
  <c r="BA34" i="43" s="1"/>
  <c r="Q21" i="29"/>
  <c r="AD22" i="43"/>
  <c r="AZ33" i="43" s="1"/>
  <c r="P20" i="29"/>
  <c r="AC21" i="43"/>
  <c r="AY32" i="43" s="1"/>
  <c r="R19" i="29"/>
  <c r="AE20" i="43"/>
  <c r="AX34" i="43" s="1"/>
  <c r="S18" i="29"/>
  <c r="AF19" i="43"/>
  <c r="AW35" i="43" s="1"/>
  <c r="O18" i="29"/>
  <c r="S17" i="29"/>
  <c r="AF18" i="43"/>
  <c r="AV35" i="43" s="1"/>
  <c r="O17" i="29"/>
  <c r="P16" i="29"/>
  <c r="AC17" i="43"/>
  <c r="AU32" i="43" s="1"/>
  <c r="Q15" i="29"/>
  <c r="AD16" i="43"/>
  <c r="AT33" i="43" s="1"/>
  <c r="P14" i="29"/>
  <c r="AC15" i="43"/>
  <c r="AS32" i="43" s="1"/>
  <c r="R13" i="29"/>
  <c r="AE14" i="43"/>
  <c r="AR34" i="43" s="1"/>
  <c r="P12" i="29"/>
  <c r="AC13" i="43"/>
  <c r="AQ32" i="43" s="1"/>
  <c r="S11" i="29"/>
  <c r="AF11" i="43"/>
  <c r="AP35" i="43" s="1"/>
  <c r="R10" i="29"/>
  <c r="AE10" i="43"/>
  <c r="AO34" i="43" s="1"/>
  <c r="Q9" i="29"/>
  <c r="AD9" i="43"/>
  <c r="AN33" i="43" s="1"/>
  <c r="O32" i="2"/>
  <c r="I36" i="2"/>
  <c r="C27" i="43" s="1"/>
  <c r="BE6" i="43" s="1"/>
  <c r="P34" i="2"/>
  <c r="Q29" i="2"/>
  <c r="E20" i="43" s="1"/>
  <c r="AX8" i="43" s="1"/>
  <c r="Q8" i="29"/>
  <c r="AD8" i="43"/>
  <c r="S5" i="29"/>
  <c r="AF5" i="43"/>
  <c r="AJ35" i="43" s="1"/>
  <c r="S8" i="29"/>
  <c r="AF8" i="43"/>
  <c r="O8" i="29"/>
  <c r="R5" i="29"/>
  <c r="AE5" i="43"/>
  <c r="AJ34" i="43" s="1"/>
  <c r="P5" i="29"/>
  <c r="AC5" i="43"/>
  <c r="AJ32" i="43" s="1"/>
  <c r="P8" i="29"/>
  <c r="AC8" i="43"/>
  <c r="B8" i="29"/>
  <c r="R8" i="29"/>
  <c r="AE8" i="43"/>
  <c r="Q5" i="29"/>
  <c r="AD5" i="43"/>
  <c r="AJ33" i="43" s="1"/>
  <c r="CR10" i="2"/>
  <c r="V29" i="43"/>
  <c r="BG25" i="43" s="1"/>
  <c r="X28" i="43"/>
  <c r="BF27" i="43" s="1"/>
  <c r="T28" i="43"/>
  <c r="BF23" i="43" s="1"/>
  <c r="J26" i="2"/>
  <c r="AF26" i="27"/>
  <c r="AM26" i="27" s="1"/>
  <c r="P27" i="43"/>
  <c r="BE19" i="43" s="1"/>
  <c r="O25" i="43"/>
  <c r="BC18" i="43" s="1"/>
  <c r="AF27" i="27"/>
  <c r="AM27" i="27" s="1"/>
  <c r="P28" i="43"/>
  <c r="BF19" i="43" s="1"/>
  <c r="B10" i="29"/>
  <c r="W9" i="29"/>
  <c r="I26" i="2"/>
  <c r="C16" i="27" s="1"/>
  <c r="O28" i="2"/>
  <c r="S29" i="43"/>
  <c r="BG22" i="43" s="1"/>
  <c r="U28" i="43"/>
  <c r="BF24" i="43" s="1"/>
  <c r="V27" i="43"/>
  <c r="BE25" i="43" s="1"/>
  <c r="M27" i="43"/>
  <c r="BE16" i="43" s="1"/>
  <c r="AJ22" i="27"/>
  <c r="AN22" i="27" s="1"/>
  <c r="W21" i="29"/>
  <c r="R9" i="43"/>
  <c r="AN21" i="43" s="1"/>
  <c r="R11" i="43"/>
  <c r="AP21" i="43" s="1"/>
  <c r="R14" i="43"/>
  <c r="AR21" i="43" s="1"/>
  <c r="R16" i="43"/>
  <c r="AT21" i="43" s="1"/>
  <c r="R18" i="43"/>
  <c r="AV21" i="43" s="1"/>
  <c r="R20" i="43"/>
  <c r="AX21" i="43" s="1"/>
  <c r="R22" i="43"/>
  <c r="AZ21" i="43" s="1"/>
  <c r="R24" i="43"/>
  <c r="BB21" i="43" s="1"/>
  <c r="R26" i="43"/>
  <c r="BD21" i="43" s="1"/>
  <c r="R28" i="43"/>
  <c r="BF21" i="43" s="1"/>
  <c r="AJ28" i="27"/>
  <c r="AN28" i="27" s="1"/>
  <c r="Q29" i="43"/>
  <c r="BG20" i="43" s="1"/>
  <c r="U27" i="43"/>
  <c r="BE24" i="43" s="1"/>
  <c r="B28" i="27"/>
  <c r="P28" i="27" s="1"/>
  <c r="B29" i="43"/>
  <c r="X29" i="43"/>
  <c r="BG27" i="43" s="1"/>
  <c r="U29" i="43"/>
  <c r="BG24" i="43" s="1"/>
  <c r="AF28" i="27"/>
  <c r="AM28" i="27" s="1"/>
  <c r="P29" i="43"/>
  <c r="BG19" i="43" s="1"/>
  <c r="K29" i="43"/>
  <c r="BG14" i="43" s="1"/>
  <c r="W28" i="43"/>
  <c r="BF26" i="43" s="1"/>
  <c r="AJ27" i="27"/>
  <c r="AN27" i="27" s="1"/>
  <c r="Q28" i="43"/>
  <c r="BF20" i="43" s="1"/>
  <c r="K28" i="43"/>
  <c r="BF14" i="43" s="1"/>
  <c r="X27" i="43"/>
  <c r="BE27" i="43" s="1"/>
  <c r="T27" i="43"/>
  <c r="BE23" i="43" s="1"/>
  <c r="AB27" i="43"/>
  <c r="BE31" i="43" s="1"/>
  <c r="N27" i="43"/>
  <c r="BE17" i="43" s="1"/>
  <c r="R8" i="43"/>
  <c r="R10" i="43"/>
  <c r="AO21" i="43" s="1"/>
  <c r="R13" i="43"/>
  <c r="AQ21" i="43" s="1"/>
  <c r="R15" i="43"/>
  <c r="AS21" i="43" s="1"/>
  <c r="R17" i="43"/>
  <c r="AU21" i="43" s="1"/>
  <c r="R19" i="43"/>
  <c r="AW21" i="43" s="1"/>
  <c r="R21" i="43"/>
  <c r="AY21" i="43" s="1"/>
  <c r="R23" i="43"/>
  <c r="BA21" i="43" s="1"/>
  <c r="R25" i="43"/>
  <c r="BC21" i="43" s="1"/>
  <c r="R27" i="43"/>
  <c r="BE21" i="43" s="1"/>
  <c r="R29" i="43"/>
  <c r="BG21" i="43" s="1"/>
  <c r="T29" i="43"/>
  <c r="BG23" i="43" s="1"/>
  <c r="V28" i="43"/>
  <c r="BF25" i="43" s="1"/>
  <c r="W27" i="43"/>
  <c r="BE26" i="43" s="1"/>
  <c r="S27" i="43"/>
  <c r="BE22" i="43" s="1"/>
  <c r="AJ26" i="27"/>
  <c r="AN26" i="27" s="1"/>
  <c r="Q27" i="43"/>
  <c r="BE20" i="43" s="1"/>
  <c r="K27" i="43"/>
  <c r="BE14" i="43" s="1"/>
  <c r="AF14" i="27"/>
  <c r="AM14" i="27" s="1"/>
  <c r="B28" i="29"/>
  <c r="F28" i="29" s="1"/>
  <c r="B14" i="27"/>
  <c r="P14" i="27" s="1"/>
  <c r="AJ24" i="27"/>
  <c r="AN24" i="27" s="1"/>
  <c r="AJ19" i="27"/>
  <c r="AN19" i="27" s="1"/>
  <c r="O21" i="43"/>
  <c r="AY18" i="43" s="1"/>
  <c r="B14" i="29"/>
  <c r="N24" i="43"/>
  <c r="BB17" i="43" s="1"/>
  <c r="N15" i="43"/>
  <c r="AS17" i="43" s="1"/>
  <c r="AF22" i="27"/>
  <c r="AM22" i="27" s="1"/>
  <c r="O17" i="43"/>
  <c r="AU18" i="43" s="1"/>
  <c r="B17" i="29"/>
  <c r="F17" i="29" s="1"/>
  <c r="B10" i="27"/>
  <c r="P10" i="27" s="1"/>
  <c r="N11" i="43"/>
  <c r="AP17" i="43" s="1"/>
  <c r="O20" i="43"/>
  <c r="AX18" i="43" s="1"/>
  <c r="O10" i="43"/>
  <c r="AO18" i="43" s="1"/>
  <c r="B20" i="27"/>
  <c r="P20" i="27" s="1"/>
  <c r="B8" i="27"/>
  <c r="P8" i="27" s="1"/>
  <c r="B15" i="29"/>
  <c r="F15" i="29" s="1"/>
  <c r="W12" i="29"/>
  <c r="AJ17" i="27"/>
  <c r="AN17" i="27" s="1"/>
  <c r="N9" i="43"/>
  <c r="AN17" i="43" s="1"/>
  <c r="O26" i="43"/>
  <c r="BD18" i="43" s="1"/>
  <c r="B12" i="27"/>
  <c r="P12" i="27" s="1"/>
  <c r="B12" i="29"/>
  <c r="AJ20" i="27"/>
  <c r="AN20" i="27" s="1"/>
  <c r="AD15" i="27"/>
  <c r="N14" i="43"/>
  <c r="AR17" i="43" s="1"/>
  <c r="N13" i="43"/>
  <c r="AQ17" i="43" s="1"/>
  <c r="AD11" i="27"/>
  <c r="AF15" i="27"/>
  <c r="AM15" i="27" s="1"/>
  <c r="AF11" i="27"/>
  <c r="AM11" i="27" s="1"/>
  <c r="AJ9" i="27"/>
  <c r="AN9" i="27" s="1"/>
  <c r="W22" i="43"/>
  <c r="AZ26" i="43" s="1"/>
  <c r="X21" i="43"/>
  <c r="AY27" i="43" s="1"/>
  <c r="W19" i="43"/>
  <c r="AW26" i="43" s="1"/>
  <c r="X17" i="29"/>
  <c r="W17" i="43"/>
  <c r="AU26" i="43" s="1"/>
  <c r="V13" i="43"/>
  <c r="AQ25" i="43" s="1"/>
  <c r="V26" i="43"/>
  <c r="BD25" i="43" s="1"/>
  <c r="T23" i="43"/>
  <c r="BA23" i="43" s="1"/>
  <c r="U16" i="43"/>
  <c r="AT24" i="43" s="1"/>
  <c r="AJ15" i="27"/>
  <c r="AN15" i="27" s="1"/>
  <c r="Q16" i="43"/>
  <c r="AT20" i="43" s="1"/>
  <c r="X15" i="43"/>
  <c r="AS27" i="43" s="1"/>
  <c r="AF21" i="27"/>
  <c r="AM21" i="27" s="1"/>
  <c r="S9" i="43"/>
  <c r="AN22" i="43" s="1"/>
  <c r="V21" i="43"/>
  <c r="AY25" i="43" s="1"/>
  <c r="X20" i="43"/>
  <c r="AX27" i="43" s="1"/>
  <c r="Q17" i="43"/>
  <c r="AU20" i="43" s="1"/>
  <c r="AJ16" i="27"/>
  <c r="AN16" i="27" s="1"/>
  <c r="W16" i="43"/>
  <c r="AT26" i="43" s="1"/>
  <c r="AJ10" i="27"/>
  <c r="AN10" i="27" s="1"/>
  <c r="EQ31" i="2"/>
  <c r="Q26" i="43"/>
  <c r="BD20" i="43" s="1"/>
  <c r="AJ25" i="27"/>
  <c r="AN25" i="27" s="1"/>
  <c r="W25" i="43"/>
  <c r="BC26" i="43" s="1"/>
  <c r="U19" i="43"/>
  <c r="AW24" i="43" s="1"/>
  <c r="X18" i="43"/>
  <c r="AV27" i="43" s="1"/>
  <c r="W5" i="43"/>
  <c r="AJ26" i="43" s="1"/>
  <c r="B6" i="50"/>
  <c r="Q6" i="50" s="1"/>
  <c r="B6" i="43"/>
  <c r="AA7" i="39"/>
  <c r="AF7" i="39" s="1"/>
  <c r="E7" i="39"/>
  <c r="O7" i="39"/>
  <c r="J7" i="39"/>
  <c r="A14" i="34"/>
  <c r="B9" i="43"/>
  <c r="B9" i="50"/>
  <c r="Q9" i="50" s="1"/>
  <c r="AA10" i="39"/>
  <c r="AF10" i="39" s="1"/>
  <c r="O10" i="39"/>
  <c r="J10" i="39"/>
  <c r="E10" i="39"/>
  <c r="B14" i="43"/>
  <c r="B13" i="50"/>
  <c r="Q13" i="50" s="1"/>
  <c r="AA14" i="39"/>
  <c r="AF14" i="39" s="1"/>
  <c r="O14" i="39"/>
  <c r="J14" i="39"/>
  <c r="E14" i="39"/>
  <c r="A23" i="34"/>
  <c r="B18" i="50"/>
  <c r="Q18" i="50" s="1"/>
  <c r="B19" i="43"/>
  <c r="AA19" i="39"/>
  <c r="AF19" i="39" s="1"/>
  <c r="E19" i="39"/>
  <c r="O19" i="39"/>
  <c r="J19" i="39"/>
  <c r="B21" i="50"/>
  <c r="Q21" i="50" s="1"/>
  <c r="B22" i="43"/>
  <c r="AA22" i="39"/>
  <c r="AF22" i="39" s="1"/>
  <c r="O22" i="39"/>
  <c r="J22" i="39"/>
  <c r="E22" i="39"/>
  <c r="B26" i="43"/>
  <c r="B25" i="50"/>
  <c r="Q25" i="50" s="1"/>
  <c r="AA26" i="39"/>
  <c r="AF26" i="39" s="1"/>
  <c r="O26" i="39"/>
  <c r="J26" i="39"/>
  <c r="E26" i="39"/>
  <c r="R6" i="43"/>
  <c r="AK6" i="27"/>
  <c r="AP6" i="27" s="1"/>
  <c r="AC26" i="50"/>
  <c r="AC28" i="50"/>
  <c r="T26" i="43"/>
  <c r="BD23" i="43" s="1"/>
  <c r="V20" i="43"/>
  <c r="AX25" i="43" s="1"/>
  <c r="V18" i="43"/>
  <c r="AV25" i="43" s="1"/>
  <c r="N17" i="43"/>
  <c r="AU17" i="43" s="1"/>
  <c r="V15" i="43"/>
  <c r="AS25" i="43" s="1"/>
  <c r="X11" i="43"/>
  <c r="AP27" i="43" s="1"/>
  <c r="X10" i="43"/>
  <c r="AO27" i="43" s="1"/>
  <c r="AF5" i="27"/>
  <c r="V5" i="66" s="1"/>
  <c r="AG5" i="50"/>
  <c r="B8" i="50"/>
  <c r="Q8" i="50" s="1"/>
  <c r="B8" i="43"/>
  <c r="AA9" i="39"/>
  <c r="AF9" i="39" s="1"/>
  <c r="O9" i="39"/>
  <c r="J9" i="39"/>
  <c r="E9" i="39"/>
  <c r="A17" i="34"/>
  <c r="I17" i="34" s="1"/>
  <c r="X22" i="2" s="1"/>
  <c r="I13" i="43" s="1"/>
  <c r="B12" i="50"/>
  <c r="Q12" i="50" s="1"/>
  <c r="B13" i="43"/>
  <c r="AA13" i="39"/>
  <c r="AF13" i="39" s="1"/>
  <c r="O13" i="39"/>
  <c r="J13" i="39"/>
  <c r="E13" i="39"/>
  <c r="A20" i="34"/>
  <c r="B16" i="43"/>
  <c r="B15" i="50"/>
  <c r="Q15" i="50" s="1"/>
  <c r="AA16" i="39"/>
  <c r="AF16" i="39" s="1"/>
  <c r="O16" i="39"/>
  <c r="J16" i="39"/>
  <c r="E16" i="39"/>
  <c r="A22" i="34"/>
  <c r="B17" i="50"/>
  <c r="Q17" i="50" s="1"/>
  <c r="B18" i="43"/>
  <c r="AA18" i="39"/>
  <c r="AF18" i="39" s="1"/>
  <c r="E18" i="39"/>
  <c r="O18" i="39"/>
  <c r="J18" i="39"/>
  <c r="B20" i="50"/>
  <c r="Q20" i="50" s="1"/>
  <c r="B21" i="43"/>
  <c r="AA21" i="39"/>
  <c r="AF21" i="39" s="1"/>
  <c r="E21" i="39"/>
  <c r="O21" i="39"/>
  <c r="J21" i="39"/>
  <c r="B24" i="50"/>
  <c r="Q24" i="50" s="1"/>
  <c r="B25" i="43"/>
  <c r="AA25" i="39"/>
  <c r="AF25" i="39" s="1"/>
  <c r="O25" i="39"/>
  <c r="J25" i="39"/>
  <c r="E25" i="39"/>
  <c r="A33" i="34"/>
  <c r="B28" i="50"/>
  <c r="Q28" i="50" s="1"/>
  <c r="X26" i="43"/>
  <c r="BD27" i="43" s="1"/>
  <c r="AJ23" i="27"/>
  <c r="AN23" i="27" s="1"/>
  <c r="Q24" i="43"/>
  <c r="BB20" i="43" s="1"/>
  <c r="V22" i="43"/>
  <c r="AZ25" i="43" s="1"/>
  <c r="AJ21" i="27"/>
  <c r="AN21" i="27" s="1"/>
  <c r="Q22" i="43"/>
  <c r="AZ20" i="43" s="1"/>
  <c r="N18" i="43"/>
  <c r="AV17" i="43" s="1"/>
  <c r="V17" i="43"/>
  <c r="AU25" i="43" s="1"/>
  <c r="AJ13" i="27"/>
  <c r="AN13" i="27" s="1"/>
  <c r="Q14" i="43"/>
  <c r="AR20" i="43" s="1"/>
  <c r="X13" i="43"/>
  <c r="AQ27" i="43" s="1"/>
  <c r="AJ12" i="27"/>
  <c r="AN12" i="27" s="1"/>
  <c r="Q13" i="43"/>
  <c r="AQ20" i="43" s="1"/>
  <c r="N8" i="43"/>
  <c r="R6" i="29"/>
  <c r="AJ5" i="27"/>
  <c r="AE5" i="27"/>
  <c r="A12" i="34"/>
  <c r="B7" i="50"/>
  <c r="Q7" i="50" s="1"/>
  <c r="B7" i="43"/>
  <c r="AA8" i="39"/>
  <c r="AF8" i="39" s="1"/>
  <c r="O8" i="39"/>
  <c r="J8" i="39"/>
  <c r="E8" i="39"/>
  <c r="A15" i="34"/>
  <c r="B10" i="50"/>
  <c r="Q10" i="50" s="1"/>
  <c r="B10" i="43"/>
  <c r="AA11" i="39"/>
  <c r="AF11" i="39" s="1"/>
  <c r="J11" i="39"/>
  <c r="E11" i="39"/>
  <c r="O11" i="39"/>
  <c r="A21" i="34"/>
  <c r="B17" i="43"/>
  <c r="B16" i="50"/>
  <c r="Q16" i="50" s="1"/>
  <c r="AA17" i="39"/>
  <c r="AF17" i="39" s="1"/>
  <c r="J17" i="39"/>
  <c r="O17" i="39"/>
  <c r="E17" i="39"/>
  <c r="A27" i="34"/>
  <c r="B22" i="50"/>
  <c r="Q22" i="50" s="1"/>
  <c r="B23" i="43"/>
  <c r="AA23" i="39"/>
  <c r="AF23" i="39" s="1"/>
  <c r="J23" i="39"/>
  <c r="O23" i="39"/>
  <c r="E23" i="39"/>
  <c r="A31" i="34"/>
  <c r="B26" i="50"/>
  <c r="Q26" i="50" s="1"/>
  <c r="AC27" i="50"/>
  <c r="X22" i="43"/>
  <c r="AZ27" i="43" s="1"/>
  <c r="N19" i="43"/>
  <c r="AW17" i="43" s="1"/>
  <c r="X17" i="43"/>
  <c r="AU27" i="43" s="1"/>
  <c r="V11" i="43"/>
  <c r="AP25" i="43" s="1"/>
  <c r="V10" i="43"/>
  <c r="AO25" i="43" s="1"/>
  <c r="A16" i="34"/>
  <c r="B11" i="43"/>
  <c r="B11" i="50"/>
  <c r="Q11" i="50" s="1"/>
  <c r="AA12" i="39"/>
  <c r="AF12" i="39" s="1"/>
  <c r="O12" i="39"/>
  <c r="E12" i="39"/>
  <c r="J12" i="39"/>
  <c r="A19" i="34"/>
  <c r="I19" i="34" s="1"/>
  <c r="X24" i="2" s="1"/>
  <c r="I15" i="43" s="1"/>
  <c r="B14" i="50"/>
  <c r="Q14" i="50" s="1"/>
  <c r="B15" i="43"/>
  <c r="AA15" i="39"/>
  <c r="AF15" i="39" s="1"/>
  <c r="O15" i="39"/>
  <c r="J15" i="39"/>
  <c r="E15" i="39"/>
  <c r="A24" i="34"/>
  <c r="B19" i="50"/>
  <c r="Q19" i="50" s="1"/>
  <c r="B20" i="43"/>
  <c r="AA20" i="39"/>
  <c r="AF20" i="39" s="1"/>
  <c r="O20" i="39"/>
  <c r="J20" i="39"/>
  <c r="E20" i="39"/>
  <c r="B23" i="50"/>
  <c r="Q23" i="50" s="1"/>
  <c r="B24" i="43"/>
  <c r="AA24" i="39"/>
  <c r="AF24" i="39" s="1"/>
  <c r="O24" i="39"/>
  <c r="J24" i="39"/>
  <c r="E24" i="39"/>
  <c r="A32" i="34"/>
  <c r="B27" i="50"/>
  <c r="Q27" i="50" s="1"/>
  <c r="AK7" i="27"/>
  <c r="AP7" i="27" s="1"/>
  <c r="AT7" i="27" s="1"/>
  <c r="R7" i="43"/>
  <c r="AP27" i="27"/>
  <c r="AP28" i="27"/>
  <c r="U5" i="43"/>
  <c r="AJ24" i="43" s="1"/>
  <c r="U6" i="43"/>
  <c r="W6" i="43"/>
  <c r="V6" i="43"/>
  <c r="W8" i="43"/>
  <c r="S5" i="43"/>
  <c r="AJ22" i="43" s="1"/>
  <c r="S6" i="43"/>
  <c r="AB5" i="43"/>
  <c r="AJ31" i="43" s="1"/>
  <c r="AB24" i="43"/>
  <c r="BB31" i="43" s="1"/>
  <c r="AB13" i="43"/>
  <c r="AQ31" i="43" s="1"/>
  <c r="AB25" i="43"/>
  <c r="BC31" i="43" s="1"/>
  <c r="AB20" i="43"/>
  <c r="AX31" i="43" s="1"/>
  <c r="AB16" i="43"/>
  <c r="AT31" i="43" s="1"/>
  <c r="AB11" i="43"/>
  <c r="AP31" i="43" s="1"/>
  <c r="AB22" i="43"/>
  <c r="AZ31" i="43" s="1"/>
  <c r="AB21" i="43"/>
  <c r="AY31" i="43" s="1"/>
  <c r="AB19" i="43"/>
  <c r="AW31" i="43" s="1"/>
  <c r="AB15" i="43"/>
  <c r="AS31" i="43" s="1"/>
  <c r="AB10" i="43"/>
  <c r="AO31" i="43" s="1"/>
  <c r="AB7" i="43"/>
  <c r="P7" i="29"/>
  <c r="AB26" i="43"/>
  <c r="BD31" i="43" s="1"/>
  <c r="AB23" i="43"/>
  <c r="BA31" i="43" s="1"/>
  <c r="AB18" i="43"/>
  <c r="AV31" i="43" s="1"/>
  <c r="AB17" i="43"/>
  <c r="AU31" i="43" s="1"/>
  <c r="AB14" i="43"/>
  <c r="AR31" i="43" s="1"/>
  <c r="AB8" i="43"/>
  <c r="AB6" i="43"/>
  <c r="BV23" i="2"/>
  <c r="BV22" i="2"/>
  <c r="BV20" i="2"/>
  <c r="AJ8" i="27"/>
  <c r="AN8" i="27" s="1"/>
  <c r="Q8" i="43"/>
  <c r="AJ6" i="27"/>
  <c r="AN6" i="27" s="1"/>
  <c r="AF25" i="27"/>
  <c r="AM25" i="27" s="1"/>
  <c r="P26" i="43"/>
  <c r="BD19" i="43" s="1"/>
  <c r="AF16" i="27"/>
  <c r="AM16" i="27" s="1"/>
  <c r="P17" i="43"/>
  <c r="AU19" i="43" s="1"/>
  <c r="AF8" i="27"/>
  <c r="AM8" i="27" s="1"/>
  <c r="AF10" i="27"/>
  <c r="AM10" i="27" s="1"/>
  <c r="AF24" i="27"/>
  <c r="AM24" i="27" s="1"/>
  <c r="P25" i="43"/>
  <c r="BC19" i="43" s="1"/>
  <c r="AF23" i="27"/>
  <c r="AM23" i="27" s="1"/>
  <c r="P24" i="43"/>
  <c r="BB19" i="43" s="1"/>
  <c r="AF17" i="27"/>
  <c r="AM17" i="27" s="1"/>
  <c r="P18" i="43"/>
  <c r="AV19" i="43" s="1"/>
  <c r="AF13" i="27"/>
  <c r="AM13" i="27" s="1"/>
  <c r="P14" i="43"/>
  <c r="AR19" i="43" s="1"/>
  <c r="AF9" i="27"/>
  <c r="AM9" i="27" s="1"/>
  <c r="O7" i="43"/>
  <c r="O6" i="43"/>
  <c r="N7" i="43"/>
  <c r="N26" i="43"/>
  <c r="BD17" i="43" s="1"/>
  <c r="N25" i="43"/>
  <c r="BC17" i="43" s="1"/>
  <c r="N23" i="43"/>
  <c r="BA17" i="43" s="1"/>
  <c r="N22" i="43"/>
  <c r="AZ17" i="43" s="1"/>
  <c r="N20" i="43"/>
  <c r="AX17" i="43" s="1"/>
  <c r="N21" i="43"/>
  <c r="AY17" i="43" s="1"/>
  <c r="N16" i="43"/>
  <c r="AT17" i="43" s="1"/>
  <c r="N10" i="43"/>
  <c r="AO17" i="43" s="1"/>
  <c r="AD28" i="27"/>
  <c r="AE28" i="50"/>
  <c r="AD26" i="27"/>
  <c r="AE26" i="50"/>
  <c r="AD27" i="27"/>
  <c r="AE27" i="50"/>
  <c r="AD10" i="27"/>
  <c r="AE10" i="50"/>
  <c r="M10" i="43"/>
  <c r="AO16" i="43" s="1"/>
  <c r="AE25" i="50"/>
  <c r="M26" i="43"/>
  <c r="BD16" i="43" s="1"/>
  <c r="AD24" i="27"/>
  <c r="M25" i="43"/>
  <c r="BC16" i="43" s="1"/>
  <c r="AE24" i="50"/>
  <c r="AD22" i="27"/>
  <c r="M23" i="43"/>
  <c r="BA16" i="43" s="1"/>
  <c r="AE22" i="50"/>
  <c r="AE21" i="50"/>
  <c r="M22" i="43"/>
  <c r="AZ16" i="43" s="1"/>
  <c r="AE19" i="50"/>
  <c r="M20" i="43"/>
  <c r="AX16" i="43" s="1"/>
  <c r="AD13" i="27"/>
  <c r="AE9" i="50"/>
  <c r="M9" i="43"/>
  <c r="AN16" i="43" s="1"/>
  <c r="AE8" i="50"/>
  <c r="M8" i="43"/>
  <c r="M7" i="43"/>
  <c r="AE7" i="50"/>
  <c r="AD25" i="27"/>
  <c r="AD9" i="27"/>
  <c r="AE23" i="50"/>
  <c r="M24" i="43"/>
  <c r="BB16" i="43" s="1"/>
  <c r="M18" i="43"/>
  <c r="AV16" i="43" s="1"/>
  <c r="AE17" i="50"/>
  <c r="AD16" i="27"/>
  <c r="M17" i="43"/>
  <c r="AU16" i="43" s="1"/>
  <c r="AE16" i="50"/>
  <c r="AE12" i="50"/>
  <c r="M13" i="43"/>
  <c r="AQ16" i="43" s="1"/>
  <c r="M11" i="43"/>
  <c r="AP16" i="43" s="1"/>
  <c r="AE11" i="50"/>
  <c r="AE6" i="50"/>
  <c r="M6" i="43"/>
  <c r="AD17" i="27"/>
  <c r="AE15" i="50"/>
  <c r="M16" i="43"/>
  <c r="AT16" i="43" s="1"/>
  <c r="AD6" i="27"/>
  <c r="AD23" i="27"/>
  <c r="AD20" i="27"/>
  <c r="M21" i="43"/>
  <c r="AY16" i="43" s="1"/>
  <c r="AE20" i="50"/>
  <c r="AD18" i="27"/>
  <c r="AE18" i="50"/>
  <c r="M19" i="43"/>
  <c r="AW16" i="43" s="1"/>
  <c r="AD14" i="27"/>
  <c r="AE14" i="50"/>
  <c r="M15" i="43"/>
  <c r="AS16" i="43" s="1"/>
  <c r="AE13" i="50"/>
  <c r="M14" i="43"/>
  <c r="AR16" i="43" s="1"/>
  <c r="AD19" i="27"/>
  <c r="AD8" i="27"/>
  <c r="AC25" i="50"/>
  <c r="K26" i="43"/>
  <c r="BD14" i="43" s="1"/>
  <c r="AC24" i="50"/>
  <c r="K25" i="43"/>
  <c r="BC14" i="43" s="1"/>
  <c r="AC22" i="50"/>
  <c r="K23" i="43"/>
  <c r="BA14" i="43" s="1"/>
  <c r="K24" i="43"/>
  <c r="BB14" i="43" s="1"/>
  <c r="AC23" i="50"/>
  <c r="AG5" i="2"/>
  <c r="AC21" i="50"/>
  <c r="K22" i="43"/>
  <c r="AZ14" i="43" s="1"/>
  <c r="AF5" i="2"/>
  <c r="K20" i="43"/>
  <c r="AX14" i="43" s="1"/>
  <c r="AC19" i="50"/>
  <c r="AC13" i="50"/>
  <c r="K14" i="43"/>
  <c r="AR14" i="43" s="1"/>
  <c r="AB12" i="27"/>
  <c r="AC18" i="50"/>
  <c r="K19" i="43"/>
  <c r="AW14" i="43" s="1"/>
  <c r="K11" i="43"/>
  <c r="AP14" i="43" s="1"/>
  <c r="AC11" i="50"/>
  <c r="AC14" i="50"/>
  <c r="K15" i="43"/>
  <c r="AS14" i="43" s="1"/>
  <c r="K18" i="43"/>
  <c r="AV14" i="43" s="1"/>
  <c r="AC17" i="50"/>
  <c r="AC20" i="50"/>
  <c r="K21" i="43"/>
  <c r="AY14" i="43" s="1"/>
  <c r="AC12" i="50"/>
  <c r="K13" i="43"/>
  <c r="AQ14" i="43" s="1"/>
  <c r="K17" i="43"/>
  <c r="AU14" i="43" s="1"/>
  <c r="AC16" i="50"/>
  <c r="AC15" i="50"/>
  <c r="K16" i="43"/>
  <c r="AT14" i="43" s="1"/>
  <c r="AB13" i="27"/>
  <c r="K10" i="43"/>
  <c r="AO14" i="43" s="1"/>
  <c r="AC10" i="50"/>
  <c r="AB9" i="27"/>
  <c r="K9" i="43"/>
  <c r="AN14" i="43" s="1"/>
  <c r="AC9" i="50"/>
  <c r="K8" i="43"/>
  <c r="AC8" i="50"/>
  <c r="DN115" i="1"/>
  <c r="DN111" i="1"/>
  <c r="AC6" i="50"/>
  <c r="K6" i="43"/>
  <c r="AB7" i="27"/>
  <c r="AC7" i="50"/>
  <c r="K7" i="43"/>
  <c r="AB13" i="50"/>
  <c r="AB28" i="50"/>
  <c r="AB25" i="50"/>
  <c r="AB15" i="50"/>
  <c r="AB10" i="50"/>
  <c r="AB8" i="50"/>
  <c r="AB26" i="50"/>
  <c r="AB24" i="50"/>
  <c r="AB22" i="50"/>
  <c r="AB21" i="50"/>
  <c r="AB20" i="50"/>
  <c r="AB19" i="50"/>
  <c r="AB18" i="50"/>
  <c r="AB14" i="50"/>
  <c r="AS13" i="43"/>
  <c r="AB9" i="50"/>
  <c r="AB27" i="50"/>
  <c r="AB23" i="50"/>
  <c r="AB17" i="50"/>
  <c r="AB16" i="50"/>
  <c r="AB12" i="50"/>
  <c r="AB11" i="50"/>
  <c r="AB7" i="50"/>
  <c r="DN112" i="1"/>
  <c r="AB6" i="50"/>
  <c r="D6" i="43"/>
  <c r="E6" i="50"/>
  <c r="D6" i="50"/>
  <c r="C6" i="43"/>
  <c r="C6" i="27"/>
  <c r="O18" i="2"/>
  <c r="P38" i="2"/>
  <c r="I29" i="2"/>
  <c r="D19" i="50" s="1"/>
  <c r="J19" i="2"/>
  <c r="J30" i="2"/>
  <c r="O37" i="2"/>
  <c r="Q24" i="2"/>
  <c r="F14" i="50" s="1"/>
  <c r="K30" i="2"/>
  <c r="P29" i="2"/>
  <c r="P24" i="2"/>
  <c r="K38" i="2"/>
  <c r="I33" i="2"/>
  <c r="D23" i="50" s="1"/>
  <c r="Q30" i="2"/>
  <c r="E20" i="27" s="1"/>
  <c r="P26" i="2"/>
  <c r="P25" i="2"/>
  <c r="J25" i="2"/>
  <c r="P23" i="2"/>
  <c r="J36" i="2"/>
  <c r="O21" i="2"/>
  <c r="Q20" i="2"/>
  <c r="F10" i="50" s="1"/>
  <c r="K21" i="2"/>
  <c r="I18" i="2"/>
  <c r="C8" i="27" s="1"/>
  <c r="K36" i="2"/>
  <c r="K28" i="2"/>
  <c r="O35" i="2"/>
  <c r="I37" i="2"/>
  <c r="C27" i="27" s="1"/>
  <c r="O36" i="2"/>
  <c r="K32" i="2"/>
  <c r="I34" i="2"/>
  <c r="D24" i="50" s="1"/>
  <c r="I30" i="2"/>
  <c r="P28" i="2"/>
  <c r="CK356" i="1"/>
  <c r="CK368" i="1"/>
  <c r="CK367" i="1"/>
  <c r="CK379" i="1"/>
  <c r="CK365" i="1"/>
  <c r="CK377" i="1"/>
  <c r="CK373" i="1"/>
  <c r="CK370" i="1"/>
  <c r="CK371" i="1"/>
  <c r="CK359" i="1"/>
  <c r="CK350" i="1"/>
  <c r="CK358" i="1"/>
  <c r="AM36" i="2"/>
  <c r="DN36" i="2" s="1"/>
  <c r="AM37" i="2"/>
  <c r="DT37" i="2" s="1"/>
  <c r="CK348" i="1"/>
  <c r="O11" i="43"/>
  <c r="AP18" i="43" s="1"/>
  <c r="CK354" i="1"/>
  <c r="DN344" i="1"/>
  <c r="DN375" i="1"/>
  <c r="DN363" i="1"/>
  <c r="DN347" i="1"/>
  <c r="DN123" i="1"/>
  <c r="DN119" i="1"/>
  <c r="O8" i="43"/>
  <c r="DN320" i="1"/>
  <c r="DN225" i="1"/>
  <c r="DN343" i="1"/>
  <c r="DN339" i="1"/>
  <c r="DN335" i="1"/>
  <c r="DN331" i="1"/>
  <c r="DN319" i="1"/>
  <c r="DN315" i="1"/>
  <c r="DN307" i="1"/>
  <c r="DN291" i="1"/>
  <c r="DN287" i="1"/>
  <c r="DN283" i="1"/>
  <c r="DN271" i="1"/>
  <c r="DN267" i="1"/>
  <c r="DN259" i="1"/>
  <c r="DN251" i="1"/>
  <c r="DN247" i="1"/>
  <c r="DN243" i="1"/>
  <c r="DN239" i="1"/>
  <c r="DN235" i="1"/>
  <c r="DN227" i="1"/>
  <c r="DN223" i="1"/>
  <c r="DN211" i="1"/>
  <c r="AK8" i="27"/>
  <c r="AP8" i="27" s="1"/>
  <c r="AK9" i="27"/>
  <c r="AP9" i="27" s="1"/>
  <c r="AK11" i="27"/>
  <c r="AP11" i="27" s="1"/>
  <c r="AP12" i="27"/>
  <c r="AP15" i="27"/>
  <c r="AP16" i="27"/>
  <c r="AP17" i="27"/>
  <c r="AP19" i="27"/>
  <c r="AP20" i="27"/>
  <c r="AP23" i="27"/>
  <c r="AP24" i="27"/>
  <c r="AP25" i="27"/>
  <c r="AP21" i="27"/>
  <c r="DN230" i="1"/>
  <c r="AP13" i="27"/>
  <c r="DN284" i="1"/>
  <c r="DN321" i="1"/>
  <c r="R7" i="29"/>
  <c r="O7" i="29"/>
  <c r="O19" i="2"/>
  <c r="I19" i="2"/>
  <c r="O23" i="2"/>
  <c r="K22" i="2"/>
  <c r="J22" i="2"/>
  <c r="P21" i="2"/>
  <c r="I20" i="2"/>
  <c r="J37" i="2"/>
  <c r="K35" i="2"/>
  <c r="Q36" i="2"/>
  <c r="E27" i="43" s="1"/>
  <c r="BE8" i="43" s="1"/>
  <c r="I35" i="2"/>
  <c r="Q26" i="2"/>
  <c r="Q25" i="2"/>
  <c r="I31" i="2"/>
  <c r="I25" i="2"/>
  <c r="O24" i="2"/>
  <c r="P37" i="2"/>
  <c r="P36" i="2"/>
  <c r="J35" i="2"/>
  <c r="J34" i="2"/>
  <c r="K33" i="2"/>
  <c r="P32" i="2"/>
  <c r="I32" i="2"/>
  <c r="J31" i="2"/>
  <c r="P31" i="2"/>
  <c r="P30" i="2"/>
  <c r="J29" i="2"/>
  <c r="K29" i="2"/>
  <c r="Q28" i="2"/>
  <c r="I28" i="2"/>
  <c r="J27" i="2"/>
  <c r="I21" i="2"/>
  <c r="Q21" i="2"/>
  <c r="J23" i="2"/>
  <c r="P22" i="2"/>
  <c r="P20" i="2"/>
  <c r="P19" i="2"/>
  <c r="Q23" i="2"/>
  <c r="K27" i="2"/>
  <c r="K37" i="2"/>
  <c r="I22" i="2"/>
  <c r="O25" i="2"/>
  <c r="J21" i="2"/>
  <c r="J20" i="2"/>
  <c r="I38" i="2"/>
  <c r="C29" i="43" s="1"/>
  <c r="BG6" i="43" s="1"/>
  <c r="Q32" i="2"/>
  <c r="I27" i="2"/>
  <c r="O20" i="2"/>
  <c r="Q22" i="2"/>
  <c r="Q34" i="2"/>
  <c r="P27" i="2"/>
  <c r="K24" i="2"/>
  <c r="K23" i="2"/>
  <c r="Q33" i="2"/>
  <c r="Q18" i="2"/>
  <c r="J38" i="2"/>
  <c r="O33" i="2"/>
  <c r="Q19" i="2"/>
  <c r="Q31" i="2"/>
  <c r="Q35" i="2"/>
  <c r="Q37" i="2"/>
  <c r="E28" i="43" s="1"/>
  <c r="BF8" i="43" s="1"/>
  <c r="K34" i="2"/>
  <c r="K20" i="2"/>
  <c r="K18" i="2"/>
  <c r="O27" i="2"/>
  <c r="P35" i="2"/>
  <c r="O34" i="2"/>
  <c r="J33" i="2"/>
  <c r="P33" i="2"/>
  <c r="J32" i="2"/>
  <c r="K31" i="2"/>
  <c r="O30" i="2"/>
  <c r="J28" i="2"/>
  <c r="K26" i="2"/>
  <c r="K25" i="2"/>
  <c r="J24" i="2"/>
  <c r="I24" i="2"/>
  <c r="J18" i="2"/>
  <c r="P18" i="2"/>
  <c r="O38" i="2"/>
  <c r="O26" i="2"/>
  <c r="O22" i="2"/>
  <c r="I23" i="2"/>
  <c r="O29" i="2"/>
  <c r="O31" i="2"/>
  <c r="K19" i="2"/>
  <c r="Q27" i="2"/>
  <c r="E7" i="50"/>
  <c r="D7" i="43"/>
  <c r="F8" i="39"/>
  <c r="D7" i="29"/>
  <c r="Q8" i="39" s="1"/>
  <c r="DN160" i="1"/>
  <c r="DN207" i="1"/>
  <c r="DN203" i="1"/>
  <c r="DN199" i="1"/>
  <c r="DN195" i="1"/>
  <c r="DN191" i="1"/>
  <c r="DN183" i="1"/>
  <c r="DN179" i="1"/>
  <c r="DN175" i="1"/>
  <c r="DN171" i="1"/>
  <c r="DN167" i="1"/>
  <c r="DN163" i="1"/>
  <c r="DN159" i="1"/>
  <c r="DN155" i="1"/>
  <c r="DN151" i="1"/>
  <c r="DN147" i="1"/>
  <c r="DN143" i="1"/>
  <c r="DN139" i="1"/>
  <c r="DN135" i="1"/>
  <c r="DN215" i="1"/>
  <c r="DN351" i="1"/>
  <c r="BW35" i="2"/>
  <c r="BW34" i="2"/>
  <c r="DN106" i="1"/>
  <c r="BW10" i="2"/>
  <c r="DN323" i="1"/>
  <c r="DN275" i="1"/>
  <c r="DN107" i="1"/>
  <c r="DN274" i="1"/>
  <c r="DN340" i="1"/>
  <c r="DN108" i="1"/>
  <c r="DN346" i="1"/>
  <c r="DN342" i="1"/>
  <c r="DN338" i="1"/>
  <c r="DN326" i="1"/>
  <c r="DN318" i="1"/>
  <c r="DN302" i="1"/>
  <c r="DN298" i="1"/>
  <c r="DN294" i="1"/>
  <c r="DN282" i="1"/>
  <c r="DN278" i="1"/>
  <c r="DN270" i="1"/>
  <c r="DN266" i="1"/>
  <c r="DN262" i="1"/>
  <c r="DN258" i="1"/>
  <c r="DN254" i="1"/>
  <c r="DN250" i="1"/>
  <c r="DN242" i="1"/>
  <c r="DN226" i="1"/>
  <c r="DN222" i="1"/>
  <c r="DN218" i="1"/>
  <c r="DN210" i="1"/>
  <c r="DN202" i="1"/>
  <c r="DN198" i="1"/>
  <c r="DN194" i="1"/>
  <c r="DN186" i="1"/>
  <c r="DN182" i="1"/>
  <c r="DN174" i="1"/>
  <c r="DN170" i="1"/>
  <c r="DN162" i="1"/>
  <c r="DN150" i="1"/>
  <c r="DN146" i="1"/>
  <c r="DN134" i="1"/>
  <c r="DN130" i="1"/>
  <c r="DN126" i="1"/>
  <c r="DN114" i="1"/>
  <c r="DN110" i="1"/>
  <c r="DN113" i="1"/>
  <c r="DN109" i="1"/>
  <c r="DN105" i="1"/>
  <c r="DN355" i="1"/>
  <c r="DN332" i="1"/>
  <c r="AD23" i="50"/>
  <c r="L24" i="43"/>
  <c r="BB15" i="43" s="1"/>
  <c r="DN246" i="1"/>
  <c r="DN206" i="1"/>
  <c r="DN158" i="1"/>
  <c r="DN138" i="1"/>
  <c r="L26" i="43"/>
  <c r="BD15" i="43" s="1"/>
  <c r="AD25" i="50"/>
  <c r="BW29" i="2"/>
  <c r="DN295" i="1"/>
  <c r="DN131" i="1"/>
  <c r="DN127" i="1"/>
  <c r="DN336" i="1"/>
  <c r="AC26" i="27"/>
  <c r="AD26" i="50"/>
  <c r="AC27" i="27"/>
  <c r="AD27" i="50"/>
  <c r="DN334" i="1"/>
  <c r="DN288" i="1"/>
  <c r="BW30" i="2"/>
  <c r="AC28" i="27"/>
  <c r="AD28" i="50"/>
  <c r="L25" i="43"/>
  <c r="BC15" i="43" s="1"/>
  <c r="AD24" i="50"/>
  <c r="AC21" i="27"/>
  <c r="L22" i="43"/>
  <c r="AZ15" i="43" s="1"/>
  <c r="AD21" i="50"/>
  <c r="DN286" i="1"/>
  <c r="DN317" i="1"/>
  <c r="AC22" i="27"/>
  <c r="AD22" i="50"/>
  <c r="L23" i="43"/>
  <c r="BA15" i="43" s="1"/>
  <c r="AC20" i="27"/>
  <c r="L21" i="43"/>
  <c r="AY15" i="43" s="1"/>
  <c r="AD20" i="50"/>
  <c r="AC19" i="27"/>
  <c r="L20" i="43"/>
  <c r="AX15" i="43" s="1"/>
  <c r="AD19" i="50"/>
  <c r="AC6" i="27"/>
  <c r="L6" i="43"/>
  <c r="AD6" i="50"/>
  <c r="DN369" i="1"/>
  <c r="DN361" i="1"/>
  <c r="DN357" i="1"/>
  <c r="DN353" i="1"/>
  <c r="DN349" i="1"/>
  <c r="DN345" i="1"/>
  <c r="DN341" i="1"/>
  <c r="DN337" i="1"/>
  <c r="DN333" i="1"/>
  <c r="DN376" i="1"/>
  <c r="DN364" i="1"/>
  <c r="DN352" i="1"/>
  <c r="AC12" i="27"/>
  <c r="L13" i="43"/>
  <c r="AQ15" i="43" s="1"/>
  <c r="AD12" i="50"/>
  <c r="DN255" i="1"/>
  <c r="AC16" i="27"/>
  <c r="L17" i="43"/>
  <c r="AU15" i="43" s="1"/>
  <c r="AD16" i="50"/>
  <c r="AC15" i="27"/>
  <c r="AD15" i="50"/>
  <c r="L16" i="43"/>
  <c r="AT15" i="43" s="1"/>
  <c r="AC11" i="27"/>
  <c r="L11" i="43"/>
  <c r="AP15" i="43" s="1"/>
  <c r="AD11" i="50"/>
  <c r="AC8" i="27"/>
  <c r="L8" i="43"/>
  <c r="AD8" i="50"/>
  <c r="DN178" i="1"/>
  <c r="DN166" i="1"/>
  <c r="BW26" i="2"/>
  <c r="AC18" i="27"/>
  <c r="L19" i="43"/>
  <c r="AW15" i="43" s="1"/>
  <c r="AD18" i="50"/>
  <c r="DN219" i="1"/>
  <c r="AC9" i="27"/>
  <c r="L9" i="43"/>
  <c r="AN15" i="43" s="1"/>
  <c r="AD9" i="50"/>
  <c r="DN238" i="1"/>
  <c r="DN214" i="1"/>
  <c r="AC17" i="27"/>
  <c r="L18" i="43"/>
  <c r="AV15" i="43" s="1"/>
  <c r="AD17" i="50"/>
  <c r="BW23" i="2"/>
  <c r="DN231" i="1"/>
  <c r="DN118" i="1"/>
  <c r="AC14" i="27"/>
  <c r="AD14" i="50"/>
  <c r="L15" i="43"/>
  <c r="AS15" i="43" s="1"/>
  <c r="AC13" i="27"/>
  <c r="L14" i="43"/>
  <c r="AR15" i="43" s="1"/>
  <c r="AD13" i="50"/>
  <c r="AC10" i="27"/>
  <c r="L10" i="43"/>
  <c r="AO15" i="43" s="1"/>
  <c r="AD10" i="50"/>
  <c r="DN161" i="1"/>
  <c r="AC7" i="27"/>
  <c r="AD7" i="50"/>
  <c r="L7" i="43"/>
  <c r="BD5" i="2"/>
  <c r="DN311" i="1"/>
  <c r="DN299" i="1"/>
  <c r="BW33" i="2"/>
  <c r="BW25" i="2"/>
  <c r="BW24" i="2"/>
  <c r="DN257" i="1"/>
  <c r="DN187" i="1"/>
  <c r="BW22" i="2"/>
  <c r="U8" i="43"/>
  <c r="U22" i="43"/>
  <c r="AZ24" i="43" s="1"/>
  <c r="T9" i="43"/>
  <c r="AN23" i="43" s="1"/>
  <c r="DN306" i="1"/>
  <c r="DN310" i="1"/>
  <c r="BW27" i="2"/>
  <c r="DN279" i="1"/>
  <c r="DN263" i="1"/>
  <c r="DN234" i="1"/>
  <c r="BW28" i="2"/>
  <c r="DN303" i="1"/>
  <c r="BW21" i="2"/>
  <c r="BW20" i="2"/>
  <c r="BW18" i="2"/>
  <c r="S21" i="43"/>
  <c r="AY22" i="43" s="1"/>
  <c r="U25" i="43"/>
  <c r="BC24" i="43" s="1"/>
  <c r="T14" i="43"/>
  <c r="AR23" i="43" s="1"/>
  <c r="T11" i="43"/>
  <c r="AP23" i="43" s="1"/>
  <c r="BW32" i="2"/>
  <c r="DN304" i="1"/>
  <c r="DN290" i="1"/>
  <c r="T15" i="43"/>
  <c r="AS23" i="43" s="1"/>
  <c r="DN330" i="1"/>
  <c r="DN314" i="1"/>
  <c r="DN322" i="1"/>
  <c r="BW31" i="2"/>
  <c r="DN285" i="1"/>
  <c r="BW19" i="2"/>
  <c r="DN122" i="1"/>
  <c r="U7" i="43"/>
  <c r="S23" i="43"/>
  <c r="BA22" i="43" s="1"/>
  <c r="S16" i="43"/>
  <c r="AT22" i="43" s="1"/>
  <c r="T22" i="43"/>
  <c r="AZ23" i="43" s="1"/>
  <c r="T16" i="43"/>
  <c r="AT23" i="43" s="1"/>
  <c r="U10" i="43"/>
  <c r="AO24" i="43" s="1"/>
  <c r="S25" i="43"/>
  <c r="BC22" i="43" s="1"/>
  <c r="S24" i="43"/>
  <c r="BB22" i="43" s="1"/>
  <c r="U11" i="43"/>
  <c r="AP24" i="43" s="1"/>
  <c r="T10" i="43"/>
  <c r="AO23" i="43" s="1"/>
  <c r="S14" i="43"/>
  <c r="AR22" i="43" s="1"/>
  <c r="S7" i="43"/>
  <c r="S13" i="43"/>
  <c r="AQ22" i="43" s="1"/>
  <c r="DN329" i="1"/>
  <c r="DN325" i="1"/>
  <c r="DN313" i="1"/>
  <c r="DN309" i="1"/>
  <c r="DN305" i="1"/>
  <c r="DN301" i="1"/>
  <c r="DN297" i="1"/>
  <c r="DN293" i="1"/>
  <c r="DN289" i="1"/>
  <c r="DN281" i="1"/>
  <c r="DN277" i="1"/>
  <c r="DN273" i="1"/>
  <c r="DN269" i="1"/>
  <c r="DN265" i="1"/>
  <c r="DN261" i="1"/>
  <c r="DN253" i="1"/>
  <c r="DN249" i="1"/>
  <c r="DN245" i="1"/>
  <c r="DN241" i="1"/>
  <c r="DN237" i="1"/>
  <c r="DN233" i="1"/>
  <c r="DN229" i="1"/>
  <c r="DN221" i="1"/>
  <c r="DN217" i="1"/>
  <c r="DN213" i="1"/>
  <c r="DN209" i="1"/>
  <c r="DN205" i="1"/>
  <c r="DN201" i="1"/>
  <c r="DN197" i="1"/>
  <c r="DN193" i="1"/>
  <c r="DN189" i="1"/>
  <c r="DN185" i="1"/>
  <c r="DN181" i="1"/>
  <c r="DN177" i="1"/>
  <c r="DN173" i="1"/>
  <c r="DN169" i="1"/>
  <c r="DN165" i="1"/>
  <c r="DN157" i="1"/>
  <c r="DN153" i="1"/>
  <c r="DN149" i="1"/>
  <c r="DN145" i="1"/>
  <c r="DN141" i="1"/>
  <c r="DN137" i="1"/>
  <c r="DN133" i="1"/>
  <c r="DN129" i="1"/>
  <c r="DN125" i="1"/>
  <c r="DN121" i="1"/>
  <c r="DN117" i="1"/>
  <c r="S20" i="43"/>
  <c r="AX22" i="43" s="1"/>
  <c r="T20" i="43"/>
  <c r="AX23" i="43" s="1"/>
  <c r="T18" i="43"/>
  <c r="AV23" i="43" s="1"/>
  <c r="T17" i="43"/>
  <c r="AU23" i="43" s="1"/>
  <c r="T13" i="43"/>
  <c r="AQ23" i="43" s="1"/>
  <c r="T8" i="43"/>
  <c r="DN324" i="1"/>
  <c r="DN316" i="1"/>
  <c r="DN312" i="1"/>
  <c r="DN308" i="1"/>
  <c r="DN300" i="1"/>
  <c r="DN296" i="1"/>
  <c r="DN292" i="1"/>
  <c r="DN280" i="1"/>
  <c r="DN276" i="1"/>
  <c r="DN272" i="1"/>
  <c r="DN268" i="1"/>
  <c r="DN264" i="1"/>
  <c r="DN260" i="1"/>
  <c r="DN256" i="1"/>
  <c r="DN252" i="1"/>
  <c r="DN248" i="1"/>
  <c r="DN244" i="1"/>
  <c r="DN240" i="1"/>
  <c r="DN236" i="1"/>
  <c r="DN232" i="1"/>
  <c r="DN228" i="1"/>
  <c r="DN224" i="1"/>
  <c r="DN220" i="1"/>
  <c r="DN216" i="1"/>
  <c r="DN212" i="1"/>
  <c r="DN208" i="1"/>
  <c r="DN204" i="1"/>
  <c r="DN200" i="1"/>
  <c r="DN196" i="1"/>
  <c r="DN192" i="1"/>
  <c r="DN188" i="1"/>
  <c r="DN184" i="1"/>
  <c r="DN180" i="1"/>
  <c r="DN172" i="1"/>
  <c r="DN168" i="1"/>
  <c r="DN164" i="1"/>
  <c r="DN156" i="1"/>
  <c r="DN152" i="1"/>
  <c r="DN148" i="1"/>
  <c r="DN144" i="1"/>
  <c r="DN140" i="1"/>
  <c r="DN136" i="1"/>
  <c r="DN132" i="1"/>
  <c r="DN124" i="1"/>
  <c r="DN120" i="1"/>
  <c r="DN116" i="1"/>
  <c r="Q6" i="29"/>
  <c r="AC23" i="27"/>
  <c r="A18" i="34"/>
  <c r="I18" i="34" s="1"/>
  <c r="X23" i="2" s="1"/>
  <c r="I14" i="43" s="1"/>
  <c r="AC25" i="27"/>
  <c r="AF18" i="27"/>
  <c r="AM18" i="27" s="1"/>
  <c r="B13" i="29"/>
  <c r="AB15" i="27"/>
  <c r="B6" i="27"/>
  <c r="P6" i="27" s="1"/>
  <c r="AB21" i="27"/>
  <c r="A29" i="34"/>
  <c r="B24" i="27"/>
  <c r="P24" i="27" s="1"/>
  <c r="B24" i="29"/>
  <c r="F24" i="29" s="1"/>
  <c r="A26" i="34"/>
  <c r="B21" i="27"/>
  <c r="P21" i="27" s="1"/>
  <c r="B6" i="29"/>
  <c r="AB23" i="27"/>
  <c r="AD12" i="27"/>
  <c r="AC24" i="27"/>
  <c r="B21" i="29"/>
  <c r="F21" i="29" s="1"/>
  <c r="B13" i="27"/>
  <c r="P13" i="27" s="1"/>
  <c r="AB28" i="27"/>
  <c r="AB27" i="27"/>
  <c r="AB26" i="27"/>
  <c r="AB22" i="27"/>
  <c r="AB19" i="27"/>
  <c r="AB17" i="27"/>
  <c r="AB16" i="27"/>
  <c r="AB14" i="27"/>
  <c r="AB11" i="27"/>
  <c r="C12" i="34"/>
  <c r="AB6" i="27"/>
  <c r="A13" i="34"/>
  <c r="A25" i="34"/>
  <c r="AK10" i="27"/>
  <c r="AP10" i="27" s="1"/>
  <c r="AP14" i="27"/>
  <c r="AP18" i="27"/>
  <c r="AP22" i="27"/>
  <c r="AP26" i="27"/>
  <c r="AB25" i="27"/>
  <c r="AB24" i="27"/>
  <c r="AB18" i="27"/>
  <c r="AB10" i="27"/>
  <c r="AB20" i="27"/>
  <c r="AB8" i="27"/>
  <c r="A28" i="34"/>
  <c r="A30" i="34"/>
  <c r="B7" i="27"/>
  <c r="P7" i="27" s="1"/>
  <c r="B25" i="27"/>
  <c r="P25" i="27" s="1"/>
  <c r="CQ35" i="2"/>
  <c r="CQ31" i="2"/>
  <c r="CQ22" i="2"/>
  <c r="DN176" i="1"/>
  <c r="Q7" i="29"/>
  <c r="CQ36" i="2"/>
  <c r="CQ34" i="2"/>
  <c r="CQ33" i="2"/>
  <c r="CQ30" i="2"/>
  <c r="CQ29" i="2"/>
  <c r="CQ28" i="2"/>
  <c r="CQ27" i="2"/>
  <c r="CQ26" i="2"/>
  <c r="CQ23" i="2"/>
  <c r="DN190" i="1"/>
  <c r="CQ21" i="2"/>
  <c r="CQ20" i="2"/>
  <c r="DN154" i="1"/>
  <c r="DN142" i="1"/>
  <c r="CQ19" i="2"/>
  <c r="P6" i="29"/>
  <c r="DN104" i="1"/>
  <c r="CQ38" i="2"/>
  <c r="CQ37" i="2"/>
  <c r="CQ32" i="2"/>
  <c r="CQ25" i="2"/>
  <c r="CQ24" i="2"/>
  <c r="CQ18" i="2"/>
  <c r="W24" i="70" l="1"/>
  <c r="AD260" i="70"/>
  <c r="AF246" i="70"/>
  <c r="N246" i="70"/>
  <c r="AF241" i="70"/>
  <c r="N241" i="70"/>
  <c r="X17" i="70"/>
  <c r="AE176" i="70"/>
  <c r="AF176" i="70"/>
  <c r="Y17" i="70"/>
  <c r="N176" i="70"/>
  <c r="AF180" i="70"/>
  <c r="N180" i="70"/>
  <c r="AF208" i="70"/>
  <c r="N208" i="70"/>
  <c r="AD236" i="70"/>
  <c r="W22" i="70"/>
  <c r="AD207" i="70"/>
  <c r="R20" i="70"/>
  <c r="AF227" i="70"/>
  <c r="N227" i="70"/>
  <c r="AF221" i="70"/>
  <c r="N221" i="70"/>
  <c r="AF237" i="70"/>
  <c r="N237" i="70"/>
  <c r="T23" i="70"/>
  <c r="AF243" i="70"/>
  <c r="N243" i="70"/>
  <c r="AE236" i="70"/>
  <c r="X22" i="70"/>
  <c r="AF240" i="70"/>
  <c r="N240" i="70"/>
  <c r="AF207" i="70"/>
  <c r="T20" i="70"/>
  <c r="N207" i="70"/>
  <c r="AF173" i="70"/>
  <c r="N173" i="70"/>
  <c r="AF212" i="70"/>
  <c r="Y20" i="70"/>
  <c r="N212" i="70"/>
  <c r="S17" i="70"/>
  <c r="AE171" i="70"/>
  <c r="AJ17" i="70" s="1"/>
  <c r="AE188" i="70"/>
  <c r="X18" i="70"/>
  <c r="AF179" i="70"/>
  <c r="N179" i="70"/>
  <c r="AF181" i="70"/>
  <c r="N181" i="70"/>
  <c r="N358" i="70"/>
  <c r="AF358" i="70"/>
  <c r="N353" i="70"/>
  <c r="AF353" i="70"/>
  <c r="AF276" i="70"/>
  <c r="N276" i="70"/>
  <c r="N280" i="70"/>
  <c r="AF280" i="70"/>
  <c r="AF258" i="70"/>
  <c r="N258" i="70"/>
  <c r="N351" i="70"/>
  <c r="AF351" i="70"/>
  <c r="N333" i="70"/>
  <c r="AF333" i="70"/>
  <c r="N300" i="70"/>
  <c r="AF300" i="70"/>
  <c r="N374" i="70"/>
  <c r="AF374" i="70"/>
  <c r="AF260" i="70"/>
  <c r="Y24" i="70"/>
  <c r="N260" i="70"/>
  <c r="AF261" i="70"/>
  <c r="N261" i="70"/>
  <c r="N341" i="70"/>
  <c r="AF341" i="70"/>
  <c r="AF264" i="70"/>
  <c r="N264" i="70"/>
  <c r="N338" i="70"/>
  <c r="AF338" i="70"/>
  <c r="AD188" i="70"/>
  <c r="W18" i="70"/>
  <c r="AE255" i="70"/>
  <c r="S24" i="70"/>
  <c r="AF182" i="70"/>
  <c r="N182" i="70"/>
  <c r="AD224" i="70"/>
  <c r="W21" i="70"/>
  <c r="AD176" i="70"/>
  <c r="W17" i="70"/>
  <c r="AD183" i="70"/>
  <c r="AI18" i="70" s="1"/>
  <c r="R18" i="70"/>
  <c r="AD200" i="70"/>
  <c r="W19" i="70"/>
  <c r="AF233" i="70"/>
  <c r="N233" i="70"/>
  <c r="AF222" i="70"/>
  <c r="N222" i="70"/>
  <c r="AF220" i="70"/>
  <c r="N220" i="70"/>
  <c r="AF171" i="70"/>
  <c r="T17" i="70"/>
  <c r="N171" i="70"/>
  <c r="AF210" i="70"/>
  <c r="N210" i="70"/>
  <c r="AF205" i="70"/>
  <c r="N205" i="70"/>
  <c r="AF187" i="70"/>
  <c r="N187" i="70"/>
  <c r="AF215" i="70"/>
  <c r="N215" i="70"/>
  <c r="S20" i="70"/>
  <c r="AE207" i="70"/>
  <c r="N331" i="70"/>
  <c r="AF331" i="70"/>
  <c r="N298" i="70"/>
  <c r="AF298" i="70"/>
  <c r="N324" i="70"/>
  <c r="AF324" i="70"/>
  <c r="N297" i="70"/>
  <c r="AF297" i="70"/>
  <c r="N283" i="70"/>
  <c r="AF283" i="70"/>
  <c r="N316" i="70"/>
  <c r="AF316" i="70"/>
  <c r="N348" i="70"/>
  <c r="AF348" i="70"/>
  <c r="AF262" i="70"/>
  <c r="N262" i="70"/>
  <c r="AF308" i="70"/>
  <c r="N308" i="70"/>
  <c r="N345" i="70"/>
  <c r="AF345" i="70"/>
  <c r="N370" i="70"/>
  <c r="AF370" i="70"/>
  <c r="N346" i="70"/>
  <c r="AF346" i="70"/>
  <c r="N312" i="70"/>
  <c r="AF312" i="70"/>
  <c r="N282" i="70"/>
  <c r="AF282" i="70"/>
  <c r="AA11" i="29"/>
  <c r="AD171" i="70"/>
  <c r="AI17" i="70" s="1"/>
  <c r="R17" i="70"/>
  <c r="AD231" i="70"/>
  <c r="AI22" i="70" s="1"/>
  <c r="R22" i="70"/>
  <c r="AD248" i="70"/>
  <c r="W23" i="70"/>
  <c r="W30" i="70" s="1"/>
  <c r="AF236" i="70"/>
  <c r="Y22" i="70"/>
  <c r="N236" i="70"/>
  <c r="AF254" i="70"/>
  <c r="N254" i="70"/>
  <c r="AF244" i="70"/>
  <c r="N244" i="70"/>
  <c r="AF234" i="70"/>
  <c r="N234" i="70"/>
  <c r="AF231" i="70"/>
  <c r="T22" i="70"/>
  <c r="N231" i="70"/>
  <c r="AF230" i="70"/>
  <c r="N230" i="70"/>
  <c r="AF183" i="70"/>
  <c r="T18" i="70"/>
  <c r="N183" i="70"/>
  <c r="AF191" i="70"/>
  <c r="N191" i="70"/>
  <c r="AF206" i="70"/>
  <c r="N206" i="70"/>
  <c r="AF177" i="70"/>
  <c r="N177" i="70"/>
  <c r="AF203" i="70"/>
  <c r="N203" i="70"/>
  <c r="AF198" i="70"/>
  <c r="N198" i="70"/>
  <c r="AF189" i="70"/>
  <c r="N189" i="70"/>
  <c r="AF193" i="70"/>
  <c r="N193" i="70"/>
  <c r="AF199" i="70"/>
  <c r="N199" i="70"/>
  <c r="N285" i="70"/>
  <c r="AF285" i="70"/>
  <c r="N372" i="70"/>
  <c r="AF372" i="70"/>
  <c r="N294" i="70"/>
  <c r="AF294" i="70"/>
  <c r="AF274" i="70"/>
  <c r="N274" i="70"/>
  <c r="N296" i="70"/>
  <c r="AF296" i="70"/>
  <c r="N340" i="70"/>
  <c r="AF340" i="70"/>
  <c r="AF269" i="70"/>
  <c r="N269" i="70"/>
  <c r="N323" i="70"/>
  <c r="AF323" i="70"/>
  <c r="AF352" i="70"/>
  <c r="N352" i="70"/>
  <c r="N367" i="70"/>
  <c r="AF367" i="70"/>
  <c r="AF356" i="70"/>
  <c r="N356" i="70"/>
  <c r="AF339" i="70"/>
  <c r="N339" i="70"/>
  <c r="AF275" i="70"/>
  <c r="N275" i="70"/>
  <c r="N295" i="70"/>
  <c r="AF295" i="70"/>
  <c r="N310" i="70"/>
  <c r="AF310" i="70"/>
  <c r="N360" i="70"/>
  <c r="AF360" i="70"/>
  <c r="N330" i="70"/>
  <c r="AF330" i="70"/>
  <c r="AD219" i="70"/>
  <c r="AI21" i="70" s="1"/>
  <c r="R21" i="70"/>
  <c r="R19" i="70"/>
  <c r="AD195" i="70"/>
  <c r="AD255" i="70"/>
  <c r="R24" i="70"/>
  <c r="AF238" i="70"/>
  <c r="N238" i="70"/>
  <c r="AF219" i="70"/>
  <c r="T21" i="70"/>
  <c r="N219" i="70"/>
  <c r="AF245" i="70"/>
  <c r="N245" i="70"/>
  <c r="X21" i="70"/>
  <c r="AE224" i="70"/>
  <c r="AF253" i="70"/>
  <c r="N253" i="70"/>
  <c r="S23" i="70"/>
  <c r="S30" i="70" s="1"/>
  <c r="AE243" i="70"/>
  <c r="AF223" i="70"/>
  <c r="N223" i="70"/>
  <c r="AF195" i="70"/>
  <c r="T19" i="70"/>
  <c r="N195" i="70"/>
  <c r="AF192" i="70"/>
  <c r="N192" i="70"/>
  <c r="AF196" i="70"/>
  <c r="N196" i="70"/>
  <c r="AF204" i="70"/>
  <c r="N204" i="70"/>
  <c r="AE183" i="70"/>
  <c r="AJ18" i="70" s="1"/>
  <c r="S18" i="70"/>
  <c r="N343" i="70"/>
  <c r="AF343" i="70"/>
  <c r="N292" i="70"/>
  <c r="AF292" i="70"/>
  <c r="AF342" i="70"/>
  <c r="N342" i="70"/>
  <c r="AF291" i="70"/>
  <c r="N291" i="70"/>
  <c r="AF357" i="70"/>
  <c r="N357" i="70"/>
  <c r="N281" i="70"/>
  <c r="AF281" i="70"/>
  <c r="N288" i="70"/>
  <c r="AF288" i="70"/>
  <c r="AF265" i="70"/>
  <c r="N265" i="70"/>
  <c r="AF270" i="70"/>
  <c r="N270" i="70"/>
  <c r="N317" i="70"/>
  <c r="AF317" i="70"/>
  <c r="N328" i="70"/>
  <c r="AF328" i="70"/>
  <c r="N267" i="70"/>
  <c r="AF267" i="70"/>
  <c r="AF268" i="70"/>
  <c r="N268" i="70"/>
  <c r="N271" i="70"/>
  <c r="AF271" i="70"/>
  <c r="AD243" i="70"/>
  <c r="AI23" i="70" s="1"/>
  <c r="R23" i="70"/>
  <c r="AF225" i="70"/>
  <c r="N225" i="70"/>
  <c r="AF247" i="70"/>
  <c r="N247" i="70"/>
  <c r="AF229" i="70"/>
  <c r="N229" i="70"/>
  <c r="AF226" i="70"/>
  <c r="N226" i="70"/>
  <c r="AF242" i="70"/>
  <c r="N242" i="70"/>
  <c r="AF178" i="70"/>
  <c r="N178" i="70"/>
  <c r="AF202" i="70"/>
  <c r="N202" i="70"/>
  <c r="AF214" i="70"/>
  <c r="N214" i="70"/>
  <c r="AE195" i="70"/>
  <c r="AJ19" i="70" s="1"/>
  <c r="S19" i="70"/>
  <c r="AF186" i="70"/>
  <c r="N186" i="70"/>
  <c r="AF174" i="70"/>
  <c r="N174" i="70"/>
  <c r="AF211" i="70"/>
  <c r="N211" i="70"/>
  <c r="N279" i="70"/>
  <c r="AF279" i="70"/>
  <c r="AF263" i="70"/>
  <c r="N263" i="70"/>
  <c r="N289" i="70"/>
  <c r="AF289" i="70"/>
  <c r="N355" i="70"/>
  <c r="AF355" i="70"/>
  <c r="N321" i="70"/>
  <c r="AF321" i="70"/>
  <c r="N371" i="70"/>
  <c r="AF371" i="70"/>
  <c r="AF322" i="70"/>
  <c r="N322" i="70"/>
  <c r="AF329" i="70"/>
  <c r="N329" i="70"/>
  <c r="N301" i="70"/>
  <c r="AF301" i="70"/>
  <c r="N313" i="70"/>
  <c r="AF313" i="70"/>
  <c r="N318" i="70"/>
  <c r="AF318" i="70"/>
  <c r="N304" i="70"/>
  <c r="AF304" i="70"/>
  <c r="N315" i="70"/>
  <c r="AF315" i="70"/>
  <c r="AF277" i="70"/>
  <c r="N277" i="70"/>
  <c r="N319" i="70"/>
  <c r="AF319" i="70"/>
  <c r="AF250" i="70"/>
  <c r="N250" i="70"/>
  <c r="AF249" i="70"/>
  <c r="N249" i="70"/>
  <c r="AE231" i="70"/>
  <c r="AJ22" i="70" s="1"/>
  <c r="S22" i="70"/>
  <c r="AF209" i="70"/>
  <c r="N209" i="70"/>
  <c r="AF217" i="70"/>
  <c r="N217" i="70"/>
  <c r="AF175" i="70"/>
  <c r="N175" i="70"/>
  <c r="AF201" i="70"/>
  <c r="N201" i="70"/>
  <c r="AF172" i="70"/>
  <c r="N172" i="70"/>
  <c r="AF213" i="70"/>
  <c r="N213" i="70"/>
  <c r="AF185" i="70"/>
  <c r="N185" i="70"/>
  <c r="X19" i="70"/>
  <c r="AE200" i="70"/>
  <c r="N327" i="70"/>
  <c r="AF327" i="70"/>
  <c r="N311" i="70"/>
  <c r="AF311" i="70"/>
  <c r="N337" i="70"/>
  <c r="AF337" i="70"/>
  <c r="N284" i="70"/>
  <c r="AF284" i="70"/>
  <c r="N365" i="70"/>
  <c r="AF365" i="70"/>
  <c r="N336" i="70"/>
  <c r="AF336" i="70"/>
  <c r="N364" i="70"/>
  <c r="AF364" i="70"/>
  <c r="N334" i="70"/>
  <c r="AF334" i="70"/>
  <c r="N362" i="70"/>
  <c r="AF362" i="70"/>
  <c r="N361" i="70"/>
  <c r="AF361" i="70"/>
  <c r="N366" i="70"/>
  <c r="AF366" i="70"/>
  <c r="N314" i="70"/>
  <c r="AF314" i="70"/>
  <c r="N363" i="70"/>
  <c r="AF363" i="70"/>
  <c r="N325" i="70"/>
  <c r="AF325" i="70"/>
  <c r="N272" i="70"/>
  <c r="AF272" i="70"/>
  <c r="B4" i="23"/>
  <c r="W20" i="70"/>
  <c r="AD212" i="70"/>
  <c r="AF224" i="70"/>
  <c r="Y21" i="70"/>
  <c r="N224" i="70"/>
  <c r="AF235" i="70"/>
  <c r="N235" i="70"/>
  <c r="AF239" i="70"/>
  <c r="N239" i="70"/>
  <c r="AF232" i="70"/>
  <c r="N232" i="70"/>
  <c r="AE248" i="70"/>
  <c r="X23" i="70"/>
  <c r="X30" i="70" s="1"/>
  <c r="Y23" i="70"/>
  <c r="Y30" i="70" s="1"/>
  <c r="AF248" i="70"/>
  <c r="N248" i="70"/>
  <c r="AF252" i="70"/>
  <c r="N252" i="70"/>
  <c r="AE219" i="70"/>
  <c r="S21" i="70"/>
  <c r="AF216" i="70"/>
  <c r="N216" i="70"/>
  <c r="AF190" i="70"/>
  <c r="N190" i="70"/>
  <c r="AF184" i="70"/>
  <c r="N184" i="70"/>
  <c r="AE212" i="70"/>
  <c r="X20" i="70"/>
  <c r="AF200" i="70"/>
  <c r="Y19" i="70"/>
  <c r="N200" i="70"/>
  <c r="AF218" i="70"/>
  <c r="N218" i="70"/>
  <c r="Y18" i="70"/>
  <c r="AF188" i="70"/>
  <c r="N188" i="70"/>
  <c r="AF197" i="70"/>
  <c r="N197" i="70"/>
  <c r="AF257" i="70"/>
  <c r="N257" i="70"/>
  <c r="AF359" i="70"/>
  <c r="N359" i="70"/>
  <c r="N302" i="70"/>
  <c r="AF302" i="70"/>
  <c r="AF332" i="70"/>
  <c r="N332" i="70"/>
  <c r="N349" i="70"/>
  <c r="AF349" i="70"/>
  <c r="AF255" i="70"/>
  <c r="T24" i="70"/>
  <c r="N255" i="70"/>
  <c r="N306" i="70"/>
  <c r="AF306" i="70"/>
  <c r="N287" i="70"/>
  <c r="AF287" i="70"/>
  <c r="AF278" i="70"/>
  <c r="N278" i="70"/>
  <c r="N309" i="70"/>
  <c r="AF309" i="70"/>
  <c r="AF354" i="70"/>
  <c r="N354" i="70"/>
  <c r="N369" i="70"/>
  <c r="AF369" i="70"/>
  <c r="AF259" i="70"/>
  <c r="N259" i="70"/>
  <c r="N299" i="70"/>
  <c r="AF299" i="70"/>
  <c r="N373" i="70"/>
  <c r="AF373" i="70"/>
  <c r="AF320" i="70"/>
  <c r="N320" i="70"/>
  <c r="AF228" i="70"/>
  <c r="N228" i="70"/>
  <c r="AF251" i="70"/>
  <c r="N251" i="70"/>
  <c r="AE260" i="70"/>
  <c r="X24" i="70"/>
  <c r="AF194" i="70"/>
  <c r="N194" i="70"/>
  <c r="N305" i="70"/>
  <c r="AF305" i="70"/>
  <c r="AF256" i="70"/>
  <c r="N256" i="70"/>
  <c r="AF350" i="70"/>
  <c r="N350" i="70"/>
  <c r="AF266" i="70"/>
  <c r="N266" i="70"/>
  <c r="N303" i="70"/>
  <c r="AF303" i="70"/>
  <c r="AF273" i="70"/>
  <c r="N273" i="70"/>
  <c r="N335" i="70"/>
  <c r="AF335" i="70"/>
  <c r="N326" i="70"/>
  <c r="AF326" i="70"/>
  <c r="N307" i="70"/>
  <c r="AF307" i="70"/>
  <c r="N344" i="70"/>
  <c r="AF344" i="70"/>
  <c r="N286" i="70"/>
  <c r="AF286" i="70"/>
  <c r="N293" i="70"/>
  <c r="AF293" i="70"/>
  <c r="N347" i="70"/>
  <c r="AF347" i="70"/>
  <c r="N290" i="70"/>
  <c r="AF290" i="70"/>
  <c r="N368" i="70"/>
  <c r="AF368" i="70"/>
  <c r="AA9" i="29"/>
  <c r="AB9" i="29"/>
  <c r="DN37" i="2"/>
  <c r="DT36" i="2"/>
  <c r="AA20" i="29"/>
  <c r="F20" i="29"/>
  <c r="AB18" i="29"/>
  <c r="AK18" i="29" s="1"/>
  <c r="F18" i="29"/>
  <c r="DT114" i="1"/>
  <c r="EC114" i="1" s="1"/>
  <c r="DW114" i="1"/>
  <c r="EF114" i="1" s="1"/>
  <c r="DV114" i="1"/>
  <c r="EE114" i="1" s="1"/>
  <c r="DU114" i="1"/>
  <c r="ED114" i="1" s="1"/>
  <c r="DR114" i="1"/>
  <c r="EA114" i="1" s="1"/>
  <c r="DP114" i="1"/>
  <c r="DY114" i="1" s="1"/>
  <c r="DO114" i="1"/>
  <c r="DX114" i="1" s="1"/>
  <c r="DQ114" i="1"/>
  <c r="DZ114" i="1" s="1"/>
  <c r="DS114" i="1"/>
  <c r="EB114" i="1" s="1"/>
  <c r="EN25" i="1"/>
  <c r="EL25" i="1"/>
  <c r="EL24" i="1"/>
  <c r="EN24" i="1"/>
  <c r="DW125" i="1"/>
  <c r="EF125" i="1" s="1"/>
  <c r="DV125" i="1"/>
  <c r="EE125" i="1" s="1"/>
  <c r="DU125" i="1"/>
  <c r="ED125" i="1" s="1"/>
  <c r="DT125" i="1"/>
  <c r="EC125" i="1" s="1"/>
  <c r="DQ125" i="1"/>
  <c r="DZ125" i="1" s="1"/>
  <c r="DP125" i="1"/>
  <c r="DY125" i="1" s="1"/>
  <c r="DO125" i="1"/>
  <c r="DX125" i="1" s="1"/>
  <c r="DR125" i="1"/>
  <c r="EA125" i="1" s="1"/>
  <c r="DS125" i="1"/>
  <c r="EB125" i="1" s="1"/>
  <c r="DT126" i="1"/>
  <c r="EC126" i="1" s="1"/>
  <c r="DW126" i="1"/>
  <c r="EF126" i="1" s="1"/>
  <c r="DV126" i="1"/>
  <c r="EE126" i="1" s="1"/>
  <c r="DR126" i="1"/>
  <c r="EA126" i="1" s="1"/>
  <c r="DU126" i="1"/>
  <c r="ED126" i="1" s="1"/>
  <c r="DQ126" i="1"/>
  <c r="DZ126" i="1" s="1"/>
  <c r="DP126" i="1"/>
  <c r="DY126" i="1" s="1"/>
  <c r="DO126" i="1"/>
  <c r="DX126" i="1" s="1"/>
  <c r="DS126" i="1"/>
  <c r="EB126" i="1" s="1"/>
  <c r="DW107" i="1"/>
  <c r="EF107" i="1" s="1"/>
  <c r="DQ107" i="1"/>
  <c r="DZ107" i="1" s="1"/>
  <c r="DP107" i="1"/>
  <c r="DY107" i="1" s="1"/>
  <c r="DO107" i="1"/>
  <c r="DX107" i="1" s="1"/>
  <c r="DV107" i="1"/>
  <c r="EE107" i="1" s="1"/>
  <c r="DU107" i="1"/>
  <c r="ED107" i="1" s="1"/>
  <c r="DT107" i="1"/>
  <c r="EC107" i="1" s="1"/>
  <c r="DR107" i="1"/>
  <c r="EA107" i="1" s="1"/>
  <c r="DS107" i="1"/>
  <c r="EB107" i="1" s="1"/>
  <c r="DW121" i="1"/>
  <c r="EF121" i="1" s="1"/>
  <c r="DV121" i="1"/>
  <c r="EE121" i="1" s="1"/>
  <c r="DU121" i="1"/>
  <c r="ED121" i="1" s="1"/>
  <c r="DR121" i="1"/>
  <c r="EA121" i="1" s="1"/>
  <c r="DT121" i="1"/>
  <c r="EC121" i="1" s="1"/>
  <c r="DQ121" i="1"/>
  <c r="DZ121" i="1" s="1"/>
  <c r="DP121" i="1"/>
  <c r="DY121" i="1" s="1"/>
  <c r="DO121" i="1"/>
  <c r="DX121" i="1" s="1"/>
  <c r="DS121" i="1"/>
  <c r="EB121" i="1" s="1"/>
  <c r="DW122" i="1"/>
  <c r="EF122" i="1" s="1"/>
  <c r="DV122" i="1"/>
  <c r="EE122" i="1" s="1"/>
  <c r="DU122" i="1"/>
  <c r="ED122" i="1" s="1"/>
  <c r="DT122" i="1"/>
  <c r="EC122" i="1" s="1"/>
  <c r="DQ122" i="1"/>
  <c r="DZ122" i="1" s="1"/>
  <c r="DP122" i="1"/>
  <c r="DY122" i="1" s="1"/>
  <c r="DO122" i="1"/>
  <c r="DX122" i="1" s="1"/>
  <c r="DS122" i="1"/>
  <c r="EB122" i="1" s="1"/>
  <c r="DR122" i="1"/>
  <c r="EA122" i="1" s="1"/>
  <c r="DR118" i="1"/>
  <c r="EA118" i="1" s="1"/>
  <c r="DQ118" i="1"/>
  <c r="DZ118" i="1" s="1"/>
  <c r="DP118" i="1"/>
  <c r="DY118" i="1" s="1"/>
  <c r="DW118" i="1"/>
  <c r="EF118" i="1" s="1"/>
  <c r="DO118" i="1"/>
  <c r="DX118" i="1" s="1"/>
  <c r="DV118" i="1"/>
  <c r="EE118" i="1" s="1"/>
  <c r="DU118" i="1"/>
  <c r="ED118" i="1" s="1"/>
  <c r="DT118" i="1"/>
  <c r="EC118" i="1" s="1"/>
  <c r="DS118" i="1"/>
  <c r="EB118" i="1" s="1"/>
  <c r="EN31" i="1"/>
  <c r="EL31" i="1"/>
  <c r="EN30" i="1"/>
  <c r="EL30" i="1"/>
  <c r="DT106" i="1"/>
  <c r="EC106" i="1" s="1"/>
  <c r="DR106" i="1"/>
  <c r="EA106" i="1" s="1"/>
  <c r="DQ106" i="1"/>
  <c r="DZ106" i="1" s="1"/>
  <c r="DP106" i="1"/>
  <c r="DY106" i="1" s="1"/>
  <c r="DO106" i="1"/>
  <c r="DX106" i="1" s="1"/>
  <c r="DW106" i="1"/>
  <c r="EF106" i="1" s="1"/>
  <c r="DV106" i="1"/>
  <c r="EE106" i="1" s="1"/>
  <c r="DS106" i="1"/>
  <c r="EB106" i="1" s="1"/>
  <c r="DU106" i="1"/>
  <c r="ED106" i="1" s="1"/>
  <c r="EL27" i="1"/>
  <c r="EN27" i="1"/>
  <c r="EN26" i="1"/>
  <c r="EL26" i="1"/>
  <c r="DT105" i="1"/>
  <c r="EC105" i="1" s="1"/>
  <c r="DW105" i="1"/>
  <c r="EF105" i="1" s="1"/>
  <c r="DV105" i="1"/>
  <c r="EE105" i="1" s="1"/>
  <c r="DU105" i="1"/>
  <c r="ED105" i="1" s="1"/>
  <c r="DR105" i="1"/>
  <c r="EA105" i="1" s="1"/>
  <c r="DP105" i="1"/>
  <c r="DY105" i="1" s="1"/>
  <c r="DO105" i="1"/>
  <c r="DX105" i="1" s="1"/>
  <c r="DS105" i="1"/>
  <c r="EB105" i="1" s="1"/>
  <c r="DQ105" i="1"/>
  <c r="DZ105" i="1" s="1"/>
  <c r="DW119" i="1"/>
  <c r="EF119" i="1" s="1"/>
  <c r="DV119" i="1"/>
  <c r="EE119" i="1" s="1"/>
  <c r="DU119" i="1"/>
  <c r="ED119" i="1" s="1"/>
  <c r="DT119" i="1"/>
  <c r="EC119" i="1" s="1"/>
  <c r="DQ119" i="1"/>
  <c r="DZ119" i="1" s="1"/>
  <c r="DP119" i="1"/>
  <c r="DY119" i="1" s="1"/>
  <c r="DO119" i="1"/>
  <c r="DX119" i="1" s="1"/>
  <c r="DS119" i="1"/>
  <c r="EB119" i="1" s="1"/>
  <c r="DR119" i="1"/>
  <c r="EA119" i="1" s="1"/>
  <c r="DR112" i="1"/>
  <c r="EA112" i="1" s="1"/>
  <c r="DW112" i="1"/>
  <c r="EF112" i="1" s="1"/>
  <c r="DQ112" i="1"/>
  <c r="DZ112" i="1" s="1"/>
  <c r="DV112" i="1"/>
  <c r="EE112" i="1" s="1"/>
  <c r="DP112" i="1"/>
  <c r="DY112" i="1" s="1"/>
  <c r="DU112" i="1"/>
  <c r="ED112" i="1" s="1"/>
  <c r="DO112" i="1"/>
  <c r="DX112" i="1" s="1"/>
  <c r="DT112" i="1"/>
  <c r="EC112" i="1" s="1"/>
  <c r="DS112" i="1"/>
  <c r="EB112" i="1" s="1"/>
  <c r="EL23" i="1"/>
  <c r="EN23" i="1"/>
  <c r="DW116" i="1"/>
  <c r="EF116" i="1" s="1"/>
  <c r="DV116" i="1"/>
  <c r="EE116" i="1" s="1"/>
  <c r="DU116" i="1"/>
  <c r="ED116" i="1" s="1"/>
  <c r="DT116" i="1"/>
  <c r="EC116" i="1" s="1"/>
  <c r="DQ116" i="1"/>
  <c r="DZ116" i="1" s="1"/>
  <c r="DP116" i="1"/>
  <c r="DY116" i="1" s="1"/>
  <c r="DO116" i="1"/>
  <c r="DX116" i="1" s="1"/>
  <c r="DR116" i="1"/>
  <c r="EA116" i="1" s="1"/>
  <c r="DS116" i="1"/>
  <c r="EB116" i="1" s="1"/>
  <c r="DV109" i="1"/>
  <c r="EE109" i="1" s="1"/>
  <c r="DU109" i="1"/>
  <c r="ED109" i="1" s="1"/>
  <c r="DT109" i="1"/>
  <c r="EC109" i="1" s="1"/>
  <c r="DR109" i="1"/>
  <c r="EA109" i="1" s="1"/>
  <c r="DQ109" i="1"/>
  <c r="DZ109" i="1" s="1"/>
  <c r="DP109" i="1"/>
  <c r="DY109" i="1" s="1"/>
  <c r="DO109" i="1"/>
  <c r="DX109" i="1" s="1"/>
  <c r="DS109" i="1"/>
  <c r="EB109" i="1" s="1"/>
  <c r="DW109" i="1"/>
  <c r="EF109" i="1" s="1"/>
  <c r="DT123" i="1"/>
  <c r="EC123" i="1" s="1"/>
  <c r="DW123" i="1"/>
  <c r="EF123" i="1" s="1"/>
  <c r="DV123" i="1"/>
  <c r="EE123" i="1" s="1"/>
  <c r="DU123" i="1"/>
  <c r="ED123" i="1" s="1"/>
  <c r="DR123" i="1"/>
  <c r="EA123" i="1" s="1"/>
  <c r="DQ123" i="1"/>
  <c r="DZ123" i="1" s="1"/>
  <c r="DP123" i="1"/>
  <c r="DY123" i="1" s="1"/>
  <c r="DO123" i="1"/>
  <c r="DX123" i="1" s="1"/>
  <c r="DS123" i="1"/>
  <c r="EB123" i="1" s="1"/>
  <c r="DT111" i="1"/>
  <c r="EC111" i="1" s="1"/>
  <c r="DR111" i="1"/>
  <c r="EA111" i="1" s="1"/>
  <c r="DW111" i="1"/>
  <c r="EF111" i="1" s="1"/>
  <c r="DV111" i="1"/>
  <c r="EE111" i="1" s="1"/>
  <c r="DP111" i="1"/>
  <c r="DY111" i="1" s="1"/>
  <c r="DU111" i="1"/>
  <c r="ED111" i="1" s="1"/>
  <c r="DO111" i="1"/>
  <c r="DX111" i="1" s="1"/>
  <c r="DQ111" i="1"/>
  <c r="DZ111" i="1" s="1"/>
  <c r="DS111" i="1"/>
  <c r="EB111" i="1" s="1"/>
  <c r="EN29" i="1"/>
  <c r="EL29" i="1"/>
  <c r="DT127" i="1"/>
  <c r="EC127" i="1" s="1"/>
  <c r="DR127" i="1"/>
  <c r="EA127" i="1" s="1"/>
  <c r="DS127" i="1"/>
  <c r="EB127" i="1" s="1"/>
  <c r="DQ127" i="1"/>
  <c r="DZ127" i="1" s="1"/>
  <c r="DW127" i="1"/>
  <c r="EF127" i="1" s="1"/>
  <c r="DP127" i="1"/>
  <c r="DY127" i="1" s="1"/>
  <c r="DV127" i="1"/>
  <c r="EE127" i="1" s="1"/>
  <c r="DO127" i="1"/>
  <c r="DX127" i="1" s="1"/>
  <c r="DU127" i="1"/>
  <c r="ED127" i="1" s="1"/>
  <c r="DT120" i="1"/>
  <c r="EC120" i="1" s="1"/>
  <c r="DW120" i="1"/>
  <c r="EF120" i="1" s="1"/>
  <c r="DV120" i="1"/>
  <c r="EE120" i="1" s="1"/>
  <c r="DU120" i="1"/>
  <c r="ED120" i="1" s="1"/>
  <c r="DR120" i="1"/>
  <c r="EA120" i="1" s="1"/>
  <c r="DQ120" i="1"/>
  <c r="DZ120" i="1" s="1"/>
  <c r="DP120" i="1"/>
  <c r="DY120" i="1" s="1"/>
  <c r="DO120" i="1"/>
  <c r="DX120" i="1" s="1"/>
  <c r="DS120" i="1"/>
  <c r="EB120" i="1" s="1"/>
  <c r="DQ104" i="1"/>
  <c r="DZ104" i="1" s="1"/>
  <c r="DP104" i="1"/>
  <c r="DY104" i="1" s="1"/>
  <c r="DO104" i="1"/>
  <c r="DX104" i="1" s="1"/>
  <c r="DW104" i="1"/>
  <c r="EF104" i="1" s="1"/>
  <c r="DV104" i="1"/>
  <c r="EE104" i="1" s="1"/>
  <c r="DU104" i="1"/>
  <c r="ED104" i="1" s="1"/>
  <c r="DT104" i="1"/>
  <c r="EC104" i="1" s="1"/>
  <c r="DS104" i="1"/>
  <c r="EB104" i="1" s="1"/>
  <c r="DR104" i="1"/>
  <c r="EA104" i="1" s="1"/>
  <c r="DT124" i="1"/>
  <c r="EC124" i="1" s="1"/>
  <c r="DR124" i="1"/>
  <c r="EA124" i="1" s="1"/>
  <c r="DQ124" i="1"/>
  <c r="DZ124" i="1" s="1"/>
  <c r="DP124" i="1"/>
  <c r="DY124" i="1" s="1"/>
  <c r="DO124" i="1"/>
  <c r="DX124" i="1" s="1"/>
  <c r="DW124" i="1"/>
  <c r="EF124" i="1" s="1"/>
  <c r="DV124" i="1"/>
  <c r="EE124" i="1" s="1"/>
  <c r="DU124" i="1"/>
  <c r="ED124" i="1" s="1"/>
  <c r="DS124" i="1"/>
  <c r="EB124" i="1" s="1"/>
  <c r="DW113" i="1"/>
  <c r="EF113" i="1" s="1"/>
  <c r="DV113" i="1"/>
  <c r="EE113" i="1" s="1"/>
  <c r="DU113" i="1"/>
  <c r="ED113" i="1" s="1"/>
  <c r="DT113" i="1"/>
  <c r="EC113" i="1" s="1"/>
  <c r="DQ113" i="1"/>
  <c r="DZ113" i="1" s="1"/>
  <c r="DP113" i="1"/>
  <c r="DY113" i="1" s="1"/>
  <c r="DO113" i="1"/>
  <c r="DX113" i="1" s="1"/>
  <c r="DR113" i="1"/>
  <c r="EA113" i="1" s="1"/>
  <c r="DS113" i="1"/>
  <c r="EB113" i="1" s="1"/>
  <c r="DV115" i="1"/>
  <c r="EE115" i="1" s="1"/>
  <c r="DU115" i="1"/>
  <c r="ED115" i="1" s="1"/>
  <c r="DT115" i="1"/>
  <c r="EC115" i="1" s="1"/>
  <c r="DR115" i="1"/>
  <c r="EA115" i="1" s="1"/>
  <c r="DS115" i="1"/>
  <c r="EB115" i="1" s="1"/>
  <c r="DQ115" i="1"/>
  <c r="DZ115" i="1" s="1"/>
  <c r="DP115" i="1"/>
  <c r="DY115" i="1" s="1"/>
  <c r="DO115" i="1"/>
  <c r="DX115" i="1" s="1"/>
  <c r="DW115" i="1"/>
  <c r="EF115" i="1" s="1"/>
  <c r="DT117" i="1"/>
  <c r="EC117" i="1" s="1"/>
  <c r="DW117" i="1"/>
  <c r="EF117" i="1" s="1"/>
  <c r="DV117" i="1"/>
  <c r="EE117" i="1" s="1"/>
  <c r="DR117" i="1"/>
  <c r="EA117" i="1" s="1"/>
  <c r="DQ117" i="1"/>
  <c r="DZ117" i="1" s="1"/>
  <c r="DP117" i="1"/>
  <c r="DY117" i="1" s="1"/>
  <c r="DU117" i="1"/>
  <c r="ED117" i="1" s="1"/>
  <c r="DO117" i="1"/>
  <c r="DX117" i="1" s="1"/>
  <c r="DS117" i="1"/>
  <c r="EB117" i="1" s="1"/>
  <c r="DW110" i="1"/>
  <c r="EF110" i="1" s="1"/>
  <c r="DV110" i="1"/>
  <c r="EE110" i="1" s="1"/>
  <c r="DU110" i="1"/>
  <c r="ED110" i="1" s="1"/>
  <c r="DT110" i="1"/>
  <c r="EC110" i="1" s="1"/>
  <c r="DQ110" i="1"/>
  <c r="DZ110" i="1" s="1"/>
  <c r="DP110" i="1"/>
  <c r="DY110" i="1" s="1"/>
  <c r="DO110" i="1"/>
  <c r="DX110" i="1" s="1"/>
  <c r="DR110" i="1"/>
  <c r="EA110" i="1" s="1"/>
  <c r="DS110" i="1"/>
  <c r="EB110" i="1" s="1"/>
  <c r="DT108" i="1"/>
  <c r="EC108" i="1" s="1"/>
  <c r="DW108" i="1"/>
  <c r="EF108" i="1" s="1"/>
  <c r="DV108" i="1"/>
  <c r="EE108" i="1" s="1"/>
  <c r="DU108" i="1"/>
  <c r="ED108" i="1" s="1"/>
  <c r="DR108" i="1"/>
  <c r="EA108" i="1" s="1"/>
  <c r="DP108" i="1"/>
  <c r="DY108" i="1" s="1"/>
  <c r="DO108" i="1"/>
  <c r="DX108" i="1" s="1"/>
  <c r="DS108" i="1"/>
  <c r="EB108" i="1" s="1"/>
  <c r="DQ108" i="1"/>
  <c r="DZ108" i="1" s="1"/>
  <c r="EN28" i="1"/>
  <c r="EL28" i="1"/>
  <c r="AB11" i="29"/>
  <c r="AK11" i="29" s="1"/>
  <c r="AR37" i="43"/>
  <c r="Z8" i="66"/>
  <c r="AM8" i="66" s="1"/>
  <c r="O28" i="43"/>
  <c r="BF18" i="43" s="1"/>
  <c r="AE27" i="27"/>
  <c r="AO27" i="27" s="1"/>
  <c r="AT27" i="27" s="1"/>
  <c r="BC37" i="43"/>
  <c r="B55" i="66"/>
  <c r="X9" i="66"/>
  <c r="Y9" i="66"/>
  <c r="B70" i="66"/>
  <c r="B73" i="66"/>
  <c r="O27" i="43"/>
  <c r="BE18" i="43" s="1"/>
  <c r="BE37" i="43" s="1"/>
  <c r="AE26" i="27"/>
  <c r="AO26" i="27" s="1"/>
  <c r="AT26" i="27" s="1"/>
  <c r="AN37" i="43"/>
  <c r="B68" i="66"/>
  <c r="B71" i="66"/>
  <c r="B64" i="66"/>
  <c r="AS37" i="43"/>
  <c r="B63" i="66"/>
  <c r="B61" i="66"/>
  <c r="X13" i="66"/>
  <c r="Y13" i="66"/>
  <c r="B59" i="66"/>
  <c r="Y10" i="66"/>
  <c r="X10" i="66"/>
  <c r="B56" i="66"/>
  <c r="AO37" i="43"/>
  <c r="AW37" i="43"/>
  <c r="AP37" i="43"/>
  <c r="B69" i="66"/>
  <c r="B74" i="66"/>
  <c r="BD37" i="43"/>
  <c r="AZ37" i="43"/>
  <c r="AU37" i="43"/>
  <c r="B57" i="66"/>
  <c r="Y11" i="66"/>
  <c r="X11" i="66"/>
  <c r="B62" i="66"/>
  <c r="B72" i="66"/>
  <c r="B67" i="66"/>
  <c r="B66" i="66"/>
  <c r="B65" i="66"/>
  <c r="B60" i="66"/>
  <c r="X12" i="66"/>
  <c r="Y12" i="66"/>
  <c r="B58" i="66"/>
  <c r="A21" i="27"/>
  <c r="A20" i="50"/>
  <c r="P20" i="50" s="1"/>
  <c r="G18" i="59"/>
  <c r="O20" i="27"/>
  <c r="AH22" i="43"/>
  <c r="AH19" i="43"/>
  <c r="AH10" i="43"/>
  <c r="AV13" i="43"/>
  <c r="AV37" i="43" s="1"/>
  <c r="AH18" i="43"/>
  <c r="BA13" i="43"/>
  <c r="BA37" i="43" s="1"/>
  <c r="AH23" i="43"/>
  <c r="AX13" i="43"/>
  <c r="AX37" i="43" s="1"/>
  <c r="AH20" i="43"/>
  <c r="AH7" i="43"/>
  <c r="AQ13" i="43"/>
  <c r="AQ37" i="43" s="1"/>
  <c r="AH13" i="43"/>
  <c r="AY13" i="43"/>
  <c r="AY37" i="43" s="1"/>
  <c r="AH21" i="43"/>
  <c r="AH25" i="43"/>
  <c r="AH9" i="43"/>
  <c r="AH8" i="43"/>
  <c r="BB13" i="43"/>
  <c r="BB37" i="43" s="1"/>
  <c r="AH24" i="43"/>
  <c r="AH26" i="43"/>
  <c r="AT13" i="43"/>
  <c r="AT37" i="43" s="1"/>
  <c r="AH16" i="43"/>
  <c r="AH6" i="43"/>
  <c r="AH15" i="43"/>
  <c r="AH11" i="43"/>
  <c r="BF13" i="43"/>
  <c r="BF37" i="43" s="1"/>
  <c r="AH17" i="43"/>
  <c r="AH14" i="43"/>
  <c r="DP131" i="1"/>
  <c r="DY131" i="1" s="1"/>
  <c r="DO131" i="1"/>
  <c r="DX131" i="1" s="1"/>
  <c r="DT131" i="1"/>
  <c r="EC131" i="1" s="1"/>
  <c r="DW131" i="1"/>
  <c r="EF131" i="1" s="1"/>
  <c r="DR131" i="1"/>
  <c r="EA131" i="1" s="1"/>
  <c r="DS131" i="1"/>
  <c r="EB131" i="1" s="1"/>
  <c r="DV131" i="1"/>
  <c r="EE131" i="1" s="1"/>
  <c r="DQ131" i="1"/>
  <c r="DZ131" i="1" s="1"/>
  <c r="DU131" i="1"/>
  <c r="ED131" i="1" s="1"/>
  <c r="DV153" i="1"/>
  <c r="EE153" i="1" s="1"/>
  <c r="DP153" i="1"/>
  <c r="DY153" i="1" s="1"/>
  <c r="DQ153" i="1"/>
  <c r="DZ153" i="1" s="1"/>
  <c r="DO153" i="1"/>
  <c r="DX153" i="1" s="1"/>
  <c r="DW153" i="1"/>
  <c r="EF153" i="1" s="1"/>
  <c r="DU153" i="1"/>
  <c r="ED153" i="1" s="1"/>
  <c r="DV154" i="1"/>
  <c r="EE154" i="1" s="1"/>
  <c r="DP154" i="1"/>
  <c r="DY154" i="1" s="1"/>
  <c r="DW154" i="1"/>
  <c r="EF154" i="1" s="1"/>
  <c r="DQ154" i="1"/>
  <c r="DZ154" i="1" s="1"/>
  <c r="DU154" i="1"/>
  <c r="ED154" i="1" s="1"/>
  <c r="DO154" i="1"/>
  <c r="DX154" i="1" s="1"/>
  <c r="DU136" i="1"/>
  <c r="ED136" i="1" s="1"/>
  <c r="DP136" i="1"/>
  <c r="DY136" i="1" s="1"/>
  <c r="DT136" i="1"/>
  <c r="EC136" i="1" s="1"/>
  <c r="DO136" i="1"/>
  <c r="DX136" i="1" s="1"/>
  <c r="DS136" i="1"/>
  <c r="EB136" i="1" s="1"/>
  <c r="DR136" i="1"/>
  <c r="EA136" i="1" s="1"/>
  <c r="DV136" i="1"/>
  <c r="EE136" i="1" s="1"/>
  <c r="DW136" i="1"/>
  <c r="EF136" i="1" s="1"/>
  <c r="DQ136" i="1"/>
  <c r="DZ136" i="1" s="1"/>
  <c r="DW135" i="1"/>
  <c r="EF135" i="1" s="1"/>
  <c r="DR135" i="1"/>
  <c r="EA135" i="1" s="1"/>
  <c r="DS135" i="1"/>
  <c r="EB135" i="1" s="1"/>
  <c r="DV135" i="1"/>
  <c r="EE135" i="1" s="1"/>
  <c r="DQ135" i="1"/>
  <c r="DZ135" i="1" s="1"/>
  <c r="DU135" i="1"/>
  <c r="ED135" i="1" s="1"/>
  <c r="DP135" i="1"/>
  <c r="DY135" i="1" s="1"/>
  <c r="DT135" i="1"/>
  <c r="EC135" i="1" s="1"/>
  <c r="DO135" i="1"/>
  <c r="DX135" i="1" s="1"/>
  <c r="DP140" i="1"/>
  <c r="DY140" i="1" s="1"/>
  <c r="DV140" i="1"/>
  <c r="EE140" i="1" s="1"/>
  <c r="DU140" i="1"/>
  <c r="ED140" i="1" s="1"/>
  <c r="DQ140" i="1"/>
  <c r="DZ140" i="1" s="1"/>
  <c r="DO140" i="1"/>
  <c r="DX140" i="1" s="1"/>
  <c r="DW140" i="1"/>
  <c r="EF140" i="1" s="1"/>
  <c r="DW138" i="1"/>
  <c r="EF138" i="1" s="1"/>
  <c r="DR138" i="1"/>
  <c r="EA138" i="1" s="1"/>
  <c r="DV138" i="1"/>
  <c r="EE138" i="1" s="1"/>
  <c r="DQ138" i="1"/>
  <c r="DZ138" i="1" s="1"/>
  <c r="DU138" i="1"/>
  <c r="ED138" i="1" s="1"/>
  <c r="DP138" i="1"/>
  <c r="DY138" i="1" s="1"/>
  <c r="DS138" i="1"/>
  <c r="EB138" i="1" s="1"/>
  <c r="DT138" i="1"/>
  <c r="EC138" i="1" s="1"/>
  <c r="DO138" i="1"/>
  <c r="DX138" i="1" s="1"/>
  <c r="DU139" i="1"/>
  <c r="ED139" i="1" s="1"/>
  <c r="DP139" i="1"/>
  <c r="DY139" i="1" s="1"/>
  <c r="DV139" i="1"/>
  <c r="EE139" i="1" s="1"/>
  <c r="DT139" i="1"/>
  <c r="EC139" i="1" s="1"/>
  <c r="DO139" i="1"/>
  <c r="DX139" i="1" s="1"/>
  <c r="DW139" i="1"/>
  <c r="EF139" i="1" s="1"/>
  <c r="DQ139" i="1"/>
  <c r="DZ139" i="1" s="1"/>
  <c r="DS139" i="1"/>
  <c r="EB139" i="1" s="1"/>
  <c r="DR139" i="1"/>
  <c r="EA139" i="1" s="1"/>
  <c r="DP144" i="1"/>
  <c r="DY144" i="1" s="1"/>
  <c r="DV144" i="1"/>
  <c r="EE144" i="1" s="1"/>
  <c r="DW144" i="1"/>
  <c r="EF144" i="1" s="1"/>
  <c r="DO144" i="1"/>
  <c r="DX144" i="1" s="1"/>
  <c r="DQ144" i="1"/>
  <c r="DZ144" i="1" s="1"/>
  <c r="DU144" i="1"/>
  <c r="ED144" i="1" s="1"/>
  <c r="DV158" i="1"/>
  <c r="EE158" i="1" s="1"/>
  <c r="DP158" i="1"/>
  <c r="DY158" i="1" s="1"/>
  <c r="DW158" i="1"/>
  <c r="EF158" i="1" s="1"/>
  <c r="DO158" i="1"/>
  <c r="DX158" i="1" s="1"/>
  <c r="DU158" i="1"/>
  <c r="ED158" i="1" s="1"/>
  <c r="DQ158" i="1"/>
  <c r="DZ158" i="1" s="1"/>
  <c r="DP143" i="1"/>
  <c r="DY143" i="1" s="1"/>
  <c r="DV143" i="1"/>
  <c r="EE143" i="1" s="1"/>
  <c r="DW143" i="1"/>
  <c r="EF143" i="1" s="1"/>
  <c r="DO143" i="1"/>
  <c r="DX143" i="1" s="1"/>
  <c r="DU143" i="1"/>
  <c r="ED143" i="1" s="1"/>
  <c r="DQ143" i="1"/>
  <c r="DZ143" i="1" s="1"/>
  <c r="DP149" i="1"/>
  <c r="DY149" i="1" s="1"/>
  <c r="DV149" i="1"/>
  <c r="EE149" i="1" s="1"/>
  <c r="DQ149" i="1"/>
  <c r="DZ149" i="1" s="1"/>
  <c r="DU149" i="1"/>
  <c r="ED149" i="1" s="1"/>
  <c r="DO149" i="1"/>
  <c r="DX149" i="1" s="1"/>
  <c r="DW149" i="1"/>
  <c r="EF149" i="1" s="1"/>
  <c r="DW132" i="1"/>
  <c r="EF132" i="1" s="1"/>
  <c r="DR132" i="1"/>
  <c r="EA132" i="1" s="1"/>
  <c r="DV132" i="1"/>
  <c r="EE132" i="1" s="1"/>
  <c r="DQ132" i="1"/>
  <c r="DZ132" i="1" s="1"/>
  <c r="DU132" i="1"/>
  <c r="ED132" i="1" s="1"/>
  <c r="DP132" i="1"/>
  <c r="DY132" i="1" s="1"/>
  <c r="DT132" i="1"/>
  <c r="EC132" i="1" s="1"/>
  <c r="DO132" i="1"/>
  <c r="DX132" i="1" s="1"/>
  <c r="DS132" i="1"/>
  <c r="EB132" i="1" s="1"/>
  <c r="DV148" i="1"/>
  <c r="EE148" i="1" s="1"/>
  <c r="DP148" i="1"/>
  <c r="DY148" i="1" s="1"/>
  <c r="DW148" i="1"/>
  <c r="EF148" i="1" s="1"/>
  <c r="DU148" i="1"/>
  <c r="ED148" i="1" s="1"/>
  <c r="DQ148" i="1"/>
  <c r="DZ148" i="1" s="1"/>
  <c r="DO148" i="1"/>
  <c r="DX148" i="1" s="1"/>
  <c r="DW129" i="1"/>
  <c r="EF129" i="1" s="1"/>
  <c r="DR129" i="1"/>
  <c r="EA129" i="1" s="1"/>
  <c r="DV129" i="1"/>
  <c r="EE129" i="1" s="1"/>
  <c r="DQ129" i="1"/>
  <c r="DZ129" i="1" s="1"/>
  <c r="DU129" i="1"/>
  <c r="ED129" i="1" s="1"/>
  <c r="DP129" i="1"/>
  <c r="DY129" i="1" s="1"/>
  <c r="DT129" i="1"/>
  <c r="EC129" i="1" s="1"/>
  <c r="DO129" i="1"/>
  <c r="DX129" i="1" s="1"/>
  <c r="DS129" i="1"/>
  <c r="EB129" i="1" s="1"/>
  <c r="DU130" i="1"/>
  <c r="ED130" i="1" s="1"/>
  <c r="DP130" i="1"/>
  <c r="DY130" i="1" s="1"/>
  <c r="DT130" i="1"/>
  <c r="EC130" i="1" s="1"/>
  <c r="DO130" i="1"/>
  <c r="DX130" i="1" s="1"/>
  <c r="DV130" i="1"/>
  <c r="EE130" i="1" s="1"/>
  <c r="DW130" i="1"/>
  <c r="EF130" i="1" s="1"/>
  <c r="DR130" i="1"/>
  <c r="EA130" i="1" s="1"/>
  <c r="DQ130" i="1"/>
  <c r="DZ130" i="1" s="1"/>
  <c r="DS130" i="1"/>
  <c r="EB130" i="1" s="1"/>
  <c r="DV147" i="1"/>
  <c r="EE147" i="1" s="1"/>
  <c r="DP147" i="1"/>
  <c r="DY147" i="1" s="1"/>
  <c r="DQ147" i="1"/>
  <c r="DZ147" i="1" s="1"/>
  <c r="DO147" i="1"/>
  <c r="DX147" i="1" s="1"/>
  <c r="DW147" i="1"/>
  <c r="EF147" i="1" s="1"/>
  <c r="DU147" i="1"/>
  <c r="ED147" i="1" s="1"/>
  <c r="DP152" i="1"/>
  <c r="DY152" i="1" s="1"/>
  <c r="DV152" i="1"/>
  <c r="EE152" i="1" s="1"/>
  <c r="DQ152" i="1"/>
  <c r="DZ152" i="1" s="1"/>
  <c r="DU152" i="1"/>
  <c r="ED152" i="1" s="1"/>
  <c r="DO152" i="1"/>
  <c r="DX152" i="1" s="1"/>
  <c r="DW152" i="1"/>
  <c r="EF152" i="1" s="1"/>
  <c r="DU133" i="1"/>
  <c r="ED133" i="1" s="1"/>
  <c r="DP133" i="1"/>
  <c r="DY133" i="1" s="1"/>
  <c r="DQ133" i="1"/>
  <c r="DZ133" i="1" s="1"/>
  <c r="DT133" i="1"/>
  <c r="EC133" i="1" s="1"/>
  <c r="DO133" i="1"/>
  <c r="DX133" i="1" s="1"/>
  <c r="DW133" i="1"/>
  <c r="EF133" i="1" s="1"/>
  <c r="DS133" i="1"/>
  <c r="EB133" i="1" s="1"/>
  <c r="DR133" i="1"/>
  <c r="EA133" i="1" s="1"/>
  <c r="DV133" i="1"/>
  <c r="EE133" i="1" s="1"/>
  <c r="DU134" i="1"/>
  <c r="ED134" i="1" s="1"/>
  <c r="DO134" i="1"/>
  <c r="DX134" i="1" s="1"/>
  <c r="DS134" i="1"/>
  <c r="EB134" i="1" s="1"/>
  <c r="DW134" i="1"/>
  <c r="EF134" i="1" s="1"/>
  <c r="DR134" i="1"/>
  <c r="EA134" i="1" s="1"/>
  <c r="DP134" i="1"/>
  <c r="DY134" i="1" s="1"/>
  <c r="DV134" i="1"/>
  <c r="EE134" i="1" s="1"/>
  <c r="DQ134" i="1"/>
  <c r="DZ134" i="1" s="1"/>
  <c r="DT134" i="1"/>
  <c r="EC134" i="1" s="1"/>
  <c r="DV151" i="1"/>
  <c r="EE151" i="1" s="1"/>
  <c r="DP151" i="1"/>
  <c r="DY151" i="1" s="1"/>
  <c r="DW151" i="1"/>
  <c r="EF151" i="1" s="1"/>
  <c r="DO151" i="1"/>
  <c r="DX151" i="1" s="1"/>
  <c r="DU151" i="1"/>
  <c r="ED151" i="1" s="1"/>
  <c r="DQ151" i="1"/>
  <c r="DZ151" i="1" s="1"/>
  <c r="DV157" i="1"/>
  <c r="EE157" i="1" s="1"/>
  <c r="DP157" i="1"/>
  <c r="DY157" i="1" s="1"/>
  <c r="DW157" i="1"/>
  <c r="EF157" i="1" s="1"/>
  <c r="DQ157" i="1"/>
  <c r="DZ157" i="1" s="1"/>
  <c r="DO157" i="1"/>
  <c r="DX157" i="1" s="1"/>
  <c r="DU157" i="1"/>
  <c r="ED157" i="1" s="1"/>
  <c r="DP156" i="1"/>
  <c r="DY156" i="1" s="1"/>
  <c r="DV156" i="1"/>
  <c r="EE156" i="1" s="1"/>
  <c r="DU156" i="1"/>
  <c r="ED156" i="1" s="1"/>
  <c r="DO156" i="1"/>
  <c r="DX156" i="1" s="1"/>
  <c r="DQ156" i="1"/>
  <c r="DZ156" i="1" s="1"/>
  <c r="DW156" i="1"/>
  <c r="EF156" i="1" s="1"/>
  <c r="DS137" i="1"/>
  <c r="EB137" i="1" s="1"/>
  <c r="DP137" i="1"/>
  <c r="DY137" i="1" s="1"/>
  <c r="DU137" i="1"/>
  <c r="ED137" i="1" s="1"/>
  <c r="DT137" i="1"/>
  <c r="EC137" i="1" s="1"/>
  <c r="DO137" i="1"/>
  <c r="DX137" i="1" s="1"/>
  <c r="DW137" i="1"/>
  <c r="EF137" i="1" s="1"/>
  <c r="DR137" i="1"/>
  <c r="EA137" i="1" s="1"/>
  <c r="DV137" i="1"/>
  <c r="EE137" i="1" s="1"/>
  <c r="DQ137" i="1"/>
  <c r="DZ137" i="1" s="1"/>
  <c r="DV146" i="1"/>
  <c r="EE146" i="1" s="1"/>
  <c r="DP146" i="1"/>
  <c r="DY146" i="1" s="1"/>
  <c r="DU146" i="1"/>
  <c r="ED146" i="1" s="1"/>
  <c r="DO146" i="1"/>
  <c r="DX146" i="1" s="1"/>
  <c r="DW146" i="1"/>
  <c r="EF146" i="1" s="1"/>
  <c r="DQ146" i="1"/>
  <c r="DZ146" i="1" s="1"/>
  <c r="DV155" i="1"/>
  <c r="EE155" i="1" s="1"/>
  <c r="DP155" i="1"/>
  <c r="DY155" i="1" s="1"/>
  <c r="DO155" i="1"/>
  <c r="DX155" i="1" s="1"/>
  <c r="DQ155" i="1"/>
  <c r="DZ155" i="1" s="1"/>
  <c r="DW155" i="1"/>
  <c r="EF155" i="1" s="1"/>
  <c r="DU155" i="1"/>
  <c r="ED155" i="1" s="1"/>
  <c r="DV161" i="1"/>
  <c r="EE161" i="1" s="1"/>
  <c r="DP161" i="1"/>
  <c r="DY161" i="1" s="1"/>
  <c r="DO161" i="1"/>
  <c r="DX161" i="1" s="1"/>
  <c r="DU161" i="1"/>
  <c r="ED161" i="1" s="1"/>
  <c r="DQ161" i="1"/>
  <c r="DZ161" i="1" s="1"/>
  <c r="DW161" i="1"/>
  <c r="EF161" i="1" s="1"/>
  <c r="DV150" i="1"/>
  <c r="EE150" i="1" s="1"/>
  <c r="DP150" i="1"/>
  <c r="DY150" i="1" s="1"/>
  <c r="DU150" i="1"/>
  <c r="ED150" i="1" s="1"/>
  <c r="DW150" i="1"/>
  <c r="EF150" i="1" s="1"/>
  <c r="DQ150" i="1"/>
  <c r="DZ150" i="1" s="1"/>
  <c r="DO150" i="1"/>
  <c r="DX150" i="1" s="1"/>
  <c r="DV159" i="1"/>
  <c r="EE159" i="1" s="1"/>
  <c r="DP159" i="1"/>
  <c r="DY159" i="1" s="1"/>
  <c r="DQ159" i="1"/>
  <c r="DZ159" i="1" s="1"/>
  <c r="DW159" i="1"/>
  <c r="EF159" i="1" s="1"/>
  <c r="DO159" i="1"/>
  <c r="DX159" i="1" s="1"/>
  <c r="DU159" i="1"/>
  <c r="ED159" i="1" s="1"/>
  <c r="DP160" i="1"/>
  <c r="DY160" i="1" s="1"/>
  <c r="DV160" i="1"/>
  <c r="EE160" i="1" s="1"/>
  <c r="DQ160" i="1"/>
  <c r="DZ160" i="1" s="1"/>
  <c r="DU160" i="1"/>
  <c r="ED160" i="1" s="1"/>
  <c r="DW160" i="1"/>
  <c r="EF160" i="1" s="1"/>
  <c r="DO160" i="1"/>
  <c r="DX160" i="1" s="1"/>
  <c r="DV142" i="1"/>
  <c r="EE142" i="1" s="1"/>
  <c r="DP142" i="1"/>
  <c r="DY142" i="1" s="1"/>
  <c r="DO142" i="1"/>
  <c r="DX142" i="1" s="1"/>
  <c r="DU142" i="1"/>
  <c r="ED142" i="1" s="1"/>
  <c r="DQ142" i="1"/>
  <c r="DZ142" i="1" s="1"/>
  <c r="DW142" i="1"/>
  <c r="EF142" i="1" s="1"/>
  <c r="DP141" i="1"/>
  <c r="DY141" i="1" s="1"/>
  <c r="DV141" i="1"/>
  <c r="EE141" i="1" s="1"/>
  <c r="DQ141" i="1"/>
  <c r="DZ141" i="1" s="1"/>
  <c r="DU141" i="1"/>
  <c r="ED141" i="1" s="1"/>
  <c r="DO141" i="1"/>
  <c r="DX141" i="1" s="1"/>
  <c r="DW141" i="1"/>
  <c r="EF141" i="1" s="1"/>
  <c r="DV145" i="1"/>
  <c r="EE145" i="1" s="1"/>
  <c r="DP145" i="1"/>
  <c r="DY145" i="1" s="1"/>
  <c r="DO145" i="1"/>
  <c r="DX145" i="1" s="1"/>
  <c r="DW145" i="1"/>
  <c r="EF145" i="1" s="1"/>
  <c r="DU145" i="1"/>
  <c r="ED145" i="1" s="1"/>
  <c r="DQ145" i="1"/>
  <c r="DZ145" i="1" s="1"/>
  <c r="DV162" i="1"/>
  <c r="EE162" i="1" s="1"/>
  <c r="DP162" i="1"/>
  <c r="DY162" i="1" s="1"/>
  <c r="DO162" i="1"/>
  <c r="DX162" i="1" s="1"/>
  <c r="DW162" i="1"/>
  <c r="EF162" i="1" s="1"/>
  <c r="DQ162" i="1"/>
  <c r="DZ162" i="1" s="1"/>
  <c r="DU162" i="1"/>
  <c r="ED162" i="1" s="1"/>
  <c r="DP187" i="1"/>
  <c r="DY187" i="1" s="1"/>
  <c r="DV187" i="1"/>
  <c r="EE187" i="1" s="1"/>
  <c r="DU187" i="1"/>
  <c r="ED187" i="1" s="1"/>
  <c r="DO187" i="1"/>
  <c r="DX187" i="1" s="1"/>
  <c r="DQ187" i="1"/>
  <c r="DZ187" i="1" s="1"/>
  <c r="DW187" i="1"/>
  <c r="EF187" i="1" s="1"/>
  <c r="DV186" i="1"/>
  <c r="EE186" i="1" s="1"/>
  <c r="DP186" i="1"/>
  <c r="DY186" i="1" s="1"/>
  <c r="DO186" i="1"/>
  <c r="DX186" i="1" s="1"/>
  <c r="DQ186" i="1"/>
  <c r="DZ186" i="1" s="1"/>
  <c r="DW186" i="1"/>
  <c r="EF186" i="1" s="1"/>
  <c r="DU186" i="1"/>
  <c r="ED186" i="1" s="1"/>
  <c r="DV185" i="1"/>
  <c r="EE185" i="1" s="1"/>
  <c r="DP185" i="1"/>
  <c r="DY185" i="1" s="1"/>
  <c r="DW185" i="1"/>
  <c r="EF185" i="1" s="1"/>
  <c r="DO185" i="1"/>
  <c r="DX185" i="1" s="1"/>
  <c r="DU185" i="1"/>
  <c r="ED185" i="1" s="1"/>
  <c r="DQ185" i="1"/>
  <c r="DZ185" i="1" s="1"/>
  <c r="DP184" i="1"/>
  <c r="DY184" i="1" s="1"/>
  <c r="DV184" i="1"/>
  <c r="EE184" i="1" s="1"/>
  <c r="DQ184" i="1"/>
  <c r="DZ184" i="1" s="1"/>
  <c r="DO184" i="1"/>
  <c r="DX184" i="1" s="1"/>
  <c r="DU184" i="1"/>
  <c r="ED184" i="1" s="1"/>
  <c r="DW184" i="1"/>
  <c r="EF184" i="1" s="1"/>
  <c r="DP183" i="1"/>
  <c r="DY183" i="1" s="1"/>
  <c r="DV183" i="1"/>
  <c r="EE183" i="1" s="1"/>
  <c r="DW183" i="1"/>
  <c r="EF183" i="1" s="1"/>
  <c r="DQ183" i="1"/>
  <c r="DZ183" i="1" s="1"/>
  <c r="DU183" i="1"/>
  <c r="ED183" i="1" s="1"/>
  <c r="DO183" i="1"/>
  <c r="DX183" i="1" s="1"/>
  <c r="DP182" i="1"/>
  <c r="DY182" i="1" s="1"/>
  <c r="DV182" i="1"/>
  <c r="EE182" i="1" s="1"/>
  <c r="DW182" i="1"/>
  <c r="EF182" i="1" s="1"/>
  <c r="DQ182" i="1"/>
  <c r="DZ182" i="1" s="1"/>
  <c r="DO182" i="1"/>
  <c r="DX182" i="1" s="1"/>
  <c r="DU182" i="1"/>
  <c r="ED182" i="1" s="1"/>
  <c r="DV181" i="1"/>
  <c r="EE181" i="1" s="1"/>
  <c r="DP181" i="1"/>
  <c r="DY181" i="1" s="1"/>
  <c r="DO181" i="1"/>
  <c r="DX181" i="1" s="1"/>
  <c r="DU181" i="1"/>
  <c r="ED181" i="1" s="1"/>
  <c r="DQ181" i="1"/>
  <c r="DZ181" i="1" s="1"/>
  <c r="DW181" i="1"/>
  <c r="EF181" i="1" s="1"/>
  <c r="DV180" i="1"/>
  <c r="EE180" i="1" s="1"/>
  <c r="DP180" i="1"/>
  <c r="DY180" i="1" s="1"/>
  <c r="DO180" i="1"/>
  <c r="DX180" i="1" s="1"/>
  <c r="DW180" i="1"/>
  <c r="EF180" i="1" s="1"/>
  <c r="DU180" i="1"/>
  <c r="ED180" i="1" s="1"/>
  <c r="DQ180" i="1"/>
  <c r="DZ180" i="1" s="1"/>
  <c r="DP179" i="1"/>
  <c r="DY179" i="1" s="1"/>
  <c r="DV179" i="1"/>
  <c r="EE179" i="1" s="1"/>
  <c r="DQ179" i="1"/>
  <c r="DZ179" i="1" s="1"/>
  <c r="DW179" i="1"/>
  <c r="EF179" i="1" s="1"/>
  <c r="DO179" i="1"/>
  <c r="DX179" i="1" s="1"/>
  <c r="DU179" i="1"/>
  <c r="ED179" i="1" s="1"/>
  <c r="DV178" i="1"/>
  <c r="EE178" i="1" s="1"/>
  <c r="DP178" i="1"/>
  <c r="DY178" i="1" s="1"/>
  <c r="DW178" i="1"/>
  <c r="EF178" i="1" s="1"/>
  <c r="DO178" i="1"/>
  <c r="DX178" i="1" s="1"/>
  <c r="DQ178" i="1"/>
  <c r="DZ178" i="1" s="1"/>
  <c r="DU178" i="1"/>
  <c r="ED178" i="1" s="1"/>
  <c r="DP177" i="1"/>
  <c r="DY177" i="1" s="1"/>
  <c r="DV177" i="1"/>
  <c r="EE177" i="1" s="1"/>
  <c r="DO177" i="1"/>
  <c r="DX177" i="1" s="1"/>
  <c r="DW177" i="1"/>
  <c r="EF177" i="1" s="1"/>
  <c r="DQ177" i="1"/>
  <c r="DZ177" i="1" s="1"/>
  <c r="DU177" i="1"/>
  <c r="ED177" i="1" s="1"/>
  <c r="DP176" i="1"/>
  <c r="DY176" i="1" s="1"/>
  <c r="DV176" i="1"/>
  <c r="EE176" i="1" s="1"/>
  <c r="DQ176" i="1"/>
  <c r="DZ176" i="1" s="1"/>
  <c r="DU176" i="1"/>
  <c r="ED176" i="1" s="1"/>
  <c r="DO176" i="1"/>
  <c r="DX176" i="1" s="1"/>
  <c r="DW176" i="1"/>
  <c r="EF176" i="1" s="1"/>
  <c r="DV175" i="1"/>
  <c r="EE175" i="1" s="1"/>
  <c r="DP175" i="1"/>
  <c r="DY175" i="1" s="1"/>
  <c r="DU175" i="1"/>
  <c r="ED175" i="1" s="1"/>
  <c r="DQ175" i="1"/>
  <c r="DZ175" i="1" s="1"/>
  <c r="DO175" i="1"/>
  <c r="DX175" i="1" s="1"/>
  <c r="DW175" i="1"/>
  <c r="EF175" i="1" s="1"/>
  <c r="DV174" i="1"/>
  <c r="EE174" i="1" s="1"/>
  <c r="DP174" i="1"/>
  <c r="DY174" i="1" s="1"/>
  <c r="DQ174" i="1"/>
  <c r="DZ174" i="1" s="1"/>
  <c r="DW174" i="1"/>
  <c r="EF174" i="1" s="1"/>
  <c r="DO174" i="1"/>
  <c r="DX174" i="1" s="1"/>
  <c r="DU174" i="1"/>
  <c r="ED174" i="1" s="1"/>
  <c r="DP173" i="1"/>
  <c r="DY173" i="1" s="1"/>
  <c r="DV173" i="1"/>
  <c r="EE173" i="1" s="1"/>
  <c r="DW173" i="1"/>
  <c r="EF173" i="1" s="1"/>
  <c r="DO173" i="1"/>
  <c r="DX173" i="1" s="1"/>
  <c r="DQ173" i="1"/>
  <c r="DZ173" i="1" s="1"/>
  <c r="DU173" i="1"/>
  <c r="ED173" i="1" s="1"/>
  <c r="DV172" i="1"/>
  <c r="EE172" i="1" s="1"/>
  <c r="DP172" i="1"/>
  <c r="DY172" i="1" s="1"/>
  <c r="DU172" i="1"/>
  <c r="ED172" i="1" s="1"/>
  <c r="DW172" i="1"/>
  <c r="EF172" i="1" s="1"/>
  <c r="DQ172" i="1"/>
  <c r="DZ172" i="1" s="1"/>
  <c r="DO172" i="1"/>
  <c r="DX172" i="1" s="1"/>
  <c r="DP171" i="1"/>
  <c r="DY171" i="1" s="1"/>
  <c r="DV171" i="1"/>
  <c r="EE171" i="1" s="1"/>
  <c r="DU171" i="1"/>
  <c r="ED171" i="1" s="1"/>
  <c r="DQ171" i="1"/>
  <c r="DZ171" i="1" s="1"/>
  <c r="DO171" i="1"/>
  <c r="DX171" i="1" s="1"/>
  <c r="DW171" i="1"/>
  <c r="EF171" i="1" s="1"/>
  <c r="DV170" i="1"/>
  <c r="EE170" i="1" s="1"/>
  <c r="DP170" i="1"/>
  <c r="DY170" i="1" s="1"/>
  <c r="DU170" i="1"/>
  <c r="ED170" i="1" s="1"/>
  <c r="DO170" i="1"/>
  <c r="DX170" i="1" s="1"/>
  <c r="DW170" i="1"/>
  <c r="EF170" i="1" s="1"/>
  <c r="DQ170" i="1"/>
  <c r="DZ170" i="1" s="1"/>
  <c r="DP169" i="1"/>
  <c r="DY169" i="1" s="1"/>
  <c r="DV169" i="1"/>
  <c r="EE169" i="1" s="1"/>
  <c r="DU169" i="1"/>
  <c r="ED169" i="1" s="1"/>
  <c r="DO169" i="1"/>
  <c r="DX169" i="1" s="1"/>
  <c r="DQ169" i="1"/>
  <c r="DZ169" i="1" s="1"/>
  <c r="DW169" i="1"/>
  <c r="EF169" i="1" s="1"/>
  <c r="DV168" i="1"/>
  <c r="EE168" i="1" s="1"/>
  <c r="DP168" i="1"/>
  <c r="DY168" i="1" s="1"/>
  <c r="DU168" i="1"/>
  <c r="ED168" i="1" s="1"/>
  <c r="DQ168" i="1"/>
  <c r="DZ168" i="1" s="1"/>
  <c r="DW168" i="1"/>
  <c r="EF168" i="1" s="1"/>
  <c r="DO168" i="1"/>
  <c r="DX168" i="1" s="1"/>
  <c r="DV167" i="1"/>
  <c r="EE167" i="1" s="1"/>
  <c r="DP167" i="1"/>
  <c r="DY167" i="1" s="1"/>
  <c r="DU167" i="1"/>
  <c r="ED167" i="1" s="1"/>
  <c r="DQ167" i="1"/>
  <c r="DZ167" i="1" s="1"/>
  <c r="DW167" i="1"/>
  <c r="EF167" i="1" s="1"/>
  <c r="DO167" i="1"/>
  <c r="DX167" i="1" s="1"/>
  <c r="DP166" i="1"/>
  <c r="DY166" i="1" s="1"/>
  <c r="DV166" i="1"/>
  <c r="EE166" i="1" s="1"/>
  <c r="DO166" i="1"/>
  <c r="DX166" i="1" s="1"/>
  <c r="DQ166" i="1"/>
  <c r="DZ166" i="1" s="1"/>
  <c r="DW166" i="1"/>
  <c r="EF166" i="1" s="1"/>
  <c r="DU166" i="1"/>
  <c r="ED166" i="1" s="1"/>
  <c r="DP165" i="1"/>
  <c r="DY165" i="1" s="1"/>
  <c r="DV165" i="1"/>
  <c r="EE165" i="1" s="1"/>
  <c r="DO165" i="1"/>
  <c r="DX165" i="1" s="1"/>
  <c r="DU165" i="1"/>
  <c r="ED165" i="1" s="1"/>
  <c r="DQ165" i="1"/>
  <c r="DZ165" i="1" s="1"/>
  <c r="DW165" i="1"/>
  <c r="EF165" i="1" s="1"/>
  <c r="DV164" i="1"/>
  <c r="EE164" i="1" s="1"/>
  <c r="DP164" i="1"/>
  <c r="DY164" i="1" s="1"/>
  <c r="DU164" i="1"/>
  <c r="ED164" i="1" s="1"/>
  <c r="DQ164" i="1"/>
  <c r="DZ164" i="1" s="1"/>
  <c r="DO164" i="1"/>
  <c r="DX164" i="1" s="1"/>
  <c r="DW164" i="1"/>
  <c r="EF164" i="1" s="1"/>
  <c r="DV163" i="1"/>
  <c r="EE163" i="1" s="1"/>
  <c r="DP163" i="1"/>
  <c r="DY163" i="1" s="1"/>
  <c r="DQ163" i="1"/>
  <c r="DZ163" i="1" s="1"/>
  <c r="DW163" i="1"/>
  <c r="EF163" i="1" s="1"/>
  <c r="DO163" i="1"/>
  <c r="DX163" i="1" s="1"/>
  <c r="DU163" i="1"/>
  <c r="ED163" i="1" s="1"/>
  <c r="Y31" i="34"/>
  <c r="AD31" i="34"/>
  <c r="Y30" i="34"/>
  <c r="AD30" i="34"/>
  <c r="AD29" i="34"/>
  <c r="Y29" i="34"/>
  <c r="Y22" i="34"/>
  <c r="AD22" i="34"/>
  <c r="AD28" i="34"/>
  <c r="Y28" i="34"/>
  <c r="Y21" i="34"/>
  <c r="AD21" i="34"/>
  <c r="AD33" i="34"/>
  <c r="Y33" i="34"/>
  <c r="Y25" i="34"/>
  <c r="AD25" i="34"/>
  <c r="Y23" i="34"/>
  <c r="AD23" i="34"/>
  <c r="AK20" i="29"/>
  <c r="Y32" i="34"/>
  <c r="AD32" i="34"/>
  <c r="Y27" i="34"/>
  <c r="AD27" i="34"/>
  <c r="AK16" i="29"/>
  <c r="Y26" i="34"/>
  <c r="AD26" i="34"/>
  <c r="Y24" i="34"/>
  <c r="AD24" i="34"/>
  <c r="Y18" i="34"/>
  <c r="AD18" i="34"/>
  <c r="Y19" i="34"/>
  <c r="AD19" i="34"/>
  <c r="Y20" i="34"/>
  <c r="AD20" i="34"/>
  <c r="DV188" i="1"/>
  <c r="EE188" i="1" s="1"/>
  <c r="DP188" i="1"/>
  <c r="DY188" i="1" s="1"/>
  <c r="DU188" i="1"/>
  <c r="ED188" i="1" s="1"/>
  <c r="DQ188" i="1"/>
  <c r="DZ188" i="1" s="1"/>
  <c r="DW188" i="1"/>
  <c r="EF188" i="1" s="1"/>
  <c r="DO188" i="1"/>
  <c r="DX188" i="1" s="1"/>
  <c r="DV192" i="1"/>
  <c r="EE192" i="1" s="1"/>
  <c r="DP192" i="1"/>
  <c r="DY192" i="1" s="1"/>
  <c r="DO192" i="1"/>
  <c r="DX192" i="1" s="1"/>
  <c r="DU192" i="1"/>
  <c r="ED192" i="1" s="1"/>
  <c r="DW192" i="1"/>
  <c r="EF192" i="1" s="1"/>
  <c r="DQ192" i="1"/>
  <c r="DZ192" i="1" s="1"/>
  <c r="DV191" i="1"/>
  <c r="EE191" i="1" s="1"/>
  <c r="DP191" i="1"/>
  <c r="DY191" i="1" s="1"/>
  <c r="DU191" i="1"/>
  <c r="ED191" i="1" s="1"/>
  <c r="DQ191" i="1"/>
  <c r="DZ191" i="1" s="1"/>
  <c r="DO191" i="1"/>
  <c r="DX191" i="1" s="1"/>
  <c r="DW191" i="1"/>
  <c r="EF191" i="1" s="1"/>
  <c r="DV190" i="1"/>
  <c r="EE190" i="1" s="1"/>
  <c r="DP190" i="1"/>
  <c r="DY190" i="1" s="1"/>
  <c r="DQ190" i="1"/>
  <c r="DZ190" i="1" s="1"/>
  <c r="DW190" i="1"/>
  <c r="EF190" i="1" s="1"/>
  <c r="DU190" i="1"/>
  <c r="ED190" i="1" s="1"/>
  <c r="DO190" i="1"/>
  <c r="DX190" i="1" s="1"/>
  <c r="DV189" i="1"/>
  <c r="EE189" i="1" s="1"/>
  <c r="DP189" i="1"/>
  <c r="DY189" i="1" s="1"/>
  <c r="DU189" i="1"/>
  <c r="ED189" i="1" s="1"/>
  <c r="DQ189" i="1"/>
  <c r="DZ189" i="1" s="1"/>
  <c r="DW189" i="1"/>
  <c r="EF189" i="1" s="1"/>
  <c r="DO189" i="1"/>
  <c r="DX189" i="1" s="1"/>
  <c r="DV214" i="1"/>
  <c r="EE214" i="1" s="1"/>
  <c r="DP214" i="1"/>
  <c r="DY214" i="1" s="1"/>
  <c r="DU214" i="1"/>
  <c r="ED214" i="1" s="1"/>
  <c r="DQ214" i="1"/>
  <c r="DZ214" i="1" s="1"/>
  <c r="DO214" i="1"/>
  <c r="DX214" i="1" s="1"/>
  <c r="DW214" i="1"/>
  <c r="EF214" i="1" s="1"/>
  <c r="DV244" i="1"/>
  <c r="EE244" i="1" s="1"/>
  <c r="DP244" i="1"/>
  <c r="DY244" i="1" s="1"/>
  <c r="DW244" i="1"/>
  <c r="EF244" i="1" s="1"/>
  <c r="DO244" i="1"/>
  <c r="DX244" i="1" s="1"/>
  <c r="DU244" i="1"/>
  <c r="ED244" i="1" s="1"/>
  <c r="DQ244" i="1"/>
  <c r="DZ244" i="1" s="1"/>
  <c r="DV300" i="1"/>
  <c r="EE300" i="1" s="1"/>
  <c r="DP300" i="1"/>
  <c r="DY300" i="1" s="1"/>
  <c r="DW300" i="1"/>
  <c r="EF300" i="1" s="1"/>
  <c r="DO300" i="1"/>
  <c r="DX300" i="1" s="1"/>
  <c r="DU300" i="1"/>
  <c r="ED300" i="1" s="1"/>
  <c r="DQ300" i="1"/>
  <c r="DZ300" i="1" s="1"/>
  <c r="DP221" i="1"/>
  <c r="DY221" i="1" s="1"/>
  <c r="DV221" i="1"/>
  <c r="EE221" i="1" s="1"/>
  <c r="DW221" i="1"/>
  <c r="EF221" i="1" s="1"/>
  <c r="DO221" i="1"/>
  <c r="DX221" i="1" s="1"/>
  <c r="DU221" i="1"/>
  <c r="ED221" i="1" s="1"/>
  <c r="DQ221" i="1"/>
  <c r="DZ221" i="1" s="1"/>
  <c r="DP277" i="1"/>
  <c r="DY277" i="1" s="1"/>
  <c r="DV277" i="1"/>
  <c r="EE277" i="1" s="1"/>
  <c r="DQ277" i="1"/>
  <c r="DZ277" i="1" s="1"/>
  <c r="DO277" i="1"/>
  <c r="DX277" i="1" s="1"/>
  <c r="DW277" i="1"/>
  <c r="EF277" i="1" s="1"/>
  <c r="DU277" i="1"/>
  <c r="ED277" i="1" s="1"/>
  <c r="DP270" i="1"/>
  <c r="DY270" i="1" s="1"/>
  <c r="DV270" i="1"/>
  <c r="EE270" i="1" s="1"/>
  <c r="DO270" i="1"/>
  <c r="DX270" i="1" s="1"/>
  <c r="DW270" i="1"/>
  <c r="EF270" i="1" s="1"/>
  <c r="DQ270" i="1"/>
  <c r="DZ270" i="1" s="1"/>
  <c r="DU270" i="1"/>
  <c r="ED270" i="1" s="1"/>
  <c r="DP239" i="1"/>
  <c r="DY239" i="1" s="1"/>
  <c r="DV239" i="1"/>
  <c r="EE239" i="1" s="1"/>
  <c r="DU239" i="1"/>
  <c r="ED239" i="1" s="1"/>
  <c r="DQ239" i="1"/>
  <c r="DZ239" i="1" s="1"/>
  <c r="DO239" i="1"/>
  <c r="DX239" i="1" s="1"/>
  <c r="DW239" i="1"/>
  <c r="EF239" i="1" s="1"/>
  <c r="DV280" i="1"/>
  <c r="EE280" i="1" s="1"/>
  <c r="DP280" i="1"/>
  <c r="DY280" i="1" s="1"/>
  <c r="DU280" i="1"/>
  <c r="ED280" i="1" s="1"/>
  <c r="DQ280" i="1"/>
  <c r="DZ280" i="1" s="1"/>
  <c r="DO280" i="1"/>
  <c r="DX280" i="1" s="1"/>
  <c r="DW280" i="1"/>
  <c r="EF280" i="1" s="1"/>
  <c r="DP265" i="1"/>
  <c r="DY265" i="1" s="1"/>
  <c r="DV265" i="1"/>
  <c r="EE265" i="1" s="1"/>
  <c r="DW265" i="1"/>
  <c r="EF265" i="1" s="1"/>
  <c r="DU265" i="1"/>
  <c r="ED265" i="1" s="1"/>
  <c r="DQ265" i="1"/>
  <c r="DZ265" i="1" s="1"/>
  <c r="DO265" i="1"/>
  <c r="DX265" i="1" s="1"/>
  <c r="DV304" i="1"/>
  <c r="EE304" i="1" s="1"/>
  <c r="DP304" i="1"/>
  <c r="DY304" i="1" s="1"/>
  <c r="DW304" i="1"/>
  <c r="EF304" i="1" s="1"/>
  <c r="DO304" i="1"/>
  <c r="DX304" i="1" s="1"/>
  <c r="DQ304" i="1"/>
  <c r="DZ304" i="1" s="1"/>
  <c r="DU304" i="1"/>
  <c r="ED304" i="1" s="1"/>
  <c r="DP258" i="1"/>
  <c r="DY258" i="1" s="1"/>
  <c r="DV258" i="1"/>
  <c r="EE258" i="1" s="1"/>
  <c r="DQ258" i="1"/>
  <c r="DZ258" i="1" s="1"/>
  <c r="DW258" i="1"/>
  <c r="EF258" i="1" s="1"/>
  <c r="DU258" i="1"/>
  <c r="ED258" i="1" s="1"/>
  <c r="DO258" i="1"/>
  <c r="DX258" i="1" s="1"/>
  <c r="DP269" i="1"/>
  <c r="DY269" i="1" s="1"/>
  <c r="DV269" i="1"/>
  <c r="EE269" i="1" s="1"/>
  <c r="DQ269" i="1"/>
  <c r="DZ269" i="1" s="1"/>
  <c r="DO269" i="1"/>
  <c r="DX269" i="1" s="1"/>
  <c r="DU269" i="1"/>
  <c r="ED269" i="1" s="1"/>
  <c r="DW269" i="1"/>
  <c r="EF269" i="1" s="1"/>
  <c r="DP248" i="1"/>
  <c r="DY248" i="1" s="1"/>
  <c r="DV248" i="1"/>
  <c r="EE248" i="1" s="1"/>
  <c r="DQ248" i="1"/>
  <c r="DZ248" i="1" s="1"/>
  <c r="DU248" i="1"/>
  <c r="ED248" i="1" s="1"/>
  <c r="DO248" i="1"/>
  <c r="DX248" i="1" s="1"/>
  <c r="DW248" i="1"/>
  <c r="EF248" i="1" s="1"/>
  <c r="DV229" i="1"/>
  <c r="EE229" i="1" s="1"/>
  <c r="DP229" i="1"/>
  <c r="DY229" i="1" s="1"/>
  <c r="DU229" i="1"/>
  <c r="ED229" i="1" s="1"/>
  <c r="DW229" i="1"/>
  <c r="EF229" i="1" s="1"/>
  <c r="DO229" i="1"/>
  <c r="DX229" i="1" s="1"/>
  <c r="DQ229" i="1"/>
  <c r="DZ229" i="1" s="1"/>
  <c r="DV281" i="1"/>
  <c r="EE281" i="1" s="1"/>
  <c r="DP281" i="1"/>
  <c r="DY281" i="1" s="1"/>
  <c r="DO281" i="1"/>
  <c r="DX281" i="1" s="1"/>
  <c r="DQ281" i="1"/>
  <c r="DZ281" i="1" s="1"/>
  <c r="DU281" i="1"/>
  <c r="ED281" i="1" s="1"/>
  <c r="DW281" i="1"/>
  <c r="EF281" i="1" s="1"/>
  <c r="DP306" i="1"/>
  <c r="DY306" i="1" s="1"/>
  <c r="DV306" i="1"/>
  <c r="EE306" i="1" s="1"/>
  <c r="DQ306" i="1"/>
  <c r="DZ306" i="1" s="1"/>
  <c r="DO306" i="1"/>
  <c r="DX306" i="1" s="1"/>
  <c r="DU306" i="1"/>
  <c r="ED306" i="1" s="1"/>
  <c r="DW306" i="1"/>
  <c r="EF306" i="1" s="1"/>
  <c r="DP278" i="1"/>
  <c r="DY278" i="1" s="1"/>
  <c r="DV278" i="1"/>
  <c r="EE278" i="1" s="1"/>
  <c r="DO278" i="1"/>
  <c r="DX278" i="1" s="1"/>
  <c r="DW278" i="1"/>
  <c r="EF278" i="1" s="1"/>
  <c r="DU278" i="1"/>
  <c r="ED278" i="1" s="1"/>
  <c r="DQ278" i="1"/>
  <c r="DZ278" i="1" s="1"/>
  <c r="DP274" i="1"/>
  <c r="DY274" i="1" s="1"/>
  <c r="DV274" i="1"/>
  <c r="EE274" i="1" s="1"/>
  <c r="DU274" i="1"/>
  <c r="ED274" i="1" s="1"/>
  <c r="DQ274" i="1"/>
  <c r="DZ274" i="1" s="1"/>
  <c r="DW274" i="1"/>
  <c r="EF274" i="1" s="1"/>
  <c r="DO274" i="1"/>
  <c r="DX274" i="1" s="1"/>
  <c r="DV243" i="1"/>
  <c r="EE243" i="1" s="1"/>
  <c r="DP243" i="1"/>
  <c r="DY243" i="1" s="1"/>
  <c r="DO243" i="1"/>
  <c r="DX243" i="1" s="1"/>
  <c r="DU243" i="1"/>
  <c r="ED243" i="1" s="1"/>
  <c r="DW243" i="1"/>
  <c r="EF243" i="1" s="1"/>
  <c r="DQ243" i="1"/>
  <c r="DZ243" i="1" s="1"/>
  <c r="DP292" i="1"/>
  <c r="DY292" i="1" s="1"/>
  <c r="DV292" i="1"/>
  <c r="EE292" i="1" s="1"/>
  <c r="DO292" i="1"/>
  <c r="DX292" i="1" s="1"/>
  <c r="DW292" i="1"/>
  <c r="EF292" i="1" s="1"/>
  <c r="DU292" i="1"/>
  <c r="ED292" i="1" s="1"/>
  <c r="DQ292" i="1"/>
  <c r="DZ292" i="1" s="1"/>
  <c r="DP213" i="1"/>
  <c r="DY213" i="1" s="1"/>
  <c r="DV213" i="1"/>
  <c r="EE213" i="1" s="1"/>
  <c r="DW213" i="1"/>
  <c r="EF213" i="1" s="1"/>
  <c r="DO213" i="1"/>
  <c r="DX213" i="1" s="1"/>
  <c r="DU213" i="1"/>
  <c r="ED213" i="1" s="1"/>
  <c r="DQ213" i="1"/>
  <c r="DZ213" i="1" s="1"/>
  <c r="DV238" i="1"/>
  <c r="EE238" i="1" s="1"/>
  <c r="DP238" i="1"/>
  <c r="DY238" i="1" s="1"/>
  <c r="DW238" i="1"/>
  <c r="EF238" i="1" s="1"/>
  <c r="DQ238" i="1"/>
  <c r="DZ238" i="1" s="1"/>
  <c r="DO238" i="1"/>
  <c r="DX238" i="1" s="1"/>
  <c r="DU238" i="1"/>
  <c r="ED238" i="1" s="1"/>
  <c r="DV252" i="1"/>
  <c r="EE252" i="1" s="1"/>
  <c r="DP252" i="1"/>
  <c r="DY252" i="1" s="1"/>
  <c r="DO252" i="1"/>
  <c r="DX252" i="1" s="1"/>
  <c r="DW252" i="1"/>
  <c r="EF252" i="1" s="1"/>
  <c r="DU252" i="1"/>
  <c r="ED252" i="1" s="1"/>
  <c r="DQ252" i="1"/>
  <c r="DZ252" i="1" s="1"/>
  <c r="DV233" i="1"/>
  <c r="EE233" i="1" s="1"/>
  <c r="DP233" i="1"/>
  <c r="DY233" i="1" s="1"/>
  <c r="DQ233" i="1"/>
  <c r="DZ233" i="1" s="1"/>
  <c r="DW233" i="1"/>
  <c r="EF233" i="1" s="1"/>
  <c r="DU233" i="1"/>
  <c r="ED233" i="1" s="1"/>
  <c r="DO233" i="1"/>
  <c r="DX233" i="1" s="1"/>
  <c r="DP289" i="1"/>
  <c r="DY289" i="1" s="1"/>
  <c r="DV289" i="1"/>
  <c r="EE289" i="1" s="1"/>
  <c r="DO289" i="1"/>
  <c r="DX289" i="1" s="1"/>
  <c r="DW289" i="1"/>
  <c r="EF289" i="1" s="1"/>
  <c r="DU289" i="1"/>
  <c r="ED289" i="1" s="1"/>
  <c r="DQ289" i="1"/>
  <c r="DZ289" i="1" s="1"/>
  <c r="DP285" i="1"/>
  <c r="DY285" i="1" s="1"/>
  <c r="DV285" i="1"/>
  <c r="EE285" i="1" s="1"/>
  <c r="DQ285" i="1"/>
  <c r="DZ285" i="1" s="1"/>
  <c r="DW285" i="1"/>
  <c r="EF285" i="1" s="1"/>
  <c r="DO285" i="1"/>
  <c r="DX285" i="1" s="1"/>
  <c r="DU285" i="1"/>
  <c r="ED285" i="1" s="1"/>
  <c r="DV219" i="1"/>
  <c r="EE219" i="1" s="1"/>
  <c r="DP219" i="1"/>
  <c r="DY219" i="1" s="1"/>
  <c r="DU219" i="1"/>
  <c r="ED219" i="1" s="1"/>
  <c r="DQ219" i="1"/>
  <c r="DZ219" i="1" s="1"/>
  <c r="DO219" i="1"/>
  <c r="DX219" i="1" s="1"/>
  <c r="DW219" i="1"/>
  <c r="EF219" i="1" s="1"/>
  <c r="DV286" i="1"/>
  <c r="EE286" i="1" s="1"/>
  <c r="DP286" i="1"/>
  <c r="DY286" i="1" s="1"/>
  <c r="DW286" i="1"/>
  <c r="EF286" i="1" s="1"/>
  <c r="DQ286" i="1"/>
  <c r="DZ286" i="1" s="1"/>
  <c r="DO286" i="1"/>
  <c r="DX286" i="1" s="1"/>
  <c r="DU286" i="1"/>
  <c r="ED286" i="1" s="1"/>
  <c r="DP206" i="1"/>
  <c r="DY206" i="1" s="1"/>
  <c r="DV206" i="1"/>
  <c r="EE206" i="1" s="1"/>
  <c r="DU206" i="1"/>
  <c r="ED206" i="1" s="1"/>
  <c r="DW206" i="1"/>
  <c r="EF206" i="1" s="1"/>
  <c r="DQ206" i="1"/>
  <c r="DZ206" i="1" s="1"/>
  <c r="DO206" i="1"/>
  <c r="DX206" i="1" s="1"/>
  <c r="DP210" i="1"/>
  <c r="DY210" i="1" s="1"/>
  <c r="DV210" i="1"/>
  <c r="EE210" i="1" s="1"/>
  <c r="DQ210" i="1"/>
  <c r="DZ210" i="1" s="1"/>
  <c r="DW210" i="1"/>
  <c r="EF210" i="1" s="1"/>
  <c r="DU210" i="1"/>
  <c r="ED210" i="1" s="1"/>
  <c r="DO210" i="1"/>
  <c r="DX210" i="1" s="1"/>
  <c r="DP282" i="1"/>
  <c r="DY282" i="1" s="1"/>
  <c r="DV282" i="1"/>
  <c r="EE282" i="1" s="1"/>
  <c r="DQ282" i="1"/>
  <c r="DZ282" i="1" s="1"/>
  <c r="DW282" i="1"/>
  <c r="EF282" i="1" s="1"/>
  <c r="DU282" i="1"/>
  <c r="ED282" i="1" s="1"/>
  <c r="DO282" i="1"/>
  <c r="DX282" i="1" s="1"/>
  <c r="DV247" i="1"/>
  <c r="EE247" i="1" s="1"/>
  <c r="DP247" i="1"/>
  <c r="DY247" i="1" s="1"/>
  <c r="DW247" i="1"/>
  <c r="EF247" i="1" s="1"/>
  <c r="DU247" i="1"/>
  <c r="ED247" i="1" s="1"/>
  <c r="DQ247" i="1"/>
  <c r="DZ247" i="1" s="1"/>
  <c r="DO247" i="1"/>
  <c r="DX247" i="1" s="1"/>
  <c r="DP237" i="1"/>
  <c r="DY237" i="1" s="1"/>
  <c r="DV237" i="1"/>
  <c r="EE237" i="1" s="1"/>
  <c r="DQ237" i="1"/>
  <c r="DZ237" i="1" s="1"/>
  <c r="DU237" i="1"/>
  <c r="ED237" i="1" s="1"/>
  <c r="DW237" i="1"/>
  <c r="EF237" i="1" s="1"/>
  <c r="DO237" i="1"/>
  <c r="DX237" i="1" s="1"/>
  <c r="DP293" i="1"/>
  <c r="DY293" i="1" s="1"/>
  <c r="DV293" i="1"/>
  <c r="EE293" i="1" s="1"/>
  <c r="DQ293" i="1"/>
  <c r="DZ293" i="1" s="1"/>
  <c r="DU293" i="1"/>
  <c r="ED293" i="1" s="1"/>
  <c r="DW293" i="1"/>
  <c r="EF293" i="1" s="1"/>
  <c r="DO293" i="1"/>
  <c r="DX293" i="1" s="1"/>
  <c r="DP246" i="1"/>
  <c r="DY246" i="1" s="1"/>
  <c r="DV246" i="1"/>
  <c r="EE246" i="1" s="1"/>
  <c r="DQ246" i="1"/>
  <c r="DZ246" i="1" s="1"/>
  <c r="DO246" i="1"/>
  <c r="DX246" i="1" s="1"/>
  <c r="DU246" i="1"/>
  <c r="ED246" i="1" s="1"/>
  <c r="DW246" i="1"/>
  <c r="EF246" i="1" s="1"/>
  <c r="DP218" i="1"/>
  <c r="DY218" i="1" s="1"/>
  <c r="DV218" i="1"/>
  <c r="EE218" i="1" s="1"/>
  <c r="DQ218" i="1"/>
  <c r="DZ218" i="1" s="1"/>
  <c r="DO218" i="1"/>
  <c r="DX218" i="1" s="1"/>
  <c r="DW218" i="1"/>
  <c r="EF218" i="1" s="1"/>
  <c r="DU218" i="1"/>
  <c r="ED218" i="1" s="1"/>
  <c r="DP294" i="1"/>
  <c r="DY294" i="1" s="1"/>
  <c r="DV294" i="1"/>
  <c r="EE294" i="1" s="1"/>
  <c r="DU294" i="1"/>
  <c r="ED294" i="1" s="1"/>
  <c r="DQ294" i="1"/>
  <c r="DZ294" i="1" s="1"/>
  <c r="DW294" i="1"/>
  <c r="EF294" i="1" s="1"/>
  <c r="DO294" i="1"/>
  <c r="DX294" i="1" s="1"/>
  <c r="DV275" i="1"/>
  <c r="EE275" i="1" s="1"/>
  <c r="DP275" i="1"/>
  <c r="DY275" i="1" s="1"/>
  <c r="DW275" i="1"/>
  <c r="EF275" i="1" s="1"/>
  <c r="DQ275" i="1"/>
  <c r="DZ275" i="1" s="1"/>
  <c r="DU275" i="1"/>
  <c r="ED275" i="1" s="1"/>
  <c r="DO275" i="1"/>
  <c r="DX275" i="1" s="1"/>
  <c r="DV251" i="1"/>
  <c r="EE251" i="1" s="1"/>
  <c r="DP251" i="1"/>
  <c r="DY251" i="1" s="1"/>
  <c r="DO251" i="1"/>
  <c r="DX251" i="1" s="1"/>
  <c r="DW251" i="1"/>
  <c r="EF251" i="1" s="1"/>
  <c r="DU251" i="1"/>
  <c r="ED251" i="1" s="1"/>
  <c r="DQ251" i="1"/>
  <c r="DZ251" i="1" s="1"/>
  <c r="DP241" i="1"/>
  <c r="DY241" i="1" s="1"/>
  <c r="DV241" i="1"/>
  <c r="EE241" i="1" s="1"/>
  <c r="DO241" i="1"/>
  <c r="DX241" i="1" s="1"/>
  <c r="DW241" i="1"/>
  <c r="EF241" i="1" s="1"/>
  <c r="DQ241" i="1"/>
  <c r="DZ241" i="1" s="1"/>
  <c r="DU241" i="1"/>
  <c r="ED241" i="1" s="1"/>
  <c r="DV297" i="1"/>
  <c r="EE297" i="1" s="1"/>
  <c r="DP297" i="1"/>
  <c r="DY297" i="1" s="1"/>
  <c r="DW297" i="1"/>
  <c r="EF297" i="1" s="1"/>
  <c r="DQ297" i="1"/>
  <c r="DZ297" i="1" s="1"/>
  <c r="DO297" i="1"/>
  <c r="DX297" i="1" s="1"/>
  <c r="DU297" i="1"/>
  <c r="ED297" i="1" s="1"/>
  <c r="DP231" i="1"/>
  <c r="DY231" i="1" s="1"/>
  <c r="DV231" i="1"/>
  <c r="EE231" i="1" s="1"/>
  <c r="DO231" i="1"/>
  <c r="DX231" i="1" s="1"/>
  <c r="DW231" i="1"/>
  <c r="EF231" i="1" s="1"/>
  <c r="DQ231" i="1"/>
  <c r="DZ231" i="1" s="1"/>
  <c r="DU231" i="1"/>
  <c r="ED231" i="1" s="1"/>
  <c r="DP222" i="1"/>
  <c r="DY222" i="1" s="1"/>
  <c r="DV222" i="1"/>
  <c r="EE222" i="1" s="1"/>
  <c r="DQ222" i="1"/>
  <c r="DZ222" i="1" s="1"/>
  <c r="DU222" i="1"/>
  <c r="ED222" i="1" s="1"/>
  <c r="DW222" i="1"/>
  <c r="EF222" i="1" s="1"/>
  <c r="DO222" i="1"/>
  <c r="DX222" i="1" s="1"/>
  <c r="DP298" i="1"/>
  <c r="DY298" i="1" s="1"/>
  <c r="DV298" i="1"/>
  <c r="EE298" i="1" s="1"/>
  <c r="DO298" i="1"/>
  <c r="DX298" i="1" s="1"/>
  <c r="DQ298" i="1"/>
  <c r="DZ298" i="1" s="1"/>
  <c r="DW298" i="1"/>
  <c r="EF298" i="1" s="1"/>
  <c r="DU298" i="1"/>
  <c r="ED298" i="1" s="1"/>
  <c r="DP207" i="1"/>
  <c r="DY207" i="1" s="1"/>
  <c r="DV207" i="1"/>
  <c r="EE207" i="1" s="1"/>
  <c r="DU207" i="1"/>
  <c r="ED207" i="1" s="1"/>
  <c r="DQ207" i="1"/>
  <c r="DZ207" i="1" s="1"/>
  <c r="DW207" i="1"/>
  <c r="EF207" i="1" s="1"/>
  <c r="DO207" i="1"/>
  <c r="DX207" i="1" s="1"/>
  <c r="DP284" i="1"/>
  <c r="DY284" i="1" s="1"/>
  <c r="DV284" i="1"/>
  <c r="EE284" i="1" s="1"/>
  <c r="DU284" i="1"/>
  <c r="ED284" i="1" s="1"/>
  <c r="DQ284" i="1"/>
  <c r="DZ284" i="1" s="1"/>
  <c r="DO284" i="1"/>
  <c r="DX284" i="1" s="1"/>
  <c r="DW284" i="1"/>
  <c r="EF284" i="1" s="1"/>
  <c r="DP259" i="1"/>
  <c r="DY259" i="1" s="1"/>
  <c r="DV259" i="1"/>
  <c r="EE259" i="1" s="1"/>
  <c r="DQ259" i="1"/>
  <c r="DZ259" i="1" s="1"/>
  <c r="DU259" i="1"/>
  <c r="ED259" i="1" s="1"/>
  <c r="DO259" i="1"/>
  <c r="DX259" i="1" s="1"/>
  <c r="DW259" i="1"/>
  <c r="EF259" i="1" s="1"/>
  <c r="DP216" i="1"/>
  <c r="DY216" i="1" s="1"/>
  <c r="DV216" i="1"/>
  <c r="EE216" i="1" s="1"/>
  <c r="DO216" i="1"/>
  <c r="DX216" i="1" s="1"/>
  <c r="DW216" i="1"/>
  <c r="EF216" i="1" s="1"/>
  <c r="DU216" i="1"/>
  <c r="ED216" i="1" s="1"/>
  <c r="DQ216" i="1"/>
  <c r="DZ216" i="1" s="1"/>
  <c r="DP264" i="1"/>
  <c r="DY264" i="1" s="1"/>
  <c r="DV264" i="1"/>
  <c r="EE264" i="1" s="1"/>
  <c r="DU264" i="1"/>
  <c r="ED264" i="1" s="1"/>
  <c r="DQ264" i="1"/>
  <c r="DZ264" i="1" s="1"/>
  <c r="DO264" i="1"/>
  <c r="DX264" i="1" s="1"/>
  <c r="DW264" i="1"/>
  <c r="EF264" i="1" s="1"/>
  <c r="DP245" i="1"/>
  <c r="DY245" i="1" s="1"/>
  <c r="DV245" i="1"/>
  <c r="EE245" i="1" s="1"/>
  <c r="DO245" i="1"/>
  <c r="DX245" i="1" s="1"/>
  <c r="DW245" i="1"/>
  <c r="EF245" i="1" s="1"/>
  <c r="DU245" i="1"/>
  <c r="ED245" i="1" s="1"/>
  <c r="DQ245" i="1"/>
  <c r="DZ245" i="1" s="1"/>
  <c r="DP301" i="1"/>
  <c r="DY301" i="1" s="1"/>
  <c r="DV301" i="1"/>
  <c r="EE301" i="1" s="1"/>
  <c r="DU301" i="1"/>
  <c r="ED301" i="1" s="1"/>
  <c r="DQ301" i="1"/>
  <c r="DZ301" i="1" s="1"/>
  <c r="DW301" i="1"/>
  <c r="EF301" i="1" s="1"/>
  <c r="DO301" i="1"/>
  <c r="DX301" i="1" s="1"/>
  <c r="DP226" i="1"/>
  <c r="DY226" i="1" s="1"/>
  <c r="DV226" i="1"/>
  <c r="EE226" i="1" s="1"/>
  <c r="DO226" i="1"/>
  <c r="DX226" i="1" s="1"/>
  <c r="DQ226" i="1"/>
  <c r="DZ226" i="1" s="1"/>
  <c r="DW226" i="1"/>
  <c r="EF226" i="1" s="1"/>
  <c r="DU226" i="1"/>
  <c r="ED226" i="1" s="1"/>
  <c r="DP302" i="1"/>
  <c r="DY302" i="1" s="1"/>
  <c r="DV302" i="1"/>
  <c r="EE302" i="1" s="1"/>
  <c r="DU302" i="1"/>
  <c r="ED302" i="1" s="1"/>
  <c r="DW302" i="1"/>
  <c r="EF302" i="1" s="1"/>
  <c r="DQ302" i="1"/>
  <c r="DZ302" i="1" s="1"/>
  <c r="DO302" i="1"/>
  <c r="DX302" i="1" s="1"/>
  <c r="DV267" i="1"/>
  <c r="EE267" i="1" s="1"/>
  <c r="DP267" i="1"/>
  <c r="DY267" i="1" s="1"/>
  <c r="DQ267" i="1"/>
  <c r="DZ267" i="1" s="1"/>
  <c r="DU267" i="1"/>
  <c r="ED267" i="1" s="1"/>
  <c r="DO267" i="1"/>
  <c r="DX267" i="1" s="1"/>
  <c r="DW267" i="1"/>
  <c r="EF267" i="1" s="1"/>
  <c r="DV225" i="1"/>
  <c r="EE225" i="1" s="1"/>
  <c r="DP225" i="1"/>
  <c r="DY225" i="1" s="1"/>
  <c r="DQ225" i="1"/>
  <c r="DZ225" i="1" s="1"/>
  <c r="DW225" i="1"/>
  <c r="EF225" i="1" s="1"/>
  <c r="DU225" i="1"/>
  <c r="ED225" i="1" s="1"/>
  <c r="DO225" i="1"/>
  <c r="DX225" i="1" s="1"/>
  <c r="DV223" i="1"/>
  <c r="EE223" i="1" s="1"/>
  <c r="DP223" i="1"/>
  <c r="DY223" i="1" s="1"/>
  <c r="DO223" i="1"/>
  <c r="DX223" i="1" s="1"/>
  <c r="DW223" i="1"/>
  <c r="EF223" i="1" s="1"/>
  <c r="DQ223" i="1"/>
  <c r="DZ223" i="1" s="1"/>
  <c r="DU223" i="1"/>
  <c r="ED223" i="1" s="1"/>
  <c r="DP256" i="1"/>
  <c r="DY256" i="1" s="1"/>
  <c r="DV256" i="1"/>
  <c r="EE256" i="1" s="1"/>
  <c r="DQ256" i="1"/>
  <c r="DZ256" i="1" s="1"/>
  <c r="DO256" i="1"/>
  <c r="DX256" i="1" s="1"/>
  <c r="DW256" i="1"/>
  <c r="EF256" i="1" s="1"/>
  <c r="DU256" i="1"/>
  <c r="ED256" i="1" s="1"/>
  <c r="DV212" i="1"/>
  <c r="EE212" i="1" s="1"/>
  <c r="DP212" i="1"/>
  <c r="DY212" i="1" s="1"/>
  <c r="DQ212" i="1"/>
  <c r="DZ212" i="1" s="1"/>
  <c r="DU212" i="1"/>
  <c r="ED212" i="1" s="1"/>
  <c r="DW212" i="1"/>
  <c r="EF212" i="1" s="1"/>
  <c r="DO212" i="1"/>
  <c r="DX212" i="1" s="1"/>
  <c r="DP220" i="1"/>
  <c r="DY220" i="1" s="1"/>
  <c r="DV220" i="1"/>
  <c r="EE220" i="1" s="1"/>
  <c r="DQ220" i="1"/>
  <c r="DZ220" i="1" s="1"/>
  <c r="DO220" i="1"/>
  <c r="DX220" i="1" s="1"/>
  <c r="DU220" i="1"/>
  <c r="ED220" i="1" s="1"/>
  <c r="DW220" i="1"/>
  <c r="EF220" i="1" s="1"/>
  <c r="DP268" i="1"/>
  <c r="DY268" i="1" s="1"/>
  <c r="DV268" i="1"/>
  <c r="EE268" i="1" s="1"/>
  <c r="DQ268" i="1"/>
  <c r="DZ268" i="1" s="1"/>
  <c r="DU268" i="1"/>
  <c r="ED268" i="1" s="1"/>
  <c r="DW268" i="1"/>
  <c r="EF268" i="1" s="1"/>
  <c r="DO268" i="1"/>
  <c r="DX268" i="1" s="1"/>
  <c r="DP249" i="1"/>
  <c r="DY249" i="1" s="1"/>
  <c r="DV249" i="1"/>
  <c r="EE249" i="1" s="1"/>
  <c r="DW249" i="1"/>
  <c r="EF249" i="1" s="1"/>
  <c r="DQ249" i="1"/>
  <c r="DZ249" i="1" s="1"/>
  <c r="DO249" i="1"/>
  <c r="DX249" i="1" s="1"/>
  <c r="DU249" i="1"/>
  <c r="ED249" i="1" s="1"/>
  <c r="DV305" i="1"/>
  <c r="EE305" i="1" s="1"/>
  <c r="DP305" i="1"/>
  <c r="DY305" i="1" s="1"/>
  <c r="DU305" i="1"/>
  <c r="ED305" i="1" s="1"/>
  <c r="DQ305" i="1"/>
  <c r="DZ305" i="1" s="1"/>
  <c r="DO305" i="1"/>
  <c r="DX305" i="1" s="1"/>
  <c r="DW305" i="1"/>
  <c r="EF305" i="1" s="1"/>
  <c r="DP303" i="1"/>
  <c r="DY303" i="1" s="1"/>
  <c r="DV303" i="1"/>
  <c r="EE303" i="1" s="1"/>
  <c r="DW303" i="1"/>
  <c r="EF303" i="1" s="1"/>
  <c r="DU303" i="1"/>
  <c r="ED303" i="1" s="1"/>
  <c r="DQ303" i="1"/>
  <c r="DZ303" i="1" s="1"/>
  <c r="DO303" i="1"/>
  <c r="DX303" i="1" s="1"/>
  <c r="DP242" i="1"/>
  <c r="DY242" i="1" s="1"/>
  <c r="DV242" i="1"/>
  <c r="EE242" i="1" s="1"/>
  <c r="DW242" i="1"/>
  <c r="EF242" i="1" s="1"/>
  <c r="DO242" i="1"/>
  <c r="DX242" i="1" s="1"/>
  <c r="DQ242" i="1"/>
  <c r="DZ242" i="1" s="1"/>
  <c r="DU242" i="1"/>
  <c r="ED242" i="1" s="1"/>
  <c r="DP230" i="1"/>
  <c r="DY230" i="1" s="1"/>
  <c r="DV230" i="1"/>
  <c r="EE230" i="1" s="1"/>
  <c r="DW230" i="1"/>
  <c r="EF230" i="1" s="1"/>
  <c r="DO230" i="1"/>
  <c r="DX230" i="1" s="1"/>
  <c r="DU230" i="1"/>
  <c r="ED230" i="1" s="1"/>
  <c r="DQ230" i="1"/>
  <c r="DZ230" i="1" s="1"/>
  <c r="DV271" i="1"/>
  <c r="EE271" i="1" s="1"/>
  <c r="DP271" i="1"/>
  <c r="DY271" i="1" s="1"/>
  <c r="DW271" i="1"/>
  <c r="EF271" i="1" s="1"/>
  <c r="DO271" i="1"/>
  <c r="DX271" i="1" s="1"/>
  <c r="DU271" i="1"/>
  <c r="ED271" i="1" s="1"/>
  <c r="DQ271" i="1"/>
  <c r="DZ271" i="1" s="1"/>
  <c r="DP208" i="1"/>
  <c r="DY208" i="1" s="1"/>
  <c r="DV208" i="1"/>
  <c r="EE208" i="1" s="1"/>
  <c r="DQ208" i="1"/>
  <c r="DZ208" i="1" s="1"/>
  <c r="DO208" i="1"/>
  <c r="DX208" i="1" s="1"/>
  <c r="DU208" i="1"/>
  <c r="ED208" i="1" s="1"/>
  <c r="DW208" i="1"/>
  <c r="EF208" i="1" s="1"/>
  <c r="DP224" i="1"/>
  <c r="DY224" i="1" s="1"/>
  <c r="DV224" i="1"/>
  <c r="EE224" i="1" s="1"/>
  <c r="DU224" i="1"/>
  <c r="ED224" i="1" s="1"/>
  <c r="DQ224" i="1"/>
  <c r="DZ224" i="1" s="1"/>
  <c r="DO224" i="1"/>
  <c r="DX224" i="1" s="1"/>
  <c r="DW224" i="1"/>
  <c r="EF224" i="1" s="1"/>
  <c r="DP272" i="1"/>
  <c r="DY272" i="1" s="1"/>
  <c r="DV272" i="1"/>
  <c r="EE272" i="1" s="1"/>
  <c r="DU272" i="1"/>
  <c r="ED272" i="1" s="1"/>
  <c r="DQ272" i="1"/>
  <c r="DZ272" i="1" s="1"/>
  <c r="DO272" i="1"/>
  <c r="DX272" i="1" s="1"/>
  <c r="DW272" i="1"/>
  <c r="EF272" i="1" s="1"/>
  <c r="DV253" i="1"/>
  <c r="EE253" i="1" s="1"/>
  <c r="DP253" i="1"/>
  <c r="DY253" i="1" s="1"/>
  <c r="DQ253" i="1"/>
  <c r="DZ253" i="1" s="1"/>
  <c r="DU253" i="1"/>
  <c r="ED253" i="1" s="1"/>
  <c r="DW253" i="1"/>
  <c r="EF253" i="1" s="1"/>
  <c r="DO253" i="1"/>
  <c r="DX253" i="1" s="1"/>
  <c r="DV257" i="1"/>
  <c r="EE257" i="1" s="1"/>
  <c r="DP257" i="1"/>
  <c r="DY257" i="1" s="1"/>
  <c r="DU257" i="1"/>
  <c r="ED257" i="1" s="1"/>
  <c r="DO257" i="1"/>
  <c r="DX257" i="1" s="1"/>
  <c r="DW257" i="1"/>
  <c r="EF257" i="1" s="1"/>
  <c r="DQ257" i="1"/>
  <c r="DZ257" i="1" s="1"/>
  <c r="DP250" i="1"/>
  <c r="DY250" i="1" s="1"/>
  <c r="DV250" i="1"/>
  <c r="EE250" i="1" s="1"/>
  <c r="DQ250" i="1"/>
  <c r="DZ250" i="1" s="1"/>
  <c r="DW250" i="1"/>
  <c r="EF250" i="1" s="1"/>
  <c r="DU250" i="1"/>
  <c r="ED250" i="1" s="1"/>
  <c r="DO250" i="1"/>
  <c r="DX250" i="1" s="1"/>
  <c r="DP283" i="1"/>
  <c r="DY283" i="1" s="1"/>
  <c r="DV283" i="1"/>
  <c r="EE283" i="1" s="1"/>
  <c r="DO283" i="1"/>
  <c r="DX283" i="1" s="1"/>
  <c r="DW283" i="1"/>
  <c r="EF283" i="1" s="1"/>
  <c r="DU283" i="1"/>
  <c r="ED283" i="1" s="1"/>
  <c r="DQ283" i="1"/>
  <c r="DZ283" i="1" s="1"/>
  <c r="DP260" i="1"/>
  <c r="DY260" i="1" s="1"/>
  <c r="DV260" i="1"/>
  <c r="EE260" i="1" s="1"/>
  <c r="DQ260" i="1"/>
  <c r="DZ260" i="1" s="1"/>
  <c r="DU260" i="1"/>
  <c r="ED260" i="1" s="1"/>
  <c r="DO260" i="1"/>
  <c r="DX260" i="1" s="1"/>
  <c r="DW260" i="1"/>
  <c r="EF260" i="1" s="1"/>
  <c r="DV228" i="1"/>
  <c r="EE228" i="1" s="1"/>
  <c r="DP228" i="1"/>
  <c r="DY228" i="1" s="1"/>
  <c r="DW228" i="1"/>
  <c r="EF228" i="1" s="1"/>
  <c r="DQ228" i="1"/>
  <c r="DZ228" i="1" s="1"/>
  <c r="DO228" i="1"/>
  <c r="DX228" i="1" s="1"/>
  <c r="DU228" i="1"/>
  <c r="ED228" i="1" s="1"/>
  <c r="DV276" i="1"/>
  <c r="EE276" i="1" s="1"/>
  <c r="DP276" i="1"/>
  <c r="DY276" i="1" s="1"/>
  <c r="DO276" i="1"/>
  <c r="DX276" i="1" s="1"/>
  <c r="DW276" i="1"/>
  <c r="EF276" i="1" s="1"/>
  <c r="DQ276" i="1"/>
  <c r="DZ276" i="1" s="1"/>
  <c r="DU276" i="1"/>
  <c r="ED276" i="1" s="1"/>
  <c r="DP261" i="1"/>
  <c r="DY261" i="1" s="1"/>
  <c r="DV261" i="1"/>
  <c r="EE261" i="1" s="1"/>
  <c r="DO261" i="1"/>
  <c r="DX261" i="1" s="1"/>
  <c r="DU261" i="1"/>
  <c r="ED261" i="1" s="1"/>
  <c r="DW261" i="1"/>
  <c r="EF261" i="1" s="1"/>
  <c r="DQ261" i="1"/>
  <c r="DZ261" i="1" s="1"/>
  <c r="DP290" i="1"/>
  <c r="DY290" i="1" s="1"/>
  <c r="DV290" i="1"/>
  <c r="EE290" i="1" s="1"/>
  <c r="DW290" i="1"/>
  <c r="EF290" i="1" s="1"/>
  <c r="DQ290" i="1"/>
  <c r="DZ290" i="1" s="1"/>
  <c r="DO290" i="1"/>
  <c r="DX290" i="1" s="1"/>
  <c r="DU290" i="1"/>
  <c r="ED290" i="1" s="1"/>
  <c r="DP234" i="1"/>
  <c r="DY234" i="1" s="1"/>
  <c r="DV234" i="1"/>
  <c r="EE234" i="1" s="1"/>
  <c r="DW234" i="1"/>
  <c r="EF234" i="1" s="1"/>
  <c r="DU234" i="1"/>
  <c r="ED234" i="1" s="1"/>
  <c r="DO234" i="1"/>
  <c r="DX234" i="1" s="1"/>
  <c r="DQ234" i="1"/>
  <c r="DZ234" i="1" s="1"/>
  <c r="DV295" i="1"/>
  <c r="EE295" i="1" s="1"/>
  <c r="DP295" i="1"/>
  <c r="DY295" i="1" s="1"/>
  <c r="DU295" i="1"/>
  <c r="ED295" i="1" s="1"/>
  <c r="DQ295" i="1"/>
  <c r="DZ295" i="1" s="1"/>
  <c r="DO295" i="1"/>
  <c r="DX295" i="1" s="1"/>
  <c r="DW295" i="1"/>
  <c r="EF295" i="1" s="1"/>
  <c r="DP254" i="1"/>
  <c r="DY254" i="1" s="1"/>
  <c r="DV254" i="1"/>
  <c r="EE254" i="1" s="1"/>
  <c r="DW254" i="1"/>
  <c r="EF254" i="1" s="1"/>
  <c r="DQ254" i="1"/>
  <c r="DZ254" i="1" s="1"/>
  <c r="DO254" i="1"/>
  <c r="DX254" i="1" s="1"/>
  <c r="DU254" i="1"/>
  <c r="ED254" i="1" s="1"/>
  <c r="DP211" i="1"/>
  <c r="DY211" i="1" s="1"/>
  <c r="DV211" i="1"/>
  <c r="EE211" i="1" s="1"/>
  <c r="DQ211" i="1"/>
  <c r="DZ211" i="1" s="1"/>
  <c r="DU211" i="1"/>
  <c r="ED211" i="1" s="1"/>
  <c r="DO211" i="1"/>
  <c r="DX211" i="1" s="1"/>
  <c r="DW211" i="1"/>
  <c r="EF211" i="1" s="1"/>
  <c r="DP287" i="1"/>
  <c r="DY287" i="1" s="1"/>
  <c r="DV287" i="1"/>
  <c r="EE287" i="1" s="1"/>
  <c r="DW287" i="1"/>
  <c r="EF287" i="1" s="1"/>
  <c r="DU287" i="1"/>
  <c r="ED287" i="1" s="1"/>
  <c r="DQ287" i="1"/>
  <c r="DZ287" i="1" s="1"/>
  <c r="DO287" i="1"/>
  <c r="DX287" i="1" s="1"/>
  <c r="DV232" i="1"/>
  <c r="EE232" i="1" s="1"/>
  <c r="DP232" i="1"/>
  <c r="DY232" i="1" s="1"/>
  <c r="DO232" i="1"/>
  <c r="DX232" i="1" s="1"/>
  <c r="DW232" i="1"/>
  <c r="EF232" i="1" s="1"/>
  <c r="DU232" i="1"/>
  <c r="ED232" i="1" s="1"/>
  <c r="DQ232" i="1"/>
  <c r="DZ232" i="1" s="1"/>
  <c r="DV291" i="1"/>
  <c r="EE291" i="1" s="1"/>
  <c r="DP291" i="1"/>
  <c r="DY291" i="1" s="1"/>
  <c r="DO291" i="1"/>
  <c r="DX291" i="1" s="1"/>
  <c r="DW291" i="1"/>
  <c r="EF291" i="1" s="1"/>
  <c r="DQ291" i="1"/>
  <c r="DZ291" i="1" s="1"/>
  <c r="DU291" i="1"/>
  <c r="ED291" i="1" s="1"/>
  <c r="DP279" i="1"/>
  <c r="DY279" i="1" s="1"/>
  <c r="DV279" i="1"/>
  <c r="EE279" i="1" s="1"/>
  <c r="DO279" i="1"/>
  <c r="DX279" i="1" s="1"/>
  <c r="DW279" i="1"/>
  <c r="EF279" i="1" s="1"/>
  <c r="DU279" i="1"/>
  <c r="ED279" i="1" s="1"/>
  <c r="DQ279" i="1"/>
  <c r="DZ279" i="1" s="1"/>
  <c r="DV262" i="1"/>
  <c r="EE262" i="1" s="1"/>
  <c r="DP262" i="1"/>
  <c r="DY262" i="1" s="1"/>
  <c r="DO262" i="1"/>
  <c r="DX262" i="1" s="1"/>
  <c r="DQ262" i="1"/>
  <c r="DZ262" i="1" s="1"/>
  <c r="DU262" i="1"/>
  <c r="ED262" i="1" s="1"/>
  <c r="DW262" i="1"/>
  <c r="EF262" i="1" s="1"/>
  <c r="DP215" i="1"/>
  <c r="DY215" i="1" s="1"/>
  <c r="DV215" i="1"/>
  <c r="EE215" i="1" s="1"/>
  <c r="DW215" i="1"/>
  <c r="EF215" i="1" s="1"/>
  <c r="DU215" i="1"/>
  <c r="ED215" i="1" s="1"/>
  <c r="DQ215" i="1"/>
  <c r="DZ215" i="1" s="1"/>
  <c r="DO215" i="1"/>
  <c r="DX215" i="1" s="1"/>
  <c r="DV227" i="1"/>
  <c r="EE227" i="1" s="1"/>
  <c r="DP227" i="1"/>
  <c r="DY227" i="1" s="1"/>
  <c r="DW227" i="1"/>
  <c r="EF227" i="1" s="1"/>
  <c r="DQ227" i="1"/>
  <c r="DZ227" i="1" s="1"/>
  <c r="DU227" i="1"/>
  <c r="ED227" i="1" s="1"/>
  <c r="DO227" i="1"/>
  <c r="DX227" i="1" s="1"/>
  <c r="DP307" i="1"/>
  <c r="DY307" i="1" s="1"/>
  <c r="DV307" i="1"/>
  <c r="EE307" i="1" s="1"/>
  <c r="DQ307" i="1"/>
  <c r="DZ307" i="1" s="1"/>
  <c r="DO307" i="1"/>
  <c r="DX307" i="1" s="1"/>
  <c r="DU307" i="1"/>
  <c r="ED307" i="1" s="1"/>
  <c r="DW307" i="1"/>
  <c r="EF307" i="1" s="1"/>
  <c r="DV209" i="1"/>
  <c r="EE209" i="1" s="1"/>
  <c r="DP209" i="1"/>
  <c r="DY209" i="1" s="1"/>
  <c r="DU209" i="1"/>
  <c r="ED209" i="1" s="1"/>
  <c r="DO209" i="1"/>
  <c r="DX209" i="1" s="1"/>
  <c r="DW209" i="1"/>
  <c r="EF209" i="1" s="1"/>
  <c r="DQ209" i="1"/>
  <c r="DZ209" i="1" s="1"/>
  <c r="DP263" i="1"/>
  <c r="DY263" i="1" s="1"/>
  <c r="DV263" i="1"/>
  <c r="EE263" i="1" s="1"/>
  <c r="DU263" i="1"/>
  <c r="ED263" i="1" s="1"/>
  <c r="DQ263" i="1"/>
  <c r="DZ263" i="1" s="1"/>
  <c r="DO263" i="1"/>
  <c r="DX263" i="1" s="1"/>
  <c r="DW263" i="1"/>
  <c r="EF263" i="1" s="1"/>
  <c r="DP255" i="1"/>
  <c r="DY255" i="1" s="1"/>
  <c r="DV255" i="1"/>
  <c r="EE255" i="1" s="1"/>
  <c r="DU255" i="1"/>
  <c r="ED255" i="1" s="1"/>
  <c r="DW255" i="1"/>
  <c r="EF255" i="1" s="1"/>
  <c r="DQ255" i="1"/>
  <c r="DZ255" i="1" s="1"/>
  <c r="DO255" i="1"/>
  <c r="DX255" i="1" s="1"/>
  <c r="DV236" i="1"/>
  <c r="EE236" i="1" s="1"/>
  <c r="DP236" i="1"/>
  <c r="DY236" i="1" s="1"/>
  <c r="DU236" i="1"/>
  <c r="ED236" i="1" s="1"/>
  <c r="DQ236" i="1"/>
  <c r="DZ236" i="1" s="1"/>
  <c r="DW236" i="1"/>
  <c r="EF236" i="1" s="1"/>
  <c r="DO236" i="1"/>
  <c r="DX236" i="1" s="1"/>
  <c r="DV240" i="1"/>
  <c r="EE240" i="1" s="1"/>
  <c r="DP240" i="1"/>
  <c r="DY240" i="1" s="1"/>
  <c r="DQ240" i="1"/>
  <c r="DZ240" i="1" s="1"/>
  <c r="DO240" i="1"/>
  <c r="DX240" i="1" s="1"/>
  <c r="DW240" i="1"/>
  <c r="EF240" i="1" s="1"/>
  <c r="DU240" i="1"/>
  <c r="ED240" i="1" s="1"/>
  <c r="DP296" i="1"/>
  <c r="DY296" i="1" s="1"/>
  <c r="DV296" i="1"/>
  <c r="EE296" i="1" s="1"/>
  <c r="DU296" i="1"/>
  <c r="ED296" i="1" s="1"/>
  <c r="DQ296" i="1"/>
  <c r="DZ296" i="1" s="1"/>
  <c r="DO296" i="1"/>
  <c r="DX296" i="1" s="1"/>
  <c r="DW296" i="1"/>
  <c r="EF296" i="1" s="1"/>
  <c r="DP217" i="1"/>
  <c r="DY217" i="1" s="1"/>
  <c r="DV217" i="1"/>
  <c r="EE217" i="1" s="1"/>
  <c r="DW217" i="1"/>
  <c r="EF217" i="1" s="1"/>
  <c r="DO217" i="1"/>
  <c r="DX217" i="1" s="1"/>
  <c r="DU217" i="1"/>
  <c r="ED217" i="1" s="1"/>
  <c r="DQ217" i="1"/>
  <c r="DZ217" i="1" s="1"/>
  <c r="DV273" i="1"/>
  <c r="EE273" i="1" s="1"/>
  <c r="DP273" i="1"/>
  <c r="DY273" i="1" s="1"/>
  <c r="DW273" i="1"/>
  <c r="EF273" i="1" s="1"/>
  <c r="DO273" i="1"/>
  <c r="DX273" i="1" s="1"/>
  <c r="DU273" i="1"/>
  <c r="ED273" i="1" s="1"/>
  <c r="DQ273" i="1"/>
  <c r="DZ273" i="1" s="1"/>
  <c r="DV299" i="1"/>
  <c r="EE299" i="1" s="1"/>
  <c r="DP299" i="1"/>
  <c r="DY299" i="1" s="1"/>
  <c r="DO299" i="1"/>
  <c r="DX299" i="1" s="1"/>
  <c r="DU299" i="1"/>
  <c r="ED299" i="1" s="1"/>
  <c r="DW299" i="1"/>
  <c r="EF299" i="1" s="1"/>
  <c r="DQ299" i="1"/>
  <c r="DZ299" i="1" s="1"/>
  <c r="DP288" i="1"/>
  <c r="DY288" i="1" s="1"/>
  <c r="DV288" i="1"/>
  <c r="EE288" i="1" s="1"/>
  <c r="DQ288" i="1"/>
  <c r="DZ288" i="1" s="1"/>
  <c r="DW288" i="1"/>
  <c r="EF288" i="1" s="1"/>
  <c r="DU288" i="1"/>
  <c r="ED288" i="1" s="1"/>
  <c r="DO288" i="1"/>
  <c r="DX288" i="1" s="1"/>
  <c r="DP266" i="1"/>
  <c r="DY266" i="1" s="1"/>
  <c r="DV266" i="1"/>
  <c r="EE266" i="1" s="1"/>
  <c r="DQ266" i="1"/>
  <c r="DZ266" i="1" s="1"/>
  <c r="DO266" i="1"/>
  <c r="DX266" i="1" s="1"/>
  <c r="DU266" i="1"/>
  <c r="ED266" i="1" s="1"/>
  <c r="DW266" i="1"/>
  <c r="EF266" i="1" s="1"/>
  <c r="DP235" i="1"/>
  <c r="DY235" i="1" s="1"/>
  <c r="DV235" i="1"/>
  <c r="EE235" i="1" s="1"/>
  <c r="DU235" i="1"/>
  <c r="ED235" i="1" s="1"/>
  <c r="DO235" i="1"/>
  <c r="DX235" i="1" s="1"/>
  <c r="DW235" i="1"/>
  <c r="EF235" i="1" s="1"/>
  <c r="DQ235" i="1"/>
  <c r="DZ235" i="1" s="1"/>
  <c r="DV310" i="1"/>
  <c r="EE310" i="1" s="1"/>
  <c r="DP310" i="1"/>
  <c r="DY310" i="1" s="1"/>
  <c r="DU310" i="1"/>
  <c r="ED310" i="1" s="1"/>
  <c r="DO310" i="1"/>
  <c r="DX310" i="1" s="1"/>
  <c r="DQ310" i="1"/>
  <c r="DZ310" i="1" s="1"/>
  <c r="DW310" i="1"/>
  <c r="EF310" i="1" s="1"/>
  <c r="DP334" i="1"/>
  <c r="DY334" i="1" s="1"/>
  <c r="DV334" i="1"/>
  <c r="EE334" i="1" s="1"/>
  <c r="DO334" i="1"/>
  <c r="DX334" i="1" s="1"/>
  <c r="DQ334" i="1"/>
  <c r="DZ334" i="1" s="1"/>
  <c r="DU334" i="1"/>
  <c r="ED334" i="1" s="1"/>
  <c r="DW334" i="1"/>
  <c r="EF334" i="1" s="1"/>
  <c r="DV319" i="1"/>
  <c r="EE319" i="1" s="1"/>
  <c r="DP319" i="1"/>
  <c r="DY319" i="1" s="1"/>
  <c r="DO319" i="1"/>
  <c r="DX319" i="1" s="1"/>
  <c r="DU319" i="1"/>
  <c r="ED319" i="1" s="1"/>
  <c r="DQ319" i="1"/>
  <c r="DZ319" i="1" s="1"/>
  <c r="DW319" i="1"/>
  <c r="EF319" i="1" s="1"/>
  <c r="DV375" i="1"/>
  <c r="EE375" i="1" s="1"/>
  <c r="DU375" i="1"/>
  <c r="ED375" i="1" s="1"/>
  <c r="DW375" i="1"/>
  <c r="EF375" i="1" s="1"/>
  <c r="DP375" i="1"/>
  <c r="DY375" i="1" s="1"/>
  <c r="DO375" i="1"/>
  <c r="DX375" i="1" s="1"/>
  <c r="DQ375" i="1"/>
  <c r="DZ375" i="1" s="1"/>
  <c r="DV308" i="1"/>
  <c r="EE308" i="1" s="1"/>
  <c r="DP308" i="1"/>
  <c r="DY308" i="1" s="1"/>
  <c r="DQ308" i="1"/>
  <c r="DZ308" i="1" s="1"/>
  <c r="DU308" i="1"/>
  <c r="ED308" i="1" s="1"/>
  <c r="DO308" i="1"/>
  <c r="DX308" i="1" s="1"/>
  <c r="DW308" i="1"/>
  <c r="EF308" i="1" s="1"/>
  <c r="DV352" i="1"/>
  <c r="EE352" i="1" s="1"/>
  <c r="DP352" i="1"/>
  <c r="DY352" i="1" s="1"/>
  <c r="DU352" i="1"/>
  <c r="ED352" i="1" s="1"/>
  <c r="DO352" i="1"/>
  <c r="DX352" i="1" s="1"/>
  <c r="DW352" i="1"/>
  <c r="EF352" i="1" s="1"/>
  <c r="DQ352" i="1"/>
  <c r="DZ352" i="1" s="1"/>
  <c r="DP317" i="1"/>
  <c r="DY317" i="1" s="1"/>
  <c r="DV317" i="1"/>
  <c r="EE317" i="1" s="1"/>
  <c r="DU317" i="1"/>
  <c r="ED317" i="1" s="1"/>
  <c r="DO317" i="1"/>
  <c r="DX317" i="1" s="1"/>
  <c r="DQ317" i="1"/>
  <c r="DZ317" i="1" s="1"/>
  <c r="DW317" i="1"/>
  <c r="EF317" i="1" s="1"/>
  <c r="DP331" i="1"/>
  <c r="DY331" i="1" s="1"/>
  <c r="DV331" i="1"/>
  <c r="EE331" i="1" s="1"/>
  <c r="DU331" i="1"/>
  <c r="ED331" i="1" s="1"/>
  <c r="DW331" i="1"/>
  <c r="EF331" i="1" s="1"/>
  <c r="DQ331" i="1"/>
  <c r="DZ331" i="1" s="1"/>
  <c r="DO331" i="1"/>
  <c r="DX331" i="1" s="1"/>
  <c r="DP344" i="1"/>
  <c r="DY344" i="1" s="1"/>
  <c r="DV344" i="1"/>
  <c r="EE344" i="1" s="1"/>
  <c r="DU344" i="1"/>
  <c r="ED344" i="1" s="1"/>
  <c r="DQ344" i="1"/>
  <c r="DZ344" i="1" s="1"/>
  <c r="DW344" i="1"/>
  <c r="EF344" i="1" s="1"/>
  <c r="DO344" i="1"/>
  <c r="DX344" i="1" s="1"/>
  <c r="CS377" i="1"/>
  <c r="DB377" i="1" s="1"/>
  <c r="CT377" i="1"/>
  <c r="DC377" i="1" s="1"/>
  <c r="CR377" i="1"/>
  <c r="DA377" i="1" s="1"/>
  <c r="CL377" i="1"/>
  <c r="CU377" i="1" s="1"/>
  <c r="CN377" i="1"/>
  <c r="CW377" i="1" s="1"/>
  <c r="CM377" i="1"/>
  <c r="CV377" i="1" s="1"/>
  <c r="DP311" i="1"/>
  <c r="DY311" i="1" s="1"/>
  <c r="DV311" i="1"/>
  <c r="EE311" i="1" s="1"/>
  <c r="DW311" i="1"/>
  <c r="EF311" i="1" s="1"/>
  <c r="DO311" i="1"/>
  <c r="DX311" i="1" s="1"/>
  <c r="DU311" i="1"/>
  <c r="ED311" i="1" s="1"/>
  <c r="DQ311" i="1"/>
  <c r="DZ311" i="1" s="1"/>
  <c r="DV369" i="1"/>
  <c r="EE369" i="1" s="1"/>
  <c r="DW369" i="1"/>
  <c r="EF369" i="1" s="1"/>
  <c r="DU369" i="1"/>
  <c r="ED369" i="1" s="1"/>
  <c r="DP369" i="1"/>
  <c r="DY369" i="1" s="1"/>
  <c r="DQ369" i="1"/>
  <c r="DZ369" i="1" s="1"/>
  <c r="DO369" i="1"/>
  <c r="DX369" i="1" s="1"/>
  <c r="DP340" i="1"/>
  <c r="DY340" i="1" s="1"/>
  <c r="DV340" i="1"/>
  <c r="EE340" i="1" s="1"/>
  <c r="DW340" i="1"/>
  <c r="EF340" i="1" s="1"/>
  <c r="DU340" i="1"/>
  <c r="ED340" i="1" s="1"/>
  <c r="DO340" i="1"/>
  <c r="DX340" i="1" s="1"/>
  <c r="DQ340" i="1"/>
  <c r="DZ340" i="1" s="1"/>
  <c r="CS373" i="1"/>
  <c r="DB373" i="1" s="1"/>
  <c r="CT373" i="1"/>
  <c r="DC373" i="1" s="1"/>
  <c r="CR373" i="1"/>
  <c r="DA373" i="1" s="1"/>
  <c r="CN373" i="1"/>
  <c r="CW373" i="1" s="1"/>
  <c r="CL373" i="1"/>
  <c r="CU373" i="1" s="1"/>
  <c r="CM373" i="1"/>
  <c r="CV373" i="1" s="1"/>
  <c r="DP312" i="1"/>
  <c r="DY312" i="1" s="1"/>
  <c r="DV312" i="1"/>
  <c r="EE312" i="1" s="1"/>
  <c r="DQ312" i="1"/>
  <c r="DZ312" i="1" s="1"/>
  <c r="DW312" i="1"/>
  <c r="EF312" i="1" s="1"/>
  <c r="DO312" i="1"/>
  <c r="DX312" i="1" s="1"/>
  <c r="DU312" i="1"/>
  <c r="ED312" i="1" s="1"/>
  <c r="DP364" i="1"/>
  <c r="DY364" i="1" s="1"/>
  <c r="DV364" i="1"/>
  <c r="EE364" i="1" s="1"/>
  <c r="DQ364" i="1"/>
  <c r="DZ364" i="1" s="1"/>
  <c r="DW364" i="1"/>
  <c r="EF364" i="1" s="1"/>
  <c r="DO364" i="1"/>
  <c r="DX364" i="1" s="1"/>
  <c r="DU364" i="1"/>
  <c r="ED364" i="1" s="1"/>
  <c r="DP335" i="1"/>
  <c r="DY335" i="1" s="1"/>
  <c r="DV335" i="1"/>
  <c r="EE335" i="1" s="1"/>
  <c r="DW335" i="1"/>
  <c r="EF335" i="1" s="1"/>
  <c r="DQ335" i="1"/>
  <c r="DZ335" i="1" s="1"/>
  <c r="DO335" i="1"/>
  <c r="DX335" i="1" s="1"/>
  <c r="DU335" i="1"/>
  <c r="ED335" i="1" s="1"/>
  <c r="CM354" i="1"/>
  <c r="CV354" i="1" s="1"/>
  <c r="CS354" i="1"/>
  <c r="DB354" i="1" s="1"/>
  <c r="CN354" i="1"/>
  <c r="CW354" i="1" s="1"/>
  <c r="CR354" i="1"/>
  <c r="DA354" i="1" s="1"/>
  <c r="CL354" i="1"/>
  <c r="CU354" i="1" s="1"/>
  <c r="CT354" i="1"/>
  <c r="DC354" i="1" s="1"/>
  <c r="CM365" i="1"/>
  <c r="CV365" i="1" s="1"/>
  <c r="CS365" i="1"/>
  <c r="DB365" i="1" s="1"/>
  <c r="CT365" i="1"/>
  <c r="DC365" i="1" s="1"/>
  <c r="CL365" i="1"/>
  <c r="CU365" i="1" s="1"/>
  <c r="CN365" i="1"/>
  <c r="CW365" i="1" s="1"/>
  <c r="CR365" i="1"/>
  <c r="DA365" i="1" s="1"/>
  <c r="DV321" i="1"/>
  <c r="EE321" i="1" s="1"/>
  <c r="DP321" i="1"/>
  <c r="DY321" i="1" s="1"/>
  <c r="DO321" i="1"/>
  <c r="DX321" i="1" s="1"/>
  <c r="DU321" i="1"/>
  <c r="ED321" i="1" s="1"/>
  <c r="DQ321" i="1"/>
  <c r="DZ321" i="1" s="1"/>
  <c r="DW321" i="1"/>
  <c r="EF321" i="1" s="1"/>
  <c r="DV339" i="1"/>
  <c r="EE339" i="1" s="1"/>
  <c r="DP339" i="1"/>
  <c r="DY339" i="1" s="1"/>
  <c r="DU339" i="1"/>
  <c r="ED339" i="1" s="1"/>
  <c r="DW339" i="1"/>
  <c r="EF339" i="1" s="1"/>
  <c r="DQ339" i="1"/>
  <c r="DZ339" i="1" s="1"/>
  <c r="DO339" i="1"/>
  <c r="DX339" i="1" s="1"/>
  <c r="CS379" i="1"/>
  <c r="DB379" i="1" s="1"/>
  <c r="CR379" i="1"/>
  <c r="DA379" i="1" s="1"/>
  <c r="CT379" i="1"/>
  <c r="DC379" i="1" s="1"/>
  <c r="CN379" i="1"/>
  <c r="CW379" i="1" s="1"/>
  <c r="CL379" i="1"/>
  <c r="CU379" i="1" s="1"/>
  <c r="CM379" i="1"/>
  <c r="CV379" i="1" s="1"/>
  <c r="DP322" i="1"/>
  <c r="DY322" i="1" s="1"/>
  <c r="DV322" i="1"/>
  <c r="EE322" i="1" s="1"/>
  <c r="DO322" i="1"/>
  <c r="DX322" i="1" s="1"/>
  <c r="DQ322" i="1"/>
  <c r="DZ322" i="1" s="1"/>
  <c r="DU322" i="1"/>
  <c r="ED322" i="1" s="1"/>
  <c r="DW322" i="1"/>
  <c r="EF322" i="1" s="1"/>
  <c r="DV323" i="1"/>
  <c r="EE323" i="1" s="1"/>
  <c r="DP323" i="1"/>
  <c r="DY323" i="1" s="1"/>
  <c r="DU323" i="1"/>
  <c r="ED323" i="1" s="1"/>
  <c r="DW323" i="1"/>
  <c r="EF323" i="1" s="1"/>
  <c r="DQ323" i="1"/>
  <c r="DZ323" i="1" s="1"/>
  <c r="DO323" i="1"/>
  <c r="DX323" i="1" s="1"/>
  <c r="DV343" i="1"/>
  <c r="EE343" i="1" s="1"/>
  <c r="DP343" i="1"/>
  <c r="DY343" i="1" s="1"/>
  <c r="DQ343" i="1"/>
  <c r="DZ343" i="1" s="1"/>
  <c r="DW343" i="1"/>
  <c r="EF343" i="1" s="1"/>
  <c r="DU343" i="1"/>
  <c r="ED343" i="1" s="1"/>
  <c r="DO343" i="1"/>
  <c r="DX343" i="1" s="1"/>
  <c r="CM348" i="1"/>
  <c r="CV348" i="1" s="1"/>
  <c r="CS348" i="1"/>
  <c r="DB348" i="1" s="1"/>
  <c r="CT348" i="1"/>
  <c r="DC348" i="1" s="1"/>
  <c r="CL348" i="1"/>
  <c r="CU348" i="1" s="1"/>
  <c r="CR348" i="1"/>
  <c r="DA348" i="1" s="1"/>
  <c r="CN348" i="1"/>
  <c r="CW348" i="1" s="1"/>
  <c r="CS367" i="1"/>
  <c r="DB367" i="1" s="1"/>
  <c r="CM367" i="1"/>
  <c r="CV367" i="1" s="1"/>
  <c r="CT367" i="1"/>
  <c r="DC367" i="1" s="1"/>
  <c r="CN367" i="1"/>
  <c r="CW367" i="1" s="1"/>
  <c r="CL367" i="1"/>
  <c r="CU367" i="1" s="1"/>
  <c r="CR367" i="1"/>
  <c r="DA367" i="1" s="1"/>
  <c r="DP314" i="1"/>
  <c r="DY314" i="1" s="1"/>
  <c r="DV314" i="1"/>
  <c r="EE314" i="1" s="1"/>
  <c r="DU314" i="1"/>
  <c r="ED314" i="1" s="1"/>
  <c r="DW314" i="1"/>
  <c r="EF314" i="1" s="1"/>
  <c r="DQ314" i="1"/>
  <c r="DZ314" i="1" s="1"/>
  <c r="DO314" i="1"/>
  <c r="DX314" i="1" s="1"/>
  <c r="DP337" i="1"/>
  <c r="DY337" i="1" s="1"/>
  <c r="DV337" i="1"/>
  <c r="EE337" i="1" s="1"/>
  <c r="DO337" i="1"/>
  <c r="DX337" i="1" s="1"/>
  <c r="DU337" i="1"/>
  <c r="ED337" i="1" s="1"/>
  <c r="DQ337" i="1"/>
  <c r="DZ337" i="1" s="1"/>
  <c r="DW337" i="1"/>
  <c r="EF337" i="1" s="1"/>
  <c r="DV336" i="1"/>
  <c r="EE336" i="1" s="1"/>
  <c r="DP336" i="1"/>
  <c r="DY336" i="1" s="1"/>
  <c r="DO336" i="1"/>
  <c r="DX336" i="1" s="1"/>
  <c r="DQ336" i="1"/>
  <c r="DZ336" i="1" s="1"/>
  <c r="DW336" i="1"/>
  <c r="EF336" i="1" s="1"/>
  <c r="DU336" i="1"/>
  <c r="ED336" i="1" s="1"/>
  <c r="CS368" i="1"/>
  <c r="DB368" i="1" s="1"/>
  <c r="CR368" i="1"/>
  <c r="DA368" i="1" s="1"/>
  <c r="CT368" i="1"/>
  <c r="DC368" i="1" s="1"/>
  <c r="CN368" i="1"/>
  <c r="CW368" i="1" s="1"/>
  <c r="CM368" i="1"/>
  <c r="CV368" i="1" s="1"/>
  <c r="CL368" i="1"/>
  <c r="CU368" i="1" s="1"/>
  <c r="DP330" i="1"/>
  <c r="DY330" i="1" s="1"/>
  <c r="DV330" i="1"/>
  <c r="EE330" i="1" s="1"/>
  <c r="DW330" i="1"/>
  <c r="EF330" i="1" s="1"/>
  <c r="DO330" i="1"/>
  <c r="DX330" i="1" s="1"/>
  <c r="DU330" i="1"/>
  <c r="ED330" i="1" s="1"/>
  <c r="DQ330" i="1"/>
  <c r="DZ330" i="1" s="1"/>
  <c r="DV341" i="1"/>
  <c r="EE341" i="1" s="1"/>
  <c r="DP341" i="1"/>
  <c r="DY341" i="1" s="1"/>
  <c r="DQ341" i="1"/>
  <c r="DZ341" i="1" s="1"/>
  <c r="DW341" i="1"/>
  <c r="EF341" i="1" s="1"/>
  <c r="DU341" i="1"/>
  <c r="ED341" i="1" s="1"/>
  <c r="DO341" i="1"/>
  <c r="DX341" i="1" s="1"/>
  <c r="DV332" i="1"/>
  <c r="EE332" i="1" s="1"/>
  <c r="DP332" i="1"/>
  <c r="DY332" i="1" s="1"/>
  <c r="DU332" i="1"/>
  <c r="ED332" i="1" s="1"/>
  <c r="DQ332" i="1"/>
  <c r="DZ332" i="1" s="1"/>
  <c r="DO332" i="1"/>
  <c r="DX332" i="1" s="1"/>
  <c r="DW332" i="1"/>
  <c r="EF332" i="1" s="1"/>
  <c r="DP318" i="1"/>
  <c r="DY318" i="1" s="1"/>
  <c r="DV318" i="1"/>
  <c r="EE318" i="1" s="1"/>
  <c r="DW318" i="1"/>
  <c r="EF318" i="1" s="1"/>
  <c r="DU318" i="1"/>
  <c r="ED318" i="1" s="1"/>
  <c r="DO318" i="1"/>
  <c r="DX318" i="1" s="1"/>
  <c r="DQ318" i="1"/>
  <c r="DZ318" i="1" s="1"/>
  <c r="DP320" i="1"/>
  <c r="DY320" i="1" s="1"/>
  <c r="DV320" i="1"/>
  <c r="EE320" i="1" s="1"/>
  <c r="DQ320" i="1"/>
  <c r="DZ320" i="1" s="1"/>
  <c r="DU320" i="1"/>
  <c r="ED320" i="1" s="1"/>
  <c r="DO320" i="1"/>
  <c r="DX320" i="1" s="1"/>
  <c r="DW320" i="1"/>
  <c r="EF320" i="1" s="1"/>
  <c r="CM356" i="1"/>
  <c r="CV356" i="1" s="1"/>
  <c r="CS356" i="1"/>
  <c r="DB356" i="1" s="1"/>
  <c r="CN356" i="1"/>
  <c r="CW356" i="1" s="1"/>
  <c r="CR356" i="1"/>
  <c r="DA356" i="1" s="1"/>
  <c r="CL356" i="1"/>
  <c r="CU356" i="1" s="1"/>
  <c r="CT356" i="1"/>
  <c r="DC356" i="1" s="1"/>
  <c r="DV309" i="1"/>
  <c r="EE309" i="1" s="1"/>
  <c r="DP309" i="1"/>
  <c r="DY309" i="1" s="1"/>
  <c r="DO309" i="1"/>
  <c r="DX309" i="1" s="1"/>
  <c r="DU309" i="1"/>
  <c r="ED309" i="1" s="1"/>
  <c r="DW309" i="1"/>
  <c r="EF309" i="1" s="1"/>
  <c r="DQ309" i="1"/>
  <c r="DZ309" i="1" s="1"/>
  <c r="DV345" i="1"/>
  <c r="EE345" i="1" s="1"/>
  <c r="DP345" i="1"/>
  <c r="DY345" i="1" s="1"/>
  <c r="DQ345" i="1"/>
  <c r="DZ345" i="1" s="1"/>
  <c r="DO345" i="1"/>
  <c r="DX345" i="1" s="1"/>
  <c r="DU345" i="1"/>
  <c r="ED345" i="1" s="1"/>
  <c r="DW345" i="1"/>
  <c r="EF345" i="1" s="1"/>
  <c r="DP355" i="1"/>
  <c r="DY355" i="1" s="1"/>
  <c r="DV355" i="1"/>
  <c r="EE355" i="1" s="1"/>
  <c r="DW355" i="1"/>
  <c r="EF355" i="1" s="1"/>
  <c r="DQ355" i="1"/>
  <c r="DZ355" i="1" s="1"/>
  <c r="DO355" i="1"/>
  <c r="DX355" i="1" s="1"/>
  <c r="DU355" i="1"/>
  <c r="ED355" i="1" s="1"/>
  <c r="DP326" i="1"/>
  <c r="DY326" i="1" s="1"/>
  <c r="DV326" i="1"/>
  <c r="EE326" i="1" s="1"/>
  <c r="DW326" i="1"/>
  <c r="EF326" i="1" s="1"/>
  <c r="DQ326" i="1"/>
  <c r="DZ326" i="1" s="1"/>
  <c r="DU326" i="1"/>
  <c r="ED326" i="1" s="1"/>
  <c r="DO326" i="1"/>
  <c r="DX326" i="1" s="1"/>
  <c r="CM358" i="1"/>
  <c r="CV358" i="1" s="1"/>
  <c r="CS358" i="1"/>
  <c r="DB358" i="1" s="1"/>
  <c r="CT358" i="1"/>
  <c r="DC358" i="1" s="1"/>
  <c r="CR358" i="1"/>
  <c r="DA358" i="1" s="1"/>
  <c r="CL358" i="1"/>
  <c r="CU358" i="1" s="1"/>
  <c r="CN358" i="1"/>
  <c r="CW358" i="1" s="1"/>
  <c r="DV349" i="1"/>
  <c r="EE349" i="1" s="1"/>
  <c r="DP349" i="1"/>
  <c r="DY349" i="1" s="1"/>
  <c r="DU349" i="1"/>
  <c r="ED349" i="1" s="1"/>
  <c r="DW349" i="1"/>
  <c r="EF349" i="1" s="1"/>
  <c r="DQ349" i="1"/>
  <c r="DZ349" i="1" s="1"/>
  <c r="DO349" i="1"/>
  <c r="DX349" i="1" s="1"/>
  <c r="DV338" i="1"/>
  <c r="EE338" i="1" s="1"/>
  <c r="DP338" i="1"/>
  <c r="DY338" i="1" s="1"/>
  <c r="DW338" i="1"/>
  <c r="EF338" i="1" s="1"/>
  <c r="DO338" i="1"/>
  <c r="DX338" i="1" s="1"/>
  <c r="DQ338" i="1"/>
  <c r="DZ338" i="1" s="1"/>
  <c r="DU338" i="1"/>
  <c r="ED338" i="1" s="1"/>
  <c r="CM350" i="1"/>
  <c r="CV350" i="1" s="1"/>
  <c r="CS350" i="1"/>
  <c r="DB350" i="1" s="1"/>
  <c r="CT350" i="1"/>
  <c r="DC350" i="1" s="1"/>
  <c r="CR350" i="1"/>
  <c r="DA350" i="1" s="1"/>
  <c r="CL350" i="1"/>
  <c r="CU350" i="1" s="1"/>
  <c r="CN350" i="1"/>
  <c r="CW350" i="1" s="1"/>
  <c r="DV325" i="1"/>
  <c r="EE325" i="1" s="1"/>
  <c r="DP325" i="1"/>
  <c r="DY325" i="1" s="1"/>
  <c r="DQ325" i="1"/>
  <c r="DZ325" i="1" s="1"/>
  <c r="DW325" i="1"/>
  <c r="EF325" i="1" s="1"/>
  <c r="DO325" i="1"/>
  <c r="DX325" i="1" s="1"/>
  <c r="DU325" i="1"/>
  <c r="ED325" i="1" s="1"/>
  <c r="DV353" i="1"/>
  <c r="EE353" i="1" s="1"/>
  <c r="DP353" i="1"/>
  <c r="DY353" i="1" s="1"/>
  <c r="DQ353" i="1"/>
  <c r="DZ353" i="1" s="1"/>
  <c r="DW353" i="1"/>
  <c r="EF353" i="1" s="1"/>
  <c r="DU353" i="1"/>
  <c r="ED353" i="1" s="1"/>
  <c r="DO353" i="1"/>
  <c r="DX353" i="1" s="1"/>
  <c r="DP342" i="1"/>
  <c r="DY342" i="1" s="1"/>
  <c r="DV342" i="1"/>
  <c r="EE342" i="1" s="1"/>
  <c r="DO342" i="1"/>
  <c r="DX342" i="1" s="1"/>
  <c r="DQ342" i="1"/>
  <c r="DZ342" i="1" s="1"/>
  <c r="DW342" i="1"/>
  <c r="EF342" i="1" s="1"/>
  <c r="DU342" i="1"/>
  <c r="ED342" i="1" s="1"/>
  <c r="DP351" i="1"/>
  <c r="DY351" i="1" s="1"/>
  <c r="DV351" i="1"/>
  <c r="EE351" i="1" s="1"/>
  <c r="DO351" i="1"/>
  <c r="DX351" i="1" s="1"/>
  <c r="DU351" i="1"/>
  <c r="ED351" i="1" s="1"/>
  <c r="DW351" i="1"/>
  <c r="EF351" i="1" s="1"/>
  <c r="DQ351" i="1"/>
  <c r="DZ351" i="1" s="1"/>
  <c r="CM359" i="1"/>
  <c r="CV359" i="1" s="1"/>
  <c r="CS359" i="1"/>
  <c r="DB359" i="1" s="1"/>
  <c r="CL359" i="1"/>
  <c r="CU359" i="1" s="1"/>
  <c r="CR359" i="1"/>
  <c r="DA359" i="1" s="1"/>
  <c r="CN359" i="1"/>
  <c r="CW359" i="1" s="1"/>
  <c r="CT359" i="1"/>
  <c r="DC359" i="1" s="1"/>
  <c r="DV329" i="1"/>
  <c r="EE329" i="1" s="1"/>
  <c r="DP329" i="1"/>
  <c r="DY329" i="1" s="1"/>
  <c r="DU329" i="1"/>
  <c r="ED329" i="1" s="1"/>
  <c r="DO329" i="1"/>
  <c r="DX329" i="1" s="1"/>
  <c r="DW329" i="1"/>
  <c r="EF329" i="1" s="1"/>
  <c r="DQ329" i="1"/>
  <c r="DZ329" i="1" s="1"/>
  <c r="DP357" i="1"/>
  <c r="DY357" i="1" s="1"/>
  <c r="DV357" i="1"/>
  <c r="EE357" i="1" s="1"/>
  <c r="DW357" i="1"/>
  <c r="EF357" i="1" s="1"/>
  <c r="DU357" i="1"/>
  <c r="ED357" i="1" s="1"/>
  <c r="DQ357" i="1"/>
  <c r="DZ357" i="1" s="1"/>
  <c r="DO357" i="1"/>
  <c r="DX357" i="1" s="1"/>
  <c r="DP346" i="1"/>
  <c r="DY346" i="1" s="1"/>
  <c r="DV346" i="1"/>
  <c r="EE346" i="1" s="1"/>
  <c r="DU346" i="1"/>
  <c r="ED346" i="1" s="1"/>
  <c r="DO346" i="1"/>
  <c r="DX346" i="1" s="1"/>
  <c r="DW346" i="1"/>
  <c r="EF346" i="1" s="1"/>
  <c r="DQ346" i="1"/>
  <c r="DZ346" i="1" s="1"/>
  <c r="DV347" i="1"/>
  <c r="EE347" i="1" s="1"/>
  <c r="DP347" i="1"/>
  <c r="DY347" i="1" s="1"/>
  <c r="DO347" i="1"/>
  <c r="DX347" i="1" s="1"/>
  <c r="DU347" i="1"/>
  <c r="ED347" i="1" s="1"/>
  <c r="DW347" i="1"/>
  <c r="EF347" i="1" s="1"/>
  <c r="DQ347" i="1"/>
  <c r="DZ347" i="1" s="1"/>
  <c r="CS371" i="1"/>
  <c r="DB371" i="1" s="1"/>
  <c r="CR371" i="1"/>
  <c r="DA371" i="1" s="1"/>
  <c r="CT371" i="1"/>
  <c r="DC371" i="1" s="1"/>
  <c r="CL371" i="1"/>
  <c r="CU371" i="1" s="1"/>
  <c r="CM371" i="1"/>
  <c r="CV371" i="1" s="1"/>
  <c r="CN371" i="1"/>
  <c r="CW371" i="1" s="1"/>
  <c r="DP316" i="1"/>
  <c r="DY316" i="1" s="1"/>
  <c r="DV316" i="1"/>
  <c r="EE316" i="1" s="1"/>
  <c r="DO316" i="1"/>
  <c r="DX316" i="1" s="1"/>
  <c r="DW316" i="1"/>
  <c r="EF316" i="1" s="1"/>
  <c r="DQ316" i="1"/>
  <c r="DZ316" i="1" s="1"/>
  <c r="DU316" i="1"/>
  <c r="ED316" i="1" s="1"/>
  <c r="DV376" i="1"/>
  <c r="EE376" i="1" s="1"/>
  <c r="DU376" i="1"/>
  <c r="ED376" i="1" s="1"/>
  <c r="DW376" i="1"/>
  <c r="EF376" i="1" s="1"/>
  <c r="DP376" i="1"/>
  <c r="DY376" i="1" s="1"/>
  <c r="DO376" i="1"/>
  <c r="DX376" i="1" s="1"/>
  <c r="DQ376" i="1"/>
  <c r="DZ376" i="1" s="1"/>
  <c r="DV324" i="1"/>
  <c r="EE324" i="1" s="1"/>
  <c r="DP324" i="1"/>
  <c r="DY324" i="1" s="1"/>
  <c r="DW324" i="1"/>
  <c r="EF324" i="1" s="1"/>
  <c r="DO324" i="1"/>
  <c r="DX324" i="1" s="1"/>
  <c r="DQ324" i="1"/>
  <c r="DZ324" i="1" s="1"/>
  <c r="DU324" i="1"/>
  <c r="ED324" i="1" s="1"/>
  <c r="DP333" i="1"/>
  <c r="DY333" i="1" s="1"/>
  <c r="DV333" i="1"/>
  <c r="EE333" i="1" s="1"/>
  <c r="DU333" i="1"/>
  <c r="ED333" i="1" s="1"/>
  <c r="DO333" i="1"/>
  <c r="DX333" i="1" s="1"/>
  <c r="DQ333" i="1"/>
  <c r="DZ333" i="1" s="1"/>
  <c r="DW333" i="1"/>
  <c r="EF333" i="1" s="1"/>
  <c r="DP313" i="1"/>
  <c r="DY313" i="1" s="1"/>
  <c r="DV313" i="1"/>
  <c r="EE313" i="1" s="1"/>
  <c r="DO313" i="1"/>
  <c r="DX313" i="1" s="1"/>
  <c r="DQ313" i="1"/>
  <c r="DZ313" i="1" s="1"/>
  <c r="DU313" i="1"/>
  <c r="ED313" i="1" s="1"/>
  <c r="DW313" i="1"/>
  <c r="EF313" i="1" s="1"/>
  <c r="DP361" i="1"/>
  <c r="DY361" i="1" s="1"/>
  <c r="DV361" i="1"/>
  <c r="EE361" i="1" s="1"/>
  <c r="DW361" i="1"/>
  <c r="EF361" i="1" s="1"/>
  <c r="DO361" i="1"/>
  <c r="DX361" i="1" s="1"/>
  <c r="DQ361" i="1"/>
  <c r="DZ361" i="1" s="1"/>
  <c r="DU361" i="1"/>
  <c r="ED361" i="1" s="1"/>
  <c r="DP315" i="1"/>
  <c r="DY315" i="1" s="1"/>
  <c r="DV315" i="1"/>
  <c r="EE315" i="1" s="1"/>
  <c r="DW315" i="1"/>
  <c r="EF315" i="1" s="1"/>
  <c r="DQ315" i="1"/>
  <c r="DZ315" i="1" s="1"/>
  <c r="DO315" i="1"/>
  <c r="DX315" i="1" s="1"/>
  <c r="DU315" i="1"/>
  <c r="ED315" i="1" s="1"/>
  <c r="DP363" i="1"/>
  <c r="DY363" i="1" s="1"/>
  <c r="DV363" i="1"/>
  <c r="EE363" i="1" s="1"/>
  <c r="DW363" i="1"/>
  <c r="EF363" i="1" s="1"/>
  <c r="DU363" i="1"/>
  <c r="ED363" i="1" s="1"/>
  <c r="DQ363" i="1"/>
  <c r="DZ363" i="1" s="1"/>
  <c r="DO363" i="1"/>
  <c r="DX363" i="1" s="1"/>
  <c r="CS370" i="1"/>
  <c r="DB370" i="1" s="1"/>
  <c r="CR370" i="1"/>
  <c r="DA370" i="1" s="1"/>
  <c r="CT370" i="1"/>
  <c r="DC370" i="1" s="1"/>
  <c r="CM370" i="1"/>
  <c r="CV370" i="1" s="1"/>
  <c r="CN370" i="1"/>
  <c r="CW370" i="1" s="1"/>
  <c r="CL370" i="1"/>
  <c r="CU370" i="1" s="1"/>
  <c r="DP205" i="1"/>
  <c r="DY205" i="1" s="1"/>
  <c r="DV205" i="1"/>
  <c r="EE205" i="1" s="1"/>
  <c r="DQ205" i="1"/>
  <c r="DZ205" i="1" s="1"/>
  <c r="DO205" i="1"/>
  <c r="DX205" i="1" s="1"/>
  <c r="DU205" i="1"/>
  <c r="ED205" i="1" s="1"/>
  <c r="DW205" i="1"/>
  <c r="EF205" i="1" s="1"/>
  <c r="DV197" i="1"/>
  <c r="EE197" i="1" s="1"/>
  <c r="DP197" i="1"/>
  <c r="DY197" i="1" s="1"/>
  <c r="DW197" i="1"/>
  <c r="EF197" i="1" s="1"/>
  <c r="DU197" i="1"/>
  <c r="ED197" i="1" s="1"/>
  <c r="DQ197" i="1"/>
  <c r="DZ197" i="1" s="1"/>
  <c r="DO197" i="1"/>
  <c r="DX197" i="1" s="1"/>
  <c r="DP194" i="1"/>
  <c r="DY194" i="1" s="1"/>
  <c r="DV194" i="1"/>
  <c r="EE194" i="1" s="1"/>
  <c r="DW194" i="1"/>
  <c r="EF194" i="1" s="1"/>
  <c r="DQ194" i="1"/>
  <c r="DZ194" i="1" s="1"/>
  <c r="DU194" i="1"/>
  <c r="ED194" i="1" s="1"/>
  <c r="DO194" i="1"/>
  <c r="DX194" i="1" s="1"/>
  <c r="DP196" i="1"/>
  <c r="DY196" i="1" s="1"/>
  <c r="DV196" i="1"/>
  <c r="EE196" i="1" s="1"/>
  <c r="DW196" i="1"/>
  <c r="EF196" i="1" s="1"/>
  <c r="DU196" i="1"/>
  <c r="ED196" i="1" s="1"/>
  <c r="DO196" i="1"/>
  <c r="DX196" i="1" s="1"/>
  <c r="DQ196" i="1"/>
  <c r="DZ196" i="1" s="1"/>
  <c r="DP198" i="1"/>
  <c r="DY198" i="1" s="1"/>
  <c r="DV198" i="1"/>
  <c r="EE198" i="1" s="1"/>
  <c r="DU198" i="1"/>
  <c r="ED198" i="1" s="1"/>
  <c r="DW198" i="1"/>
  <c r="EF198" i="1" s="1"/>
  <c r="DQ198" i="1"/>
  <c r="DZ198" i="1" s="1"/>
  <c r="DO198" i="1"/>
  <c r="DX198" i="1" s="1"/>
  <c r="DP200" i="1"/>
  <c r="DY200" i="1" s="1"/>
  <c r="DV200" i="1"/>
  <c r="EE200" i="1" s="1"/>
  <c r="DQ200" i="1"/>
  <c r="DZ200" i="1" s="1"/>
  <c r="DU200" i="1"/>
  <c r="ED200" i="1" s="1"/>
  <c r="DO200" i="1"/>
  <c r="DX200" i="1" s="1"/>
  <c r="DW200" i="1"/>
  <c r="EF200" i="1" s="1"/>
  <c r="DP202" i="1"/>
  <c r="DY202" i="1" s="1"/>
  <c r="DV202" i="1"/>
  <c r="EE202" i="1" s="1"/>
  <c r="DQ202" i="1"/>
  <c r="DZ202" i="1" s="1"/>
  <c r="DW202" i="1"/>
  <c r="EF202" i="1" s="1"/>
  <c r="DU202" i="1"/>
  <c r="ED202" i="1" s="1"/>
  <c r="DO202" i="1"/>
  <c r="DX202" i="1" s="1"/>
  <c r="DP195" i="1"/>
  <c r="DY195" i="1" s="1"/>
  <c r="DV195" i="1"/>
  <c r="EE195" i="1" s="1"/>
  <c r="DW195" i="1"/>
  <c r="EF195" i="1" s="1"/>
  <c r="DQ195" i="1"/>
  <c r="DZ195" i="1" s="1"/>
  <c r="DU195" i="1"/>
  <c r="ED195" i="1" s="1"/>
  <c r="DO195" i="1"/>
  <c r="DX195" i="1" s="1"/>
  <c r="DP204" i="1"/>
  <c r="DY204" i="1" s="1"/>
  <c r="DV204" i="1"/>
  <c r="EE204" i="1" s="1"/>
  <c r="DU204" i="1"/>
  <c r="ED204" i="1" s="1"/>
  <c r="DW204" i="1"/>
  <c r="EF204" i="1" s="1"/>
  <c r="DO204" i="1"/>
  <c r="DX204" i="1" s="1"/>
  <c r="DQ204" i="1"/>
  <c r="DZ204" i="1" s="1"/>
  <c r="DP199" i="1"/>
  <c r="DY199" i="1" s="1"/>
  <c r="DV199" i="1"/>
  <c r="EE199" i="1" s="1"/>
  <c r="DO199" i="1"/>
  <c r="DX199" i="1" s="1"/>
  <c r="DW199" i="1"/>
  <c r="EF199" i="1" s="1"/>
  <c r="DQ199" i="1"/>
  <c r="DZ199" i="1" s="1"/>
  <c r="DU199" i="1"/>
  <c r="ED199" i="1" s="1"/>
  <c r="DP203" i="1"/>
  <c r="DY203" i="1" s="1"/>
  <c r="DV203" i="1"/>
  <c r="EE203" i="1" s="1"/>
  <c r="DW203" i="1"/>
  <c r="EF203" i="1" s="1"/>
  <c r="DU203" i="1"/>
  <c r="ED203" i="1" s="1"/>
  <c r="DQ203" i="1"/>
  <c r="DZ203" i="1" s="1"/>
  <c r="DO203" i="1"/>
  <c r="DX203" i="1" s="1"/>
  <c r="DP201" i="1"/>
  <c r="DY201" i="1" s="1"/>
  <c r="DV201" i="1"/>
  <c r="EE201" i="1" s="1"/>
  <c r="DW201" i="1"/>
  <c r="EF201" i="1" s="1"/>
  <c r="DQ201" i="1"/>
  <c r="DZ201" i="1" s="1"/>
  <c r="DU201" i="1"/>
  <c r="ED201" i="1" s="1"/>
  <c r="DO201" i="1"/>
  <c r="DX201" i="1" s="1"/>
  <c r="DP193" i="1"/>
  <c r="DY193" i="1" s="1"/>
  <c r="DV193" i="1"/>
  <c r="EE193" i="1" s="1"/>
  <c r="DU193" i="1"/>
  <c r="ED193" i="1" s="1"/>
  <c r="DO193" i="1"/>
  <c r="DX193" i="1" s="1"/>
  <c r="DW193" i="1"/>
  <c r="EF193" i="1" s="1"/>
  <c r="DQ193" i="1"/>
  <c r="DZ193" i="1" s="1"/>
  <c r="AR57" i="43"/>
  <c r="AR64" i="43" s="1"/>
  <c r="AR58" i="43"/>
  <c r="AN57" i="43"/>
  <c r="AN64" i="43" s="1"/>
  <c r="AN58" i="43"/>
  <c r="AO57" i="43"/>
  <c r="AO64" i="43" s="1"/>
  <c r="AO58" i="43"/>
  <c r="AW57" i="43"/>
  <c r="AW58" i="43"/>
  <c r="AP57" i="43"/>
  <c r="AP64" i="43" s="1"/>
  <c r="AP58" i="43"/>
  <c r="BC58" i="43"/>
  <c r="BC57" i="43"/>
  <c r="BD57" i="43"/>
  <c r="BD58" i="43"/>
  <c r="BE57" i="43"/>
  <c r="BE58" i="43"/>
  <c r="AU58" i="43"/>
  <c r="AU57" i="43"/>
  <c r="AS57" i="43"/>
  <c r="AS64" i="43" s="1"/>
  <c r="AS58" i="43"/>
  <c r="AZ57" i="43"/>
  <c r="AZ58" i="43"/>
  <c r="B60" i="29"/>
  <c r="AB14" i="29"/>
  <c r="AA14" i="29"/>
  <c r="T28" i="34"/>
  <c r="T25" i="34"/>
  <c r="T26" i="34"/>
  <c r="T32" i="34"/>
  <c r="T31" i="34"/>
  <c r="T27" i="34"/>
  <c r="T21" i="34"/>
  <c r="T15" i="34"/>
  <c r="T33" i="34"/>
  <c r="T23" i="34"/>
  <c r="B74" i="29"/>
  <c r="AB28" i="29"/>
  <c r="AA28" i="29"/>
  <c r="B56" i="29"/>
  <c r="AA10" i="29"/>
  <c r="AB10" i="29"/>
  <c r="B65" i="29"/>
  <c r="AB19" i="29"/>
  <c r="AA19" i="29"/>
  <c r="B71" i="29"/>
  <c r="AB25" i="29"/>
  <c r="AA25" i="29"/>
  <c r="T30" i="34"/>
  <c r="T29" i="34"/>
  <c r="T24" i="34"/>
  <c r="T16" i="34"/>
  <c r="T14" i="34"/>
  <c r="B73" i="29"/>
  <c r="AB27" i="29"/>
  <c r="AA27" i="29"/>
  <c r="B72" i="29"/>
  <c r="AA26" i="29"/>
  <c r="AB26" i="29"/>
  <c r="B68" i="29"/>
  <c r="AA22" i="29"/>
  <c r="AB22" i="29"/>
  <c r="T13" i="34"/>
  <c r="S13" i="34" s="1"/>
  <c r="B70" i="29"/>
  <c r="AB24" i="29"/>
  <c r="AA24" i="29"/>
  <c r="C26" i="27"/>
  <c r="B58" i="29"/>
  <c r="AB12" i="29"/>
  <c r="AA12" i="29"/>
  <c r="B59" i="29"/>
  <c r="AB13" i="29"/>
  <c r="AA13" i="29"/>
  <c r="T19" i="34"/>
  <c r="B61" i="29"/>
  <c r="AB15" i="29"/>
  <c r="AA15" i="29"/>
  <c r="B67" i="29"/>
  <c r="AB21" i="29"/>
  <c r="AA21" i="29"/>
  <c r="T18" i="34"/>
  <c r="T22" i="34"/>
  <c r="T20" i="34"/>
  <c r="T17" i="34"/>
  <c r="B63" i="29"/>
  <c r="AB17" i="29"/>
  <c r="AA17" i="29"/>
  <c r="B69" i="29"/>
  <c r="AB23" i="29"/>
  <c r="AA23" i="29"/>
  <c r="B22" i="59"/>
  <c r="V51" i="59" s="1"/>
  <c r="B18" i="59"/>
  <c r="V47" i="59" s="1"/>
  <c r="B21" i="59"/>
  <c r="V50" i="59" s="1"/>
  <c r="B11" i="59"/>
  <c r="V40" i="59" s="1"/>
  <c r="B19" i="59"/>
  <c r="V48" i="59" s="1"/>
  <c r="Q16" i="34"/>
  <c r="B23" i="59"/>
  <c r="V52" i="59" s="1"/>
  <c r="B6" i="59"/>
  <c r="AC9" i="29"/>
  <c r="AP9" i="29" s="1"/>
  <c r="AC20" i="29"/>
  <c r="AP20" i="29" s="1"/>
  <c r="AC18" i="29"/>
  <c r="AP18" i="29" s="1"/>
  <c r="AC8" i="29"/>
  <c r="AP8" i="29" s="1"/>
  <c r="AC16" i="29"/>
  <c r="AP16" i="29" s="1"/>
  <c r="C17" i="43"/>
  <c r="AU6" i="43" s="1"/>
  <c r="D16" i="50"/>
  <c r="D26" i="50"/>
  <c r="Q32" i="34"/>
  <c r="B25" i="59"/>
  <c r="V54" i="59" s="1"/>
  <c r="Q31" i="34"/>
  <c r="B24" i="59"/>
  <c r="V53" i="59" s="1"/>
  <c r="Q27" i="34"/>
  <c r="B20" i="59"/>
  <c r="V49" i="59" s="1"/>
  <c r="AA21" i="34"/>
  <c r="B14" i="59"/>
  <c r="V43" i="59" s="1"/>
  <c r="Q15" i="34"/>
  <c r="B8" i="59"/>
  <c r="V37" i="59" s="1"/>
  <c r="V12" i="34"/>
  <c r="B5" i="59"/>
  <c r="AA33" i="34"/>
  <c r="B26" i="59"/>
  <c r="V55" i="59" s="1"/>
  <c r="AA14" i="34"/>
  <c r="B7" i="59"/>
  <c r="V36" i="59" s="1"/>
  <c r="V23" i="34"/>
  <c r="B16" i="59"/>
  <c r="V45" i="59" s="1"/>
  <c r="AA22" i="34"/>
  <c r="B15" i="59"/>
  <c r="V44" i="59" s="1"/>
  <c r="Q20" i="34"/>
  <c r="B13" i="59"/>
  <c r="V42" i="59" s="1"/>
  <c r="Q17" i="34"/>
  <c r="B10" i="59"/>
  <c r="V39" i="59" s="1"/>
  <c r="E18" i="34"/>
  <c r="AU10" i="59"/>
  <c r="Q24" i="34"/>
  <c r="B17" i="59"/>
  <c r="V46" i="59" s="1"/>
  <c r="V19" i="34"/>
  <c r="B12" i="59"/>
  <c r="V41" i="59" s="1"/>
  <c r="V16" i="34"/>
  <c r="B9" i="59"/>
  <c r="V38" i="59" s="1"/>
  <c r="Q33" i="34"/>
  <c r="K12" i="34"/>
  <c r="G12" i="34"/>
  <c r="D5" i="59" s="1"/>
  <c r="I5" i="59" s="1"/>
  <c r="Z3" i="23"/>
  <c r="Q22" i="34"/>
  <c r="H3" i="23"/>
  <c r="T3" i="21"/>
  <c r="AA24" i="34"/>
  <c r="AA19" i="34"/>
  <c r="AT14" i="27"/>
  <c r="V21" i="34"/>
  <c r="AA12" i="34"/>
  <c r="AT22" i="27"/>
  <c r="V33" i="34"/>
  <c r="AT11" i="27"/>
  <c r="AT17" i="27"/>
  <c r="K6" i="50"/>
  <c r="AA20" i="34"/>
  <c r="C24" i="27"/>
  <c r="W3" i="21"/>
  <c r="E3" i="21"/>
  <c r="G3" i="21" s="1"/>
  <c r="V17" i="34"/>
  <c r="AL7" i="27"/>
  <c r="AU7" i="27" s="1"/>
  <c r="F3" i="21"/>
  <c r="E19" i="27"/>
  <c r="F19" i="50"/>
  <c r="E15" i="43"/>
  <c r="AS8" i="43" s="1"/>
  <c r="V24" i="34"/>
  <c r="Q19" i="34"/>
  <c r="V20" i="34"/>
  <c r="Q12" i="34"/>
  <c r="AA31" i="34"/>
  <c r="AA16" i="34"/>
  <c r="V15" i="34"/>
  <c r="V27" i="34"/>
  <c r="V22" i="34"/>
  <c r="AA17" i="34"/>
  <c r="V14" i="34"/>
  <c r="V31" i="34"/>
  <c r="Q21" i="34"/>
  <c r="AA15" i="34"/>
  <c r="AA27" i="34"/>
  <c r="Q14" i="34"/>
  <c r="E14" i="27"/>
  <c r="AT19" i="27"/>
  <c r="C28" i="43"/>
  <c r="BF6" i="43" s="1"/>
  <c r="AL16" i="27"/>
  <c r="C24" i="43"/>
  <c r="BB6" i="43" s="1"/>
  <c r="AT21" i="27"/>
  <c r="AT16" i="27"/>
  <c r="AJ9" i="50"/>
  <c r="C23" i="27"/>
  <c r="AT15" i="27"/>
  <c r="AJ12" i="50"/>
  <c r="AT20" i="27"/>
  <c r="AT8" i="27"/>
  <c r="AT6" i="27"/>
  <c r="V32" i="34"/>
  <c r="C20" i="43"/>
  <c r="AX6" i="43" s="1"/>
  <c r="C21" i="43"/>
  <c r="AY6" i="43" s="1"/>
  <c r="AT23" i="27"/>
  <c r="AT12" i="27"/>
  <c r="AT9" i="27"/>
  <c r="AJ17" i="50"/>
  <c r="AJ21" i="50"/>
  <c r="AJ25" i="50"/>
  <c r="AJ18" i="50"/>
  <c r="DN371" i="1"/>
  <c r="AT10" i="27"/>
  <c r="Q23" i="34"/>
  <c r="AJ13" i="50"/>
  <c r="AJ28" i="50"/>
  <c r="AA32" i="34"/>
  <c r="AA23" i="34"/>
  <c r="AJ11" i="50"/>
  <c r="D20" i="50"/>
  <c r="D27" i="50"/>
  <c r="C20" i="27"/>
  <c r="AT13" i="27"/>
  <c r="AT25" i="27"/>
  <c r="AT24" i="27"/>
  <c r="BV24" i="2"/>
  <c r="DN365" i="1"/>
  <c r="DN354" i="1"/>
  <c r="DN348" i="1"/>
  <c r="DN377" i="1"/>
  <c r="AJ27" i="50"/>
  <c r="AJ15" i="50"/>
  <c r="AJ22" i="50"/>
  <c r="DN358" i="1"/>
  <c r="BW36" i="2"/>
  <c r="DN356" i="1"/>
  <c r="DN379" i="1"/>
  <c r="DN368" i="1"/>
  <c r="AJ24" i="50"/>
  <c r="AJ20" i="50"/>
  <c r="AJ14" i="50"/>
  <c r="AJ16" i="50"/>
  <c r="AJ19" i="50"/>
  <c r="AL9" i="27"/>
  <c r="AJ8" i="50"/>
  <c r="AJ10" i="50"/>
  <c r="AJ26" i="50"/>
  <c r="AJ23" i="50"/>
  <c r="AJ7" i="50"/>
  <c r="F7" i="39"/>
  <c r="D6" i="27"/>
  <c r="H6" i="50"/>
  <c r="G6" i="43"/>
  <c r="G7" i="39"/>
  <c r="CW83" i="2"/>
  <c r="G6" i="27"/>
  <c r="E21" i="43"/>
  <c r="AY8" i="43" s="1"/>
  <c r="C19" i="27"/>
  <c r="F6" i="50"/>
  <c r="E6" i="43"/>
  <c r="E6" i="27"/>
  <c r="G6" i="50"/>
  <c r="F6" i="43"/>
  <c r="F6" i="27"/>
  <c r="E10" i="43"/>
  <c r="AO8" i="43" s="1"/>
  <c r="C8" i="43"/>
  <c r="C25" i="43"/>
  <c r="BC6" i="43" s="1"/>
  <c r="E10" i="27"/>
  <c r="F20" i="50"/>
  <c r="D8" i="50"/>
  <c r="DN373" i="1"/>
  <c r="DN367" i="1"/>
  <c r="DN370" i="1"/>
  <c r="CK374" i="1"/>
  <c r="CK362" i="1"/>
  <c r="DN359" i="1"/>
  <c r="DN350" i="1"/>
  <c r="CK366" i="1"/>
  <c r="CK378" i="1"/>
  <c r="CK372" i="1"/>
  <c r="CK360" i="1"/>
  <c r="AL13" i="27"/>
  <c r="J6" i="50"/>
  <c r="I6" i="27"/>
  <c r="AL21" i="27"/>
  <c r="C9" i="43"/>
  <c r="D9" i="50"/>
  <c r="C9" i="27"/>
  <c r="F27" i="50"/>
  <c r="E27" i="27"/>
  <c r="D12" i="50"/>
  <c r="C13" i="43"/>
  <c r="AQ6" i="43" s="1"/>
  <c r="C12" i="27"/>
  <c r="C19" i="43"/>
  <c r="AW6" i="43" s="1"/>
  <c r="D18" i="50"/>
  <c r="C18" i="27"/>
  <c r="CF25" i="2"/>
  <c r="E9" i="43"/>
  <c r="F9" i="50"/>
  <c r="E9" i="27"/>
  <c r="F8" i="50"/>
  <c r="E8" i="43"/>
  <c r="E8" i="27"/>
  <c r="E25" i="43"/>
  <c r="BC8" i="43" s="1"/>
  <c r="F24" i="50"/>
  <c r="E24" i="27"/>
  <c r="F22" i="50"/>
  <c r="E23" i="43"/>
  <c r="BA8" i="43" s="1"/>
  <c r="E22" i="27"/>
  <c r="D28" i="50"/>
  <c r="C28" i="27"/>
  <c r="F11" i="50"/>
  <c r="E11" i="43"/>
  <c r="AP8" i="43" s="1"/>
  <c r="E11" i="27"/>
  <c r="E19" i="43"/>
  <c r="AW8" i="43" s="1"/>
  <c r="F18" i="50"/>
  <c r="E18" i="27"/>
  <c r="D21" i="50"/>
  <c r="C22" i="43"/>
  <c r="AZ6" i="43" s="1"/>
  <c r="C21" i="27"/>
  <c r="F16" i="50"/>
  <c r="E17" i="43"/>
  <c r="AU8" i="43" s="1"/>
  <c r="E16" i="27"/>
  <c r="C26" i="43"/>
  <c r="BD6" i="43" s="1"/>
  <c r="D25" i="50"/>
  <c r="C25" i="27"/>
  <c r="D13" i="50"/>
  <c r="C14" i="43"/>
  <c r="AR6" i="43" s="1"/>
  <c r="C13" i="27"/>
  <c r="C18" i="43"/>
  <c r="AV6" i="43" s="1"/>
  <c r="D17" i="50"/>
  <c r="C17" i="27"/>
  <c r="E14" i="43"/>
  <c r="AR8" i="43" s="1"/>
  <c r="F13" i="50"/>
  <c r="E13" i="27"/>
  <c r="E16" i="43"/>
  <c r="AT8" i="43" s="1"/>
  <c r="F15" i="50"/>
  <c r="E15" i="27"/>
  <c r="BX31" i="2"/>
  <c r="F28" i="50"/>
  <c r="E28" i="27"/>
  <c r="D14" i="50"/>
  <c r="C15" i="43"/>
  <c r="AS6" i="43" s="1"/>
  <c r="C14" i="27"/>
  <c r="F25" i="50"/>
  <c r="E26" i="43"/>
  <c r="BD8" i="43" s="1"/>
  <c r="E25" i="27"/>
  <c r="D12" i="34"/>
  <c r="E7" i="43"/>
  <c r="F7" i="50"/>
  <c r="E7" i="29"/>
  <c r="E7" i="27"/>
  <c r="E24" i="43"/>
  <c r="BB8" i="43" s="1"/>
  <c r="F23" i="50"/>
  <c r="E23" i="27"/>
  <c r="F12" i="50"/>
  <c r="E13" i="43"/>
  <c r="AQ8" i="43" s="1"/>
  <c r="E12" i="27"/>
  <c r="D15" i="50"/>
  <c r="C16" i="43"/>
  <c r="AT6" i="43" s="1"/>
  <c r="C15" i="27"/>
  <c r="F26" i="50"/>
  <c r="E26" i="27"/>
  <c r="E18" i="43"/>
  <c r="AV8" i="43" s="1"/>
  <c r="F17" i="50"/>
  <c r="E17" i="27"/>
  <c r="E22" i="43"/>
  <c r="AZ8" i="43" s="1"/>
  <c r="F21" i="50"/>
  <c r="E21" i="27"/>
  <c r="B12" i="34"/>
  <c r="D7" i="50"/>
  <c r="C7" i="43"/>
  <c r="C7" i="27"/>
  <c r="C7" i="29"/>
  <c r="D11" i="50"/>
  <c r="C11" i="43"/>
  <c r="AP6" i="43" s="1"/>
  <c r="C11" i="27"/>
  <c r="D22" i="50"/>
  <c r="C23" i="43"/>
  <c r="BA6" i="43" s="1"/>
  <c r="C22" i="27"/>
  <c r="C10" i="43"/>
  <c r="AO6" i="43" s="1"/>
  <c r="D10" i="50"/>
  <c r="C10" i="27"/>
  <c r="BX25" i="2"/>
  <c r="BY19" i="2"/>
  <c r="BZ29" i="2"/>
  <c r="CF35" i="2"/>
  <c r="CR35" i="2"/>
  <c r="BY35" i="2"/>
  <c r="CE35" i="2"/>
  <c r="CF19" i="2"/>
  <c r="BY23" i="2"/>
  <c r="CF34" i="2"/>
  <c r="BY34" i="2"/>
  <c r="BZ35" i="2"/>
  <c r="CD35" i="2"/>
  <c r="BZ26" i="2"/>
  <c r="CR32" i="2"/>
  <c r="CD34" i="2"/>
  <c r="BX35" i="2"/>
  <c r="BZ25" i="2"/>
  <c r="AL11" i="27"/>
  <c r="CE22" i="2"/>
  <c r="CE27" i="2"/>
  <c r="BX23" i="2"/>
  <c r="BX22" i="2"/>
  <c r="BY27" i="2"/>
  <c r="CR34" i="2"/>
  <c r="CR26" i="2"/>
  <c r="BX32" i="2"/>
  <c r="CD33" i="2"/>
  <c r="CE18" i="2"/>
  <c r="BY22" i="2"/>
  <c r="CD23" i="2"/>
  <c r="CD25" i="2"/>
  <c r="BZ30" i="2"/>
  <c r="BZ20" i="2"/>
  <c r="BY28" i="2"/>
  <c r="BZ32" i="2"/>
  <c r="BZ18" i="2"/>
  <c r="CD26" i="2"/>
  <c r="BY21" i="2"/>
  <c r="CF29" i="2"/>
  <c r="CD24" i="2"/>
  <c r="CE31" i="2"/>
  <c r="CR19" i="2"/>
  <c r="CR21" i="2"/>
  <c r="CR24" i="2"/>
  <c r="CR27" i="2"/>
  <c r="CR30" i="2"/>
  <c r="CR28" i="2"/>
  <c r="CR31" i="2"/>
  <c r="CE19" i="2"/>
  <c r="BX28" i="2"/>
  <c r="CF27" i="2"/>
  <c r="CF20" i="2"/>
  <c r="CF21" i="2"/>
  <c r="BX21" i="2"/>
  <c r="BZ23" i="2"/>
  <c r="BY26" i="2"/>
  <c r="CE26" i="2"/>
  <c r="CE29" i="2"/>
  <c r="CF24" i="2"/>
  <c r="BX24" i="2"/>
  <c r="CE25" i="2"/>
  <c r="CE23" i="2"/>
  <c r="CE32" i="2"/>
  <c r="BX33" i="2"/>
  <c r="BX29" i="2"/>
  <c r="CD31" i="2"/>
  <c r="CE34" i="2"/>
  <c r="BZ19" i="2"/>
  <c r="BZ31" i="2"/>
  <c r="BY31" i="2"/>
  <c r="CD18" i="2"/>
  <c r="BY20" i="2"/>
  <c r="CD21" i="2"/>
  <c r="BY29" i="2"/>
  <c r="CF30" i="2"/>
  <c r="BZ33" i="2"/>
  <c r="CR29" i="2"/>
  <c r="CD19" i="2"/>
  <c r="BX19" i="2"/>
  <c r="CF18" i="2"/>
  <c r="BX27" i="2"/>
  <c r="BY18" i="2"/>
  <c r="CD20" i="2"/>
  <c r="BZ21" i="2"/>
  <c r="BZ24" i="2"/>
  <c r="BY32" i="2"/>
  <c r="BZ28" i="2"/>
  <c r="BY33" i="2"/>
  <c r="CF33" i="2"/>
  <c r="CR25" i="2"/>
  <c r="CR33" i="2"/>
  <c r="CR18" i="2"/>
  <c r="CD22" i="2"/>
  <c r="CF23" i="2"/>
  <c r="BZ22" i="2"/>
  <c r="BY25" i="2"/>
  <c r="BY30" i="2"/>
  <c r="CE33" i="2"/>
  <c r="CD32" i="2"/>
  <c r="BX26" i="2"/>
  <c r="BZ27" i="2"/>
  <c r="CE30" i="2"/>
  <c r="BX18" i="2"/>
  <c r="CE20" i="2"/>
  <c r="CE21" i="2"/>
  <c r="CD27" i="2"/>
  <c r="CE28" i="2"/>
  <c r="BX20" i="2"/>
  <c r="BZ34" i="2"/>
  <c r="CD29" i="2"/>
  <c r="CF22" i="2"/>
  <c r="BY24" i="2"/>
  <c r="CD28" i="2"/>
  <c r="BX30" i="2"/>
  <c r="CF26" i="2"/>
  <c r="BX34" i="2"/>
  <c r="CD30" i="2"/>
  <c r="CF31" i="2"/>
  <c r="CE24" i="2"/>
  <c r="CF28" i="2"/>
  <c r="CF32" i="2"/>
  <c r="AC6" i="29"/>
  <c r="CR22" i="2"/>
  <c r="AL10" i="27"/>
  <c r="AL25" i="27"/>
  <c r="AL23" i="27"/>
  <c r="AL12" i="27"/>
  <c r="AL20" i="27"/>
  <c r="AL8" i="27"/>
  <c r="AL15" i="27"/>
  <c r="AL18" i="27"/>
  <c r="AL24" i="27"/>
  <c r="AL17" i="27"/>
  <c r="AL14" i="27"/>
  <c r="AL22" i="27"/>
  <c r="Q13" i="34"/>
  <c r="V13" i="34"/>
  <c r="AA13" i="34"/>
  <c r="Q30" i="34"/>
  <c r="AA30" i="34"/>
  <c r="V30" i="34"/>
  <c r="AA25" i="34"/>
  <c r="V25" i="34"/>
  <c r="Q25" i="34"/>
  <c r="Q29" i="34"/>
  <c r="V29" i="34"/>
  <c r="AA29" i="34"/>
  <c r="AT18" i="27"/>
  <c r="V28" i="34"/>
  <c r="Q28" i="34"/>
  <c r="AA28" i="34"/>
  <c r="AC7" i="29"/>
  <c r="AL19" i="27"/>
  <c r="AA18" i="34"/>
  <c r="Q18" i="34"/>
  <c r="V18" i="34"/>
  <c r="AA26" i="34"/>
  <c r="V26" i="34"/>
  <c r="Q26" i="34"/>
  <c r="CR20" i="2"/>
  <c r="CR23" i="2"/>
  <c r="AI30" i="70" l="1"/>
  <c r="AJ21" i="70"/>
  <c r="AI19" i="70"/>
  <c r="AK18" i="70"/>
  <c r="AJ23" i="70"/>
  <c r="AJ30" i="70" s="1"/>
  <c r="AJ20" i="70"/>
  <c r="AK21" i="70"/>
  <c r="AK9" i="29"/>
  <c r="AK22" i="70"/>
  <c r="AK23" i="70"/>
  <c r="AK30" i="70" s="1"/>
  <c r="R30" i="70"/>
  <c r="AK19" i="70"/>
  <c r="AK17" i="70"/>
  <c r="T30" i="70"/>
  <c r="AI20" i="70"/>
  <c r="AK20" i="70"/>
  <c r="AH28" i="43"/>
  <c r="AX58" i="43"/>
  <c r="AP70" i="43"/>
  <c r="AP82" i="43"/>
  <c r="AH27" i="43"/>
  <c r="AR70" i="43"/>
  <c r="AR82" i="43"/>
  <c r="AS70" i="43"/>
  <c r="AS82" i="43"/>
  <c r="AO70" i="43"/>
  <c r="AO82" i="43"/>
  <c r="AN70" i="43"/>
  <c r="AN82" i="43"/>
  <c r="AV58" i="43"/>
  <c r="AV57" i="43"/>
  <c r="AY57" i="43"/>
  <c r="AY58" i="43"/>
  <c r="AC11" i="29"/>
  <c r="AP11" i="29" s="1"/>
  <c r="BB57" i="43"/>
  <c r="BA57" i="43"/>
  <c r="Z18" i="66"/>
  <c r="Z64" i="66" s="1"/>
  <c r="Z11" i="66"/>
  <c r="AM11" i="66" s="1"/>
  <c r="AH10" i="66"/>
  <c r="AH18" i="66"/>
  <c r="AX57" i="43"/>
  <c r="AC14" i="29"/>
  <c r="AP14" i="29" s="1"/>
  <c r="AL26" i="27"/>
  <c r="AL27" i="27"/>
  <c r="Z9" i="66"/>
  <c r="AM9" i="66" s="1"/>
  <c r="AK22" i="29"/>
  <c r="AH26" i="66"/>
  <c r="BF57" i="43"/>
  <c r="Z17" i="66"/>
  <c r="Z63" i="66" s="1"/>
  <c r="AK17" i="29"/>
  <c r="AK28" i="29"/>
  <c r="BF58" i="43"/>
  <c r="AH23" i="66"/>
  <c r="AH17" i="66"/>
  <c r="Z12" i="66"/>
  <c r="Z58" i="66" s="1"/>
  <c r="AC10" i="29"/>
  <c r="AP10" i="29" s="1"/>
  <c r="Z24" i="66"/>
  <c r="AM24" i="66" s="1"/>
  <c r="AK10" i="29"/>
  <c r="AH20" i="66"/>
  <c r="AH16" i="66"/>
  <c r="AH22" i="66"/>
  <c r="Z14" i="66"/>
  <c r="AM14" i="66" s="1"/>
  <c r="AH25" i="66"/>
  <c r="AH27" i="66"/>
  <c r="Z20" i="66"/>
  <c r="AM20" i="66" s="1"/>
  <c r="Z25" i="66"/>
  <c r="Z71" i="66" s="1"/>
  <c r="AH24" i="66"/>
  <c r="AH11" i="66"/>
  <c r="AH15" i="66"/>
  <c r="Z22" i="66"/>
  <c r="Z68" i="66" s="1"/>
  <c r="AH9" i="66"/>
  <c r="AC26" i="29"/>
  <c r="AP26" i="29" s="1"/>
  <c r="AT58" i="43"/>
  <c r="AT57" i="43"/>
  <c r="AH28" i="66"/>
  <c r="Z19" i="66"/>
  <c r="AM19" i="66" s="1"/>
  <c r="Z16" i="66"/>
  <c r="AM16" i="66" s="1"/>
  <c r="Z23" i="66"/>
  <c r="AM23" i="66" s="1"/>
  <c r="AC13" i="29"/>
  <c r="AP13" i="29" s="1"/>
  <c r="BA58" i="43"/>
  <c r="BB58" i="43"/>
  <c r="Z26" i="66"/>
  <c r="Z28" i="66"/>
  <c r="AK26" i="29"/>
  <c r="AK25" i="29"/>
  <c r="AH12" i="66"/>
  <c r="Z10" i="66"/>
  <c r="AC21" i="29"/>
  <c r="AP21" i="29" s="1"/>
  <c r="AC27" i="29"/>
  <c r="AP27" i="29" s="1"/>
  <c r="AH21" i="66"/>
  <c r="Z15" i="66"/>
  <c r="AH14" i="66"/>
  <c r="Z13" i="66"/>
  <c r="AH13" i="66"/>
  <c r="Z21" i="66"/>
  <c r="AK23" i="29"/>
  <c r="AH19" i="66"/>
  <c r="Z27" i="66"/>
  <c r="AK12" i="29"/>
  <c r="AC19" i="29"/>
  <c r="AP19" i="29" s="1"/>
  <c r="AK24" i="29"/>
  <c r="AC25" i="29"/>
  <c r="AP25" i="29" s="1"/>
  <c r="A22" i="27"/>
  <c r="O21" i="27"/>
  <c r="A21" i="50"/>
  <c r="P21" i="50" s="1"/>
  <c r="G19" i="59"/>
  <c r="AQ57" i="43"/>
  <c r="AQ64" i="43" s="1"/>
  <c r="AQ58" i="43"/>
  <c r="AK21" i="29"/>
  <c r="AK27" i="29"/>
  <c r="AK19" i="29"/>
  <c r="AK15" i="29"/>
  <c r="AK14" i="29"/>
  <c r="AK13" i="29"/>
  <c r="AP51" i="43"/>
  <c r="AC12" i="29"/>
  <c r="AP12" i="29" s="1"/>
  <c r="AC23" i="29"/>
  <c r="AP23" i="29" s="1"/>
  <c r="AC24" i="29"/>
  <c r="AP24" i="29" s="1"/>
  <c r="AC15" i="29"/>
  <c r="AP15" i="29" s="1"/>
  <c r="AC17" i="29"/>
  <c r="AP17" i="29" s="1"/>
  <c r="AC28" i="29"/>
  <c r="AP28" i="29" s="1"/>
  <c r="AC22" i="29"/>
  <c r="AP22" i="29" s="1"/>
  <c r="DP359" i="1"/>
  <c r="DY359" i="1" s="1"/>
  <c r="DV359" i="1"/>
  <c r="EE359" i="1" s="1"/>
  <c r="DO359" i="1"/>
  <c r="DX359" i="1" s="1"/>
  <c r="DU359" i="1"/>
  <c r="ED359" i="1" s="1"/>
  <c r="DQ359" i="1"/>
  <c r="DZ359" i="1" s="1"/>
  <c r="DW359" i="1"/>
  <c r="EF359" i="1" s="1"/>
  <c r="DP354" i="1"/>
  <c r="DY354" i="1" s="1"/>
  <c r="DV354" i="1"/>
  <c r="EE354" i="1" s="1"/>
  <c r="DU354" i="1"/>
  <c r="ED354" i="1" s="1"/>
  <c r="DO354" i="1"/>
  <c r="DX354" i="1" s="1"/>
  <c r="DW354" i="1"/>
  <c r="EF354" i="1" s="1"/>
  <c r="DQ354" i="1"/>
  <c r="DZ354" i="1" s="1"/>
  <c r="DP350" i="1"/>
  <c r="DY350" i="1" s="1"/>
  <c r="DV350" i="1"/>
  <c r="EE350" i="1" s="1"/>
  <c r="DW350" i="1"/>
  <c r="EF350" i="1" s="1"/>
  <c r="DU350" i="1"/>
  <c r="ED350" i="1" s="1"/>
  <c r="DO350" i="1"/>
  <c r="DX350" i="1" s="1"/>
  <c r="DQ350" i="1"/>
  <c r="DZ350" i="1" s="1"/>
  <c r="CS362" i="1"/>
  <c r="DB362" i="1" s="1"/>
  <c r="CM362" i="1"/>
  <c r="CV362" i="1" s="1"/>
  <c r="CN362" i="1"/>
  <c r="CW362" i="1" s="1"/>
  <c r="CR362" i="1"/>
  <c r="DA362" i="1" s="1"/>
  <c r="CL362" i="1"/>
  <c r="CU362" i="1" s="1"/>
  <c r="CT362" i="1"/>
  <c r="DC362" i="1" s="1"/>
  <c r="DP365" i="1"/>
  <c r="DY365" i="1" s="1"/>
  <c r="DV365" i="1"/>
  <c r="EE365" i="1" s="1"/>
  <c r="DW365" i="1"/>
  <c r="EF365" i="1" s="1"/>
  <c r="DO365" i="1"/>
  <c r="DX365" i="1" s="1"/>
  <c r="DQ365" i="1"/>
  <c r="DZ365" i="1" s="1"/>
  <c r="DU365" i="1"/>
  <c r="ED365" i="1" s="1"/>
  <c r="CS374" i="1"/>
  <c r="DB374" i="1" s="1"/>
  <c r="CR374" i="1"/>
  <c r="DA374" i="1" s="1"/>
  <c r="CT374" i="1"/>
  <c r="DC374" i="1" s="1"/>
  <c r="CN374" i="1"/>
  <c r="CW374" i="1" s="1"/>
  <c r="CL374" i="1"/>
  <c r="CU374" i="1" s="1"/>
  <c r="CM374" i="1"/>
  <c r="CV374" i="1" s="1"/>
  <c r="DV368" i="1"/>
  <c r="EE368" i="1" s="1"/>
  <c r="DU368" i="1"/>
  <c r="ED368" i="1" s="1"/>
  <c r="DW368" i="1"/>
  <c r="EF368" i="1" s="1"/>
  <c r="DP368" i="1"/>
  <c r="DY368" i="1" s="1"/>
  <c r="DQ368" i="1"/>
  <c r="DZ368" i="1" s="1"/>
  <c r="DO368" i="1"/>
  <c r="DX368" i="1" s="1"/>
  <c r="DV370" i="1"/>
  <c r="EE370" i="1" s="1"/>
  <c r="DU370" i="1"/>
  <c r="ED370" i="1" s="1"/>
  <c r="DW370" i="1"/>
  <c r="EF370" i="1" s="1"/>
  <c r="DP370" i="1"/>
  <c r="DY370" i="1" s="1"/>
  <c r="DQ370" i="1"/>
  <c r="DZ370" i="1" s="1"/>
  <c r="DO370" i="1"/>
  <c r="DX370" i="1" s="1"/>
  <c r="DV379" i="1"/>
  <c r="EE379" i="1" s="1"/>
  <c r="DW379" i="1"/>
  <c r="EF379" i="1" s="1"/>
  <c r="DU379" i="1"/>
  <c r="ED379" i="1" s="1"/>
  <c r="DO379" i="1"/>
  <c r="DX379" i="1" s="1"/>
  <c r="DQ379" i="1"/>
  <c r="DZ379" i="1" s="1"/>
  <c r="DP379" i="1"/>
  <c r="DY379" i="1" s="1"/>
  <c r="DV367" i="1"/>
  <c r="EE367" i="1" s="1"/>
  <c r="DP367" i="1"/>
  <c r="DY367" i="1" s="1"/>
  <c r="DW367" i="1"/>
  <c r="EF367" i="1" s="1"/>
  <c r="DQ367" i="1"/>
  <c r="DZ367" i="1" s="1"/>
  <c r="DO367" i="1"/>
  <c r="DX367" i="1" s="1"/>
  <c r="DU367" i="1"/>
  <c r="ED367" i="1" s="1"/>
  <c r="DP356" i="1"/>
  <c r="DY356" i="1" s="1"/>
  <c r="DV356" i="1"/>
  <c r="EE356" i="1" s="1"/>
  <c r="DU356" i="1"/>
  <c r="ED356" i="1" s="1"/>
  <c r="DQ356" i="1"/>
  <c r="DZ356" i="1" s="1"/>
  <c r="DO356" i="1"/>
  <c r="DX356" i="1" s="1"/>
  <c r="DW356" i="1"/>
  <c r="EF356" i="1" s="1"/>
  <c r="DV371" i="1"/>
  <c r="EE371" i="1" s="1"/>
  <c r="DU371" i="1"/>
  <c r="ED371" i="1" s="1"/>
  <c r="DW371" i="1"/>
  <c r="EF371" i="1" s="1"/>
  <c r="DO371" i="1"/>
  <c r="DX371" i="1" s="1"/>
  <c r="DP371" i="1"/>
  <c r="DY371" i="1" s="1"/>
  <c r="DQ371" i="1"/>
  <c r="DZ371" i="1" s="1"/>
  <c r="DP348" i="1"/>
  <c r="DY348" i="1" s="1"/>
  <c r="DV348" i="1"/>
  <c r="EE348" i="1" s="1"/>
  <c r="DO348" i="1"/>
  <c r="DX348" i="1" s="1"/>
  <c r="DU348" i="1"/>
  <c r="ED348" i="1" s="1"/>
  <c r="DQ348" i="1"/>
  <c r="DZ348" i="1" s="1"/>
  <c r="DW348" i="1"/>
  <c r="EF348" i="1" s="1"/>
  <c r="DV373" i="1"/>
  <c r="EE373" i="1" s="1"/>
  <c r="DW373" i="1"/>
  <c r="EF373" i="1" s="1"/>
  <c r="DU373" i="1"/>
  <c r="ED373" i="1" s="1"/>
  <c r="DO373" i="1"/>
  <c r="DX373" i="1" s="1"/>
  <c r="DP373" i="1"/>
  <c r="DY373" i="1" s="1"/>
  <c r="DQ373" i="1"/>
  <c r="DZ373" i="1" s="1"/>
  <c r="DV358" i="1"/>
  <c r="EE358" i="1" s="1"/>
  <c r="DP358" i="1"/>
  <c r="DY358" i="1" s="1"/>
  <c r="DU358" i="1"/>
  <c r="ED358" i="1" s="1"/>
  <c r="DO358" i="1"/>
  <c r="DX358" i="1" s="1"/>
  <c r="DQ358" i="1"/>
  <c r="DZ358" i="1" s="1"/>
  <c r="DW358" i="1"/>
  <c r="EF358" i="1" s="1"/>
  <c r="CM360" i="1"/>
  <c r="CV360" i="1" s="1"/>
  <c r="CS360" i="1"/>
  <c r="DB360" i="1" s="1"/>
  <c r="CT360" i="1"/>
  <c r="DC360" i="1" s="1"/>
  <c r="CN360" i="1"/>
  <c r="CW360" i="1" s="1"/>
  <c r="CR360" i="1"/>
  <c r="DA360" i="1" s="1"/>
  <c r="CL360" i="1"/>
  <c r="CU360" i="1" s="1"/>
  <c r="CS372" i="1"/>
  <c r="DB372" i="1" s="1"/>
  <c r="CT372" i="1"/>
  <c r="DC372" i="1" s="1"/>
  <c r="CR372" i="1"/>
  <c r="DA372" i="1" s="1"/>
  <c r="CM372" i="1"/>
  <c r="CV372" i="1" s="1"/>
  <c r="CL372" i="1"/>
  <c r="CU372" i="1" s="1"/>
  <c r="CN372" i="1"/>
  <c r="CW372" i="1" s="1"/>
  <c r="CS378" i="1"/>
  <c r="DB378" i="1" s="1"/>
  <c r="CR378" i="1"/>
  <c r="DA378" i="1" s="1"/>
  <c r="CT378" i="1"/>
  <c r="DC378" i="1" s="1"/>
  <c r="CN378" i="1"/>
  <c r="CW378" i="1" s="1"/>
  <c r="CL378" i="1"/>
  <c r="CU378" i="1" s="1"/>
  <c r="CM378" i="1"/>
  <c r="CV378" i="1" s="1"/>
  <c r="CM366" i="1"/>
  <c r="CV366" i="1" s="1"/>
  <c r="CS366" i="1"/>
  <c r="DB366" i="1" s="1"/>
  <c r="CN366" i="1"/>
  <c r="CW366" i="1" s="1"/>
  <c r="CR366" i="1"/>
  <c r="DA366" i="1" s="1"/>
  <c r="CT366" i="1"/>
  <c r="DC366" i="1" s="1"/>
  <c r="CL366" i="1"/>
  <c r="CU366" i="1" s="1"/>
  <c r="DV377" i="1"/>
  <c r="EE377" i="1" s="1"/>
  <c r="DW377" i="1"/>
  <c r="EF377" i="1" s="1"/>
  <c r="DU377" i="1"/>
  <c r="ED377" i="1" s="1"/>
  <c r="DO377" i="1"/>
  <c r="DX377" i="1" s="1"/>
  <c r="DQ377" i="1"/>
  <c r="DZ377" i="1" s="1"/>
  <c r="DP377" i="1"/>
  <c r="DY377" i="1" s="1"/>
  <c r="AY51" i="43"/>
  <c r="AP49" i="43"/>
  <c r="AU49" i="43"/>
  <c r="AU51" i="43"/>
  <c r="BA51" i="43"/>
  <c r="AY49" i="43"/>
  <c r="BA49" i="43"/>
  <c r="AW49" i="43"/>
  <c r="AW51" i="43"/>
  <c r="BB49" i="43"/>
  <c r="AC55" i="29"/>
  <c r="AV49" i="43"/>
  <c r="BC49" i="43"/>
  <c r="AQ51" i="43"/>
  <c r="BB51" i="43"/>
  <c r="AR51" i="43"/>
  <c r="BF49" i="43"/>
  <c r="AV51" i="43"/>
  <c r="AR49" i="43"/>
  <c r="BC51" i="43"/>
  <c r="AQ49" i="43"/>
  <c r="AC56" i="29"/>
  <c r="AT49" i="43"/>
  <c r="AT51" i="43"/>
  <c r="AS49" i="43"/>
  <c r="BD49" i="43"/>
  <c r="BD51" i="43"/>
  <c r="AX49" i="43"/>
  <c r="AS51" i="43"/>
  <c r="X33" i="34"/>
  <c r="S33" i="34"/>
  <c r="X21" i="34"/>
  <c r="S21" i="34"/>
  <c r="AC21" i="34"/>
  <c r="X25" i="34"/>
  <c r="S25" i="34"/>
  <c r="AC25" i="34"/>
  <c r="Y17" i="34"/>
  <c r="X17" i="34" s="1"/>
  <c r="S17" i="34"/>
  <c r="AD17" i="34"/>
  <c r="AC17" i="34" s="1"/>
  <c r="X29" i="34"/>
  <c r="S29" i="34"/>
  <c r="AC29" i="34"/>
  <c r="X32" i="34"/>
  <c r="S32" i="34"/>
  <c r="AC32" i="34"/>
  <c r="Y16" i="34"/>
  <c r="X16" i="34" s="1"/>
  <c r="S16" i="34"/>
  <c r="AD16" i="34"/>
  <c r="AC16" i="34" s="1"/>
  <c r="X24" i="34"/>
  <c r="S24" i="34"/>
  <c r="AC24" i="34"/>
  <c r="X28" i="34"/>
  <c r="S28" i="34"/>
  <c r="AC28" i="34"/>
  <c r="X20" i="34"/>
  <c r="S20" i="34"/>
  <c r="AC20" i="34"/>
  <c r="S15" i="34"/>
  <c r="AD15" i="34"/>
  <c r="AC15" i="34" s="1"/>
  <c r="Y15" i="34"/>
  <c r="X15" i="34" s="1"/>
  <c r="S27" i="34"/>
  <c r="AC27" i="34"/>
  <c r="X27" i="34"/>
  <c r="S31" i="34"/>
  <c r="AC31" i="34"/>
  <c r="X31" i="34"/>
  <c r="S19" i="34"/>
  <c r="AC19" i="34"/>
  <c r="X19" i="34"/>
  <c r="S23" i="34"/>
  <c r="AC23" i="34"/>
  <c r="X23" i="34"/>
  <c r="AD14" i="34"/>
  <c r="AC14" i="34" s="1"/>
  <c r="Y14" i="34"/>
  <c r="S14" i="34"/>
  <c r="S26" i="34"/>
  <c r="S22" i="34"/>
  <c r="S18" i="34"/>
  <c r="S30" i="34"/>
  <c r="AC66" i="29"/>
  <c r="AC64" i="29"/>
  <c r="AC62" i="29"/>
  <c r="AC71" i="29"/>
  <c r="AO49" i="43"/>
  <c r="AZ51" i="43"/>
  <c r="AZ49" i="43"/>
  <c r="AO51" i="43"/>
  <c r="BE42" i="43"/>
  <c r="BE40" i="43"/>
  <c r="AS40" i="43"/>
  <c r="AS42" i="43"/>
  <c r="BE49" i="43"/>
  <c r="AX42" i="43"/>
  <c r="AX40" i="43"/>
  <c r="AP42" i="43"/>
  <c r="AP40" i="43"/>
  <c r="BD42" i="43"/>
  <c r="BD40" i="43"/>
  <c r="AN8" i="43"/>
  <c r="AN6" i="43"/>
  <c r="AO40" i="43"/>
  <c r="BF42" i="43"/>
  <c r="BF40" i="43"/>
  <c r="AQ42" i="43"/>
  <c r="AQ40" i="43"/>
  <c r="AR42" i="43"/>
  <c r="AR40" i="43"/>
  <c r="AV42" i="43"/>
  <c r="AV40" i="43"/>
  <c r="AZ42" i="43"/>
  <c r="AZ40" i="43"/>
  <c r="AO42" i="43"/>
  <c r="BE51" i="43"/>
  <c r="AT42" i="43"/>
  <c r="AT40" i="43"/>
  <c r="AU42" i="43"/>
  <c r="AU40" i="43"/>
  <c r="BC42" i="43"/>
  <c r="BC40" i="43"/>
  <c r="AX51" i="43"/>
  <c r="AY42" i="43"/>
  <c r="AY40" i="43"/>
  <c r="AW42" i="43"/>
  <c r="AW40" i="43"/>
  <c r="BA42" i="43"/>
  <c r="BA40" i="43"/>
  <c r="BF51" i="43"/>
  <c r="BB42" i="43"/>
  <c r="BB40" i="43"/>
  <c r="BH21" i="27"/>
  <c r="BG21" i="27"/>
  <c r="BH11" i="27"/>
  <c r="BG11" i="27"/>
  <c r="BH13" i="27"/>
  <c r="BG13" i="27"/>
  <c r="BH9" i="27"/>
  <c r="BG9" i="27"/>
  <c r="BH16" i="27"/>
  <c r="BG16" i="27"/>
  <c r="BH27" i="27"/>
  <c r="BG27" i="27"/>
  <c r="BG26" i="27"/>
  <c r="BH26" i="27"/>
  <c r="BG14" i="27"/>
  <c r="BH14" i="27"/>
  <c r="BH12" i="27"/>
  <c r="BG12" i="27"/>
  <c r="BH15" i="27"/>
  <c r="BG15" i="27"/>
  <c r="BH24" i="27"/>
  <c r="BG24" i="27"/>
  <c r="BH23" i="27"/>
  <c r="BG23" i="27"/>
  <c r="BH17" i="27"/>
  <c r="BG17" i="27"/>
  <c r="BG22" i="27"/>
  <c r="BH22" i="27"/>
  <c r="BG18" i="27"/>
  <c r="BH18" i="27"/>
  <c r="BH25" i="27"/>
  <c r="BG25" i="27"/>
  <c r="BG10" i="27"/>
  <c r="BH10" i="27"/>
  <c r="BH20" i="27"/>
  <c r="BG20" i="27"/>
  <c r="BH19" i="27"/>
  <c r="BG19" i="27"/>
  <c r="E19" i="34"/>
  <c r="AU11" i="59"/>
  <c r="N12" i="34"/>
  <c r="R12" i="34"/>
  <c r="F12" i="34"/>
  <c r="C5" i="59" s="1"/>
  <c r="H5" i="59" s="1"/>
  <c r="J12" i="34"/>
  <c r="J7" i="50" s="1"/>
  <c r="R7" i="50" s="1"/>
  <c r="L12" i="34"/>
  <c r="K7" i="27" s="1"/>
  <c r="H12" i="34"/>
  <c r="E5" i="59" s="1"/>
  <c r="J5" i="59" s="1"/>
  <c r="AU16" i="27"/>
  <c r="AU26" i="27"/>
  <c r="AU27" i="27"/>
  <c r="J6" i="27"/>
  <c r="AU9" i="27"/>
  <c r="AU13" i="27"/>
  <c r="BV25" i="2"/>
  <c r="BY36" i="2"/>
  <c r="CF36" i="2"/>
  <c r="BZ36" i="2"/>
  <c r="BW38" i="2"/>
  <c r="H7" i="39"/>
  <c r="BX36" i="2"/>
  <c r="CD36" i="2"/>
  <c r="AB24" i="39"/>
  <c r="CE36" i="2"/>
  <c r="CR36" i="2"/>
  <c r="DN360" i="1"/>
  <c r="AM38" i="2"/>
  <c r="DN366" i="1"/>
  <c r="DN372" i="1"/>
  <c r="DN362" i="1"/>
  <c r="DN378" i="1"/>
  <c r="DN374" i="1"/>
  <c r="BW37" i="2"/>
  <c r="AU24" i="27"/>
  <c r="AU19" i="27"/>
  <c r="AU20" i="27"/>
  <c r="AU12" i="27"/>
  <c r="AU15" i="27"/>
  <c r="AU11" i="27"/>
  <c r="AU22" i="27"/>
  <c r="AU25" i="27"/>
  <c r="AU14" i="27"/>
  <c r="AU10" i="27"/>
  <c r="AU17" i="27"/>
  <c r="AU23" i="27"/>
  <c r="AU21" i="27"/>
  <c r="AU8" i="27"/>
  <c r="M6" i="50"/>
  <c r="L6" i="27"/>
  <c r="N6" i="50"/>
  <c r="M6" i="27"/>
  <c r="AB10" i="39"/>
  <c r="AB21" i="39"/>
  <c r="AB13" i="39"/>
  <c r="AB15" i="39"/>
  <c r="AB16" i="39"/>
  <c r="AB17" i="39"/>
  <c r="K7" i="50"/>
  <c r="S7" i="50" s="1"/>
  <c r="J7" i="27"/>
  <c r="R7" i="27" s="1"/>
  <c r="AW7" i="27" s="1"/>
  <c r="AB19" i="39"/>
  <c r="AB12" i="39"/>
  <c r="AB11" i="39"/>
  <c r="AB20" i="39"/>
  <c r="AB18" i="39"/>
  <c r="AB14" i="39"/>
  <c r="CT35" i="2"/>
  <c r="CY35" i="2"/>
  <c r="CY31" i="2"/>
  <c r="CS25" i="2"/>
  <c r="CT22" i="2"/>
  <c r="DA21" i="2"/>
  <c r="CZ31" i="2"/>
  <c r="CZ35" i="2"/>
  <c r="CU35" i="2"/>
  <c r="CS35" i="2"/>
  <c r="DA35" i="2"/>
  <c r="CY27" i="2"/>
  <c r="DA30" i="2"/>
  <c r="CS24" i="2"/>
  <c r="CS31" i="2"/>
  <c r="CZ27" i="2"/>
  <c r="CT20" i="2"/>
  <c r="CU22" i="2"/>
  <c r="CY25" i="2"/>
  <c r="CZ26" i="2"/>
  <c r="DA25" i="2"/>
  <c r="CT34" i="2"/>
  <c r="CT25" i="2"/>
  <c r="CU34" i="2"/>
  <c r="CS21" i="2"/>
  <c r="CS28" i="2"/>
  <c r="CY23" i="2"/>
  <c r="CU24" i="2"/>
  <c r="CU32" i="2"/>
  <c r="CY29" i="2"/>
  <c r="CZ29" i="2"/>
  <c r="CU27" i="2"/>
  <c r="CS29" i="2"/>
  <c r="CY28" i="2"/>
  <c r="CT26" i="2"/>
  <c r="CT23" i="2"/>
  <c r="CY32" i="2"/>
  <c r="CY26" i="2"/>
  <c r="CT33" i="2"/>
  <c r="CT31" i="2"/>
  <c r="CZ22" i="2"/>
  <c r="CS34" i="2"/>
  <c r="DA29" i="2"/>
  <c r="DA26" i="2"/>
  <c r="CY34" i="2"/>
  <c r="CZ34" i="2"/>
  <c r="CU28" i="2"/>
  <c r="CS30" i="2"/>
  <c r="CS26" i="2"/>
  <c r="CY22" i="2"/>
  <c r="DA32" i="2"/>
  <c r="DA34" i="2"/>
  <c r="CU18" i="2"/>
  <c r="CY30" i="2"/>
  <c r="CY21" i="2"/>
  <c r="CT28" i="2"/>
  <c r="DA22" i="2"/>
  <c r="CU29" i="2"/>
  <c r="CT18" i="2"/>
  <c r="CU33" i="2"/>
  <c r="CS18" i="2"/>
  <c r="DA18" i="2"/>
  <c r="DA33" i="2"/>
  <c r="DA27" i="2"/>
  <c r="CU21" i="2"/>
  <c r="CS32" i="2"/>
  <c r="CU31" i="2"/>
  <c r="CU25" i="2"/>
  <c r="CZ32" i="2"/>
  <c r="CZ33" i="2"/>
  <c r="CZ21" i="2"/>
  <c r="CZ24" i="2"/>
  <c r="CT27" i="2"/>
  <c r="CY24" i="2"/>
  <c r="DA28" i="2"/>
  <c r="DA31" i="2"/>
  <c r="CT29" i="2"/>
  <c r="CY18" i="2"/>
  <c r="CU26" i="2"/>
  <c r="CZ18" i="2"/>
  <c r="CS27" i="2"/>
  <c r="CY33" i="2"/>
  <c r="DA24" i="2"/>
  <c r="CZ28" i="2"/>
  <c r="CU30" i="2"/>
  <c r="CT21" i="2"/>
  <c r="CT32" i="2"/>
  <c r="CZ25" i="2"/>
  <c r="CZ30" i="2"/>
  <c r="CT24" i="2"/>
  <c r="CS33" i="2"/>
  <c r="CT30" i="2"/>
  <c r="CZ23" i="2"/>
  <c r="CY19" i="2"/>
  <c r="CS22" i="2"/>
  <c r="DA19" i="2"/>
  <c r="AF7" i="29"/>
  <c r="AE7" i="29"/>
  <c r="AD7" i="29"/>
  <c r="AU18" i="27"/>
  <c r="CZ20" i="2"/>
  <c r="CU20" i="2"/>
  <c r="CZ19" i="2"/>
  <c r="DA20" i="2"/>
  <c r="CU19" i="2"/>
  <c r="DA23" i="2"/>
  <c r="CY20" i="2"/>
  <c r="CU23" i="2"/>
  <c r="CS19" i="2"/>
  <c r="CS23" i="2"/>
  <c r="CS20" i="2"/>
  <c r="CT19" i="2"/>
  <c r="AC69" i="29" l="1"/>
  <c r="AC57" i="29"/>
  <c r="AQ70" i="43"/>
  <c r="AQ82" i="43"/>
  <c r="DN38" i="2"/>
  <c r="DT38" i="2"/>
  <c r="Z57" i="66"/>
  <c r="AM18" i="66"/>
  <c r="AC60" i="29"/>
  <c r="AC72" i="29"/>
  <c r="Z55" i="66"/>
  <c r="AM17" i="66"/>
  <c r="AC73" i="29"/>
  <c r="AM12" i="66"/>
  <c r="AC59" i="29"/>
  <c r="Z70" i="66"/>
  <c r="Z60" i="66"/>
  <c r="AC67" i="29"/>
  <c r="AC65" i="29"/>
  <c r="Z69" i="66"/>
  <c r="Z62" i="66"/>
  <c r="Z65" i="66"/>
  <c r="AM25" i="66"/>
  <c r="Z66" i="66"/>
  <c r="AC61" i="29"/>
  <c r="AM22" i="66"/>
  <c r="Z74" i="66"/>
  <c r="AM28" i="66"/>
  <c r="Z73" i="66"/>
  <c r="AM27" i="66"/>
  <c r="Z72" i="66"/>
  <c r="AM26" i="66"/>
  <c r="Z67" i="66"/>
  <c r="AM21" i="66"/>
  <c r="Z56" i="66"/>
  <c r="AM10" i="66"/>
  <c r="AM13" i="66"/>
  <c r="Z59" i="66"/>
  <c r="O29" i="43"/>
  <c r="AH29" i="43" s="1"/>
  <c r="AE28" i="27"/>
  <c r="AM15" i="66"/>
  <c r="Z61" i="66"/>
  <c r="AJ39" i="29"/>
  <c r="AJ36" i="29"/>
  <c r="AJ33" i="29"/>
  <c r="AJ40" i="29"/>
  <c r="AJ37" i="29"/>
  <c r="AJ35" i="29"/>
  <c r="AJ34" i="29"/>
  <c r="AJ38" i="29"/>
  <c r="AC63" i="29"/>
  <c r="AC74" i="29"/>
  <c r="AC58" i="29"/>
  <c r="A23" i="27"/>
  <c r="A22" i="50"/>
  <c r="P22" i="50" s="1"/>
  <c r="G20" i="59"/>
  <c r="O22" i="27"/>
  <c r="AC70" i="29"/>
  <c r="AC68" i="29"/>
  <c r="DV374" i="1"/>
  <c r="EE374" i="1" s="1"/>
  <c r="DU374" i="1"/>
  <c r="ED374" i="1" s="1"/>
  <c r="DW374" i="1"/>
  <c r="EF374" i="1" s="1"/>
  <c r="DQ374" i="1"/>
  <c r="DZ374" i="1" s="1"/>
  <c r="DO374" i="1"/>
  <c r="DX374" i="1" s="1"/>
  <c r="DP374" i="1"/>
  <c r="DY374" i="1" s="1"/>
  <c r="DV378" i="1"/>
  <c r="EE378" i="1" s="1"/>
  <c r="DU378" i="1"/>
  <c r="ED378" i="1" s="1"/>
  <c r="DW378" i="1"/>
  <c r="EF378" i="1" s="1"/>
  <c r="DO378" i="1"/>
  <c r="DX378" i="1" s="1"/>
  <c r="DQ378" i="1"/>
  <c r="DZ378" i="1" s="1"/>
  <c r="DP378" i="1"/>
  <c r="DY378" i="1" s="1"/>
  <c r="DP362" i="1"/>
  <c r="DY362" i="1" s="1"/>
  <c r="DV362" i="1"/>
  <c r="EE362" i="1" s="1"/>
  <c r="DQ362" i="1"/>
  <c r="DZ362" i="1" s="1"/>
  <c r="DU362" i="1"/>
  <c r="ED362" i="1" s="1"/>
  <c r="DO362" i="1"/>
  <c r="DX362" i="1" s="1"/>
  <c r="DW362" i="1"/>
  <c r="EF362" i="1" s="1"/>
  <c r="DP366" i="1"/>
  <c r="DY366" i="1" s="1"/>
  <c r="DV366" i="1"/>
  <c r="EE366" i="1" s="1"/>
  <c r="DQ366" i="1"/>
  <c r="DZ366" i="1" s="1"/>
  <c r="DU366" i="1"/>
  <c r="ED366" i="1" s="1"/>
  <c r="DW366" i="1"/>
  <c r="EF366" i="1" s="1"/>
  <c r="DO366" i="1"/>
  <c r="DX366" i="1" s="1"/>
  <c r="DP360" i="1"/>
  <c r="DY360" i="1" s="1"/>
  <c r="DV360" i="1"/>
  <c r="EE360" i="1" s="1"/>
  <c r="DQ360" i="1"/>
  <c r="DZ360" i="1" s="1"/>
  <c r="DU360" i="1"/>
  <c r="ED360" i="1" s="1"/>
  <c r="DO360" i="1"/>
  <c r="DX360" i="1" s="1"/>
  <c r="DW360" i="1"/>
  <c r="EF360" i="1" s="1"/>
  <c r="DV372" i="1"/>
  <c r="EE372" i="1" s="1"/>
  <c r="DW372" i="1"/>
  <c r="EF372" i="1" s="1"/>
  <c r="DU372" i="1"/>
  <c r="ED372" i="1" s="1"/>
  <c r="DO372" i="1"/>
  <c r="DX372" i="1" s="1"/>
  <c r="DP372" i="1"/>
  <c r="DY372" i="1" s="1"/>
  <c r="DQ372" i="1"/>
  <c r="DZ372" i="1" s="1"/>
  <c r="AJ31" i="29"/>
  <c r="AJ29" i="29"/>
  <c r="AJ32" i="29"/>
  <c r="AJ30" i="29"/>
  <c r="L7" i="50"/>
  <c r="T7" i="50" s="1"/>
  <c r="X30" i="34"/>
  <c r="X18" i="34"/>
  <c r="AC22" i="34"/>
  <c r="X26" i="34"/>
  <c r="AC30" i="34"/>
  <c r="AC18" i="34"/>
  <c r="AC26" i="34"/>
  <c r="X14" i="34"/>
  <c r="AC33" i="34"/>
  <c r="X22" i="34"/>
  <c r="AN49" i="43"/>
  <c r="AN40" i="43"/>
  <c r="AN42" i="43"/>
  <c r="AN51" i="43"/>
  <c r="I7" i="27"/>
  <c r="Q7" i="27" s="1"/>
  <c r="AV7" i="27" s="1"/>
  <c r="E20" i="34"/>
  <c r="AU12" i="59"/>
  <c r="O12" i="34"/>
  <c r="AB12" i="34"/>
  <c r="M12" i="34"/>
  <c r="W12" i="34"/>
  <c r="BV26" i="2"/>
  <c r="CZ36" i="2"/>
  <c r="CS36" i="2"/>
  <c r="CY36" i="2"/>
  <c r="L6" i="50"/>
  <c r="K6" i="27"/>
  <c r="CT36" i="2"/>
  <c r="S7" i="27"/>
  <c r="CU36" i="2"/>
  <c r="CD37" i="2"/>
  <c r="DA36" i="2"/>
  <c r="BX38" i="2"/>
  <c r="CE37" i="2"/>
  <c r="BZ38" i="2"/>
  <c r="CR38" i="2"/>
  <c r="CE38" i="2"/>
  <c r="BX37" i="2"/>
  <c r="CF37" i="2"/>
  <c r="BY37" i="2"/>
  <c r="CF38" i="2"/>
  <c r="CD38" i="2"/>
  <c r="BY38" i="2"/>
  <c r="CR37" i="2"/>
  <c r="BZ37" i="2"/>
  <c r="AB22" i="39"/>
  <c r="K8" i="39"/>
  <c r="AB8" i="39"/>
  <c r="AJ9" i="29"/>
  <c r="AJ13" i="29"/>
  <c r="AJ17" i="29"/>
  <c r="AJ21" i="29"/>
  <c r="AJ25" i="29"/>
  <c r="AJ7" i="29"/>
  <c r="AJ10" i="29"/>
  <c r="AJ14" i="29"/>
  <c r="AJ18" i="29"/>
  <c r="AJ22" i="29"/>
  <c r="AJ26" i="29"/>
  <c r="AJ11" i="29"/>
  <c r="AJ15" i="29"/>
  <c r="AJ19" i="29"/>
  <c r="AJ23" i="29"/>
  <c r="AJ27" i="29"/>
  <c r="AJ8" i="29"/>
  <c r="AJ12" i="29"/>
  <c r="AJ16" i="29"/>
  <c r="AJ20" i="29"/>
  <c r="AJ24" i="29"/>
  <c r="AJ28" i="29"/>
  <c r="AB26" i="39"/>
  <c r="CW58" i="2"/>
  <c r="BG18" i="43" l="1"/>
  <c r="BG37" i="43" s="1"/>
  <c r="AO28" i="27"/>
  <c r="AT28" i="27" s="1"/>
  <c r="AL28" i="27"/>
  <c r="AU28" i="27" s="1"/>
  <c r="A24" i="27"/>
  <c r="O23" i="27"/>
  <c r="A23" i="50"/>
  <c r="P23" i="50" s="1"/>
  <c r="G21" i="59"/>
  <c r="BG57" i="43"/>
  <c r="AL43" i="59"/>
  <c r="E21" i="34"/>
  <c r="AU13" i="59"/>
  <c r="BV27" i="2"/>
  <c r="N6" i="27"/>
  <c r="O6" i="50"/>
  <c r="AX7" i="27"/>
  <c r="I6" i="50"/>
  <c r="H6" i="43"/>
  <c r="H6" i="27"/>
  <c r="I7" i="50"/>
  <c r="AB9" i="39"/>
  <c r="AB23" i="39"/>
  <c r="AB25" i="39"/>
  <c r="CS37" i="2"/>
  <c r="CY37" i="2"/>
  <c r="CZ37" i="2"/>
  <c r="CT38" i="2"/>
  <c r="CY38" i="2"/>
  <c r="CZ38" i="2"/>
  <c r="DA37" i="2"/>
  <c r="CU38" i="2"/>
  <c r="CT37" i="2"/>
  <c r="CU37" i="2"/>
  <c r="CS38" i="2"/>
  <c r="DA38" i="2"/>
  <c r="AG8" i="39"/>
  <c r="F7" i="43"/>
  <c r="G7" i="50"/>
  <c r="F7" i="27"/>
  <c r="G7" i="29"/>
  <c r="AG7" i="29" s="1"/>
  <c r="H7" i="50"/>
  <c r="G7" i="43"/>
  <c r="G8" i="39"/>
  <c r="H7" i="29"/>
  <c r="G7" i="27"/>
  <c r="H7" i="43"/>
  <c r="I7" i="29"/>
  <c r="AI7" i="29" s="1"/>
  <c r="H7" i="27"/>
  <c r="BG42" i="43" l="1"/>
  <c r="BG58" i="43"/>
  <c r="BH28" i="27"/>
  <c r="BH8" i="27" s="1"/>
  <c r="BG28" i="27"/>
  <c r="BG8" i="27" s="1"/>
  <c r="A25" i="27"/>
  <c r="A24" i="50"/>
  <c r="P24" i="50" s="1"/>
  <c r="G22" i="59"/>
  <c r="O24" i="27"/>
  <c r="BG51" i="43"/>
  <c r="BG49" i="43"/>
  <c r="BG40" i="43"/>
  <c r="AL44" i="59"/>
  <c r="AN43" i="59"/>
  <c r="AL42" i="59"/>
  <c r="AN44" i="59"/>
  <c r="E22" i="34"/>
  <c r="AU14" i="59"/>
  <c r="O7" i="50"/>
  <c r="W7" i="50" s="1"/>
  <c r="BV28" i="2"/>
  <c r="M7" i="50"/>
  <c r="U7" i="50" s="1"/>
  <c r="L7" i="27"/>
  <c r="T7" i="27" s="1"/>
  <c r="H8" i="39"/>
  <c r="N7" i="50"/>
  <c r="V7" i="50" s="1"/>
  <c r="M7" i="27"/>
  <c r="U7" i="27" s="1"/>
  <c r="R8" i="39"/>
  <c r="AH7" i="29"/>
  <c r="A26" i="27" l="1"/>
  <c r="O25" i="27"/>
  <c r="A25" i="50"/>
  <c r="P25" i="50" s="1"/>
  <c r="G23" i="59"/>
  <c r="AN42" i="59"/>
  <c r="AN41" i="59"/>
  <c r="AL41" i="59"/>
  <c r="E23" i="34"/>
  <c r="AU15" i="59"/>
  <c r="N7" i="27"/>
  <c r="V7" i="27" s="1"/>
  <c r="BA7" i="27" s="1"/>
  <c r="BV29" i="2"/>
  <c r="AY7" i="27"/>
  <c r="L8" i="39"/>
  <c r="AZ7" i="27"/>
  <c r="AC8" i="39"/>
  <c r="AD8" i="39" s="1"/>
  <c r="T8" i="39"/>
  <c r="U8" i="39" s="1"/>
  <c r="S8" i="39"/>
  <c r="A27" i="27" l="1"/>
  <c r="A26" i="50"/>
  <c r="P26" i="50" s="1"/>
  <c r="G24" i="59"/>
  <c r="O26" i="27"/>
  <c r="E24" i="34"/>
  <c r="AU16" i="59"/>
  <c r="BV30" i="2"/>
  <c r="BV31" i="2"/>
  <c r="V8" i="39"/>
  <c r="M8" i="39"/>
  <c r="AH8" i="39"/>
  <c r="A28" i="27" l="1"/>
  <c r="O27" i="27"/>
  <c r="G25" i="59"/>
  <c r="A27" i="50"/>
  <c r="P27" i="50" s="1"/>
  <c r="E25" i="34"/>
  <c r="AU17" i="59"/>
  <c r="A29" i="27" l="1"/>
  <c r="A28" i="50"/>
  <c r="P28" i="50" s="1"/>
  <c r="G26" i="59"/>
  <c r="O28" i="27"/>
  <c r="E26" i="34"/>
  <c r="AU18" i="59"/>
  <c r="AC9" i="39"/>
  <c r="A30" i="27" l="1"/>
  <c r="G27" i="59"/>
  <c r="E25" i="57"/>
  <c r="G25" i="57" s="1"/>
  <c r="O29" i="27"/>
  <c r="E27" i="34"/>
  <c r="AU19" i="59"/>
  <c r="AD9" i="39"/>
  <c r="J27" i="59" l="1"/>
  <c r="H27" i="59"/>
  <c r="I27" i="59"/>
  <c r="W25" i="57"/>
  <c r="AE25" i="57" s="1"/>
  <c r="X25" i="57"/>
  <c r="AF25" i="57" s="1"/>
  <c r="Q25" i="57"/>
  <c r="T25" i="57"/>
  <c r="AB25" i="57" s="1"/>
  <c r="R25" i="57"/>
  <c r="Z25" i="57" s="1"/>
  <c r="H25" i="57"/>
  <c r="U25" i="57"/>
  <c r="AC25" i="57" s="1"/>
  <c r="S25" i="57"/>
  <c r="AA25" i="57" s="1"/>
  <c r="V25" i="57"/>
  <c r="AD25" i="57" s="1"/>
  <c r="Q29" i="27"/>
  <c r="AV29" i="27" s="1"/>
  <c r="T29" i="27"/>
  <c r="AY29" i="27" s="1"/>
  <c r="U29" i="27"/>
  <c r="R29" i="27"/>
  <c r="AW29" i="27" s="1"/>
  <c r="S29" i="27"/>
  <c r="AX29" i="27" s="1"/>
  <c r="V29" i="27"/>
  <c r="BA29" i="27" s="1"/>
  <c r="A31" i="27"/>
  <c r="O30" i="27"/>
  <c r="E26" i="57"/>
  <c r="G26" i="57" s="1"/>
  <c r="G28" i="59"/>
  <c r="E28" i="34"/>
  <c r="AU20" i="59"/>
  <c r="J28" i="59" l="1"/>
  <c r="H28" i="59"/>
  <c r="I28" i="59"/>
  <c r="N27" i="59"/>
  <c r="K27" i="59"/>
  <c r="AF27" i="59" s="1"/>
  <c r="O27" i="59"/>
  <c r="L27" i="59"/>
  <c r="AG27" i="59" s="1"/>
  <c r="AK25" i="57"/>
  <c r="AH25" i="57"/>
  <c r="Y25" i="57"/>
  <c r="AJ25" i="57"/>
  <c r="AG25" i="57"/>
  <c r="AI25" i="57"/>
  <c r="AL25" i="57"/>
  <c r="P27" i="59"/>
  <c r="M27" i="59"/>
  <c r="AH27" i="59" s="1"/>
  <c r="R26" i="57"/>
  <c r="Z26" i="57" s="1"/>
  <c r="Q26" i="57"/>
  <c r="X26" i="57"/>
  <c r="AF26" i="57" s="1"/>
  <c r="W26" i="57"/>
  <c r="AE26" i="57" s="1"/>
  <c r="H26" i="57"/>
  <c r="V26" i="57"/>
  <c r="AD26" i="57" s="1"/>
  <c r="T26" i="57"/>
  <c r="AB26" i="57" s="1"/>
  <c r="S26" i="57"/>
  <c r="AA26" i="57" s="1"/>
  <c r="U26" i="57"/>
  <c r="AC26" i="57" s="1"/>
  <c r="A32" i="27"/>
  <c r="G29" i="59"/>
  <c r="O31" i="27"/>
  <c r="E27" i="57"/>
  <c r="G27" i="57" s="1"/>
  <c r="Q30" i="27"/>
  <c r="AV30" i="27" s="1"/>
  <c r="S30" i="27"/>
  <c r="AX30" i="27" s="1"/>
  <c r="U30" i="27"/>
  <c r="R30" i="27"/>
  <c r="AW30" i="27" s="1"/>
  <c r="T30" i="27"/>
  <c r="AY30" i="27" s="1"/>
  <c r="V30" i="27"/>
  <c r="BA30" i="27" s="1"/>
  <c r="AZ29" i="27"/>
  <c r="BC29" i="27"/>
  <c r="E29" i="34"/>
  <c r="AU21" i="59"/>
  <c r="AC10" i="39"/>
  <c r="AD10" i="39" s="1"/>
  <c r="J29" i="59" l="1"/>
  <c r="H29" i="59"/>
  <c r="I29" i="59"/>
  <c r="AT27" i="59"/>
  <c r="AN27" i="59"/>
  <c r="AK27" i="59"/>
  <c r="AQ27" i="59"/>
  <c r="A33" i="27"/>
  <c r="G30" i="59"/>
  <c r="E28" i="57"/>
  <c r="G28" i="57" s="1"/>
  <c r="O32" i="27"/>
  <c r="AG26" i="57"/>
  <c r="Y26" i="57"/>
  <c r="AI26" i="57"/>
  <c r="AL26" i="57"/>
  <c r="AH26" i="57"/>
  <c r="AK26" i="57"/>
  <c r="AJ26" i="57"/>
  <c r="AM27" i="59"/>
  <c r="AP27" i="59"/>
  <c r="AJ27" i="59"/>
  <c r="AS27" i="59"/>
  <c r="BC30" i="27"/>
  <c r="AZ30" i="27"/>
  <c r="N28" i="59"/>
  <c r="K28" i="59"/>
  <c r="AF28" i="59" s="1"/>
  <c r="O28" i="59"/>
  <c r="L28" i="59"/>
  <c r="AG28" i="59" s="1"/>
  <c r="P28" i="59"/>
  <c r="M28" i="59"/>
  <c r="AH28" i="59" s="1"/>
  <c r="T27" i="57"/>
  <c r="AB27" i="57" s="1"/>
  <c r="Q27" i="57"/>
  <c r="S27" i="57"/>
  <c r="AA27" i="57" s="1"/>
  <c r="H27" i="57"/>
  <c r="R27" i="57"/>
  <c r="Z27" i="57" s="1"/>
  <c r="V27" i="57"/>
  <c r="AD27" i="57" s="1"/>
  <c r="W27" i="57"/>
  <c r="AE27" i="57" s="1"/>
  <c r="X27" i="57"/>
  <c r="AF27" i="57" s="1"/>
  <c r="U27" i="57"/>
  <c r="AC27" i="57" s="1"/>
  <c r="S31" i="27"/>
  <c r="AX31" i="27" s="1"/>
  <c r="V31" i="27"/>
  <c r="BA31" i="27" s="1"/>
  <c r="R31" i="27"/>
  <c r="AW31" i="27" s="1"/>
  <c r="U31" i="27"/>
  <c r="Q31" i="27"/>
  <c r="AV31" i="27" s="1"/>
  <c r="T31" i="27"/>
  <c r="AY31" i="27" s="1"/>
  <c r="AO27" i="59"/>
  <c r="AR27" i="59"/>
  <c r="AL27" i="59"/>
  <c r="AI27" i="59"/>
  <c r="E30" i="34"/>
  <c r="AU22" i="59"/>
  <c r="H30" i="59" l="1"/>
  <c r="J30" i="59"/>
  <c r="I30" i="59"/>
  <c r="A34" i="27"/>
  <c r="O33" i="27"/>
  <c r="U33" i="27" s="1"/>
  <c r="R28" i="57"/>
  <c r="Z28" i="57" s="1"/>
  <c r="X28" i="57"/>
  <c r="AF28" i="57" s="1"/>
  <c r="Q28" i="57"/>
  <c r="W28" i="57"/>
  <c r="AE28" i="57" s="1"/>
  <c r="S28" i="57"/>
  <c r="AA28" i="57" s="1"/>
  <c r="V28" i="57"/>
  <c r="AD28" i="57" s="1"/>
  <c r="H28" i="57"/>
  <c r="U28" i="57"/>
  <c r="AC28" i="57" s="1"/>
  <c r="T28" i="57"/>
  <c r="AB28" i="57" s="1"/>
  <c r="Q33" i="27"/>
  <c r="AV33" i="27" s="1"/>
  <c r="T33" i="27"/>
  <c r="AY33" i="27" s="1"/>
  <c r="BC31" i="27"/>
  <c r="AZ31" i="27"/>
  <c r="AS28" i="59"/>
  <c r="AM28" i="59"/>
  <c r="AP28" i="59"/>
  <c r="AJ28" i="59"/>
  <c r="L29" i="59"/>
  <c r="AG29" i="59" s="1"/>
  <c r="O29" i="59"/>
  <c r="AN28" i="59"/>
  <c r="AQ28" i="59"/>
  <c r="AT28" i="59"/>
  <c r="AK28" i="59"/>
  <c r="P29" i="59"/>
  <c r="M29" i="59"/>
  <c r="AH29" i="59" s="1"/>
  <c r="R32" i="27"/>
  <c r="AW32" i="27" s="1"/>
  <c r="S32" i="27"/>
  <c r="AX32" i="27" s="1"/>
  <c r="Q32" i="27"/>
  <c r="AV32" i="27" s="1"/>
  <c r="T32" i="27"/>
  <c r="AY32" i="27" s="1"/>
  <c r="V32" i="27"/>
  <c r="BA32" i="27" s="1"/>
  <c r="U32" i="27"/>
  <c r="AI27" i="57"/>
  <c r="AJ27" i="57"/>
  <c r="AL27" i="57"/>
  <c r="Y27" i="57"/>
  <c r="AG27" i="57"/>
  <c r="AH27" i="57"/>
  <c r="AK27" i="57"/>
  <c r="AR28" i="59"/>
  <c r="AL28" i="59"/>
  <c r="AO28" i="59"/>
  <c r="AI28" i="59"/>
  <c r="N29" i="59"/>
  <c r="K29" i="59"/>
  <c r="AF29" i="59" s="1"/>
  <c r="E31" i="34"/>
  <c r="AU23" i="59"/>
  <c r="S33" i="27" l="1"/>
  <c r="AX33" i="27" s="1"/>
  <c r="R33" i="27"/>
  <c r="AW33" i="27" s="1"/>
  <c r="V33" i="27"/>
  <c r="BA33" i="27" s="1"/>
  <c r="A35" i="27"/>
  <c r="O34" i="27"/>
  <c r="N30" i="59"/>
  <c r="K30" i="59"/>
  <c r="AF30" i="59" s="1"/>
  <c r="L30" i="59"/>
  <c r="AG30" i="59" s="1"/>
  <c r="O30" i="59"/>
  <c r="AL28" i="57"/>
  <c r="AK28" i="57"/>
  <c r="AH28" i="57"/>
  <c r="AI28" i="57"/>
  <c r="AJ28" i="57"/>
  <c r="AG28" i="57"/>
  <c r="Y28" i="57"/>
  <c r="AT29" i="59"/>
  <c r="AK29" i="59"/>
  <c r="AQ29" i="59"/>
  <c r="AN29" i="59"/>
  <c r="AO29" i="59"/>
  <c r="AI29" i="59"/>
  <c r="AR29" i="59"/>
  <c r="AL29" i="59"/>
  <c r="AZ32" i="27"/>
  <c r="BC32" i="27"/>
  <c r="AM29" i="59"/>
  <c r="AP29" i="59"/>
  <c r="AS29" i="59"/>
  <c r="AJ29" i="59"/>
  <c r="P30" i="59"/>
  <c r="M30" i="59"/>
  <c r="AH30" i="59" s="1"/>
  <c r="BC33" i="27"/>
  <c r="AZ33" i="27"/>
  <c r="E32" i="34"/>
  <c r="AU24" i="59"/>
  <c r="AC11" i="39"/>
  <c r="AD11" i="39" s="1"/>
  <c r="R34" i="27" l="1"/>
  <c r="AW34" i="27" s="1"/>
  <c r="S34" i="27"/>
  <c r="AX34" i="27" s="1"/>
  <c r="Q34" i="27"/>
  <c r="AV34" i="27" s="1"/>
  <c r="T34" i="27"/>
  <c r="AY34" i="27" s="1"/>
  <c r="V34" i="27"/>
  <c r="BA34" i="27" s="1"/>
  <c r="U34" i="27"/>
  <c r="A36" i="27"/>
  <c r="O35" i="27"/>
  <c r="AJ30" i="59"/>
  <c r="AM30" i="59"/>
  <c r="AS30" i="59"/>
  <c r="AP30" i="59"/>
  <c r="AK30" i="59"/>
  <c r="AN30" i="59"/>
  <c r="AQ30" i="59"/>
  <c r="AT30" i="59"/>
  <c r="AO30" i="59"/>
  <c r="AI30" i="59"/>
  <c r="AL30" i="59"/>
  <c r="AR30" i="59"/>
  <c r="E33" i="34"/>
  <c r="E34" i="34" s="1"/>
  <c r="AU25" i="59"/>
  <c r="BC34" i="27" l="1"/>
  <c r="AZ34" i="27"/>
  <c r="A37" i="27"/>
  <c r="O36" i="27"/>
  <c r="S35" i="27"/>
  <c r="AX35" i="27" s="1"/>
  <c r="Q35" i="27"/>
  <c r="AV35" i="27" s="1"/>
  <c r="R35" i="27"/>
  <c r="AW35" i="27" s="1"/>
  <c r="T35" i="27"/>
  <c r="AY35" i="27" s="1"/>
  <c r="V35" i="27"/>
  <c r="BA35" i="27" s="1"/>
  <c r="U35" i="27"/>
  <c r="E35" i="34"/>
  <c r="AU27" i="59"/>
  <c r="AB34" i="34"/>
  <c r="W34" i="34"/>
  <c r="R34" i="34"/>
  <c r="AU26" i="59"/>
  <c r="BC35" i="27" l="1"/>
  <c r="AZ35" i="27"/>
  <c r="Q36" i="27"/>
  <c r="AV36" i="27" s="1"/>
  <c r="T36" i="27"/>
  <c r="AY36" i="27" s="1"/>
  <c r="V36" i="27"/>
  <c r="BA36" i="27" s="1"/>
  <c r="U36" i="27"/>
  <c r="R36" i="27"/>
  <c r="AW36" i="27" s="1"/>
  <c r="S36" i="27"/>
  <c r="AX36" i="27" s="1"/>
  <c r="A38" i="27"/>
  <c r="O37" i="27"/>
  <c r="AX27" i="59"/>
  <c r="BE27" i="59" s="1"/>
  <c r="AV27" i="59"/>
  <c r="BC27" i="59" s="1"/>
  <c r="AW27" i="59"/>
  <c r="BD27" i="59" s="1"/>
  <c r="E36" i="34"/>
  <c r="AU28" i="59"/>
  <c r="W35" i="34"/>
  <c r="AB35" i="34"/>
  <c r="R35" i="34"/>
  <c r="AC12" i="39"/>
  <c r="Q37" i="27" l="1"/>
  <c r="AV37" i="27" s="1"/>
  <c r="T37" i="27"/>
  <c r="AY37" i="27" s="1"/>
  <c r="V37" i="27"/>
  <c r="BA37" i="27" s="1"/>
  <c r="R37" i="27"/>
  <c r="AW37" i="27" s="1"/>
  <c r="U37" i="27"/>
  <c r="S37" i="27"/>
  <c r="AX37" i="27" s="1"/>
  <c r="BC36" i="27"/>
  <c r="AZ36" i="27"/>
  <c r="A39" i="27"/>
  <c r="O38" i="27"/>
  <c r="AV28" i="59"/>
  <c r="BC28" i="59" s="1"/>
  <c r="AX28" i="59"/>
  <c r="BE28" i="59" s="1"/>
  <c r="AW28" i="59"/>
  <c r="BD28" i="59" s="1"/>
  <c r="BF27" i="59"/>
  <c r="BR27" i="59"/>
  <c r="BL27" i="59"/>
  <c r="BO27" i="59"/>
  <c r="BI27" i="59"/>
  <c r="E37" i="34"/>
  <c r="AU29" i="59"/>
  <c r="W36" i="34"/>
  <c r="AB36" i="34"/>
  <c r="R36" i="34"/>
  <c r="BG27" i="59"/>
  <c r="BJ27" i="59"/>
  <c r="BP27" i="59"/>
  <c r="BS27" i="59"/>
  <c r="BM27" i="59"/>
  <c r="BH27" i="59"/>
  <c r="BQ27" i="59"/>
  <c r="BK27" i="59"/>
  <c r="BN27" i="59"/>
  <c r="BT27" i="59"/>
  <c r="AD12" i="39"/>
  <c r="A40" i="27" l="1"/>
  <c r="O39" i="27"/>
  <c r="BC37" i="27"/>
  <c r="AZ37" i="27"/>
  <c r="Q38" i="27"/>
  <c r="AV38" i="27" s="1"/>
  <c r="S38" i="27"/>
  <c r="AX38" i="27" s="1"/>
  <c r="T38" i="27"/>
  <c r="AY38" i="27" s="1"/>
  <c r="V38" i="27"/>
  <c r="BA38" i="27" s="1"/>
  <c r="R38" i="27"/>
  <c r="AW38" i="27" s="1"/>
  <c r="U38" i="27"/>
  <c r="AX29" i="59"/>
  <c r="BE29" i="59" s="1"/>
  <c r="AV29" i="59"/>
  <c r="BC29" i="59" s="1"/>
  <c r="AW29" i="59"/>
  <c r="BD29" i="59" s="1"/>
  <c r="E38" i="34"/>
  <c r="E39" i="34" s="1"/>
  <c r="AU30" i="59"/>
  <c r="AB37" i="34"/>
  <c r="W37" i="34"/>
  <c r="R37" i="34"/>
  <c r="BG28" i="59"/>
  <c r="BP28" i="59"/>
  <c r="BJ28" i="59"/>
  <c r="BS28" i="59"/>
  <c r="BM28" i="59"/>
  <c r="BH28" i="59"/>
  <c r="BK28" i="59"/>
  <c r="BT28" i="59"/>
  <c r="BQ28" i="59"/>
  <c r="BN28" i="59"/>
  <c r="BF28" i="59"/>
  <c r="BI28" i="59"/>
  <c r="BO28" i="59"/>
  <c r="BR28" i="59"/>
  <c r="BL28" i="59"/>
  <c r="AC13" i="39"/>
  <c r="AD13" i="39" s="1"/>
  <c r="E40" i="34" l="1"/>
  <c r="AB39" i="34"/>
  <c r="W39" i="34"/>
  <c r="R39" i="34"/>
  <c r="BC38" i="27"/>
  <c r="AZ38" i="27"/>
  <c r="T39" i="27"/>
  <c r="AY39" i="27" s="1"/>
  <c r="R39" i="27"/>
  <c r="AW39" i="27" s="1"/>
  <c r="S39" i="27"/>
  <c r="AX39" i="27" s="1"/>
  <c r="U39" i="27"/>
  <c r="Q39" i="27"/>
  <c r="AV39" i="27" s="1"/>
  <c r="V39" i="27"/>
  <c r="BA39" i="27" s="1"/>
  <c r="A41" i="27"/>
  <c r="O40" i="27"/>
  <c r="AX30" i="59"/>
  <c r="BE30" i="59" s="1"/>
  <c r="AV30" i="59"/>
  <c r="BC30" i="59" s="1"/>
  <c r="AW30" i="59"/>
  <c r="BD30" i="59" s="1"/>
  <c r="R38" i="34"/>
  <c r="W38" i="34"/>
  <c r="AB38" i="34"/>
  <c r="BG29" i="59"/>
  <c r="BP29" i="59"/>
  <c r="BS29" i="59"/>
  <c r="BM29" i="59"/>
  <c r="BJ29" i="59"/>
  <c r="BF29" i="59"/>
  <c r="BL29" i="59"/>
  <c r="BO29" i="59"/>
  <c r="BR29" i="59"/>
  <c r="BI29" i="59"/>
  <c r="BH29" i="59"/>
  <c r="BN29" i="59"/>
  <c r="BQ29" i="59"/>
  <c r="BK29" i="59"/>
  <c r="BT29" i="59"/>
  <c r="AC14" i="39"/>
  <c r="AD14" i="39" s="1"/>
  <c r="E41" i="34" l="1"/>
  <c r="W40" i="34"/>
  <c r="AB40" i="34"/>
  <c r="R40" i="34"/>
  <c r="U40" i="27"/>
  <c r="R40" i="27"/>
  <c r="AW40" i="27" s="1"/>
  <c r="T40" i="27"/>
  <c r="AY40" i="27" s="1"/>
  <c r="Q40" i="27"/>
  <c r="AV40" i="27" s="1"/>
  <c r="S40" i="27"/>
  <c r="AX40" i="27" s="1"/>
  <c r="V40" i="27"/>
  <c r="BA40" i="27" s="1"/>
  <c r="O41" i="27"/>
  <c r="A42" i="27"/>
  <c r="BC39" i="27"/>
  <c r="AZ39" i="27"/>
  <c r="BG30" i="59"/>
  <c r="BS30" i="59"/>
  <c r="BM30" i="59"/>
  <c r="BJ30" i="59"/>
  <c r="BP30" i="59"/>
  <c r="BF30" i="59"/>
  <c r="BO30" i="59"/>
  <c r="BR30" i="59"/>
  <c r="BL30" i="59"/>
  <c r="BI30" i="59"/>
  <c r="BH30" i="59"/>
  <c r="BQ30" i="59"/>
  <c r="BT30" i="59"/>
  <c r="BK30" i="59"/>
  <c r="BN30" i="59"/>
  <c r="AC15" i="39"/>
  <c r="AD15" i="39" s="1"/>
  <c r="E42" i="34" l="1"/>
  <c r="AB41" i="34"/>
  <c r="R41" i="34"/>
  <c r="W41" i="34"/>
  <c r="O42" i="27"/>
  <c r="A43" i="27"/>
  <c r="O43" i="27" s="1"/>
  <c r="Q41" i="27"/>
  <c r="AV41" i="27" s="1"/>
  <c r="U41" i="27"/>
  <c r="S41" i="27"/>
  <c r="AX41" i="27" s="1"/>
  <c r="V41" i="27"/>
  <c r="BA41" i="27" s="1"/>
  <c r="T41" i="27"/>
  <c r="AY41" i="27" s="1"/>
  <c r="R41" i="27"/>
  <c r="AW41" i="27" s="1"/>
  <c r="BC40" i="27"/>
  <c r="AZ40" i="27"/>
  <c r="AC16" i="39"/>
  <c r="AD16" i="39" s="1"/>
  <c r="E43" i="34" l="1"/>
  <c r="AB42" i="34"/>
  <c r="W42" i="34"/>
  <c r="R42" i="34"/>
  <c r="Q42" i="27"/>
  <c r="AV42" i="27" s="1"/>
  <c r="T42" i="27"/>
  <c r="AY42" i="27" s="1"/>
  <c r="S42" i="27"/>
  <c r="AX42" i="27" s="1"/>
  <c r="V42" i="27"/>
  <c r="BA42" i="27" s="1"/>
  <c r="R42" i="27"/>
  <c r="AW42" i="27" s="1"/>
  <c r="U42" i="27"/>
  <c r="AZ41" i="27"/>
  <c r="BC41" i="27"/>
  <c r="Q43" i="27"/>
  <c r="AV43" i="27" s="1"/>
  <c r="T43" i="27"/>
  <c r="AY43" i="27" s="1"/>
  <c r="U43" i="27"/>
  <c r="V43" i="27"/>
  <c r="BA43" i="27" s="1"/>
  <c r="S43" i="27"/>
  <c r="AX43" i="27" s="1"/>
  <c r="R43" i="27"/>
  <c r="AW43" i="27" s="1"/>
  <c r="AC17" i="39"/>
  <c r="AD17" i="39" s="1"/>
  <c r="E44" i="34" l="1"/>
  <c r="AB43" i="34"/>
  <c r="R43" i="34"/>
  <c r="W43" i="34"/>
  <c r="BC43" i="27"/>
  <c r="AZ43" i="27"/>
  <c r="BC42" i="27"/>
  <c r="AZ42" i="27"/>
  <c r="AC18" i="39"/>
  <c r="AD18" i="39" s="1"/>
  <c r="E45" i="34" l="1"/>
  <c r="R44" i="34"/>
  <c r="AB44" i="34"/>
  <c r="W44" i="34"/>
  <c r="AC19" i="39"/>
  <c r="AD19" i="39" s="1"/>
  <c r="AB45" i="34" l="1"/>
  <c r="R45" i="34"/>
  <c r="W45" i="34"/>
  <c r="AC20" i="39"/>
  <c r="AD20" i="39" s="1"/>
  <c r="AC21" i="39" l="1"/>
  <c r="AD21" i="39" s="1"/>
  <c r="AC22" i="39" l="1"/>
  <c r="AD22" i="39" s="1"/>
  <c r="AC23" i="39" l="1"/>
  <c r="AD23" i="39" s="1"/>
  <c r="AC24" i="39" l="1"/>
  <c r="AD24" i="39" s="1"/>
  <c r="AC25" i="39" l="1"/>
  <c r="AD25" i="39" s="1"/>
  <c r="CW84" i="2" l="1"/>
  <c r="AC26" i="39" l="1"/>
  <c r="AD26" i="39" s="1"/>
  <c r="C26" i="2" l="1"/>
  <c r="C20" i="2"/>
  <c r="C25" i="2"/>
  <c r="C32" i="2"/>
  <c r="C35" i="2"/>
  <c r="C38" i="2"/>
  <c r="C29" i="2"/>
  <c r="C21" i="2"/>
  <c r="C27" i="2"/>
  <c r="C33" i="2"/>
  <c r="C40" i="2"/>
  <c r="C39" i="2"/>
  <c r="C37" i="2"/>
  <c r="C18" i="2"/>
  <c r="C31" i="2"/>
  <c r="C22" i="2"/>
  <c r="C28" i="2"/>
  <c r="C19" i="2"/>
  <c r="C42" i="2"/>
  <c r="C34" i="2"/>
  <c r="C41" i="2"/>
  <c r="AF327" i="1"/>
  <c r="L118" i="70" s="1"/>
  <c r="T153" i="1"/>
  <c r="AF153" i="1" s="1"/>
  <c r="AG247" i="1"/>
  <c r="M38" i="70" s="1"/>
  <c r="AE38" i="70" s="1"/>
  <c r="AF223" i="1"/>
  <c r="L14" i="70" s="1"/>
  <c r="C23" i="2"/>
  <c r="AG328" i="1"/>
  <c r="M119" i="70" s="1"/>
  <c r="AE119" i="70" s="1"/>
  <c r="AF335" i="1"/>
  <c r="L126" i="70" s="1"/>
  <c r="AE283" i="1"/>
  <c r="K74" i="70" s="1"/>
  <c r="AF225" i="1"/>
  <c r="L16" i="70" s="1"/>
  <c r="AE274" i="1"/>
  <c r="K65" i="70" s="1"/>
  <c r="T134" i="1"/>
  <c r="AE324" i="1"/>
  <c r="K115" i="70" s="1"/>
  <c r="AE347" i="1"/>
  <c r="K138" i="70" s="1"/>
  <c r="U196" i="1"/>
  <c r="AG196" i="1" s="1"/>
  <c r="AE223" i="1"/>
  <c r="K14" i="70" s="1"/>
  <c r="AG376" i="1"/>
  <c r="M167" i="70" s="1"/>
  <c r="AE167" i="70" s="1"/>
  <c r="S199" i="1"/>
  <c r="AE199" i="1" s="1"/>
  <c r="C30" i="2"/>
  <c r="S129" i="1"/>
  <c r="AE327" i="1"/>
  <c r="K118" i="70" s="1"/>
  <c r="T180" i="1"/>
  <c r="AF180" i="1" s="1"/>
  <c r="T196" i="1"/>
  <c r="AE376" i="1"/>
  <c r="K167" i="70" s="1"/>
  <c r="AE281" i="1"/>
  <c r="K72" i="70" s="1"/>
  <c r="AG283" i="1"/>
  <c r="M74" i="70" s="1"/>
  <c r="AE74" i="70" s="1"/>
  <c r="AG304" i="1"/>
  <c r="M95" i="70" s="1"/>
  <c r="AE95" i="70" s="1"/>
  <c r="AF318" i="1"/>
  <c r="L109" i="70" s="1"/>
  <c r="AE247" i="1"/>
  <c r="K38" i="70" s="1"/>
  <c r="AE302" i="1"/>
  <c r="K93" i="70" s="1"/>
  <c r="S167" i="1"/>
  <c r="AE167" i="1" s="1"/>
  <c r="S157" i="1"/>
  <c r="AE157" i="1" s="1"/>
  <c r="U157" i="1"/>
  <c r="AE329" i="1"/>
  <c r="K120" i="70" s="1"/>
  <c r="U199" i="1"/>
  <c r="AG199" i="1" s="1"/>
  <c r="U144" i="1"/>
  <c r="AG333" i="1"/>
  <c r="M124" i="70" s="1"/>
  <c r="AE124" i="70" s="1"/>
  <c r="AG327" i="1"/>
  <c r="M118" i="70" s="1"/>
  <c r="AE118" i="70" s="1"/>
  <c r="AG343" i="1"/>
  <c r="M134" i="70" s="1"/>
  <c r="AE134" i="70" s="1"/>
  <c r="AG253" i="1"/>
  <c r="M44" i="70" s="1"/>
  <c r="U189" i="1"/>
  <c r="AG189" i="1" s="1"/>
  <c r="AG217" i="1"/>
  <c r="M8" i="70" s="1"/>
  <c r="AE238" i="1"/>
  <c r="K29" i="70" s="1"/>
  <c r="U177" i="1"/>
  <c r="AG177" i="1" s="1"/>
  <c r="S190" i="1"/>
  <c r="AE190" i="1" s="1"/>
  <c r="T175" i="1"/>
  <c r="S187" i="1"/>
  <c r="AE187" i="1" s="1"/>
  <c r="AF369" i="1"/>
  <c r="L160" i="70" s="1"/>
  <c r="AG324" i="1"/>
  <c r="M115" i="70" s="1"/>
  <c r="AE115" i="70" s="1"/>
  <c r="AE242" i="1"/>
  <c r="K33" i="70" s="1"/>
  <c r="AG223" i="1"/>
  <c r="M14" i="70" s="1"/>
  <c r="AE14" i="70" s="1"/>
  <c r="AE276" i="1"/>
  <c r="K67" i="70" s="1"/>
  <c r="AG238" i="1"/>
  <c r="M29" i="70" s="1"/>
  <c r="AE29" i="70" s="1"/>
  <c r="C24" i="2"/>
  <c r="T189" i="1"/>
  <c r="S204" i="1"/>
  <c r="AE204" i="1" s="1"/>
  <c r="AG227" i="1"/>
  <c r="M18" i="70" s="1"/>
  <c r="AE18" i="70" s="1"/>
  <c r="AG276" i="1"/>
  <c r="M67" i="70" s="1"/>
  <c r="AE67" i="70" s="1"/>
  <c r="AG314" i="1"/>
  <c r="M105" i="70" s="1"/>
  <c r="AE105" i="70" s="1"/>
  <c r="S179" i="1"/>
  <c r="AE179" i="1" s="1"/>
  <c r="S160" i="1"/>
  <c r="AE160" i="1" s="1"/>
  <c r="U141" i="1"/>
  <c r="AE353" i="1"/>
  <c r="K144" i="70" s="1"/>
  <c r="AG346" i="1"/>
  <c r="M137" i="70" s="1"/>
  <c r="AE137" i="70" s="1"/>
  <c r="S175" i="1"/>
  <c r="AE175" i="1" s="1"/>
  <c r="U167" i="1"/>
  <c r="AG167" i="1" s="1"/>
  <c r="AE319" i="1"/>
  <c r="K110" i="70" s="1"/>
  <c r="AG364" i="1"/>
  <c r="M155" i="70" s="1"/>
  <c r="AE155" i="70" s="1"/>
  <c r="AE217" i="1"/>
  <c r="K8" i="70" s="1"/>
  <c r="AF242" i="1"/>
  <c r="L33" i="70" s="1"/>
  <c r="AG281" i="1"/>
  <c r="M72" i="70" s="1"/>
  <c r="AE72" i="70" s="1"/>
  <c r="T205" i="1"/>
  <c r="C36" i="2"/>
  <c r="AF330" i="1"/>
  <c r="L121" i="70" s="1"/>
  <c r="AG222" i="1"/>
  <c r="M13" i="70" s="1"/>
  <c r="AE13" i="70" s="1"/>
  <c r="U195" i="1"/>
  <c r="AG195" i="1" s="1"/>
  <c r="AE312" i="1"/>
  <c r="K103" i="70" s="1"/>
  <c r="AF336" i="1"/>
  <c r="L127" i="70" s="1"/>
  <c r="AF261" i="1"/>
  <c r="L52" i="70" s="1"/>
  <c r="U169" i="1"/>
  <c r="AG169" i="1" s="1"/>
  <c r="AG287" i="1"/>
  <c r="M78" i="70" s="1"/>
  <c r="AE78" i="70" s="1"/>
  <c r="U202" i="1"/>
  <c r="AG202" i="1" s="1"/>
  <c r="AG258" i="1"/>
  <c r="M49" i="70" s="1"/>
  <c r="AE49" i="70" s="1"/>
  <c r="AG315" i="1"/>
  <c r="M106" i="70" s="1"/>
  <c r="AE106" i="70" s="1"/>
  <c r="S182" i="1"/>
  <c r="AE182" i="1" s="1"/>
  <c r="AE343" i="1"/>
  <c r="K134" i="70" s="1"/>
  <c r="AE325" i="1"/>
  <c r="K116" i="70" s="1"/>
  <c r="AG297" i="1"/>
  <c r="M88" i="70" s="1"/>
  <c r="AE88" i="70" s="1"/>
  <c r="AE297" i="1"/>
  <c r="K88" i="70" s="1"/>
  <c r="AG233" i="1"/>
  <c r="M24" i="70" s="1"/>
  <c r="AE24" i="70" s="1"/>
  <c r="AG239" i="1"/>
  <c r="M30" i="70" s="1"/>
  <c r="AE30" i="70" s="1"/>
  <c r="AE328" i="1"/>
  <c r="K119" i="70" s="1"/>
  <c r="U175" i="1"/>
  <c r="AG175" i="1" s="1"/>
  <c r="S196" i="1"/>
  <c r="AE196" i="1" s="1"/>
  <c r="T144" i="1"/>
  <c r="AF297" i="1"/>
  <c r="L88" i="70" s="1"/>
  <c r="T177" i="1"/>
  <c r="AG321" i="1"/>
  <c r="M112" i="70" s="1"/>
  <c r="AE112" i="70" s="1"/>
  <c r="AG267" i="1"/>
  <c r="M58" i="70" s="1"/>
  <c r="AE58" i="70" s="1"/>
  <c r="U180" i="1"/>
  <c r="AG180" i="1" s="1"/>
  <c r="AG347" i="1"/>
  <c r="M138" i="70" s="1"/>
  <c r="AE138" i="70" s="1"/>
  <c r="AG294" i="1"/>
  <c r="M85" i="70" s="1"/>
  <c r="AE85" i="70" s="1"/>
  <c r="AG235" i="1"/>
  <c r="M26" i="70" s="1"/>
  <c r="AE26" i="70" s="1"/>
  <c r="T171" i="1"/>
  <c r="AF247" i="1"/>
  <c r="L38" i="70" s="1"/>
  <c r="S158" i="1"/>
  <c r="AE158" i="1" s="1"/>
  <c r="S189" i="1"/>
  <c r="AE189" i="1" s="1"/>
  <c r="AF346" i="1"/>
  <c r="L137" i="70" s="1"/>
  <c r="AG325" i="1"/>
  <c r="M116" i="70" s="1"/>
  <c r="S153" i="1"/>
  <c r="AE153" i="1" s="1"/>
  <c r="AF321" i="1"/>
  <c r="L112" i="70" s="1"/>
  <c r="AF302" i="1"/>
  <c r="L93" i="70" s="1"/>
  <c r="AE267" i="1"/>
  <c r="K58" i="70" s="1"/>
  <c r="U205" i="1"/>
  <c r="AG205" i="1" s="1"/>
  <c r="S205" i="1"/>
  <c r="AE205" i="1" s="1"/>
  <c r="AF228" i="1"/>
  <c r="L19" i="70" s="1"/>
  <c r="AG361" i="1"/>
  <c r="M152" i="70" s="1"/>
  <c r="AG254" i="1"/>
  <c r="M45" i="70" s="1"/>
  <c r="AE45" i="70" s="1"/>
  <c r="T147" i="1"/>
  <c r="AG302" i="1"/>
  <c r="M93" i="70" s="1"/>
  <c r="AE93" i="70" s="1"/>
  <c r="AE321" i="1"/>
  <c r="K112" i="70" s="1"/>
  <c r="S180" i="1"/>
  <c r="AE180" i="1" s="1"/>
  <c r="T202" i="1"/>
  <c r="AF202" i="1" s="1"/>
  <c r="AG242" i="1"/>
  <c r="M33" i="70" s="1"/>
  <c r="AE33" i="70" s="1"/>
  <c r="S202" i="1"/>
  <c r="AE202" i="1" s="1"/>
  <c r="AE335" i="1"/>
  <c r="K126" i="70" s="1"/>
  <c r="AG275" i="1"/>
  <c r="M66" i="70" s="1"/>
  <c r="AE66" i="70" s="1"/>
  <c r="AF333" i="1"/>
  <c r="L124" i="70" s="1"/>
  <c r="AG214" i="1"/>
  <c r="M5" i="70" s="1"/>
  <c r="AE5" i="70" s="1"/>
  <c r="AE214" i="1"/>
  <c r="K5" i="70" s="1"/>
  <c r="AF316" i="1"/>
  <c r="L107" i="70" s="1"/>
  <c r="AE317" i="1"/>
  <c r="K108" i="70" s="1"/>
  <c r="AG307" i="1"/>
  <c r="M98" i="70" s="1"/>
  <c r="AE98" i="70" s="1"/>
  <c r="AG245" i="1"/>
  <c r="M36" i="70" s="1"/>
  <c r="AE36" i="70" s="1"/>
  <c r="U182" i="1"/>
  <c r="AG182" i="1" s="1"/>
  <c r="AE233" i="1"/>
  <c r="K24" i="70" s="1"/>
  <c r="U165" i="1"/>
  <c r="AG271" i="1"/>
  <c r="M62" i="70" s="1"/>
  <c r="AE62" i="70" s="1"/>
  <c r="AE241" i="1"/>
  <c r="K32" i="70" s="1"/>
  <c r="AE268" i="1"/>
  <c r="K59" i="70" s="1"/>
  <c r="AG298" i="1"/>
  <c r="M89" i="70" s="1"/>
  <c r="AE89" i="70" s="1"/>
  <c r="U151" i="1"/>
  <c r="U209" i="1"/>
  <c r="AG209" i="1" s="1"/>
  <c r="AG337" i="1"/>
  <c r="M128" i="70" s="1"/>
  <c r="AG318" i="1"/>
  <c r="M109" i="70" s="1"/>
  <c r="AE109" i="70" s="1"/>
  <c r="AE222" i="1"/>
  <c r="K13" i="70" s="1"/>
  <c r="U153" i="1"/>
  <c r="T182" i="1"/>
  <c r="AF182" i="1" s="1"/>
  <c r="AE333" i="1"/>
  <c r="K124" i="70" s="1"/>
  <c r="AE228" i="1"/>
  <c r="K19" i="70" s="1"/>
  <c r="AG319" i="1"/>
  <c r="M110" i="70" s="1"/>
  <c r="AE110" i="70" s="1"/>
  <c r="AG335" i="1"/>
  <c r="M126" i="70" s="1"/>
  <c r="AE126" i="70" s="1"/>
  <c r="AE239" i="1"/>
  <c r="K30" i="70" s="1"/>
  <c r="T179" i="1"/>
  <c r="AF245" i="1"/>
  <c r="L36" i="70" s="1"/>
  <c r="AE294" i="1"/>
  <c r="K85" i="70" s="1"/>
  <c r="AE287" i="1"/>
  <c r="K78" i="70" s="1"/>
  <c r="AE288" i="1"/>
  <c r="K79" i="70" s="1"/>
  <c r="AG299" i="1"/>
  <c r="M90" i="70" s="1"/>
  <c r="AE90" i="70" s="1"/>
  <c r="T190" i="1"/>
  <c r="AG313" i="1"/>
  <c r="M104" i="70" s="1"/>
  <c r="AG261" i="1"/>
  <c r="M52" i="70" s="1"/>
  <c r="AE52" i="70" s="1"/>
  <c r="T151" i="1"/>
  <c r="AF151" i="1" s="1"/>
  <c r="AG278" i="1"/>
  <c r="M69" i="70" s="1"/>
  <c r="AE69" i="70" s="1"/>
  <c r="AG273" i="1"/>
  <c r="M64" i="70" s="1"/>
  <c r="AE64" i="70" s="1"/>
  <c r="AE316" i="1"/>
  <c r="K107" i="70" s="1"/>
  <c r="S183" i="1"/>
  <c r="AE183" i="1" s="1"/>
  <c r="S145" i="1"/>
  <c r="AE145" i="1" s="1"/>
  <c r="AE355" i="1"/>
  <c r="K146" i="70" s="1"/>
  <c r="S185" i="1"/>
  <c r="AE185" i="1" s="1"/>
  <c r="AG255" i="1"/>
  <c r="M46" i="70" s="1"/>
  <c r="AE46" i="70" s="1"/>
  <c r="AG228" i="1"/>
  <c r="M19" i="70" s="1"/>
  <c r="AE19" i="70" s="1"/>
  <c r="AE243" i="1"/>
  <c r="K34" i="70" s="1"/>
  <c r="U185" i="1"/>
  <c r="AG185" i="1" s="1"/>
  <c r="AE363" i="1"/>
  <c r="K154" i="70" s="1"/>
  <c r="AF307" i="1"/>
  <c r="L98" i="70" s="1"/>
  <c r="AE256" i="1"/>
  <c r="K47" i="70" s="1"/>
  <c r="S181" i="1"/>
  <c r="AE181" i="1" s="1"/>
  <c r="U134" i="1"/>
  <c r="T141" i="1"/>
  <c r="AF141" i="1" s="1"/>
  <c r="AE250" i="1"/>
  <c r="K41" i="70" s="1"/>
  <c r="AE369" i="1"/>
  <c r="K160" i="70" s="1"/>
  <c r="S210" i="1"/>
  <c r="AE210" i="1" s="1"/>
  <c r="AG295" i="1"/>
  <c r="M86" i="70" s="1"/>
  <c r="AE86" i="70" s="1"/>
  <c r="AG240" i="1"/>
  <c r="M31" i="70" s="1"/>
  <c r="AE31" i="70" s="1"/>
  <c r="AF246" i="1"/>
  <c r="L37" i="70" s="1"/>
  <c r="AG241" i="1"/>
  <c r="M32" i="70" s="1"/>
  <c r="AG300" i="1"/>
  <c r="M91" i="70" s="1"/>
  <c r="AE91" i="70" s="1"/>
  <c r="AG265" i="1"/>
  <c r="M56" i="70" s="1"/>
  <c r="AE318" i="1"/>
  <c r="K109" i="70" s="1"/>
  <c r="S172" i="1"/>
  <c r="AE172" i="1" s="1"/>
  <c r="AG282" i="1"/>
  <c r="M73" i="70" s="1"/>
  <c r="AE73" i="70" s="1"/>
  <c r="S142" i="1"/>
  <c r="AE142" i="1" s="1"/>
  <c r="AG279" i="1"/>
  <c r="M70" i="70" s="1"/>
  <c r="AE70" i="70" s="1"/>
  <c r="AF268" i="1"/>
  <c r="L59" i="70" s="1"/>
  <c r="AF347" i="1"/>
  <c r="L138" i="70" s="1"/>
  <c r="U171" i="1"/>
  <c r="AG171" i="1" s="1"/>
  <c r="T185" i="1"/>
  <c r="AF185" i="1" s="1"/>
  <c r="AE301" i="1"/>
  <c r="K92" i="70" s="1"/>
  <c r="AG264" i="1"/>
  <c r="M55" i="70" s="1"/>
  <c r="AE55" i="70" s="1"/>
  <c r="AF343" i="1"/>
  <c r="L134" i="70" s="1"/>
  <c r="AE264" i="1"/>
  <c r="K55" i="70" s="1"/>
  <c r="U201" i="1"/>
  <c r="AG201" i="1" s="1"/>
  <c r="AE307" i="1"/>
  <c r="K98" i="70" s="1"/>
  <c r="U207" i="1"/>
  <c r="AG207" i="1" s="1"/>
  <c r="S151" i="1"/>
  <c r="AE151" i="1" s="1"/>
  <c r="T167" i="1"/>
  <c r="AF167" i="1" s="1"/>
  <c r="U147" i="1"/>
  <c r="AG147" i="1" s="1"/>
  <c r="AG345" i="1"/>
  <c r="M136" i="70" s="1"/>
  <c r="AE136" i="70" s="1"/>
  <c r="T194" i="1"/>
  <c r="AE315" i="1"/>
  <c r="K106" i="70" s="1"/>
  <c r="S150" i="1"/>
  <c r="AE150" i="1" s="1"/>
  <c r="AE245" i="1"/>
  <c r="K36" i="70" s="1"/>
  <c r="AG355" i="1"/>
  <c r="M146" i="70" s="1"/>
  <c r="AE146" i="70" s="1"/>
  <c r="AG353" i="1"/>
  <c r="M144" i="70" s="1"/>
  <c r="AE144" i="70" s="1"/>
  <c r="T158" i="1"/>
  <c r="AF158" i="1" s="1"/>
  <c r="U158" i="1"/>
  <c r="AG158" i="1" s="1"/>
  <c r="U138" i="1"/>
  <c r="AF269" i="1"/>
  <c r="L60" i="70" s="1"/>
  <c r="AG286" i="1"/>
  <c r="M77" i="70" s="1"/>
  <c r="AE77" i="70" s="1"/>
  <c r="U208" i="1"/>
  <c r="AG208" i="1" s="1"/>
  <c r="T199" i="1"/>
  <c r="AF199" i="1" s="1"/>
  <c r="AG252" i="1"/>
  <c r="M43" i="70" s="1"/>
  <c r="AE43" i="70" s="1"/>
  <c r="S186" i="1"/>
  <c r="AE186" i="1" s="1"/>
  <c r="T186" i="1"/>
  <c r="AF186" i="1" s="1"/>
  <c r="S209" i="1"/>
  <c r="AE209" i="1" s="1"/>
  <c r="S168" i="1"/>
  <c r="AE168" i="1" s="1"/>
  <c r="T139" i="1"/>
  <c r="AE330" i="1"/>
  <c r="K121" i="70" s="1"/>
  <c r="AG293" i="1"/>
  <c r="M84" i="70" s="1"/>
  <c r="AE84" i="70" s="1"/>
  <c r="AG234" i="1"/>
  <c r="M25" i="70" s="1"/>
  <c r="AE25" i="70" s="1"/>
  <c r="AF232" i="1"/>
  <c r="L23" i="70" s="1"/>
  <c r="T149" i="1"/>
  <c r="AF149" i="1" s="1"/>
  <c r="AE280" i="1"/>
  <c r="K71" i="70" s="1"/>
  <c r="U204" i="1"/>
  <c r="AG204" i="1" s="1"/>
  <c r="T146" i="1"/>
  <c r="AF146" i="1" s="1"/>
  <c r="S147" i="1"/>
  <c r="AE147" i="1" s="1"/>
  <c r="T159" i="1"/>
  <c r="U130" i="1"/>
  <c r="S159" i="1"/>
  <c r="AE159" i="1" s="1"/>
  <c r="S171" i="1"/>
  <c r="AE171" i="1" s="1"/>
  <c r="AE265" i="1"/>
  <c r="K56" i="70" s="1"/>
  <c r="U168" i="1"/>
  <c r="AE275" i="1"/>
  <c r="K66" i="70" s="1"/>
  <c r="AG342" i="1"/>
  <c r="M133" i="70" s="1"/>
  <c r="AE133" i="70" s="1"/>
  <c r="AE246" i="1"/>
  <c r="K37" i="70" s="1"/>
  <c r="AE364" i="1"/>
  <c r="K155" i="70" s="1"/>
  <c r="AE237" i="1"/>
  <c r="K28" i="70" s="1"/>
  <c r="AE249" i="1"/>
  <c r="K40" i="70" s="1"/>
  <c r="AE292" i="1"/>
  <c r="K83" i="70" s="1"/>
  <c r="T162" i="1"/>
  <c r="S161" i="1"/>
  <c r="AE161" i="1" s="1"/>
  <c r="AG250" i="1"/>
  <c r="M41" i="70" s="1"/>
  <c r="AE41" i="70" s="1"/>
  <c r="S207" i="1"/>
  <c r="AE207" i="1" s="1"/>
  <c r="S135" i="1"/>
  <c r="S170" i="1"/>
  <c r="AE170" i="1" s="1"/>
  <c r="AE349" i="1"/>
  <c r="K140" i="70" s="1"/>
  <c r="AE227" i="1"/>
  <c r="K18" i="70" s="1"/>
  <c r="T160" i="1"/>
  <c r="T130" i="1"/>
  <c r="AE282" i="1"/>
  <c r="K73" i="70" s="1"/>
  <c r="AE340" i="1"/>
  <c r="K131" i="70" s="1"/>
  <c r="T172" i="1"/>
  <c r="S208" i="1"/>
  <c r="AE208" i="1" s="1"/>
  <c r="U133" i="1"/>
  <c r="AG290" i="1"/>
  <c r="M81" i="70" s="1"/>
  <c r="AE81" i="70" s="1"/>
  <c r="AG311" i="1"/>
  <c r="M102" i="70" s="1"/>
  <c r="AE102" i="70" s="1"/>
  <c r="S191" i="1"/>
  <c r="AE191" i="1" s="1"/>
  <c r="S211" i="1"/>
  <c r="AE211" i="1" s="1"/>
  <c r="AF351" i="1"/>
  <c r="L142" i="70" s="1"/>
  <c r="AG322" i="1"/>
  <c r="M113" i="70" s="1"/>
  <c r="AE113" i="70" s="1"/>
  <c r="AE215" i="1"/>
  <c r="K6" i="70" s="1"/>
  <c r="S169" i="1"/>
  <c r="AE169" i="1" s="1"/>
  <c r="AE234" i="1"/>
  <c r="K25" i="70" s="1"/>
  <c r="T138" i="1"/>
  <c r="AE269" i="1"/>
  <c r="K60" i="70" s="1"/>
  <c r="AE331" i="1"/>
  <c r="K122" i="70" s="1"/>
  <c r="AF364" i="1"/>
  <c r="L155" i="70" s="1"/>
  <c r="AE341" i="1"/>
  <c r="K132" i="70" s="1"/>
  <c r="T207" i="1"/>
  <c r="AE289" i="1"/>
  <c r="K80" i="70" s="1"/>
  <c r="AG259" i="1"/>
  <c r="M50" i="70" s="1"/>
  <c r="AE50" i="70" s="1"/>
  <c r="U155" i="1"/>
  <c r="S139" i="1"/>
  <c r="AG305" i="1"/>
  <c r="M96" i="70" s="1"/>
  <c r="AE96" i="70" s="1"/>
  <c r="AG310" i="1"/>
  <c r="M101" i="70" s="1"/>
  <c r="AE101" i="70" s="1"/>
  <c r="AF294" i="1"/>
  <c r="L85" i="70" s="1"/>
  <c r="AG256" i="1"/>
  <c r="M47" i="70" s="1"/>
  <c r="AE47" i="70" s="1"/>
  <c r="U149" i="1"/>
  <c r="U161" i="1"/>
  <c r="T181" i="1"/>
  <c r="AF181" i="1" s="1"/>
  <c r="AE351" i="1"/>
  <c r="K142" i="70" s="1"/>
  <c r="AG309" i="1"/>
  <c r="M100" i="70" s="1"/>
  <c r="AE100" i="70" s="1"/>
  <c r="T184" i="1"/>
  <c r="AF184" i="1" s="1"/>
  <c r="AG249" i="1"/>
  <c r="M40" i="70" s="1"/>
  <c r="AE40" i="70" s="1"/>
  <c r="T210" i="1"/>
  <c r="AF210" i="1" s="1"/>
  <c r="AE230" i="1"/>
  <c r="K21" i="70" s="1"/>
  <c r="AG220" i="1"/>
  <c r="M11" i="70" s="1"/>
  <c r="AE11" i="70" s="1"/>
  <c r="AE313" i="1"/>
  <c r="K104" i="70" s="1"/>
  <c r="AF317" i="1"/>
  <c r="L108" i="70" s="1"/>
  <c r="AG231" i="1"/>
  <c r="M22" i="70" s="1"/>
  <c r="AE22" i="70" s="1"/>
  <c r="AG312" i="1"/>
  <c r="M103" i="70" s="1"/>
  <c r="AE103" i="70" s="1"/>
  <c r="AE338" i="1"/>
  <c r="K129" i="70" s="1"/>
  <c r="U203" i="1"/>
  <c r="AG203" i="1" s="1"/>
  <c r="AE303" i="1"/>
  <c r="K94" i="70" s="1"/>
  <c r="AG306" i="1"/>
  <c r="M97" i="70" s="1"/>
  <c r="AE97" i="70" s="1"/>
  <c r="AE229" i="1"/>
  <c r="K20" i="70" s="1"/>
  <c r="T166" i="1"/>
  <c r="U159" i="1"/>
  <c r="U181" i="1"/>
  <c r="AG181" i="1" s="1"/>
  <c r="AG323" i="1"/>
  <c r="M114" i="70" s="1"/>
  <c r="AE114" i="70" s="1"/>
  <c r="AE226" i="1"/>
  <c r="K17" i="70" s="1"/>
  <c r="U173" i="1"/>
  <c r="AG230" i="1"/>
  <c r="M21" i="70" s="1"/>
  <c r="AE21" i="70" s="1"/>
  <c r="AG301" i="1"/>
  <c r="M92" i="70" s="1"/>
  <c r="AF334" i="1"/>
  <c r="L125" i="70" s="1"/>
  <c r="U206" i="1"/>
  <c r="AG206" i="1" s="1"/>
  <c r="S163" i="1"/>
  <c r="AE163" i="1" s="1"/>
  <c r="U136" i="1"/>
  <c r="AE273" i="1"/>
  <c r="K64" i="70" s="1"/>
  <c r="AF355" i="1"/>
  <c r="L146" i="70" s="1"/>
  <c r="AG317" i="1"/>
  <c r="M108" i="70" s="1"/>
  <c r="AE108" i="70" s="1"/>
  <c r="S174" i="1"/>
  <c r="AE174" i="1" s="1"/>
  <c r="AG349" i="1"/>
  <c r="M140" i="70" s="1"/>
  <c r="AE271" i="1"/>
  <c r="K62" i="70" s="1"/>
  <c r="AG216" i="1"/>
  <c r="M7" i="70" s="1"/>
  <c r="AE7" i="70" s="1"/>
  <c r="AG237" i="1"/>
  <c r="M28" i="70" s="1"/>
  <c r="AE28" i="70" s="1"/>
  <c r="U187" i="1"/>
  <c r="AG187" i="1" s="1"/>
  <c r="AF279" i="1"/>
  <c r="L70" i="70" s="1"/>
  <c r="AG292" i="1"/>
  <c r="M83" i="70" s="1"/>
  <c r="AE83" i="70" s="1"/>
  <c r="S162" i="1"/>
  <c r="AE162" i="1" s="1"/>
  <c r="U166" i="1"/>
  <c r="AG166" i="1" s="1"/>
  <c r="U211" i="1"/>
  <c r="AG211" i="1" s="1"/>
  <c r="S155" i="1"/>
  <c r="AE155" i="1" s="1"/>
  <c r="U160" i="1"/>
  <c r="AE345" i="1"/>
  <c r="K136" i="70" s="1"/>
  <c r="AG270" i="1"/>
  <c r="M61" i="70" s="1"/>
  <c r="AE61" i="70" s="1"/>
  <c r="AG369" i="1"/>
  <c r="M160" i="70" s="1"/>
  <c r="AE160" i="70" s="1"/>
  <c r="T150" i="1"/>
  <c r="AF150" i="1" s="1"/>
  <c r="AG316" i="1"/>
  <c r="M107" i="70" s="1"/>
  <c r="AE107" i="70" s="1"/>
  <c r="AE254" i="1"/>
  <c r="K45" i="70" s="1"/>
  <c r="AG334" i="1"/>
  <c r="M125" i="70" s="1"/>
  <c r="AE125" i="70" s="1"/>
  <c r="T204" i="1"/>
  <c r="AF204" i="1" s="1"/>
  <c r="AG352" i="1"/>
  <c r="M143" i="70" s="1"/>
  <c r="AE143" i="70" s="1"/>
  <c r="U163" i="1"/>
  <c r="AE300" i="1"/>
  <c r="K91" i="70" s="1"/>
  <c r="AE337" i="1"/>
  <c r="K128" i="70" s="1"/>
  <c r="T201" i="1"/>
  <c r="S203" i="1"/>
  <c r="AE203" i="1" s="1"/>
  <c r="T174" i="1"/>
  <c r="AF174" i="1" s="1"/>
  <c r="T168" i="1"/>
  <c r="AF168" i="1" s="1"/>
  <c r="S141" i="1"/>
  <c r="AE141" i="1" s="1"/>
  <c r="AE257" i="1"/>
  <c r="K48" i="70" s="1"/>
  <c r="AE252" i="1"/>
  <c r="K43" i="70" s="1"/>
  <c r="AE258" i="1"/>
  <c r="K49" i="70" s="1"/>
  <c r="U179" i="1"/>
  <c r="AG179" i="1" s="1"/>
  <c r="T206" i="1"/>
  <c r="S193" i="1"/>
  <c r="AE193" i="1" s="1"/>
  <c r="AE278" i="1"/>
  <c r="K69" i="70" s="1"/>
  <c r="AG340" i="1"/>
  <c r="M131" i="70" s="1"/>
  <c r="AE131" i="70" s="1"/>
  <c r="U135" i="1"/>
  <c r="T203" i="1"/>
  <c r="AE259" i="1"/>
  <c r="K50" i="70" s="1"/>
  <c r="AG219" i="1"/>
  <c r="M10" i="70" s="1"/>
  <c r="AE10" i="70" s="1"/>
  <c r="AE225" i="1"/>
  <c r="K16" i="70" s="1"/>
  <c r="S131" i="1"/>
  <c r="T197" i="1"/>
  <c r="AG232" i="1"/>
  <c r="M23" i="70" s="1"/>
  <c r="AE23" i="70" s="1"/>
  <c r="T211" i="1"/>
  <c r="T170" i="1"/>
  <c r="AE357" i="1"/>
  <c r="K148" i="70" s="1"/>
  <c r="AE221" i="1"/>
  <c r="K12" i="70" s="1"/>
  <c r="AE336" i="1"/>
  <c r="K127" i="70" s="1"/>
  <c r="T154" i="1"/>
  <c r="AE216" i="1"/>
  <c r="K7" i="70" s="1"/>
  <c r="U192" i="1"/>
  <c r="AG192" i="1" s="1"/>
  <c r="T156" i="1"/>
  <c r="AF156" i="1" s="1"/>
  <c r="AF220" i="1"/>
  <c r="L11" i="70" s="1"/>
  <c r="AF304" i="1"/>
  <c r="L95" i="70" s="1"/>
  <c r="AF303" i="1"/>
  <c r="L94" i="70" s="1"/>
  <c r="AG246" i="1"/>
  <c r="M37" i="70" s="1"/>
  <c r="AE37" i="70" s="1"/>
  <c r="AE218" i="1"/>
  <c r="K9" i="70" s="1"/>
  <c r="U146" i="1"/>
  <c r="S177" i="1"/>
  <c r="AE177" i="1" s="1"/>
  <c r="AE266" i="1"/>
  <c r="K57" i="70" s="1"/>
  <c r="T131" i="1"/>
  <c r="AG269" i="1"/>
  <c r="M60" i="70" s="1"/>
  <c r="AE60" i="70" s="1"/>
  <c r="AG341" i="1"/>
  <c r="M132" i="70" s="1"/>
  <c r="AE132" i="70" s="1"/>
  <c r="AG215" i="1"/>
  <c r="M6" i="70" s="1"/>
  <c r="AE6" i="70" s="1"/>
  <c r="AG329" i="1"/>
  <c r="M120" i="70" s="1"/>
  <c r="AE120" i="70" s="1"/>
  <c r="S197" i="1"/>
  <c r="AE197" i="1" s="1"/>
  <c r="AG285" i="1"/>
  <c r="M76" i="70" s="1"/>
  <c r="AE76" i="70" s="1"/>
  <c r="S156" i="1"/>
  <c r="AE156" i="1" s="1"/>
  <c r="T195" i="1"/>
  <c r="AF195" i="1" s="1"/>
  <c r="AG291" i="1"/>
  <c r="M82" i="70" s="1"/>
  <c r="AE82" i="70" s="1"/>
  <c r="AE326" i="1"/>
  <c r="K117" i="70" s="1"/>
  <c r="AF253" i="1"/>
  <c r="L44" i="70" s="1"/>
  <c r="AE255" i="1"/>
  <c r="K46" i="70" s="1"/>
  <c r="U143" i="1"/>
  <c r="T193" i="1"/>
  <c r="AF193" i="1" s="1"/>
  <c r="S192" i="1"/>
  <c r="AE192" i="1" s="1"/>
  <c r="AE285" i="1"/>
  <c r="K76" i="70" s="1"/>
  <c r="AG288" i="1"/>
  <c r="M79" i="70" s="1"/>
  <c r="AE79" i="70" s="1"/>
  <c r="AF229" i="1"/>
  <c r="L20" i="70" s="1"/>
  <c r="U170" i="1"/>
  <c r="T148" i="1"/>
  <c r="AF148" i="1" s="1"/>
  <c r="S130" i="1"/>
  <c r="AE323" i="1"/>
  <c r="K114" i="70" s="1"/>
  <c r="AE270" i="1"/>
  <c r="K61" i="70" s="1"/>
  <c r="AF256" i="1"/>
  <c r="L47" i="70" s="1"/>
  <c r="AG338" i="1"/>
  <c r="M129" i="70" s="1"/>
  <c r="AE129" i="70" s="1"/>
  <c r="T183" i="1"/>
  <c r="AE334" i="1"/>
  <c r="K125" i="70" s="1"/>
  <c r="AG336" i="1"/>
  <c r="M127" i="70" s="1"/>
  <c r="AE127" i="70" s="1"/>
  <c r="AF338" i="1"/>
  <c r="L129" i="70" s="1"/>
  <c r="AG274" i="1"/>
  <c r="M65" i="70" s="1"/>
  <c r="AE65" i="70" s="1"/>
  <c r="U172" i="1"/>
  <c r="AF255" i="1"/>
  <c r="L46" i="70" s="1"/>
  <c r="U156" i="1"/>
  <c r="T143" i="1"/>
  <c r="U193" i="1"/>
  <c r="AG193" i="1" s="1"/>
  <c r="AE253" i="1"/>
  <c r="AF329" i="1"/>
  <c r="L120" i="70" s="1"/>
  <c r="T192" i="1"/>
  <c r="AE232" i="1"/>
  <c r="K23" i="70" s="1"/>
  <c r="S137" i="1"/>
  <c r="AE251" i="1"/>
  <c r="K42" i="70" s="1"/>
  <c r="S166" i="1"/>
  <c r="AE166" i="1" s="1"/>
  <c r="S173" i="1"/>
  <c r="AE173" i="1" s="1"/>
  <c r="AG330" i="1"/>
  <c r="M121" i="70" s="1"/>
  <c r="AE121" i="70" s="1"/>
  <c r="S201" i="1"/>
  <c r="AE201" i="1" s="1"/>
  <c r="T155" i="1"/>
  <c r="S178" i="1"/>
  <c r="AE178" i="1" s="1"/>
  <c r="T173" i="1"/>
  <c r="U139" i="1"/>
  <c r="AE295" i="1"/>
  <c r="K86" i="70" s="1"/>
  <c r="AE342" i="1"/>
  <c r="K133" i="70" s="1"/>
  <c r="U129" i="1"/>
  <c r="AG277" i="1"/>
  <c r="M68" i="70" s="1"/>
  <c r="S198" i="1"/>
  <c r="AE198" i="1" s="1"/>
  <c r="AE293" i="1"/>
  <c r="K84" i="70" s="1"/>
  <c r="AE291" i="1"/>
  <c r="K82" i="70" s="1"/>
  <c r="AG257" i="1"/>
  <c r="M48" i="70" s="1"/>
  <c r="AE48" i="70" s="1"/>
  <c r="S149" i="1"/>
  <c r="AE149" i="1" s="1"/>
  <c r="AE240" i="1"/>
  <c r="K31" i="70" s="1"/>
  <c r="S138" i="1"/>
  <c r="AF274" i="1"/>
  <c r="L65" i="70" s="1"/>
  <c r="AE231" i="1"/>
  <c r="K22" i="70" s="1"/>
  <c r="AE277" i="1"/>
  <c r="K68" i="70" s="1"/>
  <c r="AE361" i="1"/>
  <c r="K152" i="70" s="1"/>
  <c r="U210" i="1"/>
  <c r="AG210" i="1" s="1"/>
  <c r="S195" i="1"/>
  <c r="AE195" i="1" s="1"/>
  <c r="AE263" i="1"/>
  <c r="K54" i="70" s="1"/>
  <c r="T137" i="1"/>
  <c r="AE322" i="1"/>
  <c r="K113" i="70" s="1"/>
  <c r="U162" i="1"/>
  <c r="T191" i="1"/>
  <c r="AF191" i="1" s="1"/>
  <c r="T161" i="1"/>
  <c r="T135" i="1"/>
  <c r="S144" i="1"/>
  <c r="AE144" i="1" s="1"/>
  <c r="AE309" i="1"/>
  <c r="K100" i="70" s="1"/>
  <c r="S184" i="1"/>
  <c r="AE184" i="1" s="1"/>
  <c r="T169" i="1"/>
  <c r="AE346" i="1"/>
  <c r="K137" i="70" s="1"/>
  <c r="AE298" i="1"/>
  <c r="K89" i="70" s="1"/>
  <c r="AG221" i="1"/>
  <c r="M12" i="70" s="1"/>
  <c r="AE12" i="70" s="1"/>
  <c r="AG218" i="1"/>
  <c r="M9" i="70" s="1"/>
  <c r="AE9" i="70" s="1"/>
  <c r="AG339" i="1"/>
  <c r="M130" i="70" s="1"/>
  <c r="AE130" i="70" s="1"/>
  <c r="AE352" i="1"/>
  <c r="K143" i="70" s="1"/>
  <c r="AF339" i="1"/>
  <c r="L130" i="70" s="1"/>
  <c r="AG326" i="1"/>
  <c r="M117" i="70" s="1"/>
  <c r="AE117" i="70" s="1"/>
  <c r="AG331" i="1"/>
  <c r="M122" i="70" s="1"/>
  <c r="AE122" i="70" s="1"/>
  <c r="AE286" i="1"/>
  <c r="K77" i="70" s="1"/>
  <c r="AF276" i="1"/>
  <c r="L67" i="70" s="1"/>
  <c r="AG243" i="1"/>
  <c r="M34" i="70" s="1"/>
  <c r="AE34" i="70" s="1"/>
  <c r="T129" i="1"/>
  <c r="T198" i="1"/>
  <c r="AE219" i="1"/>
  <c r="K10" i="70" s="1"/>
  <c r="T208" i="1"/>
  <c r="AG225" i="1"/>
  <c r="M16" i="70" s="1"/>
  <c r="AE16" i="70" s="1"/>
  <c r="U186" i="1"/>
  <c r="AG186" i="1" s="1"/>
  <c r="T209" i="1"/>
  <c r="AE235" i="1"/>
  <c r="K26" i="70" s="1"/>
  <c r="U145" i="1"/>
  <c r="AE311" i="1"/>
  <c r="K102" i="70" s="1"/>
  <c r="U197" i="1"/>
  <c r="AG197" i="1" s="1"/>
  <c r="AE279" i="1"/>
  <c r="K70" i="70" s="1"/>
  <c r="AE314" i="1"/>
  <c r="K105" i="70" s="1"/>
  <c r="AG280" i="1"/>
  <c r="M71" i="70" s="1"/>
  <c r="AE71" i="70" s="1"/>
  <c r="AG268" i="1"/>
  <c r="M59" i="70" s="1"/>
  <c r="AE59" i="70" s="1"/>
  <c r="U183" i="1"/>
  <c r="AG183" i="1" s="1"/>
  <c r="S136" i="1"/>
  <c r="AE306" i="1"/>
  <c r="K97" i="70" s="1"/>
  <c r="S206" i="1"/>
  <c r="AE206" i="1" s="1"/>
  <c r="AG289" i="1"/>
  <c r="M80" i="70" s="1"/>
  <c r="U198" i="1"/>
  <c r="AG198" i="1" s="1"/>
  <c r="AG226" i="1"/>
  <c r="M17" i="70" s="1"/>
  <c r="AE17" i="70" s="1"/>
  <c r="S134" i="1"/>
  <c r="T133" i="1"/>
  <c r="AE348" i="1"/>
  <c r="K139" i="70" s="1"/>
  <c r="AE354" i="1"/>
  <c r="K145" i="70" s="1"/>
  <c r="AF365" i="1"/>
  <c r="L156" i="70" s="1"/>
  <c r="S165" i="1"/>
  <c r="AE165" i="1" s="1"/>
  <c r="AE310" i="1"/>
  <c r="K101" i="70" s="1"/>
  <c r="S132" i="1"/>
  <c r="AG303" i="1"/>
  <c r="M94" i="70" s="1"/>
  <c r="AE94" i="70" s="1"/>
  <c r="U142" i="1"/>
  <c r="S128" i="1"/>
  <c r="U188" i="1"/>
  <c r="S152" i="1"/>
  <c r="U176" i="1"/>
  <c r="S164" i="1"/>
  <c r="S176" i="1"/>
  <c r="S154" i="1"/>
  <c r="AE154" i="1" s="1"/>
  <c r="U190" i="1"/>
  <c r="AG190" i="1" s="1"/>
  <c r="T136" i="1"/>
  <c r="AE305" i="1"/>
  <c r="K96" i="70" s="1"/>
  <c r="U194" i="1"/>
  <c r="AG194" i="1" s="1"/>
  <c r="AG363" i="1"/>
  <c r="M154" i="70" s="1"/>
  <c r="AE154" i="70" s="1"/>
  <c r="U174" i="1"/>
  <c r="AE244" i="1"/>
  <c r="K35" i="70" s="1"/>
  <c r="AG229" i="1"/>
  <c r="M20" i="70" s="1"/>
  <c r="AG251" i="1"/>
  <c r="M42" i="70" s="1"/>
  <c r="AE42" i="70" s="1"/>
  <c r="S194" i="1"/>
  <c r="AE194" i="1" s="1"/>
  <c r="AG375" i="1"/>
  <c r="M166" i="70" s="1"/>
  <c r="AE166" i="70" s="1"/>
  <c r="AE375" i="1"/>
  <c r="K166" i="70" s="1"/>
  <c r="AF238" i="1"/>
  <c r="L29" i="70" s="1"/>
  <c r="U137" i="1"/>
  <c r="S146" i="1"/>
  <c r="AE146" i="1" s="1"/>
  <c r="T142" i="1"/>
  <c r="AE371" i="1"/>
  <c r="K162" i="70" s="1"/>
  <c r="AE350" i="1"/>
  <c r="K141" i="70" s="1"/>
  <c r="AE358" i="1"/>
  <c r="K149" i="70" s="1"/>
  <c r="AG358" i="1"/>
  <c r="M149" i="70" s="1"/>
  <c r="AE149" i="70" s="1"/>
  <c r="AG373" i="1"/>
  <c r="M164" i="70" s="1"/>
  <c r="AG377" i="1"/>
  <c r="M168" i="70" s="1"/>
  <c r="AE168" i="70" s="1"/>
  <c r="AG370" i="1"/>
  <c r="M161" i="70" s="1"/>
  <c r="AE161" i="70" s="1"/>
  <c r="AG354" i="1"/>
  <c r="M145" i="70" s="1"/>
  <c r="AE145" i="70" s="1"/>
  <c r="AE373" i="1"/>
  <c r="K164" i="70" s="1"/>
  <c r="AF377" i="1"/>
  <c r="L168" i="70" s="1"/>
  <c r="AE370" i="1"/>
  <c r="K161" i="70" s="1"/>
  <c r="AG262" i="1"/>
  <c r="M53" i="70" s="1"/>
  <c r="AE53" i="70" s="1"/>
  <c r="AE359" i="1"/>
  <c r="K150" i="70" s="1"/>
  <c r="U128" i="1"/>
  <c r="U132" i="1"/>
  <c r="U152" i="1"/>
  <c r="AG244" i="1"/>
  <c r="M35" i="70" s="1"/>
  <c r="AE35" i="70" s="1"/>
  <c r="U184" i="1"/>
  <c r="AG184" i="1" s="1"/>
  <c r="U191" i="1"/>
  <c r="AG191" i="1" s="1"/>
  <c r="S148" i="1"/>
  <c r="AE148" i="1" s="1"/>
  <c r="U148" i="1"/>
  <c r="AG357" i="1"/>
  <c r="M148" i="70" s="1"/>
  <c r="AE148" i="70" s="1"/>
  <c r="AE290" i="1"/>
  <c r="K81" i="70" s="1"/>
  <c r="AE339" i="1"/>
  <c r="K130" i="70" s="1"/>
  <c r="U150" i="1"/>
  <c r="S133" i="1"/>
  <c r="AE220" i="1"/>
  <c r="K11" i="70" s="1"/>
  <c r="AE299" i="1"/>
  <c r="K90" i="70" s="1"/>
  <c r="AE304" i="1"/>
  <c r="K95" i="70" s="1"/>
  <c r="AE365" i="1"/>
  <c r="K156" i="70" s="1"/>
  <c r="AG348" i="1"/>
  <c r="M139" i="70" s="1"/>
  <c r="AE139" i="70" s="1"/>
  <c r="AE367" i="1"/>
  <c r="K158" i="70" s="1"/>
  <c r="AG379" i="1"/>
  <c r="M170" i="70" s="1"/>
  <c r="AE170" i="70" s="1"/>
  <c r="AG367" i="1"/>
  <c r="M158" i="70" s="1"/>
  <c r="AE158" i="70" s="1"/>
  <c r="AE262" i="1"/>
  <c r="K53" i="70" s="1"/>
  <c r="U178" i="1"/>
  <c r="AG178" i="1" s="1"/>
  <c r="U140" i="1"/>
  <c r="S200" i="1"/>
  <c r="S188" i="1"/>
  <c r="S140" i="1"/>
  <c r="U164" i="1"/>
  <c r="U154" i="1"/>
  <c r="AE362" i="1"/>
  <c r="K153" i="70" s="1"/>
  <c r="AG362" i="1"/>
  <c r="M153" i="70" s="1"/>
  <c r="AE153" i="70" s="1"/>
  <c r="AG374" i="1"/>
  <c r="M165" i="70" s="1"/>
  <c r="AE165" i="70" s="1"/>
  <c r="U200" i="1"/>
  <c r="AE372" i="1"/>
  <c r="K163" i="70" s="1"/>
  <c r="AG360" i="1"/>
  <c r="M151" i="70" s="1"/>
  <c r="AE151" i="70" s="1"/>
  <c r="AG372" i="1"/>
  <c r="M163" i="70" s="1"/>
  <c r="AE163" i="70" s="1"/>
  <c r="AG263" i="1"/>
  <c r="M54" i="70" s="1"/>
  <c r="AE54" i="70" s="1"/>
  <c r="AF230" i="1"/>
  <c r="L21" i="70" s="1"/>
  <c r="AG359" i="1"/>
  <c r="M150" i="70" s="1"/>
  <c r="AE150" i="70" s="1"/>
  <c r="AG365" i="1"/>
  <c r="M156" i="70" s="1"/>
  <c r="AE156" i="70" s="1"/>
  <c r="T165" i="1"/>
  <c r="AE366" i="1"/>
  <c r="K157" i="70" s="1"/>
  <c r="T178" i="1"/>
  <c r="AG266" i="1"/>
  <c r="M57" i="70" s="1"/>
  <c r="AE57" i="70" s="1"/>
  <c r="S143" i="1"/>
  <c r="AE143" i="1" s="1"/>
  <c r="AE378" i="1"/>
  <c r="K169" i="70" s="1"/>
  <c r="T157" i="1"/>
  <c r="T163" i="1"/>
  <c r="AF163" i="1" s="1"/>
  <c r="AG371" i="1"/>
  <c r="M162" i="70" s="1"/>
  <c r="AE162" i="70" s="1"/>
  <c r="AE261" i="1"/>
  <c r="K52" i="70" s="1"/>
  <c r="AG366" i="1"/>
  <c r="M157" i="70" s="1"/>
  <c r="AE157" i="70" s="1"/>
  <c r="AG378" i="1"/>
  <c r="M169" i="70" s="1"/>
  <c r="AE169" i="70" s="1"/>
  <c r="AF374" i="1"/>
  <c r="L165" i="70" s="1"/>
  <c r="AE374" i="1"/>
  <c r="K165" i="70" s="1"/>
  <c r="AE360" i="1"/>
  <c r="K151" i="70" s="1"/>
  <c r="T145" i="1"/>
  <c r="AG351" i="1"/>
  <c r="M142" i="70" s="1"/>
  <c r="AE142" i="70" s="1"/>
  <c r="T187" i="1"/>
  <c r="T132" i="1"/>
  <c r="AG350" i="1"/>
  <c r="M141" i="70" s="1"/>
  <c r="AE141" i="70" s="1"/>
  <c r="AE377" i="1"/>
  <c r="K168" i="70" s="1"/>
  <c r="AG213" i="1"/>
  <c r="M4" i="70" s="1"/>
  <c r="AE4" i="70" s="1"/>
  <c r="AE213" i="1"/>
  <c r="K4" i="70" s="1"/>
  <c r="T188" i="1"/>
  <c r="U131" i="1"/>
  <c r="AE379" i="1"/>
  <c r="K170" i="70" s="1"/>
  <c r="T128" i="1"/>
  <c r="AF360" i="1"/>
  <c r="L151" i="70" s="1"/>
  <c r="T164" i="1"/>
  <c r="T176" i="1"/>
  <c r="T200" i="1"/>
  <c r="T152" i="1"/>
  <c r="T140" i="1"/>
  <c r="T5" i="1" l="1"/>
  <c r="AH253" i="1"/>
  <c r="K44" i="70"/>
  <c r="AF44" i="70" s="1"/>
  <c r="AF165" i="70"/>
  <c r="AH374" i="1"/>
  <c r="AF153" i="70"/>
  <c r="AF141" i="70"/>
  <c r="AF22" i="70"/>
  <c r="AF86" i="70"/>
  <c r="AD125" i="70"/>
  <c r="N125" i="70"/>
  <c r="AF142" i="70"/>
  <c r="AH351" i="1"/>
  <c r="AF66" i="70"/>
  <c r="N23" i="70"/>
  <c r="AD23" i="70"/>
  <c r="AD138" i="70"/>
  <c r="N138" i="70"/>
  <c r="AF24" i="70"/>
  <c r="AD93" i="70"/>
  <c r="N93" i="70"/>
  <c r="AF67" i="70"/>
  <c r="AH276" i="1"/>
  <c r="AE44" i="70"/>
  <c r="X6" i="70"/>
  <c r="AD109" i="70"/>
  <c r="N109" i="70"/>
  <c r="AF14" i="70"/>
  <c r="AH223" i="1"/>
  <c r="AF95" i="70"/>
  <c r="AH304" i="1"/>
  <c r="AF168" i="70"/>
  <c r="AH377" i="1"/>
  <c r="AF150" i="70"/>
  <c r="AF162" i="70"/>
  <c r="AF7" i="70"/>
  <c r="AF50" i="70"/>
  <c r="AE92" i="70"/>
  <c r="X10" i="70"/>
  <c r="AF129" i="70"/>
  <c r="AH338" i="1"/>
  <c r="AF132" i="70"/>
  <c r="AD60" i="70"/>
  <c r="N60" i="70"/>
  <c r="AD59" i="70"/>
  <c r="N59" i="70"/>
  <c r="AD112" i="70"/>
  <c r="N112" i="70"/>
  <c r="AF144" i="70"/>
  <c r="AF26" i="70"/>
  <c r="AD65" i="70"/>
  <c r="N65" i="70"/>
  <c r="AF130" i="70"/>
  <c r="AH339" i="1"/>
  <c r="AD47" i="70"/>
  <c r="N47" i="70"/>
  <c r="AF46" i="70"/>
  <c r="AH255" i="1"/>
  <c r="AD155" i="70"/>
  <c r="N155" i="70"/>
  <c r="AF160" i="70"/>
  <c r="AH369" i="1"/>
  <c r="AF79" i="70"/>
  <c r="AF13" i="70"/>
  <c r="AF134" i="70"/>
  <c r="AH343" i="1"/>
  <c r="AD121" i="70"/>
  <c r="N121" i="70"/>
  <c r="AF33" i="70"/>
  <c r="AH242" i="1"/>
  <c r="AF138" i="70"/>
  <c r="AH347" i="1"/>
  <c r="AD118" i="70"/>
  <c r="N118" i="70"/>
  <c r="AE80" i="70"/>
  <c r="X9" i="70"/>
  <c r="AD120" i="70"/>
  <c r="N120" i="70"/>
  <c r="N130" i="70"/>
  <c r="AD130" i="70"/>
  <c r="AF169" i="70"/>
  <c r="AF163" i="70"/>
  <c r="AF53" i="70"/>
  <c r="AF81" i="70"/>
  <c r="AF161" i="70"/>
  <c r="AF96" i="70"/>
  <c r="AF97" i="70"/>
  <c r="AF143" i="70"/>
  <c r="AF31" i="70"/>
  <c r="AF61" i="70"/>
  <c r="AD44" i="70"/>
  <c r="AF57" i="70"/>
  <c r="AF127" i="70"/>
  <c r="AH336" i="1"/>
  <c r="AF62" i="70"/>
  <c r="AF122" i="70"/>
  <c r="AF121" i="70"/>
  <c r="AH330" i="1"/>
  <c r="AF41" i="70"/>
  <c r="AF146" i="70"/>
  <c r="AH355" i="1"/>
  <c r="AF78" i="70"/>
  <c r="AF112" i="70"/>
  <c r="AH321" i="1"/>
  <c r="AE116" i="70"/>
  <c r="X12" i="70"/>
  <c r="AF72" i="70"/>
  <c r="AF115" i="70"/>
  <c r="N168" i="70"/>
  <c r="AD168" i="70"/>
  <c r="AF101" i="70"/>
  <c r="AF114" i="70"/>
  <c r="AF117" i="70"/>
  <c r="AF12" i="70"/>
  <c r="AF136" i="70"/>
  <c r="AE140" i="70"/>
  <c r="X14" i="70"/>
  <c r="AF17" i="70"/>
  <c r="AD108" i="70"/>
  <c r="N108" i="70"/>
  <c r="AF60" i="70"/>
  <c r="AH269" i="1"/>
  <c r="AF98" i="70"/>
  <c r="AH307" i="1"/>
  <c r="AF85" i="70"/>
  <c r="AH294" i="1"/>
  <c r="AE128" i="70"/>
  <c r="X13" i="70"/>
  <c r="AF108" i="70"/>
  <c r="AH317" i="1"/>
  <c r="AD137" i="70"/>
  <c r="N137" i="70"/>
  <c r="AD88" i="70"/>
  <c r="N88" i="70"/>
  <c r="AD160" i="70"/>
  <c r="N160" i="70"/>
  <c r="AF167" i="70"/>
  <c r="AF4" i="70"/>
  <c r="AD151" i="70"/>
  <c r="N151" i="70"/>
  <c r="AD29" i="70"/>
  <c r="N29" i="70"/>
  <c r="AF113" i="70"/>
  <c r="AF148" i="70"/>
  <c r="AF69" i="70"/>
  <c r="N85" i="70"/>
  <c r="AD85" i="70"/>
  <c r="AD36" i="70"/>
  <c r="N36" i="70"/>
  <c r="AD107" i="70"/>
  <c r="N107" i="70"/>
  <c r="AF65" i="70"/>
  <c r="AH274" i="1"/>
  <c r="AF170" i="70"/>
  <c r="AF157" i="70"/>
  <c r="AF151" i="70"/>
  <c r="AH360" i="1"/>
  <c r="AF158" i="70"/>
  <c r="AF166" i="70"/>
  <c r="AD156" i="70"/>
  <c r="N156" i="70"/>
  <c r="AF10" i="70"/>
  <c r="AF82" i="70"/>
  <c r="N46" i="70"/>
  <c r="AD46" i="70"/>
  <c r="AF9" i="70"/>
  <c r="AF91" i="70"/>
  <c r="AF25" i="70"/>
  <c r="AF131" i="70"/>
  <c r="AF83" i="70"/>
  <c r="AF55" i="70"/>
  <c r="AF109" i="70"/>
  <c r="AH318" i="1"/>
  <c r="AF107" i="70"/>
  <c r="AH316" i="1"/>
  <c r="AF5" i="70"/>
  <c r="AD33" i="70"/>
  <c r="N33" i="70"/>
  <c r="AF120" i="70"/>
  <c r="AH329" i="1"/>
  <c r="AD16" i="70"/>
  <c r="N16" i="70"/>
  <c r="AF145" i="70"/>
  <c r="AF89" i="70"/>
  <c r="AF54" i="70"/>
  <c r="AF84" i="70"/>
  <c r="N146" i="70"/>
  <c r="AD146" i="70"/>
  <c r="AF21" i="70"/>
  <c r="AH230" i="1"/>
  <c r="AF73" i="70"/>
  <c r="AF40" i="70"/>
  <c r="AF36" i="70"/>
  <c r="AH245" i="1"/>
  <c r="AD134" i="70"/>
  <c r="N134" i="70"/>
  <c r="AE56" i="70"/>
  <c r="X7" i="70"/>
  <c r="AF47" i="70"/>
  <c r="AH256" i="1"/>
  <c r="AF30" i="70"/>
  <c r="AE152" i="70"/>
  <c r="X15" i="70"/>
  <c r="AD38" i="70"/>
  <c r="N38" i="70"/>
  <c r="AF118" i="70"/>
  <c r="AH327" i="1"/>
  <c r="AF74" i="70"/>
  <c r="AD165" i="70"/>
  <c r="N165" i="70"/>
  <c r="AF156" i="70"/>
  <c r="AH365" i="1"/>
  <c r="AF139" i="70"/>
  <c r="AF105" i="70"/>
  <c r="AF137" i="70"/>
  <c r="AH346" i="1"/>
  <c r="N20" i="70"/>
  <c r="AD20" i="70"/>
  <c r="N94" i="70"/>
  <c r="AD94" i="70"/>
  <c r="AF64" i="70"/>
  <c r="AF6" i="70"/>
  <c r="AF28" i="70"/>
  <c r="N98" i="70"/>
  <c r="AD98" i="70"/>
  <c r="AF59" i="70"/>
  <c r="AH268" i="1"/>
  <c r="N124" i="70"/>
  <c r="AD124" i="70"/>
  <c r="AD19" i="70"/>
  <c r="N19" i="70"/>
  <c r="AF119" i="70"/>
  <c r="AD126" i="70"/>
  <c r="N126" i="70"/>
  <c r="AE164" i="70"/>
  <c r="X16" i="70"/>
  <c r="AF70" i="70"/>
  <c r="AH279" i="1"/>
  <c r="AE68" i="70"/>
  <c r="X8" i="70"/>
  <c r="AF42" i="70"/>
  <c r="AD129" i="70"/>
  <c r="N129" i="70"/>
  <c r="N95" i="70"/>
  <c r="AD95" i="70"/>
  <c r="AF49" i="70"/>
  <c r="AH229" i="1"/>
  <c r="AF155" i="70"/>
  <c r="AH364" i="1"/>
  <c r="AF106" i="70"/>
  <c r="AE32" i="70"/>
  <c r="X5" i="70"/>
  <c r="AF154" i="70"/>
  <c r="N52" i="70"/>
  <c r="AD52" i="70"/>
  <c r="AF110" i="70"/>
  <c r="AF29" i="70"/>
  <c r="AH238" i="1"/>
  <c r="AF90" i="70"/>
  <c r="AE20" i="70"/>
  <c r="X4" i="70"/>
  <c r="X26" i="70" s="1"/>
  <c r="AF76" i="70"/>
  <c r="N11" i="70"/>
  <c r="AD11" i="70"/>
  <c r="AF43" i="70"/>
  <c r="AD142" i="70"/>
  <c r="N142" i="70"/>
  <c r="AF18" i="70"/>
  <c r="AF37" i="70"/>
  <c r="AH246" i="1"/>
  <c r="AF71" i="70"/>
  <c r="AD37" i="70"/>
  <c r="N37" i="70"/>
  <c r="AF19" i="70"/>
  <c r="AH228" i="1"/>
  <c r="AF126" i="70"/>
  <c r="AH335" i="1"/>
  <c r="AD127" i="70"/>
  <c r="N127" i="70"/>
  <c r="AE8" i="70"/>
  <c r="X3" i="70"/>
  <c r="AF93" i="70"/>
  <c r="AH302" i="1"/>
  <c r="AD67" i="70"/>
  <c r="N67" i="70"/>
  <c r="AF52" i="70"/>
  <c r="AH261" i="1"/>
  <c r="N21" i="70"/>
  <c r="AD21" i="70"/>
  <c r="AF11" i="70"/>
  <c r="AH220" i="1"/>
  <c r="AF149" i="70"/>
  <c r="AF35" i="70"/>
  <c r="AF102" i="70"/>
  <c r="AF77" i="70"/>
  <c r="AF100" i="70"/>
  <c r="AF133" i="70"/>
  <c r="AF23" i="70"/>
  <c r="AH232" i="1"/>
  <c r="AF125" i="70"/>
  <c r="AH334" i="1"/>
  <c r="AF16" i="70"/>
  <c r="AH225" i="1"/>
  <c r="AF48" i="70"/>
  <c r="AF45" i="70"/>
  <c r="AD70" i="70"/>
  <c r="N70" i="70"/>
  <c r="AF94" i="70"/>
  <c r="AH303" i="1"/>
  <c r="AF34" i="70"/>
  <c r="AE104" i="70"/>
  <c r="X11" i="70"/>
  <c r="AF124" i="70"/>
  <c r="AH333" i="1"/>
  <c r="AF58" i="70"/>
  <c r="AF88" i="70"/>
  <c r="AH297" i="1"/>
  <c r="AF103" i="70"/>
  <c r="AF38" i="70"/>
  <c r="AH247" i="1"/>
  <c r="AD14" i="70"/>
  <c r="N14" i="70"/>
  <c r="AF68" i="70"/>
  <c r="Y8" i="70"/>
  <c r="AF116" i="70"/>
  <c r="Y12" i="70"/>
  <c r="AF56" i="70"/>
  <c r="Y7" i="70"/>
  <c r="AF164" i="70"/>
  <c r="Y16" i="70"/>
  <c r="AF128" i="70"/>
  <c r="Y13" i="70"/>
  <c r="AF104" i="70"/>
  <c r="Y11" i="70"/>
  <c r="AF8" i="70"/>
  <c r="Y3" i="70"/>
  <c r="AF20" i="70"/>
  <c r="Y4" i="70"/>
  <c r="Y26" i="70" s="1"/>
  <c r="AF92" i="70"/>
  <c r="Y10" i="70"/>
  <c r="AF32" i="70"/>
  <c r="Y5" i="70"/>
  <c r="AF152" i="70"/>
  <c r="Y15" i="70"/>
  <c r="AF80" i="70"/>
  <c r="Y9" i="70"/>
  <c r="AF140" i="70"/>
  <c r="Y14" i="70"/>
  <c r="EI191" i="1"/>
  <c r="EN191" i="1"/>
  <c r="EK191" i="1"/>
  <c r="EN184" i="1"/>
  <c r="EI184" i="1"/>
  <c r="EK184" i="1"/>
  <c r="C30" i="34"/>
  <c r="EI195" i="1"/>
  <c r="EN195" i="1"/>
  <c r="EK195" i="1"/>
  <c r="EN167" i="1"/>
  <c r="EI167" i="1"/>
  <c r="EK167" i="1"/>
  <c r="C20" i="34"/>
  <c r="EK151" i="1"/>
  <c r="EI151" i="1"/>
  <c r="EN151" i="1"/>
  <c r="EI156" i="1"/>
  <c r="EN156" i="1"/>
  <c r="EK156" i="1"/>
  <c r="EK185" i="1"/>
  <c r="EI185" i="1"/>
  <c r="EN185" i="1"/>
  <c r="EK181" i="1"/>
  <c r="EN181" i="1"/>
  <c r="EI181" i="1"/>
  <c r="EI168" i="1"/>
  <c r="EN168" i="1"/>
  <c r="EK168" i="1"/>
  <c r="EK158" i="1"/>
  <c r="EN158" i="1"/>
  <c r="EI158" i="1"/>
  <c r="EK149" i="1"/>
  <c r="EI149" i="1"/>
  <c r="EN149" i="1"/>
  <c r="C28" i="34"/>
  <c r="K28" i="34" s="1"/>
  <c r="EI163" i="1"/>
  <c r="EN163" i="1"/>
  <c r="EK163" i="1"/>
  <c r="EN174" i="1"/>
  <c r="EI174" i="1"/>
  <c r="EK174" i="1"/>
  <c r="EK199" i="1"/>
  <c r="EI199" i="1"/>
  <c r="EN199" i="1"/>
  <c r="EI141" i="1"/>
  <c r="EK141" i="1"/>
  <c r="EN141" i="1"/>
  <c r="EI182" i="1"/>
  <c r="EN182" i="1"/>
  <c r="EK182" i="1"/>
  <c r="D15" i="34"/>
  <c r="H15" i="34" s="1"/>
  <c r="EK150" i="1"/>
  <c r="EN150" i="1"/>
  <c r="EI150" i="1"/>
  <c r="EN146" i="1"/>
  <c r="EI146" i="1"/>
  <c r="EK146" i="1"/>
  <c r="EN186" i="1"/>
  <c r="EK186" i="1"/>
  <c r="EI186" i="1"/>
  <c r="EK153" i="1"/>
  <c r="EN153" i="1"/>
  <c r="EI153" i="1"/>
  <c r="D16" i="34"/>
  <c r="EI193" i="1"/>
  <c r="EK193" i="1"/>
  <c r="EN193" i="1"/>
  <c r="C13" i="34"/>
  <c r="K13" i="34" s="1"/>
  <c r="D8" i="66" s="1"/>
  <c r="C23" i="34"/>
  <c r="K23" i="34" s="1"/>
  <c r="C33" i="34"/>
  <c r="EN148" i="1"/>
  <c r="EK148" i="1"/>
  <c r="EI148" i="1"/>
  <c r="EN180" i="1"/>
  <c r="EI180" i="1"/>
  <c r="EK180" i="1"/>
  <c r="EN334" i="1"/>
  <c r="EI334" i="1"/>
  <c r="EK334" i="1"/>
  <c r="EN210" i="1"/>
  <c r="EI210" i="1"/>
  <c r="EK210" i="1"/>
  <c r="EN307" i="1"/>
  <c r="EK307" i="1"/>
  <c r="EI307" i="1"/>
  <c r="EN228" i="1"/>
  <c r="EK228" i="1"/>
  <c r="EI228" i="1"/>
  <c r="EN274" i="1"/>
  <c r="EK274" i="1"/>
  <c r="EI274" i="1"/>
  <c r="EN229" i="1"/>
  <c r="EK229" i="1"/>
  <c r="EI229" i="1"/>
  <c r="EN232" i="1"/>
  <c r="EI232" i="1"/>
  <c r="EK232" i="1"/>
  <c r="EN246" i="1"/>
  <c r="EI246" i="1"/>
  <c r="EK246" i="1"/>
  <c r="EN245" i="1"/>
  <c r="EK245" i="1"/>
  <c r="EI245" i="1"/>
  <c r="EN374" i="1"/>
  <c r="EI374" i="1"/>
  <c r="EK374" i="1"/>
  <c r="EN338" i="1"/>
  <c r="EI338" i="1"/>
  <c r="EK338" i="1"/>
  <c r="EN347" i="1"/>
  <c r="EK347" i="1"/>
  <c r="EI347" i="1"/>
  <c r="EN247" i="1"/>
  <c r="EI247" i="1"/>
  <c r="EK247" i="1"/>
  <c r="EN297" i="1"/>
  <c r="EK297" i="1"/>
  <c r="EI297" i="1"/>
  <c r="EN225" i="1"/>
  <c r="EI225" i="1"/>
  <c r="EK225" i="1"/>
  <c r="EN269" i="1"/>
  <c r="EK269" i="1"/>
  <c r="EI269" i="1"/>
  <c r="EN268" i="1"/>
  <c r="EI268" i="1"/>
  <c r="EK268" i="1"/>
  <c r="EN330" i="1"/>
  <c r="EI330" i="1"/>
  <c r="EK330" i="1"/>
  <c r="EN202" i="1"/>
  <c r="EK202" i="1"/>
  <c r="EI202" i="1"/>
  <c r="EN335" i="1"/>
  <c r="EK335" i="1"/>
  <c r="EI335" i="1"/>
  <c r="EN377" i="1"/>
  <c r="EI377" i="1"/>
  <c r="EK377" i="1"/>
  <c r="EN329" i="1"/>
  <c r="EI329" i="1"/>
  <c r="EK329" i="1"/>
  <c r="EN204" i="1"/>
  <c r="EK204" i="1"/>
  <c r="EI204" i="1"/>
  <c r="EN351" i="1"/>
  <c r="EK351" i="1"/>
  <c r="EI351" i="1"/>
  <c r="EN302" i="1"/>
  <c r="EK302" i="1"/>
  <c r="EI302" i="1"/>
  <c r="EN318" i="1"/>
  <c r="EI318" i="1"/>
  <c r="EK318" i="1"/>
  <c r="EN360" i="1"/>
  <c r="EI360" i="1"/>
  <c r="EK360" i="1"/>
  <c r="EN317" i="1"/>
  <c r="EK317" i="1"/>
  <c r="EI317" i="1"/>
  <c r="EN316" i="1"/>
  <c r="EK316" i="1"/>
  <c r="EI316" i="1"/>
  <c r="EN321" i="1"/>
  <c r="EK321" i="1"/>
  <c r="EI321" i="1"/>
  <c r="EN238" i="1"/>
  <c r="EI238" i="1"/>
  <c r="EK238" i="1"/>
  <c r="EN365" i="1"/>
  <c r="EK365" i="1"/>
  <c r="EI365" i="1"/>
  <c r="EN276" i="1"/>
  <c r="EK276" i="1"/>
  <c r="EI276" i="1"/>
  <c r="EN256" i="1"/>
  <c r="EI256" i="1"/>
  <c r="EK256" i="1"/>
  <c r="EN355" i="1"/>
  <c r="EI355" i="1"/>
  <c r="EK355" i="1"/>
  <c r="EN242" i="1"/>
  <c r="EK242" i="1"/>
  <c r="EI242" i="1"/>
  <c r="EN253" i="1"/>
  <c r="EI253" i="1"/>
  <c r="EK253" i="1"/>
  <c r="EN303" i="1"/>
  <c r="EI303" i="1"/>
  <c r="EK303" i="1"/>
  <c r="EN364" i="1"/>
  <c r="EK364" i="1"/>
  <c r="EI364" i="1"/>
  <c r="EN369" i="1"/>
  <c r="EK369" i="1"/>
  <c r="EI369" i="1"/>
  <c r="EN223" i="1"/>
  <c r="EK223" i="1"/>
  <c r="EI223" i="1"/>
  <c r="EN304" i="1"/>
  <c r="EK304" i="1"/>
  <c r="EI304" i="1"/>
  <c r="EN279" i="1"/>
  <c r="EK279" i="1"/>
  <c r="EI279" i="1"/>
  <c r="EN343" i="1"/>
  <c r="EI343" i="1"/>
  <c r="EK343" i="1"/>
  <c r="EN333" i="1"/>
  <c r="EI333" i="1"/>
  <c r="EK333" i="1"/>
  <c r="EN261" i="1"/>
  <c r="EI261" i="1"/>
  <c r="EK261" i="1"/>
  <c r="EN230" i="1"/>
  <c r="EI230" i="1"/>
  <c r="EK230" i="1"/>
  <c r="EN336" i="1"/>
  <c r="EK336" i="1"/>
  <c r="EI336" i="1"/>
  <c r="C22" i="34"/>
  <c r="EN339" i="1"/>
  <c r="EK339" i="1"/>
  <c r="EI339" i="1"/>
  <c r="EN255" i="1"/>
  <c r="EI255" i="1"/>
  <c r="EK255" i="1"/>
  <c r="EN220" i="1"/>
  <c r="EK220" i="1"/>
  <c r="EI220" i="1"/>
  <c r="EN294" i="1"/>
  <c r="EI294" i="1"/>
  <c r="EK294" i="1"/>
  <c r="EN346" i="1"/>
  <c r="EK346" i="1"/>
  <c r="EI346" i="1"/>
  <c r="EN327" i="1"/>
  <c r="EI327" i="1"/>
  <c r="EK327" i="1"/>
  <c r="DS163" i="1"/>
  <c r="EB163" i="1" s="1"/>
  <c r="CP163" i="1"/>
  <c r="CY163" i="1" s="1"/>
  <c r="AG344" i="1"/>
  <c r="D31" i="34"/>
  <c r="L31" i="34" s="1"/>
  <c r="AG332" i="1"/>
  <c r="D30" i="34"/>
  <c r="L30" i="34" s="1"/>
  <c r="AE260" i="1"/>
  <c r="K51" i="70" s="1"/>
  <c r="B24" i="34"/>
  <c r="J24" i="34" s="1"/>
  <c r="AG308" i="1"/>
  <c r="D28" i="34"/>
  <c r="L28" i="34" s="1"/>
  <c r="AE188" i="1"/>
  <c r="F18" i="34" s="1"/>
  <c r="B18" i="34"/>
  <c r="J18" i="34" s="1"/>
  <c r="AE332" i="1"/>
  <c r="K123" i="70" s="1"/>
  <c r="B30" i="34"/>
  <c r="J30" i="34" s="1"/>
  <c r="AE212" i="1"/>
  <c r="K3" i="70" s="1"/>
  <c r="B20" i="34"/>
  <c r="J20" i="34" s="1"/>
  <c r="AE200" i="1"/>
  <c r="F19" i="34" s="1"/>
  <c r="B19" i="34"/>
  <c r="J19" i="34" s="1"/>
  <c r="AG284" i="1"/>
  <c r="D26" i="34"/>
  <c r="L26" i="34" s="1"/>
  <c r="AE248" i="1"/>
  <c r="K39" i="70" s="1"/>
  <c r="B23" i="34"/>
  <c r="J23" i="34" s="1"/>
  <c r="DR154" i="1"/>
  <c r="EA154" i="1" s="1"/>
  <c r="CO154" i="1"/>
  <c r="CX154" i="1" s="1"/>
  <c r="AE176" i="1"/>
  <c r="F17" i="34" s="1"/>
  <c r="B17" i="34"/>
  <c r="J17" i="34" s="1"/>
  <c r="AE152" i="1"/>
  <c r="B15" i="34"/>
  <c r="AE272" i="1"/>
  <c r="K63" i="70" s="1"/>
  <c r="B25" i="34"/>
  <c r="J25" i="34" s="1"/>
  <c r="DR166" i="1"/>
  <c r="EA166" i="1" s="1"/>
  <c r="CO166" i="1"/>
  <c r="CX166" i="1" s="1"/>
  <c r="DR156" i="1"/>
  <c r="EA156" i="1" s="1"/>
  <c r="CO156" i="1"/>
  <c r="CX156" i="1" s="1"/>
  <c r="DS156" i="1"/>
  <c r="EB156" i="1" s="1"/>
  <c r="CP156" i="1"/>
  <c r="CY156" i="1" s="1"/>
  <c r="DT166" i="1"/>
  <c r="EC166" i="1" s="1"/>
  <c r="CQ166" i="1"/>
  <c r="CZ166" i="1" s="1"/>
  <c r="DR171" i="1"/>
  <c r="EA171" i="1" s="1"/>
  <c r="CO171" i="1"/>
  <c r="CX171" i="1" s="1"/>
  <c r="DR147" i="1"/>
  <c r="EA147" i="1" s="1"/>
  <c r="CO147" i="1"/>
  <c r="CX147" i="1" s="1"/>
  <c r="DS149" i="1"/>
  <c r="EB149" i="1" s="1"/>
  <c r="CP149" i="1"/>
  <c r="CY149" i="1" s="1"/>
  <c r="DR151" i="1"/>
  <c r="EA151" i="1" s="1"/>
  <c r="CO151" i="1"/>
  <c r="CX151" i="1" s="1"/>
  <c r="DS141" i="1"/>
  <c r="EB141" i="1" s="1"/>
  <c r="CP141" i="1"/>
  <c r="CY141" i="1" s="1"/>
  <c r="DS151" i="1"/>
  <c r="EB151" i="1" s="1"/>
  <c r="CP151" i="1"/>
  <c r="CY151" i="1" s="1"/>
  <c r="DR153" i="1"/>
  <c r="EA153" i="1" s="1"/>
  <c r="CO153" i="1"/>
  <c r="CX153" i="1" s="1"/>
  <c r="DT169" i="1"/>
  <c r="EC169" i="1" s="1"/>
  <c r="CQ169" i="1"/>
  <c r="CZ169" i="1" s="1"/>
  <c r="DT167" i="1"/>
  <c r="EC167" i="1" s="1"/>
  <c r="CQ167" i="1"/>
  <c r="CZ167" i="1" s="1"/>
  <c r="AE368" i="1"/>
  <c r="K159" i="70" s="1"/>
  <c r="B33" i="34"/>
  <c r="J33" i="34" s="1"/>
  <c r="AG368" i="1"/>
  <c r="D33" i="34"/>
  <c r="L33" i="34" s="1"/>
  <c r="AE308" i="1"/>
  <c r="K99" i="70" s="1"/>
  <c r="B28" i="34"/>
  <c r="J28" i="34" s="1"/>
  <c r="AE236" i="1"/>
  <c r="K27" i="70" s="1"/>
  <c r="B22" i="34"/>
  <c r="J22" i="34" s="1"/>
  <c r="L16" i="34"/>
  <c r="H16" i="34"/>
  <c r="D14" i="34"/>
  <c r="AE320" i="1"/>
  <c r="K111" i="70" s="1"/>
  <c r="B29" i="34"/>
  <c r="J29" i="34" s="1"/>
  <c r="DR148" i="1"/>
  <c r="EA148" i="1" s="1"/>
  <c r="CO148" i="1"/>
  <c r="CX148" i="1" s="1"/>
  <c r="AG320" i="1"/>
  <c r="D29" i="34"/>
  <c r="L29" i="34" s="1"/>
  <c r="D13" i="34"/>
  <c r="DR146" i="1"/>
  <c r="EA146" i="1" s="1"/>
  <c r="CO146" i="1"/>
  <c r="CX146" i="1" s="1"/>
  <c r="AG224" i="1"/>
  <c r="D21" i="34"/>
  <c r="L21" i="34" s="1"/>
  <c r="AE164" i="1"/>
  <c r="B16" i="34"/>
  <c r="AG188" i="1"/>
  <c r="H18" i="34" s="1"/>
  <c r="D18" i="34"/>
  <c r="L18" i="34" s="1"/>
  <c r="B13" i="34"/>
  <c r="DR149" i="1"/>
  <c r="EA149" i="1" s="1"/>
  <c r="CO149" i="1"/>
  <c r="CX149" i="1" s="1"/>
  <c r="DR141" i="1"/>
  <c r="EA141" i="1" s="1"/>
  <c r="CO141" i="1"/>
  <c r="CX141" i="1" s="1"/>
  <c r="DS150" i="1"/>
  <c r="EB150" i="1" s="1"/>
  <c r="CP150" i="1"/>
  <c r="CY150" i="1" s="1"/>
  <c r="DR162" i="1"/>
  <c r="EA162" i="1" s="1"/>
  <c r="CO162" i="1"/>
  <c r="CX162" i="1" s="1"/>
  <c r="DR174" i="1"/>
  <c r="EA174" i="1" s="1"/>
  <c r="CO174" i="1"/>
  <c r="CX174" i="1" s="1"/>
  <c r="DR159" i="1"/>
  <c r="EA159" i="1" s="1"/>
  <c r="CO159" i="1"/>
  <c r="CX159" i="1" s="1"/>
  <c r="DS146" i="1"/>
  <c r="EB146" i="1" s="1"/>
  <c r="CP146" i="1"/>
  <c r="CY146" i="1" s="1"/>
  <c r="DT158" i="1"/>
  <c r="EC158" i="1" s="1"/>
  <c r="CQ158" i="1"/>
  <c r="CZ158" i="1" s="1"/>
  <c r="DT171" i="1"/>
  <c r="EC171" i="1" s="1"/>
  <c r="CQ171" i="1"/>
  <c r="CZ171" i="1" s="1"/>
  <c r="DR142" i="1"/>
  <c r="EA142" i="1" s="1"/>
  <c r="CO142" i="1"/>
  <c r="CX142" i="1" s="1"/>
  <c r="DR158" i="1"/>
  <c r="EA158" i="1" s="1"/>
  <c r="CO158" i="1"/>
  <c r="CX158" i="1" s="1"/>
  <c r="DT175" i="1"/>
  <c r="EC175" i="1" s="1"/>
  <c r="CQ175" i="1"/>
  <c r="CZ175" i="1" s="1"/>
  <c r="DR175" i="1"/>
  <c r="EA175" i="1" s="1"/>
  <c r="CO175" i="1"/>
  <c r="CX175" i="1" s="1"/>
  <c r="DR157" i="1"/>
  <c r="EA157" i="1" s="1"/>
  <c r="CO157" i="1"/>
  <c r="CX157" i="1" s="1"/>
  <c r="DR143" i="1"/>
  <c r="EA143" i="1" s="1"/>
  <c r="CO143" i="1"/>
  <c r="CX143" i="1" s="1"/>
  <c r="AG356" i="1"/>
  <c r="D32" i="34"/>
  <c r="L32" i="34" s="1"/>
  <c r="AE344" i="1"/>
  <c r="K135" i="70" s="1"/>
  <c r="B31" i="34"/>
  <c r="J31" i="34" s="1"/>
  <c r="AG200" i="1"/>
  <c r="H19" i="34" s="1"/>
  <c r="D19" i="34"/>
  <c r="L19" i="34" s="1"/>
  <c r="AG236" i="1"/>
  <c r="D22" i="34"/>
  <c r="L22" i="34" s="1"/>
  <c r="AG272" i="1"/>
  <c r="D25" i="34"/>
  <c r="L25" i="34" s="1"/>
  <c r="AE140" i="1"/>
  <c r="B14" i="34"/>
  <c r="AE356" i="1"/>
  <c r="K147" i="70" s="1"/>
  <c r="B32" i="34"/>
  <c r="J32" i="34" s="1"/>
  <c r="AG296" i="1"/>
  <c r="D27" i="34"/>
  <c r="L27" i="34" s="1"/>
  <c r="AG212" i="1"/>
  <c r="D20" i="34"/>
  <c r="L20" i="34" s="1"/>
  <c r="AE284" i="1"/>
  <c r="K75" i="70" s="1"/>
  <c r="B26" i="34"/>
  <c r="J26" i="34" s="1"/>
  <c r="AG248" i="1"/>
  <c r="D23" i="34"/>
  <c r="L23" i="34" s="1"/>
  <c r="DR165" i="1"/>
  <c r="EA165" i="1" s="1"/>
  <c r="CO165" i="1"/>
  <c r="CX165" i="1" s="1"/>
  <c r="DS168" i="1"/>
  <c r="EB168" i="1" s="1"/>
  <c r="CP168" i="1"/>
  <c r="CY168" i="1" s="1"/>
  <c r="DR155" i="1"/>
  <c r="EA155" i="1" s="1"/>
  <c r="CO155" i="1"/>
  <c r="CX155" i="1" s="1"/>
  <c r="DR163" i="1"/>
  <c r="EA163" i="1" s="1"/>
  <c r="CO163" i="1"/>
  <c r="CX163" i="1" s="1"/>
  <c r="DR169" i="1"/>
  <c r="EA169" i="1" s="1"/>
  <c r="CO169" i="1"/>
  <c r="CX169" i="1" s="1"/>
  <c r="DS158" i="1"/>
  <c r="EB158" i="1" s="1"/>
  <c r="CP158" i="1"/>
  <c r="CY158" i="1" s="1"/>
  <c r="DR150" i="1"/>
  <c r="EA150" i="1" s="1"/>
  <c r="CO150" i="1"/>
  <c r="CX150" i="1" s="1"/>
  <c r="DT147" i="1"/>
  <c r="EC147" i="1" s="1"/>
  <c r="CQ147" i="1"/>
  <c r="CZ147" i="1" s="1"/>
  <c r="DR167" i="1"/>
  <c r="EA167" i="1" s="1"/>
  <c r="CO167" i="1"/>
  <c r="CX167" i="1" s="1"/>
  <c r="DS153" i="1"/>
  <c r="EB153" i="1" s="1"/>
  <c r="CP153" i="1"/>
  <c r="CY153" i="1" s="1"/>
  <c r="L15" i="34"/>
  <c r="AG260" i="1"/>
  <c r="D24" i="34"/>
  <c r="L24" i="34" s="1"/>
  <c r="AE224" i="1"/>
  <c r="B21" i="34"/>
  <c r="J21" i="34" s="1"/>
  <c r="AG176" i="1"/>
  <c r="H17" i="34" s="1"/>
  <c r="D17" i="34"/>
  <c r="L17" i="34" s="1"/>
  <c r="AE296" i="1"/>
  <c r="K87" i="70" s="1"/>
  <c r="B27" i="34"/>
  <c r="J27" i="34" s="1"/>
  <c r="DR144" i="1"/>
  <c r="EA144" i="1" s="1"/>
  <c r="CO144" i="1"/>
  <c r="CX144" i="1" s="1"/>
  <c r="DR173" i="1"/>
  <c r="EA173" i="1" s="1"/>
  <c r="CO173" i="1"/>
  <c r="CX173" i="1" s="1"/>
  <c r="DS148" i="1"/>
  <c r="EB148" i="1" s="1"/>
  <c r="CP148" i="1"/>
  <c r="CY148" i="1" s="1"/>
  <c r="DS174" i="1"/>
  <c r="EB174" i="1" s="1"/>
  <c r="CP174" i="1"/>
  <c r="CY174" i="1" s="1"/>
  <c r="DR170" i="1"/>
  <c r="EA170" i="1" s="1"/>
  <c r="CO170" i="1"/>
  <c r="CX170" i="1" s="1"/>
  <c r="DR161" i="1"/>
  <c r="EA161" i="1" s="1"/>
  <c r="CO161" i="1"/>
  <c r="CX161" i="1" s="1"/>
  <c r="DR168" i="1"/>
  <c r="EA168" i="1" s="1"/>
  <c r="CO168" i="1"/>
  <c r="CX168" i="1" s="1"/>
  <c r="DS167" i="1"/>
  <c r="EB167" i="1" s="1"/>
  <c r="CP167" i="1"/>
  <c r="CY167" i="1" s="1"/>
  <c r="DR172" i="1"/>
  <c r="EA172" i="1" s="1"/>
  <c r="CO172" i="1"/>
  <c r="CX172" i="1" s="1"/>
  <c r="DR145" i="1"/>
  <c r="EA145" i="1" s="1"/>
  <c r="CO145" i="1"/>
  <c r="CX145" i="1" s="1"/>
  <c r="DR160" i="1"/>
  <c r="EA160" i="1" s="1"/>
  <c r="CO160" i="1"/>
  <c r="CX160" i="1" s="1"/>
  <c r="DR322" i="1"/>
  <c r="EA322" i="1" s="1"/>
  <c r="CO322" i="1"/>
  <c r="CX322" i="1" s="1"/>
  <c r="DT269" i="1"/>
  <c r="EC269" i="1" s="1"/>
  <c r="CQ269" i="1"/>
  <c r="CZ269" i="1" s="1"/>
  <c r="DT322" i="1"/>
  <c r="EC322" i="1" s="1"/>
  <c r="CQ322" i="1"/>
  <c r="CZ322" i="1" s="1"/>
  <c r="DR209" i="1"/>
  <c r="EA209" i="1" s="1"/>
  <c r="CO209" i="1"/>
  <c r="CX209" i="1" s="1"/>
  <c r="DR210" i="1"/>
  <c r="EA210" i="1" s="1"/>
  <c r="CO210" i="1"/>
  <c r="CX210" i="1" s="1"/>
  <c r="DT210" i="1"/>
  <c r="EC210" i="1" s="1"/>
  <c r="CQ210" i="1"/>
  <c r="CZ210" i="1" s="1"/>
  <c r="DR342" i="1"/>
  <c r="EA342" i="1" s="1"/>
  <c r="CO342" i="1"/>
  <c r="CX342" i="1" s="1"/>
  <c r="DR251" i="1"/>
  <c r="EA251" i="1" s="1"/>
  <c r="CO251" i="1"/>
  <c r="CX251" i="1" s="1"/>
  <c r="DS329" i="1"/>
  <c r="EB329" i="1" s="1"/>
  <c r="CP329" i="1"/>
  <c r="CY329" i="1" s="1"/>
  <c r="DT274" i="1"/>
  <c r="EC274" i="1" s="1"/>
  <c r="CQ274" i="1"/>
  <c r="CZ274" i="1" s="1"/>
  <c r="DR323" i="1"/>
  <c r="EA323" i="1" s="1"/>
  <c r="CO323" i="1"/>
  <c r="CX323" i="1" s="1"/>
  <c r="DS229" i="1"/>
  <c r="EB229" i="1" s="1"/>
  <c r="CP229" i="1"/>
  <c r="CY229" i="1" s="1"/>
  <c r="DS193" i="1"/>
  <c r="EB193" i="1" s="1"/>
  <c r="CP193" i="1"/>
  <c r="CY193" i="1" s="1"/>
  <c r="DS304" i="1"/>
  <c r="EB304" i="1" s="1"/>
  <c r="CP304" i="1"/>
  <c r="CY304" i="1" s="1"/>
  <c r="CO300" i="1"/>
  <c r="CX300" i="1" s="1"/>
  <c r="DR300" i="1"/>
  <c r="EA300" i="1" s="1"/>
  <c r="DS204" i="1"/>
  <c r="EB204" i="1" s="1"/>
  <c r="CP204" i="1"/>
  <c r="CY204" i="1" s="1"/>
  <c r="DS279" i="1"/>
  <c r="EB279" i="1" s="1"/>
  <c r="CP279" i="1"/>
  <c r="CY279" i="1" s="1"/>
  <c r="DR313" i="1"/>
  <c r="EA313" i="1" s="1"/>
  <c r="CO313" i="1"/>
  <c r="CX313" i="1" s="1"/>
  <c r="DS181" i="1"/>
  <c r="EB181" i="1" s="1"/>
  <c r="CP181" i="1"/>
  <c r="CY181" i="1" s="1"/>
  <c r="DT305" i="1"/>
  <c r="EC305" i="1" s="1"/>
  <c r="CQ305" i="1"/>
  <c r="CZ305" i="1" s="1"/>
  <c r="DR289" i="1"/>
  <c r="EA289" i="1" s="1"/>
  <c r="CO289" i="1"/>
  <c r="CX289" i="1" s="1"/>
  <c r="DR331" i="1"/>
  <c r="EA331" i="1" s="1"/>
  <c r="CO331" i="1"/>
  <c r="CX331" i="1" s="1"/>
  <c r="DS351" i="1"/>
  <c r="EB351" i="1" s="1"/>
  <c r="CP351" i="1"/>
  <c r="CY351" i="1" s="1"/>
  <c r="DS232" i="1"/>
  <c r="EB232" i="1" s="1"/>
  <c r="CP232" i="1"/>
  <c r="CY232" i="1" s="1"/>
  <c r="DS186" i="1"/>
  <c r="EB186" i="1" s="1"/>
  <c r="CP186" i="1"/>
  <c r="CY186" i="1" s="1"/>
  <c r="DR245" i="1"/>
  <c r="EA245" i="1" s="1"/>
  <c r="CO245" i="1"/>
  <c r="CX245" i="1" s="1"/>
  <c r="DS343" i="1"/>
  <c r="EB343" i="1" s="1"/>
  <c r="CP343" i="1"/>
  <c r="CY343" i="1" s="1"/>
  <c r="DS246" i="1"/>
  <c r="EB246" i="1" s="1"/>
  <c r="CP246" i="1"/>
  <c r="CY246" i="1" s="1"/>
  <c r="DR316" i="1"/>
  <c r="EA316" i="1" s="1"/>
  <c r="CO316" i="1"/>
  <c r="CX316" i="1" s="1"/>
  <c r="DS245" i="1"/>
  <c r="EB245" i="1" s="1"/>
  <c r="CP245" i="1"/>
  <c r="CY245" i="1" s="1"/>
  <c r="DT319" i="1"/>
  <c r="EC319" i="1" s="1"/>
  <c r="CQ319" i="1"/>
  <c r="CZ319" i="1" s="1"/>
  <c r="DS333" i="1"/>
  <c r="EB333" i="1" s="1"/>
  <c r="CP333" i="1"/>
  <c r="CY333" i="1" s="1"/>
  <c r="DR180" i="1"/>
  <c r="EA180" i="1" s="1"/>
  <c r="CO180" i="1"/>
  <c r="CX180" i="1" s="1"/>
  <c r="DS302" i="1"/>
  <c r="EB302" i="1" s="1"/>
  <c r="CP302" i="1"/>
  <c r="CY302" i="1" s="1"/>
  <c r="DR297" i="1"/>
  <c r="EA297" i="1" s="1"/>
  <c r="CO297" i="1"/>
  <c r="CX297" i="1" s="1"/>
  <c r="DR325" i="1"/>
  <c r="EA325" i="1" s="1"/>
  <c r="CO325" i="1"/>
  <c r="CX325" i="1" s="1"/>
  <c r="DT258" i="1"/>
  <c r="EC258" i="1" s="1"/>
  <c r="CQ258" i="1"/>
  <c r="CZ258" i="1" s="1"/>
  <c r="DS261" i="1"/>
  <c r="EB261" i="1" s="1"/>
  <c r="CP261" i="1"/>
  <c r="CY261" i="1" s="1"/>
  <c r="DT364" i="1"/>
  <c r="EC364" i="1" s="1"/>
  <c r="CQ364" i="1"/>
  <c r="CZ364" i="1" s="1"/>
  <c r="DR187" i="1"/>
  <c r="EA187" i="1" s="1"/>
  <c r="CO187" i="1"/>
  <c r="CX187" i="1" s="1"/>
  <c r="DS318" i="1"/>
  <c r="EB318" i="1" s="1"/>
  <c r="CP318" i="1"/>
  <c r="CY318" i="1" s="1"/>
  <c r="DR376" i="1"/>
  <c r="EA376" i="1" s="1"/>
  <c r="CO376" i="1"/>
  <c r="CX376" i="1" s="1"/>
  <c r="DT328" i="1"/>
  <c r="EC328" i="1" s="1"/>
  <c r="CQ328" i="1"/>
  <c r="CZ328" i="1" s="1"/>
  <c r="DT366" i="1"/>
  <c r="EC366" i="1" s="1"/>
  <c r="CQ366" i="1"/>
  <c r="CZ366" i="1" s="1"/>
  <c r="DT198" i="1"/>
  <c r="EC198" i="1" s="1"/>
  <c r="CQ198" i="1"/>
  <c r="CZ198" i="1" s="1"/>
  <c r="DS303" i="1"/>
  <c r="EB303" i="1" s="1"/>
  <c r="CP303" i="1"/>
  <c r="CY303" i="1" s="1"/>
  <c r="DR337" i="1"/>
  <c r="EA337" i="1" s="1"/>
  <c r="CO337" i="1"/>
  <c r="CX337" i="1" s="1"/>
  <c r="DR273" i="1"/>
  <c r="EA273" i="1" s="1"/>
  <c r="CO273" i="1"/>
  <c r="CX273" i="1" s="1"/>
  <c r="DS210" i="1"/>
  <c r="EB210" i="1" s="1"/>
  <c r="CP210" i="1"/>
  <c r="CY210" i="1" s="1"/>
  <c r="DT259" i="1"/>
  <c r="EC259" i="1" s="1"/>
  <c r="CQ259" i="1"/>
  <c r="CZ259" i="1" s="1"/>
  <c r="DS199" i="1"/>
  <c r="EB199" i="1" s="1"/>
  <c r="CP199" i="1"/>
  <c r="CY199" i="1" s="1"/>
  <c r="DS185" i="1"/>
  <c r="EB185" i="1" s="1"/>
  <c r="CP185" i="1"/>
  <c r="CY185" i="1" s="1"/>
  <c r="DT335" i="1"/>
  <c r="EC335" i="1" s="1"/>
  <c r="CQ335" i="1"/>
  <c r="CZ335" i="1" s="1"/>
  <c r="DT214" i="1"/>
  <c r="EC214" i="1" s="1"/>
  <c r="CQ214" i="1"/>
  <c r="CZ214" i="1" s="1"/>
  <c r="DS228" i="1"/>
  <c r="EB228" i="1" s="1"/>
  <c r="CP228" i="1"/>
  <c r="CY228" i="1" s="1"/>
  <c r="DR196" i="1"/>
  <c r="EA196" i="1" s="1"/>
  <c r="CO196" i="1"/>
  <c r="CX196" i="1" s="1"/>
  <c r="DR217" i="1"/>
  <c r="EA217" i="1" s="1"/>
  <c r="CO217" i="1"/>
  <c r="CX217" i="1" s="1"/>
  <c r="DR276" i="1"/>
  <c r="EA276" i="1" s="1"/>
  <c r="CO276" i="1"/>
  <c r="CX276" i="1" s="1"/>
  <c r="DR281" i="1"/>
  <c r="EA281" i="1" s="1"/>
  <c r="CO281" i="1"/>
  <c r="CX281" i="1" s="1"/>
  <c r="DS335" i="1"/>
  <c r="EB335" i="1" s="1"/>
  <c r="CP335" i="1"/>
  <c r="CY335" i="1" s="1"/>
  <c r="DR366" i="1"/>
  <c r="EA366" i="1" s="1"/>
  <c r="CO366" i="1"/>
  <c r="CX366" i="1" s="1"/>
  <c r="DT339" i="1"/>
  <c r="EC339" i="1" s="1"/>
  <c r="CQ339" i="1"/>
  <c r="CZ339" i="1" s="1"/>
  <c r="DR309" i="1"/>
  <c r="EA309" i="1" s="1"/>
  <c r="CO309" i="1"/>
  <c r="CX309" i="1" s="1"/>
  <c r="DS374" i="1"/>
  <c r="EB374" i="1" s="1"/>
  <c r="CP374" i="1"/>
  <c r="CY374" i="1" s="1"/>
  <c r="DS230" i="1"/>
  <c r="EB230" i="1" s="1"/>
  <c r="CP230" i="1"/>
  <c r="CY230" i="1" s="1"/>
  <c r="DR359" i="1"/>
  <c r="EA359" i="1" s="1"/>
  <c r="CO359" i="1"/>
  <c r="CX359" i="1" s="1"/>
  <c r="DR373" i="1"/>
  <c r="EA373" i="1" s="1"/>
  <c r="CO373" i="1"/>
  <c r="CX373" i="1" s="1"/>
  <c r="DT377" i="1"/>
  <c r="EC377" i="1" s="1"/>
  <c r="CQ377" i="1"/>
  <c r="CZ377" i="1" s="1"/>
  <c r="DR194" i="1"/>
  <c r="EA194" i="1" s="1"/>
  <c r="CO194" i="1"/>
  <c r="CX194" i="1" s="1"/>
  <c r="DR206" i="1"/>
  <c r="EA206" i="1" s="1"/>
  <c r="CO206" i="1"/>
  <c r="CX206" i="1" s="1"/>
  <c r="DT243" i="1"/>
  <c r="EC243" i="1" s="1"/>
  <c r="CQ243" i="1"/>
  <c r="CZ243" i="1" s="1"/>
  <c r="DT218" i="1"/>
  <c r="EC218" i="1" s="1"/>
  <c r="CQ218" i="1"/>
  <c r="CZ218" i="1" s="1"/>
  <c r="DS191" i="1"/>
  <c r="EB191" i="1" s="1"/>
  <c r="CP191" i="1"/>
  <c r="CY191" i="1" s="1"/>
  <c r="DR361" i="1"/>
  <c r="EA361" i="1" s="1"/>
  <c r="CO361" i="1"/>
  <c r="CX361" i="1" s="1"/>
  <c r="DR253" i="1"/>
  <c r="EA253" i="1" s="1"/>
  <c r="CO253" i="1"/>
  <c r="CX253" i="1" s="1"/>
  <c r="DS338" i="1"/>
  <c r="EB338" i="1" s="1"/>
  <c r="CP338" i="1"/>
  <c r="CY338" i="1" s="1"/>
  <c r="DT288" i="1"/>
  <c r="EC288" i="1" s="1"/>
  <c r="CQ288" i="1"/>
  <c r="CZ288" i="1" s="1"/>
  <c r="DR216" i="1"/>
  <c r="EA216" i="1" s="1"/>
  <c r="CO216" i="1"/>
  <c r="CX216" i="1" s="1"/>
  <c r="DR252" i="1"/>
  <c r="EA252" i="1" s="1"/>
  <c r="CO252" i="1"/>
  <c r="CX252" i="1" s="1"/>
  <c r="DR203" i="1"/>
  <c r="EA203" i="1" s="1"/>
  <c r="CO203" i="1"/>
  <c r="CX203" i="1" s="1"/>
  <c r="DT334" i="1"/>
  <c r="EC334" i="1" s="1"/>
  <c r="CQ334" i="1"/>
  <c r="CZ334" i="1" s="1"/>
  <c r="DT317" i="1"/>
  <c r="EC317" i="1" s="1"/>
  <c r="CQ317" i="1"/>
  <c r="CZ317" i="1" s="1"/>
  <c r="DS317" i="1"/>
  <c r="EB317" i="1" s="1"/>
  <c r="CP317" i="1"/>
  <c r="CY317" i="1" s="1"/>
  <c r="DT220" i="1"/>
  <c r="EC220" i="1" s="1"/>
  <c r="CQ220" i="1"/>
  <c r="CZ220" i="1" s="1"/>
  <c r="DS184" i="1"/>
  <c r="EB184" i="1" s="1"/>
  <c r="CP184" i="1"/>
  <c r="CY184" i="1" s="1"/>
  <c r="DR269" i="1"/>
  <c r="EA269" i="1" s="1"/>
  <c r="CO269" i="1"/>
  <c r="CX269" i="1" s="1"/>
  <c r="DT204" i="1"/>
  <c r="EC204" i="1" s="1"/>
  <c r="CQ204" i="1"/>
  <c r="CZ204" i="1" s="1"/>
  <c r="DT234" i="1"/>
  <c r="EC234" i="1" s="1"/>
  <c r="CQ234" i="1"/>
  <c r="CZ234" i="1" s="1"/>
  <c r="DR186" i="1"/>
  <c r="EA186" i="1" s="1"/>
  <c r="CO186" i="1"/>
  <c r="CX186" i="1" s="1"/>
  <c r="DR307" i="1"/>
  <c r="EA307" i="1" s="1"/>
  <c r="CO307" i="1"/>
  <c r="CX307" i="1" s="1"/>
  <c r="DS347" i="1"/>
  <c r="EB347" i="1" s="1"/>
  <c r="CP347" i="1"/>
  <c r="CY347" i="1" s="1"/>
  <c r="DR363" i="1"/>
  <c r="EA363" i="1" s="1"/>
  <c r="CO363" i="1"/>
  <c r="CX363" i="1" s="1"/>
  <c r="DR222" i="1"/>
  <c r="EA222" i="1" s="1"/>
  <c r="CO222" i="1"/>
  <c r="CX222" i="1" s="1"/>
  <c r="DS316" i="1"/>
  <c r="EB316" i="1" s="1"/>
  <c r="CP316" i="1"/>
  <c r="CY316" i="1" s="1"/>
  <c r="DR205" i="1"/>
  <c r="EA205" i="1" s="1"/>
  <c r="CO205" i="1"/>
  <c r="CX205" i="1" s="1"/>
  <c r="DS321" i="1"/>
  <c r="EB321" i="1" s="1"/>
  <c r="CP321" i="1"/>
  <c r="CY321" i="1" s="1"/>
  <c r="DT325" i="1"/>
  <c r="EC325" i="1" s="1"/>
  <c r="CQ325" i="1"/>
  <c r="CZ325" i="1" s="1"/>
  <c r="DS247" i="1"/>
  <c r="EB247" i="1" s="1"/>
  <c r="CP247" i="1"/>
  <c r="CY247" i="1" s="1"/>
  <c r="DS297" i="1"/>
  <c r="EB297" i="1" s="1"/>
  <c r="CP297" i="1"/>
  <c r="CY297" i="1" s="1"/>
  <c r="DR328" i="1"/>
  <c r="EA328" i="1" s="1"/>
  <c r="CO328" i="1"/>
  <c r="CX328" i="1" s="1"/>
  <c r="DR343" i="1"/>
  <c r="EA343" i="1" s="1"/>
  <c r="CO343" i="1"/>
  <c r="CX343" i="1" s="1"/>
  <c r="DS336" i="1"/>
  <c r="EB336" i="1" s="1"/>
  <c r="CP336" i="1"/>
  <c r="CY336" i="1" s="1"/>
  <c r="DT281" i="1"/>
  <c r="EC281" i="1" s="1"/>
  <c r="CQ281" i="1"/>
  <c r="CZ281" i="1" s="1"/>
  <c r="DT276" i="1"/>
  <c r="EC276" i="1" s="1"/>
  <c r="CQ276" i="1"/>
  <c r="CZ276" i="1" s="1"/>
  <c r="DT327" i="1"/>
  <c r="EC327" i="1" s="1"/>
  <c r="CQ327" i="1"/>
  <c r="CZ327" i="1" s="1"/>
  <c r="DR347" i="1"/>
  <c r="EA347" i="1" s="1"/>
  <c r="CO347" i="1"/>
  <c r="CX347" i="1" s="1"/>
  <c r="DS225" i="1"/>
  <c r="EB225" i="1" s="1"/>
  <c r="CP225" i="1"/>
  <c r="CY225" i="1" s="1"/>
  <c r="CP360" i="1"/>
  <c r="CY360" i="1" s="1"/>
  <c r="DS360" i="1"/>
  <c r="EB360" i="1" s="1"/>
  <c r="DR370" i="1"/>
  <c r="EA370" i="1" s="1"/>
  <c r="CO370" i="1"/>
  <c r="CX370" i="1" s="1"/>
  <c r="DT221" i="1"/>
  <c r="EC221" i="1" s="1"/>
  <c r="CQ221" i="1"/>
  <c r="CZ221" i="1" s="1"/>
  <c r="DS253" i="1"/>
  <c r="EB253" i="1" s="1"/>
  <c r="CP253" i="1"/>
  <c r="CY253" i="1" s="1"/>
  <c r="DR258" i="1"/>
  <c r="EA258" i="1" s="1"/>
  <c r="CO258" i="1"/>
  <c r="CX258" i="1" s="1"/>
  <c r="DT237" i="1"/>
  <c r="EC237" i="1" s="1"/>
  <c r="CQ237" i="1"/>
  <c r="CZ237" i="1" s="1"/>
  <c r="DS334" i="1"/>
  <c r="EB334" i="1" s="1"/>
  <c r="CP334" i="1"/>
  <c r="CY334" i="1" s="1"/>
  <c r="DT310" i="1"/>
  <c r="EC310" i="1" s="1"/>
  <c r="CQ310" i="1"/>
  <c r="CZ310" i="1" s="1"/>
  <c r="DS364" i="1"/>
  <c r="EB364" i="1" s="1"/>
  <c r="CP364" i="1"/>
  <c r="CY364" i="1" s="1"/>
  <c r="DT293" i="1"/>
  <c r="EC293" i="1" s="1"/>
  <c r="CQ293" i="1"/>
  <c r="CZ293" i="1" s="1"/>
  <c r="DT355" i="1"/>
  <c r="EC355" i="1" s="1"/>
  <c r="CQ355" i="1"/>
  <c r="CZ355" i="1" s="1"/>
  <c r="DS307" i="1"/>
  <c r="EB307" i="1" s="1"/>
  <c r="CP307" i="1"/>
  <c r="CY307" i="1" s="1"/>
  <c r="DS182" i="1"/>
  <c r="EB182" i="1" s="1"/>
  <c r="CP182" i="1"/>
  <c r="CY182" i="1" s="1"/>
  <c r="DS202" i="1"/>
  <c r="EB202" i="1" s="1"/>
  <c r="CP202" i="1"/>
  <c r="CY202" i="1" s="1"/>
  <c r="DT233" i="1"/>
  <c r="EC233" i="1" s="1"/>
  <c r="CQ233" i="1"/>
  <c r="CZ233" i="1" s="1"/>
  <c r="DT195" i="1"/>
  <c r="EC195" i="1" s="1"/>
  <c r="CQ195" i="1"/>
  <c r="CZ195" i="1" s="1"/>
  <c r="DS369" i="1"/>
  <c r="EB369" i="1" s="1"/>
  <c r="CP369" i="1"/>
  <c r="CY369" i="1" s="1"/>
  <c r="DR327" i="1"/>
  <c r="EA327" i="1" s="1"/>
  <c r="CO327" i="1"/>
  <c r="CX327" i="1" s="1"/>
  <c r="DS223" i="1"/>
  <c r="EB223" i="1" s="1"/>
  <c r="CP223" i="1"/>
  <c r="CY223" i="1" s="1"/>
  <c r="DR374" i="1"/>
  <c r="EA374" i="1" s="1"/>
  <c r="CO374" i="1"/>
  <c r="CX374" i="1" s="1"/>
  <c r="DS377" i="1"/>
  <c r="EB377" i="1" s="1"/>
  <c r="CP377" i="1"/>
  <c r="CY377" i="1" s="1"/>
  <c r="DR298" i="1"/>
  <c r="EA298" i="1" s="1"/>
  <c r="CO298" i="1"/>
  <c r="CX298" i="1" s="1"/>
  <c r="DS274" i="1"/>
  <c r="EB274" i="1" s="1"/>
  <c r="CP274" i="1"/>
  <c r="CY274" i="1" s="1"/>
  <c r="DT354" i="1"/>
  <c r="EC354" i="1" s="1"/>
  <c r="CQ354" i="1"/>
  <c r="CZ354" i="1" s="1"/>
  <c r="DS238" i="1"/>
  <c r="EB238" i="1" s="1"/>
  <c r="CP238" i="1"/>
  <c r="CY238" i="1" s="1"/>
  <c r="DS365" i="1"/>
  <c r="EB365" i="1" s="1"/>
  <c r="CP365" i="1"/>
  <c r="CY365" i="1" s="1"/>
  <c r="DS276" i="1"/>
  <c r="EB276" i="1" s="1"/>
  <c r="CP276" i="1"/>
  <c r="CY276" i="1" s="1"/>
  <c r="DS339" i="1"/>
  <c r="EB339" i="1" s="1"/>
  <c r="CP339" i="1"/>
  <c r="CY339" i="1" s="1"/>
  <c r="DR277" i="1"/>
  <c r="EA277" i="1" s="1"/>
  <c r="CO277" i="1"/>
  <c r="CX277" i="1" s="1"/>
  <c r="DS255" i="1"/>
  <c r="EB255" i="1" s="1"/>
  <c r="CP255" i="1"/>
  <c r="CY255" i="1" s="1"/>
  <c r="DT336" i="1"/>
  <c r="EC336" i="1" s="1"/>
  <c r="CQ336" i="1"/>
  <c r="CZ336" i="1" s="1"/>
  <c r="DS256" i="1"/>
  <c r="EB256" i="1" s="1"/>
  <c r="CP256" i="1"/>
  <c r="CY256" i="1" s="1"/>
  <c r="DR285" i="1"/>
  <c r="EA285" i="1" s="1"/>
  <c r="CO285" i="1"/>
  <c r="CX285" i="1" s="1"/>
  <c r="DS195" i="1"/>
  <c r="EB195" i="1" s="1"/>
  <c r="CP195" i="1"/>
  <c r="CY195" i="1" s="1"/>
  <c r="DS220" i="1"/>
  <c r="EB220" i="1" s="1"/>
  <c r="CP220" i="1"/>
  <c r="CY220" i="1" s="1"/>
  <c r="DT352" i="1"/>
  <c r="EC352" i="1" s="1"/>
  <c r="CQ352" i="1"/>
  <c r="CZ352" i="1" s="1"/>
  <c r="DT270" i="1"/>
  <c r="EC270" i="1" s="1"/>
  <c r="CQ270" i="1"/>
  <c r="CZ270" i="1" s="1"/>
  <c r="DT187" i="1"/>
  <c r="EC187" i="1" s="1"/>
  <c r="CQ187" i="1"/>
  <c r="CZ187" i="1" s="1"/>
  <c r="DS355" i="1"/>
  <c r="EB355" i="1" s="1"/>
  <c r="CP355" i="1"/>
  <c r="CY355" i="1" s="1"/>
  <c r="DT206" i="1"/>
  <c r="EC206" i="1" s="1"/>
  <c r="CQ206" i="1"/>
  <c r="CZ206" i="1" s="1"/>
  <c r="DR230" i="1"/>
  <c r="EA230" i="1" s="1"/>
  <c r="CO230" i="1"/>
  <c r="CX230" i="1" s="1"/>
  <c r="DS294" i="1"/>
  <c r="EB294" i="1" s="1"/>
  <c r="CP294" i="1"/>
  <c r="CY294" i="1" s="1"/>
  <c r="DR215" i="1"/>
  <c r="EA215" i="1" s="1"/>
  <c r="CO215" i="1"/>
  <c r="CX215" i="1" s="1"/>
  <c r="DS269" i="1"/>
  <c r="EB269" i="1" s="1"/>
  <c r="CP269" i="1"/>
  <c r="CY269" i="1" s="1"/>
  <c r="DR315" i="1"/>
  <c r="EA315" i="1" s="1"/>
  <c r="CO315" i="1"/>
  <c r="CX315" i="1" s="1"/>
  <c r="DT201" i="1"/>
  <c r="EC201" i="1" s="1"/>
  <c r="CQ201" i="1"/>
  <c r="CZ201" i="1" s="1"/>
  <c r="DR301" i="1"/>
  <c r="EA301" i="1" s="1"/>
  <c r="CO301" i="1"/>
  <c r="CX301" i="1" s="1"/>
  <c r="DS268" i="1"/>
  <c r="EB268" i="1" s="1"/>
  <c r="CP268" i="1"/>
  <c r="CY268" i="1" s="1"/>
  <c r="DT300" i="1"/>
  <c r="EC300" i="1" s="1"/>
  <c r="CQ300" i="1"/>
  <c r="CZ300" i="1" s="1"/>
  <c r="DR250" i="1"/>
  <c r="EA250" i="1" s="1"/>
  <c r="CO250" i="1"/>
  <c r="CX250" i="1" s="1"/>
  <c r="DR256" i="1"/>
  <c r="EA256" i="1" s="1"/>
  <c r="CO256" i="1"/>
  <c r="CX256" i="1" s="1"/>
  <c r="DR239" i="1"/>
  <c r="EA239" i="1" s="1"/>
  <c r="CO239" i="1"/>
  <c r="CX239" i="1" s="1"/>
  <c r="DR333" i="1"/>
  <c r="EA333" i="1" s="1"/>
  <c r="CO333" i="1"/>
  <c r="CX333" i="1" s="1"/>
  <c r="DT318" i="1"/>
  <c r="EC318" i="1" s="1"/>
  <c r="CQ318" i="1"/>
  <c r="CZ318" i="1" s="1"/>
  <c r="DT245" i="1"/>
  <c r="EC245" i="1" s="1"/>
  <c r="CQ245" i="1"/>
  <c r="CZ245" i="1" s="1"/>
  <c r="DR214" i="1"/>
  <c r="EA214" i="1" s="1"/>
  <c r="CO214" i="1"/>
  <c r="CX214" i="1" s="1"/>
  <c r="DT302" i="1"/>
  <c r="EC302" i="1" s="1"/>
  <c r="CQ302" i="1"/>
  <c r="CZ302" i="1" s="1"/>
  <c r="DT361" i="1"/>
  <c r="EC361" i="1" s="1"/>
  <c r="CQ361" i="1"/>
  <c r="CZ361" i="1" s="1"/>
  <c r="DT205" i="1"/>
  <c r="EC205" i="1" s="1"/>
  <c r="CQ205" i="1"/>
  <c r="CZ205" i="1" s="1"/>
  <c r="DS346" i="1"/>
  <c r="EB346" i="1" s="1"/>
  <c r="CP346" i="1"/>
  <c r="CY346" i="1" s="1"/>
  <c r="DT239" i="1"/>
  <c r="EC239" i="1" s="1"/>
  <c r="CQ239" i="1"/>
  <c r="CZ239" i="1" s="1"/>
  <c r="DR182" i="1"/>
  <c r="EA182" i="1" s="1"/>
  <c r="CO182" i="1"/>
  <c r="CX182" i="1" s="1"/>
  <c r="DT287" i="1"/>
  <c r="EC287" i="1" s="1"/>
  <c r="CQ287" i="1"/>
  <c r="CZ287" i="1" s="1"/>
  <c r="DR312" i="1"/>
  <c r="EA312" i="1" s="1"/>
  <c r="CO312" i="1"/>
  <c r="CX312" i="1" s="1"/>
  <c r="DS330" i="1"/>
  <c r="EB330" i="1" s="1"/>
  <c r="CP330" i="1"/>
  <c r="CY330" i="1" s="1"/>
  <c r="DS242" i="1"/>
  <c r="EB242" i="1" s="1"/>
  <c r="CP242" i="1"/>
  <c r="CY242" i="1" s="1"/>
  <c r="DT324" i="1"/>
  <c r="EC324" i="1" s="1"/>
  <c r="CQ324" i="1"/>
  <c r="CZ324" i="1" s="1"/>
  <c r="DR190" i="1"/>
  <c r="EA190" i="1" s="1"/>
  <c r="CO190" i="1"/>
  <c r="CX190" i="1" s="1"/>
  <c r="DT189" i="1"/>
  <c r="EC189" i="1" s="1"/>
  <c r="CQ189" i="1"/>
  <c r="CZ189" i="1" s="1"/>
  <c r="DS180" i="1"/>
  <c r="EB180" i="1" s="1"/>
  <c r="CP180" i="1"/>
  <c r="CY180" i="1" s="1"/>
  <c r="DR283" i="1"/>
  <c r="EA283" i="1" s="1"/>
  <c r="CO283" i="1"/>
  <c r="CX283" i="1" s="1"/>
  <c r="DS327" i="1"/>
  <c r="EB327" i="1" s="1"/>
  <c r="CP327" i="1"/>
  <c r="CY327" i="1" s="1"/>
  <c r="C29" i="34"/>
  <c r="K29" i="34" s="1"/>
  <c r="C24" i="34"/>
  <c r="K24" i="34" s="1"/>
  <c r="C14" i="34"/>
  <c r="C15" i="34"/>
  <c r="K15" i="34" s="1"/>
  <c r="C16" i="34"/>
  <c r="K16" i="34" s="1"/>
  <c r="D11" i="66" s="1"/>
  <c r="C27" i="34"/>
  <c r="C25" i="34"/>
  <c r="K25" i="34" s="1"/>
  <c r="D20" i="66" s="1"/>
  <c r="M24" i="2"/>
  <c r="DX24" i="2" s="1"/>
  <c r="C19" i="34"/>
  <c r="C18" i="34"/>
  <c r="K18" i="34" s="1"/>
  <c r="D13" i="66" s="1"/>
  <c r="C32" i="34"/>
  <c r="K32" i="34" s="1"/>
  <c r="C26" i="34"/>
  <c r="C31" i="34"/>
  <c r="C17" i="34"/>
  <c r="K17" i="34" s="1"/>
  <c r="C21" i="34"/>
  <c r="K22" i="34"/>
  <c r="K20" i="34"/>
  <c r="D15" i="66" s="1"/>
  <c r="M30" i="2"/>
  <c r="AF140" i="1"/>
  <c r="AF273" i="1"/>
  <c r="L64" i="70" s="1"/>
  <c r="AG172" i="1"/>
  <c r="AF299" i="1"/>
  <c r="L90" i="70" s="1"/>
  <c r="AF207" i="1"/>
  <c r="AF159" i="1"/>
  <c r="AF179" i="1"/>
  <c r="AF305" i="1"/>
  <c r="L96" i="70" s="1"/>
  <c r="AG156" i="1"/>
  <c r="AG170" i="1"/>
  <c r="AF216" i="1"/>
  <c r="L7" i="70" s="1"/>
  <c r="AF161" i="1"/>
  <c r="AF306" i="1"/>
  <c r="L97" i="70" s="1"/>
  <c r="AF349" i="1"/>
  <c r="L140" i="70" s="1"/>
  <c r="AG155" i="1"/>
  <c r="AF208" i="1"/>
  <c r="AF275" i="1"/>
  <c r="L66" i="70" s="1"/>
  <c r="AF293" i="1"/>
  <c r="L84" i="70" s="1"/>
  <c r="AG144" i="1"/>
  <c r="AF152" i="1"/>
  <c r="AF332" i="1"/>
  <c r="L123" i="70" s="1"/>
  <c r="M35" i="2"/>
  <c r="DX35" i="2" s="1"/>
  <c r="AF296" i="1"/>
  <c r="L87" i="70" s="1"/>
  <c r="M32" i="2"/>
  <c r="DX32" i="2" s="1"/>
  <c r="AF284" i="1"/>
  <c r="L75" i="70" s="1"/>
  <c r="M31" i="2"/>
  <c r="DX31" i="2" s="1"/>
  <c r="AF344" i="1"/>
  <c r="L135" i="70" s="1"/>
  <c r="AF224" i="1"/>
  <c r="L15" i="70" s="1"/>
  <c r="M26" i="2"/>
  <c r="DX26" i="2" s="1"/>
  <c r="M36" i="2"/>
  <c r="DX36" i="2" s="1"/>
  <c r="M20" i="2"/>
  <c r="DX20" i="2" s="1"/>
  <c r="AF145" i="1"/>
  <c r="AF320" i="1"/>
  <c r="L111" i="70" s="1"/>
  <c r="AF308" i="1"/>
  <c r="L99" i="70" s="1"/>
  <c r="M33" i="2"/>
  <c r="DX33" i="2" s="1"/>
  <c r="AF260" i="1"/>
  <c r="L51" i="70" s="1"/>
  <c r="M29" i="2"/>
  <c r="DX29" i="2" s="1"/>
  <c r="AF236" i="1"/>
  <c r="L27" i="70" s="1"/>
  <c r="M27" i="2"/>
  <c r="DX27" i="2" s="1"/>
  <c r="AF200" i="1"/>
  <c r="AF248" i="1"/>
  <c r="L39" i="70" s="1"/>
  <c r="M28" i="2"/>
  <c r="DX28" i="2" s="1"/>
  <c r="AF367" i="1"/>
  <c r="L158" i="70" s="1"/>
  <c r="M19" i="2"/>
  <c r="DX19" i="2" s="1"/>
  <c r="AF356" i="1"/>
  <c r="L147" i="70" s="1"/>
  <c r="M37" i="2"/>
  <c r="DX37" i="2" s="1"/>
  <c r="AF368" i="1"/>
  <c r="L159" i="70" s="1"/>
  <c r="M38" i="2"/>
  <c r="DX38" i="2" s="1"/>
  <c r="AF176" i="1"/>
  <c r="M22" i="2"/>
  <c r="DX22" i="2" s="1"/>
  <c r="M18" i="2"/>
  <c r="DX18" i="2" s="1"/>
  <c r="AF359" i="1"/>
  <c r="L150" i="70" s="1"/>
  <c r="AF188" i="1"/>
  <c r="M23" i="2"/>
  <c r="DX23" i="2" s="1"/>
  <c r="AF378" i="1"/>
  <c r="L169" i="70" s="1"/>
  <c r="AF235" i="1"/>
  <c r="L26" i="70" s="1"/>
  <c r="AF272" i="1"/>
  <c r="L63" i="70" s="1"/>
  <c r="AF164" i="1"/>
  <c r="M21" i="2"/>
  <c r="DX21" i="2" s="1"/>
  <c r="AF212" i="1"/>
  <c r="L3" i="70" s="1"/>
  <c r="M25" i="2"/>
  <c r="DX25" i="2" s="1"/>
  <c r="M34" i="2"/>
  <c r="DX34" i="2" s="1"/>
  <c r="AF187" i="1"/>
  <c r="AF295" i="1"/>
  <c r="L86" i="70" s="1"/>
  <c r="AF178" i="1"/>
  <c r="L36" i="2"/>
  <c r="AG164" i="1"/>
  <c r="N21" i="2"/>
  <c r="N30" i="2"/>
  <c r="N33" i="2"/>
  <c r="L25" i="2"/>
  <c r="L19" i="2"/>
  <c r="L23" i="2"/>
  <c r="L24" i="2"/>
  <c r="AG140" i="1"/>
  <c r="N19" i="2"/>
  <c r="AF213" i="1"/>
  <c r="L4" i="70" s="1"/>
  <c r="AF291" i="1"/>
  <c r="L82" i="70" s="1"/>
  <c r="AG150" i="1"/>
  <c r="AF165" i="1"/>
  <c r="L38" i="2"/>
  <c r="N37" i="2"/>
  <c r="AF372" i="1"/>
  <c r="L163" i="70" s="1"/>
  <c r="N38" i="2"/>
  <c r="L33" i="2"/>
  <c r="N24" i="2"/>
  <c r="N35" i="2"/>
  <c r="N27" i="2"/>
  <c r="L29" i="2"/>
  <c r="L35" i="2"/>
  <c r="AG154" i="1"/>
  <c r="AF358" i="1"/>
  <c r="L149" i="70" s="1"/>
  <c r="AG148" i="1"/>
  <c r="AF373" i="1"/>
  <c r="L164" i="70" s="1"/>
  <c r="L27" i="2"/>
  <c r="AF362" i="1"/>
  <c r="L153" i="70" s="1"/>
  <c r="L34" i="2"/>
  <c r="AF371" i="1"/>
  <c r="L162" i="70" s="1"/>
  <c r="AF348" i="1"/>
  <c r="L139" i="70" s="1"/>
  <c r="AF157" i="1"/>
  <c r="N36" i="2"/>
  <c r="AF366" i="1"/>
  <c r="L157" i="70" s="1"/>
  <c r="AF340" i="1"/>
  <c r="L131" i="70" s="1"/>
  <c r="AF215" i="1"/>
  <c r="L6" i="70" s="1"/>
  <c r="AG152" i="1"/>
  <c r="N20" i="2"/>
  <c r="AG174" i="1"/>
  <c r="AF357" i="1"/>
  <c r="L148" i="70" s="1"/>
  <c r="N26" i="2"/>
  <c r="N25" i="2"/>
  <c r="L31" i="2"/>
  <c r="N23" i="2"/>
  <c r="N28" i="2"/>
  <c r="AF354" i="1"/>
  <c r="L145" i="70" s="1"/>
  <c r="N32" i="2"/>
  <c r="AF322" i="1"/>
  <c r="L113" i="70" s="1"/>
  <c r="L28" i="2"/>
  <c r="AF142" i="1"/>
  <c r="AG142" i="1"/>
  <c r="AF370" i="1"/>
  <c r="L161" i="70" s="1"/>
  <c r="L37" i="2"/>
  <c r="N34" i="2"/>
  <c r="AF231" i="1"/>
  <c r="L22" i="70" s="1"/>
  <c r="W4" i="70" s="1"/>
  <c r="W26" i="70" s="1"/>
  <c r="AF286" i="1"/>
  <c r="L77" i="70" s="1"/>
  <c r="N29" i="2"/>
  <c r="L32" i="2"/>
  <c r="AF379" i="1"/>
  <c r="L170" i="70" s="1"/>
  <c r="AF350" i="1"/>
  <c r="L141" i="70" s="1"/>
  <c r="N31" i="2"/>
  <c r="N18" i="2"/>
  <c r="L26" i="2"/>
  <c r="L22" i="2"/>
  <c r="L21" i="2"/>
  <c r="N22" i="2"/>
  <c r="L20" i="2"/>
  <c r="L30" i="2"/>
  <c r="L18" i="2"/>
  <c r="AF282" i="1"/>
  <c r="L73" i="70" s="1"/>
  <c r="AF234" i="1"/>
  <c r="L25" i="70" s="1"/>
  <c r="AF198" i="1"/>
  <c r="AF169" i="1"/>
  <c r="AF314" i="1"/>
  <c r="L105" i="70" s="1"/>
  <c r="AF287" i="1"/>
  <c r="L78" i="70" s="1"/>
  <c r="AF266" i="1"/>
  <c r="L57" i="70" s="1"/>
  <c r="AF192" i="1"/>
  <c r="AF288" i="1"/>
  <c r="L79" i="70" s="1"/>
  <c r="AF290" i="1"/>
  <c r="L81" i="70" s="1"/>
  <c r="AG145" i="1"/>
  <c r="AF249" i="1"/>
  <c r="L40" i="70" s="1"/>
  <c r="AF143" i="1"/>
  <c r="AF183" i="1"/>
  <c r="AF250" i="1"/>
  <c r="L41" i="70" s="1"/>
  <c r="AF262" i="1"/>
  <c r="L53" i="70" s="1"/>
  <c r="AF197" i="1"/>
  <c r="AF278" i="1"/>
  <c r="L69" i="70" s="1"/>
  <c r="AF352" i="1"/>
  <c r="L143" i="70" s="1"/>
  <c r="AF209" i="1"/>
  <c r="AF325" i="1"/>
  <c r="L116" i="70" s="1"/>
  <c r="AF315" i="1"/>
  <c r="L106" i="70" s="1"/>
  <c r="AF154" i="1"/>
  <c r="AF345" i="1"/>
  <c r="L136" i="70" s="1"/>
  <c r="AF252" i="1"/>
  <c r="L43" i="70" s="1"/>
  <c r="AF173" i="1"/>
  <c r="AF323" i="1"/>
  <c r="L114" i="70" s="1"/>
  <c r="AF289" i="1"/>
  <c r="L80" i="70" s="1"/>
  <c r="AG162" i="1"/>
  <c r="AF211" i="1"/>
  <c r="AF206" i="1"/>
  <c r="AF201" i="1"/>
  <c r="AF363" i="1"/>
  <c r="L154" i="70" s="1"/>
  <c r="AF155" i="1"/>
  <c r="AG143" i="1"/>
  <c r="AF337" i="1"/>
  <c r="L128" i="70" s="1"/>
  <c r="AG146" i="1"/>
  <c r="AF170" i="1"/>
  <c r="AF203" i="1"/>
  <c r="AG163" i="1"/>
  <c r="AG160" i="1"/>
  <c r="AF240" i="1"/>
  <c r="L31" i="70" s="1"/>
  <c r="AF214" i="1"/>
  <c r="L5" i="70" s="1"/>
  <c r="AF285" i="1"/>
  <c r="L76" i="70" s="1"/>
  <c r="AF172" i="1"/>
  <c r="AF331" i="1"/>
  <c r="L122" i="70" s="1"/>
  <c r="AF160" i="1"/>
  <c r="AG161" i="1"/>
  <c r="AG173" i="1"/>
  <c r="AF311" i="1"/>
  <c r="L102" i="70" s="1"/>
  <c r="AF326" i="1"/>
  <c r="L117" i="70" s="1"/>
  <c r="AF218" i="1"/>
  <c r="L9" i="70" s="1"/>
  <c r="AF162" i="1"/>
  <c r="AF166" i="1"/>
  <c r="AF244" i="1"/>
  <c r="L35" i="70" s="1"/>
  <c r="AF341" i="1"/>
  <c r="L132" i="70" s="1"/>
  <c r="AG149" i="1"/>
  <c r="AF280" i="1"/>
  <c r="L71" i="70" s="1"/>
  <c r="AF271" i="1"/>
  <c r="L62" i="70" s="1"/>
  <c r="AG159" i="1"/>
  <c r="AF353" i="1"/>
  <c r="L144" i="70" s="1"/>
  <c r="AF300" i="1"/>
  <c r="L91" i="70" s="1"/>
  <c r="AG168" i="1"/>
  <c r="AF241" i="1"/>
  <c r="L32" i="70" s="1"/>
  <c r="AF313" i="1"/>
  <c r="L104" i="70" s="1"/>
  <c r="AF221" i="1"/>
  <c r="L12" i="70" s="1"/>
  <c r="AF309" i="1"/>
  <c r="L100" i="70" s="1"/>
  <c r="AF226" i="1"/>
  <c r="L17" i="70" s="1"/>
  <c r="AG153" i="1"/>
  <c r="AF222" i="1"/>
  <c r="L13" i="70" s="1"/>
  <c r="AG151" i="1"/>
  <c r="AF376" i="1"/>
  <c r="L167" i="70" s="1"/>
  <c r="AF270" i="1"/>
  <c r="L61" i="70" s="1"/>
  <c r="AF324" i="1"/>
  <c r="L115" i="70" s="1"/>
  <c r="AF227" i="1"/>
  <c r="L18" i="70" s="1"/>
  <c r="AF243" i="1"/>
  <c r="L34" i="70" s="1"/>
  <c r="AF259" i="1"/>
  <c r="L50" i="70" s="1"/>
  <c r="AF310" i="1"/>
  <c r="L101" i="70" s="1"/>
  <c r="AF264" i="1"/>
  <c r="L55" i="70" s="1"/>
  <c r="AF342" i="1"/>
  <c r="L133" i="70" s="1"/>
  <c r="AF194" i="1"/>
  <c r="AF190" i="1"/>
  <c r="AG165" i="1"/>
  <c r="AF237" i="1"/>
  <c r="L28" i="70" s="1"/>
  <c r="AF239" i="1"/>
  <c r="L30" i="70" s="1"/>
  <c r="AF171" i="1"/>
  <c r="AF267" i="1"/>
  <c r="L58" i="70" s="1"/>
  <c r="AF301" i="1"/>
  <c r="L92" i="70" s="1"/>
  <c r="AF217" i="1"/>
  <c r="L8" i="70" s="1"/>
  <c r="AF361" i="1"/>
  <c r="L152" i="70" s="1"/>
  <c r="AF177" i="1"/>
  <c r="AF144" i="1"/>
  <c r="AF147" i="1"/>
  <c r="AF254" i="1"/>
  <c r="L45" i="70" s="1"/>
  <c r="W6" i="70" s="1"/>
  <c r="AF258" i="1"/>
  <c r="L49" i="70" s="1"/>
  <c r="AF292" i="1"/>
  <c r="L83" i="70" s="1"/>
  <c r="AF265" i="1"/>
  <c r="L56" i="70" s="1"/>
  <c r="AF283" i="1"/>
  <c r="L74" i="70" s="1"/>
  <c r="AF189" i="1"/>
  <c r="AF205" i="1"/>
  <c r="AF319" i="1"/>
  <c r="L110" i="70" s="1"/>
  <c r="AG157" i="1"/>
  <c r="AG141" i="1"/>
  <c r="AF312" i="1"/>
  <c r="L103" i="70" s="1"/>
  <c r="AF298" i="1"/>
  <c r="L89" i="70" s="1"/>
  <c r="AF233" i="1"/>
  <c r="L24" i="70" s="1"/>
  <c r="AF375" i="1"/>
  <c r="L166" i="70" s="1"/>
  <c r="AF251" i="1"/>
  <c r="L42" i="70" s="1"/>
  <c r="AF328" i="1"/>
  <c r="L119" i="70" s="1"/>
  <c r="AF175" i="1"/>
  <c r="AF263" i="1"/>
  <c r="L54" i="70" s="1"/>
  <c r="AF219" i="1"/>
  <c r="L10" i="70" s="1"/>
  <c r="AF196" i="1"/>
  <c r="AF257" i="1"/>
  <c r="L48" i="70" s="1"/>
  <c r="AF281" i="1"/>
  <c r="L72" i="70" s="1"/>
  <c r="AF277" i="1"/>
  <c r="L68" i="70" s="1"/>
  <c r="AH224" i="1" l="1"/>
  <c r="K15" i="70"/>
  <c r="N44" i="70"/>
  <c r="Y6" i="70"/>
  <c r="AD72" i="70"/>
  <c r="N72" i="70"/>
  <c r="N100" i="70"/>
  <c r="AD100" i="70"/>
  <c r="AD35" i="70"/>
  <c r="N35" i="70"/>
  <c r="AD5" i="70"/>
  <c r="N5" i="70"/>
  <c r="AD143" i="70"/>
  <c r="N143" i="70"/>
  <c r="AD57" i="70"/>
  <c r="N57" i="70"/>
  <c r="AD161" i="70"/>
  <c r="N161" i="70"/>
  <c r="AD148" i="70"/>
  <c r="N148" i="70"/>
  <c r="AD153" i="70"/>
  <c r="N153" i="70"/>
  <c r="AD3" i="70"/>
  <c r="R3" i="70"/>
  <c r="AD51" i="70"/>
  <c r="R7" i="70"/>
  <c r="H33" i="34"/>
  <c r="W38" i="2" s="1"/>
  <c r="M159" i="70"/>
  <c r="N159" i="70" s="1"/>
  <c r="AH314" i="1"/>
  <c r="AH217" i="1"/>
  <c r="AH376" i="1"/>
  <c r="AH345" i="1"/>
  <c r="AH324" i="1"/>
  <c r="AH250" i="1"/>
  <c r="AH353" i="1"/>
  <c r="AD55" i="70"/>
  <c r="N55" i="70"/>
  <c r="AD152" i="70"/>
  <c r="N152" i="70"/>
  <c r="W15" i="70"/>
  <c r="AD12" i="70"/>
  <c r="N12" i="70"/>
  <c r="AD69" i="70"/>
  <c r="N69" i="70"/>
  <c r="AD163" i="70"/>
  <c r="N163" i="70"/>
  <c r="AD159" i="70"/>
  <c r="R16" i="70"/>
  <c r="AD87" i="70"/>
  <c r="R10" i="70"/>
  <c r="AD7" i="70"/>
  <c r="N7" i="70"/>
  <c r="H20" i="34"/>
  <c r="M3" i="70"/>
  <c r="N3" i="70" s="1"/>
  <c r="AH254" i="1"/>
  <c r="AH277" i="1"/>
  <c r="AH328" i="1"/>
  <c r="AH215" i="1"/>
  <c r="AH263" i="1"/>
  <c r="AH214" i="1"/>
  <c r="AH234" i="1"/>
  <c r="AH357" i="1"/>
  <c r="AH370" i="1"/>
  <c r="AH233" i="1"/>
  <c r="AD48" i="70"/>
  <c r="N48" i="70"/>
  <c r="N101" i="70"/>
  <c r="AD101" i="70"/>
  <c r="N31" i="70"/>
  <c r="AD31" i="70"/>
  <c r="N78" i="70"/>
  <c r="AD78" i="70"/>
  <c r="AD110" i="70"/>
  <c r="N110" i="70"/>
  <c r="AD8" i="70"/>
  <c r="N8" i="70"/>
  <c r="W3" i="70"/>
  <c r="AD50" i="70"/>
  <c r="N50" i="70"/>
  <c r="AD104" i="70"/>
  <c r="N104" i="70"/>
  <c r="W11" i="70"/>
  <c r="AD105" i="70"/>
  <c r="N105" i="70"/>
  <c r="N164" i="70"/>
  <c r="AD164" i="70"/>
  <c r="W16" i="70"/>
  <c r="AD99" i="70"/>
  <c r="R11" i="70"/>
  <c r="AH368" i="1"/>
  <c r="AH248" i="1"/>
  <c r="H28" i="34"/>
  <c r="M99" i="70"/>
  <c r="AH309" i="1"/>
  <c r="AH227" i="1"/>
  <c r="AH299" i="1"/>
  <c r="AH348" i="1"/>
  <c r="AH221" i="1"/>
  <c r="AH281" i="1"/>
  <c r="AH325" i="1"/>
  <c r="AH295" i="1"/>
  <c r="AD32" i="70"/>
  <c r="N32" i="70"/>
  <c r="W5" i="70"/>
  <c r="AD9" i="70"/>
  <c r="N9" i="70"/>
  <c r="AD80" i="70"/>
  <c r="N80" i="70"/>
  <c r="W9" i="70"/>
  <c r="AD53" i="70"/>
  <c r="N53" i="70"/>
  <c r="AD63" i="70"/>
  <c r="R8" i="70"/>
  <c r="AD147" i="70"/>
  <c r="R15" i="70"/>
  <c r="AD111" i="70"/>
  <c r="R12" i="70"/>
  <c r="AD123" i="70"/>
  <c r="R13" i="70"/>
  <c r="AH296" i="1"/>
  <c r="H27" i="34"/>
  <c r="M87" i="70"/>
  <c r="AH344" i="1"/>
  <c r="AH320" i="1"/>
  <c r="AH257" i="1"/>
  <c r="AH301" i="1"/>
  <c r="AH251" i="1"/>
  <c r="AH273" i="1"/>
  <c r="AH249" i="1"/>
  <c r="AH298" i="1"/>
  <c r="AH300" i="1"/>
  <c r="AH375" i="1"/>
  <c r="AH322" i="1"/>
  <c r="AH270" i="1"/>
  <c r="AH290" i="1"/>
  <c r="AH222" i="1"/>
  <c r="AH259" i="1"/>
  <c r="AD10" i="70"/>
  <c r="N10" i="70"/>
  <c r="AD117" i="70"/>
  <c r="N117" i="70"/>
  <c r="AD114" i="70"/>
  <c r="N114" i="70"/>
  <c r="AD41" i="70"/>
  <c r="N41" i="70"/>
  <c r="AD141" i="70"/>
  <c r="N141" i="70"/>
  <c r="AD113" i="70"/>
  <c r="N113" i="70"/>
  <c r="N6" i="70"/>
  <c r="AD6" i="70"/>
  <c r="AD149" i="70"/>
  <c r="N149" i="70"/>
  <c r="N26" i="70"/>
  <c r="AD26" i="70"/>
  <c r="AD96" i="70"/>
  <c r="N96" i="70"/>
  <c r="H26" i="34"/>
  <c r="O26" i="34" s="1"/>
  <c r="I21" i="29" s="1"/>
  <c r="M75" i="70"/>
  <c r="N75" i="70" s="1"/>
  <c r="AH260" i="1"/>
  <c r="AH286" i="1"/>
  <c r="AH315" i="1"/>
  <c r="AH326" i="1"/>
  <c r="AH331" i="1"/>
  <c r="AH231" i="1"/>
  <c r="N115" i="70"/>
  <c r="AD115" i="70"/>
  <c r="AD102" i="70"/>
  <c r="N102" i="70"/>
  <c r="AD25" i="70"/>
  <c r="N25" i="70"/>
  <c r="AD170" i="70"/>
  <c r="N170" i="70"/>
  <c r="AD131" i="70"/>
  <c r="N131" i="70"/>
  <c r="AD169" i="70"/>
  <c r="N169" i="70"/>
  <c r="N158" i="70"/>
  <c r="AD158" i="70"/>
  <c r="AH356" i="1"/>
  <c r="H32" i="34"/>
  <c r="O32" i="34" s="1"/>
  <c r="I27" i="29" s="1"/>
  <c r="M147" i="70"/>
  <c r="N147" i="70" s="1"/>
  <c r="AH243" i="1"/>
  <c r="X27" i="70"/>
  <c r="AH239" i="1"/>
  <c r="AH282" i="1"/>
  <c r="AH354" i="1"/>
  <c r="AH218" i="1"/>
  <c r="AH367" i="1"/>
  <c r="AH240" i="1"/>
  <c r="AH262" i="1"/>
  <c r="AH288" i="1"/>
  <c r="AH216" i="1"/>
  <c r="AD58" i="70"/>
  <c r="N58" i="70"/>
  <c r="AD56" i="70"/>
  <c r="N56" i="70"/>
  <c r="W7" i="70"/>
  <c r="AD30" i="70"/>
  <c r="N30" i="70"/>
  <c r="AD61" i="70"/>
  <c r="N61" i="70"/>
  <c r="AD144" i="70"/>
  <c r="N144" i="70"/>
  <c r="AD43" i="70"/>
  <c r="N43" i="70"/>
  <c r="AD73" i="70"/>
  <c r="N73" i="70"/>
  <c r="N145" i="70"/>
  <c r="AD145" i="70"/>
  <c r="AD157" i="70"/>
  <c r="N157" i="70"/>
  <c r="AD82" i="70"/>
  <c r="N82" i="70"/>
  <c r="AD84" i="70"/>
  <c r="N84" i="70"/>
  <c r="H21" i="34"/>
  <c r="E14" i="59" s="1"/>
  <c r="J14" i="59" s="1"/>
  <c r="M15" i="70"/>
  <c r="AH272" i="1"/>
  <c r="H30" i="34"/>
  <c r="O30" i="34" s="1"/>
  <c r="I25" i="29" s="1"/>
  <c r="M123" i="70"/>
  <c r="AH311" i="1"/>
  <c r="AH361" i="1"/>
  <c r="AH252" i="1"/>
  <c r="AH319" i="1"/>
  <c r="AH323" i="1"/>
  <c r="AH271" i="1"/>
  <c r="AH350" i="1"/>
  <c r="AD18" i="70"/>
  <c r="N18" i="70"/>
  <c r="N83" i="70"/>
  <c r="AD83" i="70"/>
  <c r="AD167" i="70"/>
  <c r="N167" i="70"/>
  <c r="AD136" i="70"/>
  <c r="N136" i="70"/>
  <c r="AD40" i="70"/>
  <c r="N40" i="70"/>
  <c r="AD4" i="70"/>
  <c r="N4" i="70"/>
  <c r="AD39" i="70"/>
  <c r="R6" i="70"/>
  <c r="AD66" i="70"/>
  <c r="N66" i="70"/>
  <c r="AH312" i="1"/>
  <c r="AH349" i="1"/>
  <c r="AH264" i="1"/>
  <c r="AH373" i="1"/>
  <c r="AH352" i="1"/>
  <c r="AH372" i="1"/>
  <c r="AH371" i="1"/>
  <c r="AD34" i="70"/>
  <c r="N34" i="70"/>
  <c r="AD119" i="70"/>
  <c r="N119" i="70"/>
  <c r="AD28" i="70"/>
  <c r="N28" i="70"/>
  <c r="AD128" i="70"/>
  <c r="N128" i="70"/>
  <c r="W13" i="70"/>
  <c r="AD166" i="70"/>
  <c r="N166" i="70"/>
  <c r="AD49" i="70"/>
  <c r="N49" i="70"/>
  <c r="N62" i="70"/>
  <c r="AD62" i="70"/>
  <c r="AD77" i="70"/>
  <c r="N77" i="70"/>
  <c r="AD86" i="70"/>
  <c r="N86" i="70"/>
  <c r="AD150" i="70"/>
  <c r="N150" i="70"/>
  <c r="AD15" i="70"/>
  <c r="R4" i="70"/>
  <c r="R26" i="70" s="1"/>
  <c r="N90" i="70"/>
  <c r="AD90" i="70"/>
  <c r="AH236" i="1"/>
  <c r="AH212" i="1"/>
  <c r="H31" i="34"/>
  <c r="O31" i="34" s="1"/>
  <c r="I26" i="29" s="1"/>
  <c r="M135" i="70"/>
  <c r="N135" i="70" s="1"/>
  <c r="AH289" i="1"/>
  <c r="AH244" i="1"/>
  <c r="AH283" i="1"/>
  <c r="AH226" i="1"/>
  <c r="AH310" i="1"/>
  <c r="AH287" i="1"/>
  <c r="AH275" i="1"/>
  <c r="AH362" i="1"/>
  <c r="AD74" i="70"/>
  <c r="N74" i="70"/>
  <c r="AD24" i="70"/>
  <c r="N24" i="70"/>
  <c r="N71" i="70"/>
  <c r="AD71" i="70"/>
  <c r="AD106" i="70"/>
  <c r="N106" i="70"/>
  <c r="AD81" i="70"/>
  <c r="N81" i="70"/>
  <c r="AD22" i="70"/>
  <c r="N22" i="70"/>
  <c r="AD139" i="70"/>
  <c r="N139" i="70"/>
  <c r="AD135" i="70"/>
  <c r="R14" i="70"/>
  <c r="H24" i="34"/>
  <c r="M51" i="70"/>
  <c r="N51" i="70" s="1"/>
  <c r="H23" i="34"/>
  <c r="M39" i="70"/>
  <c r="N39" i="70" s="1"/>
  <c r="H25" i="34"/>
  <c r="M63" i="70"/>
  <c r="AH258" i="1"/>
  <c r="AH292" i="1"/>
  <c r="AH291" i="1"/>
  <c r="AH366" i="1"/>
  <c r="AH313" i="1"/>
  <c r="AH306" i="1"/>
  <c r="AH378" i="1"/>
  <c r="AH265" i="1"/>
  <c r="AH341" i="1"/>
  <c r="AH359" i="1"/>
  <c r="AD92" i="70"/>
  <c r="N92" i="70"/>
  <c r="W10" i="70"/>
  <c r="AD91" i="70"/>
  <c r="N91" i="70"/>
  <c r="N13" i="70"/>
  <c r="AD13" i="70"/>
  <c r="AD89" i="70"/>
  <c r="N89" i="70"/>
  <c r="N154" i="70"/>
  <c r="AD154" i="70"/>
  <c r="AD116" i="70"/>
  <c r="N116" i="70"/>
  <c r="W12" i="70"/>
  <c r="N79" i="70"/>
  <c r="AD79" i="70"/>
  <c r="AD162" i="70"/>
  <c r="N162" i="70"/>
  <c r="AD27" i="70"/>
  <c r="R5" i="70"/>
  <c r="AD140" i="70"/>
  <c r="N140" i="70"/>
  <c r="W14" i="70"/>
  <c r="AD64" i="70"/>
  <c r="N64" i="70"/>
  <c r="AH308" i="1"/>
  <c r="AH332" i="1"/>
  <c r="AH358" i="1"/>
  <c r="AH280" i="1"/>
  <c r="AH285" i="1"/>
  <c r="AH241" i="1"/>
  <c r="AH337" i="1"/>
  <c r="AH213" i="1"/>
  <c r="X28" i="70"/>
  <c r="X29" i="70"/>
  <c r="AH266" i="1"/>
  <c r="AH235" i="1"/>
  <c r="N54" i="70"/>
  <c r="AD54" i="70"/>
  <c r="AD42" i="70"/>
  <c r="N42" i="70"/>
  <c r="AD45" i="70"/>
  <c r="N45" i="70"/>
  <c r="AD122" i="70"/>
  <c r="N122" i="70"/>
  <c r="AD68" i="70"/>
  <c r="N68" i="70"/>
  <c r="W8" i="70"/>
  <c r="W27" i="70" s="1"/>
  <c r="AD103" i="70"/>
  <c r="N103" i="70"/>
  <c r="AD133" i="70"/>
  <c r="N133" i="70"/>
  <c r="AD17" i="70"/>
  <c r="N17" i="70"/>
  <c r="AD132" i="70"/>
  <c r="N132" i="70"/>
  <c r="AD76" i="70"/>
  <c r="N76" i="70"/>
  <c r="AD75" i="70"/>
  <c r="R9" i="70"/>
  <c r="AD97" i="70"/>
  <c r="N97" i="70"/>
  <c r="AH284" i="1"/>
  <c r="H22" i="34"/>
  <c r="O22" i="34" s="1"/>
  <c r="I17" i="29" s="1"/>
  <c r="M27" i="70"/>
  <c r="N27" i="70" s="1"/>
  <c r="H29" i="34"/>
  <c r="O29" i="34" s="1"/>
  <c r="I24" i="29" s="1"/>
  <c r="M111" i="70"/>
  <c r="AH267" i="1"/>
  <c r="AH342" i="1"/>
  <c r="AH363" i="1"/>
  <c r="AH237" i="1"/>
  <c r="AH293" i="1"/>
  <c r="AH340" i="1"/>
  <c r="AH219" i="1"/>
  <c r="AH379" i="1"/>
  <c r="AH278" i="1"/>
  <c r="AH305" i="1"/>
  <c r="Y28" i="70"/>
  <c r="Y29" i="70"/>
  <c r="Y27" i="70"/>
  <c r="F28" i="34"/>
  <c r="F26" i="34"/>
  <c r="U31" i="2" s="1"/>
  <c r="F33" i="34"/>
  <c r="U38" i="2" s="1"/>
  <c r="F23" i="34"/>
  <c r="M23" i="34" s="1"/>
  <c r="F27" i="34"/>
  <c r="C20" i="59" s="1"/>
  <c r="H20" i="59" s="1"/>
  <c r="F31" i="34"/>
  <c r="U36" i="2" s="1"/>
  <c r="F29" i="34"/>
  <c r="M29" i="34" s="1"/>
  <c r="F24" i="34"/>
  <c r="C17" i="59" s="1"/>
  <c r="H17" i="59" s="1"/>
  <c r="F32" i="34"/>
  <c r="M32" i="34" s="1"/>
  <c r="F25" i="34"/>
  <c r="M25" i="34" s="1"/>
  <c r="F21" i="34"/>
  <c r="C14" i="59" s="1"/>
  <c r="H14" i="59" s="1"/>
  <c r="F22" i="34"/>
  <c r="M22" i="34" s="1"/>
  <c r="F20" i="34"/>
  <c r="M20" i="34" s="1"/>
  <c r="F30" i="34"/>
  <c r="C23" i="59" s="1"/>
  <c r="H23" i="59" s="1"/>
  <c r="EN196" i="1"/>
  <c r="EI196" i="1"/>
  <c r="EK196" i="1"/>
  <c r="EK162" i="1"/>
  <c r="EN162" i="1"/>
  <c r="EI162" i="1"/>
  <c r="EK164" i="1"/>
  <c r="EN164" i="1"/>
  <c r="EI164" i="1"/>
  <c r="EI189" i="1"/>
  <c r="EK189" i="1"/>
  <c r="EN189" i="1"/>
  <c r="EK198" i="1"/>
  <c r="EI198" i="1"/>
  <c r="EN198" i="1"/>
  <c r="EK165" i="1"/>
  <c r="EI165" i="1"/>
  <c r="EN165" i="1"/>
  <c r="EK145" i="1"/>
  <c r="EI145" i="1"/>
  <c r="EN145" i="1"/>
  <c r="EN152" i="1"/>
  <c r="EI152" i="1"/>
  <c r="EK152" i="1"/>
  <c r="EN170" i="1"/>
  <c r="EK170" i="1"/>
  <c r="EI170" i="1"/>
  <c r="EN142" i="1"/>
  <c r="EK142" i="1"/>
  <c r="EI142" i="1"/>
  <c r="EN197" i="1"/>
  <c r="EI197" i="1"/>
  <c r="EK197" i="1"/>
  <c r="EK175" i="1"/>
  <c r="EI175" i="1"/>
  <c r="EN175" i="1"/>
  <c r="EN188" i="1"/>
  <c r="EI188" i="1"/>
  <c r="EK188" i="1"/>
  <c r="EK183" i="1"/>
  <c r="EN183" i="1"/>
  <c r="EI183" i="1"/>
  <c r="EN178" i="1"/>
  <c r="EI178" i="1"/>
  <c r="EK178" i="1"/>
  <c r="EI159" i="1"/>
  <c r="EK159" i="1"/>
  <c r="EN159" i="1"/>
  <c r="EN160" i="1"/>
  <c r="EK160" i="1"/>
  <c r="EI160" i="1"/>
  <c r="EI190" i="1"/>
  <c r="EK190" i="1"/>
  <c r="EN190" i="1"/>
  <c r="EN169" i="1"/>
  <c r="EI169" i="1"/>
  <c r="EK169" i="1"/>
  <c r="EI143" i="1"/>
  <c r="EN143" i="1"/>
  <c r="EK143" i="1"/>
  <c r="EI179" i="1"/>
  <c r="EN179" i="1"/>
  <c r="EK179" i="1"/>
  <c r="EN154" i="1"/>
  <c r="EI154" i="1"/>
  <c r="EK154" i="1"/>
  <c r="EK155" i="1"/>
  <c r="EN155" i="1"/>
  <c r="EI155" i="1"/>
  <c r="EK187" i="1"/>
  <c r="EN187" i="1"/>
  <c r="EI187" i="1"/>
  <c r="EI147" i="1"/>
  <c r="EK147" i="1"/>
  <c r="EN147" i="1"/>
  <c r="EN172" i="1"/>
  <c r="EK172" i="1"/>
  <c r="EI172" i="1"/>
  <c r="EN176" i="1"/>
  <c r="EI176" i="1"/>
  <c r="EK176" i="1"/>
  <c r="EK177" i="1"/>
  <c r="EI177" i="1"/>
  <c r="EN177" i="1"/>
  <c r="AF5" i="1"/>
  <c r="EK140" i="1"/>
  <c r="EI140" i="1"/>
  <c r="EN140" i="1"/>
  <c r="EI171" i="1"/>
  <c r="EK171" i="1"/>
  <c r="EN171" i="1"/>
  <c r="EN173" i="1"/>
  <c r="EI173" i="1"/>
  <c r="EK173" i="1"/>
  <c r="EN157" i="1"/>
  <c r="EK157" i="1"/>
  <c r="EI157" i="1"/>
  <c r="EN194" i="1"/>
  <c r="EI194" i="1"/>
  <c r="EK194" i="1"/>
  <c r="EI144" i="1"/>
  <c r="EK144" i="1"/>
  <c r="EN144" i="1"/>
  <c r="EK192" i="1"/>
  <c r="EI192" i="1"/>
  <c r="EN192" i="1"/>
  <c r="EI166" i="1"/>
  <c r="EN166" i="1"/>
  <c r="EK166" i="1"/>
  <c r="EK161" i="1"/>
  <c r="EI161" i="1"/>
  <c r="EN161" i="1"/>
  <c r="EN375" i="1"/>
  <c r="EK375" i="1"/>
  <c r="EI375" i="1"/>
  <c r="EN258" i="1"/>
  <c r="EK258" i="1"/>
  <c r="EI258" i="1"/>
  <c r="EN271" i="1"/>
  <c r="EK271" i="1"/>
  <c r="EI271" i="1"/>
  <c r="EN286" i="1"/>
  <c r="EI286" i="1"/>
  <c r="EK286" i="1"/>
  <c r="EN295" i="1"/>
  <c r="EI295" i="1"/>
  <c r="EK295" i="1"/>
  <c r="EN359" i="1"/>
  <c r="EK359" i="1"/>
  <c r="EI359" i="1"/>
  <c r="EN200" i="1"/>
  <c r="EK200" i="1"/>
  <c r="EI200" i="1"/>
  <c r="EN224" i="1"/>
  <c r="EK224" i="1"/>
  <c r="EI224" i="1"/>
  <c r="EN275" i="1"/>
  <c r="EK275" i="1"/>
  <c r="EI275" i="1"/>
  <c r="EN207" i="1"/>
  <c r="EI207" i="1"/>
  <c r="EK207" i="1"/>
  <c r="EN233" i="1"/>
  <c r="EK233" i="1"/>
  <c r="EI233" i="1"/>
  <c r="EN254" i="1"/>
  <c r="EI254" i="1"/>
  <c r="EK254" i="1"/>
  <c r="EN222" i="1"/>
  <c r="EI222" i="1"/>
  <c r="EK222" i="1"/>
  <c r="EN280" i="1"/>
  <c r="EI280" i="1"/>
  <c r="EK280" i="1"/>
  <c r="EN331" i="1"/>
  <c r="EK331" i="1"/>
  <c r="EI331" i="1"/>
  <c r="EN315" i="1"/>
  <c r="EI315" i="1"/>
  <c r="EK315" i="1"/>
  <c r="EN290" i="1"/>
  <c r="EK290" i="1"/>
  <c r="EI290" i="1"/>
  <c r="EN231" i="1"/>
  <c r="EK231" i="1"/>
  <c r="EI231" i="1"/>
  <c r="EN348" i="1"/>
  <c r="EK348" i="1"/>
  <c r="EI348" i="1"/>
  <c r="EN344" i="1"/>
  <c r="EI344" i="1"/>
  <c r="EK344" i="1"/>
  <c r="EN208" i="1"/>
  <c r="EI208" i="1"/>
  <c r="EK208" i="1"/>
  <c r="EN299" i="1"/>
  <c r="EI299" i="1"/>
  <c r="EK299" i="1"/>
  <c r="EN298" i="1"/>
  <c r="EI298" i="1"/>
  <c r="EK298" i="1"/>
  <c r="EN363" i="1"/>
  <c r="EK363" i="1"/>
  <c r="EI363" i="1"/>
  <c r="EN325" i="1"/>
  <c r="EK325" i="1"/>
  <c r="EI325" i="1"/>
  <c r="EN288" i="1"/>
  <c r="EI288" i="1"/>
  <c r="EK288" i="1"/>
  <c r="EN371" i="1"/>
  <c r="EK371" i="1"/>
  <c r="EI371" i="1"/>
  <c r="EN236" i="1"/>
  <c r="EK236" i="1"/>
  <c r="EI236" i="1"/>
  <c r="EN283" i="1"/>
  <c r="EK283" i="1"/>
  <c r="EI283" i="1"/>
  <c r="EN300" i="1"/>
  <c r="EI300" i="1"/>
  <c r="EK300" i="1"/>
  <c r="EN311" i="1"/>
  <c r="EI311" i="1"/>
  <c r="EK311" i="1"/>
  <c r="EN379" i="1"/>
  <c r="EK379" i="1"/>
  <c r="EI379" i="1"/>
  <c r="EN340" i="1"/>
  <c r="EK340" i="1"/>
  <c r="EI340" i="1"/>
  <c r="EN378" i="1"/>
  <c r="EI378" i="1"/>
  <c r="EK378" i="1"/>
  <c r="EN305" i="1"/>
  <c r="EK305" i="1"/>
  <c r="EI305" i="1"/>
  <c r="EN239" i="1"/>
  <c r="EI239" i="1"/>
  <c r="EK239" i="1"/>
  <c r="EN252" i="1"/>
  <c r="EI252" i="1"/>
  <c r="EK252" i="1"/>
  <c r="EN354" i="1"/>
  <c r="EI354" i="1"/>
  <c r="EK354" i="1"/>
  <c r="EN366" i="1"/>
  <c r="EI366" i="1"/>
  <c r="EK366" i="1"/>
  <c r="EN292" i="1"/>
  <c r="EK292" i="1"/>
  <c r="EI292" i="1"/>
  <c r="EN345" i="1"/>
  <c r="EI345" i="1"/>
  <c r="EK345" i="1"/>
  <c r="EN213" i="1"/>
  <c r="EK213" i="1"/>
  <c r="EI213" i="1"/>
  <c r="EN293" i="1"/>
  <c r="EK293" i="1"/>
  <c r="EI293" i="1"/>
  <c r="EN277" i="1"/>
  <c r="EK277" i="1"/>
  <c r="EI277" i="1"/>
  <c r="EN312" i="1"/>
  <c r="EK312" i="1"/>
  <c r="EI312" i="1"/>
  <c r="EN342" i="1"/>
  <c r="EI342" i="1"/>
  <c r="EK342" i="1"/>
  <c r="EN226" i="1"/>
  <c r="EK226" i="1"/>
  <c r="EI226" i="1"/>
  <c r="EN341" i="1"/>
  <c r="EK341" i="1"/>
  <c r="EI341" i="1"/>
  <c r="EN285" i="1"/>
  <c r="EI285" i="1"/>
  <c r="EK285" i="1"/>
  <c r="EN201" i="1"/>
  <c r="EK201" i="1"/>
  <c r="EI201" i="1"/>
  <c r="EN209" i="1"/>
  <c r="EK209" i="1"/>
  <c r="EI209" i="1"/>
  <c r="EN284" i="1"/>
  <c r="EK284" i="1"/>
  <c r="EI284" i="1"/>
  <c r="EN349" i="1"/>
  <c r="EI349" i="1"/>
  <c r="EK349" i="1"/>
  <c r="EN273" i="1"/>
  <c r="EK273" i="1"/>
  <c r="EI273" i="1"/>
  <c r="EN237" i="1"/>
  <c r="EK237" i="1"/>
  <c r="EI237" i="1"/>
  <c r="EN249" i="1"/>
  <c r="EI249" i="1"/>
  <c r="EK249" i="1"/>
  <c r="EN214" i="1"/>
  <c r="EK214" i="1"/>
  <c r="EI214" i="1"/>
  <c r="EN266" i="1"/>
  <c r="EK266" i="1"/>
  <c r="EI266" i="1"/>
  <c r="EN357" i="1"/>
  <c r="EI357" i="1"/>
  <c r="EK357" i="1"/>
  <c r="EN260" i="1"/>
  <c r="EI260" i="1"/>
  <c r="EK260" i="1"/>
  <c r="EN324" i="1"/>
  <c r="EK324" i="1"/>
  <c r="EI324" i="1"/>
  <c r="EN270" i="1"/>
  <c r="EI270" i="1"/>
  <c r="EK270" i="1"/>
  <c r="EN291" i="1"/>
  <c r="EK291" i="1"/>
  <c r="EI291" i="1"/>
  <c r="EN376" i="1"/>
  <c r="EK376" i="1"/>
  <c r="EI376" i="1"/>
  <c r="EN309" i="1"/>
  <c r="EK309" i="1"/>
  <c r="EI309" i="1"/>
  <c r="EN206" i="1"/>
  <c r="EK206" i="1"/>
  <c r="EI206" i="1"/>
  <c r="EN370" i="1"/>
  <c r="EK370" i="1"/>
  <c r="EI370" i="1"/>
  <c r="EN212" i="1"/>
  <c r="EI212" i="1"/>
  <c r="EK212" i="1"/>
  <c r="EN310" i="1"/>
  <c r="EI310" i="1"/>
  <c r="EK310" i="1"/>
  <c r="EN211" i="1"/>
  <c r="EI211" i="1"/>
  <c r="EK211" i="1"/>
  <c r="EN287" i="1"/>
  <c r="EI287" i="1"/>
  <c r="EK287" i="1"/>
  <c r="EN372" i="1"/>
  <c r="EK372" i="1"/>
  <c r="EI372" i="1"/>
  <c r="EN368" i="1"/>
  <c r="EI368" i="1"/>
  <c r="EK368" i="1"/>
  <c r="EN296" i="1"/>
  <c r="EI296" i="1"/>
  <c r="EK296" i="1"/>
  <c r="EN234" i="1"/>
  <c r="EI234" i="1"/>
  <c r="EK234" i="1"/>
  <c r="EN367" i="1"/>
  <c r="EK367" i="1"/>
  <c r="EI367" i="1"/>
  <c r="EN265" i="1"/>
  <c r="EI265" i="1"/>
  <c r="EK265" i="1"/>
  <c r="EN282" i="1"/>
  <c r="EK282" i="1"/>
  <c r="EI282" i="1"/>
  <c r="EN251" i="1"/>
  <c r="EK251" i="1"/>
  <c r="EI251" i="1"/>
  <c r="EN337" i="1"/>
  <c r="EK337" i="1"/>
  <c r="EI337" i="1"/>
  <c r="EN281" i="1"/>
  <c r="EK281" i="1"/>
  <c r="EI281" i="1"/>
  <c r="EN264" i="1"/>
  <c r="EI264" i="1"/>
  <c r="EK264" i="1"/>
  <c r="EN244" i="1"/>
  <c r="EI244" i="1"/>
  <c r="EK244" i="1"/>
  <c r="EN352" i="1"/>
  <c r="EK352" i="1"/>
  <c r="EI352" i="1"/>
  <c r="EN362" i="1"/>
  <c r="EI362" i="1"/>
  <c r="EK362" i="1"/>
  <c r="EN306" i="1"/>
  <c r="EK306" i="1"/>
  <c r="EI306" i="1"/>
  <c r="EN361" i="1"/>
  <c r="EI361" i="1"/>
  <c r="EK361" i="1"/>
  <c r="EN278" i="1"/>
  <c r="EI278" i="1"/>
  <c r="EK278" i="1"/>
  <c r="EN319" i="1"/>
  <c r="EK319" i="1"/>
  <c r="EI319" i="1"/>
  <c r="EN217" i="1"/>
  <c r="EI217" i="1"/>
  <c r="EK217" i="1"/>
  <c r="EN259" i="1"/>
  <c r="EI259" i="1"/>
  <c r="EK259" i="1"/>
  <c r="EN313" i="1"/>
  <c r="EK313" i="1"/>
  <c r="EI313" i="1"/>
  <c r="EN314" i="1"/>
  <c r="EK314" i="1"/>
  <c r="EI314" i="1"/>
  <c r="EN373" i="1"/>
  <c r="EK373" i="1"/>
  <c r="EI373" i="1"/>
  <c r="EN308" i="1"/>
  <c r="EK308" i="1"/>
  <c r="EI308" i="1"/>
  <c r="EN216" i="1"/>
  <c r="EI216" i="1"/>
  <c r="EK216" i="1"/>
  <c r="EN257" i="1"/>
  <c r="EK257" i="1"/>
  <c r="EI257" i="1"/>
  <c r="EN221" i="1"/>
  <c r="EK221" i="1"/>
  <c r="EI221" i="1"/>
  <c r="EN240" i="1"/>
  <c r="EK240" i="1"/>
  <c r="EI240" i="1"/>
  <c r="EN219" i="1"/>
  <c r="EK219" i="1"/>
  <c r="EI219" i="1"/>
  <c r="EN205" i="1"/>
  <c r="EI205" i="1"/>
  <c r="EK205" i="1"/>
  <c r="EN301" i="1"/>
  <c r="EK301" i="1"/>
  <c r="EI301" i="1"/>
  <c r="EN243" i="1"/>
  <c r="EI243" i="1"/>
  <c r="EK243" i="1"/>
  <c r="EN241" i="1"/>
  <c r="EI241" i="1"/>
  <c r="EK241" i="1"/>
  <c r="EN218" i="1"/>
  <c r="EI218" i="1"/>
  <c r="EK218" i="1"/>
  <c r="EN289" i="1"/>
  <c r="EI289" i="1"/>
  <c r="EK289" i="1"/>
  <c r="EN262" i="1"/>
  <c r="EI262" i="1"/>
  <c r="EK262" i="1"/>
  <c r="EN272" i="1"/>
  <c r="EK272" i="1"/>
  <c r="EI272" i="1"/>
  <c r="G32" i="34"/>
  <c r="N32" i="34" s="1"/>
  <c r="EN356" i="1"/>
  <c r="EI356" i="1"/>
  <c r="EK356" i="1"/>
  <c r="EN320" i="1"/>
  <c r="EI320" i="1"/>
  <c r="EK320" i="1"/>
  <c r="EN332" i="1"/>
  <c r="EK332" i="1"/>
  <c r="EI332" i="1"/>
  <c r="EN328" i="1"/>
  <c r="EI328" i="1"/>
  <c r="EK328" i="1"/>
  <c r="EN263" i="1"/>
  <c r="EK263" i="1"/>
  <c r="EI263" i="1"/>
  <c r="EN267" i="1"/>
  <c r="EK267" i="1"/>
  <c r="EI267" i="1"/>
  <c r="EN227" i="1"/>
  <c r="EK227" i="1"/>
  <c r="EI227" i="1"/>
  <c r="EN326" i="1"/>
  <c r="EK326" i="1"/>
  <c r="EI326" i="1"/>
  <c r="EN203" i="1"/>
  <c r="EI203" i="1"/>
  <c r="EK203" i="1"/>
  <c r="EN323" i="1"/>
  <c r="EI323" i="1"/>
  <c r="EK323" i="1"/>
  <c r="EN250" i="1"/>
  <c r="EK250" i="1"/>
  <c r="EI250" i="1"/>
  <c r="EN350" i="1"/>
  <c r="EI350" i="1"/>
  <c r="EK350" i="1"/>
  <c r="EN322" i="1"/>
  <c r="EI322" i="1"/>
  <c r="EK322" i="1"/>
  <c r="EN215" i="1"/>
  <c r="EK215" i="1"/>
  <c r="EI215" i="1"/>
  <c r="EN358" i="1"/>
  <c r="EK358" i="1"/>
  <c r="EI358" i="1"/>
  <c r="EN235" i="1"/>
  <c r="EK235" i="1"/>
  <c r="EI235" i="1"/>
  <c r="EN353" i="1"/>
  <c r="EI353" i="1"/>
  <c r="EK353" i="1"/>
  <c r="EN248" i="1"/>
  <c r="EK248" i="1"/>
  <c r="EI248" i="1"/>
  <c r="D20" i="27"/>
  <c r="DX30" i="2"/>
  <c r="F21" i="39"/>
  <c r="D24" i="66"/>
  <c r="AB24" i="66" s="1"/>
  <c r="E10" i="66"/>
  <c r="AC10" i="66" s="1"/>
  <c r="E28" i="66"/>
  <c r="AC28" i="66" s="1"/>
  <c r="C13" i="66"/>
  <c r="AA13" i="66" s="1"/>
  <c r="G16" i="34"/>
  <c r="D9" i="59" s="1"/>
  <c r="I9" i="59" s="1"/>
  <c r="E15" i="66"/>
  <c r="AC15" i="66" s="1"/>
  <c r="E14" i="66"/>
  <c r="AC14" i="66" s="1"/>
  <c r="D17" i="66"/>
  <c r="AB17" i="66" s="1"/>
  <c r="E13" i="66"/>
  <c r="AC13" i="66" s="1"/>
  <c r="C28" i="66"/>
  <c r="AA28" i="66" s="1"/>
  <c r="C18" i="66"/>
  <c r="AA18" i="66" s="1"/>
  <c r="E23" i="66"/>
  <c r="AC23" i="66" s="1"/>
  <c r="C22" i="66"/>
  <c r="AA22" i="66" s="1"/>
  <c r="E22" i="66"/>
  <c r="AC22" i="66" s="1"/>
  <c r="C26" i="66"/>
  <c r="AA26" i="66" s="1"/>
  <c r="C24" i="66"/>
  <c r="AA24" i="66" s="1"/>
  <c r="E21" i="66"/>
  <c r="AC21" i="66" s="1"/>
  <c r="C19" i="66"/>
  <c r="AA19" i="66" s="1"/>
  <c r="D12" i="66"/>
  <c r="AB12" i="66" s="1"/>
  <c r="D19" i="66"/>
  <c r="AB19" i="66" s="1"/>
  <c r="E12" i="66"/>
  <c r="AC12" i="66" s="1"/>
  <c r="C27" i="66"/>
  <c r="AA27" i="66" s="1"/>
  <c r="E27" i="66"/>
  <c r="AC27" i="66" s="1"/>
  <c r="E16" i="66"/>
  <c r="AC16" i="66" s="1"/>
  <c r="C20" i="66"/>
  <c r="AA20" i="66" s="1"/>
  <c r="C14" i="66"/>
  <c r="AA14" i="66" s="1"/>
  <c r="E25" i="66"/>
  <c r="AC25" i="66" s="1"/>
  <c r="D10" i="66"/>
  <c r="AB10" i="66" s="1"/>
  <c r="C16" i="66"/>
  <c r="AA16" i="66" s="1"/>
  <c r="E11" i="66"/>
  <c r="AC11" i="66" s="1"/>
  <c r="D27" i="66"/>
  <c r="AB27" i="66" s="1"/>
  <c r="C17" i="66"/>
  <c r="AA17" i="66" s="1"/>
  <c r="C15" i="66"/>
  <c r="AA15" i="66" s="1"/>
  <c r="E26" i="66"/>
  <c r="AC26" i="66" s="1"/>
  <c r="E19" i="66"/>
  <c r="AC19" i="66" s="1"/>
  <c r="E18" i="66"/>
  <c r="AC18" i="66" s="1"/>
  <c r="E20" i="66"/>
  <c r="AC20" i="66" s="1"/>
  <c r="C12" i="66"/>
  <c r="AA12" i="66" s="1"/>
  <c r="C25" i="66"/>
  <c r="AA25" i="66" s="1"/>
  <c r="D18" i="66"/>
  <c r="AB18" i="66" s="1"/>
  <c r="C23" i="66"/>
  <c r="AA23" i="66" s="1"/>
  <c r="D23" i="66"/>
  <c r="AB23" i="66" s="1"/>
  <c r="C21" i="66"/>
  <c r="AA21" i="66" s="1"/>
  <c r="E17" i="66"/>
  <c r="AC17" i="66" s="1"/>
  <c r="E24" i="66"/>
  <c r="AC24" i="66" s="1"/>
  <c r="J20" i="27"/>
  <c r="R20" i="27" s="1"/>
  <c r="K21" i="39" s="1"/>
  <c r="AB20" i="66"/>
  <c r="K11" i="50"/>
  <c r="S11" i="50" s="1"/>
  <c r="AB11" i="66"/>
  <c r="K13" i="50"/>
  <c r="S13" i="50" s="1"/>
  <c r="AB13" i="66"/>
  <c r="J8" i="27"/>
  <c r="R8" i="27" s="1"/>
  <c r="K9" i="39" s="1"/>
  <c r="AB8" i="66"/>
  <c r="J15" i="27"/>
  <c r="R15" i="27" s="1"/>
  <c r="AW15" i="27" s="1"/>
  <c r="AB15" i="66"/>
  <c r="J13" i="27"/>
  <c r="R13" i="27" s="1"/>
  <c r="AW13" i="27" s="1"/>
  <c r="DS144" i="1"/>
  <c r="EB144" i="1" s="1"/>
  <c r="CP144" i="1"/>
  <c r="CY144" i="1" s="1"/>
  <c r="DT159" i="1"/>
  <c r="EC159" i="1" s="1"/>
  <c r="CQ159" i="1"/>
  <c r="CZ159" i="1" s="1"/>
  <c r="DT161" i="1"/>
  <c r="EC161" i="1" s="1"/>
  <c r="CQ161" i="1"/>
  <c r="CZ161" i="1" s="1"/>
  <c r="DT163" i="1"/>
  <c r="EC163" i="1" s="1"/>
  <c r="CQ163" i="1"/>
  <c r="CZ163" i="1" s="1"/>
  <c r="DS169" i="1"/>
  <c r="EB169" i="1" s="1"/>
  <c r="CP169" i="1"/>
  <c r="CY169" i="1" s="1"/>
  <c r="G18" i="34"/>
  <c r="N18" i="34" s="1"/>
  <c r="G13" i="66" s="1"/>
  <c r="J16" i="50"/>
  <c r="R16" i="50" s="1"/>
  <c r="I16" i="27"/>
  <c r="Q16" i="27" s="1"/>
  <c r="AV16" i="27" s="1"/>
  <c r="C16" i="29"/>
  <c r="AD16" i="29" s="1"/>
  <c r="O15" i="34"/>
  <c r="E8" i="59"/>
  <c r="J8" i="59" s="1"/>
  <c r="W20" i="2"/>
  <c r="EA20" i="2" s="1"/>
  <c r="DT141" i="1"/>
  <c r="EC141" i="1" s="1"/>
  <c r="CQ141" i="1"/>
  <c r="CZ141" i="1" s="1"/>
  <c r="DT165" i="1"/>
  <c r="EC165" i="1" s="1"/>
  <c r="CQ165" i="1"/>
  <c r="CZ165" i="1" s="1"/>
  <c r="DT151" i="1"/>
  <c r="EC151" i="1" s="1"/>
  <c r="CQ151" i="1"/>
  <c r="CZ151" i="1" s="1"/>
  <c r="DT168" i="1"/>
  <c r="EC168" i="1" s="1"/>
  <c r="CQ168" i="1"/>
  <c r="CZ168" i="1" s="1"/>
  <c r="DS160" i="1"/>
  <c r="EB160" i="1" s="1"/>
  <c r="CP160" i="1"/>
  <c r="CY160" i="1" s="1"/>
  <c r="DT143" i="1"/>
  <c r="EC143" i="1" s="1"/>
  <c r="CQ143" i="1"/>
  <c r="CZ143" i="1" s="1"/>
  <c r="DS154" i="1"/>
  <c r="EB154" i="1" s="1"/>
  <c r="CP154" i="1"/>
  <c r="CY154" i="1" s="1"/>
  <c r="DT145" i="1"/>
  <c r="EC145" i="1" s="1"/>
  <c r="CQ145" i="1"/>
  <c r="CZ145" i="1" s="1"/>
  <c r="DS157" i="1"/>
  <c r="EB157" i="1" s="1"/>
  <c r="CP157" i="1"/>
  <c r="CY157" i="1" s="1"/>
  <c r="DS165" i="1"/>
  <c r="EB165" i="1" s="1"/>
  <c r="CP165" i="1"/>
  <c r="CY165" i="1" s="1"/>
  <c r="G20" i="34"/>
  <c r="D13" i="59" s="1"/>
  <c r="I13" i="59" s="1"/>
  <c r="G22" i="34"/>
  <c r="D15" i="59" s="1"/>
  <c r="I15" i="59" s="1"/>
  <c r="G28" i="34"/>
  <c r="V33" i="2" s="1"/>
  <c r="DT144" i="1"/>
  <c r="EC144" i="1" s="1"/>
  <c r="CQ144" i="1"/>
  <c r="CZ144" i="1" s="1"/>
  <c r="DT155" i="1"/>
  <c r="EC155" i="1" s="1"/>
  <c r="CQ155" i="1"/>
  <c r="CZ155" i="1" s="1"/>
  <c r="DT172" i="1"/>
  <c r="EC172" i="1" s="1"/>
  <c r="CQ172" i="1"/>
  <c r="CZ172" i="1" s="1"/>
  <c r="M27" i="34"/>
  <c r="U32" i="2"/>
  <c r="E10" i="29"/>
  <c r="AF10" i="29" s="1"/>
  <c r="L10" i="50"/>
  <c r="T10" i="50" s="1"/>
  <c r="K10" i="27"/>
  <c r="S10" i="27" s="1"/>
  <c r="AX10" i="27" s="1"/>
  <c r="O27" i="34"/>
  <c r="I22" i="29" s="1"/>
  <c r="E20" i="59"/>
  <c r="J20" i="59" s="1"/>
  <c r="W32" i="2"/>
  <c r="DR140" i="1"/>
  <c r="EA140" i="1" s="1"/>
  <c r="CO140" i="1"/>
  <c r="CX140" i="1" s="1"/>
  <c r="J16" i="34"/>
  <c r="F16" i="34"/>
  <c r="C17" i="29"/>
  <c r="AD17" i="29" s="1"/>
  <c r="I17" i="27"/>
  <c r="Q17" i="27" s="1"/>
  <c r="AV17" i="27" s="1"/>
  <c r="J17" i="50"/>
  <c r="R17" i="50" s="1"/>
  <c r="E28" i="29"/>
  <c r="AF28" i="29" s="1"/>
  <c r="K28" i="27"/>
  <c r="S28" i="27" s="1"/>
  <c r="AX28" i="27" s="1"/>
  <c r="L28" i="50"/>
  <c r="T28" i="50" s="1"/>
  <c r="J15" i="34"/>
  <c r="F15" i="34"/>
  <c r="E21" i="29"/>
  <c r="AF21" i="29" s="1"/>
  <c r="K21" i="27"/>
  <c r="S21" i="27" s="1"/>
  <c r="AX21" i="27" s="1"/>
  <c r="L21" i="50"/>
  <c r="T21" i="50" s="1"/>
  <c r="C15" i="29"/>
  <c r="AD15" i="29" s="1"/>
  <c r="I15" i="27"/>
  <c r="Q15" i="27" s="1"/>
  <c r="AV15" i="27" s="1"/>
  <c r="J15" i="50"/>
  <c r="R15" i="50" s="1"/>
  <c r="C13" i="29"/>
  <c r="AD13" i="29" s="1"/>
  <c r="J13" i="50"/>
  <c r="R13" i="50" s="1"/>
  <c r="I13" i="27"/>
  <c r="Q13" i="27" s="1"/>
  <c r="AV13" i="27" s="1"/>
  <c r="J19" i="50"/>
  <c r="R19" i="50" s="1"/>
  <c r="I19" i="27"/>
  <c r="Q19" i="27" s="1"/>
  <c r="AV19" i="27" s="1"/>
  <c r="C19" i="29"/>
  <c r="AD19" i="29" s="1"/>
  <c r="E26" i="29"/>
  <c r="AF26" i="29" s="1"/>
  <c r="L26" i="50"/>
  <c r="T26" i="50" s="1"/>
  <c r="K26" i="27"/>
  <c r="S26" i="27" s="1"/>
  <c r="AX26" i="27" s="1"/>
  <c r="G27" i="34"/>
  <c r="DS161" i="1"/>
  <c r="EB161" i="1" s="1"/>
  <c r="CP161" i="1"/>
  <c r="CY161" i="1" s="1"/>
  <c r="DS175" i="1"/>
  <c r="EB175" i="1" s="1"/>
  <c r="CP175" i="1"/>
  <c r="CY175" i="1" s="1"/>
  <c r="DT157" i="1"/>
  <c r="EC157" i="1" s="1"/>
  <c r="CQ157" i="1"/>
  <c r="CZ157" i="1" s="1"/>
  <c r="DS171" i="1"/>
  <c r="EB171" i="1" s="1"/>
  <c r="CP171" i="1"/>
  <c r="CY171" i="1" s="1"/>
  <c r="DS166" i="1"/>
  <c r="EB166" i="1" s="1"/>
  <c r="CP166" i="1"/>
  <c r="CY166" i="1" s="1"/>
  <c r="DS170" i="1"/>
  <c r="EB170" i="1" s="1"/>
  <c r="CP170" i="1"/>
  <c r="CY170" i="1" s="1"/>
  <c r="DS155" i="1"/>
  <c r="EB155" i="1" s="1"/>
  <c r="CP155" i="1"/>
  <c r="CY155" i="1" s="1"/>
  <c r="DS173" i="1"/>
  <c r="EB173" i="1" s="1"/>
  <c r="CP173" i="1"/>
  <c r="CY173" i="1" s="1"/>
  <c r="DT142" i="1"/>
  <c r="EC142" i="1" s="1"/>
  <c r="CQ142" i="1"/>
  <c r="CZ142" i="1" s="1"/>
  <c r="DT174" i="1"/>
  <c r="EC174" i="1" s="1"/>
  <c r="CQ174" i="1"/>
  <c r="CZ174" i="1" s="1"/>
  <c r="DT154" i="1"/>
  <c r="EC154" i="1" s="1"/>
  <c r="CQ154" i="1"/>
  <c r="CZ154" i="1" s="1"/>
  <c r="DT150" i="1"/>
  <c r="EC150" i="1" s="1"/>
  <c r="CQ150" i="1"/>
  <c r="CZ150" i="1" s="1"/>
  <c r="DT140" i="1"/>
  <c r="EC140" i="1" s="1"/>
  <c r="CQ140" i="1"/>
  <c r="CZ140" i="1" s="1"/>
  <c r="DT164" i="1"/>
  <c r="EC164" i="1" s="1"/>
  <c r="CQ164" i="1"/>
  <c r="CZ164" i="1" s="1"/>
  <c r="G33" i="34"/>
  <c r="G23" i="34"/>
  <c r="V28" i="2" s="1"/>
  <c r="G29" i="34"/>
  <c r="D22" i="59" s="1"/>
  <c r="I22" i="59" s="1"/>
  <c r="G26" i="34"/>
  <c r="G30" i="34"/>
  <c r="D14" i="27"/>
  <c r="DT170" i="1"/>
  <c r="EC170" i="1" s="1"/>
  <c r="CQ170" i="1"/>
  <c r="CZ170" i="1" s="1"/>
  <c r="DS159" i="1"/>
  <c r="EB159" i="1" s="1"/>
  <c r="CP159" i="1"/>
  <c r="CY159" i="1" s="1"/>
  <c r="K12" i="27"/>
  <c r="S12" i="27" s="1"/>
  <c r="AX12" i="27" s="1"/>
  <c r="L12" i="50"/>
  <c r="T12" i="50" s="1"/>
  <c r="E12" i="29"/>
  <c r="AF12" i="29" s="1"/>
  <c r="E19" i="29"/>
  <c r="AF19" i="29" s="1"/>
  <c r="K19" i="27"/>
  <c r="S19" i="27" s="1"/>
  <c r="AX19" i="27" s="1"/>
  <c r="L19" i="50"/>
  <c r="T19" i="50" s="1"/>
  <c r="E18" i="29"/>
  <c r="AF18" i="29" s="1"/>
  <c r="L18" i="50"/>
  <c r="T18" i="50" s="1"/>
  <c r="K18" i="27"/>
  <c r="S18" i="27" s="1"/>
  <c r="AX18" i="27" s="1"/>
  <c r="E15" i="29"/>
  <c r="AF15" i="29" s="1"/>
  <c r="L15" i="50"/>
  <c r="T15" i="50" s="1"/>
  <c r="K15" i="27"/>
  <c r="S15" i="27" s="1"/>
  <c r="AX15" i="27" s="1"/>
  <c r="J27" i="50"/>
  <c r="R27" i="50" s="1"/>
  <c r="I27" i="27"/>
  <c r="Q27" i="27" s="1"/>
  <c r="AV27" i="27" s="1"/>
  <c r="C27" i="29"/>
  <c r="AD27" i="29" s="1"/>
  <c r="E20" i="29"/>
  <c r="AF20" i="29" s="1"/>
  <c r="K20" i="27"/>
  <c r="S20" i="27" s="1"/>
  <c r="AX20" i="27" s="1"/>
  <c r="L20" i="50"/>
  <c r="T20" i="50" s="1"/>
  <c r="K14" i="27"/>
  <c r="S14" i="27" s="1"/>
  <c r="AX14" i="27" s="1"/>
  <c r="L14" i="50"/>
  <c r="T14" i="50" s="1"/>
  <c r="E14" i="29"/>
  <c r="AF14" i="29" s="1"/>
  <c r="E27" i="29"/>
  <c r="AF27" i="29" s="1"/>
  <c r="L27" i="50"/>
  <c r="T27" i="50" s="1"/>
  <c r="K27" i="27"/>
  <c r="S27" i="27" s="1"/>
  <c r="AX27" i="27" s="1"/>
  <c r="F13" i="34"/>
  <c r="J13" i="34"/>
  <c r="DR164" i="1"/>
  <c r="EA164" i="1" s="1"/>
  <c r="CO164" i="1"/>
  <c r="CX164" i="1" s="1"/>
  <c r="L14" i="34"/>
  <c r="H14" i="34"/>
  <c r="DR152" i="1"/>
  <c r="EA152" i="1" s="1"/>
  <c r="CO152" i="1"/>
  <c r="CX152" i="1" s="1"/>
  <c r="M18" i="34"/>
  <c r="F13" i="66" s="1"/>
  <c r="C11" i="59"/>
  <c r="H11" i="59" s="1"/>
  <c r="U23" i="2"/>
  <c r="EB23" i="2" s="1"/>
  <c r="DT152" i="1"/>
  <c r="EC152" i="1" s="1"/>
  <c r="CQ152" i="1"/>
  <c r="CZ152" i="1" s="1"/>
  <c r="DT148" i="1"/>
  <c r="EC148" i="1" s="1"/>
  <c r="CQ148" i="1"/>
  <c r="CZ148" i="1" s="1"/>
  <c r="G17" i="34"/>
  <c r="V22" i="2" s="1"/>
  <c r="DZ22" i="2" s="1"/>
  <c r="G31" i="34"/>
  <c r="DS147" i="1"/>
  <c r="EB147" i="1" s="1"/>
  <c r="CP147" i="1"/>
  <c r="CY147" i="1" s="1"/>
  <c r="DT153" i="1"/>
  <c r="EC153" i="1" s="1"/>
  <c r="CQ153" i="1"/>
  <c r="CZ153" i="1" s="1"/>
  <c r="DT149" i="1"/>
  <c r="EC149" i="1" s="1"/>
  <c r="CQ149" i="1"/>
  <c r="CZ149" i="1" s="1"/>
  <c r="DS162" i="1"/>
  <c r="EB162" i="1" s="1"/>
  <c r="CP162" i="1"/>
  <c r="CY162" i="1" s="1"/>
  <c r="DT173" i="1"/>
  <c r="EC173" i="1" s="1"/>
  <c r="CQ173" i="1"/>
  <c r="CZ173" i="1" s="1"/>
  <c r="DS172" i="1"/>
  <c r="EB172" i="1" s="1"/>
  <c r="CP172" i="1"/>
  <c r="CY172" i="1" s="1"/>
  <c r="DT160" i="1"/>
  <c r="EC160" i="1" s="1"/>
  <c r="CQ160" i="1"/>
  <c r="CZ160" i="1" s="1"/>
  <c r="DT146" i="1"/>
  <c r="EC146" i="1" s="1"/>
  <c r="CQ146" i="1"/>
  <c r="CZ146" i="1" s="1"/>
  <c r="DT162" i="1"/>
  <c r="EC162" i="1" s="1"/>
  <c r="CQ162" i="1"/>
  <c r="CZ162" i="1" s="1"/>
  <c r="DS143" i="1"/>
  <c r="EB143" i="1" s="1"/>
  <c r="CP143" i="1"/>
  <c r="CY143" i="1" s="1"/>
  <c r="DS142" i="1"/>
  <c r="EB142" i="1" s="1"/>
  <c r="CP142" i="1"/>
  <c r="CY142" i="1" s="1"/>
  <c r="DS164" i="1"/>
  <c r="EB164" i="1" s="1"/>
  <c r="CP164" i="1"/>
  <c r="CY164" i="1" s="1"/>
  <c r="G19" i="34"/>
  <c r="G24" i="34"/>
  <c r="N24" i="34" s="1"/>
  <c r="DS145" i="1"/>
  <c r="EB145" i="1" s="1"/>
  <c r="CP145" i="1"/>
  <c r="CY145" i="1" s="1"/>
  <c r="G21" i="34"/>
  <c r="DS152" i="1"/>
  <c r="EB152" i="1" s="1"/>
  <c r="CP152" i="1"/>
  <c r="CY152" i="1" s="1"/>
  <c r="DT156" i="1"/>
  <c r="EC156" i="1" s="1"/>
  <c r="CQ156" i="1"/>
  <c r="CZ156" i="1" s="1"/>
  <c r="DS140" i="1"/>
  <c r="EB140" i="1" s="1"/>
  <c r="CP140" i="1"/>
  <c r="CY140" i="1" s="1"/>
  <c r="O17" i="34"/>
  <c r="E10" i="59"/>
  <c r="J10" i="59" s="1"/>
  <c r="W22" i="2"/>
  <c r="EA22" i="2" s="1"/>
  <c r="O24" i="34"/>
  <c r="I19" i="29" s="1"/>
  <c r="E17" i="59"/>
  <c r="J17" i="59" s="1"/>
  <c r="W29" i="2"/>
  <c r="O23" i="34"/>
  <c r="I18" i="29" s="1"/>
  <c r="E16" i="59"/>
  <c r="J16" i="59" s="1"/>
  <c r="W28" i="2"/>
  <c r="O20" i="34"/>
  <c r="I15" i="29" s="1"/>
  <c r="E13" i="59"/>
  <c r="J13" i="59" s="1"/>
  <c r="W25" i="2"/>
  <c r="C25" i="59"/>
  <c r="H25" i="59" s="1"/>
  <c r="O25" i="34"/>
  <c r="I20" i="29" s="1"/>
  <c r="E18" i="59"/>
  <c r="J18" i="59" s="1"/>
  <c r="W30" i="2"/>
  <c r="E12" i="59"/>
  <c r="J12" i="59" s="1"/>
  <c r="O19" i="34"/>
  <c r="W24" i="2"/>
  <c r="EA24" i="2" s="1"/>
  <c r="E13" i="29"/>
  <c r="AF13" i="29" s="1"/>
  <c r="L13" i="50"/>
  <c r="T13" i="50" s="1"/>
  <c r="K13" i="27"/>
  <c r="S13" i="27" s="1"/>
  <c r="AX13" i="27" s="1"/>
  <c r="K16" i="27"/>
  <c r="S16" i="27" s="1"/>
  <c r="AX16" i="27" s="1"/>
  <c r="L16" i="50"/>
  <c r="T16" i="50" s="1"/>
  <c r="E16" i="29"/>
  <c r="AF16" i="29" s="1"/>
  <c r="H13" i="34"/>
  <c r="L13" i="34"/>
  <c r="O16" i="34"/>
  <c r="E9" i="59"/>
  <c r="J9" i="59" s="1"/>
  <c r="W21" i="2"/>
  <c r="EA21" i="2" s="1"/>
  <c r="J23" i="50"/>
  <c r="R23" i="50" s="1"/>
  <c r="C23" i="29"/>
  <c r="AD23" i="29" s="1"/>
  <c r="I23" i="27"/>
  <c r="Q23" i="27" s="1"/>
  <c r="AV23" i="27" s="1"/>
  <c r="C28" i="29"/>
  <c r="AD28" i="29" s="1"/>
  <c r="J28" i="50"/>
  <c r="R28" i="50" s="1"/>
  <c r="I28" i="27"/>
  <c r="Q28" i="27" s="1"/>
  <c r="AV28" i="27" s="1"/>
  <c r="C20" i="29"/>
  <c r="AD20" i="29" s="1"/>
  <c r="I20" i="27"/>
  <c r="Q20" i="27" s="1"/>
  <c r="AV20" i="27" s="1"/>
  <c r="J20" i="50"/>
  <c r="R20" i="50" s="1"/>
  <c r="I12" i="27"/>
  <c r="Q12" i="27" s="1"/>
  <c r="AV12" i="27" s="1"/>
  <c r="C12" i="29"/>
  <c r="AD12" i="29" s="1"/>
  <c r="J12" i="50"/>
  <c r="R12" i="50" s="1"/>
  <c r="C18" i="29"/>
  <c r="AD18" i="29" s="1"/>
  <c r="I18" i="27"/>
  <c r="Q18" i="27" s="1"/>
  <c r="AV18" i="27" s="1"/>
  <c r="J18" i="50"/>
  <c r="R18" i="50" s="1"/>
  <c r="C14" i="29"/>
  <c r="AD14" i="29" s="1"/>
  <c r="I14" i="27"/>
  <c r="Q14" i="27" s="1"/>
  <c r="AV14" i="27" s="1"/>
  <c r="J14" i="50"/>
  <c r="R14" i="50" s="1"/>
  <c r="C25" i="29"/>
  <c r="AD25" i="29" s="1"/>
  <c r="J25" i="50"/>
  <c r="R25" i="50" s="1"/>
  <c r="I25" i="27"/>
  <c r="Q25" i="27" s="1"/>
  <c r="AV25" i="27" s="1"/>
  <c r="K23" i="27"/>
  <c r="S23" i="27" s="1"/>
  <c r="AX23" i="27" s="1"/>
  <c r="L23" i="50"/>
  <c r="T23" i="50" s="1"/>
  <c r="E23" i="29"/>
  <c r="AF23" i="29" s="1"/>
  <c r="E25" i="29"/>
  <c r="AF25" i="29" s="1"/>
  <c r="L25" i="50"/>
  <c r="T25" i="50" s="1"/>
  <c r="K25" i="27"/>
  <c r="S25" i="27" s="1"/>
  <c r="AX25" i="27" s="1"/>
  <c r="G25" i="34"/>
  <c r="C22" i="29"/>
  <c r="AD22" i="29" s="1"/>
  <c r="J22" i="50"/>
  <c r="R22" i="50" s="1"/>
  <c r="I22" i="27"/>
  <c r="Q22" i="27" s="1"/>
  <c r="AV22" i="27" s="1"/>
  <c r="C21" i="29"/>
  <c r="AD21" i="29" s="1"/>
  <c r="I21" i="27"/>
  <c r="Q21" i="27" s="1"/>
  <c r="AV21" i="27" s="1"/>
  <c r="J21" i="50"/>
  <c r="R21" i="50" s="1"/>
  <c r="K22" i="27"/>
  <c r="S22" i="27" s="1"/>
  <c r="AX22" i="27" s="1"/>
  <c r="L22" i="50"/>
  <c r="T22" i="50" s="1"/>
  <c r="E22" i="29"/>
  <c r="AF22" i="29" s="1"/>
  <c r="J14" i="34"/>
  <c r="F14" i="34"/>
  <c r="E17" i="29"/>
  <c r="AF17" i="29" s="1"/>
  <c r="L17" i="50"/>
  <c r="T17" i="50" s="1"/>
  <c r="K17" i="27"/>
  <c r="S17" i="27" s="1"/>
  <c r="AX17" i="27" s="1"/>
  <c r="J26" i="50"/>
  <c r="R26" i="50" s="1"/>
  <c r="I26" i="27"/>
  <c r="Q26" i="27" s="1"/>
  <c r="AV26" i="27" s="1"/>
  <c r="C26" i="29"/>
  <c r="AD26" i="29" s="1"/>
  <c r="E11" i="59"/>
  <c r="J11" i="59" s="1"/>
  <c r="O18" i="34"/>
  <c r="W23" i="2"/>
  <c r="EA23" i="2" s="1"/>
  <c r="E24" i="29"/>
  <c r="AF24" i="29" s="1"/>
  <c r="K24" i="27"/>
  <c r="S24" i="27" s="1"/>
  <c r="AX24" i="27" s="1"/>
  <c r="L24" i="50"/>
  <c r="T24" i="50" s="1"/>
  <c r="C24" i="29"/>
  <c r="AD24" i="29" s="1"/>
  <c r="I24" i="27"/>
  <c r="Q24" i="27" s="1"/>
  <c r="AV24" i="27" s="1"/>
  <c r="J24" i="50"/>
  <c r="R24" i="50" s="1"/>
  <c r="E11" i="29"/>
  <c r="AF11" i="29" s="1"/>
  <c r="L11" i="50"/>
  <c r="T11" i="50" s="1"/>
  <c r="K11" i="27"/>
  <c r="S11" i="27" s="1"/>
  <c r="AX11" i="27" s="1"/>
  <c r="C21" i="59"/>
  <c r="H21" i="59" s="1"/>
  <c r="M28" i="34"/>
  <c r="U33" i="2"/>
  <c r="M33" i="34"/>
  <c r="C26" i="59"/>
  <c r="H26" i="59" s="1"/>
  <c r="C10" i="59"/>
  <c r="H10" i="59" s="1"/>
  <c r="M17" i="34"/>
  <c r="F12" i="66" s="1"/>
  <c r="U22" i="2"/>
  <c r="EB22" i="2" s="1"/>
  <c r="C12" i="59"/>
  <c r="H12" i="59" s="1"/>
  <c r="M19" i="34"/>
  <c r="F14" i="66" s="1"/>
  <c r="U24" i="2"/>
  <c r="EB24" i="2" s="1"/>
  <c r="E21" i="59"/>
  <c r="J21" i="59" s="1"/>
  <c r="O28" i="34"/>
  <c r="I23" i="29" s="1"/>
  <c r="W33" i="2"/>
  <c r="DT199" i="1"/>
  <c r="EC199" i="1" s="1"/>
  <c r="CQ199" i="1"/>
  <c r="CZ199" i="1" s="1"/>
  <c r="DR181" i="1"/>
  <c r="EA181" i="1" s="1"/>
  <c r="CO181" i="1"/>
  <c r="CX181" i="1" s="1"/>
  <c r="DT241" i="1"/>
  <c r="EC241" i="1" s="1"/>
  <c r="CQ241" i="1"/>
  <c r="CZ241" i="1" s="1"/>
  <c r="DS309" i="1"/>
  <c r="EB309" i="1" s="1"/>
  <c r="CP309" i="1"/>
  <c r="CY309" i="1" s="1"/>
  <c r="DT216" i="1"/>
  <c r="EC216" i="1" s="1"/>
  <c r="CQ216" i="1"/>
  <c r="CZ216" i="1" s="1"/>
  <c r="DR341" i="1"/>
  <c r="EA341" i="1" s="1"/>
  <c r="CO341" i="1"/>
  <c r="CX341" i="1" s="1"/>
  <c r="DR340" i="1"/>
  <c r="EA340" i="1" s="1"/>
  <c r="CO340" i="1"/>
  <c r="CX340" i="1" s="1"/>
  <c r="DT231" i="1"/>
  <c r="EC231" i="1" s="1"/>
  <c r="CQ231" i="1"/>
  <c r="CZ231" i="1" s="1"/>
  <c r="DT323" i="1"/>
  <c r="EC323" i="1" s="1"/>
  <c r="CQ323" i="1"/>
  <c r="CZ323" i="1" s="1"/>
  <c r="DS203" i="1"/>
  <c r="EB203" i="1" s="1"/>
  <c r="CP203" i="1"/>
  <c r="CY203" i="1" s="1"/>
  <c r="DS201" i="1"/>
  <c r="EB201" i="1" s="1"/>
  <c r="CP201" i="1"/>
  <c r="CY201" i="1" s="1"/>
  <c r="DR218" i="1"/>
  <c r="EA218" i="1" s="1"/>
  <c r="CO218" i="1"/>
  <c r="CX218" i="1" s="1"/>
  <c r="DT340" i="1"/>
  <c r="EC340" i="1" s="1"/>
  <c r="CQ340" i="1"/>
  <c r="CZ340" i="1" s="1"/>
  <c r="DT246" i="1"/>
  <c r="EC246" i="1" s="1"/>
  <c r="CQ246" i="1"/>
  <c r="CZ246" i="1" s="1"/>
  <c r="DT179" i="1"/>
  <c r="EC179" i="1" s="1"/>
  <c r="CQ179" i="1"/>
  <c r="CZ179" i="1" s="1"/>
  <c r="DT338" i="1"/>
  <c r="EC338" i="1" s="1"/>
  <c r="CQ338" i="1"/>
  <c r="CZ338" i="1" s="1"/>
  <c r="DT280" i="1"/>
  <c r="EC280" i="1" s="1"/>
  <c r="CQ280" i="1"/>
  <c r="CZ280" i="1" s="1"/>
  <c r="DR198" i="1"/>
  <c r="EA198" i="1" s="1"/>
  <c r="CO198" i="1"/>
  <c r="CX198" i="1" s="1"/>
  <c r="DR348" i="1"/>
  <c r="EA348" i="1" s="1"/>
  <c r="CO348" i="1"/>
  <c r="CX348" i="1" s="1"/>
  <c r="DT284" i="1"/>
  <c r="EC284" i="1" s="1"/>
  <c r="CQ284" i="1"/>
  <c r="CZ284" i="1" s="1"/>
  <c r="DR356" i="1"/>
  <c r="EA356" i="1" s="1"/>
  <c r="CO356" i="1"/>
  <c r="CX356" i="1" s="1"/>
  <c r="DT358" i="1"/>
  <c r="EC358" i="1" s="1"/>
  <c r="CQ358" i="1"/>
  <c r="CZ358" i="1" s="1"/>
  <c r="DS357" i="1"/>
  <c r="EB357" i="1" s="1"/>
  <c r="CP357" i="1"/>
  <c r="CY357" i="1" s="1"/>
  <c r="DS366" i="1"/>
  <c r="EB366" i="1" s="1"/>
  <c r="CP366" i="1"/>
  <c r="CY366" i="1" s="1"/>
  <c r="DR320" i="1"/>
  <c r="EA320" i="1" s="1"/>
  <c r="CO320" i="1"/>
  <c r="CX320" i="1" s="1"/>
  <c r="DR304" i="1"/>
  <c r="EA304" i="1" s="1"/>
  <c r="CO304" i="1"/>
  <c r="CX304" i="1" s="1"/>
  <c r="DT356" i="1"/>
  <c r="EC356" i="1" s="1"/>
  <c r="CQ356" i="1"/>
  <c r="CZ356" i="1" s="1"/>
  <c r="DR339" i="1"/>
  <c r="EA339" i="1" s="1"/>
  <c r="CO339" i="1"/>
  <c r="CX339" i="1" s="1"/>
  <c r="DR344" i="1"/>
  <c r="EA344" i="1" s="1"/>
  <c r="CO344" i="1"/>
  <c r="CX344" i="1" s="1"/>
  <c r="DT213" i="1"/>
  <c r="EC213" i="1" s="1"/>
  <c r="CQ213" i="1"/>
  <c r="CZ213" i="1" s="1"/>
  <c r="DS188" i="1"/>
  <c r="EB188" i="1" s="1"/>
  <c r="CP188" i="1"/>
  <c r="CY188" i="1" s="1"/>
  <c r="DT350" i="1"/>
  <c r="EC350" i="1" s="1"/>
  <c r="CQ350" i="1"/>
  <c r="CZ350" i="1" s="1"/>
  <c r="DS275" i="1"/>
  <c r="EB275" i="1" s="1"/>
  <c r="CP275" i="1"/>
  <c r="CY275" i="1" s="1"/>
  <c r="DT331" i="1"/>
  <c r="EC331" i="1" s="1"/>
  <c r="CQ331" i="1"/>
  <c r="CZ331" i="1" s="1"/>
  <c r="DT283" i="1"/>
  <c r="EC283" i="1" s="1"/>
  <c r="CQ283" i="1"/>
  <c r="CZ283" i="1" s="1"/>
  <c r="DS277" i="1"/>
  <c r="EB277" i="1" s="1"/>
  <c r="CP277" i="1"/>
  <c r="CY277" i="1" s="1"/>
  <c r="DR238" i="1"/>
  <c r="EA238" i="1" s="1"/>
  <c r="CO238" i="1"/>
  <c r="CX238" i="1" s="1"/>
  <c r="DT223" i="1"/>
  <c r="EC223" i="1" s="1"/>
  <c r="CQ223" i="1"/>
  <c r="CZ223" i="1" s="1"/>
  <c r="DR204" i="1"/>
  <c r="EA204" i="1" s="1"/>
  <c r="CO204" i="1"/>
  <c r="CX204" i="1" s="1"/>
  <c r="DS283" i="1"/>
  <c r="EB283" i="1" s="1"/>
  <c r="CP283" i="1"/>
  <c r="CY283" i="1" s="1"/>
  <c r="DS254" i="1"/>
  <c r="EB254" i="1" s="1"/>
  <c r="CP254" i="1"/>
  <c r="CY254" i="1" s="1"/>
  <c r="DS217" i="1"/>
  <c r="EB217" i="1" s="1"/>
  <c r="CP217" i="1"/>
  <c r="CY217" i="1" s="1"/>
  <c r="DR335" i="1"/>
  <c r="EA335" i="1" s="1"/>
  <c r="CO335" i="1"/>
  <c r="CX335" i="1" s="1"/>
  <c r="DR288" i="1"/>
  <c r="EA288" i="1" s="1"/>
  <c r="CO288" i="1"/>
  <c r="CX288" i="1" s="1"/>
  <c r="DR268" i="1"/>
  <c r="EA268" i="1" s="1"/>
  <c r="CO268" i="1"/>
  <c r="CX268" i="1" s="1"/>
  <c r="DT207" i="1"/>
  <c r="EC207" i="1" s="1"/>
  <c r="CQ207" i="1"/>
  <c r="CZ207" i="1" s="1"/>
  <c r="DR287" i="1"/>
  <c r="EA287" i="1" s="1"/>
  <c r="CO287" i="1"/>
  <c r="CX287" i="1" s="1"/>
  <c r="CP222" i="1"/>
  <c r="CY222" i="1" s="1"/>
  <c r="DS222" i="1"/>
  <c r="EB222" i="1" s="1"/>
  <c r="DT273" i="1"/>
  <c r="EC273" i="1" s="1"/>
  <c r="CQ273" i="1"/>
  <c r="CZ273" i="1" s="1"/>
  <c r="CO364" i="1"/>
  <c r="CX364" i="1" s="1"/>
  <c r="DR364" i="1"/>
  <c r="EA364" i="1" s="1"/>
  <c r="DT203" i="1"/>
  <c r="EC203" i="1" s="1"/>
  <c r="CQ203" i="1"/>
  <c r="CZ203" i="1" s="1"/>
  <c r="DR338" i="1"/>
  <c r="EA338" i="1" s="1"/>
  <c r="CO338" i="1"/>
  <c r="CX338" i="1" s="1"/>
  <c r="DS280" i="1"/>
  <c r="EB280" i="1" s="1"/>
  <c r="CP280" i="1"/>
  <c r="CY280" i="1" s="1"/>
  <c r="DR234" i="1"/>
  <c r="EA234" i="1" s="1"/>
  <c r="CO234" i="1"/>
  <c r="CX234" i="1" s="1"/>
  <c r="DS214" i="1"/>
  <c r="EB214" i="1" s="1"/>
  <c r="CP214" i="1"/>
  <c r="CY214" i="1" s="1"/>
  <c r="DT316" i="1"/>
  <c r="EC316" i="1" s="1"/>
  <c r="CQ316" i="1"/>
  <c r="CZ316" i="1" s="1"/>
  <c r="DR257" i="1"/>
  <c r="EA257" i="1" s="1"/>
  <c r="CO257" i="1"/>
  <c r="CX257" i="1" s="1"/>
  <c r="DS289" i="1"/>
  <c r="EB289" i="1" s="1"/>
  <c r="CP289" i="1"/>
  <c r="CY289" i="1" s="1"/>
  <c r="DR326" i="1"/>
  <c r="EA326" i="1" s="1"/>
  <c r="CO326" i="1"/>
  <c r="CX326" i="1" s="1"/>
  <c r="DR266" i="1"/>
  <c r="EA266" i="1" s="1"/>
  <c r="CO266" i="1"/>
  <c r="CX266" i="1" s="1"/>
  <c r="DR195" i="1"/>
  <c r="EA195" i="1" s="1"/>
  <c r="CO195" i="1"/>
  <c r="CX195" i="1" s="1"/>
  <c r="DS183" i="1"/>
  <c r="EB183" i="1" s="1"/>
  <c r="CP183" i="1"/>
  <c r="CY183" i="1" s="1"/>
  <c r="DR197" i="1"/>
  <c r="EA197" i="1" s="1"/>
  <c r="CO197" i="1"/>
  <c r="CX197" i="1" s="1"/>
  <c r="DT257" i="1"/>
  <c r="EC257" i="1" s="1"/>
  <c r="CQ257" i="1"/>
  <c r="CZ257" i="1" s="1"/>
  <c r="DS286" i="1"/>
  <c r="EB286" i="1" s="1"/>
  <c r="CP286" i="1"/>
  <c r="CY286" i="1" s="1"/>
  <c r="DT296" i="1"/>
  <c r="EC296" i="1" s="1"/>
  <c r="CQ296" i="1"/>
  <c r="CZ296" i="1" s="1"/>
  <c r="DR362" i="1"/>
  <c r="EA362" i="1" s="1"/>
  <c r="CO362" i="1"/>
  <c r="CX362" i="1" s="1"/>
  <c r="DS358" i="1"/>
  <c r="EB358" i="1" s="1"/>
  <c r="CP358" i="1"/>
  <c r="CY358" i="1" s="1"/>
  <c r="DS213" i="1"/>
  <c r="EB213" i="1" s="1"/>
  <c r="CP213" i="1"/>
  <c r="CY213" i="1" s="1"/>
  <c r="DR378" i="1"/>
  <c r="EA378" i="1" s="1"/>
  <c r="CO378" i="1"/>
  <c r="CX378" i="1" s="1"/>
  <c r="DS367" i="1"/>
  <c r="EB367" i="1" s="1"/>
  <c r="CP367" i="1"/>
  <c r="CY367" i="1" s="1"/>
  <c r="DS344" i="1"/>
  <c r="EB344" i="1" s="1"/>
  <c r="CP344" i="1"/>
  <c r="CY344" i="1" s="1"/>
  <c r="DR223" i="1"/>
  <c r="EA223" i="1" s="1"/>
  <c r="CO223" i="1"/>
  <c r="CX223" i="1" s="1"/>
  <c r="DS349" i="1"/>
  <c r="EB349" i="1" s="1"/>
  <c r="CP349" i="1"/>
  <c r="CY349" i="1" s="1"/>
  <c r="DS207" i="1"/>
  <c r="EB207" i="1" s="1"/>
  <c r="CP207" i="1"/>
  <c r="CY207" i="1" s="1"/>
  <c r="DT177" i="1"/>
  <c r="EC177" i="1" s="1"/>
  <c r="CQ177" i="1"/>
  <c r="CZ177" i="1" s="1"/>
  <c r="DT304" i="1"/>
  <c r="EC304" i="1" s="1"/>
  <c r="CQ304" i="1"/>
  <c r="CZ304" i="1" s="1"/>
  <c r="DR319" i="1"/>
  <c r="EA319" i="1" s="1"/>
  <c r="CO319" i="1"/>
  <c r="CX319" i="1" s="1"/>
  <c r="DR242" i="1"/>
  <c r="EA242" i="1" s="1"/>
  <c r="CO242" i="1"/>
  <c r="CX242" i="1" s="1"/>
  <c r="DT253" i="1"/>
  <c r="EC253" i="1" s="1"/>
  <c r="CQ253" i="1"/>
  <c r="CZ253" i="1" s="1"/>
  <c r="DS265" i="1"/>
  <c r="EB265" i="1" s="1"/>
  <c r="CP265" i="1"/>
  <c r="CY265" i="1" s="1"/>
  <c r="DS177" i="1"/>
  <c r="EB177" i="1" s="1"/>
  <c r="CP177" i="1"/>
  <c r="CY177" i="1" s="1"/>
  <c r="DT254" i="1"/>
  <c r="EC254" i="1" s="1"/>
  <c r="CQ254" i="1"/>
  <c r="CZ254" i="1" s="1"/>
  <c r="DT242" i="1"/>
  <c r="EC242" i="1" s="1"/>
  <c r="CQ242" i="1"/>
  <c r="CZ242" i="1" s="1"/>
  <c r="DR243" i="1"/>
  <c r="EA243" i="1" s="1"/>
  <c r="CO243" i="1"/>
  <c r="CX243" i="1" s="1"/>
  <c r="DS310" i="1"/>
  <c r="EB310" i="1" s="1"/>
  <c r="CP310" i="1"/>
  <c r="CY310" i="1" s="1"/>
  <c r="DT313" i="1"/>
  <c r="EC313" i="1" s="1"/>
  <c r="CQ313" i="1"/>
  <c r="CZ313" i="1" s="1"/>
  <c r="DT312" i="1"/>
  <c r="EC312" i="1" s="1"/>
  <c r="CQ312" i="1"/>
  <c r="CZ312" i="1" s="1"/>
  <c r="DT301" i="1"/>
  <c r="EC301" i="1" s="1"/>
  <c r="CQ301" i="1"/>
  <c r="CZ301" i="1" s="1"/>
  <c r="DS244" i="1"/>
  <c r="EB244" i="1" s="1"/>
  <c r="CP244" i="1"/>
  <c r="CY244" i="1" s="1"/>
  <c r="DT329" i="1"/>
  <c r="EC329" i="1" s="1"/>
  <c r="CQ329" i="1"/>
  <c r="CZ329" i="1" s="1"/>
  <c r="DR352" i="1"/>
  <c r="EA352" i="1" s="1"/>
  <c r="CO352" i="1"/>
  <c r="CX352" i="1" s="1"/>
  <c r="DS352" i="1"/>
  <c r="EB352" i="1" s="1"/>
  <c r="CP352" i="1"/>
  <c r="CY352" i="1" s="1"/>
  <c r="DT225" i="1"/>
  <c r="EC225" i="1" s="1"/>
  <c r="CQ225" i="1"/>
  <c r="CZ225" i="1" s="1"/>
  <c r="DR255" i="1"/>
  <c r="EA255" i="1" s="1"/>
  <c r="CO255" i="1"/>
  <c r="CX255" i="1" s="1"/>
  <c r="DR375" i="1"/>
  <c r="EA375" i="1" s="1"/>
  <c r="CO375" i="1"/>
  <c r="CX375" i="1" s="1"/>
  <c r="DS370" i="1"/>
  <c r="EB370" i="1" s="1"/>
  <c r="CP370" i="1"/>
  <c r="CY370" i="1" s="1"/>
  <c r="DT188" i="1"/>
  <c r="EC188" i="1" s="1"/>
  <c r="CQ188" i="1"/>
  <c r="CZ188" i="1" s="1"/>
  <c r="DR365" i="1"/>
  <c r="EA365" i="1" s="1"/>
  <c r="CO365" i="1"/>
  <c r="CX365" i="1" s="1"/>
  <c r="DT236" i="1"/>
  <c r="EC236" i="1" s="1"/>
  <c r="CQ236" i="1"/>
  <c r="CZ236" i="1" s="1"/>
  <c r="DR212" i="1"/>
  <c r="EA212" i="1" s="1"/>
  <c r="CO212" i="1"/>
  <c r="CX212" i="1" s="1"/>
  <c r="DS212" i="1"/>
  <c r="EB212" i="1" s="1"/>
  <c r="CP212" i="1"/>
  <c r="CY212" i="1" s="1"/>
  <c r="DS176" i="1"/>
  <c r="EB176" i="1" s="1"/>
  <c r="CP176" i="1"/>
  <c r="CY176" i="1" s="1"/>
  <c r="DT292" i="1"/>
  <c r="EC292" i="1" s="1"/>
  <c r="CQ292" i="1"/>
  <c r="CZ292" i="1" s="1"/>
  <c r="DS281" i="1"/>
  <c r="EB281" i="1" s="1"/>
  <c r="CP281" i="1"/>
  <c r="CY281" i="1" s="1"/>
  <c r="DT346" i="1"/>
  <c r="EC346" i="1" s="1"/>
  <c r="CQ346" i="1"/>
  <c r="CZ346" i="1" s="1"/>
  <c r="DT238" i="1"/>
  <c r="EC238" i="1" s="1"/>
  <c r="CQ238" i="1"/>
  <c r="CZ238" i="1" s="1"/>
  <c r="DT267" i="1"/>
  <c r="EC267" i="1" s="1"/>
  <c r="CQ267" i="1"/>
  <c r="CZ267" i="1" s="1"/>
  <c r="DR317" i="1"/>
  <c r="EA317" i="1" s="1"/>
  <c r="CO317" i="1"/>
  <c r="CX317" i="1" s="1"/>
  <c r="DT255" i="1"/>
  <c r="EC255" i="1" s="1"/>
  <c r="CQ255" i="1"/>
  <c r="CZ255" i="1" s="1"/>
  <c r="DT353" i="1"/>
  <c r="EC353" i="1" s="1"/>
  <c r="CQ353" i="1"/>
  <c r="CZ353" i="1" s="1"/>
  <c r="DT185" i="1"/>
  <c r="EC185" i="1" s="1"/>
  <c r="CQ185" i="1"/>
  <c r="CZ185" i="1" s="1"/>
  <c r="DR246" i="1"/>
  <c r="EA246" i="1" s="1"/>
  <c r="CO246" i="1"/>
  <c r="CX246" i="1" s="1"/>
  <c r="DR208" i="1"/>
  <c r="EA208" i="1" s="1"/>
  <c r="CO208" i="1"/>
  <c r="CX208" i="1" s="1"/>
  <c r="DS331" i="1"/>
  <c r="EB331" i="1" s="1"/>
  <c r="CP331" i="1"/>
  <c r="CY331" i="1" s="1"/>
  <c r="DR291" i="1"/>
  <c r="EA291" i="1" s="1"/>
  <c r="CO291" i="1"/>
  <c r="CX291" i="1" s="1"/>
  <c r="DS252" i="1"/>
  <c r="EB252" i="1" s="1"/>
  <c r="CP252" i="1"/>
  <c r="CY252" i="1" s="1"/>
  <c r="DT219" i="1"/>
  <c r="EC219" i="1" s="1"/>
  <c r="CQ219" i="1"/>
  <c r="CZ219" i="1" s="1"/>
  <c r="DR293" i="1"/>
  <c r="EA293" i="1" s="1"/>
  <c r="CO293" i="1"/>
  <c r="CX293" i="1" s="1"/>
  <c r="DR278" i="1"/>
  <c r="EA278" i="1" s="1"/>
  <c r="CO278" i="1"/>
  <c r="CX278" i="1" s="1"/>
  <c r="DS287" i="1"/>
  <c r="EB287" i="1" s="1"/>
  <c r="CP287" i="1"/>
  <c r="CY287" i="1" s="1"/>
  <c r="DR305" i="1"/>
  <c r="EA305" i="1" s="1"/>
  <c r="CO305" i="1"/>
  <c r="CX305" i="1" s="1"/>
  <c r="DT348" i="1"/>
  <c r="EC348" i="1" s="1"/>
  <c r="CQ348" i="1"/>
  <c r="CZ348" i="1" s="1"/>
  <c r="DR262" i="1"/>
  <c r="EA262" i="1" s="1"/>
  <c r="CO262" i="1"/>
  <c r="CX262" i="1" s="1"/>
  <c r="DT266" i="1"/>
  <c r="EC266" i="1" s="1"/>
  <c r="CQ266" i="1"/>
  <c r="CZ266" i="1" s="1"/>
  <c r="DR377" i="1"/>
  <c r="EA377" i="1" s="1"/>
  <c r="CO377" i="1"/>
  <c r="CX377" i="1" s="1"/>
  <c r="DS200" i="1"/>
  <c r="EB200" i="1" s="1"/>
  <c r="CP200" i="1"/>
  <c r="CY200" i="1" s="1"/>
  <c r="DS296" i="1"/>
  <c r="EB296" i="1" s="1"/>
  <c r="CP296" i="1"/>
  <c r="CY296" i="1" s="1"/>
  <c r="DR270" i="1"/>
  <c r="EA270" i="1" s="1"/>
  <c r="CO270" i="1"/>
  <c r="CX270" i="1" s="1"/>
  <c r="DR279" i="1"/>
  <c r="EA279" i="1" s="1"/>
  <c r="CO279" i="1"/>
  <c r="CX279" i="1" s="1"/>
  <c r="DS273" i="1"/>
  <c r="EB273" i="1" s="1"/>
  <c r="CP273" i="1"/>
  <c r="CY273" i="1" s="1"/>
  <c r="DS219" i="1"/>
  <c r="EB219" i="1" s="1"/>
  <c r="CP219" i="1"/>
  <c r="CY219" i="1" s="1"/>
  <c r="CP328" i="1"/>
  <c r="CY328" i="1" s="1"/>
  <c r="DS328" i="1"/>
  <c r="EB328" i="1" s="1"/>
  <c r="DS312" i="1"/>
  <c r="EB312" i="1" s="1"/>
  <c r="CP312" i="1"/>
  <c r="CY312" i="1" s="1"/>
  <c r="DT333" i="1"/>
  <c r="EC333" i="1" s="1"/>
  <c r="CQ333" i="1"/>
  <c r="CZ333" i="1" s="1"/>
  <c r="DT202" i="1"/>
  <c r="EC202" i="1" s="1"/>
  <c r="CQ202" i="1"/>
  <c r="CZ202" i="1" s="1"/>
  <c r="DT321" i="1"/>
  <c r="EC321" i="1" s="1"/>
  <c r="CQ321" i="1"/>
  <c r="CZ321" i="1" s="1"/>
  <c r="DS237" i="1"/>
  <c r="EB237" i="1" s="1"/>
  <c r="CP237" i="1"/>
  <c r="CY237" i="1" s="1"/>
  <c r="DT279" i="1"/>
  <c r="EC279" i="1" s="1"/>
  <c r="CQ279" i="1"/>
  <c r="CZ279" i="1" s="1"/>
  <c r="DS243" i="1"/>
  <c r="EB243" i="1" s="1"/>
  <c r="CP243" i="1"/>
  <c r="CY243" i="1" s="1"/>
  <c r="DT261" i="1"/>
  <c r="EC261" i="1" s="1"/>
  <c r="CQ261" i="1"/>
  <c r="CZ261" i="1" s="1"/>
  <c r="DT286" i="1"/>
  <c r="EC286" i="1" s="1"/>
  <c r="CQ286" i="1"/>
  <c r="CZ286" i="1" s="1"/>
  <c r="DS313" i="1"/>
  <c r="EB313" i="1" s="1"/>
  <c r="CP313" i="1"/>
  <c r="CY313" i="1" s="1"/>
  <c r="DR282" i="1"/>
  <c r="EA282" i="1" s="1"/>
  <c r="CO282" i="1"/>
  <c r="CX282" i="1" s="1"/>
  <c r="DT311" i="1"/>
  <c r="EC311" i="1" s="1"/>
  <c r="CQ311" i="1"/>
  <c r="CZ311" i="1" s="1"/>
  <c r="DR226" i="1"/>
  <c r="EA226" i="1" s="1"/>
  <c r="CO226" i="1"/>
  <c r="CX226" i="1" s="1"/>
  <c r="DR237" i="1"/>
  <c r="EA237" i="1" s="1"/>
  <c r="CO237" i="1"/>
  <c r="CX237" i="1" s="1"/>
  <c r="DS218" i="1"/>
  <c r="EB218" i="1" s="1"/>
  <c r="CP218" i="1"/>
  <c r="CY218" i="1" s="1"/>
  <c r="DR351" i="1"/>
  <c r="EA351" i="1" s="1"/>
  <c r="CO351" i="1"/>
  <c r="CX351" i="1" s="1"/>
  <c r="DR303" i="1"/>
  <c r="EA303" i="1" s="1"/>
  <c r="CO303" i="1"/>
  <c r="CX303" i="1" s="1"/>
  <c r="DR306" i="1"/>
  <c r="EA306" i="1" s="1"/>
  <c r="CO306" i="1"/>
  <c r="CX306" i="1" s="1"/>
  <c r="DS206" i="1"/>
  <c r="EB206" i="1" s="1"/>
  <c r="CP206" i="1"/>
  <c r="CY206" i="1" s="1"/>
  <c r="DS323" i="1"/>
  <c r="EB323" i="1" s="1"/>
  <c r="CP323" i="1"/>
  <c r="CY323" i="1" s="1"/>
  <c r="DR240" i="1"/>
  <c r="EA240" i="1" s="1"/>
  <c r="CO240" i="1"/>
  <c r="CX240" i="1" s="1"/>
  <c r="DT186" i="1"/>
  <c r="EC186" i="1" s="1"/>
  <c r="CQ186" i="1"/>
  <c r="CZ186" i="1" s="1"/>
  <c r="DT232" i="1"/>
  <c r="EC232" i="1" s="1"/>
  <c r="CQ232" i="1"/>
  <c r="CZ232" i="1" s="1"/>
  <c r="DT193" i="1"/>
  <c r="EC193" i="1" s="1"/>
  <c r="CQ193" i="1"/>
  <c r="CZ193" i="1" s="1"/>
  <c r="DT215" i="1"/>
  <c r="EC215" i="1" s="1"/>
  <c r="CQ215" i="1"/>
  <c r="CZ215" i="1" s="1"/>
  <c r="DR231" i="1"/>
  <c r="EA231" i="1" s="1"/>
  <c r="CO231" i="1"/>
  <c r="CX231" i="1" s="1"/>
  <c r="DS278" i="1"/>
  <c r="EB278" i="1" s="1"/>
  <c r="CP278" i="1"/>
  <c r="CY278" i="1" s="1"/>
  <c r="DR259" i="1"/>
  <c r="EA259" i="1" s="1"/>
  <c r="CO259" i="1"/>
  <c r="CX259" i="1" s="1"/>
  <c r="DR184" i="1"/>
  <c r="EA184" i="1" s="1"/>
  <c r="CO184" i="1"/>
  <c r="CX184" i="1" s="1"/>
  <c r="DR334" i="1"/>
  <c r="EA334" i="1" s="1"/>
  <c r="CO334" i="1"/>
  <c r="CX334" i="1" s="1"/>
  <c r="DS249" i="1"/>
  <c r="EB249" i="1" s="1"/>
  <c r="CP249" i="1"/>
  <c r="CY249" i="1" s="1"/>
  <c r="DS192" i="1"/>
  <c r="EB192" i="1" s="1"/>
  <c r="CP192" i="1"/>
  <c r="CY192" i="1" s="1"/>
  <c r="DR177" i="1"/>
  <c r="EA177" i="1" s="1"/>
  <c r="CO177" i="1"/>
  <c r="CX177" i="1" s="1"/>
  <c r="DT285" i="1"/>
  <c r="EC285" i="1" s="1"/>
  <c r="CQ285" i="1"/>
  <c r="CZ285" i="1" s="1"/>
  <c r="DS314" i="1"/>
  <c r="EB314" i="1" s="1"/>
  <c r="CP314" i="1"/>
  <c r="CY314" i="1" s="1"/>
  <c r="DS282" i="1"/>
  <c r="EB282" i="1" s="1"/>
  <c r="CP282" i="1"/>
  <c r="CY282" i="1" s="1"/>
  <c r="DR272" i="1"/>
  <c r="EA272" i="1" s="1"/>
  <c r="CO272" i="1"/>
  <c r="CX272" i="1" s="1"/>
  <c r="DT363" i="1"/>
  <c r="EC363" i="1" s="1"/>
  <c r="CQ363" i="1"/>
  <c r="CZ363" i="1" s="1"/>
  <c r="DT262" i="1"/>
  <c r="EC262" i="1" s="1"/>
  <c r="CQ262" i="1"/>
  <c r="CZ262" i="1" s="1"/>
  <c r="DS350" i="1"/>
  <c r="EB350" i="1" s="1"/>
  <c r="CP350" i="1"/>
  <c r="CY350" i="1" s="1"/>
  <c r="DR296" i="1"/>
  <c r="EA296" i="1" s="1"/>
  <c r="CO296" i="1"/>
  <c r="CX296" i="1" s="1"/>
  <c r="DT194" i="1"/>
  <c r="EC194" i="1" s="1"/>
  <c r="CQ194" i="1"/>
  <c r="CZ194" i="1" s="1"/>
  <c r="DT320" i="1"/>
  <c r="EC320" i="1" s="1"/>
  <c r="CQ320" i="1"/>
  <c r="CZ320" i="1" s="1"/>
  <c r="DT370" i="1"/>
  <c r="EC370" i="1" s="1"/>
  <c r="CQ370" i="1"/>
  <c r="CZ370" i="1" s="1"/>
  <c r="CQ303" i="1"/>
  <c r="CZ303" i="1" s="1"/>
  <c r="DT303" i="1"/>
  <c r="EC303" i="1" s="1"/>
  <c r="DR244" i="1"/>
  <c r="EA244" i="1" s="1"/>
  <c r="CO244" i="1"/>
  <c r="CX244" i="1" s="1"/>
  <c r="DT373" i="1"/>
  <c r="EC373" i="1" s="1"/>
  <c r="CQ373" i="1"/>
  <c r="CZ373" i="1" s="1"/>
  <c r="DT248" i="1"/>
  <c r="EC248" i="1" s="1"/>
  <c r="CQ248" i="1"/>
  <c r="CZ248" i="1" s="1"/>
  <c r="DR284" i="1"/>
  <c r="EA284" i="1" s="1"/>
  <c r="CO284" i="1"/>
  <c r="CX284" i="1" s="1"/>
  <c r="DT224" i="1"/>
  <c r="EC224" i="1" s="1"/>
  <c r="CQ224" i="1"/>
  <c r="CZ224" i="1" s="1"/>
  <c r="DT251" i="1"/>
  <c r="EC251" i="1" s="1"/>
  <c r="CQ251" i="1"/>
  <c r="CZ251" i="1" s="1"/>
  <c r="DS215" i="1"/>
  <c r="EB215" i="1" s="1"/>
  <c r="CP215" i="1"/>
  <c r="CY215" i="1" s="1"/>
  <c r="DT379" i="1"/>
  <c r="EC379" i="1" s="1"/>
  <c r="CQ379" i="1"/>
  <c r="CZ379" i="1" s="1"/>
  <c r="DT191" i="1"/>
  <c r="EC191" i="1" s="1"/>
  <c r="CQ191" i="1"/>
  <c r="CZ191" i="1" s="1"/>
  <c r="DS371" i="1"/>
  <c r="EB371" i="1" s="1"/>
  <c r="CP371" i="1"/>
  <c r="CY371" i="1" s="1"/>
  <c r="DT372" i="1"/>
  <c r="EC372" i="1" s="1"/>
  <c r="CQ372" i="1"/>
  <c r="CZ372" i="1" s="1"/>
  <c r="DT360" i="1"/>
  <c r="EC360" i="1" s="1"/>
  <c r="CQ360" i="1"/>
  <c r="CZ360" i="1" s="1"/>
  <c r="DT374" i="1"/>
  <c r="EC374" i="1" s="1"/>
  <c r="CQ374" i="1"/>
  <c r="CZ374" i="1" s="1"/>
  <c r="DT200" i="1"/>
  <c r="EC200" i="1" s="1"/>
  <c r="CQ200" i="1"/>
  <c r="CZ200" i="1" s="1"/>
  <c r="DT368" i="1"/>
  <c r="EC368" i="1" s="1"/>
  <c r="CQ368" i="1"/>
  <c r="CZ368" i="1" s="1"/>
  <c r="DT371" i="1"/>
  <c r="EC371" i="1" s="1"/>
  <c r="CQ371" i="1"/>
  <c r="CZ371" i="1" s="1"/>
  <c r="DS291" i="1"/>
  <c r="EB291" i="1" s="1"/>
  <c r="CP291" i="1"/>
  <c r="CY291" i="1" s="1"/>
  <c r="DT378" i="1"/>
  <c r="EC378" i="1" s="1"/>
  <c r="CQ378" i="1"/>
  <c r="CZ378" i="1" s="1"/>
  <c r="DT308" i="1"/>
  <c r="EC308" i="1" s="1"/>
  <c r="CQ308" i="1"/>
  <c r="CZ308" i="1" s="1"/>
  <c r="DT263" i="1"/>
  <c r="EC263" i="1" s="1"/>
  <c r="CQ263" i="1"/>
  <c r="CZ263" i="1" s="1"/>
  <c r="DS295" i="1"/>
  <c r="EB295" i="1" s="1"/>
  <c r="CP295" i="1"/>
  <c r="CY295" i="1" s="1"/>
  <c r="DR379" i="1"/>
  <c r="EA379" i="1" s="1"/>
  <c r="CO379" i="1"/>
  <c r="CX379" i="1" s="1"/>
  <c r="DS378" i="1"/>
  <c r="EB378" i="1" s="1"/>
  <c r="CP378" i="1"/>
  <c r="CY378" i="1" s="1"/>
  <c r="DS368" i="1"/>
  <c r="EB368" i="1" s="1"/>
  <c r="CP368" i="1"/>
  <c r="CY368" i="1" s="1"/>
  <c r="DR213" i="1"/>
  <c r="EA213" i="1" s="1"/>
  <c r="CO213" i="1"/>
  <c r="CX213" i="1" s="1"/>
  <c r="DS208" i="1"/>
  <c r="EB208" i="1" s="1"/>
  <c r="CP208" i="1"/>
  <c r="CY208" i="1" s="1"/>
  <c r="DR264" i="1"/>
  <c r="EA264" i="1" s="1"/>
  <c r="CO264" i="1"/>
  <c r="CX264" i="1" s="1"/>
  <c r="DS306" i="1"/>
  <c r="EB306" i="1" s="1"/>
  <c r="CP306" i="1"/>
  <c r="CY306" i="1" s="1"/>
  <c r="DS216" i="1"/>
  <c r="EB216" i="1" s="1"/>
  <c r="CP216" i="1"/>
  <c r="CY216" i="1" s="1"/>
  <c r="DS179" i="1"/>
  <c r="EB179" i="1" s="1"/>
  <c r="CP179" i="1"/>
  <c r="CY179" i="1" s="1"/>
  <c r="DT309" i="1"/>
  <c r="EC309" i="1" s="1"/>
  <c r="CQ309" i="1"/>
  <c r="CZ309" i="1" s="1"/>
  <c r="DR192" i="1"/>
  <c r="EA192" i="1" s="1"/>
  <c r="CO192" i="1"/>
  <c r="CX192" i="1" s="1"/>
  <c r="DR199" i="1"/>
  <c r="EA199" i="1" s="1"/>
  <c r="CO199" i="1"/>
  <c r="CX199" i="1" s="1"/>
  <c r="DR329" i="1"/>
  <c r="EA329" i="1" s="1"/>
  <c r="CO329" i="1"/>
  <c r="CX329" i="1" s="1"/>
  <c r="DR247" i="1"/>
  <c r="EA247" i="1" s="1"/>
  <c r="CO247" i="1"/>
  <c r="CX247" i="1" s="1"/>
  <c r="DT343" i="1"/>
  <c r="EC343" i="1" s="1"/>
  <c r="CQ343" i="1"/>
  <c r="CZ343" i="1" s="1"/>
  <c r="DR353" i="1"/>
  <c r="EA353" i="1" s="1"/>
  <c r="CO353" i="1"/>
  <c r="CX353" i="1" s="1"/>
  <c r="DS258" i="1"/>
  <c r="EB258" i="1" s="1"/>
  <c r="CP258" i="1"/>
  <c r="CY258" i="1" s="1"/>
  <c r="DS361" i="1"/>
  <c r="EB361" i="1" s="1"/>
  <c r="CP361" i="1"/>
  <c r="CY361" i="1" s="1"/>
  <c r="DT307" i="1"/>
  <c r="EC307" i="1" s="1"/>
  <c r="CQ307" i="1"/>
  <c r="CZ307" i="1" s="1"/>
  <c r="DT337" i="1"/>
  <c r="EC337" i="1" s="1"/>
  <c r="CQ337" i="1"/>
  <c r="CZ337" i="1" s="1"/>
  <c r="DS342" i="1"/>
  <c r="EB342" i="1" s="1"/>
  <c r="CP342" i="1"/>
  <c r="CY342" i="1" s="1"/>
  <c r="DT208" i="1"/>
  <c r="EC208" i="1" s="1"/>
  <c r="CQ208" i="1"/>
  <c r="CZ208" i="1" s="1"/>
  <c r="DR233" i="1"/>
  <c r="EA233" i="1" s="1"/>
  <c r="CO233" i="1"/>
  <c r="CX233" i="1" s="1"/>
  <c r="DS324" i="1"/>
  <c r="EB324" i="1" s="1"/>
  <c r="CP324" i="1"/>
  <c r="CY324" i="1" s="1"/>
  <c r="DS270" i="1"/>
  <c r="EB270" i="1" s="1"/>
  <c r="CP270" i="1"/>
  <c r="CY270" i="1" s="1"/>
  <c r="DT264" i="1"/>
  <c r="EC264" i="1" s="1"/>
  <c r="CQ264" i="1"/>
  <c r="CZ264" i="1" s="1"/>
  <c r="DR185" i="1"/>
  <c r="EA185" i="1" s="1"/>
  <c r="CO185" i="1"/>
  <c r="CX185" i="1" s="1"/>
  <c r="DR349" i="1"/>
  <c r="EA349" i="1" s="1"/>
  <c r="CO349" i="1"/>
  <c r="CX349" i="1" s="1"/>
  <c r="DR265" i="1"/>
  <c r="EA265" i="1" s="1"/>
  <c r="CO265" i="1"/>
  <c r="CX265" i="1" s="1"/>
  <c r="DT211" i="1"/>
  <c r="EC211" i="1" s="1"/>
  <c r="CQ211" i="1"/>
  <c r="CZ211" i="1" s="1"/>
  <c r="DT250" i="1"/>
  <c r="EC250" i="1" s="1"/>
  <c r="CQ250" i="1"/>
  <c r="CZ250" i="1" s="1"/>
  <c r="DS285" i="1"/>
  <c r="EB285" i="1" s="1"/>
  <c r="CP285" i="1"/>
  <c r="CY285" i="1" s="1"/>
  <c r="DT369" i="1"/>
  <c r="EC369" i="1" s="1"/>
  <c r="CQ369" i="1"/>
  <c r="CZ369" i="1" s="1"/>
  <c r="DT277" i="1"/>
  <c r="EC277" i="1" s="1"/>
  <c r="CQ277" i="1"/>
  <c r="CZ277" i="1" s="1"/>
  <c r="DS211" i="1"/>
  <c r="EB211" i="1" s="1"/>
  <c r="CP211" i="1"/>
  <c r="CY211" i="1" s="1"/>
  <c r="DS345" i="1"/>
  <c r="EB345" i="1" s="1"/>
  <c r="CP345" i="1"/>
  <c r="CY345" i="1" s="1"/>
  <c r="DS325" i="1"/>
  <c r="EB325" i="1" s="1"/>
  <c r="CP325" i="1"/>
  <c r="CY325" i="1" s="1"/>
  <c r="DR178" i="1"/>
  <c r="EA178" i="1" s="1"/>
  <c r="CO178" i="1"/>
  <c r="CX178" i="1" s="1"/>
  <c r="DS262" i="1"/>
  <c r="EB262" i="1" s="1"/>
  <c r="CP262" i="1"/>
  <c r="CY262" i="1" s="1"/>
  <c r="DS290" i="1"/>
  <c r="EB290" i="1" s="1"/>
  <c r="CP290" i="1"/>
  <c r="CY290" i="1" s="1"/>
  <c r="DT341" i="1"/>
  <c r="EC341" i="1" s="1"/>
  <c r="CQ341" i="1"/>
  <c r="CZ341" i="1" s="1"/>
  <c r="DT197" i="1"/>
  <c r="EC197" i="1" s="1"/>
  <c r="CQ197" i="1"/>
  <c r="CZ197" i="1" s="1"/>
  <c r="DR224" i="1"/>
  <c r="EA224" i="1" s="1"/>
  <c r="CO224" i="1"/>
  <c r="CX224" i="1" s="1"/>
  <c r="DR354" i="1"/>
  <c r="EA354" i="1" s="1"/>
  <c r="CO354" i="1"/>
  <c r="CX354" i="1" s="1"/>
  <c r="DT375" i="1"/>
  <c r="EC375" i="1" s="1"/>
  <c r="CQ375" i="1"/>
  <c r="CZ375" i="1" s="1"/>
  <c r="DR310" i="1"/>
  <c r="EA310" i="1" s="1"/>
  <c r="CO310" i="1"/>
  <c r="CX310" i="1" s="1"/>
  <c r="DR299" i="1"/>
  <c r="EA299" i="1" s="1"/>
  <c r="CO299" i="1"/>
  <c r="CX299" i="1" s="1"/>
  <c r="DT359" i="1"/>
  <c r="EC359" i="1" s="1"/>
  <c r="CQ359" i="1"/>
  <c r="CZ359" i="1" s="1"/>
  <c r="CO236" i="1"/>
  <c r="CX236" i="1" s="1"/>
  <c r="DR236" i="1"/>
  <c r="EA236" i="1" s="1"/>
  <c r="DR332" i="1"/>
  <c r="EA332" i="1" s="1"/>
  <c r="CO332" i="1"/>
  <c r="CX332" i="1" s="1"/>
  <c r="DT244" i="1"/>
  <c r="EC244" i="1" s="1"/>
  <c r="CQ244" i="1"/>
  <c r="CZ244" i="1" s="1"/>
  <c r="DT367" i="1"/>
  <c r="EC367" i="1" s="1"/>
  <c r="CQ367" i="1"/>
  <c r="CZ367" i="1" s="1"/>
  <c r="DS178" i="1"/>
  <c r="EB178" i="1" s="1"/>
  <c r="CP178" i="1"/>
  <c r="CY178" i="1" s="1"/>
  <c r="DS235" i="1"/>
  <c r="EB235" i="1" s="1"/>
  <c r="CP235" i="1"/>
  <c r="CY235" i="1" s="1"/>
  <c r="DS356" i="1"/>
  <c r="EB356" i="1" s="1"/>
  <c r="CP356" i="1"/>
  <c r="CY356" i="1" s="1"/>
  <c r="DS248" i="1"/>
  <c r="EB248" i="1" s="1"/>
  <c r="CP248" i="1"/>
  <c r="CY248" i="1" s="1"/>
  <c r="DS320" i="1"/>
  <c r="EB320" i="1" s="1"/>
  <c r="CP320" i="1"/>
  <c r="CY320" i="1" s="1"/>
  <c r="DR314" i="1"/>
  <c r="EA314" i="1" s="1"/>
  <c r="CO314" i="1"/>
  <c r="CX314" i="1" s="1"/>
  <c r="DT326" i="1"/>
  <c r="EC326" i="1" s="1"/>
  <c r="CQ326" i="1"/>
  <c r="CZ326" i="1" s="1"/>
  <c r="DR302" i="1"/>
  <c r="EA302" i="1" s="1"/>
  <c r="CO302" i="1"/>
  <c r="CX302" i="1" s="1"/>
  <c r="DS298" i="1"/>
  <c r="EB298" i="1" s="1"/>
  <c r="CP298" i="1"/>
  <c r="CY298" i="1" s="1"/>
  <c r="DR324" i="1"/>
  <c r="EA324" i="1" s="1"/>
  <c r="CO324" i="1"/>
  <c r="CX324" i="1" s="1"/>
  <c r="DT180" i="1"/>
  <c r="EC180" i="1" s="1"/>
  <c r="CQ180" i="1"/>
  <c r="CZ180" i="1" s="1"/>
  <c r="DS267" i="1"/>
  <c r="EB267" i="1" s="1"/>
  <c r="CP267" i="1"/>
  <c r="CY267" i="1" s="1"/>
  <c r="DS239" i="1"/>
  <c r="EB239" i="1" s="1"/>
  <c r="CP239" i="1"/>
  <c r="CY239" i="1" s="1"/>
  <c r="DT282" i="1"/>
  <c r="EC282" i="1" s="1"/>
  <c r="CQ282" i="1"/>
  <c r="CZ282" i="1" s="1"/>
  <c r="DS259" i="1"/>
  <c r="EB259" i="1" s="1"/>
  <c r="CP259" i="1"/>
  <c r="CY259" i="1" s="1"/>
  <c r="DR241" i="1"/>
  <c r="EA241" i="1" s="1"/>
  <c r="CO241" i="1"/>
  <c r="CX241" i="1" s="1"/>
  <c r="DT228" i="1"/>
  <c r="EC228" i="1" s="1"/>
  <c r="CQ228" i="1"/>
  <c r="CZ228" i="1" s="1"/>
  <c r="DR369" i="1"/>
  <c r="EA369" i="1" s="1"/>
  <c r="CO369" i="1"/>
  <c r="CX369" i="1" s="1"/>
  <c r="DR330" i="1"/>
  <c r="EA330" i="1" s="1"/>
  <c r="CO330" i="1"/>
  <c r="CX330" i="1" s="1"/>
  <c r="DR227" i="1"/>
  <c r="EA227" i="1" s="1"/>
  <c r="CO227" i="1"/>
  <c r="CX227" i="1" s="1"/>
  <c r="DS353" i="1"/>
  <c r="EB353" i="1" s="1"/>
  <c r="CP353" i="1"/>
  <c r="CY353" i="1" s="1"/>
  <c r="DT342" i="1"/>
  <c r="EC342" i="1" s="1"/>
  <c r="CQ342" i="1"/>
  <c r="CZ342" i="1" s="1"/>
  <c r="DR275" i="1"/>
  <c r="EA275" i="1" s="1"/>
  <c r="CO275" i="1"/>
  <c r="CX275" i="1" s="1"/>
  <c r="DS326" i="1"/>
  <c r="EB326" i="1" s="1"/>
  <c r="CP326" i="1"/>
  <c r="CY326" i="1" s="1"/>
  <c r="DS240" i="1"/>
  <c r="EB240" i="1" s="1"/>
  <c r="CP240" i="1"/>
  <c r="CY240" i="1" s="1"/>
  <c r="DR357" i="1"/>
  <c r="EA357" i="1" s="1"/>
  <c r="CO357" i="1"/>
  <c r="CX357" i="1" s="1"/>
  <c r="DR286" i="1"/>
  <c r="EA286" i="1" s="1"/>
  <c r="CO286" i="1"/>
  <c r="CX286" i="1" s="1"/>
  <c r="DS209" i="1"/>
  <c r="EB209" i="1" s="1"/>
  <c r="CP209" i="1"/>
  <c r="CY209" i="1" s="1"/>
  <c r="DR336" i="1"/>
  <c r="EA336" i="1" s="1"/>
  <c r="CO336" i="1"/>
  <c r="CX336" i="1" s="1"/>
  <c r="DS250" i="1"/>
  <c r="EB250" i="1" s="1"/>
  <c r="CP250" i="1"/>
  <c r="CY250" i="1" s="1"/>
  <c r="DS288" i="1"/>
  <c r="EB288" i="1" s="1"/>
  <c r="CP288" i="1"/>
  <c r="CY288" i="1" s="1"/>
  <c r="DS234" i="1"/>
  <c r="EB234" i="1" s="1"/>
  <c r="CP234" i="1"/>
  <c r="CY234" i="1" s="1"/>
  <c r="DR350" i="1"/>
  <c r="EA350" i="1" s="1"/>
  <c r="CO350" i="1"/>
  <c r="CX350" i="1" s="1"/>
  <c r="DR371" i="1"/>
  <c r="EA371" i="1" s="1"/>
  <c r="CO371" i="1"/>
  <c r="CX371" i="1" s="1"/>
  <c r="DR248" i="1"/>
  <c r="EA248" i="1" s="1"/>
  <c r="CO248" i="1"/>
  <c r="CX248" i="1" s="1"/>
  <c r="DS348" i="1"/>
  <c r="EB348" i="1" s="1"/>
  <c r="CP348" i="1"/>
  <c r="CY348" i="1" s="1"/>
  <c r="DR261" i="1"/>
  <c r="EA261" i="1" s="1"/>
  <c r="CO261" i="1"/>
  <c r="CX261" i="1" s="1"/>
  <c r="DT184" i="1"/>
  <c r="EC184" i="1" s="1"/>
  <c r="CQ184" i="1"/>
  <c r="CZ184" i="1" s="1"/>
  <c r="DR200" i="1"/>
  <c r="EA200" i="1" s="1"/>
  <c r="CO200" i="1"/>
  <c r="CX200" i="1" s="1"/>
  <c r="DS359" i="1"/>
  <c r="EB359" i="1" s="1"/>
  <c r="CP359" i="1"/>
  <c r="CY359" i="1" s="1"/>
  <c r="DS260" i="1"/>
  <c r="EB260" i="1" s="1"/>
  <c r="CP260" i="1"/>
  <c r="CY260" i="1" s="1"/>
  <c r="DT240" i="1"/>
  <c r="EC240" i="1" s="1"/>
  <c r="CQ240" i="1"/>
  <c r="CZ240" i="1" s="1"/>
  <c r="DS305" i="1"/>
  <c r="EB305" i="1" s="1"/>
  <c r="CP305" i="1"/>
  <c r="CY305" i="1" s="1"/>
  <c r="DS299" i="1"/>
  <c r="EB299" i="1" s="1"/>
  <c r="CP299" i="1"/>
  <c r="CY299" i="1" s="1"/>
  <c r="DT247" i="1"/>
  <c r="EC247" i="1" s="1"/>
  <c r="CQ247" i="1"/>
  <c r="CZ247" i="1" s="1"/>
  <c r="DS257" i="1"/>
  <c r="EB257" i="1" s="1"/>
  <c r="CP257" i="1"/>
  <c r="CY257" i="1" s="1"/>
  <c r="DT376" i="1"/>
  <c r="EC376" i="1" s="1"/>
  <c r="CQ376" i="1"/>
  <c r="CZ376" i="1" s="1"/>
  <c r="DS375" i="1"/>
  <c r="EB375" i="1" s="1"/>
  <c r="CP375" i="1"/>
  <c r="CY375" i="1" s="1"/>
  <c r="DT227" i="1"/>
  <c r="EC227" i="1" s="1"/>
  <c r="CQ227" i="1"/>
  <c r="CZ227" i="1" s="1"/>
  <c r="DT297" i="1"/>
  <c r="EC297" i="1" s="1"/>
  <c r="CQ297" i="1"/>
  <c r="CZ297" i="1" s="1"/>
  <c r="DR179" i="1"/>
  <c r="EA179" i="1" s="1"/>
  <c r="CO179" i="1"/>
  <c r="CX179" i="1" s="1"/>
  <c r="DS189" i="1"/>
  <c r="EB189" i="1" s="1"/>
  <c r="CP189" i="1"/>
  <c r="CY189" i="1" s="1"/>
  <c r="DT294" i="1"/>
  <c r="EC294" i="1" s="1"/>
  <c r="CQ294" i="1"/>
  <c r="CZ294" i="1" s="1"/>
  <c r="DT347" i="1"/>
  <c r="EC347" i="1" s="1"/>
  <c r="CQ347" i="1"/>
  <c r="CZ347" i="1" s="1"/>
  <c r="DR267" i="1"/>
  <c r="EA267" i="1" s="1"/>
  <c r="CO267" i="1"/>
  <c r="CX267" i="1" s="1"/>
  <c r="DT275" i="1"/>
  <c r="EC275" i="1" s="1"/>
  <c r="CQ275" i="1"/>
  <c r="CZ275" i="1" s="1"/>
  <c r="DS190" i="1"/>
  <c r="EB190" i="1" s="1"/>
  <c r="CP190" i="1"/>
  <c r="CY190" i="1" s="1"/>
  <c r="DT209" i="1"/>
  <c r="EC209" i="1" s="1"/>
  <c r="CQ209" i="1"/>
  <c r="CZ209" i="1" s="1"/>
  <c r="DT299" i="1"/>
  <c r="EC299" i="1" s="1"/>
  <c r="CQ299" i="1"/>
  <c r="CZ299" i="1" s="1"/>
  <c r="DT345" i="1"/>
  <c r="EC345" i="1" s="1"/>
  <c r="CQ345" i="1"/>
  <c r="CZ345" i="1" s="1"/>
  <c r="DT298" i="1"/>
  <c r="EC298" i="1" s="1"/>
  <c r="CQ298" i="1"/>
  <c r="CZ298" i="1" s="1"/>
  <c r="DS376" i="1"/>
  <c r="EB376" i="1" s="1"/>
  <c r="CP376" i="1"/>
  <c r="CY376" i="1" s="1"/>
  <c r="DT182" i="1"/>
  <c r="EC182" i="1" s="1"/>
  <c r="CQ182" i="1"/>
  <c r="CZ182" i="1" s="1"/>
  <c r="DT295" i="1"/>
  <c r="EC295" i="1" s="1"/>
  <c r="CQ295" i="1"/>
  <c r="CZ295" i="1" s="1"/>
  <c r="DS226" i="1"/>
  <c r="EB226" i="1" s="1"/>
  <c r="CP226" i="1"/>
  <c r="CY226" i="1" s="1"/>
  <c r="DR292" i="1"/>
  <c r="EA292" i="1" s="1"/>
  <c r="CO292" i="1"/>
  <c r="CX292" i="1" s="1"/>
  <c r="DT306" i="1"/>
  <c r="EC306" i="1" s="1"/>
  <c r="CQ306" i="1"/>
  <c r="CZ306" i="1" s="1"/>
  <c r="DS300" i="1"/>
  <c r="EB300" i="1" s="1"/>
  <c r="CP300" i="1"/>
  <c r="CY300" i="1" s="1"/>
  <c r="DR249" i="1"/>
  <c r="EA249" i="1" s="1"/>
  <c r="CO249" i="1"/>
  <c r="CX249" i="1" s="1"/>
  <c r="DT256" i="1"/>
  <c r="EC256" i="1" s="1"/>
  <c r="CQ256" i="1"/>
  <c r="CZ256" i="1" s="1"/>
  <c r="DR274" i="1"/>
  <c r="EA274" i="1" s="1"/>
  <c r="CO274" i="1"/>
  <c r="CX274" i="1" s="1"/>
  <c r="DS196" i="1"/>
  <c r="EB196" i="1" s="1"/>
  <c r="CP196" i="1"/>
  <c r="CY196" i="1" s="1"/>
  <c r="DS263" i="1"/>
  <c r="EB263" i="1" s="1"/>
  <c r="CP263" i="1"/>
  <c r="CY263" i="1" s="1"/>
  <c r="DT196" i="1"/>
  <c r="EC196" i="1" s="1"/>
  <c r="CQ196" i="1"/>
  <c r="CZ196" i="1" s="1"/>
  <c r="DS251" i="1"/>
  <c r="EB251" i="1" s="1"/>
  <c r="CP251" i="1"/>
  <c r="CY251" i="1" s="1"/>
  <c r="DT222" i="1"/>
  <c r="EC222" i="1" s="1"/>
  <c r="CQ222" i="1"/>
  <c r="CZ222" i="1" s="1"/>
  <c r="DS233" i="1"/>
  <c r="EB233" i="1" s="1"/>
  <c r="CP233" i="1"/>
  <c r="CY233" i="1" s="1"/>
  <c r="DT217" i="1"/>
  <c r="EC217" i="1" s="1"/>
  <c r="CQ217" i="1"/>
  <c r="CZ217" i="1" s="1"/>
  <c r="DS319" i="1"/>
  <c r="EB319" i="1" s="1"/>
  <c r="CP319" i="1"/>
  <c r="CY319" i="1" s="1"/>
  <c r="DS205" i="1"/>
  <c r="EB205" i="1" s="1"/>
  <c r="CP205" i="1"/>
  <c r="CY205" i="1" s="1"/>
  <c r="DT314" i="1"/>
  <c r="EC314" i="1" s="1"/>
  <c r="CQ314" i="1"/>
  <c r="CZ314" i="1" s="1"/>
  <c r="DT315" i="1"/>
  <c r="EC315" i="1" s="1"/>
  <c r="CQ315" i="1"/>
  <c r="CZ315" i="1" s="1"/>
  <c r="DS292" i="1"/>
  <c r="EB292" i="1" s="1"/>
  <c r="CP292" i="1"/>
  <c r="CY292" i="1" s="1"/>
  <c r="DR189" i="1"/>
  <c r="EA189" i="1" s="1"/>
  <c r="CO189" i="1"/>
  <c r="CX189" i="1" s="1"/>
  <c r="DS301" i="1"/>
  <c r="EB301" i="1" s="1"/>
  <c r="CP301" i="1"/>
  <c r="CY301" i="1" s="1"/>
  <c r="DR202" i="1"/>
  <c r="EA202" i="1" s="1"/>
  <c r="CO202" i="1"/>
  <c r="CX202" i="1" s="1"/>
  <c r="DT235" i="1"/>
  <c r="EC235" i="1" s="1"/>
  <c r="CQ235" i="1"/>
  <c r="CZ235" i="1" s="1"/>
  <c r="DR321" i="1"/>
  <c r="EA321" i="1" s="1"/>
  <c r="CO321" i="1"/>
  <c r="CX321" i="1" s="1"/>
  <c r="DT278" i="1"/>
  <c r="EC278" i="1" s="1"/>
  <c r="CQ278" i="1"/>
  <c r="CZ278" i="1" s="1"/>
  <c r="DS194" i="1"/>
  <c r="EB194" i="1" s="1"/>
  <c r="CP194" i="1"/>
  <c r="CY194" i="1" s="1"/>
  <c r="CP264" i="1"/>
  <c r="CY264" i="1" s="1"/>
  <c r="DS264" i="1"/>
  <c r="EB264" i="1" s="1"/>
  <c r="DR183" i="1"/>
  <c r="EA183" i="1" s="1"/>
  <c r="CO183" i="1"/>
  <c r="CX183" i="1" s="1"/>
  <c r="DT265" i="1"/>
  <c r="EC265" i="1" s="1"/>
  <c r="CQ265" i="1"/>
  <c r="CZ265" i="1" s="1"/>
  <c r="DR355" i="1"/>
  <c r="EA355" i="1" s="1"/>
  <c r="CO355" i="1"/>
  <c r="CX355" i="1" s="1"/>
  <c r="DS227" i="1"/>
  <c r="EB227" i="1" s="1"/>
  <c r="CP227" i="1"/>
  <c r="CY227" i="1" s="1"/>
  <c r="DT252" i="1"/>
  <c r="EC252" i="1" s="1"/>
  <c r="CQ252" i="1"/>
  <c r="CZ252" i="1" s="1"/>
  <c r="DR318" i="1"/>
  <c r="EA318" i="1" s="1"/>
  <c r="CO318" i="1"/>
  <c r="CX318" i="1" s="1"/>
  <c r="DT271" i="1"/>
  <c r="EC271" i="1" s="1"/>
  <c r="CQ271" i="1"/>
  <c r="CZ271" i="1" s="1"/>
  <c r="DR228" i="1"/>
  <c r="EA228" i="1" s="1"/>
  <c r="CO228" i="1"/>
  <c r="CX228" i="1" s="1"/>
  <c r="DR294" i="1"/>
  <c r="EA294" i="1" s="1"/>
  <c r="CO294" i="1"/>
  <c r="CX294" i="1" s="1"/>
  <c r="DR280" i="1"/>
  <c r="EA280" i="1" s="1"/>
  <c r="CO280" i="1"/>
  <c r="CX280" i="1" s="1"/>
  <c r="DS221" i="1"/>
  <c r="EB221" i="1" s="1"/>
  <c r="CP221" i="1"/>
  <c r="CY221" i="1" s="1"/>
  <c r="DS241" i="1"/>
  <c r="EB241" i="1" s="1"/>
  <c r="CP241" i="1"/>
  <c r="CY241" i="1" s="1"/>
  <c r="DT181" i="1"/>
  <c r="EC181" i="1" s="1"/>
  <c r="CQ181" i="1"/>
  <c r="CZ181" i="1" s="1"/>
  <c r="DR191" i="1"/>
  <c r="EA191" i="1" s="1"/>
  <c r="CO191" i="1"/>
  <c r="CX191" i="1" s="1"/>
  <c r="DS271" i="1"/>
  <c r="EB271" i="1" s="1"/>
  <c r="CP271" i="1"/>
  <c r="CY271" i="1" s="1"/>
  <c r="DS341" i="1"/>
  <c r="EB341" i="1" s="1"/>
  <c r="CP341" i="1"/>
  <c r="CY341" i="1" s="1"/>
  <c r="DR211" i="1"/>
  <c r="EA211" i="1" s="1"/>
  <c r="CO211" i="1"/>
  <c r="CX211" i="1" s="1"/>
  <c r="DT230" i="1"/>
  <c r="EC230" i="1" s="1"/>
  <c r="CQ230" i="1"/>
  <c r="CZ230" i="1" s="1"/>
  <c r="DT349" i="1"/>
  <c r="EC349" i="1" s="1"/>
  <c r="CQ349" i="1"/>
  <c r="CZ349" i="1" s="1"/>
  <c r="DS311" i="1"/>
  <c r="EB311" i="1" s="1"/>
  <c r="CP311" i="1"/>
  <c r="CY311" i="1" s="1"/>
  <c r="DT249" i="1"/>
  <c r="EC249" i="1" s="1"/>
  <c r="CQ249" i="1"/>
  <c r="CZ249" i="1" s="1"/>
  <c r="DT290" i="1"/>
  <c r="EC290" i="1" s="1"/>
  <c r="CQ290" i="1"/>
  <c r="CZ290" i="1" s="1"/>
  <c r="DR229" i="1"/>
  <c r="EA229" i="1" s="1"/>
  <c r="CO229" i="1"/>
  <c r="CX229" i="1" s="1"/>
  <c r="DR345" i="1"/>
  <c r="EA345" i="1" s="1"/>
  <c r="CO345" i="1"/>
  <c r="CX345" i="1" s="1"/>
  <c r="DR193" i="1"/>
  <c r="EA193" i="1" s="1"/>
  <c r="CO193" i="1"/>
  <c r="CX193" i="1" s="1"/>
  <c r="DS337" i="1"/>
  <c r="EB337" i="1" s="1"/>
  <c r="CP337" i="1"/>
  <c r="CY337" i="1" s="1"/>
  <c r="DS363" i="1"/>
  <c r="EB363" i="1" s="1"/>
  <c r="CP363" i="1"/>
  <c r="CY363" i="1" s="1"/>
  <c r="DR225" i="1"/>
  <c r="EA225" i="1" s="1"/>
  <c r="CO225" i="1"/>
  <c r="CX225" i="1" s="1"/>
  <c r="DR235" i="1"/>
  <c r="EA235" i="1" s="1"/>
  <c r="CO235" i="1"/>
  <c r="CX235" i="1" s="1"/>
  <c r="DR201" i="1"/>
  <c r="EA201" i="1" s="1"/>
  <c r="CO201" i="1"/>
  <c r="CX201" i="1" s="1"/>
  <c r="DT268" i="1"/>
  <c r="EC268" i="1" s="1"/>
  <c r="CQ268" i="1"/>
  <c r="CZ268" i="1" s="1"/>
  <c r="DS315" i="1"/>
  <c r="EB315" i="1" s="1"/>
  <c r="CP315" i="1"/>
  <c r="CY315" i="1" s="1"/>
  <c r="DR221" i="1"/>
  <c r="EA221" i="1" s="1"/>
  <c r="CO221" i="1"/>
  <c r="CX221" i="1" s="1"/>
  <c r="DT183" i="1"/>
  <c r="EC183" i="1" s="1"/>
  <c r="CQ183" i="1"/>
  <c r="CZ183" i="1" s="1"/>
  <c r="DT330" i="1"/>
  <c r="EC330" i="1" s="1"/>
  <c r="CQ330" i="1"/>
  <c r="CZ330" i="1" s="1"/>
  <c r="DR254" i="1"/>
  <c r="EA254" i="1" s="1"/>
  <c r="CO254" i="1"/>
  <c r="CX254" i="1" s="1"/>
  <c r="DT192" i="1"/>
  <c r="EC192" i="1" s="1"/>
  <c r="CQ192" i="1"/>
  <c r="CZ192" i="1" s="1"/>
  <c r="DR263" i="1"/>
  <c r="EA263" i="1" s="1"/>
  <c r="CO263" i="1"/>
  <c r="CX263" i="1" s="1"/>
  <c r="DS197" i="1"/>
  <c r="EB197" i="1" s="1"/>
  <c r="CP197" i="1"/>
  <c r="CY197" i="1" s="1"/>
  <c r="DR346" i="1"/>
  <c r="EA346" i="1" s="1"/>
  <c r="CO346" i="1"/>
  <c r="CX346" i="1" s="1"/>
  <c r="DR219" i="1"/>
  <c r="EA219" i="1" s="1"/>
  <c r="CO219" i="1"/>
  <c r="CX219" i="1" s="1"/>
  <c r="DR232" i="1"/>
  <c r="EA232" i="1" s="1"/>
  <c r="CO232" i="1"/>
  <c r="CX232" i="1" s="1"/>
  <c r="DS266" i="1"/>
  <c r="EB266" i="1" s="1"/>
  <c r="CP266" i="1"/>
  <c r="CY266" i="1" s="1"/>
  <c r="DT291" i="1"/>
  <c r="EC291" i="1" s="1"/>
  <c r="CQ291" i="1"/>
  <c r="CZ291" i="1" s="1"/>
  <c r="DR295" i="1"/>
  <c r="EA295" i="1" s="1"/>
  <c r="CO295" i="1"/>
  <c r="CX295" i="1" s="1"/>
  <c r="DS198" i="1"/>
  <c r="EB198" i="1" s="1"/>
  <c r="CP198" i="1"/>
  <c r="CY198" i="1" s="1"/>
  <c r="DT289" i="1"/>
  <c r="EC289" i="1" s="1"/>
  <c r="CQ289" i="1"/>
  <c r="CZ289" i="1" s="1"/>
  <c r="DT176" i="1"/>
  <c r="EC176" i="1" s="1"/>
  <c r="CQ176" i="1"/>
  <c r="CZ176" i="1" s="1"/>
  <c r="DR176" i="1"/>
  <c r="EA176" i="1" s="1"/>
  <c r="CO176" i="1"/>
  <c r="CX176" i="1" s="1"/>
  <c r="DT229" i="1"/>
  <c r="EC229" i="1" s="1"/>
  <c r="CQ229" i="1"/>
  <c r="CZ229" i="1" s="1"/>
  <c r="DS379" i="1"/>
  <c r="EB379" i="1" s="1"/>
  <c r="CP379" i="1"/>
  <c r="CY379" i="1" s="1"/>
  <c r="DT260" i="1"/>
  <c r="EC260" i="1" s="1"/>
  <c r="CQ260" i="1"/>
  <c r="CZ260" i="1" s="1"/>
  <c r="DS231" i="1"/>
  <c r="EB231" i="1" s="1"/>
  <c r="CP231" i="1"/>
  <c r="CY231" i="1" s="1"/>
  <c r="DT226" i="1"/>
  <c r="EC226" i="1" s="1"/>
  <c r="CQ226" i="1"/>
  <c r="CZ226" i="1" s="1"/>
  <c r="DS322" i="1"/>
  <c r="EB322" i="1" s="1"/>
  <c r="CP322" i="1"/>
  <c r="CY322" i="1" s="1"/>
  <c r="DS354" i="1"/>
  <c r="EB354" i="1" s="1"/>
  <c r="CP354" i="1"/>
  <c r="CY354" i="1" s="1"/>
  <c r="DT212" i="1"/>
  <c r="EC212" i="1" s="1"/>
  <c r="CQ212" i="1"/>
  <c r="CZ212" i="1" s="1"/>
  <c r="DT190" i="1"/>
  <c r="EC190" i="1" s="1"/>
  <c r="CQ190" i="1"/>
  <c r="CZ190" i="1" s="1"/>
  <c r="DR358" i="1"/>
  <c r="EA358" i="1" s="1"/>
  <c r="CO358" i="1"/>
  <c r="CX358" i="1" s="1"/>
  <c r="DS340" i="1"/>
  <c r="EB340" i="1" s="1"/>
  <c r="CP340" i="1"/>
  <c r="CY340" i="1" s="1"/>
  <c r="DT178" i="1"/>
  <c r="EC178" i="1" s="1"/>
  <c r="CQ178" i="1"/>
  <c r="CZ178" i="1" s="1"/>
  <c r="DT344" i="1"/>
  <c r="EC344" i="1" s="1"/>
  <c r="CQ344" i="1"/>
  <c r="CZ344" i="1" s="1"/>
  <c r="DR220" i="1"/>
  <c r="EA220" i="1" s="1"/>
  <c r="CO220" i="1"/>
  <c r="CX220" i="1" s="1"/>
  <c r="DS362" i="1"/>
  <c r="EB362" i="1" s="1"/>
  <c r="CP362" i="1"/>
  <c r="CY362" i="1" s="1"/>
  <c r="DS373" i="1"/>
  <c r="EB373" i="1" s="1"/>
  <c r="CP373" i="1"/>
  <c r="CY373" i="1" s="1"/>
  <c r="DR290" i="1"/>
  <c r="EA290" i="1" s="1"/>
  <c r="CO290" i="1"/>
  <c r="CX290" i="1" s="1"/>
  <c r="DT362" i="1"/>
  <c r="EC362" i="1" s="1"/>
  <c r="CQ362" i="1"/>
  <c r="CZ362" i="1" s="1"/>
  <c r="DR260" i="1"/>
  <c r="EA260" i="1" s="1"/>
  <c r="CO260" i="1"/>
  <c r="CX260" i="1" s="1"/>
  <c r="DT332" i="1"/>
  <c r="EC332" i="1" s="1"/>
  <c r="CQ332" i="1"/>
  <c r="CZ332" i="1" s="1"/>
  <c r="DR308" i="1"/>
  <c r="EA308" i="1" s="1"/>
  <c r="CO308" i="1"/>
  <c r="CX308" i="1" s="1"/>
  <c r="DS372" i="1"/>
  <c r="EB372" i="1" s="1"/>
  <c r="CP372" i="1"/>
  <c r="CY372" i="1" s="1"/>
  <c r="DR368" i="1"/>
  <c r="EA368" i="1" s="1"/>
  <c r="CO368" i="1"/>
  <c r="CX368" i="1" s="1"/>
  <c r="DR360" i="1"/>
  <c r="EA360" i="1" s="1"/>
  <c r="CO360" i="1"/>
  <c r="CX360" i="1" s="1"/>
  <c r="DT357" i="1"/>
  <c r="EC357" i="1" s="1"/>
  <c r="CQ357" i="1"/>
  <c r="CZ357" i="1" s="1"/>
  <c r="DR367" i="1"/>
  <c r="EA367" i="1" s="1"/>
  <c r="CO367" i="1"/>
  <c r="CX367" i="1" s="1"/>
  <c r="DR188" i="1"/>
  <c r="EA188" i="1" s="1"/>
  <c r="CO188" i="1"/>
  <c r="CX188" i="1" s="1"/>
  <c r="DT272" i="1"/>
  <c r="EC272" i="1" s="1"/>
  <c r="CQ272" i="1"/>
  <c r="CZ272" i="1" s="1"/>
  <c r="DR372" i="1"/>
  <c r="EA372" i="1" s="1"/>
  <c r="CO372" i="1"/>
  <c r="CX372" i="1" s="1"/>
  <c r="DT365" i="1"/>
  <c r="EC365" i="1" s="1"/>
  <c r="CQ365" i="1"/>
  <c r="CZ365" i="1" s="1"/>
  <c r="DS187" i="1"/>
  <c r="EB187" i="1" s="1"/>
  <c r="CP187" i="1"/>
  <c r="CY187" i="1" s="1"/>
  <c r="DS272" i="1"/>
  <c r="EB272" i="1" s="1"/>
  <c r="CP272" i="1"/>
  <c r="CY272" i="1" s="1"/>
  <c r="DT351" i="1"/>
  <c r="EC351" i="1" s="1"/>
  <c r="CQ351" i="1"/>
  <c r="CZ351" i="1" s="1"/>
  <c r="DS236" i="1"/>
  <c r="EB236" i="1" s="1"/>
  <c r="CP236" i="1"/>
  <c r="CY236" i="1" s="1"/>
  <c r="DS308" i="1"/>
  <c r="EB308" i="1" s="1"/>
  <c r="CP308" i="1"/>
  <c r="CY308" i="1" s="1"/>
  <c r="DS224" i="1"/>
  <c r="EB224" i="1" s="1"/>
  <c r="CP224" i="1"/>
  <c r="CY224" i="1" s="1"/>
  <c r="DS284" i="1"/>
  <c r="EB284" i="1" s="1"/>
  <c r="CP284" i="1"/>
  <c r="CY284" i="1" s="1"/>
  <c r="DS332" i="1"/>
  <c r="EB332" i="1" s="1"/>
  <c r="CP332" i="1"/>
  <c r="CY332" i="1" s="1"/>
  <c r="DS293" i="1"/>
  <c r="EB293" i="1" s="1"/>
  <c r="CP293" i="1"/>
  <c r="CY293" i="1" s="1"/>
  <c r="DR311" i="1"/>
  <c r="EA311" i="1" s="1"/>
  <c r="CO311" i="1"/>
  <c r="CX311" i="1" s="1"/>
  <c r="DR207" i="1"/>
  <c r="EA207" i="1" s="1"/>
  <c r="CO207" i="1"/>
  <c r="CX207" i="1" s="1"/>
  <c r="DR271" i="1"/>
  <c r="EA271" i="1" s="1"/>
  <c r="CO271" i="1"/>
  <c r="CX271" i="1" s="1"/>
  <c r="D10" i="29"/>
  <c r="Q11" i="39" s="1"/>
  <c r="J10" i="27"/>
  <c r="R10" i="27" s="1"/>
  <c r="K11" i="39" s="1"/>
  <c r="D13" i="29"/>
  <c r="Q14" i="39" s="1"/>
  <c r="E14" i="50"/>
  <c r="G15" i="34"/>
  <c r="D8" i="59" s="1"/>
  <c r="I8" i="59" s="1"/>
  <c r="F15" i="39"/>
  <c r="D21" i="43"/>
  <c r="AY7" i="43" s="1"/>
  <c r="AY50" i="43" s="1"/>
  <c r="E20" i="50"/>
  <c r="D15" i="43"/>
  <c r="AS7" i="43" s="1"/>
  <c r="AS50" i="43" s="1"/>
  <c r="J11" i="27"/>
  <c r="R11" i="27" s="1"/>
  <c r="AW11" i="27" s="1"/>
  <c r="D15" i="29"/>
  <c r="Q16" i="39" s="1"/>
  <c r="J12" i="27"/>
  <c r="R12" i="27" s="1"/>
  <c r="K13" i="39" s="1"/>
  <c r="K12" i="50"/>
  <c r="S12" i="50" s="1"/>
  <c r="D12" i="29"/>
  <c r="AE12" i="29" s="1"/>
  <c r="K10" i="50"/>
  <c r="S10" i="50" s="1"/>
  <c r="K33" i="34"/>
  <c r="D28" i="66" s="1"/>
  <c r="K15" i="50"/>
  <c r="S15" i="50" s="1"/>
  <c r="D11" i="29"/>
  <c r="Q12" i="39" s="1"/>
  <c r="D8" i="29"/>
  <c r="Q9" i="39" s="1"/>
  <c r="K8" i="50"/>
  <c r="S8" i="50" s="1"/>
  <c r="G13" i="34"/>
  <c r="D6" i="59" s="1"/>
  <c r="I6" i="59" s="1"/>
  <c r="K20" i="50"/>
  <c r="S20" i="50" s="1"/>
  <c r="D20" i="29"/>
  <c r="AE20" i="29" s="1"/>
  <c r="CC18" i="2"/>
  <c r="CC21" i="2"/>
  <c r="K21" i="34"/>
  <c r="K30" i="34"/>
  <c r="D8" i="27"/>
  <c r="D8" i="43"/>
  <c r="E8" i="50"/>
  <c r="F9" i="39"/>
  <c r="D27" i="27"/>
  <c r="E27" i="50"/>
  <c r="D28" i="43"/>
  <c r="BF7" i="43" s="1"/>
  <c r="E16" i="50"/>
  <c r="D16" i="27"/>
  <c r="F17" i="39"/>
  <c r="D17" i="43"/>
  <c r="AU7" i="43" s="1"/>
  <c r="K19" i="34"/>
  <c r="D21" i="27"/>
  <c r="E21" i="50"/>
  <c r="D22" i="43"/>
  <c r="AZ7" i="43" s="1"/>
  <c r="F22" i="39"/>
  <c r="E22" i="50"/>
  <c r="D22" i="27"/>
  <c r="F23" i="39"/>
  <c r="D23" i="43"/>
  <c r="BA7" i="43" s="1"/>
  <c r="E25" i="50"/>
  <c r="D25" i="27"/>
  <c r="F26" i="39"/>
  <c r="D26" i="43"/>
  <c r="BD7" i="43" s="1"/>
  <c r="K23" i="50"/>
  <c r="S23" i="50" s="1"/>
  <c r="D23" i="29"/>
  <c r="J23" i="27"/>
  <c r="R23" i="27" s="1"/>
  <c r="CX18" i="2"/>
  <c r="CV20" i="2"/>
  <c r="E15" i="50"/>
  <c r="D15" i="27"/>
  <c r="F16" i="39"/>
  <c r="D16" i="43"/>
  <c r="AT7" i="43" s="1"/>
  <c r="CB18" i="2"/>
  <c r="D12" i="27"/>
  <c r="E12" i="50"/>
  <c r="D13" i="43"/>
  <c r="AQ7" i="43" s="1"/>
  <c r="F13" i="39"/>
  <c r="E28" i="50"/>
  <c r="D28" i="27"/>
  <c r="D29" i="43"/>
  <c r="BG7" i="43" s="1"/>
  <c r="E10" i="50"/>
  <c r="D10" i="27"/>
  <c r="D10" i="43"/>
  <c r="AO7" i="43" s="1"/>
  <c r="F11" i="39"/>
  <c r="E26" i="50"/>
  <c r="D26" i="27"/>
  <c r="D27" i="43"/>
  <c r="BE7" i="43" s="1"/>
  <c r="CA18" i="2"/>
  <c r="CA19" i="2"/>
  <c r="D24" i="27"/>
  <c r="E24" i="50"/>
  <c r="F25" i="39"/>
  <c r="D25" i="43"/>
  <c r="BC7" i="43" s="1"/>
  <c r="D11" i="27"/>
  <c r="E11" i="50"/>
  <c r="F12" i="39"/>
  <c r="D11" i="43"/>
  <c r="AP7" i="43" s="1"/>
  <c r="K31" i="34"/>
  <c r="K26" i="34"/>
  <c r="D13" i="27"/>
  <c r="E13" i="50"/>
  <c r="D14" i="43"/>
  <c r="AR7" i="43" s="1"/>
  <c r="F14" i="39"/>
  <c r="D18" i="27"/>
  <c r="E18" i="50"/>
  <c r="D19" i="43"/>
  <c r="AW7" i="43" s="1"/>
  <c r="F19" i="39"/>
  <c r="E17" i="50"/>
  <c r="D17" i="27"/>
  <c r="F18" i="39"/>
  <c r="D18" i="43"/>
  <c r="AV7" i="43" s="1"/>
  <c r="D19" i="27"/>
  <c r="E19" i="50"/>
  <c r="F20" i="39"/>
  <c r="D20" i="43"/>
  <c r="AX7" i="43" s="1"/>
  <c r="D27" i="29"/>
  <c r="AE27" i="29" s="1"/>
  <c r="K27" i="50"/>
  <c r="S27" i="50" s="1"/>
  <c r="J27" i="27"/>
  <c r="R27" i="27" s="1"/>
  <c r="AW27" i="27" s="1"/>
  <c r="K14" i="34"/>
  <c r="D9" i="66" s="1"/>
  <c r="G14" i="34"/>
  <c r="V27" i="2"/>
  <c r="N22" i="34"/>
  <c r="K24" i="50"/>
  <c r="S24" i="50" s="1"/>
  <c r="D24" i="29"/>
  <c r="J24" i="27"/>
  <c r="R24" i="27" s="1"/>
  <c r="CV18" i="2"/>
  <c r="K27" i="34"/>
  <c r="CW18" i="2"/>
  <c r="D9" i="27"/>
  <c r="E9" i="50"/>
  <c r="F10" i="39"/>
  <c r="D9" i="43"/>
  <c r="AN7" i="43" s="1"/>
  <c r="D23" i="27"/>
  <c r="E23" i="50"/>
  <c r="D24" i="43"/>
  <c r="BB7" i="43" s="1"/>
  <c r="F24" i="39"/>
  <c r="D18" i="29"/>
  <c r="J18" i="27"/>
  <c r="R18" i="27" s="1"/>
  <c r="K18" i="50"/>
  <c r="S18" i="50" s="1"/>
  <c r="D17" i="29"/>
  <c r="K17" i="50"/>
  <c r="S17" i="50" s="1"/>
  <c r="J17" i="27"/>
  <c r="R17" i="27" s="1"/>
  <c r="D19" i="29"/>
  <c r="J19" i="27"/>
  <c r="R19" i="27" s="1"/>
  <c r="K19" i="50"/>
  <c r="S19" i="50" s="1"/>
  <c r="EB36" i="2" l="1"/>
  <c r="DM36" i="2"/>
  <c r="DZ33" i="2"/>
  <c r="DK33" i="2"/>
  <c r="DZ27" i="2"/>
  <c r="DK27" i="2"/>
  <c r="DZ28" i="2"/>
  <c r="DK28" i="2"/>
  <c r="EB32" i="2"/>
  <c r="DM32" i="2"/>
  <c r="EB38" i="2"/>
  <c r="DM38" i="2"/>
  <c r="EB31" i="2"/>
  <c r="DM31" i="2"/>
  <c r="EB33" i="2"/>
  <c r="DM33" i="2"/>
  <c r="U37" i="2"/>
  <c r="M31" i="34"/>
  <c r="C24" i="59"/>
  <c r="H24" i="59" s="1"/>
  <c r="C13" i="59"/>
  <c r="H13" i="59" s="1"/>
  <c r="I22" i="34"/>
  <c r="X27" i="2" s="1"/>
  <c r="I18" i="43" s="1"/>
  <c r="DL25" i="2"/>
  <c r="DS25" i="2"/>
  <c r="EA25" i="2"/>
  <c r="DL32" i="2"/>
  <c r="DS32" i="2"/>
  <c r="EA32" i="2"/>
  <c r="U30" i="2"/>
  <c r="K16" i="39"/>
  <c r="C18" i="59"/>
  <c r="H18" i="59" s="1"/>
  <c r="DS38" i="2"/>
  <c r="DL38" i="2"/>
  <c r="EA38" i="2"/>
  <c r="N16" i="34"/>
  <c r="G11" i="66" s="1"/>
  <c r="DL33" i="2"/>
  <c r="DS33" i="2"/>
  <c r="EA33" i="2"/>
  <c r="O33" i="34"/>
  <c r="I28" i="29" s="1"/>
  <c r="DS28" i="2"/>
  <c r="DL28" i="2"/>
  <c r="EA28" i="2"/>
  <c r="E26" i="59"/>
  <c r="J26" i="59" s="1"/>
  <c r="W34" i="2"/>
  <c r="U27" i="2"/>
  <c r="E22" i="59"/>
  <c r="J22" i="59" s="1"/>
  <c r="W36" i="2"/>
  <c r="C15" i="59"/>
  <c r="H15" i="59" s="1"/>
  <c r="DL30" i="2"/>
  <c r="DS30" i="2"/>
  <c r="EA30" i="2"/>
  <c r="DL29" i="2"/>
  <c r="DS29" i="2"/>
  <c r="EA29" i="2"/>
  <c r="E24" i="59"/>
  <c r="J24" i="59" s="1"/>
  <c r="U26" i="2"/>
  <c r="DM26" i="2" s="1"/>
  <c r="M21" i="34"/>
  <c r="AI6" i="70"/>
  <c r="W26" i="2"/>
  <c r="DL26" i="2" s="1"/>
  <c r="O21" i="34"/>
  <c r="I16" i="29" s="1"/>
  <c r="W37" i="2"/>
  <c r="W31" i="2"/>
  <c r="E25" i="59"/>
  <c r="J25" i="59" s="1"/>
  <c r="E19" i="59"/>
  <c r="J19" i="59" s="1"/>
  <c r="W27" i="2"/>
  <c r="E15" i="59"/>
  <c r="J15" i="59" s="1"/>
  <c r="I21" i="34"/>
  <c r="X26" i="2" s="1"/>
  <c r="I17" i="43" s="1"/>
  <c r="BU11" i="43" s="1"/>
  <c r="I24" i="34"/>
  <c r="X29" i="2" s="1"/>
  <c r="I20" i="43" s="1"/>
  <c r="BU14" i="43" s="1"/>
  <c r="I29" i="34"/>
  <c r="X34" i="2" s="1"/>
  <c r="I25" i="43" s="1"/>
  <c r="BC12" i="43" s="1"/>
  <c r="C16" i="59"/>
  <c r="H16" i="59" s="1"/>
  <c r="I28" i="34"/>
  <c r="X33" i="2" s="1"/>
  <c r="I24" i="43" s="1"/>
  <c r="I20" i="34"/>
  <c r="X25" i="2" s="1"/>
  <c r="I16" i="43" s="1"/>
  <c r="AT12" i="43" s="1"/>
  <c r="AE123" i="70"/>
  <c r="AJ13" i="70" s="1"/>
  <c r="S13" i="70"/>
  <c r="AI10" i="70"/>
  <c r="AI7" i="70"/>
  <c r="U35" i="2"/>
  <c r="I25" i="34"/>
  <c r="X30" i="2" s="1"/>
  <c r="I21" i="43" s="1"/>
  <c r="AE75" i="70"/>
  <c r="AJ9" i="70" s="1"/>
  <c r="S9" i="70"/>
  <c r="I31" i="34"/>
  <c r="X36" i="2" s="1"/>
  <c r="I27" i="43" s="1"/>
  <c r="AI15" i="70"/>
  <c r="AE99" i="70"/>
  <c r="AJ11" i="70" s="1"/>
  <c r="S11" i="70"/>
  <c r="AE63" i="70"/>
  <c r="AJ8" i="70" s="1"/>
  <c r="S8" i="70"/>
  <c r="AE15" i="70"/>
  <c r="AJ4" i="70" s="1"/>
  <c r="AJ26" i="70" s="1"/>
  <c r="S4" i="70"/>
  <c r="S26" i="70" s="1"/>
  <c r="AE147" i="70"/>
  <c r="AJ15" i="70" s="1"/>
  <c r="S15" i="70"/>
  <c r="AE87" i="70"/>
  <c r="AJ10" i="70" s="1"/>
  <c r="S10" i="70"/>
  <c r="R27" i="70"/>
  <c r="AI16" i="70"/>
  <c r="AI9" i="70"/>
  <c r="M30" i="34"/>
  <c r="N63" i="70"/>
  <c r="I23" i="34"/>
  <c r="X28" i="2" s="1"/>
  <c r="I19" i="43" s="1"/>
  <c r="AI3" i="70"/>
  <c r="AE39" i="70"/>
  <c r="AJ6" i="70" s="1"/>
  <c r="S6" i="70"/>
  <c r="N15" i="70"/>
  <c r="I32" i="34"/>
  <c r="X37" i="2" s="1"/>
  <c r="I28" i="43" s="1"/>
  <c r="I27" i="34"/>
  <c r="X32" i="2" s="1"/>
  <c r="I23" i="43" s="1"/>
  <c r="AI8" i="70"/>
  <c r="I33" i="34"/>
  <c r="X38" i="2" s="1"/>
  <c r="I29" i="43" s="1"/>
  <c r="BU12" i="43"/>
  <c r="AV12" i="43"/>
  <c r="AE111" i="70"/>
  <c r="AJ12" i="70" s="1"/>
  <c r="S12" i="70"/>
  <c r="AI4" i="70"/>
  <c r="AI26" i="70" s="1"/>
  <c r="R28" i="70"/>
  <c r="R29" i="70"/>
  <c r="AE3" i="70"/>
  <c r="AJ3" i="70" s="1"/>
  <c r="S3" i="70"/>
  <c r="AE51" i="70"/>
  <c r="AJ7" i="70" s="1"/>
  <c r="S7" i="70"/>
  <c r="W28" i="70"/>
  <c r="W29" i="70"/>
  <c r="N123" i="70"/>
  <c r="N99" i="70"/>
  <c r="W35" i="2"/>
  <c r="U28" i="2"/>
  <c r="U25" i="2"/>
  <c r="EB25" i="2" s="1"/>
  <c r="C19" i="59"/>
  <c r="H19" i="59" s="1"/>
  <c r="AE27" i="70"/>
  <c r="AJ5" i="70" s="1"/>
  <c r="S5" i="70"/>
  <c r="AI5" i="70"/>
  <c r="AI13" i="70"/>
  <c r="AI11" i="70"/>
  <c r="E23" i="59"/>
  <c r="J23" i="59" s="1"/>
  <c r="M26" i="34"/>
  <c r="L21" i="27" s="1"/>
  <c r="T21" i="27" s="1"/>
  <c r="AY21" i="27" s="1"/>
  <c r="I26" i="34"/>
  <c r="X31" i="2" s="1"/>
  <c r="I22" i="43" s="1"/>
  <c r="AE135" i="70"/>
  <c r="AJ14" i="70" s="1"/>
  <c r="S14" i="70"/>
  <c r="N111" i="70"/>
  <c r="AE159" i="70"/>
  <c r="AJ16" i="70" s="1"/>
  <c r="S16" i="70"/>
  <c r="I30" i="34"/>
  <c r="X35" i="2" s="1"/>
  <c r="I26" i="43" s="1"/>
  <c r="AI14" i="70"/>
  <c r="AI12" i="70"/>
  <c r="N87" i="70"/>
  <c r="M24" i="34"/>
  <c r="F19" i="66" s="1"/>
  <c r="U29" i="2"/>
  <c r="U34" i="2"/>
  <c r="C22" i="59"/>
  <c r="H22" i="59" s="1"/>
  <c r="AF15" i="70"/>
  <c r="AK4" i="70" s="1"/>
  <c r="AK26" i="70" s="1"/>
  <c r="T4" i="70"/>
  <c r="T26" i="70" s="1"/>
  <c r="AF39" i="70"/>
  <c r="AK6" i="70" s="1"/>
  <c r="T6" i="70"/>
  <c r="AF63" i="70"/>
  <c r="AK8" i="70" s="1"/>
  <c r="T8" i="70"/>
  <c r="AF159" i="70"/>
  <c r="AK16" i="70" s="1"/>
  <c r="T16" i="70"/>
  <c r="AF147" i="70"/>
  <c r="AK15" i="70" s="1"/>
  <c r="T15" i="70"/>
  <c r="AF123" i="70"/>
  <c r="AK13" i="70" s="1"/>
  <c r="T13" i="70"/>
  <c r="AF75" i="70"/>
  <c r="AK9" i="70" s="1"/>
  <c r="T9" i="70"/>
  <c r="AF51" i="70"/>
  <c r="AK7" i="70" s="1"/>
  <c r="T7" i="70"/>
  <c r="AF3" i="70"/>
  <c r="AK3" i="70" s="1"/>
  <c r="T3" i="70"/>
  <c r="AF99" i="70"/>
  <c r="AK11" i="70" s="1"/>
  <c r="T11" i="70"/>
  <c r="AF111" i="70"/>
  <c r="AK12" i="70" s="1"/>
  <c r="T12" i="70"/>
  <c r="AF135" i="70"/>
  <c r="AK14" i="70" s="1"/>
  <c r="T14" i="70"/>
  <c r="AF27" i="70"/>
  <c r="AK5" i="70" s="1"/>
  <c r="T5" i="70"/>
  <c r="AF87" i="70"/>
  <c r="AK10" i="70" s="1"/>
  <c r="T10" i="70"/>
  <c r="F17" i="66"/>
  <c r="AD17" i="66" s="1"/>
  <c r="G17" i="29"/>
  <c r="F16" i="66"/>
  <c r="AK16" i="66" s="1"/>
  <c r="AN16" i="66" s="1"/>
  <c r="AQ16" i="66" s="1"/>
  <c r="G16" i="29"/>
  <c r="F15" i="66"/>
  <c r="AK15" i="66" s="1"/>
  <c r="AN15" i="66" s="1"/>
  <c r="AQ15" i="66" s="1"/>
  <c r="G15" i="29"/>
  <c r="F22" i="66"/>
  <c r="AK22" i="66" s="1"/>
  <c r="AN22" i="66" s="1"/>
  <c r="AQ22" i="66" s="1"/>
  <c r="G22" i="29"/>
  <c r="V38" i="2"/>
  <c r="DK38" i="2" s="1"/>
  <c r="G27" i="66"/>
  <c r="H27" i="29"/>
  <c r="F25" i="66"/>
  <c r="AK25" i="66" s="1"/>
  <c r="AN25" i="66" s="1"/>
  <c r="AQ25" i="66" s="1"/>
  <c r="G25" i="29"/>
  <c r="F20" i="66"/>
  <c r="AK20" i="66" s="1"/>
  <c r="AN20" i="66" s="1"/>
  <c r="AQ20" i="66" s="1"/>
  <c r="G20" i="29"/>
  <c r="F26" i="66"/>
  <c r="AD26" i="66" s="1"/>
  <c r="G26" i="29"/>
  <c r="F21" i="66"/>
  <c r="AK21" i="66" s="1"/>
  <c r="AN21" i="66" s="1"/>
  <c r="AQ21" i="66" s="1"/>
  <c r="G17" i="66"/>
  <c r="AE17" i="66" s="1"/>
  <c r="H17" i="29"/>
  <c r="AL17" i="29" s="1"/>
  <c r="AM17" i="29" s="1"/>
  <c r="F28" i="66"/>
  <c r="AK28" i="66" s="1"/>
  <c r="AN28" i="66" s="1"/>
  <c r="AQ28" i="66" s="1"/>
  <c r="G28" i="29"/>
  <c r="G19" i="66"/>
  <c r="G65" i="66" s="1"/>
  <c r="H19" i="29"/>
  <c r="AL19" i="29" s="1"/>
  <c r="AM19" i="29" s="1"/>
  <c r="G19" i="29"/>
  <c r="F23" i="66"/>
  <c r="AK23" i="66" s="1"/>
  <c r="AN23" i="66" s="1"/>
  <c r="AQ23" i="66" s="1"/>
  <c r="G23" i="29"/>
  <c r="F27" i="66"/>
  <c r="AD27" i="66" s="1"/>
  <c r="G27" i="29"/>
  <c r="F18" i="66"/>
  <c r="AD18" i="66" s="1"/>
  <c r="G18" i="29"/>
  <c r="F24" i="66"/>
  <c r="AD24" i="66" s="1"/>
  <c r="G24" i="29"/>
  <c r="D10" i="59"/>
  <c r="I10" i="59" s="1"/>
  <c r="N33" i="34"/>
  <c r="AW8" i="27"/>
  <c r="D17" i="59"/>
  <c r="I17" i="59" s="1"/>
  <c r="V29" i="2"/>
  <c r="CX21" i="2"/>
  <c r="CC19" i="2"/>
  <c r="CB19" i="2"/>
  <c r="CA37" i="2"/>
  <c r="CW21" i="2"/>
  <c r="CX22" i="2"/>
  <c r="CV19" i="2"/>
  <c r="CB20" i="2"/>
  <c r="CB38" i="2"/>
  <c r="CX36" i="2"/>
  <c r="N28" i="34"/>
  <c r="D26" i="59"/>
  <c r="I26" i="59" s="1"/>
  <c r="D21" i="59"/>
  <c r="I21" i="59" s="1"/>
  <c r="DV27" i="2"/>
  <c r="EG27" i="2"/>
  <c r="DP27" i="2"/>
  <c r="DW32" i="2"/>
  <c r="DQ32" i="2"/>
  <c r="EH32" i="2"/>
  <c r="DO32" i="2"/>
  <c r="DU32" i="2"/>
  <c r="EF32" i="2"/>
  <c r="DQ36" i="2"/>
  <c r="EH36" i="2"/>
  <c r="DW36" i="2"/>
  <c r="DQ31" i="2"/>
  <c r="EH31" i="2"/>
  <c r="DW31" i="2"/>
  <c r="DV28" i="2"/>
  <c r="DP28" i="2"/>
  <c r="EG28" i="2"/>
  <c r="DW30" i="2"/>
  <c r="EH30" i="2"/>
  <c r="DQ30" i="2"/>
  <c r="EH29" i="2"/>
  <c r="DQ29" i="2"/>
  <c r="DW29" i="2"/>
  <c r="EF24" i="2"/>
  <c r="DU24" i="2"/>
  <c r="DO24" i="2"/>
  <c r="DO31" i="2"/>
  <c r="EF31" i="2"/>
  <c r="DU31" i="2"/>
  <c r="DO36" i="2"/>
  <c r="EF36" i="2"/>
  <c r="DU36" i="2"/>
  <c r="DO38" i="2"/>
  <c r="EF38" i="2"/>
  <c r="DU38" i="2"/>
  <c r="DU37" i="2"/>
  <c r="DO37" i="2"/>
  <c r="EF37" i="2"/>
  <c r="EH35" i="2"/>
  <c r="DQ35" i="2"/>
  <c r="DW35" i="2"/>
  <c r="DO33" i="2"/>
  <c r="EF33" i="2"/>
  <c r="DU33" i="2"/>
  <c r="DQ26" i="2"/>
  <c r="EH26" i="2"/>
  <c r="DW26" i="2"/>
  <c r="DQ38" i="2"/>
  <c r="EH38" i="2"/>
  <c r="DW38" i="2"/>
  <c r="DW27" i="2"/>
  <c r="EH27" i="2"/>
  <c r="DQ27" i="2"/>
  <c r="DW37" i="2"/>
  <c r="EH37" i="2"/>
  <c r="DQ37" i="2"/>
  <c r="EH25" i="2"/>
  <c r="DW25" i="2"/>
  <c r="DQ25" i="2"/>
  <c r="CW30" i="2"/>
  <c r="DQ33" i="2"/>
  <c r="EH33" i="2"/>
  <c r="DW33" i="2"/>
  <c r="DP33" i="2"/>
  <c r="DV33" i="2"/>
  <c r="EG33" i="2"/>
  <c r="EH24" i="2"/>
  <c r="DQ24" i="2"/>
  <c r="DW24" i="2"/>
  <c r="EH28" i="2"/>
  <c r="DQ28" i="2"/>
  <c r="DW28" i="2"/>
  <c r="DW34" i="2"/>
  <c r="DQ34" i="2"/>
  <c r="EH34" i="2"/>
  <c r="AW20" i="27"/>
  <c r="V21" i="2"/>
  <c r="DZ21" i="2" s="1"/>
  <c r="N29" i="34"/>
  <c r="V34" i="2"/>
  <c r="DK34" i="2" s="1"/>
  <c r="D22" i="66"/>
  <c r="AB22" i="66" s="1"/>
  <c r="H16" i="66"/>
  <c r="AF16" i="66" s="1"/>
  <c r="C9" i="66"/>
  <c r="AA9" i="66" s="1"/>
  <c r="H12" i="66"/>
  <c r="AF12" i="66" s="1"/>
  <c r="H28" i="66"/>
  <c r="AF28" i="66" s="1"/>
  <c r="H25" i="66"/>
  <c r="AF25" i="66" s="1"/>
  <c r="H17" i="66"/>
  <c r="AF17" i="66" s="1"/>
  <c r="H23" i="66"/>
  <c r="AF23" i="66" s="1"/>
  <c r="H13" i="66"/>
  <c r="AF13" i="66" s="1"/>
  <c r="H27" i="66"/>
  <c r="AF27" i="66" s="1"/>
  <c r="H15" i="66"/>
  <c r="AF15" i="66" s="1"/>
  <c r="H10" i="66"/>
  <c r="AF10" i="66" s="1"/>
  <c r="H11" i="66"/>
  <c r="AF11" i="66" s="1"/>
  <c r="E8" i="66"/>
  <c r="AC8" i="66" s="1"/>
  <c r="H14" i="66"/>
  <c r="AF14" i="66" s="1"/>
  <c r="H18" i="66"/>
  <c r="AF18" i="66" s="1"/>
  <c r="E9" i="66"/>
  <c r="AC9" i="66" s="1"/>
  <c r="C10" i="66"/>
  <c r="AA10" i="66" s="1"/>
  <c r="H24" i="66"/>
  <c r="AF24" i="66" s="1"/>
  <c r="H22" i="66"/>
  <c r="AF22" i="66" s="1"/>
  <c r="D14" i="66"/>
  <c r="D21" i="66"/>
  <c r="AB21" i="66" s="1"/>
  <c r="H21" i="66"/>
  <c r="AF21" i="66" s="1"/>
  <c r="C11" i="66"/>
  <c r="AA11" i="66" s="1"/>
  <c r="N17" i="34"/>
  <c r="G12" i="66" s="1"/>
  <c r="AI12" i="66" s="1"/>
  <c r="AJ12" i="66" s="1"/>
  <c r="D26" i="66"/>
  <c r="AB26" i="66" s="1"/>
  <c r="D25" i="66"/>
  <c r="AB25" i="66" s="1"/>
  <c r="H26" i="66"/>
  <c r="AF26" i="66" s="1"/>
  <c r="D16" i="66"/>
  <c r="H20" i="66"/>
  <c r="AF20" i="66" s="1"/>
  <c r="H19" i="66"/>
  <c r="AF19" i="66" s="1"/>
  <c r="C8" i="66"/>
  <c r="AA8" i="66" s="1"/>
  <c r="N27" i="50"/>
  <c r="V27" i="50" s="1"/>
  <c r="G59" i="66"/>
  <c r="AL13" i="66"/>
  <c r="AO13" i="66" s="1"/>
  <c r="AR13" i="66" s="1"/>
  <c r="AE13" i="66"/>
  <c r="AI13" i="66"/>
  <c r="AJ13" i="66" s="1"/>
  <c r="AK14" i="66"/>
  <c r="AN14" i="66" s="1"/>
  <c r="AQ14" i="66" s="1"/>
  <c r="AD14" i="66"/>
  <c r="AK13" i="66"/>
  <c r="AN13" i="66" s="1"/>
  <c r="AQ13" i="66" s="1"/>
  <c r="AD13" i="66"/>
  <c r="AK12" i="66"/>
  <c r="AN12" i="66" s="1"/>
  <c r="AQ12" i="66" s="1"/>
  <c r="AD12" i="66"/>
  <c r="K14" i="39"/>
  <c r="AG14" i="39" s="1"/>
  <c r="K28" i="50"/>
  <c r="S28" i="50" s="1"/>
  <c r="AB28" i="66"/>
  <c r="D55" i="66"/>
  <c r="D59" i="66"/>
  <c r="D56" i="66"/>
  <c r="D57" i="66"/>
  <c r="D58" i="66"/>
  <c r="AB9" i="66"/>
  <c r="R16" i="34"/>
  <c r="CX27" i="2"/>
  <c r="CV32" i="2"/>
  <c r="CX33" i="2"/>
  <c r="CX29" i="2"/>
  <c r="CW19" i="2"/>
  <c r="CC20" i="2"/>
  <c r="CX19" i="2"/>
  <c r="CA20" i="2"/>
  <c r="CX20" i="2"/>
  <c r="CW20" i="2"/>
  <c r="CW22" i="2"/>
  <c r="CW63" i="2" s="1"/>
  <c r="CV22" i="2"/>
  <c r="CB21" i="2"/>
  <c r="CA21" i="2"/>
  <c r="CV21" i="2"/>
  <c r="V23" i="2"/>
  <c r="DZ23" i="2" s="1"/>
  <c r="D11" i="59"/>
  <c r="I11" i="59" s="1"/>
  <c r="AE13" i="29"/>
  <c r="AW10" i="27"/>
  <c r="AE10" i="29"/>
  <c r="AW12" i="27"/>
  <c r="AY41" i="43"/>
  <c r="CV29" i="2"/>
  <c r="CV30" i="2"/>
  <c r="CW26" i="2"/>
  <c r="CX23" i="2"/>
  <c r="CV28" i="2"/>
  <c r="CW31" i="2"/>
  <c r="CC25" i="2"/>
  <c r="CV33" i="2"/>
  <c r="CW28" i="2"/>
  <c r="DF28" i="2" s="1"/>
  <c r="CW27" i="2"/>
  <c r="DF27" i="2" s="1"/>
  <c r="CV25" i="2"/>
  <c r="CW25" i="2"/>
  <c r="CX31" i="2"/>
  <c r="CX28" i="2"/>
  <c r="CW32" i="2"/>
  <c r="CX30" i="2"/>
  <c r="CX26" i="2"/>
  <c r="CC30" i="2"/>
  <c r="CV26" i="2"/>
  <c r="CX25" i="2"/>
  <c r="CW38" i="2"/>
  <c r="CX37" i="2"/>
  <c r="CW35" i="2"/>
  <c r="CV36" i="2"/>
  <c r="CW36" i="2"/>
  <c r="CX35" i="2"/>
  <c r="CX38" i="2"/>
  <c r="CV38" i="2"/>
  <c r="CV35" i="2"/>
  <c r="CV34" i="2"/>
  <c r="CC36" i="2"/>
  <c r="CW34" i="2"/>
  <c r="CX34" i="2"/>
  <c r="CW24" i="2"/>
  <c r="CW23" i="2"/>
  <c r="CX24" i="2"/>
  <c r="CV23" i="2"/>
  <c r="CC33" i="2"/>
  <c r="CC26" i="2"/>
  <c r="H24" i="43"/>
  <c r="H23" i="27"/>
  <c r="I23" i="50"/>
  <c r="G12" i="50"/>
  <c r="F13" i="43"/>
  <c r="AQ9" i="43" s="1"/>
  <c r="F12" i="27"/>
  <c r="F29" i="43"/>
  <c r="F28" i="27"/>
  <c r="G28" i="50"/>
  <c r="H14" i="43"/>
  <c r="I13" i="50"/>
  <c r="H13" i="27"/>
  <c r="H11" i="43"/>
  <c r="AP11" i="43" s="1"/>
  <c r="I11" i="50"/>
  <c r="H11" i="27"/>
  <c r="E6" i="59"/>
  <c r="J6" i="59" s="1"/>
  <c r="O13" i="34"/>
  <c r="W18" i="2"/>
  <c r="EA18" i="2" s="1"/>
  <c r="F28" i="43"/>
  <c r="BF9" i="43" s="1"/>
  <c r="G27" i="50"/>
  <c r="F27" i="27"/>
  <c r="AI18" i="29"/>
  <c r="AY18" i="29" s="1"/>
  <c r="AB23" i="34"/>
  <c r="O18" i="50"/>
  <c r="W18" i="50" s="1"/>
  <c r="N18" i="27"/>
  <c r="V18" i="27" s="1"/>
  <c r="BA18" i="27" s="1"/>
  <c r="H12" i="27"/>
  <c r="I12" i="50"/>
  <c r="H13" i="43"/>
  <c r="AQ11" i="43" s="1"/>
  <c r="H27" i="43"/>
  <c r="BE11" i="43" s="1"/>
  <c r="H26" i="27"/>
  <c r="I26" i="50"/>
  <c r="M19" i="50"/>
  <c r="U19" i="50" s="1"/>
  <c r="G13" i="29"/>
  <c r="W18" i="34"/>
  <c r="M13" i="50"/>
  <c r="U13" i="50" s="1"/>
  <c r="L13" i="27"/>
  <c r="T13" i="27" s="1"/>
  <c r="AY13" i="27" s="1"/>
  <c r="I21" i="50"/>
  <c r="H21" i="27"/>
  <c r="H22" i="43"/>
  <c r="AZ11" i="43" s="1"/>
  <c r="F17" i="27"/>
  <c r="K9" i="27"/>
  <c r="S9" i="27" s="1"/>
  <c r="AX9" i="27" s="1"/>
  <c r="E9" i="29"/>
  <c r="AF9" i="29" s="1"/>
  <c r="L9" i="50"/>
  <c r="T9" i="50" s="1"/>
  <c r="M13" i="34"/>
  <c r="F8" i="66" s="1"/>
  <c r="C6" i="59"/>
  <c r="H6" i="59" s="1"/>
  <c r="U18" i="2"/>
  <c r="EB18" i="2" s="1"/>
  <c r="J10" i="50"/>
  <c r="R10" i="50" s="1"/>
  <c r="I10" i="27"/>
  <c r="Q10" i="27" s="1"/>
  <c r="AV10" i="27" s="1"/>
  <c r="C10" i="29"/>
  <c r="AD10" i="29" s="1"/>
  <c r="AI24" i="29"/>
  <c r="AY24" i="29" s="1"/>
  <c r="AB29" i="34"/>
  <c r="O24" i="50"/>
  <c r="W24" i="50" s="1"/>
  <c r="N24" i="27"/>
  <c r="V24" i="27" s="1"/>
  <c r="BA24" i="27" s="1"/>
  <c r="W31" i="34"/>
  <c r="L26" i="27"/>
  <c r="T26" i="27" s="1"/>
  <c r="AY26" i="27" s="1"/>
  <c r="M26" i="50"/>
  <c r="U26" i="50" s="1"/>
  <c r="AI17" i="29"/>
  <c r="AY17" i="29" s="1"/>
  <c r="AB22" i="34"/>
  <c r="N17" i="27"/>
  <c r="V17" i="27" s="1"/>
  <c r="BA17" i="27" s="1"/>
  <c r="O17" i="50"/>
  <c r="W17" i="50" s="1"/>
  <c r="I25" i="50"/>
  <c r="H25" i="27"/>
  <c r="H26" i="43"/>
  <c r="BD11" i="43" s="1"/>
  <c r="AI23" i="29"/>
  <c r="AY23" i="29" s="1"/>
  <c r="AB28" i="34"/>
  <c r="O23" i="50"/>
  <c r="W23" i="50" s="1"/>
  <c r="N23" i="27"/>
  <c r="V23" i="27" s="1"/>
  <c r="BA23" i="27" s="1"/>
  <c r="W30" i="34"/>
  <c r="M25" i="50"/>
  <c r="U25" i="50" s="1"/>
  <c r="L25" i="27"/>
  <c r="T25" i="27" s="1"/>
  <c r="AY25" i="27" s="1"/>
  <c r="W17" i="34"/>
  <c r="G12" i="29"/>
  <c r="M12" i="50"/>
  <c r="U12" i="50" s="1"/>
  <c r="L12" i="27"/>
  <c r="T12" i="27" s="1"/>
  <c r="AY12" i="27" s="1"/>
  <c r="W25" i="34"/>
  <c r="M20" i="50"/>
  <c r="U20" i="50" s="1"/>
  <c r="L20" i="27"/>
  <c r="T20" i="27" s="1"/>
  <c r="AY20" i="27" s="1"/>
  <c r="F24" i="43"/>
  <c r="G23" i="50"/>
  <c r="F23" i="27"/>
  <c r="H17" i="43"/>
  <c r="AU11" i="43" s="1"/>
  <c r="H16" i="27"/>
  <c r="I16" i="50"/>
  <c r="I13" i="29"/>
  <c r="AI13" i="29" s="1"/>
  <c r="AY13" i="29" s="1"/>
  <c r="AB18" i="34"/>
  <c r="O13" i="50"/>
  <c r="W13" i="50" s="1"/>
  <c r="N13" i="27"/>
  <c r="V13" i="27" s="1"/>
  <c r="BA13" i="27" s="1"/>
  <c r="M14" i="34"/>
  <c r="F9" i="66" s="1"/>
  <c r="C7" i="59"/>
  <c r="H7" i="59" s="1"/>
  <c r="U19" i="2"/>
  <c r="EB19" i="2" s="1"/>
  <c r="AI27" i="29"/>
  <c r="AY27" i="29" s="1"/>
  <c r="AB32" i="34"/>
  <c r="O27" i="50"/>
  <c r="W27" i="50" s="1"/>
  <c r="N27" i="27"/>
  <c r="V27" i="27" s="1"/>
  <c r="BA27" i="27" s="1"/>
  <c r="H20" i="27"/>
  <c r="H21" i="43"/>
  <c r="AY11" i="43" s="1"/>
  <c r="I20" i="50"/>
  <c r="AB20" i="34"/>
  <c r="AI15" i="29"/>
  <c r="AY15" i="29" s="1"/>
  <c r="O15" i="50"/>
  <c r="W15" i="50" s="1"/>
  <c r="N15" i="27"/>
  <c r="V15" i="27" s="1"/>
  <c r="BA15" i="27" s="1"/>
  <c r="H19" i="27"/>
  <c r="H20" i="43"/>
  <c r="AX11" i="43" s="1"/>
  <c r="I19" i="50"/>
  <c r="H29" i="43"/>
  <c r="H28" i="27"/>
  <c r="I28" i="50"/>
  <c r="W29" i="34"/>
  <c r="M24" i="50"/>
  <c r="U24" i="50" s="1"/>
  <c r="L24" i="27"/>
  <c r="T24" i="27" s="1"/>
  <c r="AY24" i="27" s="1"/>
  <c r="M16" i="34"/>
  <c r="F11" i="66" s="1"/>
  <c r="C9" i="59"/>
  <c r="H9" i="59" s="1"/>
  <c r="U21" i="2"/>
  <c r="EB21" i="2" s="1"/>
  <c r="AI22" i="29"/>
  <c r="AY22" i="29" s="1"/>
  <c r="AB27" i="34"/>
  <c r="O22" i="50"/>
  <c r="W22" i="50" s="1"/>
  <c r="N22" i="27"/>
  <c r="V22" i="27" s="1"/>
  <c r="BA22" i="27" s="1"/>
  <c r="W27" i="34"/>
  <c r="M22" i="50"/>
  <c r="U22" i="50" s="1"/>
  <c r="L22" i="27"/>
  <c r="T22" i="27" s="1"/>
  <c r="AY22" i="27" s="1"/>
  <c r="AB15" i="34"/>
  <c r="I10" i="29"/>
  <c r="AI10" i="29" s="1"/>
  <c r="O10" i="50"/>
  <c r="W10" i="50" s="1"/>
  <c r="N10" i="27"/>
  <c r="V10" i="27" s="1"/>
  <c r="BA10" i="27" s="1"/>
  <c r="CB29" i="2"/>
  <c r="CB37" i="2"/>
  <c r="G14" i="50"/>
  <c r="F15" i="43"/>
  <c r="AS9" i="43" s="1"/>
  <c r="F14" i="27"/>
  <c r="W23" i="34"/>
  <c r="L18" i="27"/>
  <c r="T18" i="27" s="1"/>
  <c r="AY18" i="27" s="1"/>
  <c r="M18" i="50"/>
  <c r="U18" i="50" s="1"/>
  <c r="W28" i="34"/>
  <c r="M23" i="50"/>
  <c r="U23" i="50" s="1"/>
  <c r="L23" i="27"/>
  <c r="T23" i="27" s="1"/>
  <c r="AY23" i="27" s="1"/>
  <c r="AI16" i="29"/>
  <c r="AY16" i="29" s="1"/>
  <c r="AB21" i="34"/>
  <c r="O16" i="50"/>
  <c r="W16" i="50" s="1"/>
  <c r="N16" i="27"/>
  <c r="V16" i="27" s="1"/>
  <c r="BA16" i="27" s="1"/>
  <c r="C9" i="29"/>
  <c r="AD9" i="29" s="1"/>
  <c r="I9" i="27"/>
  <c r="Q9" i="27" s="1"/>
  <c r="AV9" i="27" s="1"/>
  <c r="J9" i="50"/>
  <c r="R9" i="50" s="1"/>
  <c r="I11" i="29"/>
  <c r="AI11" i="29" s="1"/>
  <c r="AB16" i="34"/>
  <c r="N11" i="27"/>
  <c r="V11" i="27" s="1"/>
  <c r="BA11" i="27" s="1"/>
  <c r="O11" i="50"/>
  <c r="W11" i="50" s="1"/>
  <c r="H15" i="43"/>
  <c r="AS11" i="43" s="1"/>
  <c r="H14" i="27"/>
  <c r="I14" i="50"/>
  <c r="W32" i="34"/>
  <c r="M27" i="50"/>
  <c r="U27" i="50" s="1"/>
  <c r="L27" i="27"/>
  <c r="T27" i="27" s="1"/>
  <c r="AY27" i="27" s="1"/>
  <c r="H18" i="27"/>
  <c r="H19" i="43"/>
  <c r="I18" i="50"/>
  <c r="I12" i="29"/>
  <c r="AI12" i="29" s="1"/>
  <c r="AB17" i="34"/>
  <c r="O12" i="50"/>
  <c r="W12" i="50" s="1"/>
  <c r="N12" i="27"/>
  <c r="V12" i="27" s="1"/>
  <c r="BA12" i="27" s="1"/>
  <c r="AI26" i="29"/>
  <c r="AY26" i="29" s="1"/>
  <c r="AB31" i="34"/>
  <c r="O26" i="50"/>
  <c r="W26" i="50" s="1"/>
  <c r="N26" i="27"/>
  <c r="V26" i="27" s="1"/>
  <c r="BA26" i="27" s="1"/>
  <c r="G13" i="50"/>
  <c r="F14" i="43"/>
  <c r="F13" i="27"/>
  <c r="W20" i="34"/>
  <c r="M15" i="50"/>
  <c r="U15" i="50" s="1"/>
  <c r="L15" i="27"/>
  <c r="T15" i="27" s="1"/>
  <c r="AY15" i="27" s="1"/>
  <c r="AI21" i="29"/>
  <c r="AY21" i="29" s="1"/>
  <c r="AB26" i="34"/>
  <c r="O21" i="50"/>
  <c r="W21" i="50" s="1"/>
  <c r="N21" i="27"/>
  <c r="V21" i="27" s="1"/>
  <c r="BA21" i="27" s="1"/>
  <c r="AI28" i="29"/>
  <c r="AY28" i="29" s="1"/>
  <c r="AB33" i="34"/>
  <c r="O28" i="50"/>
  <c r="W28" i="50" s="1"/>
  <c r="N28" i="27"/>
  <c r="V28" i="27" s="1"/>
  <c r="BA28" i="27" s="1"/>
  <c r="W22" i="34"/>
  <c r="M17" i="50"/>
  <c r="U17" i="50" s="1"/>
  <c r="L17" i="27"/>
  <c r="T17" i="27" s="1"/>
  <c r="AY17" i="27" s="1"/>
  <c r="H24" i="27"/>
  <c r="H25" i="43"/>
  <c r="BC11" i="43" s="1"/>
  <c r="I24" i="50"/>
  <c r="C11" i="29"/>
  <c r="AD11" i="29" s="1"/>
  <c r="J11" i="50"/>
  <c r="R11" i="50" s="1"/>
  <c r="I11" i="27"/>
  <c r="Q11" i="27" s="1"/>
  <c r="AV11" i="27" s="1"/>
  <c r="H18" i="43"/>
  <c r="AV11" i="43" s="1"/>
  <c r="I17" i="50"/>
  <c r="H17" i="27"/>
  <c r="G21" i="50"/>
  <c r="F22" i="43"/>
  <c r="AZ9" i="43" s="1"/>
  <c r="F21" i="27"/>
  <c r="W21" i="34"/>
  <c r="M16" i="50"/>
  <c r="U16" i="50" s="1"/>
  <c r="L16" i="27"/>
  <c r="T16" i="27" s="1"/>
  <c r="AY16" i="27" s="1"/>
  <c r="CA36" i="2"/>
  <c r="CC37" i="2"/>
  <c r="AI25" i="29"/>
  <c r="AY25" i="29" s="1"/>
  <c r="AB30" i="34"/>
  <c r="N25" i="27"/>
  <c r="V25" i="27" s="1"/>
  <c r="BA25" i="27" s="1"/>
  <c r="O25" i="50"/>
  <c r="W25" i="50" s="1"/>
  <c r="G14" i="29"/>
  <c r="W19" i="34"/>
  <c r="M14" i="50"/>
  <c r="U14" i="50" s="1"/>
  <c r="L14" i="27"/>
  <c r="T14" i="27" s="1"/>
  <c r="AY14" i="27" s="1"/>
  <c r="W33" i="34"/>
  <c r="M28" i="50"/>
  <c r="U28" i="50" s="1"/>
  <c r="L28" i="27"/>
  <c r="T28" i="27" s="1"/>
  <c r="AY28" i="27" s="1"/>
  <c r="E8" i="29"/>
  <c r="AF8" i="29" s="1"/>
  <c r="K8" i="27"/>
  <c r="S8" i="27" s="1"/>
  <c r="AX8" i="27" s="1"/>
  <c r="L8" i="50"/>
  <c r="T8" i="50" s="1"/>
  <c r="H28" i="43"/>
  <c r="BF11" i="43" s="1"/>
  <c r="H27" i="27"/>
  <c r="I27" i="50"/>
  <c r="AB19" i="34"/>
  <c r="I14" i="29"/>
  <c r="AI14" i="29" s="1"/>
  <c r="AY14" i="29" s="1"/>
  <c r="BC14" i="29" s="1"/>
  <c r="O14" i="50"/>
  <c r="W14" i="50" s="1"/>
  <c r="N14" i="27"/>
  <c r="V14" i="27" s="1"/>
  <c r="BA14" i="27" s="1"/>
  <c r="AI20" i="29"/>
  <c r="AY20" i="29" s="1"/>
  <c r="AB25" i="34"/>
  <c r="O20" i="50"/>
  <c r="W20" i="50" s="1"/>
  <c r="N20" i="27"/>
  <c r="V20" i="27" s="1"/>
  <c r="BA20" i="27" s="1"/>
  <c r="H15" i="27"/>
  <c r="I15" i="50"/>
  <c r="H16" i="43"/>
  <c r="AT11" i="43" s="1"/>
  <c r="AI19" i="29"/>
  <c r="AY19" i="29" s="1"/>
  <c r="BC19" i="29" s="1"/>
  <c r="AB24" i="34"/>
  <c r="O19" i="50"/>
  <c r="W19" i="50" s="1"/>
  <c r="N19" i="27"/>
  <c r="V19" i="27" s="1"/>
  <c r="BA19" i="27" s="1"/>
  <c r="O14" i="34"/>
  <c r="E7" i="59"/>
  <c r="J7" i="59" s="1"/>
  <c r="W19" i="2"/>
  <c r="EA19" i="2" s="1"/>
  <c r="C8" i="29"/>
  <c r="AD8" i="29" s="1"/>
  <c r="J8" i="50"/>
  <c r="R8" i="50" s="1"/>
  <c r="I8" i="27"/>
  <c r="Q8" i="27" s="1"/>
  <c r="AV8" i="27" s="1"/>
  <c r="M15" i="34"/>
  <c r="F10" i="66" s="1"/>
  <c r="C8" i="59"/>
  <c r="H8" i="59" s="1"/>
  <c r="U20" i="2"/>
  <c r="EB20" i="2" s="1"/>
  <c r="F24" i="27"/>
  <c r="G24" i="50"/>
  <c r="F27" i="43"/>
  <c r="BE9" i="43" s="1"/>
  <c r="G26" i="50"/>
  <c r="F26" i="27"/>
  <c r="I22" i="50"/>
  <c r="H23" i="43"/>
  <c r="BA11" i="43" s="1"/>
  <c r="H22" i="27"/>
  <c r="G22" i="50"/>
  <c r="F23" i="43"/>
  <c r="BA9" i="43" s="1"/>
  <c r="F22" i="27"/>
  <c r="H10" i="27"/>
  <c r="H10" i="43"/>
  <c r="AO11" i="43" s="1"/>
  <c r="I10" i="50"/>
  <c r="AS41" i="43"/>
  <c r="CB33" i="2"/>
  <c r="CC24" i="2"/>
  <c r="CA30" i="2"/>
  <c r="CB23" i="2"/>
  <c r="CC28" i="2"/>
  <c r="CB28" i="2"/>
  <c r="CC35" i="2"/>
  <c r="CV37" i="2"/>
  <c r="CA28" i="2"/>
  <c r="CA22" i="2"/>
  <c r="CB22" i="2"/>
  <c r="CA33" i="2"/>
  <c r="CB27" i="2"/>
  <c r="V20" i="2"/>
  <c r="DZ20" i="2" s="1"/>
  <c r="CA23" i="2"/>
  <c r="CA29" i="2"/>
  <c r="CA34" i="2"/>
  <c r="CC27" i="2"/>
  <c r="CB35" i="2"/>
  <c r="CB26" i="2"/>
  <c r="CA38" i="2"/>
  <c r="CV24" i="2"/>
  <c r="CC23" i="2"/>
  <c r="CA35" i="2"/>
  <c r="CA27" i="2"/>
  <c r="CC22" i="2"/>
  <c r="CV31" i="2"/>
  <c r="CW29" i="2"/>
  <c r="N15" i="34"/>
  <c r="G10" i="66" s="1"/>
  <c r="CA25" i="2"/>
  <c r="CA26" i="2"/>
  <c r="CA24" i="2"/>
  <c r="CB36" i="2"/>
  <c r="CB34" i="2"/>
  <c r="CB24" i="2"/>
  <c r="CV27" i="2"/>
  <c r="CB25" i="2"/>
  <c r="CC29" i="2"/>
  <c r="CC32" i="2"/>
  <c r="CA32" i="2"/>
  <c r="CB31" i="2"/>
  <c r="CC31" i="2"/>
  <c r="CA31" i="2"/>
  <c r="CB32" i="2"/>
  <c r="CC38" i="2"/>
  <c r="CC34" i="2"/>
  <c r="CW37" i="2"/>
  <c r="CB30" i="2"/>
  <c r="CW33" i="2"/>
  <c r="DF33" i="2" s="1"/>
  <c r="CX32" i="2"/>
  <c r="K12" i="39"/>
  <c r="AG12" i="39" s="1"/>
  <c r="AE15" i="29"/>
  <c r="M11" i="27"/>
  <c r="U11" i="27" s="1"/>
  <c r="BB11" i="27" s="1"/>
  <c r="Q13" i="39"/>
  <c r="AG13" i="39" s="1"/>
  <c r="N23" i="34"/>
  <c r="J28" i="27"/>
  <c r="R28" i="27" s="1"/>
  <c r="AW28" i="27" s="1"/>
  <c r="D25" i="59"/>
  <c r="I25" i="59" s="1"/>
  <c r="AE8" i="29"/>
  <c r="R32" i="34"/>
  <c r="D28" i="29"/>
  <c r="AE28" i="29" s="1"/>
  <c r="V37" i="2"/>
  <c r="M27" i="27"/>
  <c r="U27" i="27" s="1"/>
  <c r="BC27" i="27" s="1"/>
  <c r="D16" i="59"/>
  <c r="I16" i="59" s="1"/>
  <c r="N11" i="50"/>
  <c r="V11" i="50" s="1"/>
  <c r="H11" i="29"/>
  <c r="N13" i="34"/>
  <c r="G8" i="66" s="1"/>
  <c r="V18" i="2"/>
  <c r="DZ18" i="2" s="1"/>
  <c r="C8" i="50"/>
  <c r="AE11" i="29"/>
  <c r="Q21" i="39"/>
  <c r="AG21" i="39" s="1"/>
  <c r="V25" i="2"/>
  <c r="DZ25" i="2" s="1"/>
  <c r="N20" i="34"/>
  <c r="D18" i="59"/>
  <c r="I18" i="59" s="1"/>
  <c r="N25" i="34"/>
  <c r="V30" i="2"/>
  <c r="DK30" i="2" s="1"/>
  <c r="AE17" i="29"/>
  <c r="Q18" i="39"/>
  <c r="R18" i="34"/>
  <c r="N13" i="50"/>
  <c r="V13" i="50" s="1"/>
  <c r="M13" i="27"/>
  <c r="U13" i="27" s="1"/>
  <c r="H13" i="29"/>
  <c r="AL13" i="29" s="1"/>
  <c r="AM13" i="29" s="1"/>
  <c r="Q25" i="39"/>
  <c r="AE24" i="29"/>
  <c r="R22" i="34"/>
  <c r="N17" i="50"/>
  <c r="V17" i="50" s="1"/>
  <c r="M17" i="27"/>
  <c r="U17" i="27" s="1"/>
  <c r="D7" i="59"/>
  <c r="I7" i="59" s="1"/>
  <c r="V19" i="2"/>
  <c r="DZ19" i="2" s="1"/>
  <c r="N14" i="34"/>
  <c r="G9" i="66" s="1"/>
  <c r="AR50" i="43"/>
  <c r="AR41" i="43"/>
  <c r="D19" i="59"/>
  <c r="I19" i="59" s="1"/>
  <c r="N26" i="34"/>
  <c r="V31" i="2"/>
  <c r="AP50" i="43"/>
  <c r="AP41" i="43"/>
  <c r="BA41" i="43"/>
  <c r="BA50" i="43"/>
  <c r="D16" i="29"/>
  <c r="K16" i="50"/>
  <c r="S16" i="50" s="1"/>
  <c r="J16" i="27"/>
  <c r="R16" i="27" s="1"/>
  <c r="K20" i="39"/>
  <c r="AW19" i="27"/>
  <c r="BB50" i="43"/>
  <c r="BB41" i="43"/>
  <c r="G23" i="27"/>
  <c r="H23" i="50"/>
  <c r="G24" i="39"/>
  <c r="G24" i="43"/>
  <c r="D19" i="57"/>
  <c r="AE19" i="29"/>
  <c r="Q20" i="39"/>
  <c r="AN50" i="43"/>
  <c r="AN41" i="43"/>
  <c r="V32" i="2"/>
  <c r="D20" i="59"/>
  <c r="I20" i="59" s="1"/>
  <c r="N27" i="34"/>
  <c r="H17" i="50"/>
  <c r="G17" i="27"/>
  <c r="G18" i="39"/>
  <c r="D13" i="57"/>
  <c r="G18" i="43"/>
  <c r="AV10" i="43" s="1"/>
  <c r="D9" i="29"/>
  <c r="K9" i="50"/>
  <c r="S9" i="50" s="1"/>
  <c r="J9" i="27"/>
  <c r="R9" i="27" s="1"/>
  <c r="AW50" i="43"/>
  <c r="AW41" i="43"/>
  <c r="D21" i="29"/>
  <c r="J21" i="27"/>
  <c r="R21" i="27" s="1"/>
  <c r="K21" i="50"/>
  <c r="S21" i="50" s="1"/>
  <c r="AQ41" i="43"/>
  <c r="AQ50" i="43"/>
  <c r="AT50" i="43"/>
  <c r="AT41" i="43"/>
  <c r="BF50" i="43"/>
  <c r="BF41" i="43"/>
  <c r="AG9" i="39"/>
  <c r="D14" i="59"/>
  <c r="I14" i="59" s="1"/>
  <c r="N21" i="34"/>
  <c r="V26" i="2"/>
  <c r="DK26" i="2" s="1"/>
  <c r="AW18" i="27"/>
  <c r="K19" i="39"/>
  <c r="G12" i="27"/>
  <c r="G13" i="39"/>
  <c r="H12" i="50"/>
  <c r="D8" i="57"/>
  <c r="G13" i="43"/>
  <c r="AQ10" i="43" s="1"/>
  <c r="D22" i="29"/>
  <c r="J22" i="27"/>
  <c r="R22" i="27" s="1"/>
  <c r="K22" i="50"/>
  <c r="S22" i="50" s="1"/>
  <c r="AX41" i="43"/>
  <c r="AX50" i="43"/>
  <c r="J26" i="27"/>
  <c r="R26" i="27" s="1"/>
  <c r="AW26" i="27" s="1"/>
  <c r="K26" i="50"/>
  <c r="S26" i="50" s="1"/>
  <c r="D26" i="29"/>
  <c r="AE26" i="29" s="1"/>
  <c r="BE50" i="43"/>
  <c r="BE41" i="43"/>
  <c r="AG11" i="39"/>
  <c r="BG50" i="43"/>
  <c r="BG41" i="43"/>
  <c r="AG16" i="39"/>
  <c r="AW23" i="27"/>
  <c r="K24" i="39"/>
  <c r="AZ50" i="43"/>
  <c r="AZ41" i="43"/>
  <c r="D14" i="29"/>
  <c r="K14" i="50"/>
  <c r="S14" i="50" s="1"/>
  <c r="J14" i="27"/>
  <c r="R14" i="27" s="1"/>
  <c r="AU50" i="43"/>
  <c r="AU41" i="43"/>
  <c r="D23" i="59"/>
  <c r="I23" i="59" s="1"/>
  <c r="V35" i="2"/>
  <c r="DK35" i="2" s="1"/>
  <c r="N30" i="34"/>
  <c r="K18" i="39"/>
  <c r="AW17" i="27"/>
  <c r="AE18" i="29"/>
  <c r="Q19" i="39"/>
  <c r="K25" i="39"/>
  <c r="AW24" i="27"/>
  <c r="R24" i="34"/>
  <c r="N19" i="50"/>
  <c r="V19" i="50" s="1"/>
  <c r="M19" i="27"/>
  <c r="U19" i="27" s="1"/>
  <c r="G18" i="27"/>
  <c r="G19" i="39"/>
  <c r="H18" i="50"/>
  <c r="G19" i="43"/>
  <c r="D14" i="57"/>
  <c r="AV50" i="43"/>
  <c r="AV41" i="43"/>
  <c r="N31" i="34"/>
  <c r="D24" i="59"/>
  <c r="I24" i="59" s="1"/>
  <c r="V36" i="2"/>
  <c r="BC50" i="43"/>
  <c r="BC41" i="43"/>
  <c r="AO41" i="43"/>
  <c r="AO50" i="43"/>
  <c r="AE23" i="29"/>
  <c r="Q24" i="39"/>
  <c r="BD41" i="43"/>
  <c r="BD50" i="43"/>
  <c r="D12" i="59"/>
  <c r="I12" i="59" s="1"/>
  <c r="V24" i="2"/>
  <c r="DZ24" i="2" s="1"/>
  <c r="N19" i="34"/>
  <c r="G14" i="66" s="1"/>
  <c r="D25" i="29"/>
  <c r="K25" i="50"/>
  <c r="S25" i="50" s="1"/>
  <c r="J25" i="27"/>
  <c r="R25" i="27" s="1"/>
  <c r="DZ36" i="2" l="1"/>
  <c r="DK36" i="2"/>
  <c r="EB29" i="2"/>
  <c r="DM29" i="2"/>
  <c r="DZ37" i="2"/>
  <c r="DK37" i="2"/>
  <c r="F25" i="27"/>
  <c r="DM35" i="2"/>
  <c r="BC17" i="29"/>
  <c r="DZ29" i="2"/>
  <c r="DK29" i="2"/>
  <c r="EB27" i="2"/>
  <c r="DM27" i="2"/>
  <c r="G20" i="50"/>
  <c r="DM30" i="2"/>
  <c r="DZ32" i="2"/>
  <c r="DK32" i="2"/>
  <c r="EB28" i="2"/>
  <c r="DM28" i="2"/>
  <c r="W59" i="2"/>
  <c r="DZ31" i="2"/>
  <c r="DK31" i="2"/>
  <c r="EB34" i="2"/>
  <c r="DM34" i="2"/>
  <c r="EB37" i="2"/>
  <c r="DM37" i="2"/>
  <c r="BC20" i="29"/>
  <c r="BC15" i="29"/>
  <c r="W26" i="34"/>
  <c r="BC27" i="29"/>
  <c r="AD21" i="66"/>
  <c r="G21" i="29"/>
  <c r="F20" i="43"/>
  <c r="AX9" i="43" s="1"/>
  <c r="F19" i="27"/>
  <c r="G19" i="50"/>
  <c r="M21" i="50"/>
  <c r="U21" i="50" s="1"/>
  <c r="BC24" i="29"/>
  <c r="DO29" i="2"/>
  <c r="DU29" i="2"/>
  <c r="EF29" i="2"/>
  <c r="BC25" i="29"/>
  <c r="BC28" i="29"/>
  <c r="BC29" i="29"/>
  <c r="BC22" i="29"/>
  <c r="BC18" i="29"/>
  <c r="BC26" i="29"/>
  <c r="BC16" i="29"/>
  <c r="BC23" i="29"/>
  <c r="W24" i="34"/>
  <c r="BC21" i="29"/>
  <c r="DU34" i="2"/>
  <c r="F25" i="43"/>
  <c r="BC9" i="43" s="1"/>
  <c r="AK18" i="66"/>
  <c r="AN18" i="66" s="1"/>
  <c r="AQ18" i="66" s="1"/>
  <c r="EF30" i="2"/>
  <c r="DU25" i="2"/>
  <c r="F26" i="43"/>
  <c r="BD9" i="43" s="1"/>
  <c r="F19" i="43"/>
  <c r="DU30" i="2"/>
  <c r="F18" i="27"/>
  <c r="EF25" i="2"/>
  <c r="DO30" i="2"/>
  <c r="DU28" i="2"/>
  <c r="EF28" i="2"/>
  <c r="F21" i="43"/>
  <c r="AY9" i="43" s="1"/>
  <c r="AY79" i="43" s="1"/>
  <c r="F20" i="27"/>
  <c r="F15" i="27"/>
  <c r="F16" i="43"/>
  <c r="AT9" i="43" s="1"/>
  <c r="AT61" i="43" s="1"/>
  <c r="AD20" i="66"/>
  <c r="BU19" i="43"/>
  <c r="DO28" i="2"/>
  <c r="V60" i="2"/>
  <c r="EB60" i="2" s="1"/>
  <c r="V63" i="2"/>
  <c r="EB63" i="2" s="1"/>
  <c r="V61" i="2"/>
  <c r="EB61" i="2" s="1"/>
  <c r="DZ35" i="2"/>
  <c r="F18" i="43"/>
  <c r="AV9" i="43" s="1"/>
  <c r="AV79" i="43" s="1"/>
  <c r="AK17" i="66"/>
  <c r="AN17" i="66" s="1"/>
  <c r="AQ17" i="66" s="1"/>
  <c r="DO25" i="2"/>
  <c r="DS34" i="2"/>
  <c r="DL34" i="2"/>
  <c r="EA34" i="2"/>
  <c r="U58" i="2"/>
  <c r="EB26" i="2"/>
  <c r="G17" i="50"/>
  <c r="G28" i="27"/>
  <c r="DZ38" i="2"/>
  <c r="U60" i="2"/>
  <c r="U63" i="2"/>
  <c r="U61" i="2"/>
  <c r="EB35" i="2"/>
  <c r="EC35" i="2" s="1"/>
  <c r="G25" i="50"/>
  <c r="V59" i="2"/>
  <c r="EB59" i="2" s="1"/>
  <c r="DZ30" i="2"/>
  <c r="G18" i="50"/>
  <c r="EF34" i="2"/>
  <c r="EF35" i="2"/>
  <c r="DL35" i="2"/>
  <c r="DS35" i="2"/>
  <c r="W60" i="2"/>
  <c r="W63" i="2"/>
  <c r="W61" i="2"/>
  <c r="EA35" i="2"/>
  <c r="AX12" i="43"/>
  <c r="AX82" i="43" s="1"/>
  <c r="DS27" i="2"/>
  <c r="DL27" i="2"/>
  <c r="EA27" i="2"/>
  <c r="DU35" i="2"/>
  <c r="G19" i="27"/>
  <c r="U59" i="2"/>
  <c r="EB30" i="2"/>
  <c r="F16" i="27"/>
  <c r="DU26" i="2"/>
  <c r="DO34" i="2"/>
  <c r="DO35" i="2"/>
  <c r="V58" i="2"/>
  <c r="EB58" i="2" s="1"/>
  <c r="DZ26" i="2"/>
  <c r="G16" i="50"/>
  <c r="EF26" i="2"/>
  <c r="DL31" i="2"/>
  <c r="DS31" i="2"/>
  <c r="EA31" i="2"/>
  <c r="F17" i="43"/>
  <c r="AU9" i="43" s="1"/>
  <c r="AU79" i="43" s="1"/>
  <c r="DO26" i="2"/>
  <c r="DS37" i="2"/>
  <c r="DL37" i="2"/>
  <c r="EA37" i="2"/>
  <c r="EF27" i="2"/>
  <c r="G15" i="50"/>
  <c r="DO27" i="2"/>
  <c r="DV38" i="2"/>
  <c r="DS26" i="2"/>
  <c r="W58" i="2"/>
  <c r="EA26" i="2"/>
  <c r="AD16" i="66"/>
  <c r="D20" i="57"/>
  <c r="E20" i="57" s="1"/>
  <c r="G20" i="57" s="1"/>
  <c r="DZ34" i="2"/>
  <c r="DU27" i="2"/>
  <c r="DS36" i="2"/>
  <c r="DL36" i="2"/>
  <c r="EA36" i="2"/>
  <c r="AJ27" i="70"/>
  <c r="AK28" i="70"/>
  <c r="AK29" i="70"/>
  <c r="AJ28" i="70"/>
  <c r="AJ29" i="70"/>
  <c r="AI28" i="70"/>
  <c r="AI29" i="70"/>
  <c r="AI27" i="70"/>
  <c r="AK27" i="70"/>
  <c r="AU12" i="43"/>
  <c r="AU64" i="43" s="1"/>
  <c r="AK19" i="66"/>
  <c r="AN19" i="66" s="1"/>
  <c r="AQ19" i="66" s="1"/>
  <c r="AD19" i="66"/>
  <c r="AV46" i="43"/>
  <c r="AV55" i="43"/>
  <c r="AV64" i="43"/>
  <c r="AV70" i="43"/>
  <c r="AV82" i="43"/>
  <c r="BB12" i="43"/>
  <c r="BU18" i="43"/>
  <c r="L19" i="27"/>
  <c r="T19" i="27" s="1"/>
  <c r="AY19" i="27" s="1"/>
  <c r="T27" i="70"/>
  <c r="AX46" i="43"/>
  <c r="AZ12" i="43"/>
  <c r="BU16" i="43"/>
  <c r="BU23" i="43"/>
  <c r="BG12" i="43"/>
  <c r="AY12" i="43"/>
  <c r="BU15" i="43"/>
  <c r="BA12" i="43"/>
  <c r="BU17" i="43"/>
  <c r="S27" i="70"/>
  <c r="BU22" i="43"/>
  <c r="BF12" i="43"/>
  <c r="N28" i="50"/>
  <c r="V28" i="50" s="1"/>
  <c r="BD12" i="43"/>
  <c r="BU20" i="43"/>
  <c r="S28" i="70"/>
  <c r="S29" i="70"/>
  <c r="AW12" i="43"/>
  <c r="BU13" i="43"/>
  <c r="AT46" i="43"/>
  <c r="AT55" i="43"/>
  <c r="AT70" i="43"/>
  <c r="AT64" i="43"/>
  <c r="AT82" i="43"/>
  <c r="BE12" i="43"/>
  <c r="BU21" i="43"/>
  <c r="BC70" i="43"/>
  <c r="BC64" i="43"/>
  <c r="BC82" i="43"/>
  <c r="BC46" i="43"/>
  <c r="BC55" i="43"/>
  <c r="M28" i="27"/>
  <c r="U28" i="27" s="1"/>
  <c r="AZ28" i="27" s="1"/>
  <c r="R33" i="34"/>
  <c r="DF29" i="2"/>
  <c r="AD22" i="66"/>
  <c r="AK26" i="66"/>
  <c r="AN26" i="66" s="1"/>
  <c r="AQ26" i="66" s="1"/>
  <c r="H19" i="50"/>
  <c r="D15" i="57"/>
  <c r="G20" i="39"/>
  <c r="G20" i="43"/>
  <c r="AX10" i="43" s="1"/>
  <c r="AX68" i="43" s="1"/>
  <c r="T28" i="70"/>
  <c r="T29" i="70"/>
  <c r="AL17" i="66"/>
  <c r="AO17" i="66" s="1"/>
  <c r="AR17" i="66" s="1"/>
  <c r="DF38" i="2"/>
  <c r="AD15" i="66"/>
  <c r="AK27" i="66"/>
  <c r="AN27" i="66" s="1"/>
  <c r="AQ27" i="66" s="1"/>
  <c r="AD23" i="66"/>
  <c r="DV29" i="2"/>
  <c r="G63" i="66"/>
  <c r="AE19" i="66"/>
  <c r="AI19" i="66"/>
  <c r="AJ19" i="66" s="1"/>
  <c r="AL19" i="66"/>
  <c r="AO19" i="66" s="1"/>
  <c r="AR19" i="66" s="1"/>
  <c r="AD25" i="66"/>
  <c r="DP29" i="2"/>
  <c r="EG29" i="2"/>
  <c r="AI17" i="66"/>
  <c r="AJ17" i="66" s="1"/>
  <c r="AD28" i="66"/>
  <c r="AK24" i="66"/>
  <c r="AN24" i="66" s="1"/>
  <c r="AQ24" i="66" s="1"/>
  <c r="G18" i="66"/>
  <c r="H18" i="29"/>
  <c r="AO18" i="29" s="1"/>
  <c r="AR18" i="29" s="1"/>
  <c r="AU18" i="29" s="1"/>
  <c r="G22" i="66"/>
  <c r="AI22" i="66" s="1"/>
  <c r="AJ22" i="66" s="1"/>
  <c r="H22" i="29"/>
  <c r="G21" i="66"/>
  <c r="AL21" i="66" s="1"/>
  <c r="AO21" i="66" s="1"/>
  <c r="AR21" i="66" s="1"/>
  <c r="H21" i="29"/>
  <c r="AL21" i="29" s="1"/>
  <c r="AM21" i="29" s="1"/>
  <c r="G24" i="66"/>
  <c r="AE24" i="66" s="1"/>
  <c r="H24" i="29"/>
  <c r="AL24" i="29" s="1"/>
  <c r="AM24" i="29" s="1"/>
  <c r="H28" i="50"/>
  <c r="G29" i="43"/>
  <c r="G15" i="66"/>
  <c r="AL15" i="66" s="1"/>
  <c r="AO15" i="66" s="1"/>
  <c r="AR15" i="66" s="1"/>
  <c r="H15" i="29"/>
  <c r="AL15" i="29" s="1"/>
  <c r="AM15" i="29" s="1"/>
  <c r="D24" i="57"/>
  <c r="E24" i="57" s="1"/>
  <c r="G24" i="57" s="1"/>
  <c r="Q24" i="57" s="1"/>
  <c r="G16" i="66"/>
  <c r="AE16" i="66" s="1"/>
  <c r="H16" i="29"/>
  <c r="AL16" i="29" s="1"/>
  <c r="AM16" i="29" s="1"/>
  <c r="G25" i="66"/>
  <c r="AL25" i="66" s="1"/>
  <c r="AO25" i="66" s="1"/>
  <c r="AR25" i="66" s="1"/>
  <c r="H25" i="29"/>
  <c r="AL25" i="29" s="1"/>
  <c r="AM25" i="29" s="1"/>
  <c r="G23" i="66"/>
  <c r="G69" i="66" s="1"/>
  <c r="H23" i="29"/>
  <c r="AL23" i="29" s="1"/>
  <c r="AM23" i="29" s="1"/>
  <c r="G20" i="66"/>
  <c r="G66" i="66" s="1"/>
  <c r="H20" i="29"/>
  <c r="AL20" i="29" s="1"/>
  <c r="AM20" i="29" s="1"/>
  <c r="DP38" i="2"/>
  <c r="G28" i="66"/>
  <c r="G74" i="66" s="1"/>
  <c r="H28" i="29"/>
  <c r="AL28" i="29" s="1"/>
  <c r="AM28" i="29" s="1"/>
  <c r="G26" i="66"/>
  <c r="AE26" i="66" s="1"/>
  <c r="H26" i="29"/>
  <c r="AL26" i="29" s="1"/>
  <c r="AM26" i="29" s="1"/>
  <c r="EG38" i="2"/>
  <c r="G25" i="39"/>
  <c r="H25" i="39" s="1"/>
  <c r="G24" i="27"/>
  <c r="M24" i="27"/>
  <c r="U24" i="27" s="1"/>
  <c r="AZ24" i="27" s="1"/>
  <c r="G12" i="39"/>
  <c r="H12" i="39" s="1"/>
  <c r="G11" i="27"/>
  <c r="R29" i="34"/>
  <c r="AW22" i="59"/>
  <c r="BD22" i="59" s="1"/>
  <c r="G11" i="43"/>
  <c r="AP10" i="43" s="1"/>
  <c r="AP80" i="43" s="1"/>
  <c r="D7" i="57"/>
  <c r="E7" i="57" s="1"/>
  <c r="G7" i="57" s="1"/>
  <c r="W7" i="57" s="1"/>
  <c r="AE7" i="57" s="1"/>
  <c r="H11" i="50"/>
  <c r="N24" i="50"/>
  <c r="V24" i="50" s="1"/>
  <c r="G14" i="43"/>
  <c r="G48" i="43" s="1"/>
  <c r="G49" i="43" s="1"/>
  <c r="D9" i="57"/>
  <c r="E9" i="57" s="1"/>
  <c r="G9" i="57" s="1"/>
  <c r="CW62" i="2"/>
  <c r="DF21" i="2"/>
  <c r="G25" i="43"/>
  <c r="BC10" i="43" s="1"/>
  <c r="BC53" i="43" s="1"/>
  <c r="H24" i="50"/>
  <c r="M12" i="27"/>
  <c r="U12" i="27" s="1"/>
  <c r="BC12" i="27" s="1"/>
  <c r="H12" i="29"/>
  <c r="AL12" i="29" s="1"/>
  <c r="AM12" i="29" s="1"/>
  <c r="AW10" i="59"/>
  <c r="BD10" i="59" s="1"/>
  <c r="N12" i="50"/>
  <c r="V12" i="50" s="1"/>
  <c r="R17" i="34"/>
  <c r="M23" i="27"/>
  <c r="U23" i="27" s="1"/>
  <c r="AZ23" i="27" s="1"/>
  <c r="AW21" i="59"/>
  <c r="BD21" i="59" s="1"/>
  <c r="R28" i="34"/>
  <c r="G14" i="39"/>
  <c r="H14" i="39" s="1"/>
  <c r="N23" i="50"/>
  <c r="V23" i="50" s="1"/>
  <c r="G13" i="27"/>
  <c r="D64" i="66"/>
  <c r="H13" i="50"/>
  <c r="H10" i="29"/>
  <c r="AL10" i="29" s="1"/>
  <c r="M10" i="27"/>
  <c r="U10" i="27" s="1"/>
  <c r="BB10" i="27" s="1"/>
  <c r="R15" i="34"/>
  <c r="DF34" i="2"/>
  <c r="AL12" i="66"/>
  <c r="AO12" i="66" s="1"/>
  <c r="AR12" i="66" s="1"/>
  <c r="G58" i="66"/>
  <c r="AE12" i="66"/>
  <c r="DP32" i="2"/>
  <c r="EG32" i="2"/>
  <c r="DV32" i="2"/>
  <c r="CW71" i="2"/>
  <c r="DV30" i="2"/>
  <c r="DP30" i="2"/>
  <c r="EG30" i="2"/>
  <c r="CW72" i="2"/>
  <c r="DV31" i="2"/>
  <c r="EG31" i="2"/>
  <c r="DP31" i="2"/>
  <c r="DP37" i="2"/>
  <c r="EG37" i="2"/>
  <c r="DV37" i="2"/>
  <c r="DP36" i="2"/>
  <c r="EG36" i="2"/>
  <c r="DV36" i="2"/>
  <c r="DV34" i="2"/>
  <c r="DP34" i="2"/>
  <c r="EG34" i="2"/>
  <c r="G8" i="27"/>
  <c r="EG26" i="2"/>
  <c r="DP26" i="2"/>
  <c r="DV26" i="2"/>
  <c r="DS24" i="2"/>
  <c r="EG24" i="2"/>
  <c r="DL24" i="2"/>
  <c r="DP24" i="2"/>
  <c r="DV24" i="2"/>
  <c r="EG25" i="2"/>
  <c r="DV25" i="2"/>
  <c r="DP25" i="2"/>
  <c r="CW76" i="2"/>
  <c r="EG35" i="2"/>
  <c r="DP35" i="2"/>
  <c r="DV35" i="2"/>
  <c r="DF19" i="2"/>
  <c r="DF36" i="2"/>
  <c r="DF22" i="2"/>
  <c r="D62" i="66"/>
  <c r="D71" i="66"/>
  <c r="D61" i="66"/>
  <c r="D74" i="66"/>
  <c r="D70" i="66"/>
  <c r="DF20" i="2"/>
  <c r="DF24" i="2"/>
  <c r="D65" i="66"/>
  <c r="D68" i="66"/>
  <c r="D66" i="66"/>
  <c r="H8" i="66"/>
  <c r="AF8" i="66" s="1"/>
  <c r="CW60" i="2"/>
  <c r="AB16" i="66"/>
  <c r="H9" i="66"/>
  <c r="AF9" i="66" s="1"/>
  <c r="CW79" i="2"/>
  <c r="D73" i="66"/>
  <c r="D69" i="66"/>
  <c r="AB14" i="66"/>
  <c r="CW59" i="2"/>
  <c r="D63" i="66"/>
  <c r="CW69" i="2"/>
  <c r="D72" i="66"/>
  <c r="DF23" i="2"/>
  <c r="D67" i="66"/>
  <c r="D60" i="66"/>
  <c r="N10" i="50"/>
  <c r="V10" i="50" s="1"/>
  <c r="G55" i="66"/>
  <c r="AA55" i="66" s="1"/>
  <c r="AE9" i="66"/>
  <c r="AL9" i="66"/>
  <c r="AO9" i="66" s="1"/>
  <c r="AR9" i="66" s="1"/>
  <c r="AI9" i="66"/>
  <c r="AK11" i="66"/>
  <c r="AN11" i="66" s="1"/>
  <c r="AQ11" i="66" s="1"/>
  <c r="AD11" i="66"/>
  <c r="AD8" i="66"/>
  <c r="AK8" i="66"/>
  <c r="AN8" i="66" s="1"/>
  <c r="AQ8" i="66" s="1"/>
  <c r="G57" i="66"/>
  <c r="AI11" i="66"/>
  <c r="AL11" i="66"/>
  <c r="AO11" i="66" s="1"/>
  <c r="AR11" i="66" s="1"/>
  <c r="AE11" i="66"/>
  <c r="M8" i="27"/>
  <c r="U8" i="27" s="1"/>
  <c r="L9" i="39" s="1"/>
  <c r="M9" i="39" s="1"/>
  <c r="G56" i="66"/>
  <c r="AL10" i="66"/>
  <c r="AO10" i="66" s="1"/>
  <c r="AR10" i="66" s="1"/>
  <c r="AE10" i="66"/>
  <c r="AI10" i="66"/>
  <c r="AW26" i="59"/>
  <c r="BD26" i="59" s="1"/>
  <c r="N8" i="50"/>
  <c r="V8" i="50" s="1"/>
  <c r="AK10" i="66"/>
  <c r="AN10" i="66" s="1"/>
  <c r="AQ10" i="66" s="1"/>
  <c r="AD10" i="66"/>
  <c r="AD9" i="66"/>
  <c r="AK9" i="66"/>
  <c r="AN9" i="66" s="1"/>
  <c r="AQ9" i="66" s="1"/>
  <c r="M18" i="27"/>
  <c r="U18" i="27" s="1"/>
  <c r="AZ18" i="27" s="1"/>
  <c r="G73" i="66"/>
  <c r="AE27" i="66"/>
  <c r="AL27" i="66"/>
  <c r="AO27" i="66" s="1"/>
  <c r="AR27" i="66" s="1"/>
  <c r="AI27" i="66"/>
  <c r="AJ27" i="66" s="1"/>
  <c r="G68" i="66"/>
  <c r="G60" i="66"/>
  <c r="AI14" i="66"/>
  <c r="AJ14" i="66" s="1"/>
  <c r="AL14" i="66"/>
  <c r="AO14" i="66" s="1"/>
  <c r="AR14" i="66" s="1"/>
  <c r="AE14" i="66"/>
  <c r="BC11" i="27"/>
  <c r="CW66" i="2"/>
  <c r="CW68" i="2"/>
  <c r="DF26" i="2"/>
  <c r="CW73" i="2"/>
  <c r="CW64" i="2"/>
  <c r="CW61" i="2"/>
  <c r="AH27" i="29"/>
  <c r="AX27" i="29" s="1"/>
  <c r="AL27" i="29"/>
  <c r="AM27" i="29" s="1"/>
  <c r="R12" i="39"/>
  <c r="S12" i="39" s="1"/>
  <c r="AL11" i="29"/>
  <c r="AZ11" i="27"/>
  <c r="AO11" i="29"/>
  <c r="AR11" i="29" s="1"/>
  <c r="AU11" i="29" s="1"/>
  <c r="CW74" i="2"/>
  <c r="CW70" i="2"/>
  <c r="CW78" i="2"/>
  <c r="CW75" i="2"/>
  <c r="BA73" i="43"/>
  <c r="BA79" i="43"/>
  <c r="BA67" i="43"/>
  <c r="BA52" i="43"/>
  <c r="BA61" i="43"/>
  <c r="BA43" i="43"/>
  <c r="AX18" i="59"/>
  <c r="BE18" i="59" s="1"/>
  <c r="BF75" i="43"/>
  <c r="BF81" i="43"/>
  <c r="BF54" i="43"/>
  <c r="BF45" i="43"/>
  <c r="BF63" i="43"/>
  <c r="BF69" i="43"/>
  <c r="AV12" i="59"/>
  <c r="BC12" i="59" s="1"/>
  <c r="BL12" i="59" s="1"/>
  <c r="AX23" i="59"/>
  <c r="BE23" i="59" s="1"/>
  <c r="AV15" i="59"/>
  <c r="BC15" i="59" s="1"/>
  <c r="BL15" i="59" s="1"/>
  <c r="AX10" i="59"/>
  <c r="BE10" i="59" s="1"/>
  <c r="AN27" i="29"/>
  <c r="AQ27" i="29" s="1"/>
  <c r="AT27" i="29" s="1"/>
  <c r="AG27" i="29"/>
  <c r="AW27" i="29" s="1"/>
  <c r="AX14" i="59"/>
  <c r="BE14" i="59" s="1"/>
  <c r="BN14" i="59" s="1"/>
  <c r="AN23" i="29"/>
  <c r="AQ23" i="29" s="1"/>
  <c r="AT23" i="29" s="1"/>
  <c r="AG23" i="29"/>
  <c r="AW23" i="29" s="1"/>
  <c r="AN18" i="29"/>
  <c r="AQ18" i="29" s="1"/>
  <c r="AT18" i="29" s="1"/>
  <c r="AG18" i="29"/>
  <c r="AW18" i="29" s="1"/>
  <c r="AV22" i="59"/>
  <c r="BC22" i="59" s="1"/>
  <c r="F9" i="27"/>
  <c r="G9" i="50"/>
  <c r="F9" i="43"/>
  <c r="AN9" i="43" s="1"/>
  <c r="AW9" i="43"/>
  <c r="F48" i="43"/>
  <c r="F49" i="43" s="1"/>
  <c r="AX21" i="59"/>
  <c r="BE21" i="59" s="1"/>
  <c r="AX22" i="59"/>
  <c r="BE22" i="59" s="1"/>
  <c r="G8" i="29"/>
  <c r="W13" i="34"/>
  <c r="M8" i="50"/>
  <c r="U8" i="50" s="1"/>
  <c r="L8" i="27"/>
  <c r="T8" i="27" s="1"/>
  <c r="AY8" i="27" s="1"/>
  <c r="AV73" i="43"/>
  <c r="I8" i="29"/>
  <c r="AI8" i="29" s="1"/>
  <c r="AB13" i="34"/>
  <c r="O8" i="50"/>
  <c r="W8" i="50" s="1"/>
  <c r="N8" i="27"/>
  <c r="V8" i="27" s="1"/>
  <c r="BA8" i="27" s="1"/>
  <c r="AP75" i="43"/>
  <c r="AP81" i="43"/>
  <c r="AP69" i="43"/>
  <c r="AP63" i="43"/>
  <c r="AP45" i="43"/>
  <c r="AP54" i="43"/>
  <c r="AV80" i="43"/>
  <c r="AV74" i="43"/>
  <c r="AO81" i="43"/>
  <c r="AO75" i="43"/>
  <c r="AO69" i="43"/>
  <c r="AO45" i="43"/>
  <c r="AO54" i="43"/>
  <c r="AO63" i="43"/>
  <c r="BA81" i="43"/>
  <c r="BA75" i="43"/>
  <c r="BA69" i="43"/>
  <c r="BA63" i="43"/>
  <c r="BA54" i="43"/>
  <c r="BA45" i="43"/>
  <c r="F10" i="27"/>
  <c r="G10" i="50"/>
  <c r="F10" i="43"/>
  <c r="AO9" i="43" s="1"/>
  <c r="I9" i="29"/>
  <c r="AI9" i="29" s="1"/>
  <c r="AB14" i="34"/>
  <c r="O9" i="50"/>
  <c r="W9" i="50" s="1"/>
  <c r="N9" i="27"/>
  <c r="V9" i="27" s="1"/>
  <c r="BA9" i="27" s="1"/>
  <c r="AT75" i="43"/>
  <c r="AT81" i="43"/>
  <c r="AT69" i="43"/>
  <c r="AT63" i="43"/>
  <c r="AT54" i="43"/>
  <c r="AT45" i="43"/>
  <c r="AX12" i="59"/>
  <c r="BE12" i="59" s="1"/>
  <c r="BN12" i="59" s="1"/>
  <c r="AZ73" i="43"/>
  <c r="AZ79" i="43"/>
  <c r="AZ67" i="43"/>
  <c r="AZ61" i="43"/>
  <c r="AZ52" i="43"/>
  <c r="AZ43" i="43"/>
  <c r="AV81" i="43"/>
  <c r="AV75" i="43"/>
  <c r="AV63" i="43"/>
  <c r="AV69" i="43"/>
  <c r="AV54" i="43"/>
  <c r="AV45" i="43"/>
  <c r="AX26" i="59"/>
  <c r="BE26" i="59" s="1"/>
  <c r="AN15" i="29"/>
  <c r="AQ15" i="29" s="1"/>
  <c r="AT15" i="29" s="1"/>
  <c r="AG15" i="29"/>
  <c r="AW15" i="29" s="1"/>
  <c r="AR9" i="43"/>
  <c r="F45" i="43"/>
  <c r="F47" i="43" s="1"/>
  <c r="AV25" i="59"/>
  <c r="BC25" i="59" s="1"/>
  <c r="AV21" i="59"/>
  <c r="BC21" i="59" s="1"/>
  <c r="AV16" i="59"/>
  <c r="BC16" i="59" s="1"/>
  <c r="F11" i="43"/>
  <c r="AP9" i="43" s="1"/>
  <c r="F11" i="27"/>
  <c r="G11" i="50"/>
  <c r="H52" i="43"/>
  <c r="H53" i="43" s="1"/>
  <c r="H54" i="43"/>
  <c r="H59" i="43" s="1"/>
  <c r="BG11" i="43"/>
  <c r="AX75" i="43"/>
  <c r="AX81" i="43"/>
  <c r="AX63" i="43"/>
  <c r="AX69" i="43"/>
  <c r="AX54" i="43"/>
  <c r="AX45" i="43"/>
  <c r="AX25" i="59"/>
  <c r="BE25" i="59" s="1"/>
  <c r="BB9" i="43"/>
  <c r="F50" i="43"/>
  <c r="F51" i="43" s="1"/>
  <c r="AN20" i="29"/>
  <c r="AQ20" i="29" s="1"/>
  <c r="AT20" i="29" s="1"/>
  <c r="AG20" i="29"/>
  <c r="AW20" i="29" s="1"/>
  <c r="AN12" i="29"/>
  <c r="AQ12" i="29" s="1"/>
  <c r="AT12" i="29" s="1"/>
  <c r="AG12" i="29"/>
  <c r="BD81" i="43"/>
  <c r="BD75" i="43"/>
  <c r="BD69" i="43"/>
  <c r="BD54" i="43"/>
  <c r="BD63" i="43"/>
  <c r="BD45" i="43"/>
  <c r="AN13" i="29"/>
  <c r="AQ13" i="29" s="1"/>
  <c r="AT13" i="29" s="1"/>
  <c r="AG13" i="29"/>
  <c r="AW13" i="29" s="1"/>
  <c r="BB11" i="43"/>
  <c r="H50" i="43"/>
  <c r="H51" i="43" s="1"/>
  <c r="AQ80" i="43"/>
  <c r="AQ74" i="43"/>
  <c r="AX17" i="59"/>
  <c r="BE17" i="59" s="1"/>
  <c r="AN28" i="29"/>
  <c r="AQ28" i="29" s="1"/>
  <c r="AT28" i="29" s="1"/>
  <c r="AG28" i="29"/>
  <c r="AW28" i="29" s="1"/>
  <c r="BD73" i="43"/>
  <c r="BD79" i="43"/>
  <c r="BD67" i="43"/>
  <c r="BD61" i="43"/>
  <c r="BD43" i="43"/>
  <c r="BD52" i="43"/>
  <c r="AN16" i="29"/>
  <c r="AQ16" i="29" s="1"/>
  <c r="AT16" i="29" s="1"/>
  <c r="AG16" i="29"/>
  <c r="AW16" i="29" s="1"/>
  <c r="BC75" i="43"/>
  <c r="BC81" i="43"/>
  <c r="BC63" i="43"/>
  <c r="BC54" i="43"/>
  <c r="BC45" i="43"/>
  <c r="BC69" i="43"/>
  <c r="AX19" i="59"/>
  <c r="BE19" i="59" s="1"/>
  <c r="AS81" i="43"/>
  <c r="AS75" i="43"/>
  <c r="AS69" i="43"/>
  <c r="AS63" i="43"/>
  <c r="AS54" i="43"/>
  <c r="AS45" i="43"/>
  <c r="AX8" i="59"/>
  <c r="BE8" i="59" s="1"/>
  <c r="AN22" i="29"/>
  <c r="AQ22" i="29" s="1"/>
  <c r="AT22" i="29" s="1"/>
  <c r="AG22" i="29"/>
  <c r="AW22" i="29" s="1"/>
  <c r="AX20" i="59"/>
  <c r="BE20" i="59" s="1"/>
  <c r="AT43" i="43"/>
  <c r="G9" i="29"/>
  <c r="W14" i="34"/>
  <c r="L9" i="27"/>
  <c r="T9" i="27" s="1"/>
  <c r="AY9" i="27" s="1"/>
  <c r="M9" i="50"/>
  <c r="U9" i="50" s="1"/>
  <c r="AU75" i="43"/>
  <c r="AU81" i="43"/>
  <c r="AU69" i="43"/>
  <c r="AU63" i="43"/>
  <c r="AU54" i="43"/>
  <c r="AU45" i="43"/>
  <c r="AV18" i="59"/>
  <c r="BC18" i="59" s="1"/>
  <c r="AN25" i="29"/>
  <c r="AQ25" i="29" s="1"/>
  <c r="AT25" i="29" s="1"/>
  <c r="AG25" i="29"/>
  <c r="AW25" i="29" s="1"/>
  <c r="AU67" i="43"/>
  <c r="AN21" i="29"/>
  <c r="AQ21" i="29" s="1"/>
  <c r="AT21" i="29" s="1"/>
  <c r="AG21" i="29"/>
  <c r="AW21" i="29" s="1"/>
  <c r="AX15" i="59"/>
  <c r="BE15" i="59" s="1"/>
  <c r="AN26" i="29"/>
  <c r="AQ26" i="29" s="1"/>
  <c r="AT26" i="29" s="1"/>
  <c r="AG26" i="29"/>
  <c r="AW26" i="29" s="1"/>
  <c r="F8" i="27"/>
  <c r="F8" i="43"/>
  <c r="G8" i="50"/>
  <c r="AV11" i="59"/>
  <c r="BC11" i="59" s="1"/>
  <c r="AN19" i="29"/>
  <c r="AQ19" i="29" s="1"/>
  <c r="AT19" i="29" s="1"/>
  <c r="AG19" i="29"/>
  <c r="AW19" i="29" s="1"/>
  <c r="BE81" i="43"/>
  <c r="BE75" i="43"/>
  <c r="BE54" i="43"/>
  <c r="BE45" i="43"/>
  <c r="BE63" i="43"/>
  <c r="BE69" i="43"/>
  <c r="AX16" i="59"/>
  <c r="BE16" i="59" s="1"/>
  <c r="F52" i="43"/>
  <c r="F53" i="43" s="1"/>
  <c r="F54" i="43"/>
  <c r="F59" i="43" s="1"/>
  <c r="BG9" i="43"/>
  <c r="AQ79" i="43"/>
  <c r="AQ73" i="43"/>
  <c r="AQ67" i="43"/>
  <c r="AQ61" i="43"/>
  <c r="AQ52" i="43"/>
  <c r="AQ43" i="43"/>
  <c r="AX74" i="43"/>
  <c r="BE79" i="43"/>
  <c r="BE73" i="43"/>
  <c r="BE67" i="43"/>
  <c r="BE52" i="43"/>
  <c r="BE61" i="43"/>
  <c r="BE43" i="43"/>
  <c r="BC79" i="43"/>
  <c r="BC73" i="43"/>
  <c r="BC67" i="43"/>
  <c r="BC61" i="43"/>
  <c r="BC52" i="43"/>
  <c r="BC43" i="43"/>
  <c r="G10" i="29"/>
  <c r="W15" i="34"/>
  <c r="L10" i="27"/>
  <c r="T10" i="27" s="1"/>
  <c r="AY10" i="27" s="1"/>
  <c r="M10" i="50"/>
  <c r="U10" i="50" s="1"/>
  <c r="H9" i="43"/>
  <c r="AN11" i="43" s="1"/>
  <c r="H9" i="27"/>
  <c r="I9" i="50"/>
  <c r="AX73" i="43"/>
  <c r="AX79" i="43"/>
  <c r="AX67" i="43"/>
  <c r="AX61" i="43"/>
  <c r="AX52" i="43"/>
  <c r="AX43" i="43"/>
  <c r="AV26" i="59"/>
  <c r="BC26" i="59" s="1"/>
  <c r="AN14" i="29"/>
  <c r="AQ14" i="29" s="1"/>
  <c r="AT14" i="29" s="1"/>
  <c r="AG14" i="29"/>
  <c r="AW14" i="29" s="1"/>
  <c r="BA14" i="29" s="1"/>
  <c r="AV14" i="59"/>
  <c r="BC14" i="59" s="1"/>
  <c r="BL14" i="59" s="1"/>
  <c r="AN17" i="29"/>
  <c r="AQ17" i="29" s="1"/>
  <c r="AT17" i="29" s="1"/>
  <c r="AG17" i="29"/>
  <c r="AW17" i="29" s="1"/>
  <c r="AV13" i="59"/>
  <c r="BC13" i="59" s="1"/>
  <c r="BL13" i="59" s="1"/>
  <c r="AX24" i="59"/>
  <c r="BE24" i="59" s="1"/>
  <c r="AW11" i="43"/>
  <c r="H48" i="43"/>
  <c r="H49" i="43" s="1"/>
  <c r="AX9" i="59"/>
  <c r="BE9" i="59" s="1"/>
  <c r="AS79" i="43"/>
  <c r="AS73" i="43"/>
  <c r="AS67" i="43"/>
  <c r="AS61" i="43"/>
  <c r="AS52" i="43"/>
  <c r="AS43" i="43"/>
  <c r="AV20" i="59"/>
  <c r="BC20" i="59" s="1"/>
  <c r="W16" i="34"/>
  <c r="G11" i="29"/>
  <c r="M11" i="50"/>
  <c r="U11" i="50" s="1"/>
  <c r="L11" i="27"/>
  <c r="T11" i="27" s="1"/>
  <c r="AY11" i="27" s="1"/>
  <c r="AN24" i="29"/>
  <c r="AQ24" i="29" s="1"/>
  <c r="AT24" i="29" s="1"/>
  <c r="AG24" i="29"/>
  <c r="AW24" i="29" s="1"/>
  <c r="BA24" i="29" s="1"/>
  <c r="AX13" i="59"/>
  <c r="BE13" i="59" s="1"/>
  <c r="BN13" i="59" s="1"/>
  <c r="AY81" i="43"/>
  <c r="AY75" i="43"/>
  <c r="AY69" i="43"/>
  <c r="AY63" i="43"/>
  <c r="AY54" i="43"/>
  <c r="AY45" i="43"/>
  <c r="AX11" i="59"/>
  <c r="BE11" i="59" s="1"/>
  <c r="AV10" i="59"/>
  <c r="BC10" i="59" s="1"/>
  <c r="AV23" i="59"/>
  <c r="BC23" i="59" s="1"/>
  <c r="AV19" i="59"/>
  <c r="BC19" i="59" s="1"/>
  <c r="AV24" i="59"/>
  <c r="BC24" i="59" s="1"/>
  <c r="AZ81" i="43"/>
  <c r="AZ75" i="43"/>
  <c r="AZ69" i="43"/>
  <c r="AZ63" i="43"/>
  <c r="AZ54" i="43"/>
  <c r="AZ45" i="43"/>
  <c r="AV17" i="59"/>
  <c r="BC17" i="59" s="1"/>
  <c r="AQ81" i="43"/>
  <c r="AQ75" i="43"/>
  <c r="AQ63" i="43"/>
  <c r="AQ69" i="43"/>
  <c r="AQ54" i="43"/>
  <c r="AQ45" i="43"/>
  <c r="BF73" i="43"/>
  <c r="BF79" i="43"/>
  <c r="BF67" i="43"/>
  <c r="BF52" i="43"/>
  <c r="BF43" i="43"/>
  <c r="BF61" i="43"/>
  <c r="H8" i="43"/>
  <c r="H8" i="27"/>
  <c r="I8" i="50"/>
  <c r="AR11" i="43"/>
  <c r="H45" i="43"/>
  <c r="H47" i="43" s="1"/>
  <c r="AQ68" i="43"/>
  <c r="AQ62" i="43"/>
  <c r="AV68" i="43"/>
  <c r="AV62" i="43"/>
  <c r="AX62" i="43"/>
  <c r="BB10" i="43"/>
  <c r="BB53" i="43" s="1"/>
  <c r="G50" i="43"/>
  <c r="G51" i="43" s="1"/>
  <c r="AW10" i="43"/>
  <c r="AW44" i="43" s="1"/>
  <c r="AW25" i="59"/>
  <c r="BD25" i="59" s="1"/>
  <c r="N18" i="50"/>
  <c r="V18" i="50" s="1"/>
  <c r="R23" i="34"/>
  <c r="DF32" i="2"/>
  <c r="DF37" i="2"/>
  <c r="DF35" i="2"/>
  <c r="DF25" i="2"/>
  <c r="DF31" i="2"/>
  <c r="G11" i="39"/>
  <c r="H11" i="39" s="1"/>
  <c r="G10" i="43"/>
  <c r="AO10" i="43" s="1"/>
  <c r="AO53" i="43" s="1"/>
  <c r="H10" i="50"/>
  <c r="H8" i="50"/>
  <c r="DF18" i="2"/>
  <c r="DF30" i="2"/>
  <c r="D6" i="57"/>
  <c r="E6" i="57" s="1"/>
  <c r="G6" i="57" s="1"/>
  <c r="G10" i="27"/>
  <c r="G9" i="39"/>
  <c r="H9" i="39" s="1"/>
  <c r="AO27" i="29"/>
  <c r="AR27" i="29" s="1"/>
  <c r="AU27" i="29" s="1"/>
  <c r="L12" i="39"/>
  <c r="M12" i="39" s="1"/>
  <c r="G8" i="43"/>
  <c r="H73" i="29"/>
  <c r="AW9" i="59"/>
  <c r="BD9" i="59" s="1"/>
  <c r="AZ27" i="27"/>
  <c r="H8" i="29"/>
  <c r="AH8" i="29" s="1"/>
  <c r="R13" i="34"/>
  <c r="AG18" i="39"/>
  <c r="AG24" i="39"/>
  <c r="H27" i="50"/>
  <c r="G28" i="43"/>
  <c r="BF10" i="43" s="1"/>
  <c r="G27" i="27"/>
  <c r="D23" i="57"/>
  <c r="E23" i="57" s="1"/>
  <c r="G23" i="57" s="1"/>
  <c r="H23" i="57" s="1"/>
  <c r="AH11" i="29"/>
  <c r="H57" i="29"/>
  <c r="AG25" i="39"/>
  <c r="R20" i="34"/>
  <c r="M15" i="27"/>
  <c r="U15" i="27" s="1"/>
  <c r="N15" i="50"/>
  <c r="V15" i="50" s="1"/>
  <c r="G16" i="39"/>
  <c r="H16" i="39" s="1"/>
  <c r="H15" i="50"/>
  <c r="G15" i="27"/>
  <c r="D11" i="57"/>
  <c r="E11" i="57" s="1"/>
  <c r="G11" i="57" s="1"/>
  <c r="G16" i="43"/>
  <c r="AT10" i="43" s="1"/>
  <c r="AG20" i="39"/>
  <c r="G20" i="27"/>
  <c r="D16" i="57"/>
  <c r="E16" i="57" s="1"/>
  <c r="G16" i="57" s="1"/>
  <c r="W16" i="57" s="1"/>
  <c r="AE16" i="57" s="1"/>
  <c r="G21" i="39"/>
  <c r="H20" i="50"/>
  <c r="G21" i="43"/>
  <c r="AY10" i="43" s="1"/>
  <c r="N20" i="50"/>
  <c r="V20" i="50" s="1"/>
  <c r="R25" i="34"/>
  <c r="M20" i="27"/>
  <c r="U20" i="27" s="1"/>
  <c r="AG19" i="39"/>
  <c r="G14" i="27"/>
  <c r="G15" i="39"/>
  <c r="H14" i="50"/>
  <c r="D10" i="57"/>
  <c r="G15" i="43"/>
  <c r="AS10" i="43" s="1"/>
  <c r="R31" i="34"/>
  <c r="N26" i="50"/>
  <c r="V26" i="50" s="1"/>
  <c r="M26" i="27"/>
  <c r="U26" i="27" s="1"/>
  <c r="H65" i="29"/>
  <c r="AH19" i="29"/>
  <c r="AX19" i="29" s="1"/>
  <c r="R20" i="39"/>
  <c r="AO19" i="29"/>
  <c r="AR19" i="29" s="1"/>
  <c r="AU19" i="29" s="1"/>
  <c r="AQ53" i="43"/>
  <c r="AQ44" i="43"/>
  <c r="L9" i="59"/>
  <c r="AG9" i="59" s="1"/>
  <c r="O9" i="59"/>
  <c r="AJ9" i="59" s="1"/>
  <c r="Q22" i="39"/>
  <c r="AE21" i="29"/>
  <c r="AV44" i="43"/>
  <c r="AV53" i="43"/>
  <c r="O25" i="59"/>
  <c r="L25" i="59"/>
  <c r="AG25" i="59" s="1"/>
  <c r="R26" i="34"/>
  <c r="N21" i="50"/>
  <c r="V21" i="50" s="1"/>
  <c r="M21" i="27"/>
  <c r="U21" i="27" s="1"/>
  <c r="BC17" i="27"/>
  <c r="L18" i="39"/>
  <c r="M18" i="39" s="1"/>
  <c r="AZ17" i="27"/>
  <c r="AE25" i="29"/>
  <c r="Q26" i="39"/>
  <c r="H19" i="39"/>
  <c r="AW17" i="59"/>
  <c r="BD17" i="59" s="1"/>
  <c r="AW14" i="27"/>
  <c r="K15" i="39"/>
  <c r="E8" i="57"/>
  <c r="G8" i="57" s="1"/>
  <c r="G17" i="43"/>
  <c r="AU10" i="43" s="1"/>
  <c r="H16" i="50"/>
  <c r="G17" i="39"/>
  <c r="G16" i="27"/>
  <c r="D12" i="57"/>
  <c r="D55" i="29"/>
  <c r="D66" i="29"/>
  <c r="D64" i="29"/>
  <c r="D67" i="29"/>
  <c r="D61" i="29"/>
  <c r="D65" i="29"/>
  <c r="AE9" i="29"/>
  <c r="D68" i="29"/>
  <c r="D73" i="29"/>
  <c r="D63" i="29"/>
  <c r="D62" i="29"/>
  <c r="D72" i="29"/>
  <c r="D74" i="29"/>
  <c r="Q10" i="39"/>
  <c r="D70" i="29"/>
  <c r="D60" i="29"/>
  <c r="D59" i="29"/>
  <c r="D71" i="29"/>
  <c r="D57" i="29"/>
  <c r="D58" i="29"/>
  <c r="D69" i="29"/>
  <c r="D56" i="29"/>
  <c r="E13" i="57"/>
  <c r="G13" i="57" s="1"/>
  <c r="G22" i="27"/>
  <c r="G23" i="39"/>
  <c r="H22" i="50"/>
  <c r="G23" i="43"/>
  <c r="BA10" i="43" s="1"/>
  <c r="D18" i="57"/>
  <c r="H24" i="39"/>
  <c r="Q17" i="39"/>
  <c r="AE16" i="29"/>
  <c r="CW65" i="2"/>
  <c r="H20" i="39"/>
  <c r="AH13" i="29"/>
  <c r="AX13" i="29" s="1"/>
  <c r="H59" i="29"/>
  <c r="AO13" i="29"/>
  <c r="AR13" i="29" s="1"/>
  <c r="AU13" i="29" s="1"/>
  <c r="R14" i="39"/>
  <c r="H26" i="50"/>
  <c r="G26" i="27"/>
  <c r="G27" i="43"/>
  <c r="BE10" i="43" s="1"/>
  <c r="D22" i="57"/>
  <c r="E14" i="57"/>
  <c r="G14" i="57" s="1"/>
  <c r="AZ19" i="27"/>
  <c r="BC19" i="27"/>
  <c r="L20" i="39"/>
  <c r="M20" i="39" s="1"/>
  <c r="R30" i="34"/>
  <c r="N25" i="50"/>
  <c r="V25" i="50" s="1"/>
  <c r="M25" i="27"/>
  <c r="U25" i="27" s="1"/>
  <c r="K23" i="39"/>
  <c r="AW22" i="27"/>
  <c r="N16" i="50"/>
  <c r="V16" i="50" s="1"/>
  <c r="R21" i="34"/>
  <c r="M16" i="27"/>
  <c r="U16" i="27" s="1"/>
  <c r="U7" i="57"/>
  <c r="AC7" i="57" s="1"/>
  <c r="R14" i="34"/>
  <c r="N9" i="50"/>
  <c r="V9" i="50" s="1"/>
  <c r="H9" i="29"/>
  <c r="AL9" i="29" s="1"/>
  <c r="M9" i="27"/>
  <c r="U9" i="27" s="1"/>
  <c r="AO17" i="29"/>
  <c r="AR17" i="29" s="1"/>
  <c r="AU17" i="29" s="1"/>
  <c r="AH17" i="29"/>
  <c r="AX17" i="29" s="1"/>
  <c r="R18" i="39"/>
  <c r="H63" i="29"/>
  <c r="AX44" i="43"/>
  <c r="AX53" i="43"/>
  <c r="AW11" i="59"/>
  <c r="CW67" i="2"/>
  <c r="AW25" i="27"/>
  <c r="K26" i="39"/>
  <c r="N14" i="50"/>
  <c r="V14" i="50" s="1"/>
  <c r="R19" i="34"/>
  <c r="H14" i="29"/>
  <c r="AL14" i="29" s="1"/>
  <c r="AM14" i="29" s="1"/>
  <c r="M14" i="27"/>
  <c r="U14" i="27" s="1"/>
  <c r="L26" i="59"/>
  <c r="AG26" i="59" s="1"/>
  <c r="O26" i="59"/>
  <c r="H25" i="50"/>
  <c r="G25" i="27"/>
  <c r="G26" i="39"/>
  <c r="D21" i="57"/>
  <c r="G26" i="43"/>
  <c r="Q15" i="39"/>
  <c r="AE14" i="29"/>
  <c r="AE22" i="29"/>
  <c r="Q23" i="39"/>
  <c r="H13" i="39"/>
  <c r="CW77" i="2"/>
  <c r="K22" i="39"/>
  <c r="AW21" i="27"/>
  <c r="K10" i="39"/>
  <c r="AW9" i="27"/>
  <c r="H18" i="39"/>
  <c r="R27" i="34"/>
  <c r="N22" i="50"/>
  <c r="V22" i="50" s="1"/>
  <c r="AL22" i="29"/>
  <c r="AM22" i="29" s="1"/>
  <c r="M22" i="27"/>
  <c r="U22" i="27" s="1"/>
  <c r="E19" i="57"/>
  <c r="G19" i="57" s="1"/>
  <c r="K17" i="39"/>
  <c r="AW16" i="27"/>
  <c r="H21" i="50"/>
  <c r="G21" i="27"/>
  <c r="G22" i="39"/>
  <c r="G22" i="43"/>
  <c r="AZ10" i="43" s="1"/>
  <c r="D17" i="57"/>
  <c r="H9" i="50"/>
  <c r="G10" i="39"/>
  <c r="G9" i="27"/>
  <c r="D5" i="57"/>
  <c r="G9" i="43"/>
  <c r="AN10" i="43" s="1"/>
  <c r="AW15" i="59"/>
  <c r="BD15" i="59" s="1"/>
  <c r="E15" i="57"/>
  <c r="G15" i="57" s="1"/>
  <c r="BC13" i="27"/>
  <c r="L14" i="39"/>
  <c r="M14" i="39" s="1"/>
  <c r="AZ13" i="27"/>
  <c r="BA26" i="29" l="1"/>
  <c r="BA21" i="29"/>
  <c r="AX70" i="43"/>
  <c r="BA22" i="29"/>
  <c r="BA18" i="29"/>
  <c r="BA16" i="29"/>
  <c r="BA20" i="29"/>
  <c r="BA28" i="29"/>
  <c r="BA29" i="29"/>
  <c r="BC10" i="27"/>
  <c r="BA15" i="29"/>
  <c r="BA23" i="29"/>
  <c r="BA27" i="29"/>
  <c r="AV43" i="43"/>
  <c r="BA17" i="29"/>
  <c r="BA19" i="29"/>
  <c r="BA25" i="29"/>
  <c r="AV61" i="43"/>
  <c r="AV52" i="43"/>
  <c r="AV67" i="43"/>
  <c r="AU43" i="43"/>
  <c r="AU52" i="43"/>
  <c r="AU73" i="43"/>
  <c r="AU61" i="43"/>
  <c r="AY52" i="43"/>
  <c r="AY43" i="43"/>
  <c r="AY61" i="43"/>
  <c r="AY67" i="43"/>
  <c r="AY73" i="43"/>
  <c r="AT67" i="43"/>
  <c r="AT73" i="43"/>
  <c r="AT79" i="43"/>
  <c r="AT52" i="43"/>
  <c r="AU82" i="43"/>
  <c r="AX64" i="43"/>
  <c r="AX55" i="43"/>
  <c r="BC28" i="27"/>
  <c r="AU55" i="43"/>
  <c r="AU70" i="43"/>
  <c r="AU46" i="43"/>
  <c r="AY46" i="43"/>
  <c r="AY55" i="43"/>
  <c r="AY70" i="43"/>
  <c r="AY82" i="43"/>
  <c r="AY64" i="43"/>
  <c r="BG64" i="43"/>
  <c r="BG46" i="43"/>
  <c r="BG55" i="43"/>
  <c r="BG70" i="43"/>
  <c r="BG82" i="43"/>
  <c r="BD70" i="43"/>
  <c r="BD82" i="43"/>
  <c r="BD64" i="43"/>
  <c r="BD46" i="43"/>
  <c r="BD55" i="43"/>
  <c r="BB46" i="43"/>
  <c r="BB55" i="43"/>
  <c r="BB70" i="43"/>
  <c r="BB64" i="43"/>
  <c r="BB82" i="43"/>
  <c r="AZ46" i="43"/>
  <c r="AZ64" i="43"/>
  <c r="AZ55" i="43"/>
  <c r="AZ70" i="43"/>
  <c r="AZ82" i="43"/>
  <c r="BF46" i="43"/>
  <c r="BF55" i="43"/>
  <c r="BF64" i="43"/>
  <c r="BF70" i="43"/>
  <c r="BF82" i="43"/>
  <c r="AX80" i="43"/>
  <c r="AW64" i="43"/>
  <c r="AW46" i="43"/>
  <c r="AW55" i="43"/>
  <c r="AW70" i="43"/>
  <c r="AW82" i="43"/>
  <c r="BE70" i="43"/>
  <c r="BE82" i="43"/>
  <c r="BE46" i="43"/>
  <c r="BE64" i="43"/>
  <c r="BE55" i="43"/>
  <c r="BA46" i="43"/>
  <c r="BA55" i="43"/>
  <c r="BA70" i="43"/>
  <c r="BA82" i="43"/>
  <c r="BA64" i="43"/>
  <c r="AH24" i="29"/>
  <c r="AX24" i="29" s="1"/>
  <c r="AE25" i="66"/>
  <c r="AI25" i="66"/>
  <c r="AJ25" i="66" s="1"/>
  <c r="G67" i="66"/>
  <c r="G71" i="66"/>
  <c r="AL16" i="66"/>
  <c r="AO16" i="66" s="1"/>
  <c r="AR16" i="66" s="1"/>
  <c r="AI21" i="66"/>
  <c r="AJ21" i="66" s="1"/>
  <c r="BB12" i="27"/>
  <c r="AI15" i="66"/>
  <c r="AJ15" i="66" s="1"/>
  <c r="AE21" i="66"/>
  <c r="G61" i="66"/>
  <c r="G62" i="66"/>
  <c r="R24" i="57"/>
  <c r="Z24" i="57" s="1"/>
  <c r="S24" i="57"/>
  <c r="AA24" i="57" s="1"/>
  <c r="AP74" i="43"/>
  <c r="U24" i="57"/>
  <c r="AC24" i="57" s="1"/>
  <c r="AP53" i="43"/>
  <c r="AE15" i="66"/>
  <c r="G72" i="66"/>
  <c r="AZ12" i="27"/>
  <c r="X24" i="57"/>
  <c r="AF24" i="57" s="1"/>
  <c r="AL26" i="66"/>
  <c r="AO26" i="66" s="1"/>
  <c r="AR26" i="66" s="1"/>
  <c r="L13" i="39"/>
  <c r="M13" i="39" s="1"/>
  <c r="V24" i="57"/>
  <c r="AD24" i="57" s="1"/>
  <c r="H24" i="57"/>
  <c r="AE28" i="66"/>
  <c r="AO12" i="29"/>
  <c r="AR12" i="29" s="1"/>
  <c r="AU12" i="29" s="1"/>
  <c r="O22" i="59"/>
  <c r="W24" i="57"/>
  <c r="AE24" i="57" s="1"/>
  <c r="AP44" i="43"/>
  <c r="AI28" i="66"/>
  <c r="AJ28" i="66" s="1"/>
  <c r="H58" i="29"/>
  <c r="T24" i="57"/>
  <c r="AB24" i="57" s="1"/>
  <c r="AL28" i="66"/>
  <c r="AO28" i="66" s="1"/>
  <c r="AR28" i="66" s="1"/>
  <c r="AH12" i="29"/>
  <c r="H74" i="29"/>
  <c r="R13" i="39"/>
  <c r="AO28" i="29"/>
  <c r="AR28" i="29" s="1"/>
  <c r="AU28" i="29" s="1"/>
  <c r="AP68" i="43"/>
  <c r="AI16" i="66"/>
  <c r="AJ16" i="66" s="1"/>
  <c r="AI26" i="66"/>
  <c r="AJ26" i="66" s="1"/>
  <c r="AP62" i="43"/>
  <c r="AL22" i="66"/>
  <c r="AO22" i="66" s="1"/>
  <c r="AR22" i="66" s="1"/>
  <c r="G45" i="43"/>
  <c r="G47" i="43" s="1"/>
  <c r="AR10" i="43"/>
  <c r="AR53" i="43" s="1"/>
  <c r="G70" i="66"/>
  <c r="L24" i="39"/>
  <c r="M24" i="39" s="1"/>
  <c r="BC23" i="27"/>
  <c r="AE22" i="66"/>
  <c r="AI24" i="66"/>
  <c r="AJ24" i="66" s="1"/>
  <c r="AZ10" i="27"/>
  <c r="L11" i="39"/>
  <c r="M11" i="39" s="1"/>
  <c r="AE20" i="66"/>
  <c r="AL20" i="66"/>
  <c r="AO20" i="66" s="1"/>
  <c r="AR20" i="66" s="1"/>
  <c r="AL23" i="66"/>
  <c r="AO23" i="66" s="1"/>
  <c r="AR23" i="66" s="1"/>
  <c r="AI20" i="66"/>
  <c r="AJ20" i="66" s="1"/>
  <c r="AE23" i="66"/>
  <c r="AI23" i="66"/>
  <c r="AJ23" i="66" s="1"/>
  <c r="AW8" i="59"/>
  <c r="BD8" i="59" s="1"/>
  <c r="BM8" i="59" s="1"/>
  <c r="AO24" i="29"/>
  <c r="AR24" i="29" s="1"/>
  <c r="AU24" i="29" s="1"/>
  <c r="R25" i="39"/>
  <c r="H70" i="29"/>
  <c r="L25" i="39"/>
  <c r="M25" i="39" s="1"/>
  <c r="BC24" i="27"/>
  <c r="G54" i="43"/>
  <c r="G59" i="43" s="1"/>
  <c r="BG10" i="43"/>
  <c r="BC74" i="43"/>
  <c r="BC80" i="43"/>
  <c r="G52" i="43"/>
  <c r="G53" i="43" s="1"/>
  <c r="BC62" i="43"/>
  <c r="BC44" i="43"/>
  <c r="BC68" i="43"/>
  <c r="AL24" i="66"/>
  <c r="AO24" i="66" s="1"/>
  <c r="AR24" i="66" s="1"/>
  <c r="AH28" i="29"/>
  <c r="AX28" i="29" s="1"/>
  <c r="X7" i="57"/>
  <c r="AF7" i="57" s="1"/>
  <c r="L10" i="59"/>
  <c r="AG10" i="59" s="1"/>
  <c r="S7" i="57"/>
  <c r="AA7" i="57" s="1"/>
  <c r="H7" i="57"/>
  <c r="T7" i="57"/>
  <c r="AB7" i="57" s="1"/>
  <c r="Q7" i="57"/>
  <c r="AL7" i="57" s="1"/>
  <c r="V7" i="57"/>
  <c r="AD7" i="57" s="1"/>
  <c r="R7" i="57"/>
  <c r="Z7" i="57" s="1"/>
  <c r="AO23" i="29"/>
  <c r="AR23" i="29" s="1"/>
  <c r="AU23" i="29" s="1"/>
  <c r="AH23" i="29"/>
  <c r="AX23" i="29" s="1"/>
  <c r="H69" i="29"/>
  <c r="R24" i="39"/>
  <c r="L21" i="59"/>
  <c r="AG21" i="59" s="1"/>
  <c r="AW16" i="59"/>
  <c r="BD16" i="59" s="1"/>
  <c r="BC8" i="27"/>
  <c r="BB8" i="27"/>
  <c r="AZ8" i="27"/>
  <c r="AO10" i="29"/>
  <c r="AR10" i="29" s="1"/>
  <c r="AU10" i="29" s="1"/>
  <c r="R11" i="39"/>
  <c r="T12" i="39" s="1"/>
  <c r="U12" i="39" s="1"/>
  <c r="H56" i="29"/>
  <c r="AH10" i="29"/>
  <c r="S23" i="57"/>
  <c r="AA23" i="57" s="1"/>
  <c r="R9" i="39"/>
  <c r="AH9" i="39" s="1"/>
  <c r="AE8" i="66"/>
  <c r="AL8" i="66"/>
  <c r="AO8" i="66" s="1"/>
  <c r="AR8" i="66" s="1"/>
  <c r="L19" i="39"/>
  <c r="M19" i="39" s="1"/>
  <c r="AH55" i="66"/>
  <c r="AB55" i="66"/>
  <c r="BC18" i="27"/>
  <c r="G64" i="66"/>
  <c r="AL18" i="66"/>
  <c r="AO18" i="66" s="1"/>
  <c r="AR18" i="66" s="1"/>
  <c r="AE18" i="66"/>
  <c r="AI18" i="66"/>
  <c r="AJ18" i="66" s="1"/>
  <c r="T23" i="57"/>
  <c r="AB23" i="57" s="1"/>
  <c r="R23" i="57"/>
  <c r="Z23" i="57" s="1"/>
  <c r="Q16" i="57"/>
  <c r="AL16" i="57" s="1"/>
  <c r="Q23" i="57"/>
  <c r="AH23" i="57" s="1"/>
  <c r="W23" i="57"/>
  <c r="AE23" i="57" s="1"/>
  <c r="H64" i="29"/>
  <c r="AO44" i="43"/>
  <c r="R19" i="39"/>
  <c r="S19" i="39" s="1"/>
  <c r="AL18" i="29"/>
  <c r="AM18" i="29" s="1"/>
  <c r="AH18" i="29"/>
  <c r="AX18" i="29" s="1"/>
  <c r="BB18" i="29" s="1"/>
  <c r="AO8" i="29"/>
  <c r="AR8" i="29" s="1"/>
  <c r="AU8" i="29" s="1"/>
  <c r="BB44" i="43"/>
  <c r="AN74" i="43"/>
  <c r="AN80" i="43"/>
  <c r="BM10" i="59"/>
  <c r="BP10" i="59"/>
  <c r="AY80" i="43"/>
  <c r="AY74" i="43"/>
  <c r="BM9" i="59"/>
  <c r="BP9" i="59"/>
  <c r="BS9" i="59"/>
  <c r="AW74" i="43"/>
  <c r="AW80" i="43"/>
  <c r="K19" i="59"/>
  <c r="AF19" i="59" s="1"/>
  <c r="N19" i="59"/>
  <c r="BL10" i="59"/>
  <c r="BO10" i="59"/>
  <c r="K11" i="59"/>
  <c r="AF11" i="59" s="1"/>
  <c r="N11" i="59"/>
  <c r="P20" i="59"/>
  <c r="M20" i="59"/>
  <c r="AH20" i="59" s="1"/>
  <c r="M8" i="59"/>
  <c r="AH8" i="59" s="1"/>
  <c r="P8" i="59"/>
  <c r="AK8" i="59" s="1"/>
  <c r="P19" i="59"/>
  <c r="M19" i="59"/>
  <c r="AH19" i="59" s="1"/>
  <c r="BB79" i="43"/>
  <c r="BB73" i="43"/>
  <c r="BB52" i="43"/>
  <c r="BB43" i="43"/>
  <c r="BB61" i="43"/>
  <c r="BB67" i="43"/>
  <c r="M25" i="59"/>
  <c r="AH25" i="59" s="1"/>
  <c r="P25" i="59"/>
  <c r="AP73" i="43"/>
  <c r="AP79" i="43"/>
  <c r="AP67" i="43"/>
  <c r="AP61" i="43"/>
  <c r="AP52" i="43"/>
  <c r="AP43" i="43"/>
  <c r="K21" i="59"/>
  <c r="AF21" i="59" s="1"/>
  <c r="N21" i="59"/>
  <c r="AR73" i="43"/>
  <c r="AR79" i="43"/>
  <c r="AR67" i="43"/>
  <c r="AR61" i="43"/>
  <c r="AR52" i="43"/>
  <c r="AR43" i="43"/>
  <c r="P26" i="59"/>
  <c r="M26" i="59"/>
  <c r="AH26" i="59" s="1"/>
  <c r="AV6" i="59"/>
  <c r="P21" i="59"/>
  <c r="M21" i="59"/>
  <c r="AH21" i="59" s="1"/>
  <c r="M10" i="59"/>
  <c r="AH10" i="59" s="1"/>
  <c r="P10" i="59"/>
  <c r="BA74" i="43"/>
  <c r="BA80" i="43"/>
  <c r="AM25" i="59"/>
  <c r="AP25" i="59"/>
  <c r="AS25" i="59"/>
  <c r="AR81" i="43"/>
  <c r="AR75" i="43"/>
  <c r="AR54" i="43"/>
  <c r="AR45" i="43"/>
  <c r="AR69" i="43"/>
  <c r="AR63" i="43"/>
  <c r="BN11" i="59"/>
  <c r="BQ11" i="59"/>
  <c r="AV9" i="59"/>
  <c r="BC9" i="59" s="1"/>
  <c r="AW81" i="43"/>
  <c r="AW75" i="43"/>
  <c r="AW54" i="43"/>
  <c r="AW45" i="43"/>
  <c r="AW69" i="43"/>
  <c r="AW63" i="43"/>
  <c r="K13" i="59"/>
  <c r="AF13" i="59" s="1"/>
  <c r="N13" i="59"/>
  <c r="N14" i="59"/>
  <c r="K14" i="59"/>
  <c r="AF14" i="59" s="1"/>
  <c r="K26" i="59"/>
  <c r="AF26" i="59" s="1"/>
  <c r="N26" i="59"/>
  <c r="AN9" i="29"/>
  <c r="AQ9" i="29" s="1"/>
  <c r="AT9" i="29" s="1"/>
  <c r="AG9" i="29"/>
  <c r="AX7" i="59"/>
  <c r="BE7" i="59" s="1"/>
  <c r="AX6" i="59"/>
  <c r="P14" i="59"/>
  <c r="M14" i="59"/>
  <c r="AH14" i="59" s="1"/>
  <c r="BN10" i="59"/>
  <c r="BQ10" i="59"/>
  <c r="M23" i="59"/>
  <c r="AH23" i="59" s="1"/>
  <c r="P23" i="59"/>
  <c r="P18" i="59"/>
  <c r="M18" i="59"/>
  <c r="AH18" i="59" s="1"/>
  <c r="AZ80" i="43"/>
  <c r="AZ74" i="43"/>
  <c r="AM26" i="59"/>
  <c r="AP26" i="59"/>
  <c r="AS26" i="59"/>
  <c r="AU80" i="43"/>
  <c r="AU74" i="43"/>
  <c r="AS74" i="43"/>
  <c r="AS80" i="43"/>
  <c r="AT74" i="43"/>
  <c r="AT80" i="43"/>
  <c r="BF74" i="43"/>
  <c r="BF80" i="43"/>
  <c r="AO74" i="43"/>
  <c r="AO80" i="43"/>
  <c r="BB74" i="43"/>
  <c r="BB80" i="43"/>
  <c r="K17" i="59"/>
  <c r="AF17" i="59" s="1"/>
  <c r="N17" i="59"/>
  <c r="N24" i="59"/>
  <c r="K24" i="59"/>
  <c r="AF24" i="59" s="1"/>
  <c r="K23" i="59"/>
  <c r="AF23" i="59" s="1"/>
  <c r="N23" i="59"/>
  <c r="P11" i="59"/>
  <c r="M11" i="59"/>
  <c r="AH11" i="59" s="1"/>
  <c r="P13" i="59"/>
  <c r="M13" i="59"/>
  <c r="AH13" i="59" s="1"/>
  <c r="BN9" i="59"/>
  <c r="BT9" i="59"/>
  <c r="BQ9" i="59"/>
  <c r="AN81" i="43"/>
  <c r="AN75" i="43"/>
  <c r="AN69" i="43"/>
  <c r="AN54" i="43"/>
  <c r="AN45" i="43"/>
  <c r="AN63" i="43"/>
  <c r="AN10" i="29"/>
  <c r="AQ10" i="29" s="1"/>
  <c r="AT10" i="29" s="1"/>
  <c r="AG10" i="29"/>
  <c r="BG79" i="43"/>
  <c r="BG73" i="43"/>
  <c r="BG67" i="43"/>
  <c r="BG61" i="43"/>
  <c r="BG52" i="43"/>
  <c r="BG43" i="43"/>
  <c r="M16" i="59"/>
  <c r="AH16" i="59" s="1"/>
  <c r="P16" i="59"/>
  <c r="BN15" i="59"/>
  <c r="AV7" i="59"/>
  <c r="M17" i="59"/>
  <c r="AH17" i="59" s="1"/>
  <c r="P17" i="59"/>
  <c r="BB75" i="43"/>
  <c r="BB81" i="43"/>
  <c r="BB45" i="43"/>
  <c r="BB54" i="43"/>
  <c r="BB63" i="43"/>
  <c r="BB69" i="43"/>
  <c r="N16" i="59"/>
  <c r="K16" i="59"/>
  <c r="AF16" i="59" s="1"/>
  <c r="N25" i="59"/>
  <c r="K25" i="59"/>
  <c r="AF25" i="59" s="1"/>
  <c r="P12" i="59"/>
  <c r="M12" i="59"/>
  <c r="AH12" i="59" s="1"/>
  <c r="AO73" i="43"/>
  <c r="AO79" i="43"/>
  <c r="AO61" i="43"/>
  <c r="AO67" i="43"/>
  <c r="AO43" i="43"/>
  <c r="AO52" i="43"/>
  <c r="P22" i="59"/>
  <c r="M22" i="59"/>
  <c r="AH22" i="59" s="1"/>
  <c r="AW73" i="43"/>
  <c r="AW79" i="43"/>
  <c r="AW43" i="43"/>
  <c r="AW67" i="43"/>
  <c r="AW52" i="43"/>
  <c r="AW61" i="43"/>
  <c r="BE74" i="43"/>
  <c r="BE80" i="43"/>
  <c r="N10" i="59"/>
  <c r="K10" i="59"/>
  <c r="AF10" i="59" s="1"/>
  <c r="AN11" i="29"/>
  <c r="AQ11" i="29" s="1"/>
  <c r="AT11" i="29" s="1"/>
  <c r="AG11" i="29"/>
  <c r="K20" i="59"/>
  <c r="AF20" i="59" s="1"/>
  <c r="N20" i="59"/>
  <c r="M9" i="59"/>
  <c r="AH9" i="59" s="1"/>
  <c r="P9" i="59"/>
  <c r="AK9" i="59" s="1"/>
  <c r="P24" i="59"/>
  <c r="M24" i="59"/>
  <c r="AH24" i="59" s="1"/>
  <c r="AV8" i="59"/>
  <c r="BC8" i="59" s="1"/>
  <c r="BL11" i="59"/>
  <c r="BO11" i="59"/>
  <c r="M15" i="59"/>
  <c r="AH15" i="59" s="1"/>
  <c r="P15" i="59"/>
  <c r="K18" i="59"/>
  <c r="AF18" i="59" s="1"/>
  <c r="N18" i="59"/>
  <c r="BN8" i="59"/>
  <c r="BT8" i="59"/>
  <c r="BQ8" i="59"/>
  <c r="BG75" i="43"/>
  <c r="BG81" i="43"/>
  <c r="BG63" i="43"/>
  <c r="BG69" i="43"/>
  <c r="BG54" i="43"/>
  <c r="BG45" i="43"/>
  <c r="AN8" i="29"/>
  <c r="AQ8" i="29" s="1"/>
  <c r="AT8" i="29" s="1"/>
  <c r="AG8" i="29"/>
  <c r="AN73" i="43"/>
  <c r="AN79" i="43"/>
  <c r="AN61" i="43"/>
  <c r="AN43" i="43"/>
  <c r="AN52" i="43"/>
  <c r="AN67" i="43"/>
  <c r="N22" i="59"/>
  <c r="K22" i="59"/>
  <c r="AF22" i="59" s="1"/>
  <c r="AF51" i="59" s="1"/>
  <c r="N15" i="59"/>
  <c r="K15" i="59"/>
  <c r="AF15" i="59" s="1"/>
  <c r="K12" i="59"/>
  <c r="AF12" i="59" s="1"/>
  <c r="N12" i="59"/>
  <c r="AY62" i="43"/>
  <c r="AY68" i="43"/>
  <c r="AW62" i="43"/>
  <c r="AW68" i="43"/>
  <c r="AW53" i="43"/>
  <c r="BA62" i="43"/>
  <c r="BA68" i="43"/>
  <c r="AN68" i="43"/>
  <c r="AN62" i="43"/>
  <c r="AU62" i="43"/>
  <c r="AU68" i="43"/>
  <c r="AS62" i="43"/>
  <c r="AS68" i="43"/>
  <c r="AT68" i="43"/>
  <c r="AT62" i="43"/>
  <c r="BF62" i="43"/>
  <c r="BF68" i="43"/>
  <c r="AO68" i="43"/>
  <c r="AO62" i="43"/>
  <c r="BB68" i="43"/>
  <c r="BB62" i="43"/>
  <c r="AZ68" i="43"/>
  <c r="AZ62" i="43"/>
  <c r="BE62" i="43"/>
  <c r="BE68" i="43"/>
  <c r="BD11" i="59"/>
  <c r="AW6" i="59"/>
  <c r="X23" i="57"/>
  <c r="AF23" i="57" s="1"/>
  <c r="V23" i="57"/>
  <c r="AD23" i="57" s="1"/>
  <c r="AH12" i="39"/>
  <c r="U23" i="57"/>
  <c r="AC23" i="57" s="1"/>
  <c r="BF44" i="43"/>
  <c r="BF53" i="43"/>
  <c r="AG17" i="39"/>
  <c r="AH18" i="39"/>
  <c r="AG22" i="39"/>
  <c r="T16" i="57"/>
  <c r="AB16" i="57" s="1"/>
  <c r="V16" i="57"/>
  <c r="AD16" i="57" s="1"/>
  <c r="H16" i="57"/>
  <c r="X16" i="57"/>
  <c r="AF16" i="57" s="1"/>
  <c r="S16" i="57"/>
  <c r="AA16" i="57" s="1"/>
  <c r="U16" i="57"/>
  <c r="AC16" i="57" s="1"/>
  <c r="R16" i="57"/>
  <c r="Z16" i="57" s="1"/>
  <c r="AG10" i="39"/>
  <c r="AT53" i="43"/>
  <c r="AT44" i="43"/>
  <c r="AZ15" i="27"/>
  <c r="L16" i="39"/>
  <c r="BC15" i="27"/>
  <c r="Q11" i="57"/>
  <c r="R11" i="57"/>
  <c r="Z11" i="57" s="1"/>
  <c r="S11" i="57"/>
  <c r="AA11" i="57" s="1"/>
  <c r="U11" i="57"/>
  <c r="AC11" i="57" s="1"/>
  <c r="T11" i="57"/>
  <c r="AB11" i="57" s="1"/>
  <c r="H11" i="57"/>
  <c r="W11" i="57"/>
  <c r="AE11" i="57" s="1"/>
  <c r="V11" i="57"/>
  <c r="AD11" i="57" s="1"/>
  <c r="X11" i="57"/>
  <c r="AF11" i="57" s="1"/>
  <c r="AW13" i="59"/>
  <c r="BD13" i="59" s="1"/>
  <c r="H61" i="29"/>
  <c r="R16" i="39"/>
  <c r="S16" i="39" s="1"/>
  <c r="AO15" i="29"/>
  <c r="AR15" i="29" s="1"/>
  <c r="AU15" i="29" s="1"/>
  <c r="AH15" i="29"/>
  <c r="AX15" i="29" s="1"/>
  <c r="L21" i="39"/>
  <c r="M21" i="39" s="1"/>
  <c r="AZ20" i="27"/>
  <c r="BC20" i="27"/>
  <c r="AW18" i="59"/>
  <c r="BD18" i="59" s="1"/>
  <c r="H21" i="39"/>
  <c r="AG26" i="39"/>
  <c r="AO20" i="29"/>
  <c r="AR20" i="29" s="1"/>
  <c r="AU20" i="29" s="1"/>
  <c r="AH20" i="29"/>
  <c r="AX20" i="29" s="1"/>
  <c r="BB20" i="29" s="1"/>
  <c r="R21" i="39"/>
  <c r="H66" i="29"/>
  <c r="AY44" i="43"/>
  <c r="AY53" i="43"/>
  <c r="AH20" i="39"/>
  <c r="Q13" i="57"/>
  <c r="T13" i="57"/>
  <c r="AB13" i="57" s="1"/>
  <c r="V13" i="57"/>
  <c r="AD13" i="57" s="1"/>
  <c r="H13" i="57"/>
  <c r="R13" i="57"/>
  <c r="Z13" i="57" s="1"/>
  <c r="U13" i="57"/>
  <c r="AC13" i="57" s="1"/>
  <c r="S13" i="57"/>
  <c r="AA13" i="57" s="1"/>
  <c r="W13" i="57"/>
  <c r="AE13" i="57" s="1"/>
  <c r="X13" i="57"/>
  <c r="AF13" i="57" s="1"/>
  <c r="T8" i="57"/>
  <c r="AB8" i="57" s="1"/>
  <c r="X8" i="57"/>
  <c r="AF8" i="57" s="1"/>
  <c r="R8" i="57"/>
  <c r="Z8" i="57" s="1"/>
  <c r="H8" i="57"/>
  <c r="Q8" i="57"/>
  <c r="U8" i="57"/>
  <c r="AC8" i="57" s="1"/>
  <c r="V8" i="57"/>
  <c r="AD8" i="57" s="1"/>
  <c r="W8" i="57"/>
  <c r="AE8" i="57" s="1"/>
  <c r="S8" i="57"/>
  <c r="AA8" i="57" s="1"/>
  <c r="H20" i="57"/>
  <c r="Q20" i="57"/>
  <c r="V20" i="57"/>
  <c r="AD20" i="57" s="1"/>
  <c r="S20" i="57"/>
  <c r="AA20" i="57" s="1"/>
  <c r="T20" i="57"/>
  <c r="AB20" i="57" s="1"/>
  <c r="X20" i="57"/>
  <c r="AF20" i="57" s="1"/>
  <c r="W20" i="57"/>
  <c r="AE20" i="57" s="1"/>
  <c r="U20" i="57"/>
  <c r="AC20" i="57" s="1"/>
  <c r="R20" i="57"/>
  <c r="Z20" i="57" s="1"/>
  <c r="R9" i="57"/>
  <c r="Z9" i="57" s="1"/>
  <c r="S9" i="57"/>
  <c r="AA9" i="57" s="1"/>
  <c r="Q9" i="57"/>
  <c r="H9" i="57"/>
  <c r="W9" i="57"/>
  <c r="AE9" i="57" s="1"/>
  <c r="U9" i="57"/>
  <c r="AC9" i="57" s="1"/>
  <c r="T9" i="57"/>
  <c r="AB9" i="57" s="1"/>
  <c r="X9" i="57"/>
  <c r="AF9" i="57" s="1"/>
  <c r="V9" i="57"/>
  <c r="AD9" i="57" s="1"/>
  <c r="AN53" i="43"/>
  <c r="AN44" i="43"/>
  <c r="H22" i="39"/>
  <c r="H19" i="57"/>
  <c r="R19" i="57"/>
  <c r="Z19" i="57" s="1"/>
  <c r="V19" i="57"/>
  <c r="AD19" i="57" s="1"/>
  <c r="Q19" i="57"/>
  <c r="X19" i="57"/>
  <c r="AF19" i="57" s="1"/>
  <c r="W19" i="57"/>
  <c r="AE19" i="57" s="1"/>
  <c r="T19" i="57"/>
  <c r="AB19" i="57" s="1"/>
  <c r="S19" i="57"/>
  <c r="AA19" i="57" s="1"/>
  <c r="U19" i="57"/>
  <c r="AC19" i="57" s="1"/>
  <c r="H68" i="29"/>
  <c r="AH22" i="29"/>
  <c r="AX22" i="29" s="1"/>
  <c r="R23" i="39"/>
  <c r="AO22" i="29"/>
  <c r="AR22" i="29" s="1"/>
  <c r="AU22" i="29" s="1"/>
  <c r="H26" i="39"/>
  <c r="AJ26" i="59"/>
  <c r="BC14" i="27"/>
  <c r="L15" i="39"/>
  <c r="M15" i="39" s="1"/>
  <c r="AZ14" i="27"/>
  <c r="BB9" i="27"/>
  <c r="BC9" i="27"/>
  <c r="AZ9" i="27"/>
  <c r="L10" i="39"/>
  <c r="M10" i="39" s="1"/>
  <c r="S13" i="39"/>
  <c r="T13" i="39"/>
  <c r="U13" i="39" s="1"/>
  <c r="AZ16" i="27"/>
  <c r="BC16" i="27"/>
  <c r="L17" i="39"/>
  <c r="M17" i="39" s="1"/>
  <c r="AG23" i="39"/>
  <c r="BC25" i="27"/>
  <c r="L26" i="39"/>
  <c r="M26" i="39" s="1"/>
  <c r="AZ25" i="27"/>
  <c r="E22" i="57"/>
  <c r="G22" i="57" s="1"/>
  <c r="T14" i="39"/>
  <c r="U14" i="39" s="1"/>
  <c r="S14" i="39"/>
  <c r="BA53" i="43"/>
  <c r="BA44" i="43"/>
  <c r="AU44" i="43"/>
  <c r="AU53" i="43"/>
  <c r="AH14" i="39"/>
  <c r="O17" i="59"/>
  <c r="L17" i="59"/>
  <c r="AG17" i="59" s="1"/>
  <c r="AZ21" i="27"/>
  <c r="BC21" i="27"/>
  <c r="L22" i="39"/>
  <c r="M22" i="39" s="1"/>
  <c r="H6" i="57"/>
  <c r="X6" i="57"/>
  <c r="AF6" i="57" s="1"/>
  <c r="T6" i="57"/>
  <c r="AB6" i="57" s="1"/>
  <c r="Q6" i="57"/>
  <c r="W6" i="57"/>
  <c r="AE6" i="57" s="1"/>
  <c r="U6" i="57"/>
  <c r="AC6" i="57" s="1"/>
  <c r="S6" i="57"/>
  <c r="AA6" i="57" s="1"/>
  <c r="V6" i="57"/>
  <c r="AD6" i="57" s="1"/>
  <c r="R6" i="57"/>
  <c r="Z6" i="57" s="1"/>
  <c r="AH26" i="29"/>
  <c r="AX26" i="29" s="1"/>
  <c r="BB27" i="29" s="1"/>
  <c r="AO26" i="29"/>
  <c r="AR26" i="29" s="1"/>
  <c r="AU26" i="29" s="1"/>
  <c r="H72" i="29"/>
  <c r="O15" i="59"/>
  <c r="L15" i="59"/>
  <c r="AG15" i="59" s="1"/>
  <c r="E5" i="57"/>
  <c r="G5" i="57" s="1"/>
  <c r="AG55" i="59"/>
  <c r="BG26" i="59"/>
  <c r="AH14" i="29"/>
  <c r="AX14" i="29" s="1"/>
  <c r="BB14" i="29" s="1"/>
  <c r="H60" i="29"/>
  <c r="AO14" i="29"/>
  <c r="AR14" i="29" s="1"/>
  <c r="AU14" i="29" s="1"/>
  <c r="R15" i="39"/>
  <c r="O11" i="59"/>
  <c r="L11" i="59"/>
  <c r="AG11" i="59" s="1"/>
  <c r="AO9" i="29"/>
  <c r="AR9" i="29" s="1"/>
  <c r="AU9" i="29" s="1"/>
  <c r="AH9" i="29"/>
  <c r="R10" i="39"/>
  <c r="H55" i="29"/>
  <c r="AD55" i="29" s="1"/>
  <c r="AW14" i="59"/>
  <c r="BD14" i="59" s="1"/>
  <c r="AH25" i="29"/>
  <c r="AX25" i="29" s="1"/>
  <c r="BB25" i="29" s="1"/>
  <c r="H71" i="29"/>
  <c r="AO25" i="29"/>
  <c r="AR25" i="29" s="1"/>
  <c r="AU25" i="29" s="1"/>
  <c r="R26" i="39"/>
  <c r="BE53" i="43"/>
  <c r="BE44" i="43"/>
  <c r="T19" i="39"/>
  <c r="U19" i="39" s="1"/>
  <c r="AH21" i="29"/>
  <c r="AX21" i="29" s="1"/>
  <c r="AO21" i="29"/>
  <c r="AR21" i="29" s="1"/>
  <c r="AU21" i="29" s="1"/>
  <c r="R22" i="39"/>
  <c r="H67" i="29"/>
  <c r="AG54" i="59"/>
  <c r="BG25" i="59"/>
  <c r="BJ9" i="59"/>
  <c r="AJ38" i="59"/>
  <c r="S20" i="39"/>
  <c r="BC26" i="27"/>
  <c r="AZ26" i="27"/>
  <c r="AS53" i="43"/>
  <c r="AS44" i="43"/>
  <c r="H15" i="39"/>
  <c r="U15" i="57"/>
  <c r="AC15" i="57" s="1"/>
  <c r="W15" i="57"/>
  <c r="AE15" i="57" s="1"/>
  <c r="H15" i="57"/>
  <c r="R15" i="57"/>
  <c r="Z15" i="57" s="1"/>
  <c r="Q15" i="57"/>
  <c r="X15" i="57"/>
  <c r="AF15" i="57" s="1"/>
  <c r="V15" i="57"/>
  <c r="AD15" i="57" s="1"/>
  <c r="T15" i="57"/>
  <c r="AB15" i="57" s="1"/>
  <c r="S15" i="57"/>
  <c r="AA15" i="57" s="1"/>
  <c r="BD10" i="43"/>
  <c r="A26" i="43"/>
  <c r="AW12" i="59"/>
  <c r="BD12" i="59" s="1"/>
  <c r="S18" i="39"/>
  <c r="AW7" i="59"/>
  <c r="BD7" i="59" s="1"/>
  <c r="AH16" i="29"/>
  <c r="AX16" i="29" s="1"/>
  <c r="BB16" i="29" s="1"/>
  <c r="H62" i="29"/>
  <c r="AO16" i="29"/>
  <c r="AR16" i="29" s="1"/>
  <c r="AU16" i="29" s="1"/>
  <c r="R17" i="39"/>
  <c r="T18" i="39" s="1"/>
  <c r="U18" i="39" s="1"/>
  <c r="AW23" i="59"/>
  <c r="BD23" i="59" s="1"/>
  <c r="Q14" i="57"/>
  <c r="R14" i="57"/>
  <c r="Z14" i="57" s="1"/>
  <c r="V14" i="57"/>
  <c r="AD14" i="57" s="1"/>
  <c r="X14" i="57"/>
  <c r="AF14" i="57" s="1"/>
  <c r="H14" i="57"/>
  <c r="U14" i="57"/>
  <c r="AC14" i="57" s="1"/>
  <c r="S14" i="57"/>
  <c r="AA14" i="57" s="1"/>
  <c r="W14" i="57"/>
  <c r="AE14" i="57" s="1"/>
  <c r="T14" i="57"/>
  <c r="AB14" i="57" s="1"/>
  <c r="H17" i="39"/>
  <c r="S25" i="39"/>
  <c r="AW19" i="59"/>
  <c r="BD19" i="59" s="1"/>
  <c r="AJ25" i="59"/>
  <c r="AG38" i="59"/>
  <c r="BG9" i="59"/>
  <c r="E10" i="57"/>
  <c r="G10" i="57" s="1"/>
  <c r="E17" i="57"/>
  <c r="G17" i="57" s="1"/>
  <c r="BC22" i="27"/>
  <c r="AZ22" i="27"/>
  <c r="L23" i="39"/>
  <c r="M23" i="39" s="1"/>
  <c r="L16" i="59"/>
  <c r="AG16" i="59" s="1"/>
  <c r="O16" i="59"/>
  <c r="H10" i="39"/>
  <c r="AZ53" i="43"/>
  <c r="AZ44" i="43"/>
  <c r="AW20" i="59"/>
  <c r="BD20" i="59" s="1"/>
  <c r="E21" i="57"/>
  <c r="G21" i="57" s="1"/>
  <c r="Y7" i="57"/>
  <c r="AJ7" i="57"/>
  <c r="AH7" i="57"/>
  <c r="E18" i="57"/>
  <c r="G18" i="57" s="1"/>
  <c r="H23" i="39"/>
  <c r="E12" i="57"/>
  <c r="G12" i="57" s="1"/>
  <c r="AG15" i="39"/>
  <c r="L8" i="59"/>
  <c r="AG8" i="59" s="1"/>
  <c r="O8" i="59"/>
  <c r="AJ8" i="59" s="1"/>
  <c r="AW24" i="59"/>
  <c r="BD24" i="59" s="1"/>
  <c r="AJ24" i="57"/>
  <c r="AI24" i="57"/>
  <c r="AK24" i="57"/>
  <c r="AH24" i="57"/>
  <c r="AL24" i="57"/>
  <c r="Y24" i="57"/>
  <c r="BB22" i="29" l="1"/>
  <c r="BB28" i="29"/>
  <c r="BB29" i="29"/>
  <c r="BB24" i="29"/>
  <c r="BB23" i="29"/>
  <c r="BB17" i="29"/>
  <c r="BB15" i="29"/>
  <c r="BB19" i="29"/>
  <c r="BB21" i="29"/>
  <c r="BB26" i="29"/>
  <c r="AI7" i="57"/>
  <c r="AK7" i="57"/>
  <c r="AR62" i="43"/>
  <c r="AR68" i="43"/>
  <c r="AR44" i="43"/>
  <c r="AR74" i="43"/>
  <c r="BP8" i="59"/>
  <c r="AH13" i="39"/>
  <c r="AR80" i="43"/>
  <c r="BS8" i="59"/>
  <c r="AH24" i="39"/>
  <c r="L22" i="59"/>
  <c r="AG22" i="59" s="1"/>
  <c r="AG51" i="59" s="1"/>
  <c r="AG24" i="57"/>
  <c r="AG7" i="57"/>
  <c r="O21" i="59"/>
  <c r="AJ21" i="59" s="1"/>
  <c r="T20" i="39"/>
  <c r="U20" i="39" s="1"/>
  <c r="AH25" i="39"/>
  <c r="AH19" i="39"/>
  <c r="O10" i="59"/>
  <c r="AS10" i="59" s="1"/>
  <c r="BG44" i="43"/>
  <c r="BG74" i="43"/>
  <c r="BG68" i="43"/>
  <c r="BG80" i="43"/>
  <c r="BG62" i="43"/>
  <c r="BG53" i="43"/>
  <c r="S24" i="39"/>
  <c r="T25" i="39"/>
  <c r="U25" i="39" s="1"/>
  <c r="T24" i="39"/>
  <c r="U24" i="39" s="1"/>
  <c r="T11" i="39"/>
  <c r="U11" i="39" s="1"/>
  <c r="S11" i="39"/>
  <c r="AH11" i="39"/>
  <c r="T9" i="39"/>
  <c r="U9" i="39" s="1"/>
  <c r="V9" i="39" s="1"/>
  <c r="S9" i="39"/>
  <c r="AH16" i="57"/>
  <c r="AJ16" i="57"/>
  <c r="AK16" i="57"/>
  <c r="Y16" i="57"/>
  <c r="AI16" i="57"/>
  <c r="AL23" i="57"/>
  <c r="Y23" i="57"/>
  <c r="AI23" i="57"/>
  <c r="AK23" i="57"/>
  <c r="AJ23" i="57"/>
  <c r="AQ51" i="66"/>
  <c r="AC56" i="66"/>
  <c r="AR51" i="66"/>
  <c r="AP15" i="59"/>
  <c r="AS15" i="59"/>
  <c r="BM11" i="59"/>
  <c r="BP11" i="59"/>
  <c r="AR12" i="59"/>
  <c r="AO12" i="59"/>
  <c r="AI12" i="59"/>
  <c r="AH44" i="59"/>
  <c r="BH15" i="59"/>
  <c r="N8" i="59"/>
  <c r="AI8" i="59" s="1"/>
  <c r="K8" i="59"/>
  <c r="AF8" i="59" s="1"/>
  <c r="AH38" i="59"/>
  <c r="BH9" i="59"/>
  <c r="AH51" i="59"/>
  <c r="BH22" i="59"/>
  <c r="AH41" i="59"/>
  <c r="BH12" i="59"/>
  <c r="AF45" i="59"/>
  <c r="BF16" i="59"/>
  <c r="AQ17" i="59"/>
  <c r="AT17" i="59"/>
  <c r="AN17" i="59"/>
  <c r="AK17" i="59"/>
  <c r="AH45" i="59"/>
  <c r="BH16" i="59"/>
  <c r="AH42" i="59"/>
  <c r="BH13" i="59"/>
  <c r="AO23" i="59"/>
  <c r="AR23" i="59"/>
  <c r="AL23" i="59"/>
  <c r="AI23" i="59"/>
  <c r="AL17" i="59"/>
  <c r="AO17" i="59"/>
  <c r="AR17" i="59"/>
  <c r="AI17" i="59"/>
  <c r="BS26" i="59"/>
  <c r="AS55" i="59"/>
  <c r="AH52" i="59"/>
  <c r="BH23" i="59"/>
  <c r="AQ14" i="59"/>
  <c r="AT14" i="59"/>
  <c r="AK14" i="59"/>
  <c r="BN7" i="59"/>
  <c r="BQ7" i="59"/>
  <c r="BT7" i="59"/>
  <c r="AF55" i="59"/>
  <c r="BF26" i="59"/>
  <c r="AF42" i="59"/>
  <c r="BF13" i="59"/>
  <c r="K9" i="59"/>
  <c r="AF9" i="59" s="1"/>
  <c r="N9" i="59"/>
  <c r="AI9" i="59" s="1"/>
  <c r="BP25" i="59"/>
  <c r="AP54" i="59"/>
  <c r="AH50" i="59"/>
  <c r="BH21" i="59"/>
  <c r="AH55" i="59"/>
  <c r="BH26" i="59"/>
  <c r="AO21" i="59"/>
  <c r="AR21" i="59"/>
  <c r="AL21" i="59"/>
  <c r="AI21" i="59"/>
  <c r="AQ25" i="59"/>
  <c r="AT25" i="59"/>
  <c r="AK25" i="59"/>
  <c r="AN25" i="59"/>
  <c r="AH48" i="59"/>
  <c r="BH19" i="59"/>
  <c r="AH49" i="59"/>
  <c r="BH20" i="59"/>
  <c r="AF48" i="59"/>
  <c r="BF19" i="59"/>
  <c r="AM16" i="59"/>
  <c r="AP16" i="59"/>
  <c r="AS16" i="59"/>
  <c r="BD80" i="43"/>
  <c r="BD74" i="43"/>
  <c r="AM17" i="59"/>
  <c r="AP17" i="59"/>
  <c r="AS17" i="59"/>
  <c r="AF41" i="59"/>
  <c r="BF12" i="59"/>
  <c r="AL22" i="59"/>
  <c r="AO22" i="59"/>
  <c r="AR22" i="59"/>
  <c r="AI22" i="59"/>
  <c r="AL18" i="59"/>
  <c r="AO18" i="59"/>
  <c r="AR18" i="59"/>
  <c r="AI18" i="59"/>
  <c r="AH53" i="59"/>
  <c r="BH24" i="59"/>
  <c r="AO20" i="59"/>
  <c r="AR20" i="59"/>
  <c r="AI20" i="59"/>
  <c r="AL20" i="59"/>
  <c r="AF33" i="59"/>
  <c r="BF10" i="59"/>
  <c r="AF39" i="59"/>
  <c r="BF22" i="59"/>
  <c r="AN22" i="59"/>
  <c r="AQ22" i="59"/>
  <c r="AT22" i="59"/>
  <c r="AK22" i="59"/>
  <c r="AQ12" i="59"/>
  <c r="AT12" i="59"/>
  <c r="AK12" i="59"/>
  <c r="AO16" i="59"/>
  <c r="AR16" i="59"/>
  <c r="AL16" i="59"/>
  <c r="AI16" i="59"/>
  <c r="AH46" i="59"/>
  <c r="BH17" i="59"/>
  <c r="AK13" i="59"/>
  <c r="AQ13" i="59"/>
  <c r="AT13" i="59"/>
  <c r="AF52" i="59"/>
  <c r="BF23" i="59"/>
  <c r="AF46" i="59"/>
  <c r="BF17" i="59"/>
  <c r="BP26" i="59"/>
  <c r="AP55" i="59"/>
  <c r="AH47" i="59"/>
  <c r="BH18" i="59"/>
  <c r="P7" i="59"/>
  <c r="AK7" i="59" s="1"/>
  <c r="M7" i="59"/>
  <c r="AH7" i="59" s="1"/>
  <c r="AT51" i="29"/>
  <c r="AF43" i="59"/>
  <c r="BF14" i="59"/>
  <c r="AN21" i="59"/>
  <c r="AQ21" i="59"/>
  <c r="AT21" i="59"/>
  <c r="AK21" i="59"/>
  <c r="AN26" i="59"/>
  <c r="AQ26" i="59"/>
  <c r="AT26" i="59"/>
  <c r="AK26" i="59"/>
  <c r="AF50" i="59"/>
  <c r="BF21" i="59"/>
  <c r="AH54" i="59"/>
  <c r="BH25" i="59"/>
  <c r="AN19" i="59"/>
  <c r="AQ19" i="59"/>
  <c r="AT19" i="59"/>
  <c r="AK19" i="59"/>
  <c r="AN20" i="59"/>
  <c r="AQ20" i="59"/>
  <c r="AT20" i="59"/>
  <c r="AK20" i="59"/>
  <c r="AF44" i="59"/>
  <c r="BF15" i="59"/>
  <c r="AF47" i="59"/>
  <c r="BF18" i="59"/>
  <c r="AN24" i="59"/>
  <c r="AQ24" i="59"/>
  <c r="AT24" i="59"/>
  <c r="AK24" i="59"/>
  <c r="AF49" i="59"/>
  <c r="BF20" i="59"/>
  <c r="AR10" i="59"/>
  <c r="AI10" i="59"/>
  <c r="AF54" i="59"/>
  <c r="BF25" i="59"/>
  <c r="K7" i="59"/>
  <c r="AF7" i="59" s="1"/>
  <c r="N7" i="59"/>
  <c r="AI7" i="59" s="1"/>
  <c r="AH40" i="59"/>
  <c r="BH11" i="59"/>
  <c r="AF53" i="59"/>
  <c r="BF24" i="59"/>
  <c r="AN18" i="59"/>
  <c r="AQ18" i="59"/>
  <c r="AT18" i="59"/>
  <c r="AK18" i="59"/>
  <c r="AO14" i="59"/>
  <c r="AR14" i="59"/>
  <c r="AI14" i="59"/>
  <c r="AK10" i="59"/>
  <c r="AT10" i="59"/>
  <c r="BK8" i="59"/>
  <c r="AK37" i="59"/>
  <c r="AI11" i="59"/>
  <c r="AR11" i="59"/>
  <c r="AM22" i="59"/>
  <c r="AP22" i="59"/>
  <c r="AS22" i="59"/>
  <c r="BM7" i="59"/>
  <c r="BP7" i="59"/>
  <c r="BS7" i="59"/>
  <c r="AJ11" i="59"/>
  <c r="BJ11" i="59" s="1"/>
  <c r="AS11" i="59"/>
  <c r="AO15" i="59"/>
  <c r="AR15" i="59"/>
  <c r="AI15" i="59"/>
  <c r="AQ15" i="59"/>
  <c r="AT15" i="59"/>
  <c r="AK15" i="59"/>
  <c r="BL8" i="59"/>
  <c r="BR8" i="59"/>
  <c r="BO8" i="59"/>
  <c r="AK38" i="59"/>
  <c r="BK9" i="59"/>
  <c r="AL25" i="59"/>
  <c r="AO25" i="59"/>
  <c r="AR25" i="59"/>
  <c r="AI25" i="59"/>
  <c r="BC7" i="59"/>
  <c r="BL7" i="59" s="1"/>
  <c r="AN16" i="59"/>
  <c r="AQ16" i="59"/>
  <c r="AT16" i="59"/>
  <c r="AK16" i="59"/>
  <c r="AK11" i="59"/>
  <c r="AT11" i="59"/>
  <c r="AL24" i="59"/>
  <c r="AO24" i="59"/>
  <c r="AR24" i="59"/>
  <c r="AI24" i="59"/>
  <c r="AQ23" i="59"/>
  <c r="AT23" i="59"/>
  <c r="AK23" i="59"/>
  <c r="AN23" i="59"/>
  <c r="AH43" i="59"/>
  <c r="BH14" i="59"/>
  <c r="AO26" i="59"/>
  <c r="AR26" i="59"/>
  <c r="AL26" i="59"/>
  <c r="AI26" i="59"/>
  <c r="AO13" i="59"/>
  <c r="AR13" i="59"/>
  <c r="AI13" i="59"/>
  <c r="BL9" i="59"/>
  <c r="BR9" i="59"/>
  <c r="BO9" i="59"/>
  <c r="AS54" i="59"/>
  <c r="BS25" i="59"/>
  <c r="AH33" i="59"/>
  <c r="BH10" i="59"/>
  <c r="AH39" i="59"/>
  <c r="AH37" i="59"/>
  <c r="BH8" i="59"/>
  <c r="AF40" i="59"/>
  <c r="BF11" i="59"/>
  <c r="AO19" i="59"/>
  <c r="AR19" i="59"/>
  <c r="AI19" i="59"/>
  <c r="AL19" i="59"/>
  <c r="BD62" i="43"/>
  <c r="BD68" i="43"/>
  <c r="AG23" i="57"/>
  <c r="AH10" i="39"/>
  <c r="AG16" i="57"/>
  <c r="AH15" i="39"/>
  <c r="AH17" i="39"/>
  <c r="AH23" i="39"/>
  <c r="AH16" i="39"/>
  <c r="M16" i="39"/>
  <c r="O13" i="59"/>
  <c r="L13" i="59"/>
  <c r="AG13" i="59" s="1"/>
  <c r="AL11" i="57"/>
  <c r="AG11" i="57"/>
  <c r="AI11" i="57"/>
  <c r="AK11" i="57"/>
  <c r="AH11" i="57"/>
  <c r="AJ11" i="57"/>
  <c r="Y11" i="57"/>
  <c r="T21" i="39"/>
  <c r="U21" i="39" s="1"/>
  <c r="S21" i="39"/>
  <c r="AH21" i="39"/>
  <c r="O18" i="59"/>
  <c r="L18" i="59"/>
  <c r="AG18" i="59" s="1"/>
  <c r="Q18" i="57"/>
  <c r="H18" i="57"/>
  <c r="U18" i="57"/>
  <c r="AC18" i="57" s="1"/>
  <c r="S18" i="57"/>
  <c r="AA18" i="57" s="1"/>
  <c r="R18" i="57"/>
  <c r="Z18" i="57" s="1"/>
  <c r="V18" i="57"/>
  <c r="AD18" i="57" s="1"/>
  <c r="W18" i="57"/>
  <c r="AE18" i="57" s="1"/>
  <c r="T18" i="57"/>
  <c r="AB18" i="57" s="1"/>
  <c r="X18" i="57"/>
  <c r="AF18" i="57" s="1"/>
  <c r="W22" i="57"/>
  <c r="AE22" i="57" s="1"/>
  <c r="T22" i="57"/>
  <c r="AB22" i="57" s="1"/>
  <c r="U22" i="57"/>
  <c r="AC22" i="57" s="1"/>
  <c r="H22" i="57"/>
  <c r="Q22" i="57"/>
  <c r="X22" i="57"/>
  <c r="AF22" i="57" s="1"/>
  <c r="V22" i="57"/>
  <c r="AD22" i="57" s="1"/>
  <c r="R22" i="57"/>
  <c r="Z22" i="57" s="1"/>
  <c r="S22" i="57"/>
  <c r="AA22" i="57" s="1"/>
  <c r="BJ8" i="59"/>
  <c r="AJ37" i="59"/>
  <c r="AJ16" i="59"/>
  <c r="BM25" i="59"/>
  <c r="AM54" i="59"/>
  <c r="S17" i="39"/>
  <c r="T17" i="39"/>
  <c r="U17" i="39" s="1"/>
  <c r="S22" i="39"/>
  <c r="T22" i="39"/>
  <c r="U22" i="39" s="1"/>
  <c r="AG50" i="59"/>
  <c r="BG21" i="59"/>
  <c r="T26" i="39"/>
  <c r="U26" i="39" s="1"/>
  <c r="S26" i="39"/>
  <c r="AG40" i="59"/>
  <c r="BG11" i="59"/>
  <c r="U5" i="57"/>
  <c r="AC5" i="57" s="1"/>
  <c r="H5" i="57"/>
  <c r="T5" i="57"/>
  <c r="AB5" i="57" s="1"/>
  <c r="X5" i="57"/>
  <c r="AF5" i="57" s="1"/>
  <c r="R5" i="57"/>
  <c r="Z5" i="57" s="1"/>
  <c r="W5" i="57"/>
  <c r="AE5" i="57" s="1"/>
  <c r="S5" i="57"/>
  <c r="AA5" i="57" s="1"/>
  <c r="Q5" i="57"/>
  <c r="V5" i="57"/>
  <c r="AD5" i="57" s="1"/>
  <c r="AG6" i="57"/>
  <c r="Y6" i="57"/>
  <c r="AJ6" i="57"/>
  <c r="AH6" i="57"/>
  <c r="AI6" i="57"/>
  <c r="AK6" i="57"/>
  <c r="AL6" i="57"/>
  <c r="AJ17" i="59"/>
  <c r="AJ55" i="59"/>
  <c r="BJ26" i="59"/>
  <c r="T23" i="39"/>
  <c r="U23" i="39" s="1"/>
  <c r="S23" i="39"/>
  <c r="AH19" i="57"/>
  <c r="AL19" i="57"/>
  <c r="AJ19" i="57"/>
  <c r="AI19" i="57"/>
  <c r="AG19" i="57"/>
  <c r="Y19" i="57"/>
  <c r="AK19" i="57"/>
  <c r="AH22" i="39"/>
  <c r="AG20" i="57"/>
  <c r="Y20" i="57"/>
  <c r="AI20" i="57"/>
  <c r="AL20" i="57"/>
  <c r="AK20" i="57"/>
  <c r="AH20" i="57"/>
  <c r="AJ20" i="57"/>
  <c r="L19" i="59"/>
  <c r="AG19" i="59" s="1"/>
  <c r="O19" i="59"/>
  <c r="AK14" i="57"/>
  <c r="Y14" i="57"/>
  <c r="AG14" i="57"/>
  <c r="AI14" i="57"/>
  <c r="AJ14" i="57"/>
  <c r="AL14" i="57"/>
  <c r="AH14" i="57"/>
  <c r="BD53" i="43"/>
  <c r="BD44" i="43"/>
  <c r="L14" i="59"/>
  <c r="AG14" i="59" s="1"/>
  <c r="O14" i="59"/>
  <c r="AU51" i="29"/>
  <c r="AH26" i="39"/>
  <c r="H21" i="57"/>
  <c r="V21" i="57"/>
  <c r="AD21" i="57" s="1"/>
  <c r="Q21" i="57"/>
  <c r="S21" i="57"/>
  <c r="AA21" i="57" s="1"/>
  <c r="U21" i="57"/>
  <c r="AC21" i="57" s="1"/>
  <c r="X21" i="57"/>
  <c r="AF21" i="57" s="1"/>
  <c r="R21" i="57"/>
  <c r="Z21" i="57" s="1"/>
  <c r="T21" i="57"/>
  <c r="AB21" i="57" s="1"/>
  <c r="W21" i="57"/>
  <c r="AE21" i="57" s="1"/>
  <c r="BG8" i="59"/>
  <c r="AG37" i="59"/>
  <c r="AG45" i="59"/>
  <c r="BG16" i="59"/>
  <c r="U17" i="57"/>
  <c r="AC17" i="57" s="1"/>
  <c r="R17" i="57"/>
  <c r="Z17" i="57" s="1"/>
  <c r="Q17" i="57"/>
  <c r="H17" i="57"/>
  <c r="W17" i="57"/>
  <c r="AE17" i="57" s="1"/>
  <c r="S17" i="57"/>
  <c r="AA17" i="57" s="1"/>
  <c r="V17" i="57"/>
  <c r="AD17" i="57" s="1"/>
  <c r="T17" i="57"/>
  <c r="AB17" i="57" s="1"/>
  <c r="X17" i="57"/>
  <c r="AF17" i="57" s="1"/>
  <c r="Q10" i="57"/>
  <c r="W10" i="57"/>
  <c r="AE10" i="57" s="1"/>
  <c r="U10" i="57"/>
  <c r="AC10" i="57" s="1"/>
  <c r="H10" i="57"/>
  <c r="S10" i="57"/>
  <c r="AA10" i="57" s="1"/>
  <c r="X10" i="57"/>
  <c r="AF10" i="57" s="1"/>
  <c r="T10" i="57"/>
  <c r="AB10" i="57" s="1"/>
  <c r="R10" i="57"/>
  <c r="Z10" i="57" s="1"/>
  <c r="V10" i="57"/>
  <c r="AD10" i="57" s="1"/>
  <c r="AG39" i="59"/>
  <c r="BG10" i="59"/>
  <c r="AK15" i="57"/>
  <c r="AJ15" i="57"/>
  <c r="AL15" i="57"/>
  <c r="Y15" i="57"/>
  <c r="AH15" i="57"/>
  <c r="AG15" i="57"/>
  <c r="AI15" i="57"/>
  <c r="AE55" i="29"/>
  <c r="AF56" i="29" s="1"/>
  <c r="AD56" i="29" s="1"/>
  <c r="AK56" i="29" s="1"/>
  <c r="AK55" i="29"/>
  <c r="S15" i="39"/>
  <c r="T15" i="39"/>
  <c r="U15" i="39" s="1"/>
  <c r="T16" i="39"/>
  <c r="U16" i="39" s="1"/>
  <c r="AG44" i="59"/>
  <c r="BG15" i="59"/>
  <c r="AJ9" i="57"/>
  <c r="AG9" i="57"/>
  <c r="AK9" i="57"/>
  <c r="AH9" i="57"/>
  <c r="AL9" i="57"/>
  <c r="AI9" i="57"/>
  <c r="Y9" i="57"/>
  <c r="AK8" i="57"/>
  <c r="AH8" i="57"/>
  <c r="Y8" i="57"/>
  <c r="AL8" i="57"/>
  <c r="AI8" i="57"/>
  <c r="AJ8" i="57"/>
  <c r="AG8" i="57"/>
  <c r="H12" i="57"/>
  <c r="S12" i="57"/>
  <c r="AA12" i="57" s="1"/>
  <c r="Q12" i="57"/>
  <c r="U12" i="57"/>
  <c r="AC12" i="57" s="1"/>
  <c r="R12" i="57"/>
  <c r="Z12" i="57" s="1"/>
  <c r="W12" i="57"/>
  <c r="AE12" i="57" s="1"/>
  <c r="X12" i="57"/>
  <c r="AF12" i="57" s="1"/>
  <c r="V12" i="57"/>
  <c r="AD12" i="57" s="1"/>
  <c r="T12" i="57"/>
  <c r="AB12" i="57" s="1"/>
  <c r="O24" i="59"/>
  <c r="L24" i="59"/>
  <c r="AG24" i="59" s="1"/>
  <c r="AJ22" i="59"/>
  <c r="O20" i="59"/>
  <c r="L20" i="59"/>
  <c r="AG20" i="59" s="1"/>
  <c r="AJ54" i="59"/>
  <c r="BJ25" i="59"/>
  <c r="L23" i="59"/>
  <c r="AG23" i="59" s="1"/>
  <c r="O23" i="59"/>
  <c r="L7" i="59"/>
  <c r="AG7" i="59" s="1"/>
  <c r="O7" i="59"/>
  <c r="AJ7" i="59" s="1"/>
  <c r="O12" i="59"/>
  <c r="L12" i="59"/>
  <c r="AG12" i="59" s="1"/>
  <c r="S10" i="39"/>
  <c r="T10" i="39"/>
  <c r="U10" i="39" s="1"/>
  <c r="AJ15" i="59"/>
  <c r="AG46" i="59"/>
  <c r="BG17" i="59"/>
  <c r="AM55" i="59"/>
  <c r="BM26" i="59"/>
  <c r="AG13" i="57"/>
  <c r="AK13" i="57"/>
  <c r="AL13" i="57"/>
  <c r="AI13" i="57"/>
  <c r="AH13" i="57"/>
  <c r="AJ13" i="57"/>
  <c r="Y13" i="57"/>
  <c r="AS21" i="59" l="1"/>
  <c r="BG22" i="59"/>
  <c r="AP21" i="59"/>
  <c r="AM21" i="59"/>
  <c r="AJ40" i="59"/>
  <c r="AJ10" i="59"/>
  <c r="BJ10" i="59" s="1"/>
  <c r="AA56" i="66"/>
  <c r="AH56" i="66" s="1"/>
  <c r="AD57" i="66"/>
  <c r="AC57" i="66" s="1"/>
  <c r="AA57" i="66" s="1"/>
  <c r="AG33" i="59"/>
  <c r="AL48" i="59"/>
  <c r="BL19" i="59"/>
  <c r="AI42" i="59"/>
  <c r="BI13" i="59"/>
  <c r="AL55" i="59"/>
  <c r="BL26" i="59"/>
  <c r="BQ23" i="59"/>
  <c r="AQ52" i="59"/>
  <c r="AL53" i="59"/>
  <c r="BL24" i="59"/>
  <c r="AT45" i="59"/>
  <c r="BT16" i="59"/>
  <c r="AL54" i="59"/>
  <c r="BL25" i="59"/>
  <c r="BQ15" i="59"/>
  <c r="AQ44" i="59"/>
  <c r="AS40" i="59"/>
  <c r="BS11" i="59"/>
  <c r="BR11" i="59"/>
  <c r="AR40" i="59"/>
  <c r="AT33" i="59"/>
  <c r="BT10" i="59"/>
  <c r="AT39" i="59"/>
  <c r="BO14" i="59"/>
  <c r="AO43" i="59"/>
  <c r="AN47" i="59"/>
  <c r="BN18" i="59"/>
  <c r="BQ24" i="59"/>
  <c r="AQ53" i="59"/>
  <c r="BQ20" i="59"/>
  <c r="AQ49" i="59"/>
  <c r="BQ19" i="59"/>
  <c r="AQ48" i="59"/>
  <c r="BQ26" i="59"/>
  <c r="AQ55" i="59"/>
  <c r="BQ21" i="59"/>
  <c r="AQ50" i="59"/>
  <c r="BQ13" i="59"/>
  <c r="AQ42" i="59"/>
  <c r="AI45" i="59"/>
  <c r="BI16" i="59"/>
  <c r="AK41" i="59"/>
  <c r="BK12" i="59"/>
  <c r="BT22" i="59"/>
  <c r="AT51" i="59"/>
  <c r="AI49" i="59"/>
  <c r="BI20" i="59"/>
  <c r="AL47" i="59"/>
  <c r="BL18" i="59"/>
  <c r="AL51" i="59"/>
  <c r="BL22" i="59"/>
  <c r="BP17" i="59"/>
  <c r="AP46" i="59"/>
  <c r="BS16" i="59"/>
  <c r="AS45" i="59"/>
  <c r="BQ25" i="59"/>
  <c r="AQ54" i="59"/>
  <c r="BO21" i="59"/>
  <c r="AO50" i="59"/>
  <c r="AF38" i="59"/>
  <c r="BF9" i="59"/>
  <c r="AK43" i="59"/>
  <c r="BK14" i="59"/>
  <c r="BR17" i="59"/>
  <c r="AR46" i="59"/>
  <c r="AL52" i="59"/>
  <c r="BL23" i="59"/>
  <c r="AN46" i="59"/>
  <c r="BN17" i="59"/>
  <c r="BI8" i="59"/>
  <c r="AI37" i="59"/>
  <c r="BO12" i="59"/>
  <c r="AO33" i="59"/>
  <c r="AO41" i="59"/>
  <c r="AS44" i="59"/>
  <c r="BS15" i="59"/>
  <c r="AM19" i="59"/>
  <c r="AP19" i="59"/>
  <c r="AS19" i="59"/>
  <c r="AM18" i="59"/>
  <c r="AP18" i="59"/>
  <c r="AS18" i="59"/>
  <c r="AP13" i="59"/>
  <c r="AS13" i="59"/>
  <c r="AI48" i="59"/>
  <c r="BI19" i="59"/>
  <c r="BR13" i="59"/>
  <c r="AR42" i="59"/>
  <c r="BR26" i="59"/>
  <c r="AR55" i="59"/>
  <c r="AN52" i="59"/>
  <c r="BN23" i="59"/>
  <c r="AI53" i="59"/>
  <c r="BI24" i="59"/>
  <c r="AT40" i="59"/>
  <c r="BT11" i="59"/>
  <c r="BQ16" i="59"/>
  <c r="AQ45" i="59"/>
  <c r="AI54" i="59"/>
  <c r="BI25" i="59"/>
  <c r="AI44" i="59"/>
  <c r="BI15" i="59"/>
  <c r="BS22" i="59"/>
  <c r="AS51" i="59"/>
  <c r="AI40" i="59"/>
  <c r="BI11" i="59"/>
  <c r="AK39" i="59"/>
  <c r="AK33" i="59"/>
  <c r="BK10" i="59"/>
  <c r="AK47" i="59"/>
  <c r="BK18" i="59"/>
  <c r="BI7" i="59"/>
  <c r="AI36" i="59"/>
  <c r="AI33" i="59"/>
  <c r="BI10" i="59"/>
  <c r="AN53" i="59"/>
  <c r="BN24" i="59"/>
  <c r="AN49" i="59"/>
  <c r="BN20" i="59"/>
  <c r="AN48" i="59"/>
  <c r="BN19" i="59"/>
  <c r="AN55" i="59"/>
  <c r="BN26" i="59"/>
  <c r="AN50" i="59"/>
  <c r="BN21" i="59"/>
  <c r="AH36" i="59"/>
  <c r="AH35" i="59" s="1"/>
  <c r="BH7" i="59"/>
  <c r="AK42" i="59"/>
  <c r="BK13" i="59"/>
  <c r="BL16" i="59"/>
  <c r="AL33" i="59"/>
  <c r="AL45" i="59"/>
  <c r="BT12" i="59"/>
  <c r="AT41" i="59"/>
  <c r="BQ22" i="59"/>
  <c r="AQ51" i="59"/>
  <c r="AR49" i="59"/>
  <c r="BR20" i="59"/>
  <c r="AI47" i="59"/>
  <c r="BI18" i="59"/>
  <c r="AI51" i="59"/>
  <c r="BI22" i="59"/>
  <c r="BP16" i="59"/>
  <c r="AP45" i="59"/>
  <c r="AN54" i="59"/>
  <c r="BN25" i="59"/>
  <c r="AI50" i="59"/>
  <c r="BI21" i="59"/>
  <c r="BT14" i="59"/>
  <c r="AT43" i="59"/>
  <c r="BO17" i="59"/>
  <c r="AO46" i="59"/>
  <c r="AR52" i="59"/>
  <c r="BR23" i="59"/>
  <c r="AT46" i="59"/>
  <c r="BT17" i="59"/>
  <c r="BR12" i="59"/>
  <c r="AR41" i="59"/>
  <c r="BP15" i="59"/>
  <c r="AP44" i="59"/>
  <c r="AM23" i="59"/>
  <c r="AP23" i="59"/>
  <c r="AS23" i="59"/>
  <c r="AP14" i="59"/>
  <c r="AS14" i="59"/>
  <c r="BR19" i="59"/>
  <c r="AR48" i="59"/>
  <c r="BO13" i="59"/>
  <c r="AO42" i="59"/>
  <c r="BO26" i="59"/>
  <c r="AO55" i="59"/>
  <c r="AK52" i="59"/>
  <c r="BK23" i="59"/>
  <c r="AR53" i="59"/>
  <c r="BR24" i="59"/>
  <c r="AK40" i="59"/>
  <c r="BK11" i="59"/>
  <c r="AN33" i="59"/>
  <c r="AN45" i="59"/>
  <c r="BN16" i="59"/>
  <c r="BR25" i="59"/>
  <c r="AR54" i="59"/>
  <c r="AK44" i="59"/>
  <c r="BK15" i="59"/>
  <c r="BR15" i="59"/>
  <c r="AR44" i="59"/>
  <c r="BP22" i="59"/>
  <c r="AP51" i="59"/>
  <c r="AI43" i="59"/>
  <c r="BI14" i="59"/>
  <c r="AT47" i="59"/>
  <c r="BT18" i="59"/>
  <c r="AF36" i="59"/>
  <c r="BF7" i="59"/>
  <c r="AR33" i="59"/>
  <c r="AR39" i="59"/>
  <c r="BR10" i="59"/>
  <c r="AK53" i="59"/>
  <c r="BK24" i="59"/>
  <c r="AK49" i="59"/>
  <c r="BK20" i="59"/>
  <c r="AK48" i="59"/>
  <c r="BK19" i="59"/>
  <c r="AK55" i="59"/>
  <c r="BK26" i="59"/>
  <c r="AK50" i="59"/>
  <c r="BK21" i="59"/>
  <c r="BK7" i="59"/>
  <c r="AK36" i="59"/>
  <c r="AR45" i="59"/>
  <c r="BR16" i="59"/>
  <c r="BQ12" i="59"/>
  <c r="AQ33" i="59"/>
  <c r="AQ41" i="59"/>
  <c r="AN51" i="59"/>
  <c r="BN22" i="59"/>
  <c r="BO20" i="59"/>
  <c r="AO49" i="59"/>
  <c r="AR47" i="59"/>
  <c r="BR18" i="59"/>
  <c r="BR22" i="59"/>
  <c r="AR51" i="59"/>
  <c r="AS50" i="59"/>
  <c r="BS21" i="59"/>
  <c r="AK54" i="59"/>
  <c r="BK25" i="59"/>
  <c r="AL50" i="59"/>
  <c r="BL21" i="59"/>
  <c r="BQ14" i="59"/>
  <c r="AQ43" i="59"/>
  <c r="AL46" i="59"/>
  <c r="BL17" i="59"/>
  <c r="BO23" i="59"/>
  <c r="AO52" i="59"/>
  <c r="BQ17" i="59"/>
  <c r="AQ46" i="59"/>
  <c r="BS10" i="59"/>
  <c r="AS39" i="59"/>
  <c r="AP12" i="59"/>
  <c r="AS12" i="59"/>
  <c r="AM20" i="59"/>
  <c r="AP20" i="59"/>
  <c r="AS20" i="59"/>
  <c r="AM24" i="59"/>
  <c r="AP24" i="59"/>
  <c r="AS24" i="59"/>
  <c r="BO19" i="59"/>
  <c r="AO48" i="59"/>
  <c r="AI55" i="59"/>
  <c r="BI26" i="59"/>
  <c r="AT52" i="59"/>
  <c r="BT23" i="59"/>
  <c r="BO24" i="59"/>
  <c r="AO53" i="59"/>
  <c r="AK45" i="59"/>
  <c r="BK16" i="59"/>
  <c r="BR7" i="59"/>
  <c r="BO7" i="59"/>
  <c r="BO25" i="59"/>
  <c r="AO54" i="59"/>
  <c r="AT44" i="59"/>
  <c r="BT15" i="59"/>
  <c r="BO15" i="59"/>
  <c r="AO44" i="59"/>
  <c r="BR14" i="59"/>
  <c r="AR43" i="59"/>
  <c r="BQ18" i="59"/>
  <c r="AQ47" i="59"/>
  <c r="AI39" i="59"/>
  <c r="BT24" i="59"/>
  <c r="AT53" i="59"/>
  <c r="BT20" i="59"/>
  <c r="AT49" i="59"/>
  <c r="BT19" i="59"/>
  <c r="AT48" i="59"/>
  <c r="BT26" i="59"/>
  <c r="AT55" i="59"/>
  <c r="AT50" i="59"/>
  <c r="BT21" i="59"/>
  <c r="BT13" i="59"/>
  <c r="AT42" i="59"/>
  <c r="BO16" i="59"/>
  <c r="AO45" i="59"/>
  <c r="AK51" i="59"/>
  <c r="BK22" i="59"/>
  <c r="AL49" i="59"/>
  <c r="BL20" i="59"/>
  <c r="BO18" i="59"/>
  <c r="AO47" i="59"/>
  <c r="BO22" i="59"/>
  <c r="AO51" i="59"/>
  <c r="BS17" i="59"/>
  <c r="AS46" i="59"/>
  <c r="BP21" i="59"/>
  <c r="AP50" i="59"/>
  <c r="BT25" i="59"/>
  <c r="AT54" i="59"/>
  <c r="BR21" i="59"/>
  <c r="AR50" i="59"/>
  <c r="AI38" i="59"/>
  <c r="BI9" i="59"/>
  <c r="AI46" i="59"/>
  <c r="BI17" i="59"/>
  <c r="AI52" i="59"/>
  <c r="BI23" i="59"/>
  <c r="AK46" i="59"/>
  <c r="BK17" i="59"/>
  <c r="AF37" i="59"/>
  <c r="BF8" i="59"/>
  <c r="AI41" i="59"/>
  <c r="BI12" i="59"/>
  <c r="V25" i="39"/>
  <c r="AG42" i="59"/>
  <c r="BG13" i="59"/>
  <c r="AJ13" i="59"/>
  <c r="AJ18" i="59"/>
  <c r="BG18" i="59"/>
  <c r="AG47" i="59"/>
  <c r="BG12" i="59"/>
  <c r="AG41" i="59"/>
  <c r="AG49" i="59"/>
  <c r="BG20" i="59"/>
  <c r="V24" i="39"/>
  <c r="V22" i="39"/>
  <c r="V14" i="39"/>
  <c r="V18" i="39"/>
  <c r="AI10" i="57"/>
  <c r="AK10" i="57"/>
  <c r="AL10" i="57"/>
  <c r="AG10" i="57"/>
  <c r="AH10" i="57"/>
  <c r="Y10" i="57"/>
  <c r="AJ10" i="57"/>
  <c r="AG43" i="59"/>
  <c r="BG14" i="59"/>
  <c r="AM50" i="59"/>
  <c r="BM21" i="59"/>
  <c r="AJ23" i="59"/>
  <c r="AJ50" i="59"/>
  <c r="BJ21" i="59"/>
  <c r="AJ12" i="59"/>
  <c r="AG52" i="59"/>
  <c r="BG23" i="59"/>
  <c r="AJ20" i="59"/>
  <c r="V13" i="39"/>
  <c r="V12" i="39"/>
  <c r="V23" i="39"/>
  <c r="V21" i="39"/>
  <c r="V10" i="39"/>
  <c r="BJ7" i="59"/>
  <c r="AJ36" i="59"/>
  <c r="AJ51" i="59"/>
  <c r="BJ22" i="59"/>
  <c r="V19" i="39"/>
  <c r="V16" i="39"/>
  <c r="V26" i="39"/>
  <c r="V17" i="39"/>
  <c r="AG53" i="59"/>
  <c r="BG24" i="59"/>
  <c r="AI12" i="57"/>
  <c r="AH12" i="57"/>
  <c r="AK12" i="57"/>
  <c r="AJ12" i="57"/>
  <c r="AG12" i="57"/>
  <c r="Y12" i="57"/>
  <c r="AL12" i="57"/>
  <c r="Y21" i="57"/>
  <c r="AL21" i="57"/>
  <c r="AI21" i="57"/>
  <c r="AH21" i="57"/>
  <c r="AG21" i="57"/>
  <c r="AK21" i="57"/>
  <c r="AJ21" i="57"/>
  <c r="AJ19" i="59"/>
  <c r="AE56" i="29"/>
  <c r="AJ46" i="59"/>
  <c r="BJ17" i="59"/>
  <c r="AG5" i="57"/>
  <c r="AH5" i="57"/>
  <c r="AI5" i="57"/>
  <c r="Y5" i="57"/>
  <c r="AJ5" i="57"/>
  <c r="AL5" i="57"/>
  <c r="AK5" i="57"/>
  <c r="AJ45" i="59"/>
  <c r="BJ16" i="59"/>
  <c r="AJ22" i="57"/>
  <c r="AK22" i="57"/>
  <c r="AG22" i="57"/>
  <c r="Y22" i="57"/>
  <c r="AI22" i="57"/>
  <c r="AL22" i="57"/>
  <c r="AH22" i="57"/>
  <c r="AJ44" i="59"/>
  <c r="BJ15" i="59"/>
  <c r="AM44" i="59"/>
  <c r="BM15" i="59"/>
  <c r="BG7" i="59"/>
  <c r="AG36" i="59"/>
  <c r="AM51" i="59"/>
  <c r="BM22" i="59"/>
  <c r="V20" i="39"/>
  <c r="V15" i="39"/>
  <c r="V11" i="39"/>
  <c r="AJ24" i="59"/>
  <c r="AG57" i="29"/>
  <c r="AH17" i="57"/>
  <c r="AL17" i="57"/>
  <c r="AK17" i="57"/>
  <c r="AG17" i="57"/>
  <c r="AJ17" i="57"/>
  <c r="Y17" i="57"/>
  <c r="AI17" i="57"/>
  <c r="AJ14" i="59"/>
  <c r="BG19" i="59"/>
  <c r="AG48" i="59"/>
  <c r="AM46" i="59"/>
  <c r="BM17" i="59"/>
  <c r="AM45" i="59"/>
  <c r="BM16" i="59"/>
  <c r="AK18" i="57"/>
  <c r="AH18" i="57"/>
  <c r="AG18" i="57"/>
  <c r="Y18" i="57"/>
  <c r="AI18" i="57"/>
  <c r="AL18" i="57"/>
  <c r="AJ18" i="57"/>
  <c r="AB56" i="66" l="1"/>
  <c r="AF56" i="66" s="1"/>
  <c r="AJ39" i="59"/>
  <c r="AH57" i="66"/>
  <c r="AB57" i="66"/>
  <c r="AE58" i="66"/>
  <c r="AG58" i="66" s="1"/>
  <c r="AF57" i="29"/>
  <c r="AD57" i="29" s="1"/>
  <c r="AE57" i="29" s="1"/>
  <c r="AJ30" i="57"/>
  <c r="AM33" i="59"/>
  <c r="AK30" i="57"/>
  <c r="AH30" i="57"/>
  <c r="AK35" i="59"/>
  <c r="AL30" i="57"/>
  <c r="AI30" i="57"/>
  <c r="AJ33" i="59"/>
  <c r="BS12" i="59"/>
  <c r="AS41" i="59"/>
  <c r="AS33" i="59"/>
  <c r="AI35" i="59"/>
  <c r="BP18" i="59"/>
  <c r="AP47" i="59"/>
  <c r="BS20" i="59"/>
  <c r="AS49" i="59"/>
  <c r="BP12" i="59"/>
  <c r="AP33" i="59"/>
  <c r="AP41" i="59"/>
  <c r="AF35" i="59"/>
  <c r="BS14" i="59"/>
  <c r="AS43" i="59"/>
  <c r="BS23" i="59"/>
  <c r="AS52" i="59"/>
  <c r="BS13" i="59"/>
  <c r="AS42" i="59"/>
  <c r="AL35" i="59"/>
  <c r="BS24" i="59"/>
  <c r="AS53" i="59"/>
  <c r="BP20" i="59"/>
  <c r="AP49" i="59"/>
  <c r="AR35" i="59"/>
  <c r="BP14" i="59"/>
  <c r="AP43" i="59"/>
  <c r="BP23" i="59"/>
  <c r="AP52" i="59"/>
  <c r="AT35" i="59"/>
  <c r="BP13" i="59"/>
  <c r="AP42" i="59"/>
  <c r="BS19" i="59"/>
  <c r="AS48" i="59"/>
  <c r="AN35" i="59"/>
  <c r="BP24" i="59"/>
  <c r="AP53" i="59"/>
  <c r="AO35" i="59"/>
  <c r="BS18" i="59"/>
  <c r="AS47" i="59"/>
  <c r="BP19" i="59"/>
  <c r="AP48" i="59"/>
  <c r="AQ35" i="59"/>
  <c r="BJ13" i="59"/>
  <c r="AJ42" i="59"/>
  <c r="BM13" i="59"/>
  <c r="AM42" i="59"/>
  <c r="AM47" i="59"/>
  <c r="BM18" i="59"/>
  <c r="BJ18" i="59"/>
  <c r="AJ47" i="59"/>
  <c r="AH58" i="29"/>
  <c r="AJ58" i="29" s="1"/>
  <c r="AM48" i="59"/>
  <c r="BM19" i="59"/>
  <c r="BM20" i="59"/>
  <c r="AM49" i="59"/>
  <c r="AM41" i="59"/>
  <c r="BM12" i="59"/>
  <c r="BM23" i="59"/>
  <c r="AM52" i="59"/>
  <c r="AG35" i="59"/>
  <c r="AJ43" i="59"/>
  <c r="BJ14" i="59"/>
  <c r="BM24" i="59"/>
  <c r="AM53" i="59"/>
  <c r="AI56" i="29"/>
  <c r="AM43" i="59"/>
  <c r="BM14" i="59"/>
  <c r="BJ24" i="59"/>
  <c r="AJ53" i="59"/>
  <c r="AJ48" i="59"/>
  <c r="BJ19" i="59"/>
  <c r="AJ49" i="59"/>
  <c r="BJ20" i="59"/>
  <c r="BJ12" i="59"/>
  <c r="AJ41" i="59"/>
  <c r="AJ52" i="59"/>
  <c r="BJ23" i="59"/>
  <c r="AF57" i="66" l="1"/>
  <c r="AG58" i="29"/>
  <c r="AD58" i="66"/>
  <c r="AK57" i="29"/>
  <c r="AS35" i="59"/>
  <c r="AI57" i="29"/>
  <c r="AP35" i="59"/>
  <c r="AF58" i="29"/>
  <c r="AD58" i="29" s="1"/>
  <c r="AK58" i="29" s="1"/>
  <c r="AJ35" i="59"/>
  <c r="AH59" i="29"/>
  <c r="AJ59" i="29" s="1"/>
  <c r="AM35" i="59"/>
  <c r="AC58" i="66" l="1"/>
  <c r="AE59" i="66"/>
  <c r="AG59" i="66" s="1"/>
  <c r="AE58" i="29"/>
  <c r="AI58" i="29" s="1"/>
  <c r="AG59" i="29"/>
  <c r="AA58" i="66" l="1"/>
  <c r="AD59" i="66"/>
  <c r="AE60" i="66" s="1"/>
  <c r="AF59" i="29"/>
  <c r="AH60" i="29"/>
  <c r="AJ60" i="29" s="1"/>
  <c r="AC59" i="66" l="1"/>
  <c r="AA59" i="66" s="1"/>
  <c r="AG60" i="66"/>
  <c r="AH58" i="66"/>
  <c r="AB58" i="66"/>
  <c r="AD59" i="29"/>
  <c r="AG60" i="29"/>
  <c r="AD60" i="66" l="1"/>
  <c r="AC60" i="66" s="1"/>
  <c r="AA60" i="66" s="1"/>
  <c r="AF58" i="66"/>
  <c r="AH59" i="66"/>
  <c r="AB59" i="66"/>
  <c r="AH61" i="29"/>
  <c r="AJ61" i="29" s="1"/>
  <c r="AK59" i="29"/>
  <c r="AE59" i="29"/>
  <c r="AF60" i="29" s="1"/>
  <c r="AD60" i="29" s="1"/>
  <c r="AE61" i="66" l="1"/>
  <c r="AG61" i="66" s="1"/>
  <c r="AF59" i="66"/>
  <c r="AH60" i="66"/>
  <c r="AB60" i="66"/>
  <c r="AK60" i="29"/>
  <c r="AE60" i="29"/>
  <c r="AG61" i="29"/>
  <c r="AF61" i="29" s="1"/>
  <c r="AD61" i="29" s="1"/>
  <c r="AI59" i="29"/>
  <c r="AD61" i="66" l="1"/>
  <c r="AC61" i="66" s="1"/>
  <c r="AA61" i="66" s="1"/>
  <c r="AH61" i="66" s="1"/>
  <c r="AI60" i="29"/>
  <c r="AF60" i="66"/>
  <c r="AE61" i="29"/>
  <c r="AK61" i="29"/>
  <c r="AH62" i="29"/>
  <c r="AG62" i="29" s="1"/>
  <c r="AB61" i="66" l="1"/>
  <c r="AF61" i="66" s="1"/>
  <c r="AE62" i="66"/>
  <c r="AG62" i="66" s="1"/>
  <c r="AJ62" i="29"/>
  <c r="AF62" i="29"/>
  <c r="AD62" i="29" s="1"/>
  <c r="AH63" i="29"/>
  <c r="AI61" i="29"/>
  <c r="AD62" i="66" l="1"/>
  <c r="AC62" i="66" s="1"/>
  <c r="AA62" i="66" s="1"/>
  <c r="AB62" i="66" s="1"/>
  <c r="AF62" i="66" s="1"/>
  <c r="AG63" i="29"/>
  <c r="AH64" i="29" s="1"/>
  <c r="AJ64" i="29" s="1"/>
  <c r="AJ63" i="29"/>
  <c r="AK62" i="29"/>
  <c r="AE62" i="29"/>
  <c r="AI62" i="29" s="1"/>
  <c r="AE63" i="66" l="1"/>
  <c r="AG63" i="66" s="1"/>
  <c r="AH62" i="66"/>
  <c r="AD63" i="66"/>
  <c r="AC63" i="66" s="1"/>
  <c r="AF63" i="29"/>
  <c r="AD63" i="29" s="1"/>
  <c r="AK63" i="29" s="1"/>
  <c r="AE64" i="66" l="1"/>
  <c r="AG64" i="66" s="1"/>
  <c r="AA63" i="66"/>
  <c r="AE63" i="29"/>
  <c r="AI63" i="29" s="1"/>
  <c r="AG64" i="29"/>
  <c r="AD64" i="66" l="1"/>
  <c r="AC64" i="66"/>
  <c r="AA64" i="66" s="1"/>
  <c r="AE65" i="66"/>
  <c r="AG65" i="66" s="1"/>
  <c r="AH63" i="66"/>
  <c r="AB63" i="66"/>
  <c r="AF64" i="29"/>
  <c r="AH65" i="29"/>
  <c r="AJ65" i="29" s="1"/>
  <c r="AF63" i="66" l="1"/>
  <c r="AD65" i="66"/>
  <c r="AC65" i="66" s="1"/>
  <c r="AA65" i="66" s="1"/>
  <c r="AB64" i="66"/>
  <c r="AH64" i="66"/>
  <c r="AD64" i="29"/>
  <c r="AG65" i="29"/>
  <c r="AH66" i="29" s="1"/>
  <c r="AJ66" i="29" s="1"/>
  <c r="AH65" i="66" l="1"/>
  <c r="AB65" i="66"/>
  <c r="AE66" i="66"/>
  <c r="AG66" i="66" s="1"/>
  <c r="AF64" i="66"/>
  <c r="AE64" i="29"/>
  <c r="AK64" i="29"/>
  <c r="AF65" i="66" l="1"/>
  <c r="AD66" i="66"/>
  <c r="AE67" i="66" s="1"/>
  <c r="AI64" i="29"/>
  <c r="AF65" i="29"/>
  <c r="AC66" i="66" l="1"/>
  <c r="AA66" i="66" s="1"/>
  <c r="AB66" i="66" s="1"/>
  <c r="AG67" i="66"/>
  <c r="AD67" i="66"/>
  <c r="AD65" i="29"/>
  <c r="AG66" i="29"/>
  <c r="AH66" i="66" l="1"/>
  <c r="AF66" i="66"/>
  <c r="AC67" i="66"/>
  <c r="AA67" i="66" s="1"/>
  <c r="AE68" i="66"/>
  <c r="AG68" i="66" s="1"/>
  <c r="AH67" i="29"/>
  <c r="AJ67" i="29" s="1"/>
  <c r="AE65" i="29"/>
  <c r="AK65" i="29"/>
  <c r="AH67" i="66" l="1"/>
  <c r="AB67" i="66"/>
  <c r="AF67" i="66" s="1"/>
  <c r="AD68" i="66"/>
  <c r="AC68" i="66" s="1"/>
  <c r="AA68" i="66" s="1"/>
  <c r="AI65" i="29"/>
  <c r="AF66" i="29"/>
  <c r="AD66" i="29" s="1"/>
  <c r="AH68" i="66" l="1"/>
  <c r="AB68" i="66"/>
  <c r="AE69" i="66"/>
  <c r="AG69" i="66" s="1"/>
  <c r="AK66" i="29"/>
  <c r="AE66" i="29"/>
  <c r="AI66" i="29" s="1"/>
  <c r="AG67" i="29"/>
  <c r="AF67" i="29" s="1"/>
  <c r="AD67" i="29" s="1"/>
  <c r="AF68" i="66" l="1"/>
  <c r="AD69" i="66"/>
  <c r="AH68" i="29"/>
  <c r="AJ68" i="29" s="1"/>
  <c r="AK67" i="29"/>
  <c r="AE67" i="29"/>
  <c r="AC69" i="66" l="1"/>
  <c r="AE70" i="66"/>
  <c r="AG70" i="66" s="1"/>
  <c r="AG68" i="29"/>
  <c r="AF68" i="29" s="1"/>
  <c r="AD68" i="29" s="1"/>
  <c r="AK68" i="29" s="1"/>
  <c r="AI67" i="29"/>
  <c r="AE68" i="29" l="1"/>
  <c r="AH69" i="29"/>
  <c r="AJ69" i="29" s="1"/>
  <c r="AA69" i="66"/>
  <c r="AD70" i="66"/>
  <c r="AC70" i="66" s="1"/>
  <c r="AA70" i="66" s="1"/>
  <c r="AG69" i="29"/>
  <c r="AF69" i="29" s="1"/>
  <c r="AD69" i="29" s="1"/>
  <c r="AE69" i="29" s="1"/>
  <c r="AI68" i="29"/>
  <c r="AH70" i="29" l="1"/>
  <c r="AJ70" i="29" s="1"/>
  <c r="AE71" i="66"/>
  <c r="AG71" i="66" s="1"/>
  <c r="AB70" i="66"/>
  <c r="AH70" i="66"/>
  <c r="AB69" i="66"/>
  <c r="AH69" i="66"/>
  <c r="AK69" i="29"/>
  <c r="AI69" i="29"/>
  <c r="AG70" i="29"/>
  <c r="AD71" i="66" l="1"/>
  <c r="AC71" i="66" s="1"/>
  <c r="AA71" i="66" s="1"/>
  <c r="AF69" i="66"/>
  <c r="AF70" i="66" s="1"/>
  <c r="AF70" i="29"/>
  <c r="AH71" i="29"/>
  <c r="AE72" i="66" l="1"/>
  <c r="AH71" i="66"/>
  <c r="AB71" i="66"/>
  <c r="AG71" i="29"/>
  <c r="AH72" i="29" s="1"/>
  <c r="AJ72" i="29" s="1"/>
  <c r="AJ71" i="29"/>
  <c r="AD70" i="29"/>
  <c r="AG72" i="66" l="1"/>
  <c r="AD72" i="66"/>
  <c r="AF71" i="66"/>
  <c r="AK70" i="29"/>
  <c r="AE70" i="29"/>
  <c r="AF71" i="29" s="1"/>
  <c r="AD71" i="29" s="1"/>
  <c r="AC72" i="66" l="1"/>
  <c r="AE73" i="66"/>
  <c r="AG73" i="66" s="1"/>
  <c r="AE71" i="29"/>
  <c r="AK71" i="29"/>
  <c r="AI70" i="29"/>
  <c r="AG72" i="29"/>
  <c r="AF72" i="29" s="1"/>
  <c r="AA72" i="66" l="1"/>
  <c r="AD73" i="66"/>
  <c r="AI71" i="29"/>
  <c r="AH73" i="29"/>
  <c r="AJ73" i="29" s="1"/>
  <c r="AD72" i="29"/>
  <c r="AG73" i="29"/>
  <c r="AE74" i="66" l="1"/>
  <c r="AG74" i="66" s="1"/>
  <c r="AB72" i="66"/>
  <c r="AC73" i="66" s="1"/>
  <c r="AA73" i="66" s="1"/>
  <c r="AH72" i="66"/>
  <c r="AH74" i="29"/>
  <c r="AJ74" i="29" s="1"/>
  <c r="AE72" i="29"/>
  <c r="AF73" i="29" s="1"/>
  <c r="AD73" i="29" s="1"/>
  <c r="AK72" i="29"/>
  <c r="AB73" i="66" l="1"/>
  <c r="AH73" i="66"/>
  <c r="AD74" i="66"/>
  <c r="AC74" i="66" s="1"/>
  <c r="AA74" i="66" s="1"/>
  <c r="AF72" i="66"/>
  <c r="AF73" i="66" s="1"/>
  <c r="AK73" i="29"/>
  <c r="AE73" i="29"/>
  <c r="AG74" i="29"/>
  <c r="AI72" i="29"/>
  <c r="AI73" i="29" l="1"/>
  <c r="AH74" i="66"/>
  <c r="AB74" i="66"/>
  <c r="AF74" i="66" s="1"/>
  <c r="AF74" i="29"/>
  <c r="AD74" i="29" s="1"/>
  <c r="AE74" i="29" s="1"/>
  <c r="AI74" i="29" s="1"/>
  <c r="AK74"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ckieny</author>
    <author>Craig Kieny</author>
    <author>Kieny, Craig</author>
  </authors>
  <commentList>
    <comment ref="AE3" authorId="0" shapeId="0" xr:uid="{00000000-0006-0000-0000-000001000000}">
      <text>
        <r>
          <rPr>
            <b/>
            <sz val="8"/>
            <color indexed="81"/>
            <rFont val="Tahoma"/>
            <family val="2"/>
          </rPr>
          <t>ckieny:</t>
        </r>
        <r>
          <rPr>
            <sz val="8"/>
            <color indexed="81"/>
            <rFont val="Tahoma"/>
            <family val="2"/>
          </rPr>
          <t xml:space="preserve">
Includes 28.42% CF at Project and 4.76% line losses to ISO Settlement System node.</t>
        </r>
      </text>
    </comment>
    <comment ref="A4" authorId="1" shapeId="0" xr:uid="{00000000-0006-0000-0000-000002000000}">
      <text>
        <r>
          <rPr>
            <b/>
            <sz val="8"/>
            <color indexed="81"/>
            <rFont val="Tahoma"/>
            <family val="2"/>
          </rPr>
          <t>Craig Kieny:</t>
        </r>
        <r>
          <rPr>
            <sz val="8"/>
            <color indexed="81"/>
            <rFont val="Tahoma"/>
            <family val="2"/>
          </rPr>
          <t xml:space="preserve">
La Capra blended forecast.  See "Blended Forecast_Final.xls" file, sheet "System Energy" cells t14.ae32.</t>
        </r>
      </text>
    </comment>
    <comment ref="B4" authorId="1" shapeId="0" xr:uid="{00000000-0006-0000-0000-000003000000}">
      <text>
        <r>
          <rPr>
            <b/>
            <sz val="8"/>
            <color indexed="81"/>
            <rFont val="Tahoma"/>
            <family val="2"/>
          </rPr>
          <t>Craig Kieny:</t>
        </r>
        <r>
          <rPr>
            <sz val="8"/>
            <color indexed="81"/>
            <rFont val="Tahoma"/>
            <family val="2"/>
          </rPr>
          <t xml:space="preserve">
La Capra blended forecast.  See "Blended Forecast_Final.xls" file, sheet "System Energy" cells t14.ae32.</t>
        </r>
      </text>
    </comment>
    <comment ref="C4" authorId="1" shapeId="0" xr:uid="{00000000-0006-0000-0000-000004000000}">
      <text>
        <r>
          <rPr>
            <b/>
            <sz val="8"/>
            <color indexed="81"/>
            <rFont val="Tahoma"/>
            <family val="2"/>
          </rPr>
          <t>Craig Kieny:</t>
        </r>
        <r>
          <rPr>
            <sz val="8"/>
            <color indexed="81"/>
            <rFont val="Tahoma"/>
            <family val="2"/>
          </rPr>
          <t xml:space="preserve">
La Capra blended forecast.  See "Blended Forecast_Final.xls" file, sheet "System Energy" cells t14.ae32.</t>
        </r>
      </text>
    </comment>
    <comment ref="G4" authorId="1" shapeId="0" xr:uid="{00000000-0006-0000-0000-000005000000}">
      <text>
        <r>
          <rPr>
            <b/>
            <sz val="8"/>
            <color indexed="81"/>
            <rFont val="Tahoma"/>
            <family val="2"/>
          </rPr>
          <t>Craig Kieny:</t>
        </r>
        <r>
          <rPr>
            <sz val="8"/>
            <color indexed="81"/>
            <rFont val="Tahoma"/>
            <family val="2"/>
          </rPr>
          <t xml:space="preserve">
Low Load Forecast - Base DSM Impact.</t>
        </r>
      </text>
    </comment>
    <comment ref="H4" authorId="1" shapeId="0" xr:uid="{00000000-0006-0000-0000-000006000000}">
      <text>
        <r>
          <rPr>
            <b/>
            <sz val="8"/>
            <color indexed="81"/>
            <rFont val="Tahoma"/>
            <family val="2"/>
          </rPr>
          <t>Craig Kieny:</t>
        </r>
        <r>
          <rPr>
            <sz val="8"/>
            <color indexed="81"/>
            <rFont val="Tahoma"/>
            <family val="2"/>
          </rPr>
          <t xml:space="preserve">
Low Load Forecast - High DSM Impact.</t>
        </r>
      </text>
    </comment>
    <comment ref="O4" authorId="1" shapeId="0" xr:uid="{00000000-0006-0000-0000-000007000000}">
      <text>
        <r>
          <rPr>
            <b/>
            <sz val="8"/>
            <color indexed="81"/>
            <rFont val="Tahoma"/>
            <family val="2"/>
          </rPr>
          <t>Craig Kieny:</t>
        </r>
        <r>
          <rPr>
            <sz val="8"/>
            <color indexed="81"/>
            <rFont val="Tahoma"/>
            <family val="2"/>
          </rPr>
          <t xml:space="preserve">
Assumed 224% increase over 2005 monthly production based on preliminary data from DPS received on 6/26/07  regarding revised Niagara allocation.</t>
        </r>
      </text>
    </comment>
    <comment ref="P4" authorId="1" shapeId="0" xr:uid="{00000000-0006-0000-0000-000008000000}">
      <text>
        <r>
          <rPr>
            <b/>
            <sz val="8"/>
            <color indexed="81"/>
            <rFont val="Tahoma"/>
            <family val="2"/>
          </rPr>
          <t>Craig Kieny:</t>
        </r>
        <r>
          <rPr>
            <sz val="8"/>
            <color indexed="81"/>
            <rFont val="Tahoma"/>
            <family val="2"/>
          </rPr>
          <t xml:space="preserve">
2006 Monthly MWHs assumed.</t>
        </r>
      </text>
    </comment>
    <comment ref="Q4" authorId="0" shapeId="0" xr:uid="{00000000-0006-0000-0000-000009000000}">
      <text>
        <r>
          <rPr>
            <b/>
            <sz val="8"/>
            <color indexed="81"/>
            <rFont val="Tahoma"/>
            <family val="2"/>
          </rPr>
          <t>ckieny:</t>
        </r>
        <r>
          <rPr>
            <sz val="8"/>
            <color indexed="81"/>
            <rFont val="Tahoma"/>
            <family val="2"/>
          </rPr>
          <t xml:space="preserve">
Based on actual production of individual units from January 1996 - April 2010.</t>
        </r>
      </text>
    </comment>
    <comment ref="R4" authorId="1" shapeId="0" xr:uid="{00000000-0006-0000-0000-00000A000000}">
      <text>
        <r>
          <rPr>
            <b/>
            <sz val="8"/>
            <color indexed="81"/>
            <rFont val="Tahoma"/>
            <family val="2"/>
          </rPr>
          <t>Craig Kieny:</t>
        </r>
        <r>
          <rPr>
            <sz val="8"/>
            <color indexed="81"/>
            <rFont val="Tahoma"/>
            <family val="2"/>
          </rPr>
          <t xml:space="preserve">
Assumed 0.4 MW/h.  It operates between 0.25 and 0.50 MW/h but typically closer to 0.4.</t>
        </r>
      </text>
    </comment>
    <comment ref="AB4" authorId="1" shapeId="0" xr:uid="{00000000-0006-0000-0000-00000B000000}">
      <text>
        <r>
          <rPr>
            <b/>
            <sz val="8"/>
            <color indexed="81"/>
            <rFont val="Tahoma"/>
            <family val="2"/>
          </rPr>
          <t>Craig Kieny:</t>
        </r>
        <r>
          <rPr>
            <sz val="8"/>
            <color indexed="81"/>
            <rFont val="Tahoma"/>
            <family val="2"/>
          </rPr>
          <t xml:space="preserve">
See IRP Model.  Sum of all SO units (Wind, Biomass, Landfill, Farm, Solar, Hydro, etc.)</t>
        </r>
      </text>
    </comment>
    <comment ref="B17" authorId="2" shapeId="0" xr:uid="{00000000-0006-0000-0000-00000C000000}">
      <text>
        <r>
          <rPr>
            <b/>
            <sz val="8"/>
            <color indexed="81"/>
            <rFont val="Tahoma"/>
            <family val="2"/>
          </rPr>
          <t>Kieny, Craig:</t>
        </r>
        <r>
          <rPr>
            <sz val="8"/>
            <color indexed="81"/>
            <rFont val="Tahoma"/>
            <family val="2"/>
          </rPr>
          <t xml:space="preserve">
Escalation from 2011 IRP</t>
        </r>
      </text>
    </comment>
    <comment ref="B18" authorId="2" shapeId="0" xr:uid="{00000000-0006-0000-0000-00000D000000}">
      <text>
        <r>
          <rPr>
            <b/>
            <sz val="8"/>
            <color indexed="81"/>
            <rFont val="Tahoma"/>
            <family val="2"/>
          </rPr>
          <t>Kieny, Craig:</t>
        </r>
        <r>
          <rPr>
            <sz val="8"/>
            <color indexed="81"/>
            <rFont val="Tahoma"/>
            <family val="2"/>
          </rPr>
          <t xml:space="preserve">
Escalation from 2011 IRP</t>
        </r>
      </text>
    </comment>
    <comment ref="B19" authorId="2" shapeId="0" xr:uid="{00000000-0006-0000-0000-00000E000000}">
      <text>
        <r>
          <rPr>
            <b/>
            <sz val="8"/>
            <color indexed="81"/>
            <rFont val="Tahoma"/>
            <family val="2"/>
          </rPr>
          <t>Kieny, Craig:</t>
        </r>
        <r>
          <rPr>
            <sz val="8"/>
            <color indexed="81"/>
            <rFont val="Tahoma"/>
            <family val="2"/>
          </rPr>
          <t xml:space="preserve">
Escalation from 2011 IRP</t>
        </r>
      </text>
    </comment>
    <comment ref="B20" authorId="2" shapeId="0" xr:uid="{00000000-0006-0000-0000-00000F000000}">
      <text>
        <r>
          <rPr>
            <b/>
            <sz val="8"/>
            <color indexed="81"/>
            <rFont val="Tahoma"/>
            <family val="2"/>
          </rPr>
          <t>Kieny, Craig:</t>
        </r>
        <r>
          <rPr>
            <sz val="8"/>
            <color indexed="81"/>
            <rFont val="Tahoma"/>
            <family val="2"/>
          </rPr>
          <t xml:space="preserve">
Escalation from 2011 IRP</t>
        </r>
      </text>
    </comment>
    <comment ref="B21" authorId="2" shapeId="0" xr:uid="{00000000-0006-0000-0000-000010000000}">
      <text>
        <r>
          <rPr>
            <b/>
            <sz val="8"/>
            <color indexed="81"/>
            <rFont val="Tahoma"/>
            <family val="2"/>
          </rPr>
          <t>Kieny, Craig:</t>
        </r>
        <r>
          <rPr>
            <sz val="8"/>
            <color indexed="81"/>
            <rFont val="Tahoma"/>
            <family val="2"/>
          </rPr>
          <t xml:space="preserve">
Escalation from 2011 IRP</t>
        </r>
      </text>
    </comment>
    <comment ref="B22" authorId="2" shapeId="0" xr:uid="{00000000-0006-0000-0000-000011000000}">
      <text>
        <r>
          <rPr>
            <b/>
            <sz val="8"/>
            <color indexed="81"/>
            <rFont val="Tahoma"/>
            <family val="2"/>
          </rPr>
          <t>Kieny, Craig:</t>
        </r>
        <r>
          <rPr>
            <sz val="8"/>
            <color indexed="81"/>
            <rFont val="Tahoma"/>
            <family val="2"/>
          </rPr>
          <t xml:space="preserve">
Escalation from 2011 IRP</t>
        </r>
      </text>
    </comment>
    <comment ref="B23" authorId="2" shapeId="0" xr:uid="{00000000-0006-0000-0000-000012000000}">
      <text>
        <r>
          <rPr>
            <b/>
            <sz val="8"/>
            <color indexed="81"/>
            <rFont val="Tahoma"/>
            <family val="2"/>
          </rPr>
          <t>Kieny, Craig:</t>
        </r>
        <r>
          <rPr>
            <sz val="8"/>
            <color indexed="81"/>
            <rFont val="Tahoma"/>
            <family val="2"/>
          </rPr>
          <t xml:space="preserve">
Escalation from 2011 IRP</t>
        </r>
      </text>
    </comment>
    <comment ref="B24" authorId="2" shapeId="0" xr:uid="{00000000-0006-0000-0000-000013000000}">
      <text>
        <r>
          <rPr>
            <b/>
            <sz val="8"/>
            <color indexed="81"/>
            <rFont val="Tahoma"/>
            <family val="2"/>
          </rPr>
          <t>Kieny, Craig:</t>
        </r>
        <r>
          <rPr>
            <sz val="8"/>
            <color indexed="81"/>
            <rFont val="Tahoma"/>
            <family val="2"/>
          </rPr>
          <t xml:space="preserve">
Escalation from 2011 IRP</t>
        </r>
      </text>
    </comment>
    <comment ref="B25" authorId="2" shapeId="0" xr:uid="{00000000-0006-0000-0000-000014000000}">
      <text>
        <r>
          <rPr>
            <b/>
            <sz val="8"/>
            <color indexed="81"/>
            <rFont val="Tahoma"/>
            <family val="2"/>
          </rPr>
          <t>Kieny, Craig:</t>
        </r>
        <r>
          <rPr>
            <sz val="8"/>
            <color indexed="81"/>
            <rFont val="Tahoma"/>
            <family val="2"/>
          </rPr>
          <t xml:space="preserve">
Escalation from 2011 IRP</t>
        </r>
      </text>
    </comment>
    <comment ref="B26" authorId="2" shapeId="0" xr:uid="{00000000-0006-0000-0000-000015000000}">
      <text>
        <r>
          <rPr>
            <b/>
            <sz val="8"/>
            <color indexed="81"/>
            <rFont val="Tahoma"/>
            <family val="2"/>
          </rPr>
          <t>Kieny, Craig:</t>
        </r>
        <r>
          <rPr>
            <sz val="8"/>
            <color indexed="81"/>
            <rFont val="Tahoma"/>
            <family val="2"/>
          </rPr>
          <t xml:space="preserve">
Escalation from 2011 IRP</t>
        </r>
      </text>
    </comment>
    <comment ref="B27" authorId="2" shapeId="0" xr:uid="{00000000-0006-0000-0000-000016000000}">
      <text>
        <r>
          <rPr>
            <b/>
            <sz val="8"/>
            <color indexed="81"/>
            <rFont val="Tahoma"/>
            <family val="2"/>
          </rPr>
          <t>Kieny, Craig:</t>
        </r>
        <r>
          <rPr>
            <sz val="8"/>
            <color indexed="81"/>
            <rFont val="Tahoma"/>
            <family val="2"/>
          </rPr>
          <t xml:space="preserve">
Escalation from 2011 IRP</t>
        </r>
      </text>
    </comment>
    <comment ref="B28" authorId="2" shapeId="0" xr:uid="{00000000-0006-0000-0000-000017000000}">
      <text>
        <r>
          <rPr>
            <b/>
            <sz val="8"/>
            <color indexed="81"/>
            <rFont val="Tahoma"/>
            <family val="2"/>
          </rPr>
          <t>Kieny, Craig:</t>
        </r>
        <r>
          <rPr>
            <sz val="8"/>
            <color indexed="81"/>
            <rFont val="Tahoma"/>
            <family val="2"/>
          </rPr>
          <t xml:space="preserve">
Escalation from 2011 IRP</t>
        </r>
      </text>
    </comment>
    <comment ref="B29" authorId="2" shapeId="0" xr:uid="{00000000-0006-0000-0000-000018000000}">
      <text>
        <r>
          <rPr>
            <b/>
            <sz val="8"/>
            <color indexed="81"/>
            <rFont val="Tahoma"/>
            <family val="2"/>
          </rPr>
          <t>Kieny, Craig:</t>
        </r>
        <r>
          <rPr>
            <sz val="8"/>
            <color indexed="81"/>
            <rFont val="Tahoma"/>
            <family val="2"/>
          </rPr>
          <t xml:space="preserve">
Escalation from 2011 IRP</t>
        </r>
      </text>
    </comment>
    <comment ref="B30" authorId="2" shapeId="0" xr:uid="{00000000-0006-0000-0000-000019000000}">
      <text>
        <r>
          <rPr>
            <b/>
            <sz val="8"/>
            <color indexed="81"/>
            <rFont val="Tahoma"/>
            <family val="2"/>
          </rPr>
          <t>Kieny, Craig:</t>
        </r>
        <r>
          <rPr>
            <sz val="8"/>
            <color indexed="81"/>
            <rFont val="Tahoma"/>
            <family val="2"/>
          </rPr>
          <t xml:space="preserve">
Escalation from 2011 IRP</t>
        </r>
      </text>
    </comment>
    <comment ref="B31" authorId="2" shapeId="0" xr:uid="{00000000-0006-0000-0000-00001A000000}">
      <text>
        <r>
          <rPr>
            <b/>
            <sz val="8"/>
            <color indexed="81"/>
            <rFont val="Tahoma"/>
            <family val="2"/>
          </rPr>
          <t>Kieny, Craig:</t>
        </r>
        <r>
          <rPr>
            <sz val="8"/>
            <color indexed="81"/>
            <rFont val="Tahoma"/>
            <family val="2"/>
          </rPr>
          <t xml:space="preserve">
Escalation from 2011 IRP</t>
        </r>
      </text>
    </comment>
    <comment ref="B32" authorId="2" shapeId="0" xr:uid="{00000000-0006-0000-0000-00001B000000}">
      <text>
        <r>
          <rPr>
            <b/>
            <sz val="8"/>
            <color indexed="81"/>
            <rFont val="Tahoma"/>
            <family val="2"/>
          </rPr>
          <t>Kieny, Craig:</t>
        </r>
        <r>
          <rPr>
            <sz val="8"/>
            <color indexed="81"/>
            <rFont val="Tahoma"/>
            <family val="2"/>
          </rPr>
          <t xml:space="preserve">
Escalation from 2011 IRP</t>
        </r>
      </text>
    </comment>
    <comment ref="B33" authorId="2" shapeId="0" xr:uid="{00000000-0006-0000-0000-00001C000000}">
      <text>
        <r>
          <rPr>
            <b/>
            <sz val="8"/>
            <color indexed="81"/>
            <rFont val="Tahoma"/>
            <family val="2"/>
          </rPr>
          <t>Kieny, Craig:</t>
        </r>
        <r>
          <rPr>
            <sz val="8"/>
            <color indexed="81"/>
            <rFont val="Tahoma"/>
            <family val="2"/>
          </rPr>
          <t xml:space="preserve">
Escalation from 2011 IRP</t>
        </r>
      </text>
    </comment>
    <comment ref="B34" authorId="2" shapeId="0" xr:uid="{00000000-0006-0000-0000-00001D000000}">
      <text>
        <r>
          <rPr>
            <b/>
            <sz val="8"/>
            <color indexed="81"/>
            <rFont val="Tahoma"/>
            <family val="2"/>
          </rPr>
          <t>Kieny, Craig:</t>
        </r>
        <r>
          <rPr>
            <sz val="8"/>
            <color indexed="81"/>
            <rFont val="Tahoma"/>
            <family val="2"/>
          </rPr>
          <t xml:space="preserve">
Escalation from 2011 IRP</t>
        </r>
      </text>
    </comment>
    <comment ref="B35" authorId="2" shapeId="0" xr:uid="{00000000-0006-0000-0000-00001E000000}">
      <text>
        <r>
          <rPr>
            <b/>
            <sz val="8"/>
            <color indexed="81"/>
            <rFont val="Tahoma"/>
            <family val="2"/>
          </rPr>
          <t>Kieny, Craig:</t>
        </r>
        <r>
          <rPr>
            <sz val="8"/>
            <color indexed="81"/>
            <rFont val="Tahoma"/>
            <family val="2"/>
          </rPr>
          <t xml:space="preserve">
Escalation from 2011 IRP</t>
        </r>
      </text>
    </comment>
    <comment ref="B36" authorId="2" shapeId="0" xr:uid="{00000000-0006-0000-0000-00001F000000}">
      <text>
        <r>
          <rPr>
            <b/>
            <sz val="8"/>
            <color indexed="81"/>
            <rFont val="Tahoma"/>
            <family val="2"/>
          </rPr>
          <t>Kieny, Craig:</t>
        </r>
        <r>
          <rPr>
            <sz val="8"/>
            <color indexed="81"/>
            <rFont val="Tahoma"/>
            <family val="2"/>
          </rPr>
          <t xml:space="preserve">
Escalation from 2011 IRP</t>
        </r>
      </text>
    </comment>
    <comment ref="B37" authorId="2" shapeId="0" xr:uid="{00000000-0006-0000-0000-000020000000}">
      <text>
        <r>
          <rPr>
            <b/>
            <sz val="8"/>
            <color indexed="81"/>
            <rFont val="Tahoma"/>
            <family val="2"/>
          </rPr>
          <t>Kieny, Craig:</t>
        </r>
        <r>
          <rPr>
            <sz val="8"/>
            <color indexed="81"/>
            <rFont val="Tahoma"/>
            <family val="2"/>
          </rPr>
          <t xml:space="preserve">
Escalation from 2011 IRP</t>
        </r>
      </text>
    </comment>
    <comment ref="B38" authorId="2" shapeId="0" xr:uid="{00000000-0006-0000-0000-000021000000}">
      <text>
        <r>
          <rPr>
            <b/>
            <sz val="8"/>
            <color indexed="81"/>
            <rFont val="Tahoma"/>
            <family val="2"/>
          </rPr>
          <t>Kieny, Craig:</t>
        </r>
        <r>
          <rPr>
            <sz val="8"/>
            <color indexed="81"/>
            <rFont val="Tahoma"/>
            <family val="2"/>
          </rPr>
          <t xml:space="preserve">
Escalation from 2011 IRP</t>
        </r>
      </text>
    </comment>
    <comment ref="B39" authorId="2" shapeId="0" xr:uid="{00000000-0006-0000-0000-000022000000}">
      <text>
        <r>
          <rPr>
            <b/>
            <sz val="8"/>
            <color indexed="81"/>
            <rFont val="Tahoma"/>
            <family val="2"/>
          </rPr>
          <t>Kieny, Craig:</t>
        </r>
        <r>
          <rPr>
            <sz val="8"/>
            <color indexed="81"/>
            <rFont val="Tahoma"/>
            <family val="2"/>
          </rPr>
          <t xml:space="preserve">
Escalation from 2011 IRP</t>
        </r>
      </text>
    </comment>
    <comment ref="B40" authorId="2" shapeId="0" xr:uid="{00000000-0006-0000-0000-000023000000}">
      <text>
        <r>
          <rPr>
            <b/>
            <sz val="8"/>
            <color indexed="81"/>
            <rFont val="Tahoma"/>
            <family val="2"/>
          </rPr>
          <t>Kieny, Craig:</t>
        </r>
        <r>
          <rPr>
            <sz val="8"/>
            <color indexed="81"/>
            <rFont val="Tahoma"/>
            <family val="2"/>
          </rPr>
          <t xml:space="preserve">
Escalation from 2011 IRP</t>
        </r>
      </text>
    </comment>
    <comment ref="B41" authorId="2" shapeId="0" xr:uid="{00000000-0006-0000-0000-000024000000}">
      <text>
        <r>
          <rPr>
            <b/>
            <sz val="8"/>
            <color indexed="81"/>
            <rFont val="Tahoma"/>
            <family val="2"/>
          </rPr>
          <t>Kieny, Craig:</t>
        </r>
        <r>
          <rPr>
            <sz val="8"/>
            <color indexed="81"/>
            <rFont val="Tahoma"/>
            <family val="2"/>
          </rPr>
          <t xml:space="preserve">
Escalation from 2011 IRP</t>
        </r>
      </text>
    </comment>
    <comment ref="B42" authorId="2" shapeId="0" xr:uid="{00000000-0006-0000-0000-000025000000}">
      <text>
        <r>
          <rPr>
            <b/>
            <sz val="8"/>
            <color indexed="81"/>
            <rFont val="Tahoma"/>
            <family val="2"/>
          </rPr>
          <t>Kieny, Craig:</t>
        </r>
        <r>
          <rPr>
            <sz val="8"/>
            <color indexed="81"/>
            <rFont val="Tahoma"/>
            <family val="2"/>
          </rPr>
          <t xml:space="preserve">
Escalation from 2011 IRP</t>
        </r>
      </text>
    </comment>
    <comment ref="B43" authorId="2" shapeId="0" xr:uid="{00000000-0006-0000-0000-000026000000}">
      <text>
        <r>
          <rPr>
            <b/>
            <sz val="8"/>
            <color indexed="81"/>
            <rFont val="Tahoma"/>
            <family val="2"/>
          </rPr>
          <t>Kieny, Craig:</t>
        </r>
        <r>
          <rPr>
            <sz val="8"/>
            <color indexed="81"/>
            <rFont val="Tahoma"/>
            <family val="2"/>
          </rPr>
          <t xml:space="preserve">
Escalation from 2011 IRP</t>
        </r>
      </text>
    </comment>
    <comment ref="B44" authorId="2" shapeId="0" xr:uid="{00000000-0006-0000-0000-000027000000}">
      <text>
        <r>
          <rPr>
            <b/>
            <sz val="8"/>
            <color indexed="81"/>
            <rFont val="Tahoma"/>
            <family val="2"/>
          </rPr>
          <t>Kieny, Craig:</t>
        </r>
        <r>
          <rPr>
            <sz val="8"/>
            <color indexed="81"/>
            <rFont val="Tahoma"/>
            <family val="2"/>
          </rPr>
          <t xml:space="preserve">
Escalation from 2011 IRP</t>
        </r>
      </text>
    </comment>
    <comment ref="B45" authorId="2" shapeId="0" xr:uid="{00000000-0006-0000-0000-000028000000}">
      <text>
        <r>
          <rPr>
            <b/>
            <sz val="8"/>
            <color indexed="81"/>
            <rFont val="Tahoma"/>
            <family val="2"/>
          </rPr>
          <t>Kieny, Craig:</t>
        </r>
        <r>
          <rPr>
            <sz val="8"/>
            <color indexed="81"/>
            <rFont val="Tahoma"/>
            <family val="2"/>
          </rPr>
          <t xml:space="preserve">
Escalation from 2011 IRP</t>
        </r>
      </text>
    </comment>
    <comment ref="B46" authorId="2" shapeId="0" xr:uid="{00000000-0006-0000-0000-000029000000}">
      <text>
        <r>
          <rPr>
            <b/>
            <sz val="8"/>
            <color indexed="81"/>
            <rFont val="Tahoma"/>
            <family val="2"/>
          </rPr>
          <t>Kieny, Craig:</t>
        </r>
        <r>
          <rPr>
            <sz val="8"/>
            <color indexed="81"/>
            <rFont val="Tahoma"/>
            <family val="2"/>
          </rPr>
          <t xml:space="preserve">
Escalation from 2011 IRP</t>
        </r>
      </text>
    </comment>
    <comment ref="B47" authorId="2" shapeId="0" xr:uid="{00000000-0006-0000-0000-00002A000000}">
      <text>
        <r>
          <rPr>
            <b/>
            <sz val="8"/>
            <color indexed="81"/>
            <rFont val="Tahoma"/>
            <family val="2"/>
          </rPr>
          <t>Kieny, Craig:</t>
        </r>
        <r>
          <rPr>
            <sz val="8"/>
            <color indexed="81"/>
            <rFont val="Tahoma"/>
            <family val="2"/>
          </rPr>
          <t xml:space="preserve">
Escalation from 2011 IRP</t>
        </r>
      </text>
    </comment>
    <comment ref="B48" authorId="2" shapeId="0" xr:uid="{00000000-0006-0000-0000-00002B000000}">
      <text>
        <r>
          <rPr>
            <b/>
            <sz val="8"/>
            <color indexed="81"/>
            <rFont val="Tahoma"/>
            <family val="2"/>
          </rPr>
          <t>Kieny, Craig:</t>
        </r>
        <r>
          <rPr>
            <sz val="8"/>
            <color indexed="81"/>
            <rFont val="Tahoma"/>
            <family val="2"/>
          </rPr>
          <t xml:space="preserve">
Escalation from 2011 IRP</t>
        </r>
      </text>
    </comment>
    <comment ref="B49" authorId="2" shapeId="0" xr:uid="{00000000-0006-0000-0000-00002C000000}">
      <text>
        <r>
          <rPr>
            <b/>
            <sz val="8"/>
            <color indexed="81"/>
            <rFont val="Tahoma"/>
            <family val="2"/>
          </rPr>
          <t>Kieny, Craig:</t>
        </r>
        <r>
          <rPr>
            <sz val="8"/>
            <color indexed="81"/>
            <rFont val="Tahoma"/>
            <family val="2"/>
          </rPr>
          <t xml:space="preserve">
Escalation from 2011 IRP</t>
        </r>
      </text>
    </comment>
    <comment ref="B50" authorId="2" shapeId="0" xr:uid="{00000000-0006-0000-0000-00002D000000}">
      <text>
        <r>
          <rPr>
            <b/>
            <sz val="8"/>
            <color indexed="81"/>
            <rFont val="Tahoma"/>
            <family val="2"/>
          </rPr>
          <t>Kieny, Craig:</t>
        </r>
        <r>
          <rPr>
            <sz val="8"/>
            <color indexed="81"/>
            <rFont val="Tahoma"/>
            <family val="2"/>
          </rPr>
          <t xml:space="preserve">
Escalation from 2011 IRP</t>
        </r>
      </text>
    </comment>
    <comment ref="B51" authorId="2" shapeId="0" xr:uid="{00000000-0006-0000-0000-00002E000000}">
      <text>
        <r>
          <rPr>
            <b/>
            <sz val="8"/>
            <color indexed="81"/>
            <rFont val="Tahoma"/>
            <family val="2"/>
          </rPr>
          <t>Kieny, Craig:</t>
        </r>
        <r>
          <rPr>
            <sz val="8"/>
            <color indexed="81"/>
            <rFont val="Tahoma"/>
            <family val="2"/>
          </rPr>
          <t xml:space="preserve">
Escalation from 2011 IRP</t>
        </r>
      </text>
    </comment>
    <comment ref="B52" authorId="2" shapeId="0" xr:uid="{00000000-0006-0000-0000-00002F000000}">
      <text>
        <r>
          <rPr>
            <b/>
            <sz val="8"/>
            <color indexed="81"/>
            <rFont val="Tahoma"/>
            <family val="2"/>
          </rPr>
          <t>Kieny, Craig:</t>
        </r>
        <r>
          <rPr>
            <sz val="8"/>
            <color indexed="81"/>
            <rFont val="Tahoma"/>
            <family val="2"/>
          </rPr>
          <t xml:space="preserve">
Escalation from 2011 IRP</t>
        </r>
      </text>
    </comment>
    <comment ref="B53" authorId="2" shapeId="0" xr:uid="{00000000-0006-0000-0000-000030000000}">
      <text>
        <r>
          <rPr>
            <b/>
            <sz val="8"/>
            <color indexed="81"/>
            <rFont val="Tahoma"/>
            <family val="2"/>
          </rPr>
          <t>Kieny, Craig:</t>
        </r>
        <r>
          <rPr>
            <sz val="8"/>
            <color indexed="81"/>
            <rFont val="Tahoma"/>
            <family val="2"/>
          </rPr>
          <t xml:space="preserve">
Escalation from 2011 IRP</t>
        </r>
      </text>
    </comment>
    <comment ref="B54" authorId="2" shapeId="0" xr:uid="{00000000-0006-0000-0000-000031000000}">
      <text>
        <r>
          <rPr>
            <b/>
            <sz val="8"/>
            <color indexed="81"/>
            <rFont val="Tahoma"/>
            <family val="2"/>
          </rPr>
          <t>Kieny, Craig:</t>
        </r>
        <r>
          <rPr>
            <sz val="8"/>
            <color indexed="81"/>
            <rFont val="Tahoma"/>
            <family val="2"/>
          </rPr>
          <t xml:space="preserve">
Escalation from 2011 IRP</t>
        </r>
      </text>
    </comment>
    <comment ref="B55" authorId="2" shapeId="0" xr:uid="{00000000-0006-0000-0000-000032000000}">
      <text>
        <r>
          <rPr>
            <b/>
            <sz val="8"/>
            <color indexed="81"/>
            <rFont val="Tahoma"/>
            <family val="2"/>
          </rPr>
          <t>Kieny, Craig:</t>
        </r>
        <r>
          <rPr>
            <sz val="8"/>
            <color indexed="81"/>
            <rFont val="Tahoma"/>
            <family val="2"/>
          </rPr>
          <t xml:space="preserve">
Escalation from 2011 IRP</t>
        </r>
      </text>
    </comment>
    <comment ref="B56" authorId="2" shapeId="0" xr:uid="{00000000-0006-0000-0000-000033000000}">
      <text>
        <r>
          <rPr>
            <b/>
            <sz val="8"/>
            <color indexed="81"/>
            <rFont val="Tahoma"/>
            <family val="2"/>
          </rPr>
          <t>Kieny, Craig:</t>
        </r>
        <r>
          <rPr>
            <sz val="8"/>
            <color indexed="81"/>
            <rFont val="Tahoma"/>
            <family val="2"/>
          </rPr>
          <t xml:space="preserve">
Escalation from 2011 IRP</t>
        </r>
      </text>
    </comment>
    <comment ref="B57" authorId="2" shapeId="0" xr:uid="{00000000-0006-0000-0000-000034000000}">
      <text>
        <r>
          <rPr>
            <b/>
            <sz val="8"/>
            <color indexed="81"/>
            <rFont val="Tahoma"/>
            <family val="2"/>
          </rPr>
          <t>Kieny, Craig:</t>
        </r>
        <r>
          <rPr>
            <sz val="8"/>
            <color indexed="81"/>
            <rFont val="Tahoma"/>
            <family val="2"/>
          </rPr>
          <t xml:space="preserve">
Escalation from 2011 IRP</t>
        </r>
      </text>
    </comment>
    <comment ref="B58" authorId="2" shapeId="0" xr:uid="{00000000-0006-0000-0000-000035000000}">
      <text>
        <r>
          <rPr>
            <b/>
            <sz val="8"/>
            <color indexed="81"/>
            <rFont val="Tahoma"/>
            <family val="2"/>
          </rPr>
          <t>Kieny, Craig:</t>
        </r>
        <r>
          <rPr>
            <sz val="8"/>
            <color indexed="81"/>
            <rFont val="Tahoma"/>
            <family val="2"/>
          </rPr>
          <t xml:space="preserve">
Escalation from 2011 IRP</t>
        </r>
      </text>
    </comment>
    <comment ref="B59" authorId="2" shapeId="0" xr:uid="{00000000-0006-0000-0000-000036000000}">
      <text>
        <r>
          <rPr>
            <b/>
            <sz val="8"/>
            <color indexed="81"/>
            <rFont val="Tahoma"/>
            <family val="2"/>
          </rPr>
          <t>Kieny, Craig:</t>
        </r>
        <r>
          <rPr>
            <sz val="8"/>
            <color indexed="81"/>
            <rFont val="Tahoma"/>
            <family val="2"/>
          </rPr>
          <t xml:space="preserve">
Escalation from 2011 IRP</t>
        </r>
      </text>
    </comment>
    <comment ref="B60" authorId="2" shapeId="0" xr:uid="{00000000-0006-0000-0000-000037000000}">
      <text>
        <r>
          <rPr>
            <b/>
            <sz val="8"/>
            <color indexed="81"/>
            <rFont val="Tahoma"/>
            <family val="2"/>
          </rPr>
          <t>Kieny, Craig:</t>
        </r>
        <r>
          <rPr>
            <sz val="8"/>
            <color indexed="81"/>
            <rFont val="Tahoma"/>
            <family val="2"/>
          </rPr>
          <t xml:space="preserve">
Escalation from 2011 IRP</t>
        </r>
      </text>
    </comment>
    <comment ref="B61" authorId="2" shapeId="0" xr:uid="{00000000-0006-0000-0000-000038000000}">
      <text>
        <r>
          <rPr>
            <b/>
            <sz val="8"/>
            <color indexed="81"/>
            <rFont val="Tahoma"/>
            <family val="2"/>
          </rPr>
          <t>Kieny, Craig:</t>
        </r>
        <r>
          <rPr>
            <sz val="8"/>
            <color indexed="81"/>
            <rFont val="Tahoma"/>
            <family val="2"/>
          </rPr>
          <t xml:space="preserve">
Escalation from 2011 IRP</t>
        </r>
      </text>
    </comment>
    <comment ref="B62" authorId="2" shapeId="0" xr:uid="{00000000-0006-0000-0000-000039000000}">
      <text>
        <r>
          <rPr>
            <b/>
            <sz val="8"/>
            <color indexed="81"/>
            <rFont val="Tahoma"/>
            <family val="2"/>
          </rPr>
          <t>Kieny, Craig:</t>
        </r>
        <r>
          <rPr>
            <sz val="8"/>
            <color indexed="81"/>
            <rFont val="Tahoma"/>
            <family val="2"/>
          </rPr>
          <t xml:space="preserve">
Escalation from 2011 IRP</t>
        </r>
      </text>
    </comment>
    <comment ref="B63" authorId="2" shapeId="0" xr:uid="{00000000-0006-0000-0000-00003A000000}">
      <text>
        <r>
          <rPr>
            <b/>
            <sz val="8"/>
            <color indexed="81"/>
            <rFont val="Tahoma"/>
            <family val="2"/>
          </rPr>
          <t>Kieny, Craig:</t>
        </r>
        <r>
          <rPr>
            <sz val="8"/>
            <color indexed="81"/>
            <rFont val="Tahoma"/>
            <family val="2"/>
          </rPr>
          <t xml:space="preserve">
Escalation from 2011 IRP</t>
        </r>
      </text>
    </comment>
    <comment ref="B64" authorId="2" shapeId="0" xr:uid="{00000000-0006-0000-0000-00003B000000}">
      <text>
        <r>
          <rPr>
            <b/>
            <sz val="8"/>
            <color indexed="81"/>
            <rFont val="Tahoma"/>
            <family val="2"/>
          </rPr>
          <t>Kieny, Craig:</t>
        </r>
        <r>
          <rPr>
            <sz val="8"/>
            <color indexed="81"/>
            <rFont val="Tahoma"/>
            <family val="2"/>
          </rPr>
          <t xml:space="preserve">
Escalation from 2011 IRP</t>
        </r>
      </text>
    </comment>
    <comment ref="B65" authorId="2" shapeId="0" xr:uid="{00000000-0006-0000-0000-00003C000000}">
      <text>
        <r>
          <rPr>
            <b/>
            <sz val="8"/>
            <color indexed="81"/>
            <rFont val="Tahoma"/>
            <family val="2"/>
          </rPr>
          <t>Kieny, Craig:</t>
        </r>
        <r>
          <rPr>
            <sz val="8"/>
            <color indexed="81"/>
            <rFont val="Tahoma"/>
            <family val="2"/>
          </rPr>
          <t xml:space="preserve">
Escalation from 2011 IRP</t>
        </r>
      </text>
    </comment>
    <comment ref="B66" authorId="2" shapeId="0" xr:uid="{00000000-0006-0000-0000-00003D000000}">
      <text>
        <r>
          <rPr>
            <b/>
            <sz val="8"/>
            <color indexed="81"/>
            <rFont val="Tahoma"/>
            <family val="2"/>
          </rPr>
          <t>Kieny, Craig:</t>
        </r>
        <r>
          <rPr>
            <sz val="8"/>
            <color indexed="81"/>
            <rFont val="Tahoma"/>
            <family val="2"/>
          </rPr>
          <t xml:space="preserve">
Escalation from 2011 IRP</t>
        </r>
      </text>
    </comment>
    <comment ref="B67" authorId="2" shapeId="0" xr:uid="{00000000-0006-0000-0000-00003E000000}">
      <text>
        <r>
          <rPr>
            <b/>
            <sz val="8"/>
            <color indexed="81"/>
            <rFont val="Tahoma"/>
            <family val="2"/>
          </rPr>
          <t>Kieny, Craig:</t>
        </r>
        <r>
          <rPr>
            <sz val="8"/>
            <color indexed="81"/>
            <rFont val="Tahoma"/>
            <family val="2"/>
          </rPr>
          <t xml:space="preserve">
Escalation from 2011 IRP</t>
        </r>
      </text>
    </comment>
    <comment ref="B68" authorId="2" shapeId="0" xr:uid="{00000000-0006-0000-0000-00003F000000}">
      <text>
        <r>
          <rPr>
            <b/>
            <sz val="8"/>
            <color indexed="81"/>
            <rFont val="Tahoma"/>
            <family val="2"/>
          </rPr>
          <t>Kieny, Craig:</t>
        </r>
        <r>
          <rPr>
            <sz val="8"/>
            <color indexed="81"/>
            <rFont val="Tahoma"/>
            <family val="2"/>
          </rPr>
          <t xml:space="preserve">
Escalation from 2011 IRP</t>
        </r>
      </text>
    </comment>
    <comment ref="B69" authorId="2" shapeId="0" xr:uid="{00000000-0006-0000-0000-000040000000}">
      <text>
        <r>
          <rPr>
            <b/>
            <sz val="8"/>
            <color indexed="81"/>
            <rFont val="Tahoma"/>
            <family val="2"/>
          </rPr>
          <t>Kieny, Craig:</t>
        </r>
        <r>
          <rPr>
            <sz val="8"/>
            <color indexed="81"/>
            <rFont val="Tahoma"/>
            <family val="2"/>
          </rPr>
          <t xml:space="preserve">
Escalation from 2011 IRP</t>
        </r>
      </text>
    </comment>
    <comment ref="B70" authorId="2" shapeId="0" xr:uid="{00000000-0006-0000-0000-000041000000}">
      <text>
        <r>
          <rPr>
            <b/>
            <sz val="8"/>
            <color indexed="81"/>
            <rFont val="Tahoma"/>
            <family val="2"/>
          </rPr>
          <t>Kieny, Craig:</t>
        </r>
        <r>
          <rPr>
            <sz val="8"/>
            <color indexed="81"/>
            <rFont val="Tahoma"/>
            <family val="2"/>
          </rPr>
          <t xml:space="preserve">
Escalation from 2011 IRP</t>
        </r>
      </text>
    </comment>
    <comment ref="B71" authorId="2" shapeId="0" xr:uid="{00000000-0006-0000-0000-000042000000}">
      <text>
        <r>
          <rPr>
            <b/>
            <sz val="8"/>
            <color indexed="81"/>
            <rFont val="Tahoma"/>
            <family val="2"/>
          </rPr>
          <t>Kieny, Craig:</t>
        </r>
        <r>
          <rPr>
            <sz val="8"/>
            <color indexed="81"/>
            <rFont val="Tahoma"/>
            <family val="2"/>
          </rPr>
          <t xml:space="preserve">
Escalation from 2011 IRP</t>
        </r>
      </text>
    </comment>
    <comment ref="B72" authorId="2" shapeId="0" xr:uid="{00000000-0006-0000-0000-000043000000}">
      <text>
        <r>
          <rPr>
            <b/>
            <sz val="8"/>
            <color indexed="81"/>
            <rFont val="Tahoma"/>
            <family val="2"/>
          </rPr>
          <t>Kieny, Craig:</t>
        </r>
        <r>
          <rPr>
            <sz val="8"/>
            <color indexed="81"/>
            <rFont val="Tahoma"/>
            <family val="2"/>
          </rPr>
          <t xml:space="preserve">
Escalation from 2011 IRP</t>
        </r>
      </text>
    </comment>
    <comment ref="B73" authorId="2" shapeId="0" xr:uid="{00000000-0006-0000-0000-000044000000}">
      <text>
        <r>
          <rPr>
            <b/>
            <sz val="8"/>
            <color indexed="81"/>
            <rFont val="Tahoma"/>
            <family val="2"/>
          </rPr>
          <t>Kieny, Craig:</t>
        </r>
        <r>
          <rPr>
            <sz val="8"/>
            <color indexed="81"/>
            <rFont val="Tahoma"/>
            <family val="2"/>
          </rPr>
          <t xml:space="preserve">
Escalation from 2011 IRP</t>
        </r>
      </text>
    </comment>
    <comment ref="B74" authorId="2" shapeId="0" xr:uid="{00000000-0006-0000-0000-000045000000}">
      <text>
        <r>
          <rPr>
            <b/>
            <sz val="8"/>
            <color indexed="81"/>
            <rFont val="Tahoma"/>
            <family val="2"/>
          </rPr>
          <t>Kieny, Craig:</t>
        </r>
        <r>
          <rPr>
            <sz val="8"/>
            <color indexed="81"/>
            <rFont val="Tahoma"/>
            <family val="2"/>
          </rPr>
          <t xml:space="preserve">
Escalation from 2011 IRP</t>
        </r>
      </text>
    </comment>
    <comment ref="B75" authorId="2" shapeId="0" xr:uid="{00000000-0006-0000-0000-000046000000}">
      <text>
        <r>
          <rPr>
            <b/>
            <sz val="8"/>
            <color indexed="81"/>
            <rFont val="Tahoma"/>
            <family val="2"/>
          </rPr>
          <t>Kieny, Craig:</t>
        </r>
        <r>
          <rPr>
            <sz val="8"/>
            <color indexed="81"/>
            <rFont val="Tahoma"/>
            <family val="2"/>
          </rPr>
          <t xml:space="preserve">
Escalation from 2011 IRP</t>
        </r>
      </text>
    </comment>
    <comment ref="B76" authorId="2" shapeId="0" xr:uid="{00000000-0006-0000-0000-000047000000}">
      <text>
        <r>
          <rPr>
            <b/>
            <sz val="8"/>
            <color indexed="81"/>
            <rFont val="Tahoma"/>
            <family val="2"/>
          </rPr>
          <t>Kieny, Craig:</t>
        </r>
        <r>
          <rPr>
            <sz val="8"/>
            <color indexed="81"/>
            <rFont val="Tahoma"/>
            <family val="2"/>
          </rPr>
          <t xml:space="preserve">
Escalation from 2011 IRP</t>
        </r>
      </text>
    </comment>
    <comment ref="B77" authorId="2" shapeId="0" xr:uid="{00000000-0006-0000-0000-000048000000}">
      <text>
        <r>
          <rPr>
            <b/>
            <sz val="8"/>
            <color indexed="81"/>
            <rFont val="Tahoma"/>
            <family val="2"/>
          </rPr>
          <t>Kieny, Craig:</t>
        </r>
        <r>
          <rPr>
            <sz val="8"/>
            <color indexed="81"/>
            <rFont val="Tahoma"/>
            <family val="2"/>
          </rPr>
          <t xml:space="preserve">
Escalation from 2011 IRP</t>
        </r>
      </text>
    </comment>
    <comment ref="B78" authorId="2" shapeId="0" xr:uid="{00000000-0006-0000-0000-000049000000}">
      <text>
        <r>
          <rPr>
            <b/>
            <sz val="8"/>
            <color indexed="81"/>
            <rFont val="Tahoma"/>
            <family val="2"/>
          </rPr>
          <t>Kieny, Craig:</t>
        </r>
        <r>
          <rPr>
            <sz val="8"/>
            <color indexed="81"/>
            <rFont val="Tahoma"/>
            <family val="2"/>
          </rPr>
          <t xml:space="preserve">
Escalation from 2011 IRP</t>
        </r>
      </text>
    </comment>
    <comment ref="B79" authorId="2" shapeId="0" xr:uid="{00000000-0006-0000-0000-00004A000000}">
      <text>
        <r>
          <rPr>
            <b/>
            <sz val="8"/>
            <color indexed="81"/>
            <rFont val="Tahoma"/>
            <family val="2"/>
          </rPr>
          <t>Kieny, Craig:</t>
        </r>
        <r>
          <rPr>
            <sz val="8"/>
            <color indexed="81"/>
            <rFont val="Tahoma"/>
            <family val="2"/>
          </rPr>
          <t xml:space="preserve">
Escalation from 2011 IRP</t>
        </r>
      </text>
    </comment>
    <comment ref="B80" authorId="2" shapeId="0" xr:uid="{00000000-0006-0000-0000-00004B000000}">
      <text>
        <r>
          <rPr>
            <b/>
            <sz val="8"/>
            <color indexed="81"/>
            <rFont val="Tahoma"/>
            <family val="2"/>
          </rPr>
          <t>Kieny, Craig:</t>
        </r>
        <r>
          <rPr>
            <sz val="8"/>
            <color indexed="81"/>
            <rFont val="Tahoma"/>
            <family val="2"/>
          </rPr>
          <t xml:space="preserve">
Escalation from 2011 IRP</t>
        </r>
      </text>
    </comment>
    <comment ref="B81" authorId="2" shapeId="0" xr:uid="{00000000-0006-0000-0000-00004C000000}">
      <text>
        <r>
          <rPr>
            <b/>
            <sz val="8"/>
            <color indexed="81"/>
            <rFont val="Tahoma"/>
            <family val="2"/>
          </rPr>
          <t>Kieny, Craig:</t>
        </r>
        <r>
          <rPr>
            <sz val="8"/>
            <color indexed="81"/>
            <rFont val="Tahoma"/>
            <family val="2"/>
          </rPr>
          <t xml:space="preserve">
Escalation from 2011 IRP</t>
        </r>
      </text>
    </comment>
    <comment ref="B82" authorId="2" shapeId="0" xr:uid="{00000000-0006-0000-0000-00004D000000}">
      <text>
        <r>
          <rPr>
            <b/>
            <sz val="8"/>
            <color indexed="81"/>
            <rFont val="Tahoma"/>
            <family val="2"/>
          </rPr>
          <t>Kieny, Craig:</t>
        </r>
        <r>
          <rPr>
            <sz val="8"/>
            <color indexed="81"/>
            <rFont val="Tahoma"/>
            <family val="2"/>
          </rPr>
          <t xml:space="preserve">
Escalation from 2011 IRP</t>
        </r>
      </text>
    </comment>
    <comment ref="B83" authorId="2" shapeId="0" xr:uid="{00000000-0006-0000-0000-00004E000000}">
      <text>
        <r>
          <rPr>
            <b/>
            <sz val="8"/>
            <color indexed="81"/>
            <rFont val="Tahoma"/>
            <family val="2"/>
          </rPr>
          <t>Kieny, Craig:</t>
        </r>
        <r>
          <rPr>
            <sz val="8"/>
            <color indexed="81"/>
            <rFont val="Tahoma"/>
            <family val="2"/>
          </rPr>
          <t xml:space="preserve">
Escalation from 2011 IRP</t>
        </r>
      </text>
    </comment>
    <comment ref="B84" authorId="2" shapeId="0" xr:uid="{00000000-0006-0000-0000-00004F000000}">
      <text>
        <r>
          <rPr>
            <b/>
            <sz val="8"/>
            <color indexed="81"/>
            <rFont val="Tahoma"/>
            <family val="2"/>
          </rPr>
          <t>Kieny, Craig:</t>
        </r>
        <r>
          <rPr>
            <sz val="8"/>
            <color indexed="81"/>
            <rFont val="Tahoma"/>
            <family val="2"/>
          </rPr>
          <t xml:space="preserve">
Escalation from 2011 IRP</t>
        </r>
      </text>
    </comment>
    <comment ref="B85" authorId="2" shapeId="0" xr:uid="{00000000-0006-0000-0000-000050000000}">
      <text>
        <r>
          <rPr>
            <b/>
            <sz val="8"/>
            <color indexed="81"/>
            <rFont val="Tahoma"/>
            <family val="2"/>
          </rPr>
          <t>Kieny, Craig:</t>
        </r>
        <r>
          <rPr>
            <sz val="8"/>
            <color indexed="81"/>
            <rFont val="Tahoma"/>
            <family val="2"/>
          </rPr>
          <t xml:space="preserve">
Escalation from 2011 IRP</t>
        </r>
      </text>
    </comment>
    <comment ref="B86" authorId="2" shapeId="0" xr:uid="{00000000-0006-0000-0000-000051000000}">
      <text>
        <r>
          <rPr>
            <b/>
            <sz val="8"/>
            <color indexed="81"/>
            <rFont val="Tahoma"/>
            <family val="2"/>
          </rPr>
          <t>Kieny, Craig:</t>
        </r>
        <r>
          <rPr>
            <sz val="8"/>
            <color indexed="81"/>
            <rFont val="Tahoma"/>
            <family val="2"/>
          </rPr>
          <t xml:space="preserve">
Escalation from 2011 IRP</t>
        </r>
      </text>
    </comment>
    <comment ref="B87" authorId="2" shapeId="0" xr:uid="{00000000-0006-0000-0000-000052000000}">
      <text>
        <r>
          <rPr>
            <b/>
            <sz val="8"/>
            <color indexed="81"/>
            <rFont val="Tahoma"/>
            <family val="2"/>
          </rPr>
          <t>Kieny, Craig:</t>
        </r>
        <r>
          <rPr>
            <sz val="8"/>
            <color indexed="81"/>
            <rFont val="Tahoma"/>
            <family val="2"/>
          </rPr>
          <t xml:space="preserve">
Escalation from 2011 IRP</t>
        </r>
      </text>
    </comment>
    <comment ref="B88" authorId="2" shapeId="0" xr:uid="{00000000-0006-0000-0000-000053000000}">
      <text>
        <r>
          <rPr>
            <b/>
            <sz val="8"/>
            <color indexed="81"/>
            <rFont val="Tahoma"/>
            <family val="2"/>
          </rPr>
          <t>Kieny, Craig:</t>
        </r>
        <r>
          <rPr>
            <sz val="8"/>
            <color indexed="81"/>
            <rFont val="Tahoma"/>
            <family val="2"/>
          </rPr>
          <t xml:space="preserve">
Escalation from 2011 IRP</t>
        </r>
      </text>
    </comment>
    <comment ref="B89" authorId="2" shapeId="0" xr:uid="{00000000-0006-0000-0000-000054000000}">
      <text>
        <r>
          <rPr>
            <b/>
            <sz val="8"/>
            <color indexed="81"/>
            <rFont val="Tahoma"/>
            <family val="2"/>
          </rPr>
          <t>Kieny, Craig:</t>
        </r>
        <r>
          <rPr>
            <sz val="8"/>
            <color indexed="81"/>
            <rFont val="Tahoma"/>
            <family val="2"/>
          </rPr>
          <t xml:space="preserve">
Escalation from 2011 IRP</t>
        </r>
      </text>
    </comment>
    <comment ref="B90" authorId="2" shapeId="0" xr:uid="{00000000-0006-0000-0000-000055000000}">
      <text>
        <r>
          <rPr>
            <b/>
            <sz val="8"/>
            <color indexed="81"/>
            <rFont val="Tahoma"/>
            <family val="2"/>
          </rPr>
          <t>Kieny, Craig:</t>
        </r>
        <r>
          <rPr>
            <sz val="8"/>
            <color indexed="81"/>
            <rFont val="Tahoma"/>
            <family val="2"/>
          </rPr>
          <t xml:space="preserve">
Escalation from 2011 IRP</t>
        </r>
      </text>
    </comment>
    <comment ref="B91" authorId="2" shapeId="0" xr:uid="{00000000-0006-0000-0000-000056000000}">
      <text>
        <r>
          <rPr>
            <b/>
            <sz val="8"/>
            <color indexed="81"/>
            <rFont val="Tahoma"/>
            <family val="2"/>
          </rPr>
          <t>Kieny, Craig:</t>
        </r>
        <r>
          <rPr>
            <sz val="8"/>
            <color indexed="81"/>
            <rFont val="Tahoma"/>
            <family val="2"/>
          </rPr>
          <t xml:space="preserve">
Escalation from 2011 IRP</t>
        </r>
      </text>
    </comment>
    <comment ref="B92" authorId="2" shapeId="0" xr:uid="{00000000-0006-0000-0000-000057000000}">
      <text>
        <r>
          <rPr>
            <b/>
            <sz val="8"/>
            <color indexed="81"/>
            <rFont val="Tahoma"/>
            <family val="2"/>
          </rPr>
          <t>Kieny, Craig:</t>
        </r>
        <r>
          <rPr>
            <sz val="8"/>
            <color indexed="81"/>
            <rFont val="Tahoma"/>
            <family val="2"/>
          </rPr>
          <t xml:space="preserve">
Escalation from 2011 IRP</t>
        </r>
      </text>
    </comment>
    <comment ref="B93" authorId="2" shapeId="0" xr:uid="{00000000-0006-0000-0000-000058000000}">
      <text>
        <r>
          <rPr>
            <b/>
            <sz val="8"/>
            <color indexed="81"/>
            <rFont val="Tahoma"/>
            <family val="2"/>
          </rPr>
          <t>Kieny, Craig:</t>
        </r>
        <r>
          <rPr>
            <sz val="8"/>
            <color indexed="81"/>
            <rFont val="Tahoma"/>
            <family val="2"/>
          </rPr>
          <t xml:space="preserve">
Escalation from 2011 IRP</t>
        </r>
      </text>
    </comment>
    <comment ref="B94" authorId="2" shapeId="0" xr:uid="{00000000-0006-0000-0000-000059000000}">
      <text>
        <r>
          <rPr>
            <b/>
            <sz val="8"/>
            <color indexed="81"/>
            <rFont val="Tahoma"/>
            <family val="2"/>
          </rPr>
          <t>Kieny, Craig:</t>
        </r>
        <r>
          <rPr>
            <sz val="8"/>
            <color indexed="81"/>
            <rFont val="Tahoma"/>
            <family val="2"/>
          </rPr>
          <t xml:space="preserve">
Escalation from 2011 IRP</t>
        </r>
      </text>
    </comment>
    <comment ref="B95" authorId="2" shapeId="0" xr:uid="{00000000-0006-0000-0000-00005A000000}">
      <text>
        <r>
          <rPr>
            <b/>
            <sz val="8"/>
            <color indexed="81"/>
            <rFont val="Tahoma"/>
            <family val="2"/>
          </rPr>
          <t>Kieny, Craig:</t>
        </r>
        <r>
          <rPr>
            <sz val="8"/>
            <color indexed="81"/>
            <rFont val="Tahoma"/>
            <family val="2"/>
          </rPr>
          <t xml:space="preserve">
Escalation from 2011 IRP</t>
        </r>
      </text>
    </comment>
    <comment ref="B96" authorId="2" shapeId="0" xr:uid="{00000000-0006-0000-0000-00005B000000}">
      <text>
        <r>
          <rPr>
            <b/>
            <sz val="8"/>
            <color indexed="81"/>
            <rFont val="Tahoma"/>
            <family val="2"/>
          </rPr>
          <t>Kieny, Craig:</t>
        </r>
        <r>
          <rPr>
            <sz val="8"/>
            <color indexed="81"/>
            <rFont val="Tahoma"/>
            <family val="2"/>
          </rPr>
          <t xml:space="preserve">
Escalation from 2011 IRP</t>
        </r>
      </text>
    </comment>
    <comment ref="B97" authorId="2" shapeId="0" xr:uid="{00000000-0006-0000-0000-00005C000000}">
      <text>
        <r>
          <rPr>
            <b/>
            <sz val="8"/>
            <color indexed="81"/>
            <rFont val="Tahoma"/>
            <family val="2"/>
          </rPr>
          <t>Kieny, Craig:</t>
        </r>
        <r>
          <rPr>
            <sz val="8"/>
            <color indexed="81"/>
            <rFont val="Tahoma"/>
            <family val="2"/>
          </rPr>
          <t xml:space="preserve">
Escalation from 2011 IRP</t>
        </r>
      </text>
    </comment>
    <comment ref="B98" authorId="2" shapeId="0" xr:uid="{00000000-0006-0000-0000-00005D000000}">
      <text>
        <r>
          <rPr>
            <b/>
            <sz val="8"/>
            <color indexed="81"/>
            <rFont val="Tahoma"/>
            <family val="2"/>
          </rPr>
          <t>Kieny, Craig:</t>
        </r>
        <r>
          <rPr>
            <sz val="8"/>
            <color indexed="81"/>
            <rFont val="Tahoma"/>
            <family val="2"/>
          </rPr>
          <t xml:space="preserve">
Escalation from 2011 IRP</t>
        </r>
      </text>
    </comment>
    <comment ref="B99" authorId="2" shapeId="0" xr:uid="{00000000-0006-0000-0000-00005E000000}">
      <text>
        <r>
          <rPr>
            <b/>
            <sz val="8"/>
            <color indexed="81"/>
            <rFont val="Tahoma"/>
            <family val="2"/>
          </rPr>
          <t>Kieny, Craig:</t>
        </r>
        <r>
          <rPr>
            <sz val="8"/>
            <color indexed="81"/>
            <rFont val="Tahoma"/>
            <family val="2"/>
          </rPr>
          <t xml:space="preserve">
Escalation from 2011 IRP</t>
        </r>
      </text>
    </comment>
    <comment ref="B100" authorId="2" shapeId="0" xr:uid="{00000000-0006-0000-0000-00005F000000}">
      <text>
        <r>
          <rPr>
            <b/>
            <sz val="8"/>
            <color indexed="81"/>
            <rFont val="Tahoma"/>
            <family val="2"/>
          </rPr>
          <t>Kieny, Craig:</t>
        </r>
        <r>
          <rPr>
            <sz val="8"/>
            <color indexed="81"/>
            <rFont val="Tahoma"/>
            <family val="2"/>
          </rPr>
          <t xml:space="preserve">
Escalation from 2011 IRP</t>
        </r>
      </text>
    </comment>
    <comment ref="B101" authorId="2" shapeId="0" xr:uid="{00000000-0006-0000-0000-000060000000}">
      <text>
        <r>
          <rPr>
            <b/>
            <sz val="8"/>
            <color indexed="81"/>
            <rFont val="Tahoma"/>
            <family val="2"/>
          </rPr>
          <t>Kieny, Craig:</t>
        </r>
        <r>
          <rPr>
            <sz val="8"/>
            <color indexed="81"/>
            <rFont val="Tahoma"/>
            <family val="2"/>
          </rPr>
          <t xml:space="preserve">
Escalation from 2011 IRP</t>
        </r>
      </text>
    </comment>
    <comment ref="B102" authorId="2" shapeId="0" xr:uid="{00000000-0006-0000-0000-000061000000}">
      <text>
        <r>
          <rPr>
            <b/>
            <sz val="8"/>
            <color indexed="81"/>
            <rFont val="Tahoma"/>
            <family val="2"/>
          </rPr>
          <t>Kieny, Craig:</t>
        </r>
        <r>
          <rPr>
            <sz val="8"/>
            <color indexed="81"/>
            <rFont val="Tahoma"/>
            <family val="2"/>
          </rPr>
          <t xml:space="preserve">
Escalation from 2011 IRP</t>
        </r>
      </text>
    </comment>
    <comment ref="B103" authorId="2" shapeId="0" xr:uid="{00000000-0006-0000-0000-000062000000}">
      <text>
        <r>
          <rPr>
            <b/>
            <sz val="8"/>
            <color indexed="81"/>
            <rFont val="Tahoma"/>
            <family val="2"/>
          </rPr>
          <t>Kieny, Craig:</t>
        </r>
        <r>
          <rPr>
            <sz val="8"/>
            <color indexed="81"/>
            <rFont val="Tahoma"/>
            <family val="2"/>
          </rPr>
          <t xml:space="preserve">
Escalation from 2011 IRP</t>
        </r>
      </text>
    </comment>
    <comment ref="B104" authorId="2" shapeId="0" xr:uid="{00000000-0006-0000-0000-000063000000}">
      <text>
        <r>
          <rPr>
            <b/>
            <sz val="8"/>
            <color indexed="81"/>
            <rFont val="Tahoma"/>
            <family val="2"/>
          </rPr>
          <t>Kieny, Craig:</t>
        </r>
        <r>
          <rPr>
            <sz val="8"/>
            <color indexed="81"/>
            <rFont val="Tahoma"/>
            <family val="2"/>
          </rPr>
          <t xml:space="preserve">
Escalation from 2011 IRP</t>
        </r>
      </text>
    </comment>
    <comment ref="B105" authorId="2" shapeId="0" xr:uid="{00000000-0006-0000-0000-000064000000}">
      <text>
        <r>
          <rPr>
            <b/>
            <sz val="8"/>
            <color indexed="81"/>
            <rFont val="Tahoma"/>
            <family val="2"/>
          </rPr>
          <t>Kieny, Craig:</t>
        </r>
        <r>
          <rPr>
            <sz val="8"/>
            <color indexed="81"/>
            <rFont val="Tahoma"/>
            <family val="2"/>
          </rPr>
          <t xml:space="preserve">
Escalation from 2011 IRP</t>
        </r>
      </text>
    </comment>
    <comment ref="B106" authorId="2" shapeId="0" xr:uid="{00000000-0006-0000-0000-000065000000}">
      <text>
        <r>
          <rPr>
            <b/>
            <sz val="8"/>
            <color indexed="81"/>
            <rFont val="Tahoma"/>
            <family val="2"/>
          </rPr>
          <t>Kieny, Craig:</t>
        </r>
        <r>
          <rPr>
            <sz val="8"/>
            <color indexed="81"/>
            <rFont val="Tahoma"/>
            <family val="2"/>
          </rPr>
          <t xml:space="preserve">
Escalation from 2011 IRP</t>
        </r>
      </text>
    </comment>
    <comment ref="B107" authorId="2" shapeId="0" xr:uid="{00000000-0006-0000-0000-000066000000}">
      <text>
        <r>
          <rPr>
            <b/>
            <sz val="8"/>
            <color indexed="81"/>
            <rFont val="Tahoma"/>
            <family val="2"/>
          </rPr>
          <t>Kieny, Craig:</t>
        </r>
        <r>
          <rPr>
            <sz val="8"/>
            <color indexed="81"/>
            <rFont val="Tahoma"/>
            <family val="2"/>
          </rPr>
          <t xml:space="preserve">
Escalation from 2011 IRP</t>
        </r>
      </text>
    </comment>
    <comment ref="B108" authorId="2" shapeId="0" xr:uid="{00000000-0006-0000-0000-000067000000}">
      <text>
        <r>
          <rPr>
            <b/>
            <sz val="8"/>
            <color indexed="81"/>
            <rFont val="Tahoma"/>
            <family val="2"/>
          </rPr>
          <t>Kieny, Craig:</t>
        </r>
        <r>
          <rPr>
            <sz val="8"/>
            <color indexed="81"/>
            <rFont val="Tahoma"/>
            <family val="2"/>
          </rPr>
          <t xml:space="preserve">
Escalation from 2011 IRP</t>
        </r>
      </text>
    </comment>
    <comment ref="B109" authorId="2" shapeId="0" xr:uid="{00000000-0006-0000-0000-000068000000}">
      <text>
        <r>
          <rPr>
            <b/>
            <sz val="8"/>
            <color indexed="81"/>
            <rFont val="Tahoma"/>
            <family val="2"/>
          </rPr>
          <t>Kieny, Craig:</t>
        </r>
        <r>
          <rPr>
            <sz val="8"/>
            <color indexed="81"/>
            <rFont val="Tahoma"/>
            <family val="2"/>
          </rPr>
          <t xml:space="preserve">
Escalation from 2011 IRP</t>
        </r>
      </text>
    </comment>
    <comment ref="B110" authorId="2" shapeId="0" xr:uid="{00000000-0006-0000-0000-000069000000}">
      <text>
        <r>
          <rPr>
            <b/>
            <sz val="8"/>
            <color indexed="81"/>
            <rFont val="Tahoma"/>
            <family val="2"/>
          </rPr>
          <t>Kieny, Craig:</t>
        </r>
        <r>
          <rPr>
            <sz val="8"/>
            <color indexed="81"/>
            <rFont val="Tahoma"/>
            <family val="2"/>
          </rPr>
          <t xml:space="preserve">
Escalation from 2011 IRP</t>
        </r>
      </text>
    </comment>
    <comment ref="B111" authorId="2" shapeId="0" xr:uid="{00000000-0006-0000-0000-00006A000000}">
      <text>
        <r>
          <rPr>
            <b/>
            <sz val="8"/>
            <color indexed="81"/>
            <rFont val="Tahoma"/>
            <family val="2"/>
          </rPr>
          <t>Kieny, Craig:</t>
        </r>
        <r>
          <rPr>
            <sz val="8"/>
            <color indexed="81"/>
            <rFont val="Tahoma"/>
            <family val="2"/>
          </rPr>
          <t xml:space="preserve">
Escalation from 2011 IRP</t>
        </r>
      </text>
    </comment>
    <comment ref="B112" authorId="2" shapeId="0" xr:uid="{00000000-0006-0000-0000-00006B000000}">
      <text>
        <r>
          <rPr>
            <b/>
            <sz val="8"/>
            <color indexed="81"/>
            <rFont val="Tahoma"/>
            <family val="2"/>
          </rPr>
          <t>Kieny, Craig:</t>
        </r>
        <r>
          <rPr>
            <sz val="8"/>
            <color indexed="81"/>
            <rFont val="Tahoma"/>
            <family val="2"/>
          </rPr>
          <t xml:space="preserve">
Escalation from 2011 IRP</t>
        </r>
      </text>
    </comment>
    <comment ref="B113" authorId="2" shapeId="0" xr:uid="{00000000-0006-0000-0000-00006C000000}">
      <text>
        <r>
          <rPr>
            <b/>
            <sz val="8"/>
            <color indexed="81"/>
            <rFont val="Tahoma"/>
            <family val="2"/>
          </rPr>
          <t>Kieny, Craig:</t>
        </r>
        <r>
          <rPr>
            <sz val="8"/>
            <color indexed="81"/>
            <rFont val="Tahoma"/>
            <family val="2"/>
          </rPr>
          <t xml:space="preserve">
Escalation from 2011 IRP</t>
        </r>
      </text>
    </comment>
    <comment ref="B114" authorId="2" shapeId="0" xr:uid="{00000000-0006-0000-0000-00006D000000}">
      <text>
        <r>
          <rPr>
            <b/>
            <sz val="8"/>
            <color indexed="81"/>
            <rFont val="Tahoma"/>
            <family val="2"/>
          </rPr>
          <t>Kieny, Craig:</t>
        </r>
        <r>
          <rPr>
            <sz val="8"/>
            <color indexed="81"/>
            <rFont val="Tahoma"/>
            <family val="2"/>
          </rPr>
          <t xml:space="preserve">
Escalation from 2011 IRP</t>
        </r>
      </text>
    </comment>
    <comment ref="B115" authorId="2" shapeId="0" xr:uid="{00000000-0006-0000-0000-00006E000000}">
      <text>
        <r>
          <rPr>
            <b/>
            <sz val="8"/>
            <color indexed="81"/>
            <rFont val="Tahoma"/>
            <family val="2"/>
          </rPr>
          <t>Kieny, Craig:</t>
        </r>
        <r>
          <rPr>
            <sz val="8"/>
            <color indexed="81"/>
            <rFont val="Tahoma"/>
            <family val="2"/>
          </rPr>
          <t xml:space="preserve">
Escalation from 2011 IRP</t>
        </r>
      </text>
    </comment>
    <comment ref="B116" authorId="2" shapeId="0" xr:uid="{00000000-0006-0000-0000-00006F000000}">
      <text>
        <r>
          <rPr>
            <b/>
            <sz val="8"/>
            <color indexed="81"/>
            <rFont val="Tahoma"/>
            <family val="2"/>
          </rPr>
          <t>Kieny, Craig:</t>
        </r>
        <r>
          <rPr>
            <sz val="8"/>
            <color indexed="81"/>
            <rFont val="Tahoma"/>
            <family val="2"/>
          </rPr>
          <t xml:space="preserve">
Escalation from 2011 IRP</t>
        </r>
      </text>
    </comment>
    <comment ref="B117" authorId="2" shapeId="0" xr:uid="{00000000-0006-0000-0000-000070000000}">
      <text>
        <r>
          <rPr>
            <b/>
            <sz val="8"/>
            <color indexed="81"/>
            <rFont val="Tahoma"/>
            <family val="2"/>
          </rPr>
          <t>Kieny, Craig:</t>
        </r>
        <r>
          <rPr>
            <sz val="8"/>
            <color indexed="81"/>
            <rFont val="Tahoma"/>
            <family val="2"/>
          </rPr>
          <t xml:space="preserve">
Escalation from 2011 IRP</t>
        </r>
      </text>
    </comment>
    <comment ref="B118" authorId="2" shapeId="0" xr:uid="{00000000-0006-0000-0000-000071000000}">
      <text>
        <r>
          <rPr>
            <b/>
            <sz val="8"/>
            <color indexed="81"/>
            <rFont val="Tahoma"/>
            <family val="2"/>
          </rPr>
          <t>Kieny, Craig:</t>
        </r>
        <r>
          <rPr>
            <sz val="8"/>
            <color indexed="81"/>
            <rFont val="Tahoma"/>
            <family val="2"/>
          </rPr>
          <t xml:space="preserve">
Escalation from 2011 IRP</t>
        </r>
      </text>
    </comment>
    <comment ref="B119" authorId="2" shapeId="0" xr:uid="{00000000-0006-0000-0000-000072000000}">
      <text>
        <r>
          <rPr>
            <b/>
            <sz val="8"/>
            <color indexed="81"/>
            <rFont val="Tahoma"/>
            <family val="2"/>
          </rPr>
          <t>Kieny, Craig:</t>
        </r>
        <r>
          <rPr>
            <sz val="8"/>
            <color indexed="81"/>
            <rFont val="Tahoma"/>
            <family val="2"/>
          </rPr>
          <t xml:space="preserve">
Escalation from 2011 IRP</t>
        </r>
      </text>
    </comment>
    <comment ref="B120" authorId="2" shapeId="0" xr:uid="{00000000-0006-0000-0000-000073000000}">
      <text>
        <r>
          <rPr>
            <b/>
            <sz val="8"/>
            <color indexed="81"/>
            <rFont val="Tahoma"/>
            <family val="2"/>
          </rPr>
          <t>Kieny, Craig:</t>
        </r>
        <r>
          <rPr>
            <sz val="8"/>
            <color indexed="81"/>
            <rFont val="Tahoma"/>
            <family val="2"/>
          </rPr>
          <t xml:space="preserve">
Escalation from 2011 IRP</t>
        </r>
      </text>
    </comment>
    <comment ref="B121" authorId="2" shapeId="0" xr:uid="{00000000-0006-0000-0000-000074000000}">
      <text>
        <r>
          <rPr>
            <b/>
            <sz val="8"/>
            <color indexed="81"/>
            <rFont val="Tahoma"/>
            <family val="2"/>
          </rPr>
          <t>Kieny, Craig:</t>
        </r>
        <r>
          <rPr>
            <sz val="8"/>
            <color indexed="81"/>
            <rFont val="Tahoma"/>
            <family val="2"/>
          </rPr>
          <t xml:space="preserve">
Escalation from 2011 IRP</t>
        </r>
      </text>
    </comment>
    <comment ref="B122" authorId="2" shapeId="0" xr:uid="{00000000-0006-0000-0000-000075000000}">
      <text>
        <r>
          <rPr>
            <b/>
            <sz val="8"/>
            <color indexed="81"/>
            <rFont val="Tahoma"/>
            <family val="2"/>
          </rPr>
          <t>Kieny, Craig:</t>
        </r>
        <r>
          <rPr>
            <sz val="8"/>
            <color indexed="81"/>
            <rFont val="Tahoma"/>
            <family val="2"/>
          </rPr>
          <t xml:space="preserve">
Escalation from 2011 IRP</t>
        </r>
      </text>
    </comment>
    <comment ref="B123" authorId="2" shapeId="0" xr:uid="{00000000-0006-0000-0000-000076000000}">
      <text>
        <r>
          <rPr>
            <b/>
            <sz val="8"/>
            <color indexed="81"/>
            <rFont val="Tahoma"/>
            <family val="2"/>
          </rPr>
          <t>Kieny, Craig:</t>
        </r>
        <r>
          <rPr>
            <sz val="8"/>
            <color indexed="81"/>
            <rFont val="Tahoma"/>
            <family val="2"/>
          </rPr>
          <t xml:space="preserve">
Escalation from 2011 IRP</t>
        </r>
      </text>
    </comment>
    <comment ref="B124" authorId="2" shapeId="0" xr:uid="{00000000-0006-0000-0000-000077000000}">
      <text>
        <r>
          <rPr>
            <b/>
            <sz val="8"/>
            <color indexed="81"/>
            <rFont val="Tahoma"/>
            <family val="2"/>
          </rPr>
          <t>Kieny, Craig:</t>
        </r>
        <r>
          <rPr>
            <sz val="8"/>
            <color indexed="81"/>
            <rFont val="Tahoma"/>
            <family val="2"/>
          </rPr>
          <t xml:space="preserve">
Escalation from 2011 IRP</t>
        </r>
      </text>
    </comment>
    <comment ref="B125" authorId="2" shapeId="0" xr:uid="{00000000-0006-0000-0000-000078000000}">
      <text>
        <r>
          <rPr>
            <b/>
            <sz val="8"/>
            <color indexed="81"/>
            <rFont val="Tahoma"/>
            <family val="2"/>
          </rPr>
          <t>Kieny, Craig:</t>
        </r>
        <r>
          <rPr>
            <sz val="8"/>
            <color indexed="81"/>
            <rFont val="Tahoma"/>
            <family val="2"/>
          </rPr>
          <t xml:space="preserve">
Escalation from 2011 IRP</t>
        </r>
      </text>
    </comment>
    <comment ref="B126" authorId="2" shapeId="0" xr:uid="{00000000-0006-0000-0000-000079000000}">
      <text>
        <r>
          <rPr>
            <b/>
            <sz val="8"/>
            <color indexed="81"/>
            <rFont val="Tahoma"/>
            <family val="2"/>
          </rPr>
          <t>Kieny, Craig:</t>
        </r>
        <r>
          <rPr>
            <sz val="8"/>
            <color indexed="81"/>
            <rFont val="Tahoma"/>
            <family val="2"/>
          </rPr>
          <t xml:space="preserve">
Escalation from 2011 IRP</t>
        </r>
      </text>
    </comment>
    <comment ref="B127" authorId="2" shapeId="0" xr:uid="{00000000-0006-0000-0000-00007A000000}">
      <text>
        <r>
          <rPr>
            <b/>
            <sz val="8"/>
            <color indexed="81"/>
            <rFont val="Tahoma"/>
            <family val="2"/>
          </rPr>
          <t>Kieny, Craig:</t>
        </r>
        <r>
          <rPr>
            <sz val="8"/>
            <color indexed="81"/>
            <rFont val="Tahoma"/>
            <family val="2"/>
          </rPr>
          <t xml:space="preserve">
Escalation from 2011 IRP</t>
        </r>
      </text>
    </comment>
    <comment ref="B128" authorId="2" shapeId="0" xr:uid="{00000000-0006-0000-0000-00007B000000}">
      <text>
        <r>
          <rPr>
            <b/>
            <sz val="8"/>
            <color indexed="81"/>
            <rFont val="Tahoma"/>
            <family val="2"/>
          </rPr>
          <t>Kieny, Craig:</t>
        </r>
        <r>
          <rPr>
            <sz val="8"/>
            <color indexed="81"/>
            <rFont val="Tahoma"/>
            <family val="2"/>
          </rPr>
          <t xml:space="preserve">
Escalation from 2011 IRP</t>
        </r>
      </text>
    </comment>
    <comment ref="B129" authorId="2" shapeId="0" xr:uid="{00000000-0006-0000-0000-00007C000000}">
      <text>
        <r>
          <rPr>
            <b/>
            <sz val="8"/>
            <color indexed="81"/>
            <rFont val="Tahoma"/>
            <family val="2"/>
          </rPr>
          <t>Kieny, Craig:</t>
        </r>
        <r>
          <rPr>
            <sz val="8"/>
            <color indexed="81"/>
            <rFont val="Tahoma"/>
            <family val="2"/>
          </rPr>
          <t xml:space="preserve">
Escalation from 2011 IRP</t>
        </r>
      </text>
    </comment>
    <comment ref="B130" authorId="2" shapeId="0" xr:uid="{00000000-0006-0000-0000-00007D000000}">
      <text>
        <r>
          <rPr>
            <b/>
            <sz val="8"/>
            <color indexed="81"/>
            <rFont val="Tahoma"/>
            <family val="2"/>
          </rPr>
          <t>Kieny, Craig:</t>
        </r>
        <r>
          <rPr>
            <sz val="8"/>
            <color indexed="81"/>
            <rFont val="Tahoma"/>
            <family val="2"/>
          </rPr>
          <t xml:space="preserve">
Escalation from 2011 IRP</t>
        </r>
      </text>
    </comment>
    <comment ref="B131" authorId="2" shapeId="0" xr:uid="{00000000-0006-0000-0000-00007E000000}">
      <text>
        <r>
          <rPr>
            <b/>
            <sz val="8"/>
            <color indexed="81"/>
            <rFont val="Tahoma"/>
            <family val="2"/>
          </rPr>
          <t>Kieny, Craig:</t>
        </r>
        <r>
          <rPr>
            <sz val="8"/>
            <color indexed="81"/>
            <rFont val="Tahoma"/>
            <family val="2"/>
          </rPr>
          <t xml:space="preserve">
Escalation from 2011 IRP</t>
        </r>
      </text>
    </comment>
    <comment ref="B132" authorId="2" shapeId="0" xr:uid="{00000000-0006-0000-0000-00007F000000}">
      <text>
        <r>
          <rPr>
            <b/>
            <sz val="8"/>
            <color indexed="81"/>
            <rFont val="Tahoma"/>
            <family val="2"/>
          </rPr>
          <t>Kieny, Craig:</t>
        </r>
        <r>
          <rPr>
            <sz val="8"/>
            <color indexed="81"/>
            <rFont val="Tahoma"/>
            <family val="2"/>
          </rPr>
          <t xml:space="preserve">
Escalation from 2011 IRP</t>
        </r>
      </text>
    </comment>
    <comment ref="B133" authorId="2" shapeId="0" xr:uid="{00000000-0006-0000-0000-000080000000}">
      <text>
        <r>
          <rPr>
            <b/>
            <sz val="8"/>
            <color indexed="81"/>
            <rFont val="Tahoma"/>
            <family val="2"/>
          </rPr>
          <t>Kieny, Craig:</t>
        </r>
        <r>
          <rPr>
            <sz val="8"/>
            <color indexed="81"/>
            <rFont val="Tahoma"/>
            <family val="2"/>
          </rPr>
          <t xml:space="preserve">
Escalation from 2011 IRP</t>
        </r>
      </text>
    </comment>
    <comment ref="B134" authorId="2" shapeId="0" xr:uid="{00000000-0006-0000-0000-000081000000}">
      <text>
        <r>
          <rPr>
            <b/>
            <sz val="8"/>
            <color indexed="81"/>
            <rFont val="Tahoma"/>
            <family val="2"/>
          </rPr>
          <t>Kieny, Craig:</t>
        </r>
        <r>
          <rPr>
            <sz val="8"/>
            <color indexed="81"/>
            <rFont val="Tahoma"/>
            <family val="2"/>
          </rPr>
          <t xml:space="preserve">
Escalation from 2011 IRP</t>
        </r>
      </text>
    </comment>
    <comment ref="B135" authorId="2" shapeId="0" xr:uid="{00000000-0006-0000-0000-000082000000}">
      <text>
        <r>
          <rPr>
            <b/>
            <sz val="8"/>
            <color indexed="81"/>
            <rFont val="Tahoma"/>
            <family val="2"/>
          </rPr>
          <t>Kieny, Craig:</t>
        </r>
        <r>
          <rPr>
            <sz val="8"/>
            <color indexed="81"/>
            <rFont val="Tahoma"/>
            <family val="2"/>
          </rPr>
          <t xml:space="preserve">
Escalation from 2011 IRP</t>
        </r>
      </text>
    </comment>
    <comment ref="B136" authorId="2" shapeId="0" xr:uid="{00000000-0006-0000-0000-000083000000}">
      <text>
        <r>
          <rPr>
            <b/>
            <sz val="8"/>
            <color indexed="81"/>
            <rFont val="Tahoma"/>
            <family val="2"/>
          </rPr>
          <t>Kieny, Craig:</t>
        </r>
        <r>
          <rPr>
            <sz val="8"/>
            <color indexed="81"/>
            <rFont val="Tahoma"/>
            <family val="2"/>
          </rPr>
          <t xml:space="preserve">
Escalation from 2011 IRP</t>
        </r>
      </text>
    </comment>
    <comment ref="B137" authorId="2" shapeId="0" xr:uid="{00000000-0006-0000-0000-000084000000}">
      <text>
        <r>
          <rPr>
            <b/>
            <sz val="8"/>
            <color indexed="81"/>
            <rFont val="Tahoma"/>
            <family val="2"/>
          </rPr>
          <t>Kieny, Craig:</t>
        </r>
        <r>
          <rPr>
            <sz val="8"/>
            <color indexed="81"/>
            <rFont val="Tahoma"/>
            <family val="2"/>
          </rPr>
          <t xml:space="preserve">
Escalation from 2011 IRP</t>
        </r>
      </text>
    </comment>
    <comment ref="B138" authorId="2" shapeId="0" xr:uid="{00000000-0006-0000-0000-000085000000}">
      <text>
        <r>
          <rPr>
            <b/>
            <sz val="8"/>
            <color indexed="81"/>
            <rFont val="Tahoma"/>
            <family val="2"/>
          </rPr>
          <t>Kieny, Craig:</t>
        </r>
        <r>
          <rPr>
            <sz val="8"/>
            <color indexed="81"/>
            <rFont val="Tahoma"/>
            <family val="2"/>
          </rPr>
          <t xml:space="preserve">
Escalation from 2011 IRP</t>
        </r>
      </text>
    </comment>
    <comment ref="B139" authorId="2" shapeId="0" xr:uid="{00000000-0006-0000-0000-000086000000}">
      <text>
        <r>
          <rPr>
            <b/>
            <sz val="8"/>
            <color indexed="81"/>
            <rFont val="Tahoma"/>
            <family val="2"/>
          </rPr>
          <t>Kieny, Craig:</t>
        </r>
        <r>
          <rPr>
            <sz val="8"/>
            <color indexed="81"/>
            <rFont val="Tahoma"/>
            <family val="2"/>
          </rPr>
          <t xml:space="preserve">
Escalation from 2011 IRP</t>
        </r>
      </text>
    </comment>
    <comment ref="B140" authorId="2" shapeId="0" xr:uid="{00000000-0006-0000-0000-000087000000}">
      <text>
        <r>
          <rPr>
            <b/>
            <sz val="8"/>
            <color indexed="81"/>
            <rFont val="Tahoma"/>
            <family val="2"/>
          </rPr>
          <t>Kieny, Craig:</t>
        </r>
        <r>
          <rPr>
            <sz val="8"/>
            <color indexed="81"/>
            <rFont val="Tahoma"/>
            <family val="2"/>
          </rPr>
          <t xml:space="preserve">
Escalation from 2011 IRP</t>
        </r>
      </text>
    </comment>
    <comment ref="B141" authorId="2" shapeId="0" xr:uid="{00000000-0006-0000-0000-000088000000}">
      <text>
        <r>
          <rPr>
            <b/>
            <sz val="8"/>
            <color indexed="81"/>
            <rFont val="Tahoma"/>
            <family val="2"/>
          </rPr>
          <t>Kieny, Craig:</t>
        </r>
        <r>
          <rPr>
            <sz val="8"/>
            <color indexed="81"/>
            <rFont val="Tahoma"/>
            <family val="2"/>
          </rPr>
          <t xml:space="preserve">
Escalation from 2011 IRP</t>
        </r>
      </text>
    </comment>
    <comment ref="B142" authorId="2" shapeId="0" xr:uid="{00000000-0006-0000-0000-000089000000}">
      <text>
        <r>
          <rPr>
            <b/>
            <sz val="8"/>
            <color indexed="81"/>
            <rFont val="Tahoma"/>
            <family val="2"/>
          </rPr>
          <t>Kieny, Craig:</t>
        </r>
        <r>
          <rPr>
            <sz val="8"/>
            <color indexed="81"/>
            <rFont val="Tahoma"/>
            <family val="2"/>
          </rPr>
          <t xml:space="preserve">
Escalation from 2011 IRP</t>
        </r>
      </text>
    </comment>
    <comment ref="B143" authorId="2" shapeId="0" xr:uid="{00000000-0006-0000-0000-00008A000000}">
      <text>
        <r>
          <rPr>
            <b/>
            <sz val="8"/>
            <color indexed="81"/>
            <rFont val="Tahoma"/>
            <family val="2"/>
          </rPr>
          <t>Kieny, Craig:</t>
        </r>
        <r>
          <rPr>
            <sz val="8"/>
            <color indexed="81"/>
            <rFont val="Tahoma"/>
            <family val="2"/>
          </rPr>
          <t xml:space="preserve">
Escalation from 2011 IRP</t>
        </r>
      </text>
    </comment>
    <comment ref="B144" authorId="2" shapeId="0" xr:uid="{00000000-0006-0000-0000-00008B000000}">
      <text>
        <r>
          <rPr>
            <b/>
            <sz val="8"/>
            <color indexed="81"/>
            <rFont val="Tahoma"/>
            <family val="2"/>
          </rPr>
          <t>Kieny, Craig:</t>
        </r>
        <r>
          <rPr>
            <sz val="8"/>
            <color indexed="81"/>
            <rFont val="Tahoma"/>
            <family val="2"/>
          </rPr>
          <t xml:space="preserve">
Escalation from 2011 IRP</t>
        </r>
      </text>
    </comment>
    <comment ref="B145" authorId="2" shapeId="0" xr:uid="{00000000-0006-0000-0000-00008C000000}">
      <text>
        <r>
          <rPr>
            <b/>
            <sz val="8"/>
            <color indexed="81"/>
            <rFont val="Tahoma"/>
            <family val="2"/>
          </rPr>
          <t>Kieny, Craig:</t>
        </r>
        <r>
          <rPr>
            <sz val="8"/>
            <color indexed="81"/>
            <rFont val="Tahoma"/>
            <family val="2"/>
          </rPr>
          <t xml:space="preserve">
Escalation from 2011 IRP</t>
        </r>
      </text>
    </comment>
    <comment ref="B146" authorId="2" shapeId="0" xr:uid="{00000000-0006-0000-0000-00008D000000}">
      <text>
        <r>
          <rPr>
            <b/>
            <sz val="8"/>
            <color indexed="81"/>
            <rFont val="Tahoma"/>
            <family val="2"/>
          </rPr>
          <t>Kieny, Craig:</t>
        </r>
        <r>
          <rPr>
            <sz val="8"/>
            <color indexed="81"/>
            <rFont val="Tahoma"/>
            <family val="2"/>
          </rPr>
          <t xml:space="preserve">
Escalation from 2011 IRP</t>
        </r>
      </text>
    </comment>
    <comment ref="B147" authorId="2" shapeId="0" xr:uid="{00000000-0006-0000-0000-00008E000000}">
      <text>
        <r>
          <rPr>
            <b/>
            <sz val="8"/>
            <color indexed="81"/>
            <rFont val="Tahoma"/>
            <family val="2"/>
          </rPr>
          <t>Kieny, Craig:</t>
        </r>
        <r>
          <rPr>
            <sz val="8"/>
            <color indexed="81"/>
            <rFont val="Tahoma"/>
            <family val="2"/>
          </rPr>
          <t xml:space="preserve">
Escalation from 2011 IRP</t>
        </r>
      </text>
    </comment>
    <comment ref="B148" authorId="2" shapeId="0" xr:uid="{00000000-0006-0000-0000-00008F000000}">
      <text>
        <r>
          <rPr>
            <b/>
            <sz val="8"/>
            <color indexed="81"/>
            <rFont val="Tahoma"/>
            <family val="2"/>
          </rPr>
          <t>Kieny, Craig:</t>
        </r>
        <r>
          <rPr>
            <sz val="8"/>
            <color indexed="81"/>
            <rFont val="Tahoma"/>
            <family val="2"/>
          </rPr>
          <t xml:space="preserve">
Escalation from 2011 IRP</t>
        </r>
      </text>
    </comment>
    <comment ref="B149" authorId="2" shapeId="0" xr:uid="{00000000-0006-0000-0000-000090000000}">
      <text>
        <r>
          <rPr>
            <b/>
            <sz val="8"/>
            <color indexed="81"/>
            <rFont val="Tahoma"/>
            <family val="2"/>
          </rPr>
          <t>Kieny, Craig:</t>
        </r>
        <r>
          <rPr>
            <sz val="8"/>
            <color indexed="81"/>
            <rFont val="Tahoma"/>
            <family val="2"/>
          </rPr>
          <t xml:space="preserve">
Escalation from 2011 IRP</t>
        </r>
      </text>
    </comment>
    <comment ref="B150" authorId="2" shapeId="0" xr:uid="{00000000-0006-0000-0000-000091000000}">
      <text>
        <r>
          <rPr>
            <b/>
            <sz val="8"/>
            <color indexed="81"/>
            <rFont val="Tahoma"/>
            <family val="2"/>
          </rPr>
          <t>Kieny, Craig:</t>
        </r>
        <r>
          <rPr>
            <sz val="8"/>
            <color indexed="81"/>
            <rFont val="Tahoma"/>
            <family val="2"/>
          </rPr>
          <t xml:space="preserve">
Escalation from 2011 IRP</t>
        </r>
      </text>
    </comment>
    <comment ref="B151" authorId="2" shapeId="0" xr:uid="{00000000-0006-0000-0000-000092000000}">
      <text>
        <r>
          <rPr>
            <b/>
            <sz val="8"/>
            <color indexed="81"/>
            <rFont val="Tahoma"/>
            <family val="2"/>
          </rPr>
          <t>Kieny, Craig:</t>
        </r>
        <r>
          <rPr>
            <sz val="8"/>
            <color indexed="81"/>
            <rFont val="Tahoma"/>
            <family val="2"/>
          </rPr>
          <t xml:space="preserve">
Escalation from 2011 IRP</t>
        </r>
      </text>
    </comment>
    <comment ref="B152" authorId="2" shapeId="0" xr:uid="{00000000-0006-0000-0000-000093000000}">
      <text>
        <r>
          <rPr>
            <b/>
            <sz val="8"/>
            <color indexed="81"/>
            <rFont val="Tahoma"/>
            <family val="2"/>
          </rPr>
          <t>Kieny, Craig:</t>
        </r>
        <r>
          <rPr>
            <sz val="8"/>
            <color indexed="81"/>
            <rFont val="Tahoma"/>
            <family val="2"/>
          </rPr>
          <t xml:space="preserve">
Escalation from 2011 IRP</t>
        </r>
      </text>
    </comment>
    <comment ref="B153" authorId="2" shapeId="0" xr:uid="{00000000-0006-0000-0000-000094000000}">
      <text>
        <r>
          <rPr>
            <b/>
            <sz val="8"/>
            <color indexed="81"/>
            <rFont val="Tahoma"/>
            <family val="2"/>
          </rPr>
          <t>Kieny, Craig:</t>
        </r>
        <r>
          <rPr>
            <sz val="8"/>
            <color indexed="81"/>
            <rFont val="Tahoma"/>
            <family val="2"/>
          </rPr>
          <t xml:space="preserve">
Escalation from 2011 IRP</t>
        </r>
      </text>
    </comment>
    <comment ref="B154" authorId="2" shapeId="0" xr:uid="{00000000-0006-0000-0000-000095000000}">
      <text>
        <r>
          <rPr>
            <b/>
            <sz val="8"/>
            <color indexed="81"/>
            <rFont val="Tahoma"/>
            <family val="2"/>
          </rPr>
          <t>Kieny, Craig:</t>
        </r>
        <r>
          <rPr>
            <sz val="8"/>
            <color indexed="81"/>
            <rFont val="Tahoma"/>
            <family val="2"/>
          </rPr>
          <t xml:space="preserve">
Escalation from 2011 IRP</t>
        </r>
      </text>
    </comment>
    <comment ref="B155" authorId="2" shapeId="0" xr:uid="{00000000-0006-0000-0000-000096000000}">
      <text>
        <r>
          <rPr>
            <b/>
            <sz val="8"/>
            <color indexed="81"/>
            <rFont val="Tahoma"/>
            <family val="2"/>
          </rPr>
          <t>Kieny, Craig:</t>
        </r>
        <r>
          <rPr>
            <sz val="8"/>
            <color indexed="81"/>
            <rFont val="Tahoma"/>
            <family val="2"/>
          </rPr>
          <t xml:space="preserve">
Escalation from 2011 IRP</t>
        </r>
      </text>
    </comment>
    <comment ref="B156" authorId="2" shapeId="0" xr:uid="{00000000-0006-0000-0000-000097000000}">
      <text>
        <r>
          <rPr>
            <b/>
            <sz val="8"/>
            <color indexed="81"/>
            <rFont val="Tahoma"/>
            <family val="2"/>
          </rPr>
          <t>Kieny, Craig:</t>
        </r>
        <r>
          <rPr>
            <sz val="8"/>
            <color indexed="81"/>
            <rFont val="Tahoma"/>
            <family val="2"/>
          </rPr>
          <t xml:space="preserve">
Escalation from 2011 IRP</t>
        </r>
      </text>
    </comment>
    <comment ref="B157" authorId="2" shapeId="0" xr:uid="{00000000-0006-0000-0000-000098000000}">
      <text>
        <r>
          <rPr>
            <b/>
            <sz val="8"/>
            <color indexed="81"/>
            <rFont val="Tahoma"/>
            <family val="2"/>
          </rPr>
          <t>Kieny, Craig:</t>
        </r>
        <r>
          <rPr>
            <sz val="8"/>
            <color indexed="81"/>
            <rFont val="Tahoma"/>
            <family val="2"/>
          </rPr>
          <t xml:space="preserve">
Escalation from 2011 IRP</t>
        </r>
      </text>
    </comment>
    <comment ref="B158" authorId="2" shapeId="0" xr:uid="{00000000-0006-0000-0000-000099000000}">
      <text>
        <r>
          <rPr>
            <b/>
            <sz val="8"/>
            <color indexed="81"/>
            <rFont val="Tahoma"/>
            <family val="2"/>
          </rPr>
          <t>Kieny, Craig:</t>
        </r>
        <r>
          <rPr>
            <sz val="8"/>
            <color indexed="81"/>
            <rFont val="Tahoma"/>
            <family val="2"/>
          </rPr>
          <t xml:space="preserve">
Escalation from 2011 IRP</t>
        </r>
      </text>
    </comment>
    <comment ref="B159" authorId="2" shapeId="0" xr:uid="{00000000-0006-0000-0000-00009A000000}">
      <text>
        <r>
          <rPr>
            <b/>
            <sz val="8"/>
            <color indexed="81"/>
            <rFont val="Tahoma"/>
            <family val="2"/>
          </rPr>
          <t>Kieny, Craig:</t>
        </r>
        <r>
          <rPr>
            <sz val="8"/>
            <color indexed="81"/>
            <rFont val="Tahoma"/>
            <family val="2"/>
          </rPr>
          <t xml:space="preserve">
Escalation from 2011 IRP</t>
        </r>
      </text>
    </comment>
    <comment ref="B160" authorId="2" shapeId="0" xr:uid="{00000000-0006-0000-0000-00009B000000}">
      <text>
        <r>
          <rPr>
            <b/>
            <sz val="8"/>
            <color indexed="81"/>
            <rFont val="Tahoma"/>
            <family val="2"/>
          </rPr>
          <t>Kieny, Craig:</t>
        </r>
        <r>
          <rPr>
            <sz val="8"/>
            <color indexed="81"/>
            <rFont val="Tahoma"/>
            <family val="2"/>
          </rPr>
          <t xml:space="preserve">
Escalation from 2011 IRP</t>
        </r>
      </text>
    </comment>
    <comment ref="B161" authorId="2" shapeId="0" xr:uid="{00000000-0006-0000-0000-00009C000000}">
      <text>
        <r>
          <rPr>
            <b/>
            <sz val="8"/>
            <color indexed="81"/>
            <rFont val="Tahoma"/>
            <family val="2"/>
          </rPr>
          <t>Kieny, Craig:</t>
        </r>
        <r>
          <rPr>
            <sz val="8"/>
            <color indexed="81"/>
            <rFont val="Tahoma"/>
            <family val="2"/>
          </rPr>
          <t xml:space="preserve">
Escalation from 2011 IRP</t>
        </r>
      </text>
    </comment>
    <comment ref="B162" authorId="2" shapeId="0" xr:uid="{00000000-0006-0000-0000-00009D000000}">
      <text>
        <r>
          <rPr>
            <b/>
            <sz val="8"/>
            <color indexed="81"/>
            <rFont val="Tahoma"/>
            <family val="2"/>
          </rPr>
          <t>Kieny, Craig:</t>
        </r>
        <r>
          <rPr>
            <sz val="8"/>
            <color indexed="81"/>
            <rFont val="Tahoma"/>
            <family val="2"/>
          </rPr>
          <t xml:space="preserve">
Escalation from 2011 IRP</t>
        </r>
      </text>
    </comment>
    <comment ref="B163" authorId="2" shapeId="0" xr:uid="{00000000-0006-0000-0000-00009E000000}">
      <text>
        <r>
          <rPr>
            <b/>
            <sz val="8"/>
            <color indexed="81"/>
            <rFont val="Tahoma"/>
            <family val="2"/>
          </rPr>
          <t>Kieny, Craig:</t>
        </r>
        <r>
          <rPr>
            <sz val="8"/>
            <color indexed="81"/>
            <rFont val="Tahoma"/>
            <family val="2"/>
          </rPr>
          <t xml:space="preserve">
Escalation from 2011 IRP</t>
        </r>
      </text>
    </comment>
    <comment ref="B164" authorId="2" shapeId="0" xr:uid="{00000000-0006-0000-0000-00009F000000}">
      <text>
        <r>
          <rPr>
            <b/>
            <sz val="8"/>
            <color indexed="81"/>
            <rFont val="Tahoma"/>
            <family val="2"/>
          </rPr>
          <t>Kieny, Craig:</t>
        </r>
        <r>
          <rPr>
            <sz val="8"/>
            <color indexed="81"/>
            <rFont val="Tahoma"/>
            <family val="2"/>
          </rPr>
          <t xml:space="preserve">
Escalation from 2011 IRP</t>
        </r>
      </text>
    </comment>
    <comment ref="B165" authorId="2" shapeId="0" xr:uid="{00000000-0006-0000-0000-0000A0000000}">
      <text>
        <r>
          <rPr>
            <b/>
            <sz val="8"/>
            <color indexed="81"/>
            <rFont val="Tahoma"/>
            <family val="2"/>
          </rPr>
          <t>Kieny, Craig:</t>
        </r>
        <r>
          <rPr>
            <sz val="8"/>
            <color indexed="81"/>
            <rFont val="Tahoma"/>
            <family val="2"/>
          </rPr>
          <t xml:space="preserve">
Escalation from 2011 IRP</t>
        </r>
      </text>
    </comment>
    <comment ref="B166" authorId="2" shapeId="0" xr:uid="{00000000-0006-0000-0000-0000A1000000}">
      <text>
        <r>
          <rPr>
            <b/>
            <sz val="8"/>
            <color indexed="81"/>
            <rFont val="Tahoma"/>
            <family val="2"/>
          </rPr>
          <t>Kieny, Craig:</t>
        </r>
        <r>
          <rPr>
            <sz val="8"/>
            <color indexed="81"/>
            <rFont val="Tahoma"/>
            <family val="2"/>
          </rPr>
          <t xml:space="preserve">
Escalation from 2011 IRP</t>
        </r>
      </text>
    </comment>
    <comment ref="B167" authorId="2" shapeId="0" xr:uid="{00000000-0006-0000-0000-0000A2000000}">
      <text>
        <r>
          <rPr>
            <b/>
            <sz val="8"/>
            <color indexed="81"/>
            <rFont val="Tahoma"/>
            <family val="2"/>
          </rPr>
          <t>Kieny, Craig:</t>
        </r>
        <r>
          <rPr>
            <sz val="8"/>
            <color indexed="81"/>
            <rFont val="Tahoma"/>
            <family val="2"/>
          </rPr>
          <t xml:space="preserve">
Escalation from 2011 IRP</t>
        </r>
      </text>
    </comment>
    <comment ref="B168" authorId="2" shapeId="0" xr:uid="{00000000-0006-0000-0000-0000A3000000}">
      <text>
        <r>
          <rPr>
            <b/>
            <sz val="8"/>
            <color indexed="81"/>
            <rFont val="Tahoma"/>
            <family val="2"/>
          </rPr>
          <t>Kieny, Craig:</t>
        </r>
        <r>
          <rPr>
            <sz val="8"/>
            <color indexed="81"/>
            <rFont val="Tahoma"/>
            <family val="2"/>
          </rPr>
          <t xml:space="preserve">
Escalation from 2011 IRP</t>
        </r>
      </text>
    </comment>
    <comment ref="B169" authorId="2" shapeId="0" xr:uid="{00000000-0006-0000-0000-0000A4000000}">
      <text>
        <r>
          <rPr>
            <b/>
            <sz val="8"/>
            <color indexed="81"/>
            <rFont val="Tahoma"/>
            <family val="2"/>
          </rPr>
          <t>Kieny, Craig:</t>
        </r>
        <r>
          <rPr>
            <sz val="8"/>
            <color indexed="81"/>
            <rFont val="Tahoma"/>
            <family val="2"/>
          </rPr>
          <t xml:space="preserve">
Escalation from 2011 IRP</t>
        </r>
      </text>
    </comment>
    <comment ref="B170" authorId="2" shapeId="0" xr:uid="{00000000-0006-0000-0000-0000A5000000}">
      <text>
        <r>
          <rPr>
            <b/>
            <sz val="8"/>
            <color indexed="81"/>
            <rFont val="Tahoma"/>
            <family val="2"/>
          </rPr>
          <t>Kieny, Craig:</t>
        </r>
        <r>
          <rPr>
            <sz val="8"/>
            <color indexed="81"/>
            <rFont val="Tahoma"/>
            <family val="2"/>
          </rPr>
          <t xml:space="preserve">
Escalation from 2011 IRP</t>
        </r>
      </text>
    </comment>
    <comment ref="B171" authorId="2" shapeId="0" xr:uid="{00000000-0006-0000-0000-0000A6000000}">
      <text>
        <r>
          <rPr>
            <b/>
            <sz val="8"/>
            <color indexed="81"/>
            <rFont val="Tahoma"/>
            <family val="2"/>
          </rPr>
          <t>Kieny, Craig:</t>
        </r>
        <r>
          <rPr>
            <sz val="8"/>
            <color indexed="81"/>
            <rFont val="Tahoma"/>
            <family val="2"/>
          </rPr>
          <t xml:space="preserve">
Escalation from 2011 IRP</t>
        </r>
      </text>
    </comment>
    <comment ref="B172" authorId="2" shapeId="0" xr:uid="{00000000-0006-0000-0000-0000A7000000}">
      <text>
        <r>
          <rPr>
            <b/>
            <sz val="8"/>
            <color indexed="81"/>
            <rFont val="Tahoma"/>
            <family val="2"/>
          </rPr>
          <t>Kieny, Craig:</t>
        </r>
        <r>
          <rPr>
            <sz val="8"/>
            <color indexed="81"/>
            <rFont val="Tahoma"/>
            <family val="2"/>
          </rPr>
          <t xml:space="preserve">
Escalation from 2011 IRP</t>
        </r>
      </text>
    </comment>
    <comment ref="B173" authorId="2" shapeId="0" xr:uid="{00000000-0006-0000-0000-0000A8000000}">
      <text>
        <r>
          <rPr>
            <b/>
            <sz val="8"/>
            <color indexed="81"/>
            <rFont val="Tahoma"/>
            <family val="2"/>
          </rPr>
          <t>Kieny, Craig:</t>
        </r>
        <r>
          <rPr>
            <sz val="8"/>
            <color indexed="81"/>
            <rFont val="Tahoma"/>
            <family val="2"/>
          </rPr>
          <t xml:space="preserve">
Escalation from 2011 IRP</t>
        </r>
      </text>
    </comment>
    <comment ref="B174" authorId="2" shapeId="0" xr:uid="{00000000-0006-0000-0000-0000A9000000}">
      <text>
        <r>
          <rPr>
            <b/>
            <sz val="8"/>
            <color indexed="81"/>
            <rFont val="Tahoma"/>
            <family val="2"/>
          </rPr>
          <t>Kieny, Craig:</t>
        </r>
        <r>
          <rPr>
            <sz val="8"/>
            <color indexed="81"/>
            <rFont val="Tahoma"/>
            <family val="2"/>
          </rPr>
          <t xml:space="preserve">
Escalation from 2011 IRP</t>
        </r>
      </text>
    </comment>
    <comment ref="B175" authorId="2" shapeId="0" xr:uid="{00000000-0006-0000-0000-0000AA000000}">
      <text>
        <r>
          <rPr>
            <b/>
            <sz val="8"/>
            <color indexed="81"/>
            <rFont val="Tahoma"/>
            <family val="2"/>
          </rPr>
          <t>Kieny, Craig:</t>
        </r>
        <r>
          <rPr>
            <sz val="8"/>
            <color indexed="81"/>
            <rFont val="Tahoma"/>
            <family val="2"/>
          </rPr>
          <t xml:space="preserve">
Escalation from 2011 IRP</t>
        </r>
      </text>
    </comment>
    <comment ref="B176" authorId="2" shapeId="0" xr:uid="{00000000-0006-0000-0000-0000AB000000}">
      <text>
        <r>
          <rPr>
            <b/>
            <sz val="8"/>
            <color indexed="81"/>
            <rFont val="Tahoma"/>
            <family val="2"/>
          </rPr>
          <t>Kieny, Craig:</t>
        </r>
        <r>
          <rPr>
            <sz val="8"/>
            <color indexed="81"/>
            <rFont val="Tahoma"/>
            <family val="2"/>
          </rPr>
          <t xml:space="preserve">
Escalation from 2011 IRP</t>
        </r>
      </text>
    </comment>
    <comment ref="B177" authorId="2" shapeId="0" xr:uid="{00000000-0006-0000-0000-0000AC000000}">
      <text>
        <r>
          <rPr>
            <b/>
            <sz val="8"/>
            <color indexed="81"/>
            <rFont val="Tahoma"/>
            <family val="2"/>
          </rPr>
          <t>Kieny, Craig:</t>
        </r>
        <r>
          <rPr>
            <sz val="8"/>
            <color indexed="81"/>
            <rFont val="Tahoma"/>
            <family val="2"/>
          </rPr>
          <t xml:space="preserve">
Escalation from 2011 IRP</t>
        </r>
      </text>
    </comment>
    <comment ref="B178" authorId="2" shapeId="0" xr:uid="{00000000-0006-0000-0000-0000AD000000}">
      <text>
        <r>
          <rPr>
            <b/>
            <sz val="8"/>
            <color indexed="81"/>
            <rFont val="Tahoma"/>
            <family val="2"/>
          </rPr>
          <t>Kieny, Craig:</t>
        </r>
        <r>
          <rPr>
            <sz val="8"/>
            <color indexed="81"/>
            <rFont val="Tahoma"/>
            <family val="2"/>
          </rPr>
          <t xml:space="preserve">
Escalation from 2011 IRP</t>
        </r>
      </text>
    </comment>
    <comment ref="B179" authorId="2" shapeId="0" xr:uid="{00000000-0006-0000-0000-0000AE000000}">
      <text>
        <r>
          <rPr>
            <b/>
            <sz val="8"/>
            <color indexed="81"/>
            <rFont val="Tahoma"/>
            <family val="2"/>
          </rPr>
          <t>Kieny, Craig:</t>
        </r>
        <r>
          <rPr>
            <sz val="8"/>
            <color indexed="81"/>
            <rFont val="Tahoma"/>
            <family val="2"/>
          </rPr>
          <t xml:space="preserve">
Escalation from 2011 IRP</t>
        </r>
      </text>
    </comment>
    <comment ref="B180" authorId="2" shapeId="0" xr:uid="{00000000-0006-0000-0000-0000AF000000}">
      <text>
        <r>
          <rPr>
            <b/>
            <sz val="8"/>
            <color indexed="81"/>
            <rFont val="Tahoma"/>
            <family val="2"/>
          </rPr>
          <t>Kieny, Craig:</t>
        </r>
        <r>
          <rPr>
            <sz val="8"/>
            <color indexed="81"/>
            <rFont val="Tahoma"/>
            <family val="2"/>
          </rPr>
          <t xml:space="preserve">
Escalation from 2011 IRP</t>
        </r>
      </text>
    </comment>
    <comment ref="B181" authorId="2" shapeId="0" xr:uid="{00000000-0006-0000-0000-0000B0000000}">
      <text>
        <r>
          <rPr>
            <b/>
            <sz val="8"/>
            <color indexed="81"/>
            <rFont val="Tahoma"/>
            <family val="2"/>
          </rPr>
          <t>Kieny, Craig:</t>
        </r>
        <r>
          <rPr>
            <sz val="8"/>
            <color indexed="81"/>
            <rFont val="Tahoma"/>
            <family val="2"/>
          </rPr>
          <t xml:space="preserve">
Escalation from 2011 IRP</t>
        </r>
      </text>
    </comment>
    <comment ref="B182" authorId="2" shapeId="0" xr:uid="{00000000-0006-0000-0000-0000B1000000}">
      <text>
        <r>
          <rPr>
            <b/>
            <sz val="8"/>
            <color indexed="81"/>
            <rFont val="Tahoma"/>
            <family val="2"/>
          </rPr>
          <t>Kieny, Craig:</t>
        </r>
        <r>
          <rPr>
            <sz val="8"/>
            <color indexed="81"/>
            <rFont val="Tahoma"/>
            <family val="2"/>
          </rPr>
          <t xml:space="preserve">
Escalation from 2011 IRP</t>
        </r>
      </text>
    </comment>
    <comment ref="B183" authorId="2" shapeId="0" xr:uid="{00000000-0006-0000-0000-0000B2000000}">
      <text>
        <r>
          <rPr>
            <b/>
            <sz val="8"/>
            <color indexed="81"/>
            <rFont val="Tahoma"/>
            <family val="2"/>
          </rPr>
          <t>Kieny, Craig:</t>
        </r>
        <r>
          <rPr>
            <sz val="8"/>
            <color indexed="81"/>
            <rFont val="Tahoma"/>
            <family val="2"/>
          </rPr>
          <t xml:space="preserve">
Escalation from 2011 IRP</t>
        </r>
      </text>
    </comment>
    <comment ref="B184" authorId="2" shapeId="0" xr:uid="{00000000-0006-0000-0000-0000B3000000}">
      <text>
        <r>
          <rPr>
            <b/>
            <sz val="8"/>
            <color indexed="81"/>
            <rFont val="Tahoma"/>
            <family val="2"/>
          </rPr>
          <t>Kieny, Craig:</t>
        </r>
        <r>
          <rPr>
            <sz val="8"/>
            <color indexed="81"/>
            <rFont val="Tahoma"/>
            <family val="2"/>
          </rPr>
          <t xml:space="preserve">
Escalation from 2011 IRP</t>
        </r>
      </text>
    </comment>
    <comment ref="B185" authorId="2" shapeId="0" xr:uid="{00000000-0006-0000-0000-0000B4000000}">
      <text>
        <r>
          <rPr>
            <b/>
            <sz val="8"/>
            <color indexed="81"/>
            <rFont val="Tahoma"/>
            <family val="2"/>
          </rPr>
          <t>Kieny, Craig:</t>
        </r>
        <r>
          <rPr>
            <sz val="8"/>
            <color indexed="81"/>
            <rFont val="Tahoma"/>
            <family val="2"/>
          </rPr>
          <t xml:space="preserve">
Escalation from 2011 IRP</t>
        </r>
      </text>
    </comment>
    <comment ref="B186" authorId="2" shapeId="0" xr:uid="{00000000-0006-0000-0000-0000B5000000}">
      <text>
        <r>
          <rPr>
            <b/>
            <sz val="8"/>
            <color indexed="81"/>
            <rFont val="Tahoma"/>
            <family val="2"/>
          </rPr>
          <t>Kieny, Craig:</t>
        </r>
        <r>
          <rPr>
            <sz val="8"/>
            <color indexed="81"/>
            <rFont val="Tahoma"/>
            <family val="2"/>
          </rPr>
          <t xml:space="preserve">
Escalation from 2011 IRP</t>
        </r>
      </text>
    </comment>
    <comment ref="B187" authorId="2" shapeId="0" xr:uid="{00000000-0006-0000-0000-0000B6000000}">
      <text>
        <r>
          <rPr>
            <b/>
            <sz val="8"/>
            <color indexed="81"/>
            <rFont val="Tahoma"/>
            <family val="2"/>
          </rPr>
          <t>Kieny, Craig:</t>
        </r>
        <r>
          <rPr>
            <sz val="8"/>
            <color indexed="81"/>
            <rFont val="Tahoma"/>
            <family val="2"/>
          </rPr>
          <t xml:space="preserve">
Escalation from 2011 IRP</t>
        </r>
      </text>
    </comment>
    <comment ref="B188" authorId="2" shapeId="0" xr:uid="{00000000-0006-0000-0000-0000B7000000}">
      <text>
        <r>
          <rPr>
            <b/>
            <sz val="8"/>
            <color indexed="81"/>
            <rFont val="Tahoma"/>
            <family val="2"/>
          </rPr>
          <t>Kieny, Craig:</t>
        </r>
        <r>
          <rPr>
            <sz val="8"/>
            <color indexed="81"/>
            <rFont val="Tahoma"/>
            <family val="2"/>
          </rPr>
          <t xml:space="preserve">
Escalation from 2011 IRP</t>
        </r>
      </text>
    </comment>
    <comment ref="B189" authorId="2" shapeId="0" xr:uid="{00000000-0006-0000-0000-0000B8000000}">
      <text>
        <r>
          <rPr>
            <b/>
            <sz val="8"/>
            <color indexed="81"/>
            <rFont val="Tahoma"/>
            <family val="2"/>
          </rPr>
          <t>Kieny, Craig:</t>
        </r>
        <r>
          <rPr>
            <sz val="8"/>
            <color indexed="81"/>
            <rFont val="Tahoma"/>
            <family val="2"/>
          </rPr>
          <t xml:space="preserve">
Escalation from 2011 IRP</t>
        </r>
      </text>
    </comment>
    <comment ref="B190" authorId="2" shapeId="0" xr:uid="{00000000-0006-0000-0000-0000B9000000}">
      <text>
        <r>
          <rPr>
            <b/>
            <sz val="8"/>
            <color indexed="81"/>
            <rFont val="Tahoma"/>
            <family val="2"/>
          </rPr>
          <t>Kieny, Craig:</t>
        </r>
        <r>
          <rPr>
            <sz val="8"/>
            <color indexed="81"/>
            <rFont val="Tahoma"/>
            <family val="2"/>
          </rPr>
          <t xml:space="preserve">
Escalation from 2011 IRP</t>
        </r>
      </text>
    </comment>
    <comment ref="B191" authorId="2" shapeId="0" xr:uid="{00000000-0006-0000-0000-0000BA000000}">
      <text>
        <r>
          <rPr>
            <b/>
            <sz val="8"/>
            <color indexed="81"/>
            <rFont val="Tahoma"/>
            <family val="2"/>
          </rPr>
          <t>Kieny, Craig:</t>
        </r>
        <r>
          <rPr>
            <sz val="8"/>
            <color indexed="81"/>
            <rFont val="Tahoma"/>
            <family val="2"/>
          </rPr>
          <t xml:space="preserve">
Escalation from 2011 IRP</t>
        </r>
      </text>
    </comment>
    <comment ref="B192" authorId="2" shapeId="0" xr:uid="{00000000-0006-0000-0000-0000BB000000}">
      <text>
        <r>
          <rPr>
            <b/>
            <sz val="8"/>
            <color indexed="81"/>
            <rFont val="Tahoma"/>
            <family val="2"/>
          </rPr>
          <t>Kieny, Craig:</t>
        </r>
        <r>
          <rPr>
            <sz val="8"/>
            <color indexed="81"/>
            <rFont val="Tahoma"/>
            <family val="2"/>
          </rPr>
          <t xml:space="preserve">
Escalation from 2011 IRP</t>
        </r>
      </text>
    </comment>
    <comment ref="B193" authorId="2" shapeId="0" xr:uid="{00000000-0006-0000-0000-0000BC000000}">
      <text>
        <r>
          <rPr>
            <b/>
            <sz val="8"/>
            <color indexed="81"/>
            <rFont val="Tahoma"/>
            <family val="2"/>
          </rPr>
          <t>Kieny, Craig:</t>
        </r>
        <r>
          <rPr>
            <sz val="8"/>
            <color indexed="81"/>
            <rFont val="Tahoma"/>
            <family val="2"/>
          </rPr>
          <t xml:space="preserve">
Escalation from 2011 IRP</t>
        </r>
      </text>
    </comment>
    <comment ref="B194" authorId="2" shapeId="0" xr:uid="{00000000-0006-0000-0000-0000BD000000}">
      <text>
        <r>
          <rPr>
            <b/>
            <sz val="8"/>
            <color indexed="81"/>
            <rFont val="Tahoma"/>
            <family val="2"/>
          </rPr>
          <t>Kieny, Craig:</t>
        </r>
        <r>
          <rPr>
            <sz val="8"/>
            <color indexed="81"/>
            <rFont val="Tahoma"/>
            <family val="2"/>
          </rPr>
          <t xml:space="preserve">
Escalation from 2011 IRP</t>
        </r>
      </text>
    </comment>
    <comment ref="B195" authorId="2" shapeId="0" xr:uid="{00000000-0006-0000-0000-0000BE000000}">
      <text>
        <r>
          <rPr>
            <b/>
            <sz val="8"/>
            <color indexed="81"/>
            <rFont val="Tahoma"/>
            <family val="2"/>
          </rPr>
          <t>Kieny, Craig:</t>
        </r>
        <r>
          <rPr>
            <sz val="8"/>
            <color indexed="81"/>
            <rFont val="Tahoma"/>
            <family val="2"/>
          </rPr>
          <t xml:space="preserve">
Escalation from 2011 IRP</t>
        </r>
      </text>
    </comment>
    <comment ref="B196" authorId="2" shapeId="0" xr:uid="{00000000-0006-0000-0000-0000BF000000}">
      <text>
        <r>
          <rPr>
            <b/>
            <sz val="8"/>
            <color indexed="81"/>
            <rFont val="Tahoma"/>
            <family val="2"/>
          </rPr>
          <t>Kieny, Craig:</t>
        </r>
        <r>
          <rPr>
            <sz val="8"/>
            <color indexed="81"/>
            <rFont val="Tahoma"/>
            <family val="2"/>
          </rPr>
          <t xml:space="preserve">
Escalation from 2011 IRP</t>
        </r>
      </text>
    </comment>
    <comment ref="B197" authorId="2" shapeId="0" xr:uid="{00000000-0006-0000-0000-0000C0000000}">
      <text>
        <r>
          <rPr>
            <b/>
            <sz val="8"/>
            <color indexed="81"/>
            <rFont val="Tahoma"/>
            <family val="2"/>
          </rPr>
          <t>Kieny, Craig:</t>
        </r>
        <r>
          <rPr>
            <sz val="8"/>
            <color indexed="81"/>
            <rFont val="Tahoma"/>
            <family val="2"/>
          </rPr>
          <t xml:space="preserve">
Escalation from 2011 IRP</t>
        </r>
      </text>
    </comment>
    <comment ref="B198" authorId="2" shapeId="0" xr:uid="{00000000-0006-0000-0000-0000C1000000}">
      <text>
        <r>
          <rPr>
            <b/>
            <sz val="8"/>
            <color indexed="81"/>
            <rFont val="Tahoma"/>
            <family val="2"/>
          </rPr>
          <t>Kieny, Craig:</t>
        </r>
        <r>
          <rPr>
            <sz val="8"/>
            <color indexed="81"/>
            <rFont val="Tahoma"/>
            <family val="2"/>
          </rPr>
          <t xml:space="preserve">
Escalation from 2011 IRP</t>
        </r>
      </text>
    </comment>
    <comment ref="B199" authorId="2" shapeId="0" xr:uid="{00000000-0006-0000-0000-0000C2000000}">
      <text>
        <r>
          <rPr>
            <b/>
            <sz val="8"/>
            <color indexed="81"/>
            <rFont val="Tahoma"/>
            <family val="2"/>
          </rPr>
          <t>Kieny, Craig:</t>
        </r>
        <r>
          <rPr>
            <sz val="8"/>
            <color indexed="81"/>
            <rFont val="Tahoma"/>
            <family val="2"/>
          </rPr>
          <t xml:space="preserve">
Escalation from 2011 IRP</t>
        </r>
      </text>
    </comment>
    <comment ref="B200" authorId="2" shapeId="0" xr:uid="{00000000-0006-0000-0000-0000C3000000}">
      <text>
        <r>
          <rPr>
            <b/>
            <sz val="8"/>
            <color indexed="81"/>
            <rFont val="Tahoma"/>
            <family val="2"/>
          </rPr>
          <t>Kieny, Craig:</t>
        </r>
        <r>
          <rPr>
            <sz val="8"/>
            <color indexed="81"/>
            <rFont val="Tahoma"/>
            <family val="2"/>
          </rPr>
          <t xml:space="preserve">
Escalation from 2011 IRP</t>
        </r>
      </text>
    </comment>
    <comment ref="B201" authorId="2" shapeId="0" xr:uid="{00000000-0006-0000-0000-0000C4000000}">
      <text>
        <r>
          <rPr>
            <b/>
            <sz val="8"/>
            <color indexed="81"/>
            <rFont val="Tahoma"/>
            <family val="2"/>
          </rPr>
          <t>Kieny, Craig:</t>
        </r>
        <r>
          <rPr>
            <sz val="8"/>
            <color indexed="81"/>
            <rFont val="Tahoma"/>
            <family val="2"/>
          </rPr>
          <t xml:space="preserve">
Escalation from 2011 IRP</t>
        </r>
      </text>
    </comment>
    <comment ref="B202" authorId="2" shapeId="0" xr:uid="{00000000-0006-0000-0000-0000C5000000}">
      <text>
        <r>
          <rPr>
            <b/>
            <sz val="8"/>
            <color indexed="81"/>
            <rFont val="Tahoma"/>
            <family val="2"/>
          </rPr>
          <t>Kieny, Craig:</t>
        </r>
        <r>
          <rPr>
            <sz val="8"/>
            <color indexed="81"/>
            <rFont val="Tahoma"/>
            <family val="2"/>
          </rPr>
          <t xml:space="preserve">
Escalation from 2011 IRP</t>
        </r>
      </text>
    </comment>
    <comment ref="B203" authorId="2" shapeId="0" xr:uid="{00000000-0006-0000-0000-0000C6000000}">
      <text>
        <r>
          <rPr>
            <b/>
            <sz val="8"/>
            <color indexed="81"/>
            <rFont val="Tahoma"/>
            <family val="2"/>
          </rPr>
          <t>Kieny, Craig:</t>
        </r>
        <r>
          <rPr>
            <sz val="8"/>
            <color indexed="81"/>
            <rFont val="Tahoma"/>
            <family val="2"/>
          </rPr>
          <t xml:space="preserve">
Escalation from 2011 IRP</t>
        </r>
      </text>
    </comment>
    <comment ref="B204" authorId="2" shapeId="0" xr:uid="{00000000-0006-0000-0000-0000C7000000}">
      <text>
        <r>
          <rPr>
            <b/>
            <sz val="8"/>
            <color indexed="81"/>
            <rFont val="Tahoma"/>
            <family val="2"/>
          </rPr>
          <t>Kieny, Craig:</t>
        </r>
        <r>
          <rPr>
            <sz val="8"/>
            <color indexed="81"/>
            <rFont val="Tahoma"/>
            <family val="2"/>
          </rPr>
          <t xml:space="preserve">
Escalation from 2011 IRP</t>
        </r>
      </text>
    </comment>
    <comment ref="B205" authorId="2" shapeId="0" xr:uid="{00000000-0006-0000-0000-0000C8000000}">
      <text>
        <r>
          <rPr>
            <b/>
            <sz val="8"/>
            <color indexed="81"/>
            <rFont val="Tahoma"/>
            <family val="2"/>
          </rPr>
          <t>Kieny, Craig:</t>
        </r>
        <r>
          <rPr>
            <sz val="8"/>
            <color indexed="81"/>
            <rFont val="Tahoma"/>
            <family val="2"/>
          </rPr>
          <t xml:space="preserve">
Escalation from 2011 IRP</t>
        </r>
      </text>
    </comment>
    <comment ref="B206" authorId="2" shapeId="0" xr:uid="{00000000-0006-0000-0000-0000C9000000}">
      <text>
        <r>
          <rPr>
            <b/>
            <sz val="8"/>
            <color indexed="81"/>
            <rFont val="Tahoma"/>
            <family val="2"/>
          </rPr>
          <t>Kieny, Craig:</t>
        </r>
        <r>
          <rPr>
            <sz val="8"/>
            <color indexed="81"/>
            <rFont val="Tahoma"/>
            <family val="2"/>
          </rPr>
          <t xml:space="preserve">
Escalation from 2011 IRP</t>
        </r>
      </text>
    </comment>
    <comment ref="B207" authorId="2" shapeId="0" xr:uid="{00000000-0006-0000-0000-0000CA000000}">
      <text>
        <r>
          <rPr>
            <b/>
            <sz val="8"/>
            <color indexed="81"/>
            <rFont val="Tahoma"/>
            <family val="2"/>
          </rPr>
          <t>Kieny, Craig:</t>
        </r>
        <r>
          <rPr>
            <sz val="8"/>
            <color indexed="81"/>
            <rFont val="Tahoma"/>
            <family val="2"/>
          </rPr>
          <t xml:space="preserve">
Escalation from 2011 IRP</t>
        </r>
      </text>
    </comment>
    <comment ref="B208" authorId="2" shapeId="0" xr:uid="{00000000-0006-0000-0000-0000CB000000}">
      <text>
        <r>
          <rPr>
            <b/>
            <sz val="8"/>
            <color indexed="81"/>
            <rFont val="Tahoma"/>
            <family val="2"/>
          </rPr>
          <t>Kieny, Craig:</t>
        </r>
        <r>
          <rPr>
            <sz val="8"/>
            <color indexed="81"/>
            <rFont val="Tahoma"/>
            <family val="2"/>
          </rPr>
          <t xml:space="preserve">
Escalation from 2011 IRP</t>
        </r>
      </text>
    </comment>
    <comment ref="B209" authorId="2" shapeId="0" xr:uid="{00000000-0006-0000-0000-0000CC000000}">
      <text>
        <r>
          <rPr>
            <b/>
            <sz val="8"/>
            <color indexed="81"/>
            <rFont val="Tahoma"/>
            <family val="2"/>
          </rPr>
          <t>Kieny, Craig:</t>
        </r>
        <r>
          <rPr>
            <sz val="8"/>
            <color indexed="81"/>
            <rFont val="Tahoma"/>
            <family val="2"/>
          </rPr>
          <t xml:space="preserve">
Escalation from 2011 IRP</t>
        </r>
      </text>
    </comment>
    <comment ref="B210" authorId="2" shapeId="0" xr:uid="{00000000-0006-0000-0000-0000CD000000}">
      <text>
        <r>
          <rPr>
            <b/>
            <sz val="8"/>
            <color indexed="81"/>
            <rFont val="Tahoma"/>
            <family val="2"/>
          </rPr>
          <t>Kieny, Craig:</t>
        </r>
        <r>
          <rPr>
            <sz val="8"/>
            <color indexed="81"/>
            <rFont val="Tahoma"/>
            <family val="2"/>
          </rPr>
          <t xml:space="preserve">
Escalation from 2011 IRP</t>
        </r>
      </text>
    </comment>
    <comment ref="B211" authorId="2" shapeId="0" xr:uid="{00000000-0006-0000-0000-0000CE000000}">
      <text>
        <r>
          <rPr>
            <b/>
            <sz val="8"/>
            <color indexed="81"/>
            <rFont val="Tahoma"/>
            <family val="2"/>
          </rPr>
          <t>Kieny, Craig:</t>
        </r>
        <r>
          <rPr>
            <sz val="8"/>
            <color indexed="81"/>
            <rFont val="Tahoma"/>
            <family val="2"/>
          </rPr>
          <t xml:space="preserve">
Escalation from 2011 IRP</t>
        </r>
      </text>
    </comment>
    <comment ref="B212" authorId="2" shapeId="0" xr:uid="{00000000-0006-0000-0000-0000CF000000}">
      <text>
        <r>
          <rPr>
            <b/>
            <sz val="8"/>
            <color indexed="81"/>
            <rFont val="Tahoma"/>
            <family val="2"/>
          </rPr>
          <t>Kieny, Craig:</t>
        </r>
        <r>
          <rPr>
            <sz val="8"/>
            <color indexed="81"/>
            <rFont val="Tahoma"/>
            <family val="2"/>
          </rPr>
          <t xml:space="preserve">
Escalation from 2011 IRP</t>
        </r>
      </text>
    </comment>
    <comment ref="B213" authorId="2" shapeId="0" xr:uid="{00000000-0006-0000-0000-0000D0000000}">
      <text>
        <r>
          <rPr>
            <b/>
            <sz val="8"/>
            <color indexed="81"/>
            <rFont val="Tahoma"/>
            <family val="2"/>
          </rPr>
          <t>Kieny, Craig:</t>
        </r>
        <r>
          <rPr>
            <sz val="8"/>
            <color indexed="81"/>
            <rFont val="Tahoma"/>
            <family val="2"/>
          </rPr>
          <t xml:space="preserve">
Escalation from 2011 IRP</t>
        </r>
      </text>
    </comment>
    <comment ref="B214" authorId="2" shapeId="0" xr:uid="{00000000-0006-0000-0000-0000D1000000}">
      <text>
        <r>
          <rPr>
            <b/>
            <sz val="8"/>
            <color indexed="81"/>
            <rFont val="Tahoma"/>
            <family val="2"/>
          </rPr>
          <t>Kieny, Craig:</t>
        </r>
        <r>
          <rPr>
            <sz val="8"/>
            <color indexed="81"/>
            <rFont val="Tahoma"/>
            <family val="2"/>
          </rPr>
          <t xml:space="preserve">
Escalation from 2011 IRP</t>
        </r>
      </text>
    </comment>
    <comment ref="B215" authorId="2" shapeId="0" xr:uid="{00000000-0006-0000-0000-0000D2000000}">
      <text>
        <r>
          <rPr>
            <b/>
            <sz val="8"/>
            <color indexed="81"/>
            <rFont val="Tahoma"/>
            <family val="2"/>
          </rPr>
          <t>Kieny, Craig:</t>
        </r>
        <r>
          <rPr>
            <sz val="8"/>
            <color indexed="81"/>
            <rFont val="Tahoma"/>
            <family val="2"/>
          </rPr>
          <t xml:space="preserve">
Escalation from 2011 IRP</t>
        </r>
      </text>
    </comment>
    <comment ref="B216" authorId="2" shapeId="0" xr:uid="{00000000-0006-0000-0000-0000D3000000}">
      <text>
        <r>
          <rPr>
            <b/>
            <sz val="8"/>
            <color indexed="81"/>
            <rFont val="Tahoma"/>
            <family val="2"/>
          </rPr>
          <t>Kieny, Craig:</t>
        </r>
        <r>
          <rPr>
            <sz val="8"/>
            <color indexed="81"/>
            <rFont val="Tahoma"/>
            <family val="2"/>
          </rPr>
          <t xml:space="preserve">
Escalation from 2011 IRP</t>
        </r>
      </text>
    </comment>
    <comment ref="B217" authorId="2" shapeId="0" xr:uid="{00000000-0006-0000-0000-0000D4000000}">
      <text>
        <r>
          <rPr>
            <b/>
            <sz val="8"/>
            <color indexed="81"/>
            <rFont val="Tahoma"/>
            <family val="2"/>
          </rPr>
          <t>Kieny, Craig:</t>
        </r>
        <r>
          <rPr>
            <sz val="8"/>
            <color indexed="81"/>
            <rFont val="Tahoma"/>
            <family val="2"/>
          </rPr>
          <t xml:space="preserve">
Escalation from 2011 IRP</t>
        </r>
      </text>
    </comment>
    <comment ref="B218" authorId="2" shapeId="0" xr:uid="{00000000-0006-0000-0000-0000D5000000}">
      <text>
        <r>
          <rPr>
            <b/>
            <sz val="8"/>
            <color indexed="81"/>
            <rFont val="Tahoma"/>
            <family val="2"/>
          </rPr>
          <t>Kieny, Craig:</t>
        </r>
        <r>
          <rPr>
            <sz val="8"/>
            <color indexed="81"/>
            <rFont val="Tahoma"/>
            <family val="2"/>
          </rPr>
          <t xml:space="preserve">
Escalation from 2011 IRP</t>
        </r>
      </text>
    </comment>
    <comment ref="B219" authorId="2" shapeId="0" xr:uid="{00000000-0006-0000-0000-0000D6000000}">
      <text>
        <r>
          <rPr>
            <b/>
            <sz val="8"/>
            <color indexed="81"/>
            <rFont val="Tahoma"/>
            <family val="2"/>
          </rPr>
          <t>Kieny, Craig:</t>
        </r>
        <r>
          <rPr>
            <sz val="8"/>
            <color indexed="81"/>
            <rFont val="Tahoma"/>
            <family val="2"/>
          </rPr>
          <t xml:space="preserve">
Escalation from 2011 IRP</t>
        </r>
      </text>
    </comment>
    <comment ref="B220" authorId="2" shapeId="0" xr:uid="{00000000-0006-0000-0000-0000D7000000}">
      <text>
        <r>
          <rPr>
            <b/>
            <sz val="8"/>
            <color indexed="81"/>
            <rFont val="Tahoma"/>
            <family val="2"/>
          </rPr>
          <t>Kieny, Craig:</t>
        </r>
        <r>
          <rPr>
            <sz val="8"/>
            <color indexed="81"/>
            <rFont val="Tahoma"/>
            <family val="2"/>
          </rPr>
          <t xml:space="preserve">
Escalation from 2011 IRP</t>
        </r>
      </text>
    </comment>
    <comment ref="B221" authorId="2" shapeId="0" xr:uid="{00000000-0006-0000-0000-0000D8000000}">
      <text>
        <r>
          <rPr>
            <b/>
            <sz val="8"/>
            <color indexed="81"/>
            <rFont val="Tahoma"/>
            <family val="2"/>
          </rPr>
          <t>Kieny, Craig:</t>
        </r>
        <r>
          <rPr>
            <sz val="8"/>
            <color indexed="81"/>
            <rFont val="Tahoma"/>
            <family val="2"/>
          </rPr>
          <t xml:space="preserve">
Escalation from 2011 IRP</t>
        </r>
      </text>
    </comment>
    <comment ref="B222" authorId="2" shapeId="0" xr:uid="{00000000-0006-0000-0000-0000D9000000}">
      <text>
        <r>
          <rPr>
            <b/>
            <sz val="8"/>
            <color indexed="81"/>
            <rFont val="Tahoma"/>
            <family val="2"/>
          </rPr>
          <t>Kieny, Craig:</t>
        </r>
        <r>
          <rPr>
            <sz val="8"/>
            <color indexed="81"/>
            <rFont val="Tahoma"/>
            <family val="2"/>
          </rPr>
          <t xml:space="preserve">
Escalation from 2011 IRP</t>
        </r>
      </text>
    </comment>
    <comment ref="B223" authorId="2" shapeId="0" xr:uid="{00000000-0006-0000-0000-0000DA000000}">
      <text>
        <r>
          <rPr>
            <b/>
            <sz val="8"/>
            <color indexed="81"/>
            <rFont val="Tahoma"/>
            <family val="2"/>
          </rPr>
          <t>Kieny, Craig:</t>
        </r>
        <r>
          <rPr>
            <sz val="8"/>
            <color indexed="81"/>
            <rFont val="Tahoma"/>
            <family val="2"/>
          </rPr>
          <t xml:space="preserve">
Escalation from 2011 IRP</t>
        </r>
      </text>
    </comment>
    <comment ref="B224" authorId="2" shapeId="0" xr:uid="{00000000-0006-0000-0000-0000DB000000}">
      <text>
        <r>
          <rPr>
            <b/>
            <sz val="8"/>
            <color indexed="81"/>
            <rFont val="Tahoma"/>
            <family val="2"/>
          </rPr>
          <t>Kieny, Craig:</t>
        </r>
        <r>
          <rPr>
            <sz val="8"/>
            <color indexed="81"/>
            <rFont val="Tahoma"/>
            <family val="2"/>
          </rPr>
          <t xml:space="preserve">
Escalation from 2011 IRP</t>
        </r>
      </text>
    </comment>
    <comment ref="B225" authorId="2" shapeId="0" xr:uid="{00000000-0006-0000-0000-0000DC000000}">
      <text>
        <r>
          <rPr>
            <b/>
            <sz val="8"/>
            <color indexed="81"/>
            <rFont val="Tahoma"/>
            <family val="2"/>
          </rPr>
          <t>Kieny, Craig:</t>
        </r>
        <r>
          <rPr>
            <sz val="8"/>
            <color indexed="81"/>
            <rFont val="Tahoma"/>
            <family val="2"/>
          </rPr>
          <t xml:space="preserve">
Escalation from 2011 IRP</t>
        </r>
      </text>
    </comment>
    <comment ref="B226" authorId="2" shapeId="0" xr:uid="{00000000-0006-0000-0000-0000DD000000}">
      <text>
        <r>
          <rPr>
            <b/>
            <sz val="8"/>
            <color indexed="81"/>
            <rFont val="Tahoma"/>
            <family val="2"/>
          </rPr>
          <t>Kieny, Craig:</t>
        </r>
        <r>
          <rPr>
            <sz val="8"/>
            <color indexed="81"/>
            <rFont val="Tahoma"/>
            <family val="2"/>
          </rPr>
          <t xml:space="preserve">
Escalation from 2011 IRP</t>
        </r>
      </text>
    </comment>
    <comment ref="B227" authorId="2" shapeId="0" xr:uid="{00000000-0006-0000-0000-0000DE000000}">
      <text>
        <r>
          <rPr>
            <b/>
            <sz val="8"/>
            <color indexed="81"/>
            <rFont val="Tahoma"/>
            <family val="2"/>
          </rPr>
          <t>Kieny, Craig:</t>
        </r>
        <r>
          <rPr>
            <sz val="8"/>
            <color indexed="81"/>
            <rFont val="Tahoma"/>
            <family val="2"/>
          </rPr>
          <t xml:space="preserve">
Escalation from 2011 IRP</t>
        </r>
      </text>
    </comment>
    <comment ref="B228" authorId="2" shapeId="0" xr:uid="{00000000-0006-0000-0000-0000DF000000}">
      <text>
        <r>
          <rPr>
            <b/>
            <sz val="8"/>
            <color indexed="81"/>
            <rFont val="Tahoma"/>
            <family val="2"/>
          </rPr>
          <t>Kieny, Craig:</t>
        </r>
        <r>
          <rPr>
            <sz val="8"/>
            <color indexed="81"/>
            <rFont val="Tahoma"/>
            <family val="2"/>
          </rPr>
          <t xml:space="preserve">
Escalation from 2011 IRP</t>
        </r>
      </text>
    </comment>
    <comment ref="B229" authorId="2" shapeId="0" xr:uid="{00000000-0006-0000-0000-0000E0000000}">
      <text>
        <r>
          <rPr>
            <b/>
            <sz val="8"/>
            <color indexed="81"/>
            <rFont val="Tahoma"/>
            <family val="2"/>
          </rPr>
          <t>Kieny, Craig:</t>
        </r>
        <r>
          <rPr>
            <sz val="8"/>
            <color indexed="81"/>
            <rFont val="Tahoma"/>
            <family val="2"/>
          </rPr>
          <t xml:space="preserve">
Escalation from 2011 IRP</t>
        </r>
      </text>
    </comment>
    <comment ref="B230" authorId="2" shapeId="0" xr:uid="{00000000-0006-0000-0000-0000E1000000}">
      <text>
        <r>
          <rPr>
            <b/>
            <sz val="8"/>
            <color indexed="81"/>
            <rFont val="Tahoma"/>
            <family val="2"/>
          </rPr>
          <t>Kieny, Craig:</t>
        </r>
        <r>
          <rPr>
            <sz val="8"/>
            <color indexed="81"/>
            <rFont val="Tahoma"/>
            <family val="2"/>
          </rPr>
          <t xml:space="preserve">
Escalation from 2011 IRP</t>
        </r>
      </text>
    </comment>
    <comment ref="B231" authorId="2" shapeId="0" xr:uid="{00000000-0006-0000-0000-0000E2000000}">
      <text>
        <r>
          <rPr>
            <b/>
            <sz val="8"/>
            <color indexed="81"/>
            <rFont val="Tahoma"/>
            <family val="2"/>
          </rPr>
          <t>Kieny, Craig:</t>
        </r>
        <r>
          <rPr>
            <sz val="8"/>
            <color indexed="81"/>
            <rFont val="Tahoma"/>
            <family val="2"/>
          </rPr>
          <t xml:space="preserve">
Escalation from 2011 IRP</t>
        </r>
      </text>
    </comment>
    <comment ref="B232" authorId="2" shapeId="0" xr:uid="{00000000-0006-0000-0000-0000E3000000}">
      <text>
        <r>
          <rPr>
            <b/>
            <sz val="8"/>
            <color indexed="81"/>
            <rFont val="Tahoma"/>
            <family val="2"/>
          </rPr>
          <t>Kieny, Craig:</t>
        </r>
        <r>
          <rPr>
            <sz val="8"/>
            <color indexed="81"/>
            <rFont val="Tahoma"/>
            <family val="2"/>
          </rPr>
          <t xml:space="preserve">
Escalation from 2011 IRP</t>
        </r>
      </text>
    </comment>
    <comment ref="B233" authorId="2" shapeId="0" xr:uid="{00000000-0006-0000-0000-0000E4000000}">
      <text>
        <r>
          <rPr>
            <b/>
            <sz val="8"/>
            <color indexed="81"/>
            <rFont val="Tahoma"/>
            <family val="2"/>
          </rPr>
          <t>Kieny, Craig:</t>
        </r>
        <r>
          <rPr>
            <sz val="8"/>
            <color indexed="81"/>
            <rFont val="Tahoma"/>
            <family val="2"/>
          </rPr>
          <t xml:space="preserve">
Escalation from 2011 IRP</t>
        </r>
      </text>
    </comment>
    <comment ref="B234" authorId="2" shapeId="0" xr:uid="{00000000-0006-0000-0000-0000E5000000}">
      <text>
        <r>
          <rPr>
            <b/>
            <sz val="8"/>
            <color indexed="81"/>
            <rFont val="Tahoma"/>
            <family val="2"/>
          </rPr>
          <t>Kieny, Craig:</t>
        </r>
        <r>
          <rPr>
            <sz val="8"/>
            <color indexed="81"/>
            <rFont val="Tahoma"/>
            <family val="2"/>
          </rPr>
          <t xml:space="preserve">
Escalation from 2011 IRP</t>
        </r>
      </text>
    </comment>
    <comment ref="B235" authorId="2" shapeId="0" xr:uid="{00000000-0006-0000-0000-0000E6000000}">
      <text>
        <r>
          <rPr>
            <b/>
            <sz val="8"/>
            <color indexed="81"/>
            <rFont val="Tahoma"/>
            <family val="2"/>
          </rPr>
          <t>Kieny, Craig:</t>
        </r>
        <r>
          <rPr>
            <sz val="8"/>
            <color indexed="81"/>
            <rFont val="Tahoma"/>
            <family val="2"/>
          </rPr>
          <t xml:space="preserve">
Escalation from 2011 IRP</t>
        </r>
      </text>
    </comment>
    <comment ref="B236" authorId="2" shapeId="0" xr:uid="{00000000-0006-0000-0000-0000E7000000}">
      <text>
        <r>
          <rPr>
            <b/>
            <sz val="8"/>
            <color indexed="81"/>
            <rFont val="Tahoma"/>
            <family val="2"/>
          </rPr>
          <t>Kieny, Craig:</t>
        </r>
        <r>
          <rPr>
            <sz val="8"/>
            <color indexed="81"/>
            <rFont val="Tahoma"/>
            <family val="2"/>
          </rPr>
          <t xml:space="preserve">
Escalation from 2011 IRP</t>
        </r>
      </text>
    </comment>
    <comment ref="B237" authorId="2" shapeId="0" xr:uid="{00000000-0006-0000-0000-0000E8000000}">
      <text>
        <r>
          <rPr>
            <b/>
            <sz val="8"/>
            <color indexed="81"/>
            <rFont val="Tahoma"/>
            <family val="2"/>
          </rPr>
          <t>Kieny, Craig:</t>
        </r>
        <r>
          <rPr>
            <sz val="8"/>
            <color indexed="81"/>
            <rFont val="Tahoma"/>
            <family val="2"/>
          </rPr>
          <t xml:space="preserve">
Escalation from 2011 IRP</t>
        </r>
      </text>
    </comment>
    <comment ref="B238" authorId="2" shapeId="0" xr:uid="{00000000-0006-0000-0000-0000E9000000}">
      <text>
        <r>
          <rPr>
            <b/>
            <sz val="8"/>
            <color indexed="81"/>
            <rFont val="Tahoma"/>
            <family val="2"/>
          </rPr>
          <t>Kieny, Craig:</t>
        </r>
        <r>
          <rPr>
            <sz val="8"/>
            <color indexed="81"/>
            <rFont val="Tahoma"/>
            <family val="2"/>
          </rPr>
          <t xml:space="preserve">
Escalation from 2011 IRP</t>
        </r>
      </text>
    </comment>
    <comment ref="B239" authorId="2" shapeId="0" xr:uid="{00000000-0006-0000-0000-0000EA000000}">
      <text>
        <r>
          <rPr>
            <b/>
            <sz val="8"/>
            <color indexed="81"/>
            <rFont val="Tahoma"/>
            <family val="2"/>
          </rPr>
          <t>Kieny, Craig:</t>
        </r>
        <r>
          <rPr>
            <sz val="8"/>
            <color indexed="81"/>
            <rFont val="Tahoma"/>
            <family val="2"/>
          </rPr>
          <t xml:space="preserve">
Escalation from 2011 IRP</t>
        </r>
      </text>
    </comment>
    <comment ref="B240" authorId="2" shapeId="0" xr:uid="{00000000-0006-0000-0000-0000EB000000}">
      <text>
        <r>
          <rPr>
            <b/>
            <sz val="8"/>
            <color indexed="81"/>
            <rFont val="Tahoma"/>
            <family val="2"/>
          </rPr>
          <t>Kieny, Craig:</t>
        </r>
        <r>
          <rPr>
            <sz val="8"/>
            <color indexed="81"/>
            <rFont val="Tahoma"/>
            <family val="2"/>
          </rPr>
          <t xml:space="preserve">
Escalation from 2011 IRP</t>
        </r>
      </text>
    </comment>
    <comment ref="B241" authorId="2" shapeId="0" xr:uid="{00000000-0006-0000-0000-0000EC000000}">
      <text>
        <r>
          <rPr>
            <b/>
            <sz val="8"/>
            <color indexed="81"/>
            <rFont val="Tahoma"/>
            <family val="2"/>
          </rPr>
          <t>Kieny, Craig:</t>
        </r>
        <r>
          <rPr>
            <sz val="8"/>
            <color indexed="81"/>
            <rFont val="Tahoma"/>
            <family val="2"/>
          </rPr>
          <t xml:space="preserve">
Escalation from 2011 IRP</t>
        </r>
      </text>
    </comment>
    <comment ref="B242" authorId="2" shapeId="0" xr:uid="{00000000-0006-0000-0000-0000ED000000}">
      <text>
        <r>
          <rPr>
            <b/>
            <sz val="8"/>
            <color indexed="81"/>
            <rFont val="Tahoma"/>
            <family val="2"/>
          </rPr>
          <t>Kieny, Craig:</t>
        </r>
        <r>
          <rPr>
            <sz val="8"/>
            <color indexed="81"/>
            <rFont val="Tahoma"/>
            <family val="2"/>
          </rPr>
          <t xml:space="preserve">
Escalation from 2011 IRP</t>
        </r>
      </text>
    </comment>
    <comment ref="B243" authorId="2" shapeId="0" xr:uid="{00000000-0006-0000-0000-0000EE000000}">
      <text>
        <r>
          <rPr>
            <b/>
            <sz val="8"/>
            <color indexed="81"/>
            <rFont val="Tahoma"/>
            <family val="2"/>
          </rPr>
          <t>Kieny, Craig:</t>
        </r>
        <r>
          <rPr>
            <sz val="8"/>
            <color indexed="81"/>
            <rFont val="Tahoma"/>
            <family val="2"/>
          </rPr>
          <t xml:space="preserve">
Escalation from 2011 IRP</t>
        </r>
      </text>
    </comment>
    <comment ref="B244" authorId="2" shapeId="0" xr:uid="{00000000-0006-0000-0000-0000EF000000}">
      <text>
        <r>
          <rPr>
            <b/>
            <sz val="8"/>
            <color indexed="81"/>
            <rFont val="Tahoma"/>
            <family val="2"/>
          </rPr>
          <t>Kieny, Craig:</t>
        </r>
        <r>
          <rPr>
            <sz val="8"/>
            <color indexed="81"/>
            <rFont val="Tahoma"/>
            <family val="2"/>
          </rPr>
          <t xml:space="preserve">
Escalation from 2011 IRP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Kieny, Craig</author>
  </authors>
  <commentList>
    <comment ref="B7" authorId="0" shapeId="0" xr:uid="{F7DA3279-86DE-497F-8B8C-1D4DCCC83DD5}">
      <text>
        <r>
          <rPr>
            <b/>
            <sz val="9"/>
            <color indexed="81"/>
            <rFont val="Tahoma"/>
            <family val="2"/>
          </rPr>
          <t>Kieny, Craig:</t>
        </r>
        <r>
          <rPr>
            <sz val="9"/>
            <color indexed="81"/>
            <rFont val="Tahoma"/>
            <family val="2"/>
          </rPr>
          <t xml:space="preserve">
See "NEPOOL_System_Mix.xls" in "IRP-2022/Emissions Data" directory.
</t>
        </r>
      </text>
    </comment>
    <comment ref="B8" authorId="0" shapeId="0" xr:uid="{6B64E719-E065-4CB2-B2D8-8C7268E7A06F}">
      <text>
        <r>
          <rPr>
            <b/>
            <sz val="9"/>
            <color indexed="81"/>
            <rFont val="Tahoma"/>
            <family val="2"/>
          </rPr>
          <t>Kieny, Craig:</t>
        </r>
        <r>
          <rPr>
            <sz val="9"/>
            <color indexed="81"/>
            <rFont val="Tahoma"/>
            <family val="2"/>
          </rPr>
          <t xml:space="preserve">
See "NEPOOL_FuelTypeStatistics - Q4 2020 - Q1 2021.xls" in "IRP-2022/Emissions Data" directory.
</t>
        </r>
      </text>
    </comment>
    <comment ref="B9" authorId="0" shapeId="0" xr:uid="{00000000-0006-0000-1900-000002000000}">
      <text>
        <r>
          <rPr>
            <b/>
            <sz val="9"/>
            <color indexed="81"/>
            <rFont val="Tahoma"/>
            <family val="2"/>
          </rPr>
          <t>Kieny, Craig:</t>
        </r>
        <r>
          <rPr>
            <sz val="9"/>
            <color indexed="81"/>
            <rFont val="Tahoma"/>
            <family val="2"/>
          </rPr>
          <t xml:space="preserve">
See "NEPOOL_Residual_Mix.xls" in "IRP-2022/Emissions Data" directory.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ckieny</author>
    <author>Craig Kieny</author>
  </authors>
  <commentList>
    <comment ref="AE3" authorId="0" shapeId="0" xr:uid="{00000000-0006-0000-0100-000001000000}">
      <text>
        <r>
          <rPr>
            <b/>
            <sz val="8"/>
            <color indexed="81"/>
            <rFont val="Tahoma"/>
            <family val="2"/>
          </rPr>
          <t>ckieny:</t>
        </r>
        <r>
          <rPr>
            <sz val="8"/>
            <color indexed="81"/>
            <rFont val="Tahoma"/>
            <family val="2"/>
          </rPr>
          <t xml:space="preserve">
Includes 28.42% CF at Project and 4.76% line losses to ISO Settlement System node.</t>
        </r>
      </text>
    </comment>
    <comment ref="A4" authorId="1" shapeId="0" xr:uid="{00000000-0006-0000-0100-000002000000}">
      <text>
        <r>
          <rPr>
            <b/>
            <sz val="8"/>
            <color indexed="81"/>
            <rFont val="Tahoma"/>
            <family val="2"/>
          </rPr>
          <t>Craig Kieny:</t>
        </r>
        <r>
          <rPr>
            <sz val="8"/>
            <color indexed="81"/>
            <rFont val="Tahoma"/>
            <family val="2"/>
          </rPr>
          <t xml:space="preserve">
La Capra blended forecast.  See "Blended Forecast_Final.xls" file, sheet "System Energy" cells t14.ae32.</t>
        </r>
      </text>
    </comment>
    <comment ref="B4" authorId="1" shapeId="0" xr:uid="{00000000-0006-0000-0100-000003000000}">
      <text>
        <r>
          <rPr>
            <b/>
            <sz val="8"/>
            <color indexed="81"/>
            <rFont val="Tahoma"/>
            <family val="2"/>
          </rPr>
          <t>Craig Kieny:</t>
        </r>
        <r>
          <rPr>
            <sz val="8"/>
            <color indexed="81"/>
            <rFont val="Tahoma"/>
            <family val="2"/>
          </rPr>
          <t xml:space="preserve">
La Capra blended forecast.  See "Blended Forecast_Final.xls" file, sheet "System Energy" cells t14.ae32.</t>
        </r>
      </text>
    </comment>
    <comment ref="C4" authorId="1" shapeId="0" xr:uid="{00000000-0006-0000-0100-000004000000}">
      <text>
        <r>
          <rPr>
            <b/>
            <sz val="8"/>
            <color indexed="81"/>
            <rFont val="Tahoma"/>
            <family val="2"/>
          </rPr>
          <t>Craig Kieny:</t>
        </r>
        <r>
          <rPr>
            <sz val="8"/>
            <color indexed="81"/>
            <rFont val="Tahoma"/>
            <family val="2"/>
          </rPr>
          <t xml:space="preserve">
La Capra blended forecast.  See "Blended Forecast_Final.xls" file, sheet "System Energy" cells t14.ae32.</t>
        </r>
      </text>
    </comment>
    <comment ref="G4" authorId="1" shapeId="0" xr:uid="{00000000-0006-0000-0100-000005000000}">
      <text>
        <r>
          <rPr>
            <b/>
            <sz val="8"/>
            <color indexed="81"/>
            <rFont val="Tahoma"/>
            <family val="2"/>
          </rPr>
          <t>Craig Kieny:</t>
        </r>
        <r>
          <rPr>
            <sz val="8"/>
            <color indexed="81"/>
            <rFont val="Tahoma"/>
            <family val="2"/>
          </rPr>
          <t xml:space="preserve">
Low Load Forecast - Base DSM Impact.</t>
        </r>
      </text>
    </comment>
    <comment ref="H4" authorId="1" shapeId="0" xr:uid="{00000000-0006-0000-0100-000006000000}">
      <text>
        <r>
          <rPr>
            <b/>
            <sz val="8"/>
            <color indexed="81"/>
            <rFont val="Tahoma"/>
            <family val="2"/>
          </rPr>
          <t>Craig Kieny:</t>
        </r>
        <r>
          <rPr>
            <sz val="8"/>
            <color indexed="81"/>
            <rFont val="Tahoma"/>
            <family val="2"/>
          </rPr>
          <t xml:space="preserve">
Low Load Forecast - High DSM Impact.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Craig Kieny</author>
    <author>Kieny, Craig</author>
    <author>Williams, Tucker</author>
    <author xml:space="preserve"> Craig Kieny</author>
  </authors>
  <commentList>
    <comment ref="AR5" authorId="0" shapeId="0" xr:uid="{6CA05C1E-88E2-475C-9D39-CBB9F211E70E}">
      <text>
        <r>
          <rPr>
            <b/>
            <sz val="9"/>
            <color indexed="81"/>
            <rFont val="Tahoma"/>
            <family val="2"/>
          </rPr>
          <t>Craig Kieny:</t>
        </r>
        <r>
          <rPr>
            <sz val="9"/>
            <color indexed="81"/>
            <rFont val="Tahoma"/>
            <family val="2"/>
          </rPr>
          <t xml:space="preserve">
includes increase in Highgate capacity from 2018 to 225 MW and election of VPPSA entitlement.  See letter to HQ dated 9/4/2012.</t>
        </r>
      </text>
    </comment>
    <comment ref="H7" authorId="0" shapeId="0" xr:uid="{00000000-0006-0000-0600-000006000000}">
      <text>
        <r>
          <rPr>
            <b/>
            <sz val="9"/>
            <color indexed="81"/>
            <rFont val="Tahoma"/>
            <family val="2"/>
          </rPr>
          <t>Craig Kieny:</t>
        </r>
        <r>
          <rPr>
            <sz val="9"/>
            <color indexed="81"/>
            <rFont val="Tahoma"/>
            <family val="2"/>
          </rPr>
          <t xml:space="preserve">
See "Base Forecast Development - 3025-03-27.xlsx" Used 91% (10/11) of 2024 Jay Peak Load plus Trendline load calculation.</t>
        </r>
      </text>
    </comment>
    <comment ref="K7" authorId="0" shapeId="0" xr:uid="{00000000-0006-0000-0600-000008000000}">
      <text>
        <r>
          <rPr>
            <b/>
            <sz val="8"/>
            <color indexed="81"/>
            <rFont val="Tahoma"/>
            <family val="2"/>
          </rPr>
          <t>Craig Kieny:</t>
        </r>
        <r>
          <rPr>
            <sz val="8"/>
            <color indexed="81"/>
            <rFont val="Tahoma"/>
            <family val="2"/>
          </rPr>
          <t xml:space="preserve">
New DSM that is not included in the load forecast.  See "Monthly Impact to VEC" sheet in "Efficiency Vermont 2025-2024 DRP Forecast Data - CK - 2025-04-29.xls"</t>
        </r>
      </text>
    </comment>
    <comment ref="M7" authorId="1" shapeId="0" xr:uid="{2BA8ECA6-DA02-4C69-9282-521B8BD7C0CA}">
      <text>
        <r>
          <rPr>
            <b/>
            <sz val="9"/>
            <color indexed="81"/>
            <rFont val="Tahoma"/>
            <family val="2"/>
          </rPr>
          <t>Kieny, Craig:</t>
        </r>
        <r>
          <rPr>
            <sz val="9"/>
            <color indexed="81"/>
            <rFont val="Tahoma"/>
            <family val="2"/>
          </rPr>
          <t xml:space="preserve">
We now get credit for RECs from existing projects that previously had not turned their RECs over to the utillity.  In reality, we get to lower our requirement by that amount instead of taking credit for a REC. See Column AC of "VEC Net Metering Forecast 2025-05-08.xlsx"</t>
        </r>
      </text>
    </comment>
    <comment ref="N7" authorId="1" shapeId="0" xr:uid="{38DD5E73-BAD0-435B-8546-83A5AAA351B7}">
      <text>
        <r>
          <rPr>
            <b/>
            <sz val="9"/>
            <color indexed="81"/>
            <rFont val="Tahoma"/>
            <family val="2"/>
          </rPr>
          <t>Kieny, Craig:</t>
        </r>
        <r>
          <rPr>
            <sz val="9"/>
            <color indexed="81"/>
            <rFont val="Tahoma"/>
            <family val="2"/>
          </rPr>
          <t xml:space="preserve">
See Column AF of "VEC Net Metering Forecast 3025-05-08.xlsx"</t>
        </r>
      </text>
    </comment>
    <comment ref="O7" authorId="1" shapeId="0" xr:uid="{AC0110A7-395A-48DB-8180-E8E4170185B0}">
      <text>
        <r>
          <rPr>
            <b/>
            <sz val="9"/>
            <color indexed="81"/>
            <rFont val="Tahoma"/>
            <family val="2"/>
          </rPr>
          <t>Kieny, Craig:</t>
        </r>
        <r>
          <rPr>
            <sz val="9"/>
            <color indexed="81"/>
            <rFont val="Tahoma"/>
            <family val="2"/>
          </rPr>
          <t xml:space="preserve">
See Column Ai
 of "VEC Net Metering Forecast 3025-05-08.xlsx"</t>
        </r>
      </text>
    </comment>
    <comment ref="P7" authorId="0" shapeId="0" xr:uid="{00000000-0006-0000-0600-00000C000000}">
      <text>
        <r>
          <rPr>
            <b/>
            <sz val="8"/>
            <color indexed="81"/>
            <rFont val="Tahoma"/>
            <family val="2"/>
          </rPr>
          <t>Craig Kieny:</t>
        </r>
        <r>
          <rPr>
            <sz val="8"/>
            <color indexed="81"/>
            <rFont val="Tahoma"/>
            <family val="2"/>
          </rPr>
          <t xml:space="preserve">
High Load Forecast - 
Low DSM Impact.</t>
        </r>
      </text>
    </comment>
    <comment ref="Q7" authorId="0" shapeId="0" xr:uid="{00000000-0006-0000-0600-00000D000000}">
      <text>
        <r>
          <rPr>
            <b/>
            <sz val="8"/>
            <color indexed="81"/>
            <rFont val="Tahoma"/>
            <family val="2"/>
          </rPr>
          <t>Craig Kieny:</t>
        </r>
        <r>
          <rPr>
            <sz val="8"/>
            <color indexed="81"/>
            <rFont val="Tahoma"/>
            <family val="2"/>
          </rPr>
          <t xml:space="preserve">
High Load Forecast - Base DSM Impact.</t>
        </r>
      </text>
    </comment>
    <comment ref="R7" authorId="0" shapeId="0" xr:uid="{00000000-0006-0000-0600-00000E000000}">
      <text>
        <r>
          <rPr>
            <b/>
            <sz val="8"/>
            <color indexed="81"/>
            <rFont val="Tahoma"/>
            <family val="2"/>
          </rPr>
          <t>Craig Kieny:</t>
        </r>
        <r>
          <rPr>
            <sz val="8"/>
            <color indexed="81"/>
            <rFont val="Tahoma"/>
            <family val="2"/>
          </rPr>
          <t xml:space="preserve">
High Load Forecast - High DSM Impact.</t>
        </r>
      </text>
    </comment>
    <comment ref="S7" authorId="0" shapeId="0" xr:uid="{00000000-0006-0000-0600-00000F000000}">
      <text>
        <r>
          <rPr>
            <b/>
            <sz val="8"/>
            <color indexed="81"/>
            <rFont val="Tahoma"/>
            <family val="2"/>
          </rPr>
          <t>Craig Kieny:</t>
        </r>
        <r>
          <rPr>
            <sz val="8"/>
            <color indexed="81"/>
            <rFont val="Tahoma"/>
            <family val="2"/>
          </rPr>
          <t xml:space="preserve">
The Pre-Tier III/DSM/New NM Forecast is assumed to have 30% of existing NM impact imbedded in it.  For New NM, 30% is assumed to reduced the load and 70% is a resource, as is 70% of existing NM generation.</t>
        </r>
      </text>
    </comment>
    <comment ref="T7" authorId="0" shapeId="0" xr:uid="{2F5EBCDD-7986-4E4F-821C-8464DB19D2AB}">
      <text>
        <r>
          <rPr>
            <b/>
            <sz val="8"/>
            <color indexed="81"/>
            <rFont val="Tahoma"/>
            <family val="2"/>
          </rPr>
          <t>Craig Kieny:</t>
        </r>
        <r>
          <rPr>
            <sz val="8"/>
            <color indexed="81"/>
            <rFont val="Tahoma"/>
            <family val="2"/>
          </rPr>
          <t xml:space="preserve">
The Pre-Tier III/DSM/New NM Forecast is assumed to have 30% of existing NM impact imbedded in it.  For New NM, 30% is assumed to reduced the load and 70% is a resource, as is 70% of existing NM generation.</t>
        </r>
      </text>
    </comment>
    <comment ref="U7" authorId="0" shapeId="0" xr:uid="{4FCB9281-964E-411D-A5DF-78D072AADCEE}">
      <text>
        <r>
          <rPr>
            <b/>
            <sz val="8"/>
            <color indexed="81"/>
            <rFont val="Tahoma"/>
            <family val="2"/>
          </rPr>
          <t>Craig Kieny:</t>
        </r>
        <r>
          <rPr>
            <sz val="8"/>
            <color indexed="81"/>
            <rFont val="Tahoma"/>
            <family val="2"/>
          </rPr>
          <t xml:space="preserve">
The Pre-Tier III/DSM/New NM Forecast is assumed to have 30% of existing NM impact imbedded in it.  For New NM, 30% is assumed to reduced the load and 70% is a resource, as is 70% of existing NM generation.</t>
        </r>
      </text>
    </comment>
    <comment ref="V7" authorId="0" shapeId="0" xr:uid="{00000000-0006-0000-0600-000012000000}">
      <text>
        <r>
          <rPr>
            <b/>
            <sz val="8"/>
            <color indexed="81"/>
            <rFont val="Tahoma"/>
            <family val="2"/>
          </rPr>
          <t>Craig Kieny:</t>
        </r>
        <r>
          <rPr>
            <sz val="8"/>
            <color indexed="81"/>
            <rFont val="Tahoma"/>
            <family val="2"/>
          </rPr>
          <t xml:space="preserve">
Low Load Forecast - Low DSM Impact.</t>
        </r>
      </text>
    </comment>
    <comment ref="W7" authorId="0" shapeId="0" xr:uid="{00000000-0006-0000-0600-000013000000}">
      <text>
        <r>
          <rPr>
            <b/>
            <sz val="8"/>
            <color indexed="81"/>
            <rFont val="Tahoma"/>
            <family val="2"/>
          </rPr>
          <t>Craig Kieny:</t>
        </r>
        <r>
          <rPr>
            <sz val="8"/>
            <color indexed="81"/>
            <rFont val="Tahoma"/>
            <family val="2"/>
          </rPr>
          <t xml:space="preserve">
Low Load Forecast - Base DSM Impact.</t>
        </r>
      </text>
    </comment>
    <comment ref="X7" authorId="0" shapeId="0" xr:uid="{00000000-0006-0000-0600-000014000000}">
      <text>
        <r>
          <rPr>
            <b/>
            <sz val="8"/>
            <color indexed="81"/>
            <rFont val="Tahoma"/>
            <family val="2"/>
          </rPr>
          <t>Craig Kieny:</t>
        </r>
        <r>
          <rPr>
            <sz val="8"/>
            <color indexed="81"/>
            <rFont val="Tahoma"/>
            <family val="2"/>
          </rPr>
          <t xml:space="preserve">
Low Load Forecast - High DSM Impact.</t>
        </r>
      </text>
    </comment>
    <comment ref="Y7" authorId="1" shapeId="0" xr:uid="{310AA6DE-74FF-4193-92FE-49D15BAB5941}">
      <text>
        <r>
          <rPr>
            <b/>
            <sz val="9"/>
            <color indexed="81"/>
            <rFont val="Tahoma"/>
            <family val="2"/>
          </rPr>
          <t>Kieny, Craig:</t>
        </r>
        <r>
          <rPr>
            <sz val="9"/>
            <color indexed="81"/>
            <rFont val="Tahoma"/>
            <family val="2"/>
          </rPr>
          <t xml:space="preserve">
From Tier III Forecast File, Monthly Impact sheet, Total Tier III Load Growth section, MWh Purchased Power Impact column</t>
        </r>
      </text>
    </comment>
    <comment ref="Z7" authorId="1" shapeId="0" xr:uid="{ABDA7A74-819B-44A6-A5D4-E48A9B8C2BB8}">
      <text>
        <r>
          <rPr>
            <b/>
            <sz val="9"/>
            <color indexed="81"/>
            <rFont val="Tahoma"/>
            <family val="2"/>
          </rPr>
          <t>Kieny, Craig:</t>
        </r>
        <r>
          <rPr>
            <sz val="9"/>
            <color indexed="81"/>
            <rFont val="Tahoma"/>
            <family val="2"/>
          </rPr>
          <t xml:space="preserve">
From Tier III Forecast File, Monthly Impact sheet, Total Tier III Load Growth section, MWh Purchased Power Impact column</t>
        </r>
      </text>
    </comment>
    <comment ref="AA7" authorId="1" shapeId="0" xr:uid="{2103AEBF-ADC9-4B02-9C28-C4B2DCA5F4E7}">
      <text>
        <r>
          <rPr>
            <b/>
            <sz val="9"/>
            <color indexed="81"/>
            <rFont val="Tahoma"/>
            <family val="2"/>
          </rPr>
          <t>Kieny, Craig:</t>
        </r>
        <r>
          <rPr>
            <sz val="9"/>
            <color indexed="81"/>
            <rFont val="Tahoma"/>
            <family val="2"/>
          </rPr>
          <t xml:space="preserve">
From Tier III Forecast File, Monthly Impact sheet, Total Tier III Load Growth section, MWh Purchased Power Impact column</t>
        </r>
      </text>
    </comment>
    <comment ref="AB7" authorId="0" shapeId="0" xr:uid="{00000000-0006-0000-0600-000015000000}">
      <text>
        <r>
          <rPr>
            <b/>
            <sz val="8"/>
            <color indexed="81"/>
            <rFont val="Tahoma"/>
            <family val="2"/>
          </rPr>
          <t>Craig Kieny:</t>
        </r>
        <r>
          <rPr>
            <sz val="8"/>
            <color indexed="81"/>
            <rFont val="Tahoma"/>
            <family val="2"/>
          </rPr>
          <t xml:space="preserve">
High Load Forecast - 
Low DSM Impact.</t>
        </r>
      </text>
    </comment>
    <comment ref="AC7" authorId="0" shapeId="0" xr:uid="{00000000-0006-0000-0600-000016000000}">
      <text>
        <r>
          <rPr>
            <b/>
            <sz val="8"/>
            <color indexed="81"/>
            <rFont val="Tahoma"/>
            <family val="2"/>
          </rPr>
          <t>Craig Kieny:</t>
        </r>
        <r>
          <rPr>
            <sz val="8"/>
            <color indexed="81"/>
            <rFont val="Tahoma"/>
            <family val="2"/>
          </rPr>
          <t xml:space="preserve">
High Load Forecast - Base DSM Impact.</t>
        </r>
      </text>
    </comment>
    <comment ref="AD7" authorId="0" shapeId="0" xr:uid="{00000000-0006-0000-0600-000017000000}">
      <text>
        <r>
          <rPr>
            <b/>
            <sz val="8"/>
            <color indexed="81"/>
            <rFont val="Tahoma"/>
            <family val="2"/>
          </rPr>
          <t>Craig Kieny:</t>
        </r>
        <r>
          <rPr>
            <sz val="8"/>
            <color indexed="81"/>
            <rFont val="Tahoma"/>
            <family val="2"/>
          </rPr>
          <t xml:space="preserve">
High Load Forecast - High DSM Impact.</t>
        </r>
      </text>
    </comment>
    <comment ref="AE7" authorId="1" shapeId="0" xr:uid="{8627B7E8-47C4-4F92-891C-3BB9BAAA485B}">
      <text>
        <r>
          <rPr>
            <b/>
            <sz val="9"/>
            <color indexed="81"/>
            <rFont val="Tahoma"/>
            <family val="2"/>
          </rPr>
          <t>Kieny, Craig:</t>
        </r>
        <r>
          <rPr>
            <sz val="9"/>
            <color indexed="81"/>
            <rFont val="Tahoma"/>
            <family val="2"/>
          </rPr>
          <t xml:space="preserve">
From Tier III Forecast File, Monthly Impact sheet, Total Tier III Load Growth section, MWh Purchased Power Impact column</t>
        </r>
      </text>
    </comment>
    <comment ref="AF7" authorId="1" shapeId="0" xr:uid="{FC2EEA9B-F32F-41D7-8A4E-AB81E003C19F}">
      <text>
        <r>
          <rPr>
            <b/>
            <sz val="9"/>
            <color indexed="81"/>
            <rFont val="Tahoma"/>
            <family val="2"/>
          </rPr>
          <t>Kieny, Craig:</t>
        </r>
        <r>
          <rPr>
            <sz val="9"/>
            <color indexed="81"/>
            <rFont val="Tahoma"/>
            <family val="2"/>
          </rPr>
          <t xml:space="preserve">
From Tier III Forecast File, Monthly Impact sheet, Total Tier III Load Growth section, MWh Purchased Power Impact column</t>
        </r>
      </text>
    </comment>
    <comment ref="AG7" authorId="1" shapeId="0" xr:uid="{C5B3DB7A-1801-402F-9FFD-2EDE2B3FB19C}">
      <text>
        <r>
          <rPr>
            <b/>
            <sz val="9"/>
            <color indexed="81"/>
            <rFont val="Tahoma"/>
            <family val="2"/>
          </rPr>
          <t>Kieny, Craig:</t>
        </r>
        <r>
          <rPr>
            <sz val="9"/>
            <color indexed="81"/>
            <rFont val="Tahoma"/>
            <family val="2"/>
          </rPr>
          <t xml:space="preserve">
From Tier III Forecast File, Monthly Impact sheet, Total Tier III Load Growth section, MWh Purchased Power Impact column</t>
        </r>
      </text>
    </comment>
    <comment ref="AI7" authorId="0" shapeId="0" xr:uid="{00000000-0006-0000-0600-00001B000000}">
      <text>
        <r>
          <rPr>
            <b/>
            <sz val="8"/>
            <color indexed="81"/>
            <rFont val="Tahoma"/>
            <family val="2"/>
          </rPr>
          <t>Craig Kieny:</t>
        </r>
        <r>
          <rPr>
            <sz val="8"/>
            <color indexed="81"/>
            <rFont val="Tahoma"/>
            <family val="2"/>
          </rPr>
          <t xml:space="preserve">
Low Load Forecast - Low DSM Impact.</t>
        </r>
      </text>
    </comment>
    <comment ref="AJ7" authorId="0" shapeId="0" xr:uid="{00000000-0006-0000-0600-00001C000000}">
      <text>
        <r>
          <rPr>
            <b/>
            <sz val="8"/>
            <color indexed="81"/>
            <rFont val="Tahoma"/>
            <family val="2"/>
          </rPr>
          <t>Craig Kieny:</t>
        </r>
        <r>
          <rPr>
            <sz val="8"/>
            <color indexed="81"/>
            <rFont val="Tahoma"/>
            <family val="2"/>
          </rPr>
          <t xml:space="preserve">
Low Load Forecast - Base DSM Impact.</t>
        </r>
      </text>
    </comment>
    <comment ref="AK7" authorId="0" shapeId="0" xr:uid="{00000000-0006-0000-0600-00001D000000}">
      <text>
        <r>
          <rPr>
            <b/>
            <sz val="8"/>
            <color indexed="81"/>
            <rFont val="Tahoma"/>
            <family val="2"/>
          </rPr>
          <t>Craig Kieny:</t>
        </r>
        <r>
          <rPr>
            <sz val="8"/>
            <color indexed="81"/>
            <rFont val="Tahoma"/>
            <family val="2"/>
          </rPr>
          <t xml:space="preserve">
Low Load Forecast - High DSM Impact.</t>
        </r>
      </text>
    </comment>
    <comment ref="AQ7" authorId="1" shapeId="0" xr:uid="{00000000-0006-0000-0600-00001E000000}">
      <text>
        <r>
          <rPr>
            <b/>
            <sz val="9"/>
            <color indexed="81"/>
            <rFont val="Tahoma"/>
            <family val="2"/>
          </rPr>
          <t>Kieny, Craig:</t>
        </r>
        <r>
          <rPr>
            <sz val="9"/>
            <color indexed="81"/>
            <rFont val="Tahoma"/>
            <family val="2"/>
          </rPr>
          <t xml:space="preserve">
From "VEC Power Cost Projections - 2018-10-23 Fixed Sales for Resale.xls"</t>
        </r>
      </text>
    </comment>
    <comment ref="AR7" authorId="1" shapeId="0" xr:uid="{00000000-0006-0000-0600-00001F000000}">
      <text>
        <r>
          <rPr>
            <b/>
            <sz val="9"/>
            <color indexed="81"/>
            <rFont val="Tahoma"/>
            <family val="2"/>
          </rPr>
          <t>Kieny, Craig:</t>
        </r>
        <r>
          <rPr>
            <sz val="9"/>
            <color indexed="81"/>
            <rFont val="Tahoma"/>
            <family val="2"/>
          </rPr>
          <t xml:space="preserve">
From "VEC Power Cost Projections - 2018-10-23 Fixed Sales for Resale.xls"</t>
        </r>
      </text>
    </comment>
    <comment ref="AS7" authorId="1" shapeId="0" xr:uid="{00000000-0006-0000-0600-000020000000}">
      <text>
        <r>
          <rPr>
            <b/>
            <sz val="9"/>
            <color indexed="81"/>
            <rFont val="Tahoma"/>
            <family val="2"/>
          </rPr>
          <t>Kieny, Craig:</t>
        </r>
        <r>
          <rPr>
            <sz val="9"/>
            <color indexed="81"/>
            <rFont val="Tahoma"/>
            <family val="2"/>
          </rPr>
          <t xml:space="preserve">
From "VEC Power Cost Projections - 2018-10-23 Fixed Sales for Resale.xls"</t>
        </r>
      </text>
    </comment>
    <comment ref="AT7" authorId="1" shapeId="0" xr:uid="{00000000-0006-0000-0600-000021000000}">
      <text>
        <r>
          <rPr>
            <b/>
            <sz val="9"/>
            <color indexed="81"/>
            <rFont val="Tahoma"/>
            <family val="2"/>
          </rPr>
          <t>Kieny, Craig:</t>
        </r>
        <r>
          <rPr>
            <sz val="9"/>
            <color indexed="81"/>
            <rFont val="Tahoma"/>
            <family val="2"/>
          </rPr>
          <t xml:space="preserve">
From "VEC Power Cost Projections - 2018-10-23 Fixed Sales for Resale.xls"</t>
        </r>
      </text>
    </comment>
    <comment ref="AU7" authorId="1" shapeId="0" xr:uid="{00000000-0006-0000-0600-000022000000}">
      <text>
        <r>
          <rPr>
            <b/>
            <sz val="9"/>
            <color indexed="81"/>
            <rFont val="Tahoma"/>
            <family val="2"/>
          </rPr>
          <t>Kieny, Craig:</t>
        </r>
        <r>
          <rPr>
            <sz val="9"/>
            <color indexed="81"/>
            <rFont val="Tahoma"/>
            <family val="2"/>
          </rPr>
          <t xml:space="preserve">
From "VEC Power Cost Projections - 2018-10-23 Fixed Sales for Resale.xls"</t>
        </r>
      </text>
    </comment>
    <comment ref="AV7" authorId="1" shapeId="0" xr:uid="{00000000-0006-0000-0600-000023000000}">
      <text>
        <r>
          <rPr>
            <b/>
            <sz val="9"/>
            <color indexed="81"/>
            <rFont val="Tahoma"/>
            <family val="2"/>
          </rPr>
          <t>Kieny, Craig:</t>
        </r>
        <r>
          <rPr>
            <sz val="9"/>
            <color indexed="81"/>
            <rFont val="Tahoma"/>
            <family val="2"/>
          </rPr>
          <t xml:space="preserve">
From "VEC Power Cost Projections - 2018-10-23 Fixed Sales for Resale.xls"</t>
        </r>
      </text>
    </comment>
    <comment ref="AW7" authorId="1" shapeId="0" xr:uid="{00000000-0006-0000-0600-000024000000}">
      <text>
        <r>
          <rPr>
            <b/>
            <sz val="9"/>
            <color indexed="81"/>
            <rFont val="Tahoma"/>
            <family val="2"/>
          </rPr>
          <t>Kieny, Craig:</t>
        </r>
        <r>
          <rPr>
            <sz val="9"/>
            <color indexed="81"/>
            <rFont val="Tahoma"/>
            <family val="2"/>
          </rPr>
          <t xml:space="preserve">
2018-2022 from "VEC Power Cost Projections - 2018-10-23 Fixed Sales for Resale.xls". Contract expires at end of 2022, but we have assumed it will continue in some form so 2022 monthly output was assumed for 2023 and beyond.</t>
        </r>
      </text>
    </comment>
    <comment ref="AX7" authorId="1" shapeId="0" xr:uid="{00000000-0006-0000-0600-000025000000}">
      <text>
        <r>
          <rPr>
            <b/>
            <sz val="9"/>
            <color indexed="81"/>
            <rFont val="Tahoma"/>
            <family val="2"/>
          </rPr>
          <t>Kieny, Craig:</t>
        </r>
        <r>
          <rPr>
            <sz val="9"/>
            <color indexed="81"/>
            <rFont val="Tahoma"/>
            <family val="2"/>
          </rPr>
          <t xml:space="preserve">
2018-2022 from "VEC Power Cost Projections - 2018-10-23 Fixed Sales for Resale.xls". Contract expires at end of 2022, but we have assumed it will continue in some form so 2022 monthly output was assumed for 2023 and beyond.</t>
        </r>
      </text>
    </comment>
    <comment ref="AY7" authorId="1" shapeId="0" xr:uid="{00000000-0006-0000-0600-000026000000}">
      <text>
        <r>
          <rPr>
            <b/>
            <sz val="9"/>
            <color indexed="81"/>
            <rFont val="Tahoma"/>
            <family val="2"/>
          </rPr>
          <t>Kieny, Craig:</t>
        </r>
        <r>
          <rPr>
            <sz val="9"/>
            <color indexed="81"/>
            <rFont val="Tahoma"/>
            <family val="2"/>
          </rPr>
          <t xml:space="preserve">
From "VEC Power Cost Projections - 2018-10-23 Fixed Sales for Resale.xls"</t>
        </r>
      </text>
    </comment>
    <comment ref="AZ7" authorId="1" shapeId="0" xr:uid="{00000000-0006-0000-0600-000027000000}">
      <text>
        <r>
          <rPr>
            <b/>
            <sz val="9"/>
            <color indexed="81"/>
            <rFont val="Tahoma"/>
            <family val="2"/>
          </rPr>
          <t>Kieny, Craig:</t>
        </r>
        <r>
          <rPr>
            <sz val="9"/>
            <color indexed="81"/>
            <rFont val="Tahoma"/>
            <family val="2"/>
          </rPr>
          <t xml:space="preserve">
From "VEC Power Cost Projections - 2018-10-23 Fixed Sales for Resale.xls"</t>
        </r>
      </text>
    </comment>
    <comment ref="BA7" authorId="1" shapeId="0" xr:uid="{00000000-0006-0000-0600-000028000000}">
      <text>
        <r>
          <rPr>
            <b/>
            <sz val="9"/>
            <color indexed="81"/>
            <rFont val="Tahoma"/>
            <family val="2"/>
          </rPr>
          <t>Kieny, Craig:</t>
        </r>
        <r>
          <rPr>
            <sz val="9"/>
            <color indexed="81"/>
            <rFont val="Tahoma"/>
            <family val="2"/>
          </rPr>
          <t xml:space="preserve">
From "VEC Power Cost Projections - 2018-10-23 Fixed Sales for Resale.xls"</t>
        </r>
      </text>
    </comment>
    <comment ref="BB7" authorId="1" shapeId="0" xr:uid="{00000000-0006-0000-0600-000029000000}">
      <text>
        <r>
          <rPr>
            <b/>
            <sz val="9"/>
            <color indexed="81"/>
            <rFont val="Tahoma"/>
            <family val="2"/>
          </rPr>
          <t>Kieny, Craig:</t>
        </r>
        <r>
          <rPr>
            <sz val="9"/>
            <color indexed="81"/>
            <rFont val="Tahoma"/>
            <family val="2"/>
          </rPr>
          <t xml:space="preserve">
From "VEC Power Cost Projections - 2018-10-23 Fixed Sales for Resale.xls"</t>
        </r>
      </text>
    </comment>
    <comment ref="BC7" authorId="0" shapeId="0" xr:uid="{00000000-0006-0000-0600-00002A000000}">
      <text>
        <r>
          <rPr>
            <b/>
            <sz val="9"/>
            <color indexed="81"/>
            <rFont val="Tahoma"/>
            <family val="2"/>
          </rPr>
          <t>Craig Kieny:</t>
        </r>
        <r>
          <rPr>
            <sz val="9"/>
            <color indexed="81"/>
            <rFont val="Tahoma"/>
            <family val="2"/>
          </rPr>
          <t xml:space="preserve">
From "SPEED FIT Assumptions 2019-06-03.xls"</t>
        </r>
      </text>
    </comment>
    <comment ref="BD7" authorId="0" shapeId="0" xr:uid="{00000000-0006-0000-0600-00002B000000}">
      <text>
        <r>
          <rPr>
            <b/>
            <sz val="9"/>
            <color indexed="81"/>
            <rFont val="Tahoma"/>
            <family val="2"/>
          </rPr>
          <t>Craig Kieny:</t>
        </r>
        <r>
          <rPr>
            <sz val="9"/>
            <color indexed="81"/>
            <rFont val="Tahoma"/>
            <family val="2"/>
          </rPr>
          <t xml:space="preserve">
From "SPEED FIT Assumptions 2019-06-03.xls"</t>
        </r>
      </text>
    </comment>
    <comment ref="BE7" authorId="0" shapeId="0" xr:uid="{00000000-0006-0000-0600-00002C000000}">
      <text>
        <r>
          <rPr>
            <b/>
            <sz val="9"/>
            <color indexed="81"/>
            <rFont val="Tahoma"/>
            <family val="2"/>
          </rPr>
          <t>Craig Kieny:</t>
        </r>
        <r>
          <rPr>
            <sz val="9"/>
            <color indexed="81"/>
            <rFont val="Tahoma"/>
            <family val="2"/>
          </rPr>
          <t xml:space="preserve">
From "SPEED FIT Assumptions 2019-06-03.xls"</t>
        </r>
      </text>
    </comment>
    <comment ref="BF7" authorId="0" shapeId="0" xr:uid="{00000000-0006-0000-0600-00002D000000}">
      <text>
        <r>
          <rPr>
            <b/>
            <sz val="9"/>
            <color indexed="81"/>
            <rFont val="Tahoma"/>
            <family val="2"/>
          </rPr>
          <t>Craig Kieny:</t>
        </r>
        <r>
          <rPr>
            <sz val="9"/>
            <color indexed="81"/>
            <rFont val="Tahoma"/>
            <family val="2"/>
          </rPr>
          <t xml:space="preserve">
From "SPEED FIT Assumptions 2019-06-03.xls"</t>
        </r>
      </text>
    </comment>
    <comment ref="BG7" authorId="0" shapeId="0" xr:uid="{00000000-0006-0000-0600-00002E000000}">
      <text>
        <r>
          <rPr>
            <b/>
            <sz val="9"/>
            <color indexed="81"/>
            <rFont val="Tahoma"/>
            <family val="2"/>
          </rPr>
          <t>Craig Kieny:</t>
        </r>
        <r>
          <rPr>
            <sz val="9"/>
            <color indexed="81"/>
            <rFont val="Tahoma"/>
            <family val="2"/>
          </rPr>
          <t xml:space="preserve">
From "SPEED FIT Assumptions 2019-06-03.xls"</t>
        </r>
      </text>
    </comment>
    <comment ref="BH7" authorId="0" shapeId="0" xr:uid="{00000000-0006-0000-0600-00002F000000}">
      <text>
        <r>
          <rPr>
            <b/>
            <sz val="9"/>
            <color indexed="81"/>
            <rFont val="Tahoma"/>
            <family val="2"/>
          </rPr>
          <t>Craig Kieny:</t>
        </r>
        <r>
          <rPr>
            <sz val="9"/>
            <color indexed="81"/>
            <rFont val="Tahoma"/>
            <family val="2"/>
          </rPr>
          <t xml:space="preserve">
From "SPEED FIT Assumptions 2019-06-03.xls"</t>
        </r>
      </text>
    </comment>
    <comment ref="BI7" authorId="0" shapeId="0" xr:uid="{00000000-0006-0000-0600-000030000000}">
      <text>
        <r>
          <rPr>
            <b/>
            <sz val="9"/>
            <color indexed="81"/>
            <rFont val="Tahoma"/>
            <family val="2"/>
          </rPr>
          <t>Craig Kieny:</t>
        </r>
        <r>
          <rPr>
            <sz val="9"/>
            <color indexed="81"/>
            <rFont val="Tahoma"/>
            <family val="2"/>
          </rPr>
          <t xml:space="preserve">
From "SPEED FIT Assumptions 2019-06-03.xls"</t>
        </r>
      </text>
    </comment>
    <comment ref="BJ7" authorId="0" shapeId="0" xr:uid="{00000000-0006-0000-0600-000031000000}">
      <text>
        <r>
          <rPr>
            <b/>
            <sz val="9"/>
            <color indexed="81"/>
            <rFont val="Tahoma"/>
            <family val="2"/>
          </rPr>
          <t>Craig Kieny:</t>
        </r>
        <r>
          <rPr>
            <sz val="9"/>
            <color indexed="81"/>
            <rFont val="Tahoma"/>
            <family val="2"/>
          </rPr>
          <t xml:space="preserve">
From "SPEED FIT Assumptions 2019-06-03.xls"</t>
        </r>
      </text>
    </comment>
    <comment ref="BK7" authorId="0" shapeId="0" xr:uid="{00000000-0006-0000-0600-000032000000}">
      <text>
        <r>
          <rPr>
            <b/>
            <sz val="9"/>
            <color indexed="81"/>
            <rFont val="Tahoma"/>
            <family val="2"/>
          </rPr>
          <t>Craig Kieny:</t>
        </r>
        <r>
          <rPr>
            <sz val="9"/>
            <color indexed="81"/>
            <rFont val="Tahoma"/>
            <family val="2"/>
          </rPr>
          <t xml:space="preserve">
From "SPEED FIT Assumptions 2019-06-03.xls"</t>
        </r>
      </text>
    </comment>
    <comment ref="BL7" authorId="0" shapeId="0" xr:uid="{00000000-0006-0000-0600-000033000000}">
      <text>
        <r>
          <rPr>
            <b/>
            <sz val="9"/>
            <color indexed="81"/>
            <rFont val="Tahoma"/>
            <family val="2"/>
          </rPr>
          <t>Craig Kieny:</t>
        </r>
        <r>
          <rPr>
            <sz val="9"/>
            <color indexed="81"/>
            <rFont val="Tahoma"/>
            <family val="2"/>
          </rPr>
          <t xml:space="preserve">
From "SPEED FIT Assumptions 2019-06-03.xls"</t>
        </r>
      </text>
    </comment>
    <comment ref="BM7" authorId="0" shapeId="0" xr:uid="{00000000-0006-0000-0600-000034000000}">
      <text>
        <r>
          <rPr>
            <b/>
            <sz val="9"/>
            <color indexed="81"/>
            <rFont val="Tahoma"/>
            <family val="2"/>
          </rPr>
          <t>Craig Kieny:</t>
        </r>
        <r>
          <rPr>
            <sz val="9"/>
            <color indexed="81"/>
            <rFont val="Tahoma"/>
            <family val="2"/>
          </rPr>
          <t xml:space="preserve">
From "SPEED FIT Assumptions 2019-06-03.xls"</t>
        </r>
      </text>
    </comment>
    <comment ref="BN7" authorId="0" shapeId="0" xr:uid="{00000000-0006-0000-0600-000035000000}">
      <text>
        <r>
          <rPr>
            <b/>
            <sz val="9"/>
            <color indexed="81"/>
            <rFont val="Tahoma"/>
            <family val="2"/>
          </rPr>
          <t>Craig Kieny:</t>
        </r>
        <r>
          <rPr>
            <sz val="9"/>
            <color indexed="81"/>
            <rFont val="Tahoma"/>
            <family val="2"/>
          </rPr>
          <t xml:space="preserve">
From "SPEED FIT Assumptions 2019-06-03.xls"</t>
        </r>
      </text>
    </comment>
    <comment ref="BO7" authorId="0" shapeId="0" xr:uid="{00000000-0006-0000-0600-000036000000}">
      <text>
        <r>
          <rPr>
            <b/>
            <sz val="9"/>
            <color indexed="81"/>
            <rFont val="Tahoma"/>
            <family val="2"/>
          </rPr>
          <t>Craig Kieny:</t>
        </r>
        <r>
          <rPr>
            <sz val="9"/>
            <color indexed="81"/>
            <rFont val="Tahoma"/>
            <family val="2"/>
          </rPr>
          <t xml:space="preserve">
From "SPEED FIT Assumptions 2019-06-03.xls"</t>
        </r>
      </text>
    </comment>
    <comment ref="BP7" authorId="1" shapeId="0" xr:uid="{00000000-0006-0000-0600-000037000000}">
      <text>
        <r>
          <rPr>
            <b/>
            <sz val="9"/>
            <color indexed="81"/>
            <rFont val="Tahoma"/>
            <family val="2"/>
          </rPr>
          <t>Kieny, Craig:</t>
        </r>
        <r>
          <rPr>
            <sz val="9"/>
            <color indexed="81"/>
            <rFont val="Tahoma"/>
            <family val="2"/>
          </rPr>
          <t xml:space="preserve">
From "VEC Power Cost Projections - 2018-10-23 Fixed Sales for Resale.xls"</t>
        </r>
      </text>
    </comment>
    <comment ref="BQ7" authorId="1" shapeId="0" xr:uid="{00000000-0006-0000-0600-000038000000}">
      <text>
        <r>
          <rPr>
            <b/>
            <sz val="9"/>
            <color indexed="81"/>
            <rFont val="Tahoma"/>
            <family val="2"/>
          </rPr>
          <t>Kieny, Craig:</t>
        </r>
        <r>
          <rPr>
            <sz val="9"/>
            <color indexed="81"/>
            <rFont val="Tahoma"/>
            <family val="2"/>
          </rPr>
          <t xml:space="preserve">
From "VEC Power Cost Projections - 2018-10-23 Fixed Sales for Resale.xls"</t>
        </r>
      </text>
    </comment>
    <comment ref="BR7" authorId="1" shapeId="0" xr:uid="{00000000-0006-0000-0600-000039000000}">
      <text>
        <r>
          <rPr>
            <b/>
            <sz val="9"/>
            <color indexed="81"/>
            <rFont val="Tahoma"/>
            <family val="2"/>
          </rPr>
          <t>Kieny, Craig:</t>
        </r>
        <r>
          <rPr>
            <sz val="9"/>
            <color indexed="81"/>
            <rFont val="Tahoma"/>
            <family val="2"/>
          </rPr>
          <t xml:space="preserve">
From "VEC Power Cost Projections - 2018-10-23 Fixed Sales for Resale.xls"</t>
        </r>
      </text>
    </comment>
    <comment ref="BS7" authorId="1" shapeId="0" xr:uid="{00000000-0006-0000-0600-00003A000000}">
      <text>
        <r>
          <rPr>
            <b/>
            <sz val="9"/>
            <color indexed="81"/>
            <rFont val="Tahoma"/>
            <family val="2"/>
          </rPr>
          <t>Kieny, Craig:</t>
        </r>
        <r>
          <rPr>
            <sz val="9"/>
            <color indexed="81"/>
            <rFont val="Tahoma"/>
            <family val="2"/>
          </rPr>
          <t xml:space="preserve">
From "VEC Power Cost Projections - 2018-10-23 Fixed Sales for Resale.xls"</t>
        </r>
      </text>
    </comment>
    <comment ref="BV7" authorId="2" shapeId="0" xr:uid="{00000000-0006-0000-0600-00003B000000}">
      <text>
        <r>
          <rPr>
            <b/>
            <sz val="9"/>
            <color indexed="81"/>
            <rFont val="Tahoma"/>
            <family val="2"/>
          </rPr>
          <t>Williams, Tucker:</t>
        </r>
        <r>
          <rPr>
            <sz val="9"/>
            <color indexed="81"/>
            <rFont val="Tahoma"/>
            <family val="2"/>
          </rPr>
          <t xml:space="preserve">
Historically, 30% of Total NM output has reduced Sales, 70% is excess gen or direct ties that are like a resource and the output is sold to someone else.</t>
        </r>
      </text>
    </comment>
    <comment ref="BW7" authorId="2" shapeId="0" xr:uid="{00000000-0006-0000-0600-00003C000000}">
      <text>
        <r>
          <rPr>
            <b/>
            <sz val="9"/>
            <color indexed="81"/>
            <rFont val="Tahoma"/>
            <family val="2"/>
          </rPr>
          <t>Williams, Tucker:</t>
        </r>
        <r>
          <rPr>
            <sz val="9"/>
            <color indexed="81"/>
            <rFont val="Tahoma"/>
            <family val="2"/>
          </rPr>
          <t xml:space="preserve">
Historically, 30% of Total NM output has reduced Sales, 70% is excess gen or direct ties that are like a resource and the output is sold to someone else.</t>
        </r>
      </text>
    </comment>
    <comment ref="BX7" authorId="2" shapeId="0" xr:uid="{00000000-0006-0000-0600-00003D000000}">
      <text>
        <r>
          <rPr>
            <b/>
            <sz val="9"/>
            <color indexed="81"/>
            <rFont val="Tahoma"/>
            <family val="2"/>
          </rPr>
          <t>Williams, Tucker:</t>
        </r>
        <r>
          <rPr>
            <sz val="9"/>
            <color indexed="81"/>
            <rFont val="Tahoma"/>
            <family val="2"/>
          </rPr>
          <t xml:space="preserve">
Historically, 30% of Total NM output has reduced Sales, 70% is excess gen or direct ties that are like a resource and the output is sold to someone else.
</t>
        </r>
      </text>
    </comment>
    <comment ref="BZ7" authorId="1" shapeId="0" xr:uid="{00000000-0006-0000-0600-00003E000000}">
      <text>
        <r>
          <rPr>
            <b/>
            <sz val="9"/>
            <color indexed="81"/>
            <rFont val="Tahoma"/>
            <family val="2"/>
          </rPr>
          <t>Kieny, Craig:</t>
        </r>
        <r>
          <rPr>
            <sz val="9"/>
            <color indexed="81"/>
            <rFont val="Tahoma"/>
            <family val="2"/>
          </rPr>
          <t xml:space="preserve">
From "VEC Power Cost Projections - 2018-10-23 Fixed Sales for Resale.xls"</t>
        </r>
      </text>
    </comment>
    <comment ref="CA7" authorId="1" shapeId="0" xr:uid="{00000000-0006-0000-0600-00003F000000}">
      <text>
        <r>
          <rPr>
            <b/>
            <sz val="9"/>
            <color indexed="81"/>
            <rFont val="Tahoma"/>
            <family val="2"/>
          </rPr>
          <t>Kieny, Craig:</t>
        </r>
        <r>
          <rPr>
            <sz val="9"/>
            <color indexed="81"/>
            <rFont val="Tahoma"/>
            <family val="2"/>
          </rPr>
          <t xml:space="preserve">
From "VEC Power Cost Projections - 2018-10-23 Fixed Sales for Resale.xls"</t>
        </r>
      </text>
    </comment>
    <comment ref="CB7" authorId="1" shapeId="0" xr:uid="{00000000-0006-0000-0600-000040000000}">
      <text>
        <r>
          <rPr>
            <b/>
            <sz val="9"/>
            <color indexed="81"/>
            <rFont val="Tahoma"/>
            <family val="2"/>
          </rPr>
          <t>Kieny, Craig:</t>
        </r>
        <r>
          <rPr>
            <sz val="9"/>
            <color indexed="81"/>
            <rFont val="Tahoma"/>
            <family val="2"/>
          </rPr>
          <t xml:space="preserve">
From "VEC Power Cost Projections - 2018-10-23 Fixed Sales for Resale.xls"</t>
        </r>
      </text>
    </comment>
    <comment ref="CJ7" authorId="3" shapeId="0" xr:uid="{00000000-0006-0000-0600-000042000000}">
      <text>
        <r>
          <rPr>
            <b/>
            <sz val="10"/>
            <color indexed="81"/>
            <rFont val="Tahoma"/>
            <family val="2"/>
          </rPr>
          <t xml:space="preserve"> Craig Kieny:</t>
        </r>
        <r>
          <rPr>
            <sz val="10"/>
            <color indexed="81"/>
            <rFont val="Tahoma"/>
            <family val="2"/>
          </rPr>
          <t xml:space="preserve">
Not counted as committed resource because it is not a hedging tool.</t>
        </r>
      </text>
    </comment>
    <comment ref="EO7" authorId="2" shapeId="0" xr:uid="{626C7E2D-0EF8-447C-AB0E-1BA1F6BAFDB1}">
      <text>
        <r>
          <rPr>
            <b/>
            <sz val="9"/>
            <color indexed="81"/>
            <rFont val="Tahoma"/>
            <family val="2"/>
          </rPr>
          <t>Williams, Tucker:</t>
        </r>
        <r>
          <rPr>
            <sz val="9"/>
            <color indexed="81"/>
            <rFont val="Tahoma"/>
            <family val="2"/>
          </rPr>
          <t xml:space="preserve">
2 year average from 2017-2018.
See "Total NM output vs Excess NM Output" file</t>
        </r>
      </text>
    </comment>
    <comment ref="BS17" authorId="0" shapeId="0" xr:uid="{00000000-0006-0000-0600-000044000000}">
      <text>
        <r>
          <rPr>
            <b/>
            <sz val="8"/>
            <color indexed="81"/>
            <rFont val="Tahoma"/>
            <family val="2"/>
          </rPr>
          <t>Craig Kieny:</t>
        </r>
        <r>
          <rPr>
            <sz val="8"/>
            <color indexed="81"/>
            <rFont val="Tahoma"/>
            <family val="2"/>
          </rPr>
          <t xml:space="preserve">
Scheduled maintenance assumed for whole month.</t>
        </r>
      </text>
    </comment>
    <comment ref="AQ94" authorId="0" shapeId="0" xr:uid="{00000000-0006-0000-0600-000051000000}">
      <text>
        <r>
          <rPr>
            <b/>
            <sz val="9"/>
            <color indexed="81"/>
            <rFont val="Tahoma"/>
            <family val="2"/>
          </rPr>
          <t>Craig Kieny:</t>
        </r>
        <r>
          <rPr>
            <sz val="9"/>
            <color indexed="81"/>
            <rFont val="Tahoma"/>
            <family val="2"/>
          </rPr>
          <t xml:space="preserve">
Assumes HQ completes work that will increase capacity at Highgate Converter to 225 MW at the end of the first quarter of 2015.</t>
        </r>
      </text>
    </comment>
    <comment ref="CI98" authorId="0" shapeId="0" xr:uid="{00000000-0006-0000-0600-000052000000}">
      <text>
        <r>
          <rPr>
            <b/>
            <sz val="9"/>
            <color indexed="81"/>
            <rFont val="Tahoma"/>
            <family val="2"/>
          </rPr>
          <t>Craig Kieny:</t>
        </r>
        <r>
          <rPr>
            <sz val="9"/>
            <color indexed="81"/>
            <rFont val="Tahoma"/>
            <family val="2"/>
          </rPr>
          <t xml:space="preserve">
5 MW ATC July and August of 2015, 2016 and 2017.</t>
        </r>
      </text>
    </comment>
    <comment ref="CI99" authorId="0" shapeId="0" xr:uid="{00000000-0006-0000-0600-000053000000}">
      <text>
        <r>
          <rPr>
            <b/>
            <sz val="9"/>
            <color indexed="81"/>
            <rFont val="Tahoma"/>
            <family val="2"/>
          </rPr>
          <t>Craig Kieny:</t>
        </r>
        <r>
          <rPr>
            <sz val="9"/>
            <color indexed="81"/>
            <rFont val="Tahoma"/>
            <family val="2"/>
          </rPr>
          <t xml:space="preserve">
5 MW ATC July and August of 2015, 2016 and 2017.</t>
        </r>
      </text>
    </comment>
    <comment ref="CI110" authorId="0" shapeId="0" xr:uid="{00000000-0006-0000-0600-000054000000}">
      <text>
        <r>
          <rPr>
            <b/>
            <sz val="9"/>
            <color indexed="81"/>
            <rFont val="Tahoma"/>
            <family val="2"/>
          </rPr>
          <t>Craig Kieny:</t>
        </r>
        <r>
          <rPr>
            <sz val="9"/>
            <color indexed="81"/>
            <rFont val="Tahoma"/>
            <family val="2"/>
          </rPr>
          <t xml:space="preserve">
5 MW ATC July and August of 2015, 2016 and 2017.</t>
        </r>
      </text>
    </comment>
    <comment ref="CI111" authorId="0" shapeId="0" xr:uid="{00000000-0006-0000-0600-000055000000}">
      <text>
        <r>
          <rPr>
            <b/>
            <sz val="9"/>
            <color indexed="81"/>
            <rFont val="Tahoma"/>
            <family val="2"/>
          </rPr>
          <t>Craig Kieny:</t>
        </r>
        <r>
          <rPr>
            <sz val="9"/>
            <color indexed="81"/>
            <rFont val="Tahoma"/>
            <family val="2"/>
          </rPr>
          <t xml:space="preserve">
5 MW ATC July and August of 2015, 2016 and 2017.</t>
        </r>
      </text>
    </comment>
    <comment ref="CI122" authorId="0" shapeId="0" xr:uid="{00000000-0006-0000-0600-000056000000}">
      <text>
        <r>
          <rPr>
            <b/>
            <sz val="9"/>
            <color indexed="81"/>
            <rFont val="Tahoma"/>
            <family val="2"/>
          </rPr>
          <t>Craig Kieny:</t>
        </r>
        <r>
          <rPr>
            <sz val="9"/>
            <color indexed="81"/>
            <rFont val="Tahoma"/>
            <family val="2"/>
          </rPr>
          <t xml:space="preserve">
5 MW ATC July and August of 2015, 2016 and 2017.</t>
        </r>
      </text>
    </comment>
    <comment ref="CI123" authorId="0" shapeId="0" xr:uid="{00000000-0006-0000-0600-000057000000}">
      <text>
        <r>
          <rPr>
            <b/>
            <sz val="9"/>
            <color indexed="81"/>
            <rFont val="Tahoma"/>
            <family val="2"/>
          </rPr>
          <t>Craig Kieny:</t>
        </r>
        <r>
          <rPr>
            <sz val="9"/>
            <color indexed="81"/>
            <rFont val="Tahoma"/>
            <family val="2"/>
          </rPr>
          <t xml:space="preserve">
5 MW ATC July and August of 2015, 2016 and 2017.</t>
        </r>
      </text>
    </comment>
    <comment ref="BP128" authorId="0" shapeId="0" xr:uid="{00000000-0006-0000-0600-000059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28" authorId="0" shapeId="0" xr:uid="{00000000-0006-0000-0600-00005A000000}">
      <text>
        <r>
          <rPr>
            <b/>
            <sz val="9"/>
            <color indexed="81"/>
            <rFont val="Tahoma"/>
            <family val="2"/>
          </rPr>
          <t>Craig Kieny:</t>
        </r>
        <r>
          <rPr>
            <sz val="9"/>
            <color indexed="81"/>
            <rFont val="Tahoma"/>
            <family val="2"/>
          </rPr>
          <t xml:space="preserve">
7x24 at $91.48 entered on 2014-07-09.</t>
        </r>
      </text>
    </comment>
    <comment ref="BP129" authorId="0" shapeId="0" xr:uid="{00000000-0006-0000-0600-00005B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29" authorId="0" shapeId="0" xr:uid="{00000000-0006-0000-0600-00005C000000}">
      <text>
        <r>
          <rPr>
            <b/>
            <sz val="9"/>
            <color indexed="81"/>
            <rFont val="Tahoma"/>
            <family val="2"/>
          </rPr>
          <t>Craig Kieny:</t>
        </r>
        <r>
          <rPr>
            <sz val="9"/>
            <color indexed="81"/>
            <rFont val="Tahoma"/>
            <family val="2"/>
          </rPr>
          <t xml:space="preserve">
7x24 at $91.48 entered on 2014-07-09.</t>
        </r>
      </text>
    </comment>
    <comment ref="BP130" authorId="0" shapeId="0" xr:uid="{00000000-0006-0000-0600-00005D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0" authorId="0" shapeId="0" xr:uid="{00000000-0006-0000-0600-00005E000000}">
      <text>
        <r>
          <rPr>
            <b/>
            <sz val="9"/>
            <color indexed="81"/>
            <rFont val="Tahoma"/>
            <family val="2"/>
          </rPr>
          <t>Craig Kieny:</t>
        </r>
        <r>
          <rPr>
            <sz val="9"/>
            <color indexed="81"/>
            <rFont val="Tahoma"/>
            <family val="2"/>
          </rPr>
          <t xml:space="preserve">
7x24 at $91.48 entered on 2014-07-09.</t>
        </r>
      </text>
    </comment>
    <comment ref="BP131" authorId="0" shapeId="0" xr:uid="{00000000-0006-0000-0600-00005F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1" authorId="0" shapeId="0" xr:uid="{00000000-0006-0000-0600-000060000000}">
      <text>
        <r>
          <rPr>
            <b/>
            <sz val="9"/>
            <color indexed="81"/>
            <rFont val="Tahoma"/>
            <family val="2"/>
          </rPr>
          <t>Craig Kieny:</t>
        </r>
        <r>
          <rPr>
            <sz val="9"/>
            <color indexed="81"/>
            <rFont val="Tahoma"/>
            <family val="2"/>
          </rPr>
          <t xml:space="preserve">
5 MW contract entered on 3/8/16 for ATC from 1/2017 - 12/2020.</t>
        </r>
      </text>
    </comment>
    <comment ref="BP132" authorId="0" shapeId="0" xr:uid="{00000000-0006-0000-0600-000061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2" authorId="0" shapeId="0" xr:uid="{00000000-0006-0000-0600-000062000000}">
      <text>
        <r>
          <rPr>
            <b/>
            <sz val="9"/>
            <color indexed="81"/>
            <rFont val="Tahoma"/>
            <family val="2"/>
          </rPr>
          <t>Craig Kieny:</t>
        </r>
        <r>
          <rPr>
            <sz val="9"/>
            <color indexed="81"/>
            <rFont val="Tahoma"/>
            <family val="2"/>
          </rPr>
          <t xml:space="preserve">
5 MW contract entered on 3/8/16 for ATC from 1/2017 - 12/2020.</t>
        </r>
      </text>
    </comment>
    <comment ref="BP133" authorId="0" shapeId="0" xr:uid="{00000000-0006-0000-0600-000063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3" authorId="0" shapeId="0" xr:uid="{00000000-0006-0000-0600-000064000000}">
      <text>
        <r>
          <rPr>
            <b/>
            <sz val="9"/>
            <color indexed="81"/>
            <rFont val="Tahoma"/>
            <family val="2"/>
          </rPr>
          <t>Craig Kieny:</t>
        </r>
        <r>
          <rPr>
            <sz val="9"/>
            <color indexed="81"/>
            <rFont val="Tahoma"/>
            <family val="2"/>
          </rPr>
          <t xml:space="preserve">
5 MW contract entered on 3/8/16 for ATC from 1/2017 - 12/2020.</t>
        </r>
      </text>
    </comment>
    <comment ref="BP134" authorId="0" shapeId="0" xr:uid="{00000000-0006-0000-0600-000065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4" authorId="0" shapeId="0" xr:uid="{00000000-0006-0000-0600-000066000000}">
      <text>
        <r>
          <rPr>
            <b/>
            <sz val="9"/>
            <color indexed="81"/>
            <rFont val="Tahoma"/>
            <family val="2"/>
          </rPr>
          <t>Craig Kieny:</t>
        </r>
        <r>
          <rPr>
            <sz val="9"/>
            <color indexed="81"/>
            <rFont val="Tahoma"/>
            <family val="2"/>
          </rPr>
          <t xml:space="preserve">
5 MW contract entered on 3/8/16 for ATC from 1/2017 - 12/2020.</t>
        </r>
      </text>
    </comment>
    <comment ref="BP135" authorId="0" shapeId="0" xr:uid="{00000000-0006-0000-0600-000067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5" authorId="0" shapeId="0" xr:uid="{00000000-0006-0000-0600-000068000000}">
      <text>
        <r>
          <rPr>
            <b/>
            <sz val="9"/>
            <color indexed="81"/>
            <rFont val="Tahoma"/>
            <family val="2"/>
          </rPr>
          <t>Craig Kieny:</t>
        </r>
        <r>
          <rPr>
            <sz val="9"/>
            <color indexed="81"/>
            <rFont val="Tahoma"/>
            <family val="2"/>
          </rPr>
          <t xml:space="preserve">
5 MW contract entered on 3/8/16 for ATC from 1/2017 - 12/2020.</t>
        </r>
      </text>
    </comment>
    <comment ref="BP136" authorId="0" shapeId="0" xr:uid="{00000000-0006-0000-0600-000069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6" authorId="0" shapeId="0" xr:uid="{00000000-0006-0000-0600-00006A000000}">
      <text>
        <r>
          <rPr>
            <b/>
            <sz val="9"/>
            <color indexed="81"/>
            <rFont val="Tahoma"/>
            <family val="2"/>
          </rPr>
          <t>Craig Kieny:</t>
        </r>
        <r>
          <rPr>
            <sz val="9"/>
            <color indexed="81"/>
            <rFont val="Tahoma"/>
            <family val="2"/>
          </rPr>
          <t xml:space="preserve">
5 MW contract entered on 3/8/16 for ATC from 1/2017 - 12/2020.</t>
        </r>
      </text>
    </comment>
    <comment ref="BP137" authorId="0" shapeId="0" xr:uid="{00000000-0006-0000-0600-00006B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Z137" authorId="0" shapeId="0" xr:uid="{00000000-0006-0000-0600-00006C000000}">
      <text>
        <r>
          <rPr>
            <b/>
            <sz val="8"/>
            <color indexed="81"/>
            <rFont val="Tahoma"/>
            <family val="2"/>
          </rPr>
          <t>Craig Kieny:</t>
        </r>
        <r>
          <rPr>
            <sz val="8"/>
            <color indexed="81"/>
            <rFont val="Tahoma"/>
            <family val="2"/>
          </rPr>
          <t xml:space="preserve">
Scheduled outage assumed.</t>
        </r>
      </text>
    </comment>
    <comment ref="CB137" authorId="0" shapeId="0" xr:uid="{00000000-0006-0000-0600-00006D000000}">
      <text>
        <r>
          <rPr>
            <b/>
            <sz val="9"/>
            <color indexed="81"/>
            <rFont val="Tahoma"/>
            <family val="2"/>
          </rPr>
          <t>Craig Kieny:</t>
        </r>
        <r>
          <rPr>
            <sz val="9"/>
            <color indexed="81"/>
            <rFont val="Tahoma"/>
            <family val="2"/>
          </rPr>
          <t xml:space="preserve">
5 MW contract entered on 3/8/16 for ATC from 1/2017 - 12/2020.</t>
        </r>
      </text>
    </comment>
    <comment ref="BP138" authorId="0" shapeId="0" xr:uid="{00000000-0006-0000-0600-00006E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8" authorId="0" shapeId="0" xr:uid="{00000000-0006-0000-0600-00006F000000}">
      <text>
        <r>
          <rPr>
            <b/>
            <sz val="9"/>
            <color indexed="81"/>
            <rFont val="Tahoma"/>
            <family val="2"/>
          </rPr>
          <t>Craig Kieny:</t>
        </r>
        <r>
          <rPr>
            <sz val="9"/>
            <color indexed="81"/>
            <rFont val="Tahoma"/>
            <family val="2"/>
          </rPr>
          <t xml:space="preserve">
5 MW contract entered on 3/8/16 for ATC from 1/2017 - 12/2020.</t>
        </r>
      </text>
    </comment>
    <comment ref="BP139" authorId="0" shapeId="0" xr:uid="{00000000-0006-0000-0600-000070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39" authorId="0" shapeId="0" xr:uid="{00000000-0006-0000-0600-000071000000}">
      <text>
        <r>
          <rPr>
            <b/>
            <sz val="9"/>
            <color indexed="81"/>
            <rFont val="Tahoma"/>
            <family val="2"/>
          </rPr>
          <t>Craig Kieny:</t>
        </r>
        <r>
          <rPr>
            <sz val="9"/>
            <color indexed="81"/>
            <rFont val="Tahoma"/>
            <family val="2"/>
          </rPr>
          <t xml:space="preserve">
5 MW contract entered on 3/8/16 for ATC from 1/2017 - 12/2020.</t>
        </r>
      </text>
    </comment>
    <comment ref="BP140" authorId="0" shapeId="0" xr:uid="{00000000-0006-0000-0600-000072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0" authorId="0" shapeId="0" xr:uid="{00000000-0006-0000-0600-000073000000}">
      <text>
        <r>
          <rPr>
            <b/>
            <sz val="9"/>
            <color indexed="81"/>
            <rFont val="Tahoma"/>
            <family val="2"/>
          </rPr>
          <t>Craig Kieny:</t>
        </r>
        <r>
          <rPr>
            <sz val="9"/>
            <color indexed="81"/>
            <rFont val="Tahoma"/>
            <family val="2"/>
          </rPr>
          <t xml:space="preserve">
5 MW contract entered on 3/8/16 for ATC from 1/2017 - 12/2020.</t>
        </r>
      </text>
    </comment>
    <comment ref="BP141" authorId="0" shapeId="0" xr:uid="{00000000-0006-0000-0600-000074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1" authorId="0" shapeId="0" xr:uid="{00000000-0006-0000-0600-000075000000}">
      <text>
        <r>
          <rPr>
            <b/>
            <sz val="9"/>
            <color indexed="81"/>
            <rFont val="Tahoma"/>
            <family val="2"/>
          </rPr>
          <t>Craig Kieny:</t>
        </r>
        <r>
          <rPr>
            <sz val="9"/>
            <color indexed="81"/>
            <rFont val="Tahoma"/>
            <family val="2"/>
          </rPr>
          <t xml:space="preserve">
5 MW contract entered on 3/8/16 for ATC from 1/2017 - 12/2020.</t>
        </r>
      </text>
    </comment>
    <comment ref="BP142" authorId="0" shapeId="0" xr:uid="{00000000-0006-0000-0600-000076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2" authorId="0" shapeId="0" xr:uid="{00000000-0006-0000-0600-000077000000}">
      <text>
        <r>
          <rPr>
            <b/>
            <sz val="9"/>
            <color indexed="81"/>
            <rFont val="Tahoma"/>
            <family val="2"/>
          </rPr>
          <t>Craig Kieny:</t>
        </r>
        <r>
          <rPr>
            <sz val="9"/>
            <color indexed="81"/>
            <rFont val="Tahoma"/>
            <family val="2"/>
          </rPr>
          <t xml:space="preserve">
5 MW contract entered on 3/8/16 for ATC from 1/2017 - 12/2020.</t>
        </r>
      </text>
    </comment>
    <comment ref="BP143" authorId="0" shapeId="0" xr:uid="{00000000-0006-0000-0600-000078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3" authorId="0" shapeId="0" xr:uid="{00000000-0006-0000-0600-000079000000}">
      <text>
        <r>
          <rPr>
            <b/>
            <sz val="9"/>
            <color indexed="81"/>
            <rFont val="Tahoma"/>
            <family val="2"/>
          </rPr>
          <t>Craig Kieny:</t>
        </r>
        <r>
          <rPr>
            <sz val="9"/>
            <color indexed="81"/>
            <rFont val="Tahoma"/>
            <family val="2"/>
          </rPr>
          <t xml:space="preserve">
5 MW contract entered on 3/8/16 for ATC from 1/2017 - 12/2020.</t>
        </r>
      </text>
    </comment>
    <comment ref="BP144" authorId="0" shapeId="0" xr:uid="{00000000-0006-0000-0600-00007A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4" authorId="0" shapeId="0" xr:uid="{00000000-0006-0000-0600-00007B000000}">
      <text>
        <r>
          <rPr>
            <b/>
            <sz val="9"/>
            <color indexed="81"/>
            <rFont val="Tahoma"/>
            <family val="2"/>
          </rPr>
          <t>Craig Kieny:</t>
        </r>
        <r>
          <rPr>
            <sz val="9"/>
            <color indexed="81"/>
            <rFont val="Tahoma"/>
            <family val="2"/>
          </rPr>
          <t xml:space="preserve">
5 MW contract entered on 3/8/16 for ATC from 1/2017 - 12/2020.</t>
        </r>
      </text>
    </comment>
    <comment ref="BP145" authorId="0" shapeId="0" xr:uid="{00000000-0006-0000-0600-00007C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5" authorId="0" shapeId="0" xr:uid="{00000000-0006-0000-0600-00007D000000}">
      <text>
        <r>
          <rPr>
            <b/>
            <sz val="9"/>
            <color indexed="81"/>
            <rFont val="Tahoma"/>
            <family val="2"/>
          </rPr>
          <t>Craig Kieny:</t>
        </r>
        <r>
          <rPr>
            <sz val="9"/>
            <color indexed="81"/>
            <rFont val="Tahoma"/>
            <family val="2"/>
          </rPr>
          <t xml:space="preserve">
5 MW contract entered on 3/8/16 for ATC from 1/2017 - 12/2020.</t>
        </r>
      </text>
    </comment>
    <comment ref="BP146" authorId="0" shapeId="0" xr:uid="{00000000-0006-0000-0600-00007E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6" authorId="0" shapeId="0" xr:uid="{00000000-0006-0000-0600-00007F000000}">
      <text>
        <r>
          <rPr>
            <b/>
            <sz val="9"/>
            <color indexed="81"/>
            <rFont val="Tahoma"/>
            <family val="2"/>
          </rPr>
          <t>Craig Kieny:</t>
        </r>
        <r>
          <rPr>
            <sz val="9"/>
            <color indexed="81"/>
            <rFont val="Tahoma"/>
            <family val="2"/>
          </rPr>
          <t xml:space="preserve">
5 MW contract entered on 3/8/16 for ATC from 1/2017 - 12/2020.</t>
        </r>
      </text>
    </comment>
    <comment ref="BP147" authorId="0" shapeId="0" xr:uid="{00000000-0006-0000-0600-000080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7" authorId="0" shapeId="0" xr:uid="{00000000-0006-0000-0600-000081000000}">
      <text>
        <r>
          <rPr>
            <b/>
            <sz val="9"/>
            <color indexed="81"/>
            <rFont val="Tahoma"/>
            <family val="2"/>
          </rPr>
          <t>Craig Kieny:</t>
        </r>
        <r>
          <rPr>
            <sz val="9"/>
            <color indexed="81"/>
            <rFont val="Tahoma"/>
            <family val="2"/>
          </rPr>
          <t xml:space="preserve">
5 MW contract entered on 3/8/16 for ATC from 1/2017 - 12/2020.</t>
        </r>
      </text>
    </comment>
    <comment ref="BP148" authorId="0" shapeId="0" xr:uid="{00000000-0006-0000-0600-000082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8" authorId="0" shapeId="0" xr:uid="{00000000-0006-0000-0600-000083000000}">
      <text>
        <r>
          <rPr>
            <b/>
            <sz val="9"/>
            <color indexed="81"/>
            <rFont val="Tahoma"/>
            <family val="2"/>
          </rPr>
          <t>Craig Kieny:</t>
        </r>
        <r>
          <rPr>
            <sz val="9"/>
            <color indexed="81"/>
            <rFont val="Tahoma"/>
            <family val="2"/>
          </rPr>
          <t xml:space="preserve">
5 MW contract entered on 3/8/16 for ATC from 1/2017 - 12/2020.</t>
        </r>
      </text>
    </comment>
    <comment ref="BP149" authorId="0" shapeId="0" xr:uid="{00000000-0006-0000-0600-000084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49" authorId="0" shapeId="0" xr:uid="{00000000-0006-0000-0600-000085000000}">
      <text>
        <r>
          <rPr>
            <b/>
            <sz val="9"/>
            <color indexed="81"/>
            <rFont val="Tahoma"/>
            <family val="2"/>
          </rPr>
          <t>Craig Kieny:</t>
        </r>
        <r>
          <rPr>
            <sz val="9"/>
            <color indexed="81"/>
            <rFont val="Tahoma"/>
            <family val="2"/>
          </rPr>
          <t xml:space="preserve">
5 MW contract entered on 3/8/16 for ATC from 1/2017 - 12/2020.</t>
        </r>
      </text>
    </comment>
    <comment ref="BP150" authorId="0" shapeId="0" xr:uid="{00000000-0006-0000-0600-000086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0" authorId="0" shapeId="0" xr:uid="{00000000-0006-0000-0600-000087000000}">
      <text>
        <r>
          <rPr>
            <b/>
            <sz val="9"/>
            <color indexed="81"/>
            <rFont val="Tahoma"/>
            <family val="2"/>
          </rPr>
          <t>Craig Kieny:</t>
        </r>
        <r>
          <rPr>
            <sz val="9"/>
            <color indexed="81"/>
            <rFont val="Tahoma"/>
            <family val="2"/>
          </rPr>
          <t xml:space="preserve">
5 MW contract entered on 3/8/16 for ATC from 1/2017 - 12/2020.</t>
        </r>
      </text>
    </comment>
    <comment ref="BP151" authorId="0" shapeId="0" xr:uid="{00000000-0006-0000-0600-000088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1" authorId="0" shapeId="0" xr:uid="{00000000-0006-0000-0600-000089000000}">
      <text>
        <r>
          <rPr>
            <b/>
            <sz val="9"/>
            <color indexed="81"/>
            <rFont val="Tahoma"/>
            <family val="2"/>
          </rPr>
          <t>Craig Kieny:</t>
        </r>
        <r>
          <rPr>
            <sz val="9"/>
            <color indexed="81"/>
            <rFont val="Tahoma"/>
            <family val="2"/>
          </rPr>
          <t xml:space="preserve">
5 MW contract entered on 3/8/16 for ATC from 1/2017 - 12/2020.</t>
        </r>
      </text>
    </comment>
    <comment ref="BP152" authorId="0" shapeId="0" xr:uid="{00000000-0006-0000-0600-00008A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2" authorId="0" shapeId="0" xr:uid="{00000000-0006-0000-0600-00008B000000}">
      <text>
        <r>
          <rPr>
            <b/>
            <sz val="9"/>
            <color indexed="81"/>
            <rFont val="Tahoma"/>
            <family val="2"/>
          </rPr>
          <t>Craig Kieny:</t>
        </r>
        <r>
          <rPr>
            <sz val="9"/>
            <color indexed="81"/>
            <rFont val="Tahoma"/>
            <family val="2"/>
          </rPr>
          <t xml:space="preserve">
5 MW contract entered on 3/8/16 for ATC from 1/2017 - 12/2020.</t>
        </r>
      </text>
    </comment>
    <comment ref="BP153" authorId="0" shapeId="0" xr:uid="{00000000-0006-0000-0600-00008C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3" authorId="0" shapeId="0" xr:uid="{00000000-0006-0000-0600-00008D000000}">
      <text>
        <r>
          <rPr>
            <b/>
            <sz val="9"/>
            <color indexed="81"/>
            <rFont val="Tahoma"/>
            <family val="2"/>
          </rPr>
          <t>Craig Kieny:</t>
        </r>
        <r>
          <rPr>
            <sz val="9"/>
            <color indexed="81"/>
            <rFont val="Tahoma"/>
            <family val="2"/>
          </rPr>
          <t xml:space="preserve">
5 MW contract entered on 3/8/16 for ATC from 1/2017 - 12/2020.</t>
        </r>
      </text>
    </comment>
    <comment ref="BP154" authorId="0" shapeId="0" xr:uid="{00000000-0006-0000-0600-00008E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4" authorId="0" shapeId="0" xr:uid="{00000000-0006-0000-0600-00008F000000}">
      <text>
        <r>
          <rPr>
            <b/>
            <sz val="9"/>
            <color indexed="81"/>
            <rFont val="Tahoma"/>
            <family val="2"/>
          </rPr>
          <t>Craig Kieny:</t>
        </r>
        <r>
          <rPr>
            <sz val="9"/>
            <color indexed="81"/>
            <rFont val="Tahoma"/>
            <family val="2"/>
          </rPr>
          <t xml:space="preserve">
5 MW contract entered on 3/8/16 for ATC from 1/2017 - 12/2020.</t>
        </r>
      </text>
    </comment>
    <comment ref="BP155" authorId="0" shapeId="0" xr:uid="{00000000-0006-0000-0600-000090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Z155" authorId="0" shapeId="0" xr:uid="{00000000-0006-0000-0600-000091000000}">
      <text>
        <r>
          <rPr>
            <b/>
            <sz val="8"/>
            <color indexed="81"/>
            <rFont val="Tahoma"/>
            <family val="2"/>
          </rPr>
          <t>Craig Kieny:</t>
        </r>
        <r>
          <rPr>
            <sz val="8"/>
            <color indexed="81"/>
            <rFont val="Tahoma"/>
            <family val="2"/>
          </rPr>
          <t xml:space="preserve">
Scheduled outage assumed.</t>
        </r>
      </text>
    </comment>
    <comment ref="CB155" authorId="0" shapeId="0" xr:uid="{00000000-0006-0000-0600-000092000000}">
      <text>
        <r>
          <rPr>
            <b/>
            <sz val="9"/>
            <color indexed="81"/>
            <rFont val="Tahoma"/>
            <family val="2"/>
          </rPr>
          <t>Craig Kieny:</t>
        </r>
        <r>
          <rPr>
            <sz val="9"/>
            <color indexed="81"/>
            <rFont val="Tahoma"/>
            <family val="2"/>
          </rPr>
          <t xml:space="preserve">
5 MW contract entered on 3/8/16 for ATC from 1/2017 - 12/2020.</t>
        </r>
      </text>
    </comment>
    <comment ref="BP156" authorId="0" shapeId="0" xr:uid="{00000000-0006-0000-0600-000093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6" authorId="0" shapeId="0" xr:uid="{00000000-0006-0000-0600-000094000000}">
      <text>
        <r>
          <rPr>
            <b/>
            <sz val="9"/>
            <color indexed="81"/>
            <rFont val="Tahoma"/>
            <family val="2"/>
          </rPr>
          <t>Craig Kieny:</t>
        </r>
        <r>
          <rPr>
            <sz val="9"/>
            <color indexed="81"/>
            <rFont val="Tahoma"/>
            <family val="2"/>
          </rPr>
          <t xml:space="preserve">
5 MW contract entered on 3/8/16 for ATC from 1/2017 - 12/2020.</t>
        </r>
      </text>
    </comment>
    <comment ref="BP157" authorId="0" shapeId="0" xr:uid="{00000000-0006-0000-0600-000095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7" authorId="0" shapeId="0" xr:uid="{00000000-0006-0000-0600-000096000000}">
      <text>
        <r>
          <rPr>
            <b/>
            <sz val="9"/>
            <color indexed="81"/>
            <rFont val="Tahoma"/>
            <family val="2"/>
          </rPr>
          <t>Craig Kieny:</t>
        </r>
        <r>
          <rPr>
            <sz val="9"/>
            <color indexed="81"/>
            <rFont val="Tahoma"/>
            <family val="2"/>
          </rPr>
          <t xml:space="preserve">
5 MW contract entered on 3/8/16 for ATC from 1/2017 - 12/2020.</t>
        </r>
      </text>
    </comment>
    <comment ref="BP158" authorId="0" shapeId="0" xr:uid="{00000000-0006-0000-0600-000097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8" authorId="0" shapeId="0" xr:uid="{00000000-0006-0000-0600-000098000000}">
      <text>
        <r>
          <rPr>
            <b/>
            <sz val="9"/>
            <color indexed="81"/>
            <rFont val="Tahoma"/>
            <family val="2"/>
          </rPr>
          <t>Craig Kieny:</t>
        </r>
        <r>
          <rPr>
            <sz val="9"/>
            <color indexed="81"/>
            <rFont val="Tahoma"/>
            <family val="2"/>
          </rPr>
          <t xml:space="preserve">
5 MW contract entered on 3/8/16 for ATC from 1/2017 - 12/2020.</t>
        </r>
      </text>
    </comment>
    <comment ref="BP159" authorId="0" shapeId="0" xr:uid="{00000000-0006-0000-0600-000099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59" authorId="0" shapeId="0" xr:uid="{00000000-0006-0000-0600-00009A000000}">
      <text>
        <r>
          <rPr>
            <b/>
            <sz val="9"/>
            <color indexed="81"/>
            <rFont val="Tahoma"/>
            <family val="2"/>
          </rPr>
          <t>Craig Kieny:</t>
        </r>
        <r>
          <rPr>
            <sz val="9"/>
            <color indexed="81"/>
            <rFont val="Tahoma"/>
            <family val="2"/>
          </rPr>
          <t xml:space="preserve">
5 MW contract entered on 3/8/16 for ATC from 1/2017 - 12/2020.</t>
        </r>
      </text>
    </comment>
    <comment ref="BP160" authorId="0" shapeId="0" xr:uid="{00000000-0006-0000-0600-00009B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60" authorId="0" shapeId="0" xr:uid="{00000000-0006-0000-0600-00009C000000}">
      <text>
        <r>
          <rPr>
            <b/>
            <sz val="9"/>
            <color indexed="81"/>
            <rFont val="Tahoma"/>
            <family val="2"/>
          </rPr>
          <t>Craig Kieny:</t>
        </r>
        <r>
          <rPr>
            <sz val="9"/>
            <color indexed="81"/>
            <rFont val="Tahoma"/>
            <family val="2"/>
          </rPr>
          <t xml:space="preserve">
5 MW contract entered on 3/8/16 for ATC from 1/2017 - 12/2020.</t>
        </r>
      </text>
    </comment>
    <comment ref="BP161" authorId="0" shapeId="0" xr:uid="{00000000-0006-0000-0600-00009D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61" authorId="0" shapeId="0" xr:uid="{00000000-0006-0000-0600-00009E000000}">
      <text>
        <r>
          <rPr>
            <b/>
            <sz val="9"/>
            <color indexed="81"/>
            <rFont val="Tahoma"/>
            <family val="2"/>
          </rPr>
          <t>Craig Kieny:</t>
        </r>
        <r>
          <rPr>
            <sz val="9"/>
            <color indexed="81"/>
            <rFont val="Tahoma"/>
            <family val="2"/>
          </rPr>
          <t xml:space="preserve">
5 MW contract entered on 3/8/16 for ATC from 1/2017 - 12/2020.</t>
        </r>
      </text>
    </comment>
    <comment ref="BP162" authorId="0" shapeId="0" xr:uid="{00000000-0006-0000-0600-00009F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62" authorId="0" shapeId="0" xr:uid="{00000000-0006-0000-0600-0000A0000000}">
      <text>
        <r>
          <rPr>
            <b/>
            <sz val="9"/>
            <color indexed="81"/>
            <rFont val="Tahoma"/>
            <family val="2"/>
          </rPr>
          <t>Craig Kieny:</t>
        </r>
        <r>
          <rPr>
            <sz val="9"/>
            <color indexed="81"/>
            <rFont val="Tahoma"/>
            <family val="2"/>
          </rPr>
          <t xml:space="preserve">
5 MW contract entered on 3/8/16 for ATC from 1/2017 - 12/2020.</t>
        </r>
      </text>
    </comment>
    <comment ref="BP163" authorId="0" shapeId="0" xr:uid="{00000000-0006-0000-0600-0000A1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B163" authorId="0" shapeId="0" xr:uid="{00000000-0006-0000-0600-0000A2000000}">
      <text>
        <r>
          <rPr>
            <b/>
            <sz val="9"/>
            <color indexed="81"/>
            <rFont val="Tahoma"/>
            <family val="2"/>
          </rPr>
          <t>Craig Kieny:</t>
        </r>
        <r>
          <rPr>
            <sz val="9"/>
            <color indexed="81"/>
            <rFont val="Tahoma"/>
            <family val="2"/>
          </rPr>
          <t xml:space="preserve">
5 MW contract entered on 3/8/16 for ATC from 1/2017 - 12/2020.</t>
        </r>
      </text>
    </comment>
    <comment ref="BP164" authorId="0" shapeId="0" xr:uid="{00000000-0006-0000-0600-0000A3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65" authorId="0" shapeId="0" xr:uid="{00000000-0006-0000-0600-0000A4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66" authorId="0" shapeId="0" xr:uid="{00000000-0006-0000-0600-0000A5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67" authorId="0" shapeId="0" xr:uid="{00000000-0006-0000-0600-0000A6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68" authorId="0" shapeId="0" xr:uid="{00000000-0006-0000-0600-0000A7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69" authorId="0" shapeId="0" xr:uid="{00000000-0006-0000-0600-0000A8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0" authorId="0" shapeId="0" xr:uid="{00000000-0006-0000-0600-0000A9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1" authorId="0" shapeId="0" xr:uid="{00000000-0006-0000-0600-0000AA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2" authorId="0" shapeId="0" xr:uid="{00000000-0006-0000-0600-0000AB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3" authorId="0" shapeId="0" xr:uid="{00000000-0006-0000-0600-0000AC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Z173" authorId="0" shapeId="0" xr:uid="{00000000-0006-0000-0600-0000AD000000}">
      <text>
        <r>
          <rPr>
            <b/>
            <sz val="8"/>
            <color indexed="81"/>
            <rFont val="Tahoma"/>
            <family val="2"/>
          </rPr>
          <t>Craig Kieny:</t>
        </r>
        <r>
          <rPr>
            <sz val="8"/>
            <color indexed="81"/>
            <rFont val="Tahoma"/>
            <family val="2"/>
          </rPr>
          <t xml:space="preserve">
Scheduled outage assumed.</t>
        </r>
      </text>
    </comment>
    <comment ref="CJ173" authorId="0" shapeId="0" xr:uid="{00000000-0006-0000-0600-0000AE000000}">
      <text>
        <r>
          <rPr>
            <b/>
            <sz val="9"/>
            <color indexed="81"/>
            <rFont val="Tahoma"/>
            <family val="2"/>
          </rPr>
          <t>Craig Kieny:</t>
        </r>
        <r>
          <rPr>
            <sz val="9"/>
            <color indexed="81"/>
            <rFont val="Tahoma"/>
            <family val="2"/>
          </rPr>
          <t xml:space="preserve">
The contract is 10 MW/h thorugh 10/19, then 20 MW/H beginning 10/20/21 through 10/19/31.</t>
        </r>
      </text>
    </comment>
    <comment ref="BP174" authorId="0" shapeId="0" xr:uid="{00000000-0006-0000-0600-0000AF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5" authorId="0" shapeId="0" xr:uid="{00000000-0006-0000-0600-0000B0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6" authorId="0" shapeId="0" xr:uid="{00000000-0006-0000-0600-0000B1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7" authorId="0" shapeId="0" xr:uid="{00000000-0006-0000-0600-0000B2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8" authorId="0" shapeId="0" xr:uid="{00000000-0006-0000-0600-0000B3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79" authorId="0" shapeId="0" xr:uid="{00000000-0006-0000-0600-0000B4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0" authorId="0" shapeId="0" xr:uid="{00000000-0006-0000-0600-0000B5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1" authorId="0" shapeId="0" xr:uid="{00000000-0006-0000-0600-0000B6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2" authorId="0" shapeId="0" xr:uid="{00000000-0006-0000-0600-0000B7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3" authorId="0" shapeId="0" xr:uid="{00000000-0006-0000-0600-0000B8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4" authorId="0" shapeId="0" xr:uid="{00000000-0006-0000-0600-0000B9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5" authorId="0" shapeId="0" xr:uid="{00000000-0006-0000-0600-0000BA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6" authorId="0" shapeId="0" xr:uid="{00000000-0006-0000-0600-0000BB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7" authorId="0" shapeId="0" xr:uid="{00000000-0006-0000-0600-0000BC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P188" authorId="0" shapeId="0" xr:uid="{00000000-0006-0000-0600-0000BD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G188" authorId="1" shapeId="0" xr:uid="{5A8CB141-0E9D-4095-AC32-BC335A757C1C}">
      <text>
        <r>
          <rPr>
            <b/>
            <sz val="9"/>
            <color indexed="81"/>
            <rFont val="Tahoma"/>
            <family val="2"/>
          </rPr>
          <t>Kieny, Craig:</t>
        </r>
        <r>
          <rPr>
            <sz val="9"/>
            <color indexed="81"/>
            <rFont val="Tahoma"/>
            <family val="2"/>
          </rPr>
          <t xml:space="preserve">
2023 Actuals
</t>
        </r>
      </text>
    </comment>
    <comment ref="CJ188" authorId="1" shapeId="0" xr:uid="{701B19D4-3F45-4CF4-AA67-16715E304A96}">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89" authorId="0" shapeId="0" xr:uid="{00000000-0006-0000-0600-0000BE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G189" authorId="1" shapeId="0" xr:uid="{8BD40101-2633-472A-9197-88E8B5EA83A9}">
      <text>
        <r>
          <rPr>
            <b/>
            <sz val="9"/>
            <color indexed="81"/>
            <rFont val="Tahoma"/>
            <family val="2"/>
          </rPr>
          <t>Kieny, Craig:</t>
        </r>
        <r>
          <rPr>
            <sz val="9"/>
            <color indexed="81"/>
            <rFont val="Tahoma"/>
            <family val="2"/>
          </rPr>
          <t xml:space="preserve">
2023 Actuals
</t>
        </r>
      </text>
    </comment>
    <comment ref="CJ189" authorId="1" shapeId="0" xr:uid="{3A0754BF-98BF-430B-AC6C-BB14CDCE54D3}">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0" authorId="0" shapeId="0" xr:uid="{00000000-0006-0000-0600-0000BF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G190" authorId="1" shapeId="0" xr:uid="{FDB055BA-E270-4E43-B509-A8465297ECFF}">
      <text>
        <r>
          <rPr>
            <b/>
            <sz val="9"/>
            <color indexed="81"/>
            <rFont val="Tahoma"/>
            <family val="2"/>
          </rPr>
          <t>Kieny, Craig:</t>
        </r>
        <r>
          <rPr>
            <sz val="9"/>
            <color indexed="81"/>
            <rFont val="Tahoma"/>
            <family val="2"/>
          </rPr>
          <t xml:space="preserve">
2023 Actuals
</t>
        </r>
      </text>
    </comment>
    <comment ref="CJ190" authorId="1" shapeId="0" xr:uid="{AE81AC41-80CD-4D8D-94B1-B6D3C7166F1A}">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1" authorId="0" shapeId="0" xr:uid="{00000000-0006-0000-0600-0000C0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BZ191" authorId="0" shapeId="0" xr:uid="{00000000-0006-0000-0600-0000C1000000}">
      <text>
        <r>
          <rPr>
            <b/>
            <sz val="8"/>
            <color indexed="81"/>
            <rFont val="Tahoma"/>
            <family val="2"/>
          </rPr>
          <t>Craig Kieny:</t>
        </r>
        <r>
          <rPr>
            <sz val="8"/>
            <color indexed="81"/>
            <rFont val="Tahoma"/>
            <family val="2"/>
          </rPr>
          <t xml:space="preserve">
Scheduled outage assumed.</t>
        </r>
      </text>
    </comment>
    <comment ref="CG191" authorId="1" shapeId="0" xr:uid="{DB16B0D1-EC8B-4E79-BDCE-F888A4CB2616}">
      <text>
        <r>
          <rPr>
            <b/>
            <sz val="9"/>
            <color indexed="81"/>
            <rFont val="Tahoma"/>
            <family val="2"/>
          </rPr>
          <t>Kieny, Craig:</t>
        </r>
        <r>
          <rPr>
            <sz val="9"/>
            <color indexed="81"/>
            <rFont val="Tahoma"/>
            <family val="2"/>
          </rPr>
          <t xml:space="preserve">
2023 Actuals
</t>
        </r>
      </text>
    </comment>
    <comment ref="CJ191" authorId="1" shapeId="0" xr:uid="{CF0F961F-A8E0-4F39-99A3-FF76251D945D}">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2" authorId="0" shapeId="0" xr:uid="{00000000-0006-0000-0600-0000C2000000}">
      <text>
        <r>
          <rPr>
            <b/>
            <sz val="9"/>
            <color indexed="81"/>
            <rFont val="Tahoma"/>
            <family val="2"/>
          </rPr>
          <t>Craig Kieny:</t>
        </r>
        <r>
          <rPr>
            <sz val="9"/>
            <color indexed="81"/>
            <rFont val="Tahoma"/>
            <family val="2"/>
          </rPr>
          <t xml:space="preserve">
Based on information in WEC IRP and data provided by Patty Richards in an e-mail exchange between on 1/27/2017.  This is subject to change based on WEC's actual need.  Patty said the load forecast is higher than they have experienced and Coventry is modeled to produce at a rate lower than what she would expect.</t>
        </r>
      </text>
    </comment>
    <comment ref="CG192" authorId="1" shapeId="0" xr:uid="{919AB873-44B8-4B1E-A787-363EB2757690}">
      <text>
        <r>
          <rPr>
            <b/>
            <sz val="9"/>
            <color indexed="81"/>
            <rFont val="Tahoma"/>
            <family val="2"/>
          </rPr>
          <t>Kieny, Craig:</t>
        </r>
        <r>
          <rPr>
            <sz val="9"/>
            <color indexed="81"/>
            <rFont val="Tahoma"/>
            <family val="2"/>
          </rPr>
          <t xml:space="preserve">
2023 Actuals
</t>
        </r>
      </text>
    </comment>
    <comment ref="CJ192" authorId="1" shapeId="0" xr:uid="{529CF6E5-F18C-43A0-B862-1BF9BA7D5F86}">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3" authorId="0" shapeId="0" xr:uid="{00000000-0006-0000-0600-0000C300000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3" authorId="1" shapeId="0" xr:uid="{41C1550C-4C04-4E95-82E7-982D2D4EB899}">
      <text>
        <r>
          <rPr>
            <b/>
            <sz val="9"/>
            <color indexed="81"/>
            <rFont val="Tahoma"/>
            <family val="2"/>
          </rPr>
          <t>Kieny, Craig:</t>
        </r>
        <r>
          <rPr>
            <sz val="9"/>
            <color indexed="81"/>
            <rFont val="Tahoma"/>
            <family val="2"/>
          </rPr>
          <t xml:space="preserve">
2023 Actuals
</t>
        </r>
      </text>
    </comment>
    <comment ref="CJ193" authorId="1" shapeId="0" xr:uid="{49C01CB5-56E6-4A4F-8E4E-12DAC8C830B9}">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4" authorId="0" shapeId="0" xr:uid="{5426A988-DECB-4C9A-8A9C-60BEBDD2B70C}">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4" authorId="1" shapeId="0" xr:uid="{669BF2FD-E5FC-4B3F-BDF5-8F860A34A520}">
      <text>
        <r>
          <rPr>
            <b/>
            <sz val="9"/>
            <color indexed="81"/>
            <rFont val="Tahoma"/>
            <family val="2"/>
          </rPr>
          <t>Kieny, Craig:</t>
        </r>
        <r>
          <rPr>
            <sz val="9"/>
            <color indexed="81"/>
            <rFont val="Tahoma"/>
            <family val="2"/>
          </rPr>
          <t xml:space="preserve">
2023 Actuals
</t>
        </r>
      </text>
    </comment>
    <comment ref="CJ194" authorId="1" shapeId="0" xr:uid="{8648C31C-E954-463F-BDB8-E319147A0B19}">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5" authorId="0" shapeId="0" xr:uid="{73977E00-83D9-45B0-B54D-710DAE2CE7C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5" authorId="1" shapeId="0" xr:uid="{61E06725-2241-410A-91AF-6EDD76C35B0B}">
      <text>
        <r>
          <rPr>
            <b/>
            <sz val="9"/>
            <color indexed="81"/>
            <rFont val="Tahoma"/>
            <family val="2"/>
          </rPr>
          <t>Kieny, Craig:</t>
        </r>
        <r>
          <rPr>
            <sz val="9"/>
            <color indexed="81"/>
            <rFont val="Tahoma"/>
            <family val="2"/>
          </rPr>
          <t xml:space="preserve">
2023 Actuals
</t>
        </r>
      </text>
    </comment>
    <comment ref="CJ195" authorId="1" shapeId="0" xr:uid="{532AA9D1-6AD0-4ABE-AED4-D6C077BE45EC}">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6" authorId="0" shapeId="0" xr:uid="{AC6CF352-7D55-47EB-B045-AE479859508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6" authorId="1" shapeId="0" xr:uid="{DC596B43-D942-4D32-9BF9-2CB2CCD4FF35}">
      <text>
        <r>
          <rPr>
            <b/>
            <sz val="9"/>
            <color indexed="81"/>
            <rFont val="Tahoma"/>
            <family val="2"/>
          </rPr>
          <t>Kieny, Craig:</t>
        </r>
        <r>
          <rPr>
            <sz val="9"/>
            <color indexed="81"/>
            <rFont val="Tahoma"/>
            <family val="2"/>
          </rPr>
          <t xml:space="preserve">
2023 Actuals
</t>
        </r>
      </text>
    </comment>
    <comment ref="CJ196" authorId="1" shapeId="0" xr:uid="{F6E2D2FF-14B3-4AE9-B280-E7C6B8AB3B37}">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7" authorId="0" shapeId="0" xr:uid="{60EECBEB-8EE7-484D-9BAD-97D22D76E07D}">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7" authorId="1" shapeId="0" xr:uid="{AF5D0173-5463-4134-ADAD-B439C05E0C5B}">
      <text>
        <r>
          <rPr>
            <b/>
            <sz val="9"/>
            <color indexed="81"/>
            <rFont val="Tahoma"/>
            <family val="2"/>
          </rPr>
          <t>Kieny, Craig:</t>
        </r>
        <r>
          <rPr>
            <sz val="9"/>
            <color indexed="81"/>
            <rFont val="Tahoma"/>
            <family val="2"/>
          </rPr>
          <t xml:space="preserve">
2023 Actuals
</t>
        </r>
      </text>
    </comment>
    <comment ref="CJ197" authorId="1" shapeId="0" xr:uid="{C93C6232-1747-4146-983E-EEF4D7DD9A4A}">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8" authorId="0" shapeId="0" xr:uid="{23F46BA5-6AB7-4E2D-B4DF-85C80D0833DD}">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8" authorId="1" shapeId="0" xr:uid="{346D61F1-CC40-4553-8BE8-516FBA7A820A}">
      <text>
        <r>
          <rPr>
            <b/>
            <sz val="9"/>
            <color indexed="81"/>
            <rFont val="Tahoma"/>
            <family val="2"/>
          </rPr>
          <t>Kieny, Craig:</t>
        </r>
        <r>
          <rPr>
            <sz val="9"/>
            <color indexed="81"/>
            <rFont val="Tahoma"/>
            <family val="2"/>
          </rPr>
          <t xml:space="preserve">
2023 Actuals
</t>
        </r>
      </text>
    </comment>
    <comment ref="CJ198" authorId="1" shapeId="0" xr:uid="{5D83AF4A-667E-43FD-87AE-18EF06C17200}">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199" authorId="0" shapeId="0" xr:uid="{09ED87D5-55B9-42F7-A1C1-373AE66BDE59}">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G199" authorId="1" shapeId="0" xr:uid="{CF9278D8-D110-4FD5-957A-1CEA3D213093}">
      <text>
        <r>
          <rPr>
            <b/>
            <sz val="9"/>
            <color indexed="81"/>
            <rFont val="Tahoma"/>
            <family val="2"/>
          </rPr>
          <t>Kieny, Craig:</t>
        </r>
        <r>
          <rPr>
            <sz val="9"/>
            <color indexed="81"/>
            <rFont val="Tahoma"/>
            <family val="2"/>
          </rPr>
          <t xml:space="preserve">
2023 Actuals
</t>
        </r>
      </text>
    </comment>
    <comment ref="CJ199" authorId="1" shapeId="0" xr:uid="{0603A3B7-8703-4819-9C60-EADC3FAAD96F}">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0" authorId="0" shapeId="0" xr:uid="{241DCCB3-F510-42B8-B6B4-1137DAEEB42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0" authorId="1" shapeId="0" xr:uid="{6F3534FC-1EA5-4B2B-87AE-2EE6E9CA315C}">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1" authorId="0" shapeId="0" xr:uid="{520B8EC4-507F-422D-988D-C5B335C03CE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1" authorId="1" shapeId="0" xr:uid="{33CC8BDF-75B9-4EB9-900E-B6A0F690699C}">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2" authorId="0" shapeId="0" xr:uid="{ED94B8D3-00C5-484D-91A7-3FEDDF4787F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2" authorId="1" shapeId="0" xr:uid="{AA529A0A-BA2A-41C7-AFC9-0CC14274EC51}">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3" authorId="0" shapeId="0" xr:uid="{A7C92F95-CF1A-46C5-9344-C891E240349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3" authorId="1" shapeId="0" xr:uid="{655B5EFB-041B-4C5A-909D-0000BC908032}">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4" authorId="0" shapeId="0" xr:uid="{9B99FEF5-564C-42E7-B404-6A89600E9FA9}">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4" authorId="1" shapeId="0" xr:uid="{2D6A3CB5-1FF9-4E68-8B37-0A596FFC8472}">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5" authorId="0" shapeId="0" xr:uid="{1BA986C8-26BC-4960-BDE7-F5C2784CD01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5" authorId="1" shapeId="0" xr:uid="{B15056CA-FA40-42A1-A5BD-0A8B74406290}">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6" authorId="0" shapeId="0" xr:uid="{47EBA66F-6694-4FD4-B180-10AA1C916E1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6" authorId="1" shapeId="0" xr:uid="{5A86F79D-41F6-4386-B443-E34247FF9411}">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7" authorId="0" shapeId="0" xr:uid="{ABF924C1-2D72-4ADE-B66A-AAF7BCFC427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7" authorId="1" shapeId="0" xr:uid="{B5899838-95FA-453C-96C9-601935B5A70D}">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8" authorId="0" shapeId="0" xr:uid="{02421166-AC3C-489A-A195-7FDC4BD50C7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08" authorId="1" shapeId="0" xr:uid="{C0D6B325-FC91-46A8-892D-1AF27B5D4D1D}">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09" authorId="0" shapeId="0" xr:uid="{42C95DF8-EBBC-46DF-A921-C84D42625D9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209" authorId="0" shapeId="0" xr:uid="{00000000-0006-0000-0600-0000D4000000}">
      <text>
        <r>
          <rPr>
            <b/>
            <sz val="8"/>
            <color indexed="81"/>
            <rFont val="Tahoma"/>
            <family val="2"/>
          </rPr>
          <t>Craig Kieny:</t>
        </r>
        <r>
          <rPr>
            <sz val="8"/>
            <color indexed="81"/>
            <rFont val="Tahoma"/>
            <family val="2"/>
          </rPr>
          <t xml:space="preserve">
Scheduled outage assumed.</t>
        </r>
      </text>
    </comment>
    <comment ref="CJ209" authorId="1" shapeId="0" xr:uid="{DE1C0BD4-3B8F-4604-8919-AE724BED3871}">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10" authorId="0" shapeId="0" xr:uid="{2DF1AC5E-56D3-49D1-AC40-264E1029CCF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0" authorId="1" shapeId="0" xr:uid="{C66DD194-84A8-4161-9D2A-522354CB9AAE}">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11" authorId="0" shapeId="0" xr:uid="{F6DC53E3-6748-4E8F-8BC5-B3D5C138C03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1" authorId="1" shapeId="0" xr:uid="{3693ECFA-5B87-4618-B84B-53764E170EA4}">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2" authorId="1" shapeId="0" xr:uid="{25F8F482-43B4-4847-A8E9-A20602B95B18}">
      <text>
        <r>
          <rPr>
            <b/>
            <sz val="9"/>
            <color indexed="81"/>
            <rFont val="Tahoma"/>
            <family val="2"/>
          </rPr>
          <t>Kieny, Craig:</t>
        </r>
        <r>
          <rPr>
            <sz val="9"/>
            <color indexed="81"/>
            <rFont val="Tahoma"/>
            <family val="2"/>
          </rPr>
          <t xml:space="preserve">
2024 Actual deliveries</t>
        </r>
      </text>
    </comment>
    <comment ref="AV212" authorId="1" shapeId="0" xr:uid="{003626C2-C0DA-4868-A717-F4CF87169DE6}">
      <text>
        <r>
          <rPr>
            <b/>
            <sz val="9"/>
            <color indexed="81"/>
            <rFont val="Tahoma"/>
            <family val="2"/>
          </rPr>
          <t>Kieny, Craig:</t>
        </r>
        <r>
          <rPr>
            <sz val="9"/>
            <color indexed="81"/>
            <rFont val="Tahoma"/>
            <family val="2"/>
          </rPr>
          <t xml:space="preserve">
2024 Actual deliveries</t>
        </r>
      </text>
    </comment>
    <comment ref="BP212" authorId="0" shapeId="0" xr:uid="{0CC3F102-7EB7-459E-8FBD-655FB8DE7EDE}">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2" authorId="1" shapeId="0" xr:uid="{3727A1AA-6F63-46D4-9CD0-37652ADC3318}">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3" authorId="1" shapeId="0" xr:uid="{FDA98C96-8351-4AF2-8F6B-358129DBCCF5}">
      <text>
        <r>
          <rPr>
            <b/>
            <sz val="9"/>
            <color indexed="81"/>
            <rFont val="Tahoma"/>
            <family val="2"/>
          </rPr>
          <t>Kieny, Craig:</t>
        </r>
        <r>
          <rPr>
            <sz val="9"/>
            <color indexed="81"/>
            <rFont val="Tahoma"/>
            <family val="2"/>
          </rPr>
          <t xml:space="preserve">
2024 Actual deliveries</t>
        </r>
      </text>
    </comment>
    <comment ref="AV213" authorId="1" shapeId="0" xr:uid="{AD2527F8-DAFC-48B5-966B-0C19F7278A48}">
      <text>
        <r>
          <rPr>
            <b/>
            <sz val="9"/>
            <color indexed="81"/>
            <rFont val="Tahoma"/>
            <family val="2"/>
          </rPr>
          <t>Kieny, Craig:</t>
        </r>
        <r>
          <rPr>
            <sz val="9"/>
            <color indexed="81"/>
            <rFont val="Tahoma"/>
            <family val="2"/>
          </rPr>
          <t xml:space="preserve">
2024 Actual deliveries</t>
        </r>
      </text>
    </comment>
    <comment ref="BP213" authorId="0" shapeId="0" xr:uid="{B8A5451B-D2BB-46C6-AE71-E57CF7AF6B9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3" authorId="1" shapeId="0" xr:uid="{AC74352C-C175-40DC-97DF-48D1000FA8F2}">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4" authorId="1" shapeId="0" xr:uid="{5997CD52-EF73-4A4F-9569-B63DDDBC4C2F}">
      <text>
        <r>
          <rPr>
            <b/>
            <sz val="9"/>
            <color indexed="81"/>
            <rFont val="Tahoma"/>
            <family val="2"/>
          </rPr>
          <t>Kieny, Craig:</t>
        </r>
        <r>
          <rPr>
            <sz val="9"/>
            <color indexed="81"/>
            <rFont val="Tahoma"/>
            <family val="2"/>
          </rPr>
          <t xml:space="preserve">
2024 Actual deliveries</t>
        </r>
      </text>
    </comment>
    <comment ref="AV214" authorId="1" shapeId="0" xr:uid="{D080E307-2917-42CD-B76D-0EAF140B9441}">
      <text>
        <r>
          <rPr>
            <b/>
            <sz val="9"/>
            <color indexed="81"/>
            <rFont val="Tahoma"/>
            <family val="2"/>
          </rPr>
          <t>Kieny, Craig:</t>
        </r>
        <r>
          <rPr>
            <sz val="9"/>
            <color indexed="81"/>
            <rFont val="Tahoma"/>
            <family val="2"/>
          </rPr>
          <t xml:space="preserve">
2024 Actual deliveries</t>
        </r>
      </text>
    </comment>
    <comment ref="BP214" authorId="0" shapeId="0" xr:uid="{2B669C54-C83C-4E11-A52C-E4FE074D8F2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4" authorId="1" shapeId="0" xr:uid="{A8101A18-F06C-45D7-806D-6C700CAEFD27}">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5" authorId="1" shapeId="0" xr:uid="{300EAF5E-D516-48B5-AEF1-ACA0B9FC9583}">
      <text>
        <r>
          <rPr>
            <b/>
            <sz val="9"/>
            <color indexed="81"/>
            <rFont val="Tahoma"/>
            <family val="2"/>
          </rPr>
          <t>Kieny, Craig:</t>
        </r>
        <r>
          <rPr>
            <sz val="9"/>
            <color indexed="81"/>
            <rFont val="Tahoma"/>
            <family val="2"/>
          </rPr>
          <t xml:space="preserve">
2024 Actual deliveries</t>
        </r>
      </text>
    </comment>
    <comment ref="AV215" authorId="1" shapeId="0" xr:uid="{CE0D10E7-F62A-4088-A60C-AB1BEB6B4C62}">
      <text>
        <r>
          <rPr>
            <b/>
            <sz val="9"/>
            <color indexed="81"/>
            <rFont val="Tahoma"/>
            <family val="2"/>
          </rPr>
          <t>Kieny, Craig:</t>
        </r>
        <r>
          <rPr>
            <sz val="9"/>
            <color indexed="81"/>
            <rFont val="Tahoma"/>
            <family val="2"/>
          </rPr>
          <t xml:space="preserve">
2024 Actual deliveries</t>
        </r>
      </text>
    </comment>
    <comment ref="BP215" authorId="0" shapeId="0" xr:uid="{85ED6F04-26F9-43E6-B004-ED53F579CA1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5" authorId="1" shapeId="0" xr:uid="{934B0A02-0C53-44AD-9C26-BFE74BE3C531}">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6" authorId="1" shapeId="0" xr:uid="{DD74A36F-8C82-4006-A72B-C294D6627416}">
      <text>
        <r>
          <rPr>
            <b/>
            <sz val="9"/>
            <color indexed="81"/>
            <rFont val="Tahoma"/>
            <family val="2"/>
          </rPr>
          <t>Kieny, Craig:</t>
        </r>
        <r>
          <rPr>
            <sz val="9"/>
            <color indexed="81"/>
            <rFont val="Tahoma"/>
            <family val="2"/>
          </rPr>
          <t xml:space="preserve">
2024 Actual deliveries</t>
        </r>
      </text>
    </comment>
    <comment ref="AV216" authorId="1" shapeId="0" xr:uid="{0BB09E54-3462-49A6-ABCA-9F7FD917CB27}">
      <text>
        <r>
          <rPr>
            <b/>
            <sz val="9"/>
            <color indexed="81"/>
            <rFont val="Tahoma"/>
            <family val="2"/>
          </rPr>
          <t>Kieny, Craig:</t>
        </r>
        <r>
          <rPr>
            <sz val="9"/>
            <color indexed="81"/>
            <rFont val="Tahoma"/>
            <family val="2"/>
          </rPr>
          <t xml:space="preserve">
2024 Actual deliveries</t>
        </r>
      </text>
    </comment>
    <comment ref="BP216" authorId="0" shapeId="0" xr:uid="{43A65DDE-EE13-4547-BC1B-6488EB72F97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6" authorId="1" shapeId="0" xr:uid="{CE6F922B-61AC-4143-8BA2-F67BB838DB42}">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7" authorId="1" shapeId="0" xr:uid="{D1F1ACFD-C2E0-485B-9BF0-FDD5A6DC74D6}">
      <text>
        <r>
          <rPr>
            <b/>
            <sz val="9"/>
            <color indexed="81"/>
            <rFont val="Tahoma"/>
            <family val="2"/>
          </rPr>
          <t>Kieny, Craig:</t>
        </r>
        <r>
          <rPr>
            <sz val="9"/>
            <color indexed="81"/>
            <rFont val="Tahoma"/>
            <family val="2"/>
          </rPr>
          <t xml:space="preserve">
2024 Actual deliveries</t>
        </r>
      </text>
    </comment>
    <comment ref="AV217" authorId="1" shapeId="0" xr:uid="{A618D25B-EE38-4734-80D2-DB704F76A15D}">
      <text>
        <r>
          <rPr>
            <b/>
            <sz val="9"/>
            <color indexed="81"/>
            <rFont val="Tahoma"/>
            <family val="2"/>
          </rPr>
          <t>Kieny, Craig:</t>
        </r>
        <r>
          <rPr>
            <sz val="9"/>
            <color indexed="81"/>
            <rFont val="Tahoma"/>
            <family val="2"/>
          </rPr>
          <t xml:space="preserve">
2024 Actual deliveries</t>
        </r>
      </text>
    </comment>
    <comment ref="BP217" authorId="0" shapeId="0" xr:uid="{645FDE0C-CD45-42D8-B152-47A1793DDB6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7" authorId="1" shapeId="0" xr:uid="{87CCC471-082B-46DD-880F-BC14B3B41D7D}">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8" authorId="1" shapeId="0" xr:uid="{941F0A4F-3DF6-4555-83FF-33C3952FB099}">
      <text>
        <r>
          <rPr>
            <b/>
            <sz val="9"/>
            <color indexed="81"/>
            <rFont val="Tahoma"/>
            <family val="2"/>
          </rPr>
          <t>Kieny, Craig:</t>
        </r>
        <r>
          <rPr>
            <sz val="9"/>
            <color indexed="81"/>
            <rFont val="Tahoma"/>
            <family val="2"/>
          </rPr>
          <t xml:space="preserve">
2024 Actual deliveries</t>
        </r>
      </text>
    </comment>
    <comment ref="AV218" authorId="1" shapeId="0" xr:uid="{4ED67FC4-8A43-455B-AE0A-E3E62FB83A3C}">
      <text>
        <r>
          <rPr>
            <b/>
            <sz val="9"/>
            <color indexed="81"/>
            <rFont val="Tahoma"/>
            <family val="2"/>
          </rPr>
          <t>Kieny, Craig:</t>
        </r>
        <r>
          <rPr>
            <sz val="9"/>
            <color indexed="81"/>
            <rFont val="Tahoma"/>
            <family val="2"/>
          </rPr>
          <t xml:space="preserve">
2024 Actual deliveries</t>
        </r>
      </text>
    </comment>
    <comment ref="BP218" authorId="0" shapeId="0" xr:uid="{B9D67602-9142-4E91-A8EF-4EFF1901C9B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8" authorId="1" shapeId="0" xr:uid="{DC5CE4E4-C3B3-4369-89C1-1A0DE81E3BE5}">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19" authorId="1" shapeId="0" xr:uid="{2B455851-94BE-4C45-971D-FDAA8DB44188}">
      <text>
        <r>
          <rPr>
            <b/>
            <sz val="9"/>
            <color indexed="81"/>
            <rFont val="Tahoma"/>
            <family val="2"/>
          </rPr>
          <t>Kieny, Craig:</t>
        </r>
        <r>
          <rPr>
            <sz val="9"/>
            <color indexed="81"/>
            <rFont val="Tahoma"/>
            <family val="2"/>
          </rPr>
          <t xml:space="preserve">
2024 Actual deliveries</t>
        </r>
      </text>
    </comment>
    <comment ref="AV219" authorId="1" shapeId="0" xr:uid="{238C007E-EE14-4281-871E-5CC242EEF785}">
      <text>
        <r>
          <rPr>
            <b/>
            <sz val="9"/>
            <color indexed="81"/>
            <rFont val="Tahoma"/>
            <family val="2"/>
          </rPr>
          <t>Kieny, Craig:</t>
        </r>
        <r>
          <rPr>
            <sz val="9"/>
            <color indexed="81"/>
            <rFont val="Tahoma"/>
            <family val="2"/>
          </rPr>
          <t xml:space="preserve">
2024 Actual deliveries</t>
        </r>
      </text>
    </comment>
    <comment ref="BP219" authorId="0" shapeId="0" xr:uid="{CFC29A0B-BB2D-4EEC-8839-E0CD46E545AF}">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19" authorId="1" shapeId="0" xr:uid="{A999B04A-CF80-4F55-8D8B-141F777084DC}">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20" authorId="1" shapeId="0" xr:uid="{77E8176B-5405-489D-BEF2-576B5648210A}">
      <text>
        <r>
          <rPr>
            <b/>
            <sz val="9"/>
            <color indexed="81"/>
            <rFont val="Tahoma"/>
            <family val="2"/>
          </rPr>
          <t>Kieny, Craig:</t>
        </r>
        <r>
          <rPr>
            <sz val="9"/>
            <color indexed="81"/>
            <rFont val="Tahoma"/>
            <family val="2"/>
          </rPr>
          <t xml:space="preserve">
2024 Actual deliveries</t>
        </r>
      </text>
    </comment>
    <comment ref="AV220" authorId="1" shapeId="0" xr:uid="{BEE6D732-60E4-4BA1-BF10-300B51FF5EF8}">
      <text>
        <r>
          <rPr>
            <b/>
            <sz val="9"/>
            <color indexed="81"/>
            <rFont val="Tahoma"/>
            <family val="2"/>
          </rPr>
          <t>Kieny, Craig:</t>
        </r>
        <r>
          <rPr>
            <sz val="9"/>
            <color indexed="81"/>
            <rFont val="Tahoma"/>
            <family val="2"/>
          </rPr>
          <t xml:space="preserve">
2024 Actual deliveries</t>
        </r>
      </text>
    </comment>
    <comment ref="BP220" authorId="0" shapeId="0" xr:uid="{CDDAE1E8-525A-47A5-BECB-1CEA878734E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0" authorId="1" shapeId="0" xr:uid="{9A31367F-4B30-4B86-9896-DD2C614D3938}">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21" authorId="1" shapeId="0" xr:uid="{021853EC-7E3D-4215-895D-82C54983829E}">
      <text>
        <r>
          <rPr>
            <b/>
            <sz val="9"/>
            <color indexed="81"/>
            <rFont val="Tahoma"/>
            <family val="2"/>
          </rPr>
          <t>Kieny, Craig:</t>
        </r>
        <r>
          <rPr>
            <sz val="9"/>
            <color indexed="81"/>
            <rFont val="Tahoma"/>
            <family val="2"/>
          </rPr>
          <t xml:space="preserve">
2024 Actual deliveries</t>
        </r>
      </text>
    </comment>
    <comment ref="AV221" authorId="1" shapeId="0" xr:uid="{09835042-295B-4D85-BA15-01E3103604DD}">
      <text>
        <r>
          <rPr>
            <b/>
            <sz val="9"/>
            <color indexed="81"/>
            <rFont val="Tahoma"/>
            <family val="2"/>
          </rPr>
          <t>Kieny, Craig:</t>
        </r>
        <r>
          <rPr>
            <sz val="9"/>
            <color indexed="81"/>
            <rFont val="Tahoma"/>
            <family val="2"/>
          </rPr>
          <t xml:space="preserve">
2024 Actual deliveries</t>
        </r>
      </text>
    </comment>
    <comment ref="BP221" authorId="0" shapeId="0" xr:uid="{A29DD244-2219-4D85-B638-BE0EAE34005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1" authorId="1" shapeId="0" xr:uid="{3E101715-2E78-4254-B3DA-E6CE15F0A034}">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22" authorId="1" shapeId="0" xr:uid="{1D7EB6E9-51D5-4561-986B-823BD4FC340B}">
      <text>
        <r>
          <rPr>
            <b/>
            <sz val="9"/>
            <color indexed="81"/>
            <rFont val="Tahoma"/>
            <family val="2"/>
          </rPr>
          <t>Kieny, Craig:</t>
        </r>
        <r>
          <rPr>
            <sz val="9"/>
            <color indexed="81"/>
            <rFont val="Tahoma"/>
            <family val="2"/>
          </rPr>
          <t xml:space="preserve">
2024 Actual deliveries</t>
        </r>
      </text>
    </comment>
    <comment ref="AV222" authorId="1" shapeId="0" xr:uid="{D17C1FF1-3078-44C3-BCF6-9C02F88FF0E3}">
      <text>
        <r>
          <rPr>
            <b/>
            <sz val="9"/>
            <color indexed="81"/>
            <rFont val="Tahoma"/>
            <family val="2"/>
          </rPr>
          <t>Kieny, Craig:</t>
        </r>
        <r>
          <rPr>
            <sz val="9"/>
            <color indexed="81"/>
            <rFont val="Tahoma"/>
            <family val="2"/>
          </rPr>
          <t xml:space="preserve">
2024 Actual deliveries</t>
        </r>
      </text>
    </comment>
    <comment ref="BP222" authorId="0" shapeId="0" xr:uid="{74964BD8-022D-4D7D-8F6D-9A3CC89ACA6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2" authorId="1" shapeId="0" xr:uid="{464E9C56-5756-4F6A-A8BC-C7D7C55D3AE1}">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AU223" authorId="1" shapeId="0" xr:uid="{BCC7223E-2080-49D7-B0B5-617A7912E69A}">
      <text>
        <r>
          <rPr>
            <b/>
            <sz val="9"/>
            <color indexed="81"/>
            <rFont val="Tahoma"/>
            <family val="2"/>
          </rPr>
          <t>Kieny, Craig:</t>
        </r>
        <r>
          <rPr>
            <sz val="9"/>
            <color indexed="81"/>
            <rFont val="Tahoma"/>
            <family val="2"/>
          </rPr>
          <t xml:space="preserve">
2024 Actual deliveries</t>
        </r>
      </text>
    </comment>
    <comment ref="AV223" authorId="1" shapeId="0" xr:uid="{7E892888-9213-49FF-B6F5-51DE6A6ACDD6}">
      <text>
        <r>
          <rPr>
            <b/>
            <sz val="9"/>
            <color indexed="81"/>
            <rFont val="Tahoma"/>
            <family val="2"/>
          </rPr>
          <t>Kieny, Craig:</t>
        </r>
        <r>
          <rPr>
            <sz val="9"/>
            <color indexed="81"/>
            <rFont val="Tahoma"/>
            <family val="2"/>
          </rPr>
          <t xml:space="preserve">
2024 Actual deliveries</t>
        </r>
      </text>
    </comment>
    <comment ref="BP223" authorId="0" shapeId="0" xr:uid="{4EAD6DAE-B50B-4E2D-8D34-41E9D195DA9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3" authorId="1" shapeId="0" xr:uid="{07A7DBC8-B0E2-4F8F-A0CA-A8EB49409147}">
      <text>
        <r>
          <rPr>
            <b/>
            <sz val="9"/>
            <color indexed="81"/>
            <rFont val="Tahoma"/>
            <family val="2"/>
          </rPr>
          <t>Kieny, Craig:</t>
        </r>
        <r>
          <rPr>
            <sz val="9"/>
            <color indexed="81"/>
            <rFont val="Tahoma"/>
            <family val="2"/>
          </rPr>
          <t xml:space="preserve">
Starting f1/2023 VEC began purchasing 5 MW at Fixed Price for Energy + RECs and 15 MW of Energy at 5% Discount to LMP.</t>
        </r>
      </text>
    </comment>
    <comment ref="BP224" authorId="0" shapeId="0" xr:uid="{3CD9A938-74C7-40C7-B36C-1B5410321F6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4" authorId="1" shapeId="0" xr:uid="{09611691-1E8D-454C-B1B3-6F18A5829877}">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25" authorId="0" shapeId="0" xr:uid="{CC899AB2-602C-445B-B85F-8349BF50D5E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5" authorId="1" shapeId="0" xr:uid="{096C1E3D-06C1-4833-A0B3-91AB8B1022DA}">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26" authorId="0" shapeId="0" xr:uid="{361FCF51-07D3-4ED0-BF40-72535AC7DD11}">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6" authorId="1" shapeId="0" xr:uid="{9ECA9319-8B6C-4868-A943-41E00C7BE173}">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27" authorId="0" shapeId="0" xr:uid="{A774C313-7429-4B66-8485-CBCE668B98E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227" authorId="0" shapeId="0" xr:uid="{00000000-0006-0000-0600-0000E7000000}">
      <text>
        <r>
          <rPr>
            <b/>
            <sz val="8"/>
            <color indexed="81"/>
            <rFont val="Tahoma"/>
            <family val="2"/>
          </rPr>
          <t>Craig Kieny:</t>
        </r>
        <r>
          <rPr>
            <sz val="8"/>
            <color indexed="81"/>
            <rFont val="Tahoma"/>
            <family val="2"/>
          </rPr>
          <t xml:space="preserve">
Scheduled outage assumed.</t>
        </r>
      </text>
    </comment>
    <comment ref="CJ227" authorId="1" shapeId="0" xr:uid="{0E11D127-53F0-4BE8-89F8-ACA292B8D1A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28" authorId="0" shapeId="0" xr:uid="{EDBA2B0E-B2AA-4A88-B271-86A9C4EB77B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8" authorId="1" shapeId="0" xr:uid="{6F915560-42A1-4365-AEEE-BF72AD11C97D}">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29" authorId="0" shapeId="0" xr:uid="{C687E268-BA78-4FBD-9172-56DBF9F25D11}">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29" authorId="1" shapeId="0" xr:uid="{41B8A7FC-1428-4877-8261-4A54112796DB}">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0" authorId="0" shapeId="0" xr:uid="{C3C5875E-FF9F-4A33-864A-BD8CEEADBD2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0" authorId="1" shapeId="0" xr:uid="{95CC3BEB-939C-46F6-8700-BBEAC14D676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1" authorId="0" shapeId="0" xr:uid="{6429A015-4659-4A93-811B-71B17843521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1" authorId="1" shapeId="0" xr:uid="{08E02C13-97FD-41F8-9E71-CFD89FA5B7FA}">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2" authorId="0" shapeId="0" xr:uid="{E718C54E-C9BD-47EA-84C0-388B5B23FA8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2" authorId="1" shapeId="0" xr:uid="{CCD93F99-4C36-47A9-B81C-0C365FBB72E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3" authorId="0" shapeId="0" xr:uid="{6B2C7539-9D8F-424A-BABF-305984DA88C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3" authorId="1" shapeId="0" xr:uid="{44503B2B-4462-41BE-AB48-FE803880BFA2}">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4" authorId="0" shapeId="0" xr:uid="{BB06945F-76AE-4054-B77C-AC29056979E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4" authorId="1" shapeId="0" xr:uid="{C35DA4CD-D694-4653-B144-BE6ACF02567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5" authorId="0" shapeId="0" xr:uid="{58F1BDCF-A89E-4FAF-BF73-B19E7A103402}">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5" authorId="1" shapeId="0" xr:uid="{7188EAA1-1C5B-47C1-8C2E-499DE15BBF43}">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6" authorId="0" shapeId="0" xr:uid="{5D602D33-E4D8-4BBC-AEBB-E2DA0F4B5742}">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6" authorId="1" shapeId="0" xr:uid="{76266A21-060F-44A1-9803-BDD3525EC8E0}">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7" authorId="0" shapeId="0" xr:uid="{1EBEDDD2-018E-4EFA-9602-B31A15A88F3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7" authorId="1" shapeId="0" xr:uid="{2058B067-628C-4D53-AD06-651BB21B01C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8" authorId="0" shapeId="0" xr:uid="{D73C4707-2D7F-4289-8193-4ACFD0C007D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8" authorId="1" shapeId="0" xr:uid="{9597BEB5-2D3F-4BDB-A784-A4BC6328C8D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39" authorId="0" shapeId="0" xr:uid="{D9BA84A4-06C0-44A0-BFF7-63E6CF5F8759}">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39" authorId="1" shapeId="0" xr:uid="{7F1FC35F-E1C8-45C0-A98D-C53C15E9EDF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0" authorId="0" shapeId="0" xr:uid="{7E0F6006-E3B3-459F-A562-31645656E75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0" authorId="1" shapeId="0" xr:uid="{8C332105-E829-4990-B3F1-0616098D7D10}">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1" authorId="0" shapeId="0" xr:uid="{109B23F1-E58B-491A-AE52-DB3073BAB4D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1" authorId="1" shapeId="0" xr:uid="{81BFCF03-42B6-4431-BAAC-AB6D3C2B47A4}">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2" authorId="0" shapeId="0" xr:uid="{B3EF6A1A-412B-4C43-B8F2-C7A2C44C531E}">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2" authorId="1" shapeId="0" xr:uid="{98A6B802-87C4-4590-A900-39449DF29E3D}">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3" authorId="0" shapeId="0" xr:uid="{61B5CB56-422A-4558-BBDD-6F286CFCEAA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3" authorId="1" shapeId="0" xr:uid="{0D4BBDE5-A088-47B9-8E33-5AC9F48F1F0A}">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4" authorId="0" shapeId="0" xr:uid="{490BCBA6-2CBD-4E84-A5CB-ACE4ED85CDF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4" authorId="1" shapeId="0" xr:uid="{033C8824-E215-42C5-B79D-325746C2EB64}">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5" authorId="0" shapeId="0" xr:uid="{64288B6F-F752-4690-AAA0-C45BBC42076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245" authorId="0" shapeId="0" xr:uid="{00000000-0006-0000-0600-0000FA000000}">
      <text>
        <r>
          <rPr>
            <b/>
            <sz val="8"/>
            <color indexed="81"/>
            <rFont val="Tahoma"/>
            <family val="2"/>
          </rPr>
          <t>Craig Kieny:</t>
        </r>
        <r>
          <rPr>
            <sz val="8"/>
            <color indexed="81"/>
            <rFont val="Tahoma"/>
            <family val="2"/>
          </rPr>
          <t xml:space="preserve">
Scheduled outage assumed.</t>
        </r>
      </text>
    </comment>
    <comment ref="CJ245" authorId="1" shapeId="0" xr:uid="{3C695A82-9D09-46D5-B211-E42E9F685F06}">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6" authorId="0" shapeId="0" xr:uid="{03D3BC16-75D3-426E-AB4D-30ACE56672D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6" authorId="1" shapeId="0" xr:uid="{F9BD7850-25E7-4A4C-A3EB-253F88DDF89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7" authorId="0" shapeId="0" xr:uid="{7913E6CB-98B1-49EC-ACA6-DA480B62FB5C}">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7" authorId="1" shapeId="0" xr:uid="{2B6C6765-7C99-4810-AB70-F9BC9846FD56}">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8" authorId="0" shapeId="0" xr:uid="{7F85E5B4-1A8B-42E9-8F8B-4F6BE4B241AF}">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8" authorId="1" shapeId="0" xr:uid="{7DFED6F2-EC71-4949-8A0E-B9242884D02D}">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49" authorId="0" shapeId="0" xr:uid="{3DAC6F39-21D7-4323-A46E-9189D26389C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49" authorId="1" shapeId="0" xr:uid="{5CCF0A17-2C1D-409F-BDE4-0F220D3A0DF7}">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0" authorId="0" shapeId="0" xr:uid="{E1B1FB87-B504-477E-8687-1DD86779063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0" authorId="1" shapeId="0" xr:uid="{960BE24B-860A-42AC-8F2C-5A6F77CE8F8B}">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1" authorId="0" shapeId="0" xr:uid="{52E1D58D-9894-4976-A55D-774CF8DB577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1" authorId="1" shapeId="0" xr:uid="{9CBFD57B-8ADC-450F-A576-1ECEE28C59B9}">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2" authorId="0" shapeId="0" xr:uid="{BE8043D2-1172-4398-BEF2-3F50C95B2C6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2" authorId="1" shapeId="0" xr:uid="{B99E859C-09BD-4EDA-B9D1-01F6D8C8C4C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3" authorId="0" shapeId="0" xr:uid="{BC60370D-BC95-44A0-8FA2-16C6D26FB1A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3" authorId="1" shapeId="0" xr:uid="{4FCED4BE-5F94-4ACA-9C73-6ED316CCA18F}">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4" authorId="0" shapeId="0" xr:uid="{C00DEDA4-A6E7-4D3A-9944-BD19D42C7BC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4" authorId="1" shapeId="0" xr:uid="{A23389A0-B3E7-4A4E-A2D8-B390E4B85BD2}">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5" authorId="0" shapeId="0" xr:uid="{08646636-6D71-4AC0-BBDE-0D19E83FEBE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5" authorId="1" shapeId="0" xr:uid="{4FAEA45D-439D-4B68-9D77-A31009D44A42}">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6" authorId="0" shapeId="0" xr:uid="{E74A31BC-0509-4F1E-83E0-68E0C0D59E52}">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6" authorId="1" shapeId="0" xr:uid="{316C4455-90F5-4A5A-ACAE-AFE90BB5092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7" authorId="0" shapeId="0" xr:uid="{81503D33-5EC5-40D5-AA52-E6122EB8F3D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7" authorId="1" shapeId="0" xr:uid="{2B69C829-6EF2-4CF8-A0DC-19269E28BEB0}">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8" authorId="0" shapeId="0" xr:uid="{C67DCBD8-21F3-4481-AB5D-CCECB274E4E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8" authorId="1" shapeId="0" xr:uid="{380C6629-09A6-4F0A-9345-F37F372CCE9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59" authorId="0" shapeId="0" xr:uid="{04FB4DB1-F9D7-4B37-86A8-07CAFDFFA82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59" authorId="1" shapeId="0" xr:uid="{8DE26D76-87BF-43B0-B263-E6E5A396FDA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0" authorId="0" shapeId="0" xr:uid="{2EA55871-19E6-4A01-9D70-FDB3A189490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0" authorId="1" shapeId="0" xr:uid="{5CFE3AE5-DA4A-4FBC-8AE9-20252F0FB363}">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1" authorId="0" shapeId="0" xr:uid="{E04F0E5C-DA69-4DE3-9EB0-EA672CF23C3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1" authorId="1" shapeId="0" xr:uid="{19C55E63-9871-4EAE-B0F2-37EC70F2454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2" authorId="0" shapeId="0" xr:uid="{C06EEE94-BC75-46C5-AE99-1CA3C831EC0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2" authorId="1" shapeId="0" xr:uid="{B53F5DF5-CFFE-4B41-96CF-52B1D0088DB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3" authorId="0" shapeId="0" xr:uid="{B1E038DE-C777-45EA-93B8-6CE1CDDBAAEF}">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263" authorId="0" shapeId="0" xr:uid="{00000000-0006-0000-0600-00000D010000}">
      <text>
        <r>
          <rPr>
            <b/>
            <sz val="8"/>
            <color indexed="81"/>
            <rFont val="Tahoma"/>
            <family val="2"/>
          </rPr>
          <t>Craig Kieny:</t>
        </r>
        <r>
          <rPr>
            <sz val="8"/>
            <color indexed="81"/>
            <rFont val="Tahoma"/>
            <family val="2"/>
          </rPr>
          <t xml:space="preserve">
Scheduled outage assumed.</t>
        </r>
      </text>
    </comment>
    <comment ref="CJ263" authorId="1" shapeId="0" xr:uid="{FE8891D3-DA3E-42D9-A363-4BDF28FE465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4" authorId="0" shapeId="0" xr:uid="{70C43227-2C38-4C58-9452-6F3312C8EE8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4" authorId="1" shapeId="0" xr:uid="{1CB04452-E42C-4AA2-B5D3-6AB14A471085}">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5" authorId="0" shapeId="0" xr:uid="{5BABE96C-0C81-43BA-BE3A-9F1EBAF07A41}">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5" authorId="1" shapeId="0" xr:uid="{C245564B-0862-4A26-A906-7DE0F7C91134}">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6" authorId="0" shapeId="0" xr:uid="{33C7BF32-2806-400B-9E26-2262EF0876F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6" authorId="1" shapeId="0" xr:uid="{6378E22F-48FF-45AC-96C3-8065959161AD}">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7" authorId="0" shapeId="0" xr:uid="{CBF1DBB5-474C-4650-934A-9A944BF4B641}">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7" authorId="1" shapeId="0" xr:uid="{1EEDE781-287B-4BDB-AAE0-75385835FA1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8" authorId="0" shapeId="0" xr:uid="{92310788-443B-4A31-A1AC-506041AF87A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8" authorId="1" shapeId="0" xr:uid="{03ADD9D8-F30A-4901-8739-03F5E0BDBDDD}">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69" authorId="0" shapeId="0" xr:uid="{0839F8D1-18C5-470A-8AAC-F944749E92AC}">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69" authorId="1" shapeId="0" xr:uid="{DC1C90F9-5EA8-4A63-9D2F-CEE2AD422107}">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0" authorId="0" shapeId="0" xr:uid="{D2E5084D-D9E7-493B-A0C9-B74572824122}">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0" authorId="1" shapeId="0" xr:uid="{3A2ACE06-AD51-4437-B937-B54530F691B7}">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1" authorId="0" shapeId="0" xr:uid="{922037D5-F06B-4991-8C93-BB6D57ECAA24}">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1" authorId="1" shapeId="0" xr:uid="{30CF256F-7C09-43BC-A5D1-8D1CBABA788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2" authorId="0" shapeId="0" xr:uid="{2C04FDCA-3EDF-4DA0-BBA0-5B5FE4EA6275}">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2" authorId="1" shapeId="0" xr:uid="{E4A35074-231B-4672-9626-F402E139813B}">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3" authorId="0" shapeId="0" xr:uid="{DF0B35ED-19C4-4F5C-96D9-EFCA43FC439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3" authorId="1" shapeId="0" xr:uid="{0A0247D5-6FD8-4487-BFDD-9454D68947B3}">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4" authorId="0" shapeId="0" xr:uid="{D5AB179B-7343-4FB1-ACE4-829FF8645061}">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4" authorId="1" shapeId="0" xr:uid="{BCB5819D-0AB4-44E9-A790-92DBCE40272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5" authorId="0" shapeId="0" xr:uid="{91721A83-B6BD-4A41-997E-707BB40AD97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5" authorId="1" shapeId="0" xr:uid="{8DB294D3-5C33-44E0-B68C-72B64D79B25B}">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6" authorId="0" shapeId="0" xr:uid="{7DEB8F90-99BE-4619-88C5-5100B8EAA13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6" authorId="1" shapeId="0" xr:uid="{A62845EA-4327-4F01-B768-C3D78C0FF0F4}">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7" authorId="0" shapeId="0" xr:uid="{192C3219-82F2-498F-B49A-0A35D7D334C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7" authorId="1" shapeId="0" xr:uid="{79E721D8-6D2C-4AF0-8FAD-3F7D2E9318E0}">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8" authorId="0" shapeId="0" xr:uid="{40DA73AA-8776-4ACF-A155-5CD6EB1ED0DC}">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8" authorId="1" shapeId="0" xr:uid="{9E412325-6770-47D1-B874-C79E9469314A}">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79" authorId="0" shapeId="0" xr:uid="{DE74D2DE-AE19-4B1B-BEBD-06A73B4F3B8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79" authorId="1" shapeId="0" xr:uid="{ED59EC1C-4777-472F-821F-4AE1F44B5DCB}">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0" authorId="0" shapeId="0" xr:uid="{7D0C9A03-F9DD-4308-B956-AB8D7746690E}">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0" authorId="1" shapeId="0" xr:uid="{B3D193AB-9464-4DD6-AAFC-0C4D3A92D179}">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1" authorId="0" shapeId="0" xr:uid="{D04BB955-8F75-4E6B-A52D-FFAFB847370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281" authorId="0" shapeId="0" xr:uid="{00000000-0006-0000-0600-000020010000}">
      <text>
        <r>
          <rPr>
            <b/>
            <sz val="8"/>
            <color indexed="81"/>
            <rFont val="Tahoma"/>
            <family val="2"/>
          </rPr>
          <t>Craig Kieny:</t>
        </r>
        <r>
          <rPr>
            <sz val="8"/>
            <color indexed="81"/>
            <rFont val="Tahoma"/>
            <family val="2"/>
          </rPr>
          <t xml:space="preserve">
Scheduled outage assumed.</t>
        </r>
      </text>
    </comment>
    <comment ref="CJ281" authorId="1" shapeId="0" xr:uid="{BC33CDA6-B78B-4905-9B3D-9E6C11F983C3}">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2" authorId="0" shapeId="0" xr:uid="{D6D598D1-DB28-433F-AAA1-E02D69B4F689}">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2" authorId="1" shapeId="0" xr:uid="{965B13DD-E213-4C57-B98B-2DB61E775A6B}">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3" authorId="0" shapeId="0" xr:uid="{BA62E402-7322-4B53-9631-6FD1D2CC129D}">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3" authorId="1" shapeId="0" xr:uid="{CFE20E05-E0AC-4E91-AA18-540E17B7DE48}">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4" authorId="0" shapeId="0" xr:uid="{50658A20-9289-434E-AB10-F1727475A3C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4" authorId="1" shapeId="0" xr:uid="{0257FCBC-EA9C-4AFD-BDC2-553351C09C6C}">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5" authorId="0" shapeId="0" xr:uid="{A8851B7D-4DA8-42FA-BD2C-791267D8696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5" authorId="1" shapeId="0" xr:uid="{CA9E18C2-D05B-4EE6-B1B0-1BF208841B50}">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6" authorId="0" shapeId="0" xr:uid="{43D2F00F-3E34-4CB4-A382-F05F31610299}">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6" authorId="1" shapeId="0" xr:uid="{055E0335-358C-41FA-B91F-BD60C117535E}">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7" authorId="0" shapeId="0" xr:uid="{18478642-FF08-478E-93CC-C6D7F664199C}">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7" authorId="1" shapeId="0" xr:uid="{E212A7F2-0962-40AA-9E04-05DD90795057}">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8" authorId="0" shapeId="0" xr:uid="{D8C6CFFD-27FB-405B-94D8-A2D7A34CC3D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8" authorId="1" shapeId="0" xr:uid="{81C1BB2F-AD3C-4932-B241-B7B3DB0CAC66}">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89" authorId="0" shapeId="0" xr:uid="{C39DFD9D-C9A8-40A4-AD3B-9021D2C065EE}">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89" authorId="1" shapeId="0" xr:uid="{2F116DD1-E9DD-4D12-9B2B-AFD569562292}">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90" authorId="0" shapeId="0" xr:uid="{F5B186EE-7EEC-4B8B-AE20-4D7A22D0E73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90" authorId="1" shapeId="0" xr:uid="{2E63A5D2-1D7A-4048-94B6-5142C4350296}">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91" authorId="0" shapeId="0" xr:uid="{783FCBBE-49B7-4CDC-B808-49EA72E4FF03}">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91" authorId="1" shapeId="0" xr:uid="{B099B0B4-881C-4B76-8490-7F1208125513}">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92" authorId="0" shapeId="0" xr:uid="{AF5028C8-E26C-409D-AF5E-3FC740EA0342}">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92" authorId="1" shapeId="0" xr:uid="{E1440A41-5361-43BC-AA2D-DAB2E6E84612}">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93" authorId="0" shapeId="0" xr:uid="{460C76D9-4F96-4BF8-8C3F-D963AF974950}">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CJ293" authorId="1" shapeId="0" xr:uid="{DC2C5555-6109-49F7-B87E-F5C169E65520}">
      <text>
        <r>
          <rPr>
            <b/>
            <sz val="9"/>
            <color indexed="81"/>
            <rFont val="Tahoma"/>
            <family val="2"/>
          </rPr>
          <t>Kieny, Craig:</t>
        </r>
        <r>
          <rPr>
            <sz val="9"/>
            <color indexed="81"/>
            <rFont val="Tahoma"/>
            <family val="2"/>
          </rPr>
          <t xml:space="preserve">
Starting 1/2026 VEC began purchasing 10 MW at Fixed Price for Energy + RECs and 10 MW of Energy at 5% Discount to LMP.</t>
        </r>
      </text>
    </comment>
    <comment ref="BP294" authorId="0" shapeId="0" xr:uid="{008A9EF8-79DB-4755-83E5-25AD2651A1BE}">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295" authorId="0" shapeId="0" xr:uid="{127A7187-4E4B-4605-B433-7BD78C6EA22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296" authorId="0" shapeId="0" xr:uid="{BBF61E9A-D452-44FD-889C-F67EAC011896}">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297" authorId="0" shapeId="0" xr:uid="{D60DD04E-0B8D-4305-9B3D-B856CB67F27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298" authorId="0" shapeId="0" xr:uid="{DB3380D0-4403-4828-AAC9-955B8A71D18A}">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299" authorId="0" shapeId="0" xr:uid="{361B258D-36C1-4271-83F3-D451413A014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299" authorId="0" shapeId="0" xr:uid="{00000000-0006-0000-0600-000033010000}">
      <text>
        <r>
          <rPr>
            <b/>
            <sz val="8"/>
            <color indexed="81"/>
            <rFont val="Tahoma"/>
            <family val="2"/>
          </rPr>
          <t>Craig Kieny:</t>
        </r>
        <r>
          <rPr>
            <sz val="8"/>
            <color indexed="81"/>
            <rFont val="Tahoma"/>
            <family val="2"/>
          </rPr>
          <t xml:space="preserve">
Scheduled outage assumed.</t>
        </r>
      </text>
    </comment>
    <comment ref="BP300" authorId="0" shapeId="0" xr:uid="{652848FE-D57E-47E6-83C0-DE6E575978B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1" authorId="0" shapeId="0" xr:uid="{EADD50F1-C1A2-4840-B830-1A1135ECD978}">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2" authorId="0" shapeId="0" xr:uid="{6618D642-2DB5-40FC-A4A3-B74CACB6E04D}">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3" authorId="0" shapeId="0" xr:uid="{E573CF1E-A9AA-457E-9974-C5733AD02C3B}">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4" authorId="0" shapeId="0" xr:uid="{7A0EF271-DF87-48D9-AF94-E62AF17F4039}">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5" authorId="0" shapeId="0" xr:uid="{93A16345-AFAF-4FF4-B982-E8D9CCE66ECD}">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6" authorId="0" shapeId="0" xr:uid="{08B39C71-7A95-4D26-A55B-B7E73B0578A7}">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P307" authorId="0" shapeId="0" xr:uid="{AF118D8E-F1E6-4331-911C-BE0CC399F5E1}">
      <text>
        <r>
          <rPr>
            <b/>
            <sz val="9"/>
            <color indexed="81"/>
            <rFont val="Tahoma"/>
            <family val="2"/>
          </rPr>
          <t>Craig Kieny:</t>
        </r>
        <r>
          <rPr>
            <sz val="9"/>
            <color indexed="81"/>
            <rFont val="Tahoma"/>
            <family val="2"/>
          </rPr>
          <t xml:space="preserve">
WEC called back 2 MW of the contract beginning in June 2023.  Unless agreed to by both parties, this will not come back to VEC.</t>
        </r>
      </text>
    </comment>
    <comment ref="BZ317" authorId="0" shapeId="0" xr:uid="{00000000-0006-0000-0600-000046010000}">
      <text>
        <r>
          <rPr>
            <b/>
            <sz val="8"/>
            <color indexed="81"/>
            <rFont val="Tahoma"/>
            <family val="2"/>
          </rPr>
          <t>Craig Kieny:</t>
        </r>
        <r>
          <rPr>
            <sz val="8"/>
            <color indexed="81"/>
            <rFont val="Tahoma"/>
            <family val="2"/>
          </rPr>
          <t xml:space="preserve">
Scheduled outage assumed.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Craig Kieny</author>
  </authors>
  <commentList>
    <comment ref="BV7" authorId="0" shapeId="0" xr:uid="{00000000-0006-0000-0700-000001000000}">
      <text>
        <r>
          <rPr>
            <b/>
            <sz val="10"/>
            <color indexed="81"/>
            <rFont val="Tahoma"/>
            <family val="2"/>
          </rPr>
          <t xml:space="preserve"> Craig Kieny:</t>
        </r>
        <r>
          <rPr>
            <sz val="10"/>
            <color indexed="81"/>
            <rFont val="Tahoma"/>
            <family val="2"/>
          </rPr>
          <t xml:space="preserve">
Not counted as pending resource because it is not a hedging tool.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Craig Kieny</author>
  </authors>
  <commentList>
    <comment ref="AP5" authorId="0" shapeId="0" xr:uid="{00000000-0006-0000-0E00-000001000000}">
      <text>
        <r>
          <rPr>
            <b/>
            <sz val="9"/>
            <color indexed="81"/>
            <rFont val="Tahoma"/>
            <family val="2"/>
          </rPr>
          <t>Craig Kieny:</t>
        </r>
        <r>
          <rPr>
            <sz val="9"/>
            <color indexed="81"/>
            <rFont val="Tahoma"/>
            <family val="2"/>
          </rPr>
          <t xml:space="preserve">
Assume sale of Solar RECs + Hydro RECs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Craig Kieny</author>
    <author>Kieny, Craig</author>
  </authors>
  <commentList>
    <comment ref="AA8" authorId="0" shapeId="0" xr:uid="{00000000-0006-0000-1400-000001000000}">
      <text>
        <r>
          <rPr>
            <b/>
            <sz val="9"/>
            <color indexed="81"/>
            <rFont val="Tahoma"/>
            <family val="2"/>
          </rPr>
          <t>Craig Kieny:</t>
        </r>
        <r>
          <rPr>
            <sz val="9"/>
            <color indexed="81"/>
            <rFont val="Tahoma"/>
            <family val="2"/>
          </rPr>
          <t xml:space="preserve">
Actual NM RECs from January 2018 - October 2018.</t>
        </r>
      </text>
    </comment>
    <comment ref="AA9" authorId="1" shapeId="0" xr:uid="{00000000-0006-0000-1400-000002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9" authorId="1" shapeId="0" xr:uid="{174B0825-B7EC-4F1F-8719-711F1E1BBC4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10" authorId="1" shapeId="0" xr:uid="{00000000-0006-0000-1400-000003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0" authorId="1" shapeId="0" xr:uid="{B64C373B-3E85-4D4C-B0C6-0D8FE160CFFB}">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11" authorId="1" shapeId="0" xr:uid="{00000000-0006-0000-1400-000004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1" authorId="1" shapeId="0" xr:uid="{8788E0E9-8B49-41CE-A2B2-21E0D3CF0073}">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12" authorId="1" shapeId="0" xr:uid="{00000000-0006-0000-1400-000005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2" authorId="1" shapeId="0" xr:uid="{50276D45-BDAC-4A28-B397-F55BE429FDE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13" authorId="1" shapeId="0" xr:uid="{00000000-0006-0000-1400-000006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3" authorId="1" shapeId="0" xr:uid="{68191D12-FA20-42DE-B4A7-C2E7F632B47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14" authorId="1" shapeId="0" xr:uid="{00000000-0006-0000-1400-000007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4" authorId="1" shapeId="0" xr:uid="{17264398-48D5-414A-8993-D3D2FA6CFFB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15" authorId="1" shapeId="0" xr:uid="{22126122-724E-4BD8-8644-3B2AEF47EEF6}">
      <text>
        <r>
          <rPr>
            <b/>
            <sz val="9"/>
            <color indexed="81"/>
            <rFont val="Tahoma"/>
            <family val="2"/>
          </rPr>
          <t>Kieny, Craig:</t>
        </r>
        <r>
          <rPr>
            <sz val="9"/>
            <color indexed="81"/>
            <rFont val="Tahoma"/>
            <family val="2"/>
          </rPr>
          <t xml:space="preserve">
See VT Statute 30, Section 8005(a)(2).C.(ii)</t>
        </r>
      </text>
    </comment>
    <comment ref="AA15" authorId="1" shapeId="0" xr:uid="{00000000-0006-0000-1400-000008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5" authorId="1" shapeId="0" xr:uid="{E143043D-39C4-40CF-8527-B711FFFA9C23}">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16" authorId="1" shapeId="0" xr:uid="{DB85DDA9-A520-45DA-9EE8-B25C674B5E37}">
      <text>
        <r>
          <rPr>
            <b/>
            <sz val="9"/>
            <color indexed="81"/>
            <rFont val="Tahoma"/>
            <family val="2"/>
          </rPr>
          <t>Kieny, Craig:</t>
        </r>
        <r>
          <rPr>
            <sz val="9"/>
            <color indexed="81"/>
            <rFont val="Tahoma"/>
            <family val="2"/>
          </rPr>
          <t xml:space="preserve">
See VT Statute 30, Section 8005(a)(2).C.(ii)</t>
        </r>
      </text>
    </comment>
    <comment ref="AA16" authorId="1" shapeId="0" xr:uid="{00000000-0006-0000-1400-000009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6" authorId="1" shapeId="0" xr:uid="{760F095D-98C4-4110-BA12-72368D0BC58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17" authorId="1" shapeId="0" xr:uid="{28891E74-D28B-48CB-937F-102138A66065}">
      <text>
        <r>
          <rPr>
            <b/>
            <sz val="9"/>
            <color indexed="81"/>
            <rFont val="Tahoma"/>
            <family val="2"/>
          </rPr>
          <t>Kieny, Craig:</t>
        </r>
        <r>
          <rPr>
            <sz val="9"/>
            <color indexed="81"/>
            <rFont val="Tahoma"/>
            <family val="2"/>
          </rPr>
          <t xml:space="preserve">
See VT Statute 30, Section 8005(a)(2).C.(ii)</t>
        </r>
      </text>
    </comment>
    <comment ref="AA17" authorId="1" shapeId="0" xr:uid="{00000000-0006-0000-1400-00000A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7" authorId="1" shapeId="0" xr:uid="{BA5964D3-8307-4865-8DB4-04EB02919D9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18" authorId="1" shapeId="0" xr:uid="{BC00C68B-5B7B-4783-A460-A39B74F96632}">
      <text>
        <r>
          <rPr>
            <b/>
            <sz val="9"/>
            <color indexed="81"/>
            <rFont val="Tahoma"/>
            <family val="2"/>
          </rPr>
          <t>Kieny, Craig:</t>
        </r>
        <r>
          <rPr>
            <sz val="9"/>
            <color indexed="81"/>
            <rFont val="Tahoma"/>
            <family val="2"/>
          </rPr>
          <t xml:space="preserve">
See VT Statute 30, Section 8005(a)(2).C.(ii)</t>
        </r>
      </text>
    </comment>
    <comment ref="AA18" authorId="1" shapeId="0" xr:uid="{00000000-0006-0000-1400-00000B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8" authorId="1" shapeId="0" xr:uid="{53F7909A-666E-4468-893B-5DBDA704B24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19" authorId="1" shapeId="0" xr:uid="{5E5E6CAF-33D1-4BF8-8E87-839A8C49A3C4}">
      <text>
        <r>
          <rPr>
            <b/>
            <sz val="9"/>
            <color indexed="81"/>
            <rFont val="Tahoma"/>
            <family val="2"/>
          </rPr>
          <t>Kieny, Craig:</t>
        </r>
        <r>
          <rPr>
            <sz val="9"/>
            <color indexed="81"/>
            <rFont val="Tahoma"/>
            <family val="2"/>
          </rPr>
          <t xml:space="preserve">
See VT Statute 30, Section 8005(a)(2).C.(ii)</t>
        </r>
      </text>
    </comment>
    <comment ref="AA19" authorId="1" shapeId="0" xr:uid="{00000000-0006-0000-1400-00000C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19" authorId="1" shapeId="0" xr:uid="{CB96341F-4C38-4DD0-BE2A-960D5E994D1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20" authorId="1" shapeId="0" xr:uid="{6B244DBE-4BC2-4E55-9197-59FE49A43085}">
      <text>
        <r>
          <rPr>
            <b/>
            <sz val="9"/>
            <color indexed="81"/>
            <rFont val="Tahoma"/>
            <family val="2"/>
          </rPr>
          <t>Kieny, Craig:</t>
        </r>
        <r>
          <rPr>
            <sz val="9"/>
            <color indexed="81"/>
            <rFont val="Tahoma"/>
            <family val="2"/>
          </rPr>
          <t xml:space="preserve">
See VT Statute 30, Section 8005(a)(2).C.(ii)</t>
        </r>
      </text>
    </comment>
    <comment ref="AA20" authorId="1" shapeId="0" xr:uid="{00000000-0006-0000-1400-00000D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0" authorId="1" shapeId="0" xr:uid="{CA0C94BC-B53B-4633-8D1B-003EEE8F70A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21" authorId="1" shapeId="0" xr:uid="{5F1604AE-9E20-4167-8E13-3BE0357D8310}">
      <text>
        <r>
          <rPr>
            <b/>
            <sz val="9"/>
            <color indexed="81"/>
            <rFont val="Tahoma"/>
            <family val="2"/>
          </rPr>
          <t>Kieny, Craig:</t>
        </r>
        <r>
          <rPr>
            <sz val="9"/>
            <color indexed="81"/>
            <rFont val="Tahoma"/>
            <family val="2"/>
          </rPr>
          <t xml:space="preserve">
See VT Statute 30, Section 8005(a)(2).C.(ii)</t>
        </r>
      </text>
    </comment>
    <comment ref="AA21" authorId="1" shapeId="0" xr:uid="{00000000-0006-0000-1400-00000E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1" authorId="1" shapeId="0" xr:uid="{0120038F-51D8-408E-9335-655162FCA6F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22" authorId="1" shapeId="0" xr:uid="{B78056A8-09B9-4F36-9DD1-96A0893B3C20}">
      <text>
        <r>
          <rPr>
            <b/>
            <sz val="9"/>
            <color indexed="81"/>
            <rFont val="Tahoma"/>
            <family val="2"/>
          </rPr>
          <t>Kieny, Craig:</t>
        </r>
        <r>
          <rPr>
            <sz val="9"/>
            <color indexed="81"/>
            <rFont val="Tahoma"/>
            <family val="2"/>
          </rPr>
          <t xml:space="preserve">
See VT Statute 30, Section 8005(a)(2).C.(ii)</t>
        </r>
      </text>
    </comment>
    <comment ref="AA22" authorId="1" shapeId="0" xr:uid="{00000000-0006-0000-1400-00000F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2" authorId="1" shapeId="0" xr:uid="{7919E5A4-ED96-423E-8588-E0E9256161D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3" authorId="1" shapeId="0" xr:uid="{00000000-0006-0000-1400-000010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3" authorId="1" shapeId="0" xr:uid="{543162CB-B031-4EAE-BDE2-10850CC6B96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4" authorId="1" shapeId="0" xr:uid="{00000000-0006-0000-1400-000011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4" authorId="1" shapeId="0" xr:uid="{5F908859-3953-4665-AE10-407E5EDC1D7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5" authorId="1" shapeId="0" xr:uid="{00000000-0006-0000-1400-000012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5" authorId="1" shapeId="0" xr:uid="{6096309A-838A-4A3E-82F3-82D219A663E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6" authorId="1" shapeId="0" xr:uid="{00000000-0006-0000-1400-000013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6" authorId="1" shapeId="0" xr:uid="{D4BDA984-80E4-4008-B387-5F7BF66605F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7" authorId="1" shapeId="0" xr:uid="{00000000-0006-0000-1400-000014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7" authorId="1" shapeId="0" xr:uid="{71F67AD2-C8BF-4274-8191-36DD5A5ABD2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8" authorId="1" shapeId="0" xr:uid="{00000000-0006-0000-1400-0000150000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8" authorId="1" shapeId="0" xr:uid="{CCE54B1A-7C8C-4E54-A802-0F3A1D8C2B1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29" authorId="1" shapeId="0" xr:uid="{8B6B91B2-8C6F-494C-B8CD-24DEE14E676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29" authorId="1" shapeId="0" xr:uid="{1EEB7CC8-D749-4DD0-B5EA-0EC7F4771BA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0" authorId="1" shapeId="0" xr:uid="{C5A862FE-8C7B-4CDD-86D8-261AA06A287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0" authorId="1" shapeId="0" xr:uid="{60B7F229-F231-4BE1-B870-95674981F46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1" authorId="1" shapeId="0" xr:uid="{659C985A-EFE4-46CD-A5FD-87A9597344D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1" authorId="1" shapeId="0" xr:uid="{44762660-10B4-45E2-9D0D-EA62268287D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2" authorId="1" shapeId="0" xr:uid="{3B2C135C-25CA-4DC7-832C-E7CEA3A699F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2" authorId="1" shapeId="0" xr:uid="{CEC2EA86-A984-4DF8-B30C-40280FB9B6B6}">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3" authorId="1" shapeId="0" xr:uid="{260EFB86-7E50-4092-BEE7-07C3DC179A6B}">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3" authorId="1" shapeId="0" xr:uid="{04E213A7-A0BE-4F43-A9F8-10126404ED8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4" authorId="1" shapeId="0" xr:uid="{2509241A-C6A0-4895-978A-8FF9137A6B9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4" authorId="1" shapeId="0" xr:uid="{38DE8DAE-48B3-46AE-8231-79DD6A72141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5" authorId="1" shapeId="0" xr:uid="{E8BD21B9-53E1-4225-A345-539C62CFE08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5" authorId="1" shapeId="0" xr:uid="{6B06B9FF-45A6-4865-B0BE-546091EE7B23}">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6" authorId="1" shapeId="0" xr:uid="{4C2B02DA-A3FC-4025-B0B7-5F3DC520C84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6" authorId="1" shapeId="0" xr:uid="{200143C7-304C-49A8-9051-9781CB8B4A4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7" authorId="1" shapeId="0" xr:uid="{ED07AA2A-D149-405F-A764-C4B4DD979EF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7" authorId="1" shapeId="0" xr:uid="{0CF6A2F3-73F4-4DD1-A2D3-0C4B8B626ED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8" authorId="1" shapeId="0" xr:uid="{F4AD0138-5A1A-410F-8718-726EFC0AAEF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8" authorId="1" shapeId="0" xr:uid="{9BDF3146-00DB-4CA3-A58A-811956C8C33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39" authorId="1" shapeId="0" xr:uid="{DB5D0FD1-BEC1-452D-984F-499876ADD12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39" authorId="1" shapeId="0" xr:uid="{EA1B40F8-643E-42DD-BFC1-CACD5FC0690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A40" authorId="1" shapeId="0" xr:uid="{5B7C0C14-5133-48B5-8AF6-17102D5B0E7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AB40" authorId="1" shapeId="0" xr:uid="{57CC9F93-0BF9-45EF-901B-B335E5ECAAA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Craig Kieny</author>
  </authors>
  <commentList>
    <comment ref="A2" authorId="0" shapeId="0" xr:uid="{00000000-0006-0000-1600-000001000000}">
      <text>
        <r>
          <rPr>
            <b/>
            <sz val="9"/>
            <color indexed="81"/>
            <rFont val="Tahoma"/>
            <family val="2"/>
          </rPr>
          <t>Craig Kieny:</t>
        </r>
        <r>
          <rPr>
            <sz val="9"/>
            <color indexed="81"/>
            <rFont val="Tahoma"/>
            <family val="2"/>
          </rPr>
          <t xml:space="preserve">
Assumption used in 2019 Budget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Craig Kieny</author>
    <author>Kieny, Craig</author>
  </authors>
  <commentList>
    <comment ref="X8" authorId="0" shapeId="0" xr:uid="{45761C99-4274-43F2-99ED-F7DBE3890765}">
      <text>
        <r>
          <rPr>
            <b/>
            <sz val="9"/>
            <color indexed="81"/>
            <rFont val="Tahoma"/>
            <family val="2"/>
          </rPr>
          <t>Craig Kieny:</t>
        </r>
        <r>
          <rPr>
            <sz val="9"/>
            <color indexed="81"/>
            <rFont val="Tahoma"/>
            <family val="2"/>
          </rPr>
          <t xml:space="preserve">
Actual NM RECs from January 2018 - October 2018.</t>
        </r>
      </text>
    </comment>
    <comment ref="X9" authorId="1" shapeId="0" xr:uid="{B0E5920B-51A4-4B77-8C44-BB00AA62523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9" authorId="1" shapeId="0" xr:uid="{4B484E36-2804-4165-9DCA-58DE1DACBF5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0" authorId="1" shapeId="0" xr:uid="{5F07295C-FE52-4F91-A0B5-2963B9218E9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0" authorId="1" shapeId="0" xr:uid="{D96C7262-0368-4C7C-A24F-75D02DF0701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1" authorId="1" shapeId="0" xr:uid="{D9239360-FC7C-4145-AC6B-029FEBB8BC0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1" authorId="1" shapeId="0" xr:uid="{920BCEB1-BD26-444A-ABC5-C75F9D43A80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2" authorId="1" shapeId="0" xr:uid="{1EAA3F6B-845C-4EE3-B605-2D158B4DB36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2" authorId="1" shapeId="0" xr:uid="{904AFEB1-74C5-4222-A94F-2E1779F456B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3" authorId="1" shapeId="0" xr:uid="{4F35C25F-C876-491D-BC56-5DC20681E4D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3" authorId="1" shapeId="0" xr:uid="{5ED20976-D67B-44F7-BDA2-2A41FFF12DC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4" authorId="1" shapeId="0" xr:uid="{E50177A9-DFBA-46CE-8D95-FB0BF2CD579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4" authorId="1" shapeId="0" xr:uid="{13E97E35-ECB2-428B-AA99-1D21F6D4FB6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5" authorId="1" shapeId="0" xr:uid="{BDDDDD3B-8E13-41E8-95BF-A0C11C9BA23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5" authorId="1" shapeId="0" xr:uid="{4C777D46-B73E-4C4B-8A64-20FCDBBCAF4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6" authorId="1" shapeId="0" xr:uid="{F5FA84B3-F9CF-4F3D-A944-E07771C4B61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6" authorId="1" shapeId="0" xr:uid="{E8824DF8-EECD-4AD2-A872-90AF4E43F05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7" authorId="1" shapeId="0" xr:uid="{F9093038-378A-412B-AEBC-4B6F0F6B0DA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7" authorId="1" shapeId="0" xr:uid="{0B1941B2-00B6-4957-898E-31D825C15EC2}">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8" authorId="1" shapeId="0" xr:uid="{CF77243C-CDD9-4046-A6E6-78C0091A1F4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8" authorId="1" shapeId="0" xr:uid="{836DF5A4-C4B0-4CCB-98DD-E75FC7B4E06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19" authorId="1" shapeId="0" xr:uid="{A9EF2DD9-3991-4A7F-8C9D-795ED2890C9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19" authorId="1" shapeId="0" xr:uid="{939F4E13-564D-4F31-BCEF-502B8DE5A45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0" authorId="1" shapeId="0" xr:uid="{E5ED5FCB-A006-440B-B549-CA8C6CA77F4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0" authorId="1" shapeId="0" xr:uid="{0332B8C4-1153-4677-B133-DAC0B84F894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1" authorId="1" shapeId="0" xr:uid="{EA119E95-14A7-437D-B1EB-2C2FF817DFB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1" authorId="1" shapeId="0" xr:uid="{FA22FBD3-92FA-4311-A71C-ECA22EA241C3}">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2" authorId="1" shapeId="0" xr:uid="{8AF9EB6E-4FDE-41FF-900E-7190E2072CE3}">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2" authorId="1" shapeId="0" xr:uid="{37B66F11-E490-4B37-836B-A32833511DA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3" authorId="1" shapeId="0" xr:uid="{3285034E-D159-46E7-B241-9504B13A0F7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3" authorId="1" shapeId="0" xr:uid="{EF39D6A1-E9A7-42BC-B2B5-A550066B4F8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4" authorId="1" shapeId="0" xr:uid="{DB3E93CD-D0D5-431A-80A2-CE2C30FF6F5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4" authorId="1" shapeId="0" xr:uid="{F15AA57F-0A77-4980-B337-577445CF4C1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5" authorId="1" shapeId="0" xr:uid="{C0470826-F0F7-43FE-8D1E-08490681801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5" authorId="1" shapeId="0" xr:uid="{7298CA40-A990-42D1-AB2E-8C535802E456}">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6" authorId="1" shapeId="0" xr:uid="{66942822-CFA6-4065-BD62-50B2F465D57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6" authorId="1" shapeId="0" xr:uid="{457474D4-4EC2-4CCA-AC19-E0508D9F1EA7}">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7" authorId="1" shapeId="0" xr:uid="{2F4D0757-6E7B-40CE-945D-46BC54CEDB99}">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7" authorId="1" shapeId="0" xr:uid="{54C1525B-4D76-42AC-9779-DE0E319685D6}">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8" authorId="1" shapeId="0" xr:uid="{7F5D85F7-94E6-4629-BA21-C4CCB3E5012B}">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8" authorId="1" shapeId="0" xr:uid="{4B0EF669-5064-485E-8FD0-F7A605E236F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29" authorId="1" shapeId="0" xr:uid="{F76B74C6-9C4C-4852-B04A-D7F6B9F17B6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29" authorId="1" shapeId="0" xr:uid="{6E103ED2-C017-42F8-82C0-95CA8F0E6B4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0" authorId="1" shapeId="0" xr:uid="{297C10F9-9D18-4173-B233-C4D4724840EF}">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0" authorId="1" shapeId="0" xr:uid="{18CF2132-8003-4AA3-9E66-4490AAB0FBC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1" authorId="1" shapeId="0" xr:uid="{ADF23942-787F-486D-A67D-0CB5E5B7097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1" authorId="1" shapeId="0" xr:uid="{17BE92D2-8778-410A-A5DE-F0BA03E558D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2" authorId="1" shapeId="0" xr:uid="{0A388368-0634-493E-A700-B82501C11D4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2" authorId="1" shapeId="0" xr:uid="{66B23649-AC9A-44E7-B8E0-693C00C0C97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3" authorId="1" shapeId="0" xr:uid="{AF0A9009-4E83-4814-B3E6-C66756973A00}">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3" authorId="1" shapeId="0" xr:uid="{3C56EE09-90AD-4811-A1EA-A3AA9E7DD861}">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4" authorId="1" shapeId="0" xr:uid="{50E85D90-0293-49BD-A9B3-F211803FB484}">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4" authorId="1" shapeId="0" xr:uid="{11EA1206-2E77-4D8B-AB19-57AF5F022B6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5" authorId="1" shapeId="0" xr:uid="{57A78BC6-2B96-4F7A-B67A-159AF904DAB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5" authorId="1" shapeId="0" xr:uid="{D553AEB5-AD33-4176-A3CC-651A46D238D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6" authorId="1" shapeId="0" xr:uid="{F32BB8DA-1B0E-46C9-A2F5-B52B4FBB9DEA}">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6" authorId="1" shapeId="0" xr:uid="{25ABC263-9885-42F7-8251-EFE35017E58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7" authorId="1" shapeId="0" xr:uid="{6EA80881-7AFC-4641-9510-F0E4A672704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7" authorId="1" shapeId="0" xr:uid="{2C9E064A-10CD-4B77-BE1B-0C8653BD106E}">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8" authorId="1" shapeId="0" xr:uid="{59C89A0E-D172-4F79-93C9-F122CACCD86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8" authorId="1" shapeId="0" xr:uid="{6316BCEB-4C63-40A0-9F0E-9BEBE3B74FF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39" authorId="1" shapeId="0" xr:uid="{A21A2911-2463-47F1-9F52-79C732A5EE48}">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39" authorId="1" shapeId="0" xr:uid="{F884B87B-A2FE-462D-A815-CFF6004262FD}">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X40" authorId="1" shapeId="0" xr:uid="{17720C33-2AD4-454D-9D46-FF46DE6B6F8C}">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 ref="Y40" authorId="1" shapeId="0" xr:uid="{D4BEC010-03C9-4025-B3CC-5B1B9131BF15}">
      <text>
        <r>
          <rPr>
            <b/>
            <sz val="9"/>
            <color indexed="81"/>
            <rFont val="Tahoma"/>
            <family val="2"/>
          </rPr>
          <t>Kieny, Craig:</t>
        </r>
        <r>
          <rPr>
            <sz val="9"/>
            <color indexed="81"/>
            <rFont val="Tahoma"/>
            <family val="2"/>
          </rPr>
          <t xml:space="preserve">
Need to divide by (1+Line Losses) because we get RECs for actual generation and this equation is working off the credit we get in ISO-NE settlement, which has been stepped up in the Net Metering spreadsheet by the line losses to simulate impact to PTF.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Williams, Tucker</author>
    <author>Kieny, Craig</author>
    <author>Potter, Daniel</author>
  </authors>
  <commentList>
    <comment ref="Q4" authorId="0" shapeId="0" xr:uid="{00000000-0006-0000-1800-000001000000}">
      <text>
        <r>
          <rPr>
            <b/>
            <sz val="9"/>
            <color indexed="81"/>
            <rFont val="Tahoma"/>
            <family val="2"/>
          </rPr>
          <t>Williams, Tucker:</t>
        </r>
        <r>
          <rPr>
            <sz val="9"/>
            <color indexed="81"/>
            <rFont val="Tahoma"/>
            <family val="2"/>
          </rPr>
          <t xml:space="preserve">
Premium above RT LMP needed? Premium defined above.</t>
        </r>
      </text>
    </comment>
    <comment ref="R4" authorId="0" shapeId="0" xr:uid="{00000000-0006-0000-1800-000002000000}">
      <text>
        <r>
          <rPr>
            <b/>
            <sz val="9"/>
            <color indexed="81"/>
            <rFont val="Tahoma"/>
            <family val="2"/>
          </rPr>
          <t>Williams, Tucker:</t>
        </r>
        <r>
          <rPr>
            <sz val="9"/>
            <color indexed="81"/>
            <rFont val="Tahoma"/>
            <family val="2"/>
          </rPr>
          <t xml:space="preserve">
Price that VEC will get compensated at in the ISO-NE market for energy settled at Seabrook Node  </t>
        </r>
      </text>
    </comment>
    <comment ref="T4" authorId="0" shapeId="0" xr:uid="{00000000-0006-0000-1800-000003000000}">
      <text>
        <r>
          <rPr>
            <b/>
            <sz val="9"/>
            <color indexed="81"/>
            <rFont val="Tahoma"/>
            <family val="2"/>
          </rPr>
          <t>Williams, Tucker:</t>
        </r>
        <r>
          <rPr>
            <sz val="9"/>
            <color indexed="81"/>
            <rFont val="Tahoma"/>
            <family val="2"/>
          </rPr>
          <t xml:space="preserve">
Premium above RT LMP needed? Premium defined above.</t>
        </r>
      </text>
    </comment>
    <comment ref="U4" authorId="0" shapeId="0" xr:uid="{00000000-0006-0000-1800-000004000000}">
      <text>
        <r>
          <rPr>
            <b/>
            <sz val="9"/>
            <color indexed="81"/>
            <rFont val="Tahoma"/>
            <family val="2"/>
          </rPr>
          <t>Williams, Tucker:</t>
        </r>
        <r>
          <rPr>
            <sz val="9"/>
            <color indexed="81"/>
            <rFont val="Tahoma"/>
            <family val="2"/>
          </rPr>
          <t xml:space="preserve">
Price that VEC will get compensated at in the ISO-NE market for the Hydro Energy purchased at Vernon.</t>
        </r>
      </text>
    </comment>
    <comment ref="V4" authorId="0" shapeId="0" xr:uid="{00000000-0006-0000-1800-000008000000}">
      <text>
        <r>
          <rPr>
            <b/>
            <sz val="9"/>
            <color indexed="81"/>
            <rFont val="Tahoma"/>
            <family val="2"/>
          </rPr>
          <t>Williams, Tucker:</t>
        </r>
        <r>
          <rPr>
            <sz val="9"/>
            <color indexed="81"/>
            <rFont val="Tahoma"/>
            <family val="2"/>
          </rPr>
          <t xml:space="preserve">
Price of Low Value VT Tier RECs purchased to replace the High Value RECs that are sold.</t>
        </r>
      </text>
    </comment>
    <comment ref="W4" authorId="0" shapeId="0" xr:uid="{00000000-0006-0000-1800-000005000000}">
      <text>
        <r>
          <rPr>
            <b/>
            <sz val="9"/>
            <color indexed="81"/>
            <rFont val="Tahoma"/>
            <family val="2"/>
          </rPr>
          <t>Williams, Tucker:</t>
        </r>
        <r>
          <rPr>
            <sz val="9"/>
            <color indexed="81"/>
            <rFont val="Tahoma"/>
            <family val="2"/>
          </rPr>
          <t xml:space="preserve">
Energy + REC Price starting in 2024, inflated at annual rate defined in cell T3</t>
        </r>
      </text>
    </comment>
    <comment ref="X4" authorId="0" shapeId="0" xr:uid="{00000000-0006-0000-1800-000006000000}">
      <text>
        <r>
          <rPr>
            <b/>
            <sz val="9"/>
            <color indexed="81"/>
            <rFont val="Tahoma"/>
            <family val="2"/>
          </rPr>
          <t>Williams, Tucker:</t>
        </r>
        <r>
          <rPr>
            <sz val="9"/>
            <color indexed="81"/>
            <rFont val="Tahoma"/>
            <family val="2"/>
          </rPr>
          <t xml:space="preserve">
Price that VEC will get compensated at in the ISO-NE market for the offshore wind energy purchased.  </t>
        </r>
      </text>
    </comment>
    <comment ref="Y4" authorId="0" shapeId="0" xr:uid="{00000000-0006-0000-1800-000007000000}">
      <text>
        <r>
          <rPr>
            <b/>
            <sz val="9"/>
            <color indexed="81"/>
            <rFont val="Tahoma"/>
            <family val="2"/>
          </rPr>
          <t>Williams, Tucker:</t>
        </r>
        <r>
          <rPr>
            <sz val="9"/>
            <color indexed="81"/>
            <rFont val="Tahoma"/>
            <family val="2"/>
          </rPr>
          <t xml:space="preserve">
Market value of high value RECs from Offshore Wind that VEC would sell and replace with low value Tier I RECs</t>
        </r>
      </text>
    </comment>
    <comment ref="AA4" authorId="1" shapeId="0" xr:uid="{D4DDEDA7-4597-4266-87B8-646C2BE7825B}">
      <text>
        <r>
          <rPr>
            <b/>
            <sz val="9"/>
            <color indexed="81"/>
            <rFont val="Tahoma"/>
            <family val="2"/>
          </rPr>
          <t>Kieny, Craig:</t>
        </r>
        <r>
          <rPr>
            <sz val="9"/>
            <color indexed="81"/>
            <rFont val="Tahoma"/>
            <family val="2"/>
          </rPr>
          <t xml:space="preserve">
LMP Value of VT Load Zone.</t>
        </r>
      </text>
    </comment>
    <comment ref="AY4" authorId="0" shapeId="0" xr:uid="{00000000-0006-0000-1800-000009000000}">
      <text>
        <r>
          <rPr>
            <b/>
            <sz val="9"/>
            <color indexed="81"/>
            <rFont val="Tahoma"/>
            <family val="2"/>
          </rPr>
          <t>Williams, Tucker:</t>
        </r>
        <r>
          <rPr>
            <sz val="9"/>
            <color indexed="81"/>
            <rFont val="Tahoma"/>
            <family val="2"/>
          </rPr>
          <t xml:space="preserve">
Output from "VEC Tier III Forecast - 2019-03-19" file with currently budgeted carbon free percentages.</t>
        </r>
      </text>
    </comment>
    <comment ref="AZ4" authorId="0" shapeId="0" xr:uid="{00000000-0006-0000-1800-00000A000000}">
      <text>
        <r>
          <rPr>
            <b/>
            <sz val="9"/>
            <color indexed="81"/>
            <rFont val="Tahoma"/>
            <family val="2"/>
          </rPr>
          <t>Williams, Tucker:</t>
        </r>
        <r>
          <rPr>
            <sz val="9"/>
            <color indexed="81"/>
            <rFont val="Tahoma"/>
            <family val="2"/>
          </rPr>
          <t xml:space="preserve">
Output from "VEC Tier III Forecast - 2019-03-19" file with100% Carbon Free percentages each year.</t>
        </r>
      </text>
    </comment>
    <comment ref="BB4" authorId="1" shapeId="0" xr:uid="{37768663-FC3B-4DB3-8745-9DBB35075654}">
      <text>
        <r>
          <rPr>
            <b/>
            <sz val="9"/>
            <color indexed="81"/>
            <rFont val="Tahoma"/>
            <family val="2"/>
          </rPr>
          <t>Kieny, Craig:</t>
        </r>
        <r>
          <rPr>
            <sz val="9"/>
            <color indexed="81"/>
            <rFont val="Tahoma"/>
            <family val="2"/>
          </rPr>
          <t xml:space="preserve">
This should be our average cost to deliver Tier III Measures
.</t>
        </r>
      </text>
    </comment>
    <comment ref="R10" authorId="2" shapeId="0" xr:uid="{8AEEBA10-BAD7-4384-A365-DE4D93960258}">
      <text>
        <r>
          <rPr>
            <b/>
            <sz val="9"/>
            <color indexed="81"/>
            <rFont val="Tahoma"/>
            <family val="2"/>
          </rPr>
          <t>Potter, Daniel:</t>
        </r>
        <r>
          <rPr>
            <sz val="9"/>
            <color indexed="81"/>
            <rFont val="Tahoma"/>
            <family val="2"/>
          </rPr>
          <t xml:space="preserve">
ATC DA LMP Average for 3/1/2020-2/28/2022 for Seabrook UN</t>
        </r>
      </text>
    </comment>
    <comment ref="S10" authorId="2" shapeId="0" xr:uid="{CF52F70B-AEDD-455F-BB27-F98575D4FE75}">
      <text>
        <r>
          <rPr>
            <b/>
            <sz val="9"/>
            <color indexed="81"/>
            <rFont val="Tahoma"/>
            <family val="2"/>
          </rPr>
          <t>Potter, Daniel:</t>
        </r>
        <r>
          <rPr>
            <sz val="9"/>
            <color indexed="81"/>
            <rFont val="Tahoma"/>
            <family val="2"/>
          </rPr>
          <t xml:space="preserve">
See Amerex Broker sheet from 3/24/2022 for MA CES-E attributes. </t>
        </r>
      </text>
    </comment>
    <comment ref="U10" authorId="2" shapeId="0" xr:uid="{44D166C7-E8F1-400E-AB1C-BCFF252C8C3C}">
      <text>
        <r>
          <rPr>
            <b/>
            <sz val="9"/>
            <color indexed="81"/>
            <rFont val="Tahoma"/>
            <family val="2"/>
          </rPr>
          <t>Potter, Daniel:</t>
        </r>
        <r>
          <rPr>
            <sz val="9"/>
            <color indexed="81"/>
            <rFont val="Tahoma"/>
            <family val="2"/>
          </rPr>
          <t xml:space="preserve">
ATC DA LMP Average for 3/1/2020-2/28/2022 for Vernon UN</t>
        </r>
      </text>
    </comment>
    <comment ref="V10" authorId="2" shapeId="0" xr:uid="{3BDC0AE1-9CFB-4F32-AC9D-6DAC69044B10}">
      <text>
        <r>
          <rPr>
            <b/>
            <sz val="9"/>
            <color indexed="81"/>
            <rFont val="Tahoma"/>
            <family val="2"/>
          </rPr>
          <t>Potter, Daniel:</t>
        </r>
        <r>
          <rPr>
            <sz val="9"/>
            <color indexed="81"/>
            <rFont val="Tahoma"/>
            <family val="2"/>
          </rPr>
          <t xml:space="preserve">
See Amerex Broker sheet from 3/24/2022 for ME Existing attributes. </t>
        </r>
      </text>
    </comment>
    <comment ref="X10" authorId="2" shapeId="0" xr:uid="{6FAF71F6-96B4-4D38-96EB-43C5130A8E26}">
      <text>
        <r>
          <rPr>
            <b/>
            <sz val="9"/>
            <color indexed="81"/>
            <rFont val="Tahoma"/>
            <family val="2"/>
          </rPr>
          <t>Potter, Daniel:</t>
        </r>
        <r>
          <rPr>
            <sz val="9"/>
            <color indexed="81"/>
            <rFont val="Tahoma"/>
            <family val="2"/>
          </rPr>
          <t xml:space="preserve">
ATC DA LMP Average for 3/1/2020-2/28/2022 for Sykes Rd FLRV Node (one of the assumed interconnection points for Mayflower Wind)</t>
        </r>
      </text>
    </comment>
    <comment ref="Y10" authorId="2" shapeId="0" xr:uid="{7E2503FA-2003-479D-86F6-DD797B7458E9}">
      <text>
        <r>
          <rPr>
            <b/>
            <sz val="9"/>
            <color indexed="81"/>
            <rFont val="Tahoma"/>
            <family val="2"/>
          </rPr>
          <t>Potter, Daniel:</t>
        </r>
        <r>
          <rPr>
            <sz val="9"/>
            <color indexed="81"/>
            <rFont val="Tahoma"/>
            <family val="2"/>
          </rPr>
          <t xml:space="preserve">
Estimate based on SEA REMO presentation from October 2021. </t>
        </r>
      </text>
    </comment>
    <comment ref="AA10" authorId="2" shapeId="0" xr:uid="{81EE5FE4-6EDA-4A4E-B4C9-88C647357E8D}">
      <text>
        <r>
          <rPr>
            <b/>
            <sz val="9"/>
            <color indexed="81"/>
            <rFont val="Tahoma"/>
            <family val="2"/>
          </rPr>
          <t>Potter, Daniel:</t>
        </r>
        <r>
          <rPr>
            <sz val="9"/>
            <color indexed="81"/>
            <rFont val="Tahoma"/>
            <family val="2"/>
          </rPr>
          <t xml:space="preserve">
ATC DA LMP Average for 3/1/2020-2/28/2022 for Vermont Load Zone</t>
        </r>
      </text>
    </comment>
    <comment ref="AD10" authorId="2" shapeId="0" xr:uid="{F31D4C79-A633-42DE-96C0-FD054FE02FBA}">
      <text>
        <r>
          <rPr>
            <b/>
            <sz val="9"/>
            <color indexed="81"/>
            <rFont val="Tahoma"/>
            <family val="2"/>
          </rPr>
          <t>Potter, Daniel:</t>
        </r>
        <r>
          <rPr>
            <sz val="9"/>
            <color indexed="81"/>
            <rFont val="Tahoma"/>
            <family val="2"/>
          </rPr>
          <t xml:space="preserve">
ATC DA LMP Average for 3/1/2020-2/28/2022 for Sheffield Node </t>
        </r>
      </text>
    </comment>
    <comment ref="Y11" authorId="2" shapeId="0" xr:uid="{7F3B4DE0-3907-4F13-AB2A-D58990B90201}">
      <text>
        <r>
          <rPr>
            <b/>
            <sz val="9"/>
            <color indexed="81"/>
            <rFont val="Tahoma"/>
            <family val="2"/>
          </rPr>
          <t>Potter, Daniel:</t>
        </r>
        <r>
          <rPr>
            <sz val="9"/>
            <color indexed="81"/>
            <rFont val="Tahoma"/>
            <family val="2"/>
          </rPr>
          <t xml:space="preserve">
Estimate based on SEA REMO presentation from October 2021. </t>
        </r>
      </text>
    </comment>
    <comment ref="Y12" authorId="2" shapeId="0" xr:uid="{E5FDC82D-34F3-4FA2-93ED-4F781B8578C6}">
      <text>
        <r>
          <rPr>
            <b/>
            <sz val="9"/>
            <color indexed="81"/>
            <rFont val="Tahoma"/>
            <family val="2"/>
          </rPr>
          <t>Potter, Daniel:</t>
        </r>
        <r>
          <rPr>
            <sz val="9"/>
            <color indexed="81"/>
            <rFont val="Tahoma"/>
            <family val="2"/>
          </rPr>
          <t xml:space="preserve">
Estimate based on SEA REMO presentation from October 2021. </t>
        </r>
      </text>
    </comment>
    <comment ref="R36" authorId="2" shapeId="0" xr:uid="{EE63AD01-1CEA-4F76-A2FE-9C37366D2E78}">
      <text>
        <r>
          <rPr>
            <b/>
            <sz val="9"/>
            <color indexed="81"/>
            <rFont val="Tahoma"/>
            <family val="2"/>
          </rPr>
          <t>Potter, Daniel:</t>
        </r>
        <r>
          <rPr>
            <sz val="9"/>
            <color indexed="81"/>
            <rFont val="Tahoma"/>
            <family val="2"/>
          </rPr>
          <t xml:space="preserve">
Ratio of natural gas prices from year to year from Power Cost Projections Spreadsheet. </t>
        </r>
      </text>
    </comment>
  </commentList>
</comments>
</file>

<file path=xl/sharedStrings.xml><?xml version="1.0" encoding="utf-8"?>
<sst xmlns="http://schemas.openxmlformats.org/spreadsheetml/2006/main" count="795" uniqueCount="498">
  <si>
    <t>Niagara</t>
  </si>
  <si>
    <t>St Lawrence</t>
  </si>
  <si>
    <t>VEPPI</t>
  </si>
  <si>
    <t>HQ B</t>
  </si>
  <si>
    <t>HQ C-1</t>
  </si>
  <si>
    <t>HQ C-2</t>
  </si>
  <si>
    <t>HQ C-3</t>
  </si>
  <si>
    <t>HQ C-4b</t>
  </si>
  <si>
    <t>Year</t>
  </si>
  <si>
    <t>Month</t>
  </si>
  <si>
    <t>Total Existing Resources</t>
  </si>
  <si>
    <t>Arlon Warner</t>
  </si>
  <si>
    <t>Equation</t>
  </si>
  <si>
    <t>Input</t>
  </si>
  <si>
    <t>Total Pending Resources</t>
  </si>
  <si>
    <t>Total Resources Existing + Pending</t>
  </si>
  <si>
    <t>System</t>
  </si>
  <si>
    <t>Hydro/Wood</t>
  </si>
  <si>
    <t>Hydro</t>
  </si>
  <si>
    <t>High     Load Forecast Escalator</t>
  </si>
  <si>
    <t>Base Load Forecast Escalator</t>
  </si>
  <si>
    <t>Low    Load Forecast Escalator</t>
  </si>
  <si>
    <t>UPC Wind - Sheffield - Fixed Price</t>
  </si>
  <si>
    <t>Kingdom Wind</t>
  </si>
  <si>
    <t>Morgan Stanley</t>
  </si>
  <si>
    <t>SPEED Standard Offer Rates</t>
  </si>
  <si>
    <t>Committed Resources</t>
  </si>
  <si>
    <t>Sheffield Fixed Price</t>
  </si>
  <si>
    <t>Kingdom Community Wind</t>
  </si>
  <si>
    <t>Open (Excess) Position</t>
  </si>
  <si>
    <r>
      <t xml:space="preserve">% Base Open </t>
    </r>
    <r>
      <rPr>
        <sz val="10"/>
        <color indexed="10"/>
        <rFont val="Arial"/>
        <family val="2"/>
      </rPr>
      <t>(Excess)</t>
    </r>
    <r>
      <rPr>
        <sz val="10"/>
        <rFont val="Arial"/>
        <family val="2"/>
      </rPr>
      <t xml:space="preserve"> Position</t>
    </r>
  </si>
  <si>
    <t>Base</t>
  </si>
  <si>
    <t>Low</t>
  </si>
  <si>
    <r>
      <t xml:space="preserve">% Low Open </t>
    </r>
    <r>
      <rPr>
        <sz val="10"/>
        <color indexed="10"/>
        <rFont val="Arial"/>
        <family val="2"/>
      </rPr>
      <t>(Excess)</t>
    </r>
    <r>
      <rPr>
        <sz val="10"/>
        <rFont val="Arial"/>
        <family val="2"/>
      </rPr>
      <t xml:space="preserve"> Position</t>
    </r>
  </si>
  <si>
    <t>Base Forecast Net DSM</t>
  </si>
  <si>
    <t>Low Forecast Net DSM</t>
  </si>
  <si>
    <t>BP Energy</t>
  </si>
  <si>
    <t xml:space="preserve">WEC- HQUS </t>
  </si>
  <si>
    <t>HQUS 11/2012 - 10/2020</t>
  </si>
  <si>
    <t>HQUS 11/2020 - 10/2030</t>
  </si>
  <si>
    <t xml:space="preserve"> Base DSM Impact</t>
  </si>
  <si>
    <t>High     DSM Impact</t>
  </si>
  <si>
    <t>Low     DSM Impact</t>
  </si>
  <si>
    <t>Hours per Month</t>
  </si>
  <si>
    <t>High Forecast</t>
  </si>
  <si>
    <t>Base Forecast</t>
  </si>
  <si>
    <t>Low Forecast</t>
  </si>
  <si>
    <t>Rock Tenn</t>
  </si>
  <si>
    <t>Swanton Peaker</t>
  </si>
  <si>
    <t>New Cap Resource 5</t>
  </si>
  <si>
    <t>New Cap Resource 6</t>
  </si>
  <si>
    <t>New Cap Resource 7</t>
  </si>
  <si>
    <t>New Cap Resource 8</t>
  </si>
  <si>
    <t>New Cap Resource 9</t>
  </si>
  <si>
    <t>Proposed Cap Resource 1</t>
  </si>
  <si>
    <t>Proposed Cap Resource 2</t>
  </si>
  <si>
    <t>Proposed Cap Resource 3</t>
  </si>
  <si>
    <t>Proposed Cap Resource 4</t>
  </si>
  <si>
    <t>Proposed Cap Resource 5</t>
  </si>
  <si>
    <t>Proposed Cap Resource 6</t>
  </si>
  <si>
    <t>Proposed Cap Resource 7</t>
  </si>
  <si>
    <t>Proposed Cap Resource 8</t>
  </si>
  <si>
    <t>Proposed Cap Resource 9</t>
  </si>
  <si>
    <t>Proposed Cap Resource 10</t>
  </si>
  <si>
    <t>Ryegate</t>
  </si>
  <si>
    <t>Proposed New Tier 2 Renewable A</t>
  </si>
  <si>
    <t>Proposed New Tier 2 Renewable B</t>
  </si>
  <si>
    <t>Proposed New Tier 2 Renewable C</t>
  </si>
  <si>
    <t>Proposed New Tier 2 Renewable D</t>
  </si>
  <si>
    <t>High Forecast Net Shortfall (Excess) Existing + Pending</t>
  </si>
  <si>
    <t>Base Forecast Net Shortfall (Excess) Existing + Pending</t>
  </si>
  <si>
    <t>Low Forecast Net Shortfall (Excess) Existing + Pending</t>
  </si>
  <si>
    <t>Wood</t>
  </si>
  <si>
    <t>HQUS 11/2030 - 10/2035</t>
  </si>
  <si>
    <t>HQUS 11/2035 - 10/2038</t>
  </si>
  <si>
    <t>NYPA</t>
  </si>
  <si>
    <t>HQ</t>
  </si>
  <si>
    <t>Sunda Phase I</t>
  </si>
  <si>
    <t>Next Era - Seabrook</t>
  </si>
  <si>
    <t>Next Era - 9/2013</t>
  </si>
  <si>
    <t>Constellation - 1/2014</t>
  </si>
  <si>
    <t>PSEG - 1/2014</t>
  </si>
  <si>
    <t>NextEra - Seabrook</t>
  </si>
  <si>
    <t>Swanton</t>
  </si>
  <si>
    <t>NextEra - 9/2013</t>
  </si>
  <si>
    <t>Consetllation - 1/2014</t>
  </si>
  <si>
    <t>VEPPI/SPEED</t>
  </si>
  <si>
    <t>FW/KCW</t>
  </si>
  <si>
    <t>EDF Trading</t>
  </si>
  <si>
    <t>Committed Resource H</t>
  </si>
  <si>
    <t>H40 Tier I</t>
  </si>
  <si>
    <t>Total Tier 1 Resources</t>
  </si>
  <si>
    <t>GDF REC Purchase</t>
  </si>
  <si>
    <t>REC Sale E</t>
  </si>
  <si>
    <t>REC Sale F</t>
  </si>
  <si>
    <t>REC Sale G</t>
  </si>
  <si>
    <t>Total REC Sales</t>
  </si>
  <si>
    <t>Net Tier 1 Resources</t>
  </si>
  <si>
    <t>Proposed New Tier 2 Renewable E</t>
  </si>
  <si>
    <t>Proposed New Tier 2 Renewable F</t>
  </si>
  <si>
    <t>KCW REC Sale</t>
  </si>
  <si>
    <t>Sheffield REC Sale</t>
  </si>
  <si>
    <t>Ryegate REC Sale</t>
  </si>
  <si>
    <t>SPEED SO REC Sale</t>
  </si>
  <si>
    <t>Resource</t>
  </si>
  <si>
    <t>Typical Annual MWh</t>
  </si>
  <si>
    <t>VT RES Tier Qualification</t>
  </si>
  <si>
    <t>HQ Schedule B</t>
  </si>
  <si>
    <t>HQUS</t>
  </si>
  <si>
    <t>HQUS - WEC</t>
  </si>
  <si>
    <t>Tier 1</t>
  </si>
  <si>
    <t>Assumed End Date</t>
  </si>
  <si>
    <t>Sheffield - Fixed Price Contract</t>
  </si>
  <si>
    <t>Assumed Start Date</t>
  </si>
  <si>
    <t>7/1/2015 +</t>
  </si>
  <si>
    <t>Standard Offer Projects - Pre-7/2015</t>
  </si>
  <si>
    <t>Standard Offer Projects - Post 6/2015</t>
  </si>
  <si>
    <t>Sunda Phase II</t>
  </si>
  <si>
    <t>Tier 2</t>
  </si>
  <si>
    <t>NextEra</t>
  </si>
  <si>
    <t>Non-Renewable</t>
  </si>
  <si>
    <t>Exelon</t>
  </si>
  <si>
    <t>J.P. Morgan</t>
  </si>
  <si>
    <t>Delvin Warner</t>
  </si>
  <si>
    <t>Standard Offer - Pre-July 2015 On-Line Date          Solar</t>
  </si>
  <si>
    <t>Standard Offer - Pre-July 2015 On-Line Date          Wind</t>
  </si>
  <si>
    <t>Standard Offer - Pre-July 2015 On-Line Date          Biomass</t>
  </si>
  <si>
    <t>Standard Offer - Pre-July 2015 On-Line Date          Farm Methane</t>
  </si>
  <si>
    <t>Standard Offer - Pre-July 2015 On-Line Date          LFG</t>
  </si>
  <si>
    <t>Standard Offer - Pre-July 2015 On-Line Date          Hydro</t>
  </si>
  <si>
    <t>Standard Offer - Post-June 2015 On-Line Date          Solar</t>
  </si>
  <si>
    <t>Standard Offer - Post-June 2015 On-Line Date          Biomass</t>
  </si>
  <si>
    <t>Standard Offer - Post-June 2015 On-Line Date          Wind</t>
  </si>
  <si>
    <t>Standard Offer - Post-June 2015 On-Line Date          Farm Methane</t>
  </si>
  <si>
    <t>Standard Offer - Post-June 2015 On-Line Date          LFG</t>
  </si>
  <si>
    <t>Standard Offer - Post-June 2015 On-Line Date          Hydro</t>
  </si>
  <si>
    <t>Committed Resource    L</t>
  </si>
  <si>
    <t>Proposed New Tier 2 Renewable G</t>
  </si>
  <si>
    <t>Proposed New Tier 2 Renewable H</t>
  </si>
  <si>
    <t>Standard Offer - Pre-July 2015</t>
  </si>
  <si>
    <t xml:space="preserve">Proposed New Tier 2 Renewable  I </t>
  </si>
  <si>
    <t>HQ VJO</t>
  </si>
  <si>
    <t>HQUS WEC</t>
  </si>
  <si>
    <t>HQUS VEC</t>
  </si>
  <si>
    <t>Tier 2 % Requirement</t>
  </si>
  <si>
    <t>Annual Line Losses</t>
  </si>
  <si>
    <t>Annual % Increase in RPS Requirement</t>
  </si>
  <si>
    <t>Installed Credits Requirement</t>
  </si>
  <si>
    <t>TAKING LIFETIME CREDITS IN YEAR INSTALLED</t>
  </si>
  <si>
    <t>Pre-Tier 3 Mid-Base Sales</t>
  </si>
  <si>
    <t>Tier 3 % Req.</t>
  </si>
  <si>
    <t>Pre-Tier 3 High-High Sales</t>
  </si>
  <si>
    <t>Pre-Tier 3 Low-Low     Sales</t>
  </si>
  <si>
    <t>Mid-Base Net Load Forecast Installations</t>
  </si>
  <si>
    <t>High-High Net Load Forecast Installations</t>
  </si>
  <si>
    <t>Low-Low Net Load Forecast Installations</t>
  </si>
  <si>
    <t>Pre-Tier 3 Annual Load High</t>
  </si>
  <si>
    <t>Pre-Tier 3 Annual Load Base</t>
  </si>
  <si>
    <t>Pre-Tier 3 Annual Load Low</t>
  </si>
  <si>
    <t>Pre-Tier 3 Annual Sales High</t>
  </si>
  <si>
    <t>Pre-Tier 3 Annual Sales Base</t>
  </si>
  <si>
    <t>Pre-Tier 3 Annual Sales Low</t>
  </si>
  <si>
    <t>Post-Tier 3 Annual Sales High</t>
  </si>
  <si>
    <t>Post-Tier 3 Annual Sales Base</t>
  </si>
  <si>
    <t>Post-Tier 3 Annual Sales Low</t>
  </si>
  <si>
    <t>Tier 1 Maximum % Requirement</t>
  </si>
  <si>
    <t>Pre-Tier 3 Shortfall (Excess)    High</t>
  </si>
  <si>
    <t>Pre-Tier 3 Shortfall (Excess)    Base</t>
  </si>
  <si>
    <t>Pre-Tier 3 Shortfall (Excess)    Low</t>
  </si>
  <si>
    <t>Post-Tier 3 Shortfall (Excess)    High</t>
  </si>
  <si>
    <t>Post-Tier 3 Shortfall (Excess)    Base</t>
  </si>
  <si>
    <t>Post-Tier 3 Shortfall (Excess)    Low</t>
  </si>
  <si>
    <t>Pre-Tier 3</t>
  </si>
  <si>
    <t>Post Tier-3</t>
  </si>
  <si>
    <t>Total System Energy Requirements</t>
  </si>
  <si>
    <t>Total Renewable Energy Requirement</t>
  </si>
  <si>
    <t>% Increase Due to Tier 3</t>
  </si>
  <si>
    <t>Tier 1 Requirements</t>
  </si>
  <si>
    <t>Tier 2 Requirements</t>
  </si>
  <si>
    <t>Non-Renewable Maximum Allotment</t>
  </si>
  <si>
    <t>Sanity Check (Total System - Tier 1 - Tier 2 - Non-Renewable = 0)</t>
  </si>
  <si>
    <t>Pre-Tier 3 Base Forecast Hedge %</t>
  </si>
  <si>
    <t>Annual MWh Increase - Post Tier 3</t>
  </si>
  <si>
    <t>Annual Add'l MW of Solar AC Post-Tier 3</t>
  </si>
  <si>
    <t>Cumulative MW of Solar AC to Fulfill Requirement Post-Tier 3</t>
  </si>
  <si>
    <t>Tier 3 Annual  Requirement %</t>
  </si>
  <si>
    <t>HQUS - VEC</t>
  </si>
  <si>
    <t>HQ US - WEC</t>
  </si>
  <si>
    <t>VEC Sys Hydro</t>
  </si>
  <si>
    <t>KCW</t>
  </si>
  <si>
    <t>Sheffield</t>
  </si>
  <si>
    <t>Standard Offer</t>
  </si>
  <si>
    <t>Total Resources</t>
  </si>
  <si>
    <t>ANNUAL TOTAL SYSTEM ENERGY REQUIREMENTS and COMMITTED RESOURCES (MWh)</t>
  </si>
  <si>
    <t>Pre-Tier 3 High Load</t>
  </si>
  <si>
    <t>Pre-Tier 3 Base Load</t>
  </si>
  <si>
    <t>Pre-Tier 3 Low Load</t>
  </si>
  <si>
    <t>Pre-Tier 3      Tier 1          High</t>
  </si>
  <si>
    <t>Pre-Tier 3      Tier 1          Base</t>
  </si>
  <si>
    <t>Pre-Tier 3      Tier 1         Low</t>
  </si>
  <si>
    <t>Post-Tier 3      Tier 1          High</t>
  </si>
  <si>
    <t>Post-Tier 3      Tier 1          Base</t>
  </si>
  <si>
    <t>Post-Tier 3      Tier 1          Low</t>
  </si>
  <si>
    <t>Pre-Tier 3      High</t>
  </si>
  <si>
    <t>Pre-Tier 3      Base</t>
  </si>
  <si>
    <t>Pre-Tier 3      Low</t>
  </si>
  <si>
    <t>Total Amount in Bank</t>
  </si>
  <si>
    <t>ANNUAL TIER 1 ENERGY REQUIREMENTS and COMMITTED RESOURCES (MWh)</t>
  </si>
  <si>
    <t>Total   Tier 1 Resources</t>
  </si>
  <si>
    <t>ANNUAL TIER 1 ENERGY REQUIREMENTS and COMMITTED RESOURCES (RECS) - POST SALE OF HIGH-VALUE RECs</t>
  </si>
  <si>
    <t>ANNUAL TIER 2 REQUIREMENTS and COMMITTED RESOURCES (MWh)</t>
  </si>
  <si>
    <t>Total         Tier 2 Resources</t>
  </si>
  <si>
    <t>Mid-Base Net Load Forecast Open Position (Excess) - Post Tier 3</t>
  </si>
  <si>
    <t>Mid-Base Net Load Forecast Open Position (Excess) - Pre Tier 3</t>
  </si>
  <si>
    <t>Newport Hydro</t>
  </si>
  <si>
    <t>Great River REC Purchase</t>
  </si>
  <si>
    <t>Standard Offer - Post-June 2015 On-Line Date          Food Waste</t>
  </si>
  <si>
    <t>Pre-Tier 3 High Forecast - Base DSM     Net Load Forecast</t>
  </si>
  <si>
    <t>Pre Tier 3 High Forecast - Low DSM     Net Load Forecast</t>
  </si>
  <si>
    <t>Pre-Tier 3 High Forecast -High DSM    Net Load Forecast</t>
  </si>
  <si>
    <t>Pre-Tier 3 Low Forecast - High DSM    Net Load Forecast</t>
  </si>
  <si>
    <t>Pre-Tier 3 Low Forcast - Base DSM    Net Load Forecast</t>
  </si>
  <si>
    <t>Pre-Tier 3 Low Forecast - Low DSM     Net Load Forecast</t>
  </si>
  <si>
    <r>
      <t xml:space="preserve">High Forecast - High DSM    Net Load Forecast Shortfall </t>
    </r>
    <r>
      <rPr>
        <sz val="10"/>
        <color indexed="10"/>
        <rFont val="Arial"/>
        <family val="2"/>
      </rPr>
      <t>(Excess)</t>
    </r>
  </si>
  <si>
    <r>
      <t xml:space="preserve">High Forecast - Base DSM     Net Load Forecast Shortfall </t>
    </r>
    <r>
      <rPr>
        <sz val="10"/>
        <color indexed="10"/>
        <rFont val="Arial"/>
        <family val="2"/>
      </rPr>
      <t>(Excess)</t>
    </r>
  </si>
  <si>
    <r>
      <t xml:space="preserve">High Forecast - Low DSM     Net Load Forecast Shortfall </t>
    </r>
    <r>
      <rPr>
        <sz val="10"/>
        <color indexed="10"/>
        <rFont val="Arial"/>
        <family val="2"/>
      </rPr>
      <t>(Excess)</t>
    </r>
  </si>
  <si>
    <r>
      <t xml:space="preserve">Base Forecast - High DSM    Net Load Forecast Shortfall </t>
    </r>
    <r>
      <rPr>
        <sz val="10"/>
        <color indexed="10"/>
        <rFont val="Arial"/>
        <family val="2"/>
      </rPr>
      <t>(Excess)</t>
    </r>
  </si>
  <si>
    <r>
      <t xml:space="preserve">Base Forecast - Base DSM    Net Load Forecast Shortfall </t>
    </r>
    <r>
      <rPr>
        <sz val="10"/>
        <color indexed="10"/>
        <rFont val="Arial"/>
        <family val="2"/>
      </rPr>
      <t xml:space="preserve">(Excess) </t>
    </r>
  </si>
  <si>
    <r>
      <t xml:space="preserve">Base Forecast - Low DSM     Net Load Forecast Shortfall </t>
    </r>
    <r>
      <rPr>
        <sz val="10"/>
        <color indexed="10"/>
        <rFont val="Arial"/>
        <family val="2"/>
      </rPr>
      <t>(Excess)</t>
    </r>
  </si>
  <si>
    <r>
      <t xml:space="preserve">Low Forecast - High DSM    Net Load Forecast Shortfall </t>
    </r>
    <r>
      <rPr>
        <sz val="10"/>
        <color indexed="10"/>
        <rFont val="Arial"/>
        <family val="2"/>
      </rPr>
      <t>(Excess)</t>
    </r>
  </si>
  <si>
    <r>
      <t xml:space="preserve">Low Forecast - Base DSM    Net Load Forecast Shortfall </t>
    </r>
    <r>
      <rPr>
        <sz val="10"/>
        <color indexed="10"/>
        <rFont val="Arial"/>
        <family val="2"/>
      </rPr>
      <t>(Excess)</t>
    </r>
  </si>
  <si>
    <r>
      <t xml:space="preserve">Low Forecast - Low DSM    Net Load Forecast Shortfall </t>
    </r>
    <r>
      <rPr>
        <sz val="10"/>
        <color indexed="10"/>
        <rFont val="Arial"/>
        <family val="2"/>
      </rPr>
      <t>(Excess)</t>
    </r>
  </si>
  <si>
    <r>
      <t xml:space="preserve">High Forecast - High DSM    Net Load Forecast % Shortfall </t>
    </r>
    <r>
      <rPr>
        <sz val="10"/>
        <color indexed="10"/>
        <rFont val="Arial"/>
        <family val="2"/>
      </rPr>
      <t>(Excess)</t>
    </r>
  </si>
  <si>
    <r>
      <t xml:space="preserve">High Forecast - Base DSM     Net Load Forecast % Shortfall </t>
    </r>
    <r>
      <rPr>
        <sz val="10"/>
        <color indexed="10"/>
        <rFont val="Arial"/>
        <family val="2"/>
      </rPr>
      <t>(Excess)</t>
    </r>
  </si>
  <si>
    <r>
      <t xml:space="preserve">High Forecast - Low DSM     Net Load Forecast % Shortfall </t>
    </r>
    <r>
      <rPr>
        <sz val="10"/>
        <color indexed="10"/>
        <rFont val="Arial"/>
        <family val="2"/>
      </rPr>
      <t>(Excess)</t>
    </r>
  </si>
  <si>
    <r>
      <t xml:space="preserve">Base Forecast - High DSM    Net Load Forecast % Shortfall </t>
    </r>
    <r>
      <rPr>
        <sz val="10"/>
        <color indexed="10"/>
        <rFont val="Arial"/>
        <family val="2"/>
      </rPr>
      <t>(Excess)</t>
    </r>
  </si>
  <si>
    <r>
      <t xml:space="preserve">Base Forecast - Base DSM    Net Load Forecast % Shortfall </t>
    </r>
    <r>
      <rPr>
        <sz val="10"/>
        <color indexed="10"/>
        <rFont val="Arial"/>
        <family val="2"/>
      </rPr>
      <t xml:space="preserve">(Excess) </t>
    </r>
  </si>
  <si>
    <r>
      <t xml:space="preserve">Base Forecast - Low DSM     Net Load Forecast % Shortfall </t>
    </r>
    <r>
      <rPr>
        <sz val="10"/>
        <color indexed="10"/>
        <rFont val="Arial"/>
        <family val="2"/>
      </rPr>
      <t>(Excess)</t>
    </r>
  </si>
  <si>
    <r>
      <t xml:space="preserve">Low Forecast - High DSM    Net Load Forecast % Shortfall </t>
    </r>
    <r>
      <rPr>
        <sz val="10"/>
        <color indexed="10"/>
        <rFont val="Arial"/>
        <family val="2"/>
      </rPr>
      <t>(Excess)</t>
    </r>
  </si>
  <si>
    <r>
      <t xml:space="preserve">Low Forecast - Base DSM    Net Load Forecast % Shortfall </t>
    </r>
    <r>
      <rPr>
        <sz val="10"/>
        <color indexed="10"/>
        <rFont val="Arial"/>
        <family val="2"/>
      </rPr>
      <t>(Excess)</t>
    </r>
  </si>
  <si>
    <r>
      <t xml:space="preserve">Low Forecast - Low DSM    Net Load Forecast % Shortfall </t>
    </r>
    <r>
      <rPr>
        <sz val="10"/>
        <color indexed="10"/>
        <rFont val="Arial"/>
        <family val="2"/>
      </rPr>
      <t>(Excess)</t>
    </r>
  </si>
  <si>
    <t>Yr 1 out</t>
  </si>
  <si>
    <t>Yr 2 Out</t>
  </si>
  <si>
    <t>Yr 3 Out</t>
  </si>
  <si>
    <t>Bank Balance</t>
  </si>
  <si>
    <t>Amt used to meet Res</t>
  </si>
  <si>
    <t>Amt into Bank</t>
  </si>
  <si>
    <t>Lost RECs due to Expiration</t>
  </si>
  <si>
    <t xml:space="preserve">Annual RES Settlement </t>
  </si>
  <si>
    <r>
      <t xml:space="preserve">IMPACTS OF BANKING </t>
    </r>
    <r>
      <rPr>
        <b/>
        <sz val="10"/>
        <color rgb="FFFF0000"/>
        <rFont val="Arial"/>
        <family val="2"/>
      </rPr>
      <t>IF ALLOWED TO USE BANKED REC FIRST</t>
    </r>
  </si>
  <si>
    <t>New Net Metering</t>
  </si>
  <si>
    <t>Existing NM - No Recs</t>
  </si>
  <si>
    <t>STX REC Purchase</t>
  </si>
  <si>
    <t>FirstLight Power REC Purchase</t>
  </si>
  <si>
    <t>STX     REC Purchase</t>
  </si>
  <si>
    <t>Net Tier 1 Maximum % Requirement</t>
  </si>
  <si>
    <t>Line Losses</t>
  </si>
  <si>
    <t>Percent of NM Output that reduces Sales</t>
  </si>
  <si>
    <t xml:space="preserve">MWh Reduction in Sales </t>
  </si>
  <si>
    <t>NEPOOL GIS</t>
  </si>
  <si>
    <t>Carbon Dioxide</t>
  </si>
  <si>
    <t>Carbon Monoxide</t>
  </si>
  <si>
    <t>Mercury</t>
  </si>
  <si>
    <t>Nitrogen Oxides</t>
  </si>
  <si>
    <t>Particulates</t>
  </si>
  <si>
    <t xml:space="preserve">Particulates  (&lt;10 microns) </t>
  </si>
  <si>
    <t>Sulphur Dioxides</t>
  </si>
  <si>
    <t>Organic Compounds</t>
  </si>
  <si>
    <t>NEPOOL System Mix</t>
  </si>
  <si>
    <t>NEPOOL Residual Mix</t>
  </si>
  <si>
    <t>Total Load</t>
  </si>
  <si>
    <t>RES Requirement</t>
  </si>
  <si>
    <t>Carbon Monoxide LBs/MWh</t>
  </si>
  <si>
    <t>Sulphur Dioxides LBs/MWh</t>
  </si>
  <si>
    <t>Organic Compounds LBs/MWh</t>
  </si>
  <si>
    <t>Carbon Dioxide LBS/MWh</t>
  </si>
  <si>
    <t>Mercury LBs/MWh</t>
  </si>
  <si>
    <t>Particulates LBS/MWh</t>
  </si>
  <si>
    <t>Particulates (&lt;10 microns) LBs/MWh</t>
  </si>
  <si>
    <t>Nitrogen Oxides LBs/Mwh</t>
  </si>
  <si>
    <t>Nuclear MWh</t>
  </si>
  <si>
    <t>MWh with Emissions</t>
  </si>
  <si>
    <t>Carbon Dioxide  Short Tons</t>
  </si>
  <si>
    <t>Carbon Monoxide Short Tons</t>
  </si>
  <si>
    <t>Mercury Short Tons</t>
  </si>
  <si>
    <t>Nitrogen Oxides Short Tons</t>
  </si>
  <si>
    <t>Particulates short Tons</t>
  </si>
  <si>
    <t>Particulates (&lt;10 microns) Short Tons</t>
  </si>
  <si>
    <t>Sulphur Dioxides Short Tons</t>
  </si>
  <si>
    <t>Organic Compounds Short Tons</t>
  </si>
  <si>
    <t>Total Net Metering Forecast</t>
  </si>
  <si>
    <t>High Cumulative Sales Impact from Tier III (MWh)</t>
  </si>
  <si>
    <t>Low Cumulative Sales Impact from Tier III (MWh)</t>
  </si>
  <si>
    <t>Existing NM  -  No REC</t>
  </si>
  <si>
    <t>Existing NM  - REC</t>
  </si>
  <si>
    <t>Net Metering as Resource</t>
  </si>
  <si>
    <t>Tier I % Req.</t>
  </si>
  <si>
    <t>Offshore Wind - Assumed Bundled Energy Price</t>
  </si>
  <si>
    <t>High Value REC Price</t>
  </si>
  <si>
    <t>Low Value REC Price</t>
  </si>
  <si>
    <t>Tier III Credits at Base Carbon Free %'s</t>
  </si>
  <si>
    <t>Tier III Credits if 100% Carbon Free</t>
  </si>
  <si>
    <t>Additional Tier III Credit Earned from being 100% Carbon Free</t>
  </si>
  <si>
    <t>Value of VT Tier II REC or Tier III MWh Credit</t>
  </si>
  <si>
    <t>Annual Tier III Req. %</t>
  </si>
  <si>
    <t>High Cumulative Load Impact from Tier III (MWh)</t>
  </si>
  <si>
    <t>Low Cumulative Load Impact from Tier III (MWh)</t>
  </si>
  <si>
    <t>Purchase Price for Seabrook Energy @ Seabrook Node</t>
  </si>
  <si>
    <t>Cost of Nuclear Attributes ($/MWh)</t>
  </si>
  <si>
    <t>Purchase Price for CT River Hydro Energy @ Vernon UN Node</t>
  </si>
  <si>
    <t>Post-Tier 3 High Forecast -High DSM    Net Load Forecast</t>
  </si>
  <si>
    <t>Post-Tier 3 High Forecast - Base DSM     Net Load Forecast</t>
  </si>
  <si>
    <t>Post Tier 3 High Forecast - Low DSM     Net Load Forecast</t>
  </si>
  <si>
    <t>Post-Tier 3 Low Forecast - High DSM    Net Load Forecast</t>
  </si>
  <si>
    <t>Post-Tier 3 Low Forcast - Base DSM    Net Load Forecast</t>
  </si>
  <si>
    <t>Post-Tier 3 Low Forecast - Low DSM     Net Load Forecast</t>
  </si>
  <si>
    <t>With Hydro</t>
  </si>
  <si>
    <t>With Offshore Wind</t>
  </si>
  <si>
    <t>Offshore Wind</t>
  </si>
  <si>
    <t>Hedge Position</t>
  </si>
  <si>
    <t>Mmbtu/MWh</t>
  </si>
  <si>
    <t>Emission $ Escalation Rate</t>
  </si>
  <si>
    <t>With Tier II Solar</t>
  </si>
  <si>
    <t>NPV</t>
  </si>
  <si>
    <t>Discount Rate</t>
  </si>
  <si>
    <t>Average Annual Rate increase</t>
  </si>
  <si>
    <t>Value of 1% in Rates</t>
  </si>
  <si>
    <t>Increase</t>
  </si>
  <si>
    <t>Total Short Tons</t>
  </si>
  <si>
    <t>Emissions $ per $1.00/Ton</t>
  </si>
  <si>
    <t>Carbon Dioxide  Lbs/MWh</t>
  </si>
  <si>
    <t>Carbon Monoxide Lbs/MWh</t>
  </si>
  <si>
    <t>Mercury Lbs/MWh</t>
  </si>
  <si>
    <t>Nitrogen Oxides Lbs/MWh</t>
  </si>
  <si>
    <t>Particulates Lbs/MWh</t>
  </si>
  <si>
    <t>Particulates (&lt;10 microns) Lbs/MWh</t>
  </si>
  <si>
    <t>Sulphur Dioxides Lbs/MWh</t>
  </si>
  <si>
    <t>Organic Compounds Lbs/MWh</t>
  </si>
  <si>
    <t>% of VEC Portfolio MWh with Emissions</t>
  </si>
  <si>
    <t>Existing Net Metering RECs</t>
  </si>
  <si>
    <t>New Net Metering RECs</t>
  </si>
  <si>
    <t>Emission $ assuming $5.00/ton in 2019</t>
  </si>
  <si>
    <t>Emission $ assuming $10.00/ton in 2019</t>
  </si>
  <si>
    <t>Emission $ assuming $50.00/ton in 2019</t>
  </si>
  <si>
    <t>Emission $ assuming $100.00/ton in 2019</t>
  </si>
  <si>
    <t>REC Sensitivity Analysis</t>
  </si>
  <si>
    <t>Total Tier 2 Requirement fulfilled by resources Other Than Alburgh and NM - High Load</t>
  </si>
  <si>
    <t>Total Tier 2 Requirement fulfilled by resources Other Than Alburgh and NM - Base</t>
  </si>
  <si>
    <t>Total Tier 2 Resources Other Than Alburgh and NM</t>
  </si>
  <si>
    <t>Total Tier 2 Resources VEC Can sell - High Case</t>
  </si>
  <si>
    <t>Total Tier 2 Resources VEC Can sell - Base Case</t>
  </si>
  <si>
    <t>REC $ Sensitivity</t>
  </si>
  <si>
    <t>Total $ from sale of Excess Tier 2 Resources - High Case</t>
  </si>
  <si>
    <t>Total $ from sale of Excess Tier 2 Resources - Low Case</t>
  </si>
  <si>
    <t>Shortfall (Excess) MWH</t>
  </si>
  <si>
    <t>VPPSA Peaker</t>
  </si>
  <si>
    <t>Base Cumulative Load Impact from Tier III (MWh)</t>
  </si>
  <si>
    <t>Base Cumulative Sales Impact from Tier III (MWh)</t>
  </si>
  <si>
    <t>HQ 2021-2023</t>
  </si>
  <si>
    <t>NextEra 2022-2025</t>
  </si>
  <si>
    <t>Alburgh Solar</t>
  </si>
  <si>
    <t>Magee Hill Solar</t>
  </si>
  <si>
    <t>Grand Isle Solar</t>
  </si>
  <si>
    <t>Jericho - Gravel Pit Solar</t>
  </si>
  <si>
    <t>Jericho - Landfill Solar</t>
  </si>
  <si>
    <t>Underlying Base High Forecast for 2022 IRP - Pre DSM and Tier III</t>
  </si>
  <si>
    <t>Underlying Base Low Forecast for 2022 IRP - Pre DSM and Tier III</t>
  </si>
  <si>
    <r>
      <t xml:space="preserve">POST TIER III SHORTALL </t>
    </r>
    <r>
      <rPr>
        <sz val="10"/>
        <color rgb="FFFF0000"/>
        <rFont val="Arial"/>
        <family val="2"/>
      </rPr>
      <t>(EXCESS)</t>
    </r>
  </si>
  <si>
    <t>CAP EV and CAP CCHP Tier III Load Growth</t>
  </si>
  <si>
    <t>VEC EV and CAP CCHP Sales Forecast</t>
  </si>
  <si>
    <t>CAP EV and CAP CCHP Sales Forecast</t>
  </si>
  <si>
    <t>VEC EV and EVT CCHP Sales Forecast</t>
  </si>
  <si>
    <t>NEED TO REFRESH ASSUMPTIONS AND REVIEW METHODOLOGY FOR THESE COLUMNS</t>
  </si>
  <si>
    <t>Additional Cost to be 100% Renewable VEC EV - CAP CCHP</t>
  </si>
  <si>
    <t>Additional Cost to be 100% Renewable CAP EV - CAP CCHP</t>
  </si>
  <si>
    <t>Additional Cost to be 100% Renewable VEC EV - EVT CCHP</t>
  </si>
  <si>
    <t>Tier III Req. VEC EV - CAP CCHP</t>
  </si>
  <si>
    <t>Tier III Req. CAP EV - CAP CCHP</t>
  </si>
  <si>
    <t>Tier III Req. VEC EV - EVT CCHP</t>
  </si>
  <si>
    <t>Net Cost to VEC to be 100% Carbon Free VEC EV - CAP CCHP</t>
  </si>
  <si>
    <t>Net Cost to VEC to be 100% Carbon Free CAP EV - CAP CCHP</t>
  </si>
  <si>
    <t>Net Cost to VEC to be 100% Carbon Free VEC EV - EVT CCHP</t>
  </si>
  <si>
    <t>Net Cost to VEC to be 100% Renewable VEC EV - CAP CCHP</t>
  </si>
  <si>
    <t>Net Cost to VEC to be 100% Renewable CAP EV - CAP CCHP</t>
  </si>
  <si>
    <t>Net Cost to VEC to be 100% Renewable VEC EV - EVT CCHP</t>
  </si>
  <si>
    <t>In-State Solar</t>
  </si>
  <si>
    <t>ADD IN SUSTAINABLE ENERGY REC PROJECTIONS</t>
  </si>
  <si>
    <t>REC Value of Tier II Solar</t>
  </si>
  <si>
    <t>Purchase Price of Tier II Solar PPA</t>
  </si>
  <si>
    <t>LMP Value of Tier II Solar</t>
  </si>
  <si>
    <t>In-state Wind PPA</t>
  </si>
  <si>
    <t>In-state LMP Value</t>
  </si>
  <si>
    <t>In-sate wind REC Value</t>
  </si>
  <si>
    <t>Value of the Additional Tier III Credit VEC EV - CAP CCHP</t>
  </si>
  <si>
    <t>Value of the Additional Tier III Credit CAP EV - CAP CCHP</t>
  </si>
  <si>
    <t>Value of the Additional Tier III Credit VEC EV - EVT CCHP</t>
  </si>
  <si>
    <t>Value of Tier III Savings should be average cost to deliver Tier III measures</t>
  </si>
  <si>
    <t>Average DA LMP @ Settlement Node</t>
  </si>
  <si>
    <t>With Seabrook</t>
  </si>
  <si>
    <t>With In-state Wind</t>
  </si>
  <si>
    <t>In-State Wind</t>
  </si>
  <si>
    <t>2023-2042 CAGR</t>
  </si>
  <si>
    <t>2023-2028 CAGR</t>
  </si>
  <si>
    <t>2028-2033 CAGR</t>
  </si>
  <si>
    <t>2033-2038 CAGR</t>
  </si>
  <si>
    <t>2038-2042 CAGR</t>
  </si>
  <si>
    <t>NEPOOL Unsettled Aggregate</t>
  </si>
  <si>
    <t>Carbon Free %</t>
  </si>
  <si>
    <t>Renewable %</t>
  </si>
  <si>
    <t>Carbon Free MWh</t>
  </si>
  <si>
    <t>Renewable MWh</t>
  </si>
  <si>
    <t>Carbon Free Attributes Shortfall - MWh</t>
  </si>
  <si>
    <t>Renewable Attributes Shortfall - MWh</t>
  </si>
  <si>
    <t>Howard Wind</t>
  </si>
  <si>
    <t>NM</t>
  </si>
  <si>
    <t>Brookfield Hydro</t>
  </si>
  <si>
    <t>Carbon Free MWH</t>
  </si>
  <si>
    <t>% Renew VEC EV and CAP CCHP Load Forecast</t>
  </si>
  <si>
    <t>% Renew CAP EV and CAP CCHP Load Forecast</t>
  </si>
  <si>
    <t>% Renew VEC EV and EVT CCHP Load Forecast</t>
  </si>
  <si>
    <t>Tier 2 MWh - Existing NM</t>
  </si>
  <si>
    <t>Tier 2 MWh - Existing  + New NM</t>
  </si>
  <si>
    <t>Carbon Free</t>
  </si>
  <si>
    <t>Renewable</t>
  </si>
  <si>
    <t>Carbon Free Resources</t>
  </si>
  <si>
    <t>Renewable Resources</t>
  </si>
  <si>
    <t>Tier 2 Resouces - Existing</t>
  </si>
  <si>
    <t>Tier 2 Resouces - Existing + New NM</t>
  </si>
  <si>
    <t>Underlying Base Load Forecast for 2025 IRP - Pre DSM and Tier III</t>
  </si>
  <si>
    <t>Need to figure out how to deal with NM so only new NM reduces load, but we get credit for all RECs and Resources</t>
  </si>
  <si>
    <t>Perhaps we add impact back into the load forecast (although this may increase load too much)</t>
  </si>
  <si>
    <t>Pre-Tier 3 Base Forecast - High DSM  High NM  Net Load Forecast</t>
  </si>
  <si>
    <t>Pre-Tier 3 Base Forecast - Base DSM Base NM   Net Load Forecast</t>
  </si>
  <si>
    <t>Pre-Tier 3 Base Forecast - Low DSM  Low NM   Net Load Forecast</t>
  </si>
  <si>
    <t>Existing NM  -  No REC but a credit to Tier 2 Req</t>
  </si>
  <si>
    <t>VEC Historic EV and EVT CCHP Tier III Load Growth</t>
  </si>
  <si>
    <t>Energy</t>
  </si>
  <si>
    <t>Peak</t>
  </si>
  <si>
    <t>Peak-to Energy Ratio</t>
  </si>
  <si>
    <t>Winter (W)/Summer (S)</t>
  </si>
  <si>
    <t>W</t>
  </si>
  <si>
    <t>VEC WINTER PEAK</t>
  </si>
  <si>
    <t>S</t>
  </si>
  <si>
    <t>VEC SUMMER PEAK</t>
  </si>
  <si>
    <t>2026-2045 CAGR</t>
  </si>
  <si>
    <t>2026-2030 CAGR</t>
  </si>
  <si>
    <t>2035-2040 CAGR</t>
  </si>
  <si>
    <t>2030-2035 CAGR</t>
  </si>
  <si>
    <t>2040-2045 CAGR</t>
  </si>
  <si>
    <t>VELCO EV and VELCO CCHP Tier III Load Growth</t>
  </si>
  <si>
    <t>VT Peak</t>
  </si>
  <si>
    <t>VT Peak Date</t>
  </si>
  <si>
    <t>VT Peak Hour</t>
  </si>
  <si>
    <t>VEC Load on NE in VT Peak hour</t>
  </si>
  <si>
    <t>VEC % of VT Peak Load</t>
  </si>
  <si>
    <t>VEC Total System Peak Load</t>
  </si>
  <si>
    <t>VEC Load on NE as % of VEC Peak</t>
  </si>
  <si>
    <t>3-Year Average</t>
  </si>
  <si>
    <t>VEC Load on NE as % of VT Peak Load</t>
  </si>
  <si>
    <t>VEC System Peak as % of VT Peak</t>
  </si>
  <si>
    <t>VEC TOTAL SYSTEM PEAK</t>
  </si>
  <si>
    <t>Avg of High and Low</t>
  </si>
  <si>
    <t>VEC Load in NE at the time of the Vermont Peak - Monthly</t>
  </si>
  <si>
    <t>VEC Load in NE at the time of the Vermont Peak - Annual Average</t>
  </si>
  <si>
    <t>Average of High and Low</t>
  </si>
  <si>
    <t>10-Year CAGR</t>
  </si>
  <si>
    <t>VELCO Forecast</t>
  </si>
  <si>
    <t>Climate Action Plan Forecast</t>
  </si>
  <si>
    <t>VEC Forecast</t>
  </si>
  <si>
    <t>%Carbon Free</t>
  </si>
  <si>
    <t>Renewable Shortfall MWh (VEC Forecast)</t>
  </si>
  <si>
    <t>Carbon Free Shortfall (VEC Forecast)</t>
  </si>
  <si>
    <t>Post-Tier 3 Hedge % - Existing Resources</t>
  </si>
  <si>
    <t>Tier I Requirement</t>
  </si>
  <si>
    <t>Additional MWh Needed to be 100% Carbon Free</t>
  </si>
  <si>
    <t>Additional MWh Needed to be 100% Renewable</t>
  </si>
  <si>
    <t>Additional Cost to be 100% Carbon Free</t>
  </si>
  <si>
    <t>Additional Cost to be 100% Renewable</t>
  </si>
  <si>
    <t>Q4 2023 - Q3 2024</t>
  </si>
  <si>
    <t>VEC ForecastTier I Requirement</t>
  </si>
  <si>
    <t>Climate Action Plan Forecast Tier I Requirement</t>
  </si>
  <si>
    <t>VELCO Forecast Tier I Requirement</t>
  </si>
  <si>
    <t>Climate Action Plan Forecast Tier II Requirement</t>
  </si>
  <si>
    <t>VELCO Forecast Tier II Requirement</t>
  </si>
  <si>
    <t>VEC Forecast Tier II Requirement</t>
  </si>
  <si>
    <t>Cumulative MW of Solar Required to Meet Tier II  VELCO Forecast</t>
  </si>
  <si>
    <t>Cumulative MW of Solar Required to Meet Tier II  Climate Action Plan Forecast</t>
  </si>
  <si>
    <t>Cumulative MW of Solar Required to Meet Tier II  VEC Forecast</t>
  </si>
  <si>
    <t>Annual New MW of Solar Required to Meet Tier II  VELCO Forecast</t>
  </si>
  <si>
    <t>Annual New MW of Solar Required to Meet Tier II  Climate Action Plan Forecast</t>
  </si>
  <si>
    <t>Annual New MW of Solar Required to Meet Tier II  VEC Forecast</t>
  </si>
  <si>
    <t>Sheffield - Fixed Price</t>
  </si>
  <si>
    <t>Sheffield 5% Discount</t>
  </si>
  <si>
    <t>Total         Tier IV Resources</t>
  </si>
  <si>
    <t>Other Tier Used For</t>
  </si>
  <si>
    <t>Shortfall</t>
  </si>
  <si>
    <t>Carbon Free Shortfall (VELCO Forecast)</t>
  </si>
  <si>
    <t>Carbon Free Shortfall (Climate Action Plan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</si>
</sst>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0.000"/>
    <numFmt numFmtId="167" formatCode="#,##0.0"/>
    <numFmt numFmtId="168" formatCode="#,##0.000_);[Red]\(#,##0.000\)"/>
    <numFmt numFmtId="169" formatCode="#,##0.0_);[Red]\(#,##0.0\)"/>
    <numFmt numFmtId="170" formatCode="0.000%"/>
    <numFmt numFmtId="171" formatCode="0.0"/>
    <numFmt numFmtId="172" formatCode="[$-10409]#,##0.00000;\(#,##0.00000\)"/>
    <numFmt numFmtId="173" formatCode="_(* #,##0_);_(* \(#,##0\);_(* &quot;-&quot;??_);_(@_)"/>
    <numFmt numFmtId="174" formatCode="&quot;$&quot;#,##0.00"/>
    <numFmt numFmtId="175" formatCode="&quot;$&quot;#,##0"/>
    <numFmt numFmtId="176" formatCode="[$-409]mmm\-yy;@"/>
    <numFmt numFmtId="177" formatCode="[$-409]d\-mmm\-yy;@"/>
    <numFmt numFmtId="178" formatCode="_(* #,##0.000_);_(* \(#,##0.000\);_(* &quot;-&quot;??_);_(@_)"/>
    <numFmt numFmtId="179" formatCode="0.0_);[Red]\(0.0\)"/>
  </numFmts>
  <fonts count="20" x14ac:knownFonts="1">
    <font>
      <sz val="10"/>
      <name val="Arial"/>
    </font>
    <font>
      <sz val="8"/>
      <color indexed="81"/>
      <name val="Tahoma"/>
      <family val="2"/>
    </font>
    <font>
      <b/>
      <sz val="8"/>
      <color indexed="81"/>
      <name val="Tahoma"/>
      <family val="2"/>
    </font>
    <font>
      <sz val="8"/>
      <name val="Arial"/>
      <family val="2"/>
    </font>
    <font>
      <sz val="10"/>
      <color indexed="10"/>
      <name val="Arial"/>
      <family val="2"/>
    </font>
    <font>
      <sz val="10"/>
      <color indexed="81"/>
      <name val="Tahoma"/>
      <family val="2"/>
    </font>
    <font>
      <b/>
      <sz val="10"/>
      <color indexed="81"/>
      <name val="Tahoma"/>
      <family val="2"/>
    </font>
    <font>
      <sz val="10"/>
      <name val="Arial"/>
      <family val="2"/>
    </font>
    <font>
      <sz val="9"/>
      <color indexed="81"/>
      <name val="Tahoma"/>
      <family val="2"/>
    </font>
    <font>
      <b/>
      <sz val="9"/>
      <color indexed="81"/>
      <name val="Tahoma"/>
      <family val="2"/>
    </font>
    <font>
      <b/>
      <sz val="10"/>
      <name val="Arial"/>
      <family val="2"/>
    </font>
    <font>
      <b/>
      <sz val="11"/>
      <color theme="1"/>
      <name val="Calibri"/>
      <family val="2"/>
      <scheme val="minor"/>
    </font>
    <font>
      <b/>
      <sz val="10"/>
      <color rgb="FFFF0000"/>
      <name val="Arial"/>
      <family val="2"/>
    </font>
    <font>
      <sz val="10"/>
      <color rgb="FFFF0000"/>
      <name val="Arial"/>
      <family val="2"/>
    </font>
    <font>
      <sz val="10"/>
      <color rgb="FF333333"/>
      <name val="Arial"/>
      <family val="2"/>
    </font>
    <font>
      <sz val="10"/>
      <name val="Arial"/>
      <family val="2"/>
    </font>
    <font>
      <b/>
      <sz val="9"/>
      <color rgb="FF000000"/>
      <name val="Calibri"/>
      <family val="2"/>
    </font>
    <font>
      <sz val="9"/>
      <color rgb="FF333333"/>
      <name val="Calibri"/>
      <family val="2"/>
    </font>
    <font>
      <sz val="9"/>
      <name val="Calibri"/>
      <family val="2"/>
      <scheme val="minor"/>
    </font>
    <font>
      <sz val="10"/>
      <name val="Arial"/>
      <family val="2"/>
    </font>
  </fonts>
  <fills count="33">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52"/>
        <bgColor indexed="64"/>
      </patternFill>
    </fill>
    <fill>
      <patternFill patternType="solid">
        <fgColor indexed="51"/>
        <bgColor indexed="64"/>
      </patternFill>
    </fill>
    <fill>
      <patternFill patternType="solid">
        <fgColor indexed="41"/>
        <bgColor indexed="64"/>
      </patternFill>
    </fill>
    <fill>
      <patternFill patternType="solid">
        <fgColor rgb="FF00B0F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CC"/>
        <bgColor indexed="64"/>
      </patternFill>
    </fill>
    <fill>
      <patternFill patternType="solid">
        <fgColor rgb="FF92D050"/>
        <bgColor indexed="64"/>
      </patternFill>
    </fill>
    <fill>
      <patternFill patternType="solid">
        <fgColor rgb="FFFFFF00"/>
        <bgColor indexed="64"/>
      </patternFill>
    </fill>
    <fill>
      <patternFill patternType="solid">
        <fgColor rgb="FF00B05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66"/>
        <bgColor indexed="64"/>
      </patternFill>
    </fill>
    <fill>
      <patternFill patternType="solid">
        <fgColor theme="0" tint="-0.34998626667073579"/>
        <bgColor indexed="64"/>
      </patternFill>
    </fill>
    <fill>
      <patternFill patternType="solid">
        <fgColor rgb="FFEFFA8A"/>
        <bgColor indexed="64"/>
      </patternFill>
    </fill>
    <fill>
      <patternFill patternType="solid">
        <fgColor rgb="FFD3D3D3"/>
        <bgColor rgb="FFD3D3D3"/>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99FF99"/>
        <bgColor indexed="64"/>
      </patternFill>
    </fill>
    <fill>
      <patternFill patternType="solid">
        <fgColor theme="6" tint="0.59999389629810485"/>
        <bgColor indexed="64"/>
      </patternFill>
    </fill>
    <fill>
      <patternFill patternType="solid">
        <fgColor rgb="FF7030A0"/>
        <bgColor indexed="64"/>
      </patternFill>
    </fill>
    <fill>
      <patternFill patternType="solid">
        <fgColor theme="7" tint="0.59999389629810485"/>
        <bgColor indexed="64"/>
      </patternFill>
    </fill>
    <fill>
      <patternFill patternType="solid">
        <fgColor theme="8"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rgb="FFD3D3D3"/>
      </left>
      <right style="thin">
        <color rgb="FFD3D3D3"/>
      </right>
      <top style="thin">
        <color rgb="FFD3D3D3"/>
      </top>
      <bottom style="thin">
        <color rgb="FFD3D3D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5"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291">
    <xf numFmtId="0" fontId="0" fillId="0" borderId="0" xfId="0"/>
    <xf numFmtId="3" fontId="0" fillId="2" borderId="0" xfId="0" applyNumberFormat="1" applyFill="1"/>
    <xf numFmtId="0" fontId="0" fillId="2" borderId="0" xfId="0" applyFill="1"/>
    <xf numFmtId="0" fontId="0" fillId="2" borderId="0" xfId="0" applyFill="1" applyAlignment="1">
      <alignment horizontal="right"/>
    </xf>
    <xf numFmtId="3" fontId="0" fillId="3" borderId="0" xfId="0" applyNumberFormat="1" applyFill="1"/>
    <xf numFmtId="0" fontId="0" fillId="3" borderId="0" xfId="0" applyFill="1"/>
    <xf numFmtId="0" fontId="0" fillId="2" borderId="0" xfId="0" applyFill="1" applyAlignment="1">
      <alignment horizontal="center" wrapText="1"/>
    </xf>
    <xf numFmtId="0" fontId="0" fillId="4" borderId="0" xfId="0" applyFill="1"/>
    <xf numFmtId="3" fontId="0" fillId="4" borderId="0" xfId="0" applyNumberFormat="1" applyFill="1"/>
    <xf numFmtId="38" fontId="0" fillId="4" borderId="0" xfId="0" applyNumberFormat="1" applyFill="1"/>
    <xf numFmtId="38" fontId="0" fillId="2" borderId="0" xfId="0" applyNumberFormat="1" applyFill="1"/>
    <xf numFmtId="0" fontId="0" fillId="4" borderId="1" xfId="0" applyFill="1" applyBorder="1" applyAlignment="1">
      <alignment horizontal="right"/>
    </xf>
    <xf numFmtId="0" fontId="0" fillId="4" borderId="1" xfId="0" applyFill="1" applyBorder="1" applyAlignment="1">
      <alignment horizontal="center" wrapText="1"/>
    </xf>
    <xf numFmtId="0" fontId="0" fillId="4" borderId="2" xfId="0" applyFill="1" applyBorder="1"/>
    <xf numFmtId="3" fontId="0" fillId="4" borderId="2" xfId="0" applyNumberFormat="1" applyFill="1" applyBorder="1"/>
    <xf numFmtId="0" fontId="0" fillId="4" borderId="3" xfId="0" applyFill="1" applyBorder="1"/>
    <xf numFmtId="3" fontId="0" fillId="4" borderId="3" xfId="0" applyNumberFormat="1" applyFill="1" applyBorder="1"/>
    <xf numFmtId="3" fontId="0" fillId="4" borderId="4" xfId="0" applyNumberFormat="1" applyFill="1" applyBorder="1"/>
    <xf numFmtId="38" fontId="0" fillId="3" borderId="0" xfId="0" applyNumberFormat="1" applyFill="1"/>
    <xf numFmtId="164" fontId="0" fillId="4" borderId="0" xfId="0" applyNumberFormat="1" applyFill="1"/>
    <xf numFmtId="164" fontId="0" fillId="4" borderId="2" xfId="0" applyNumberFormat="1" applyFill="1" applyBorder="1"/>
    <xf numFmtId="164" fontId="0" fillId="4" borderId="3" xfId="0" applyNumberFormat="1" applyFill="1" applyBorder="1"/>
    <xf numFmtId="0" fontId="0" fillId="5" borderId="0" xfId="0" applyFill="1"/>
    <xf numFmtId="10" fontId="0" fillId="0" borderId="0" xfId="0" applyNumberFormat="1"/>
    <xf numFmtId="0" fontId="0" fillId="6" borderId="1" xfId="0" applyFill="1" applyBorder="1" applyAlignment="1">
      <alignment horizontal="center" wrapText="1"/>
    </xf>
    <xf numFmtId="3" fontId="0" fillId="6" borderId="2" xfId="0" applyNumberFormat="1" applyFill="1" applyBorder="1"/>
    <xf numFmtId="3" fontId="0" fillId="6" borderId="3" xfId="0" applyNumberFormat="1" applyFill="1" applyBorder="1"/>
    <xf numFmtId="0" fontId="0" fillId="6" borderId="0" xfId="0" applyFill="1"/>
    <xf numFmtId="0" fontId="0" fillId="7" borderId="1" xfId="0" applyFill="1" applyBorder="1" applyAlignment="1">
      <alignment horizontal="center" wrapText="1"/>
    </xf>
    <xf numFmtId="38" fontId="0" fillId="7" borderId="0" xfId="0" applyNumberFormat="1" applyFill="1"/>
    <xf numFmtId="164" fontId="0" fillId="7" borderId="0" xfId="0" applyNumberFormat="1" applyFill="1"/>
    <xf numFmtId="164" fontId="0" fillId="7" borderId="2" xfId="0" applyNumberFormat="1" applyFill="1" applyBorder="1"/>
    <xf numFmtId="38" fontId="0" fillId="4" borderId="1" xfId="0" applyNumberFormat="1" applyFill="1" applyBorder="1" applyAlignment="1">
      <alignment horizontal="center" wrapText="1"/>
    </xf>
    <xf numFmtId="38" fontId="0" fillId="4" borderId="2" xfId="0" applyNumberFormat="1" applyFill="1" applyBorder="1"/>
    <xf numFmtId="38" fontId="0" fillId="4" borderId="3" xfId="0" applyNumberFormat="1" applyFill="1" applyBorder="1"/>
    <xf numFmtId="38" fontId="0" fillId="7" borderId="2" xfId="0" applyNumberFormat="1" applyFill="1" applyBorder="1"/>
    <xf numFmtId="38" fontId="0" fillId="7" borderId="3" xfId="0" applyNumberFormat="1" applyFill="1" applyBorder="1"/>
    <xf numFmtId="165" fontId="0" fillId="2" borderId="0" xfId="0" applyNumberFormat="1" applyFill="1"/>
    <xf numFmtId="0" fontId="0" fillId="5" borderId="0" xfId="0" applyFill="1" applyAlignment="1">
      <alignment wrapText="1"/>
    </xf>
    <xf numFmtId="0" fontId="0" fillId="5" borderId="0" xfId="0" applyFill="1" applyAlignment="1">
      <alignment horizontal="center" wrapText="1"/>
    </xf>
    <xf numFmtId="164" fontId="0" fillId="5" borderId="0" xfId="0" applyNumberFormat="1" applyFill="1"/>
    <xf numFmtId="3" fontId="0" fillId="7" borderId="3" xfId="0" applyNumberFormat="1" applyFill="1" applyBorder="1"/>
    <xf numFmtId="3" fontId="0" fillId="7" borderId="4" xfId="0" applyNumberFormat="1" applyFill="1" applyBorder="1"/>
    <xf numFmtId="10" fontId="0" fillId="2" borderId="0" xfId="0" applyNumberFormat="1" applyFill="1"/>
    <xf numFmtId="165" fontId="0" fillId="0" borderId="0" xfId="0" applyNumberFormat="1"/>
    <xf numFmtId="166" fontId="0" fillId="5" borderId="0" xfId="0" applyNumberFormat="1" applyFill="1"/>
    <xf numFmtId="0" fontId="0" fillId="0" borderId="0" xfId="0" applyAlignment="1">
      <alignment horizontal="center" wrapText="1"/>
    </xf>
    <xf numFmtId="165" fontId="0" fillId="4" borderId="0" xfId="0" applyNumberFormat="1" applyFill="1"/>
    <xf numFmtId="167" fontId="0" fillId="2" borderId="0" xfId="0" applyNumberFormat="1" applyFill="1"/>
    <xf numFmtId="168" fontId="0" fillId="8" borderId="0" xfId="0" applyNumberFormat="1" applyFill="1"/>
    <xf numFmtId="166" fontId="0" fillId="2" borderId="0" xfId="0" applyNumberFormat="1" applyFill="1"/>
    <xf numFmtId="165" fontId="0" fillId="8" borderId="0" xfId="0" applyNumberFormat="1" applyFill="1"/>
    <xf numFmtId="165" fontId="0" fillId="3" borderId="0" xfId="0" applyNumberFormat="1" applyFill="1"/>
    <xf numFmtId="167" fontId="0" fillId="5" borderId="0" xfId="0" applyNumberFormat="1" applyFill="1"/>
    <xf numFmtId="169" fontId="0" fillId="5" borderId="0" xfId="0" applyNumberFormat="1" applyFill="1"/>
    <xf numFmtId="10" fontId="0" fillId="4" borderId="0" xfId="0" applyNumberFormat="1" applyFill="1"/>
    <xf numFmtId="0" fontId="7" fillId="2" borderId="0" xfId="0" applyFont="1" applyFill="1" applyAlignment="1">
      <alignment horizontal="center" wrapText="1"/>
    </xf>
    <xf numFmtId="0" fontId="7" fillId="9" borderId="0" xfId="0" applyFont="1" applyFill="1" applyAlignment="1">
      <alignment horizontal="center" wrapText="1"/>
    </xf>
    <xf numFmtId="3" fontId="0" fillId="0" borderId="0" xfId="0" applyNumberFormat="1"/>
    <xf numFmtId="0" fontId="7" fillId="0" borderId="0" xfId="0" applyFont="1" applyAlignment="1">
      <alignment horizontal="center" wrapText="1"/>
    </xf>
    <xf numFmtId="166" fontId="0" fillId="10" borderId="0" xfId="0" applyNumberFormat="1" applyFill="1"/>
    <xf numFmtId="0" fontId="7" fillId="0" borderId="0" xfId="0" applyFont="1"/>
    <xf numFmtId="38" fontId="0" fillId="11" borderId="0" xfId="0" applyNumberFormat="1" applyFill="1"/>
    <xf numFmtId="3" fontId="0" fillId="11" borderId="0" xfId="0" applyNumberFormat="1" applyFill="1"/>
    <xf numFmtId="0" fontId="0" fillId="11" borderId="0" xfId="0" applyFill="1"/>
    <xf numFmtId="3" fontId="0" fillId="12" borderId="0" xfId="0" applyNumberFormat="1" applyFill="1"/>
    <xf numFmtId="38" fontId="0" fillId="12" borderId="0" xfId="0" applyNumberFormat="1" applyFill="1"/>
    <xf numFmtId="0" fontId="7" fillId="5" borderId="0" xfId="0" applyFont="1" applyFill="1"/>
    <xf numFmtId="164" fontId="0" fillId="0" borderId="0" xfId="0" applyNumberFormat="1"/>
    <xf numFmtId="3" fontId="0" fillId="13" borderId="0" xfId="0" applyNumberFormat="1" applyFill="1"/>
    <xf numFmtId="0" fontId="0" fillId="12" borderId="0" xfId="0" applyFill="1"/>
    <xf numFmtId="165" fontId="0" fillId="11" borderId="0" xfId="0" applyNumberFormat="1" applyFill="1"/>
    <xf numFmtId="165" fontId="0" fillId="5" borderId="0" xfId="0" applyNumberFormat="1" applyFill="1"/>
    <xf numFmtId="38" fontId="0" fillId="0" borderId="0" xfId="0" applyNumberFormat="1"/>
    <xf numFmtId="164" fontId="0" fillId="13" borderId="0" xfId="0" applyNumberFormat="1" applyFill="1"/>
    <xf numFmtId="10" fontId="0" fillId="13" borderId="0" xfId="0" applyNumberFormat="1" applyFill="1"/>
    <xf numFmtId="0" fontId="0" fillId="13" borderId="0" xfId="0" applyFill="1"/>
    <xf numFmtId="1" fontId="0" fillId="11" borderId="0" xfId="0" applyNumberFormat="1" applyFill="1"/>
    <xf numFmtId="164" fontId="0" fillId="11" borderId="0" xfId="0" applyNumberFormat="1" applyFill="1"/>
    <xf numFmtId="0" fontId="0" fillId="11" borderId="1" xfId="0" applyFill="1" applyBorder="1" applyAlignment="1">
      <alignment horizontal="center" wrapText="1"/>
    </xf>
    <xf numFmtId="3" fontId="0" fillId="11" borderId="2" xfId="0" applyNumberFormat="1" applyFill="1" applyBorder="1"/>
    <xf numFmtId="3" fontId="0" fillId="11" borderId="3" xfId="0" applyNumberFormat="1" applyFill="1" applyBorder="1"/>
    <xf numFmtId="3" fontId="0" fillId="11" borderId="4" xfId="0" applyNumberFormat="1" applyFill="1" applyBorder="1"/>
    <xf numFmtId="0" fontId="10" fillId="0" borderId="0" xfId="0" applyFont="1" applyAlignment="1">
      <alignment horizontal="center" wrapText="1"/>
    </xf>
    <xf numFmtId="14" fontId="0" fillId="0" borderId="0" xfId="0" applyNumberFormat="1"/>
    <xf numFmtId="0" fontId="10" fillId="0" borderId="1" xfId="0" applyFont="1" applyBorder="1" applyAlignment="1">
      <alignment horizontal="center" wrapText="1"/>
    </xf>
    <xf numFmtId="0" fontId="7" fillId="0" borderId="1" xfId="0" applyFont="1" applyBorder="1"/>
    <xf numFmtId="14" fontId="0" fillId="0" borderId="1" xfId="0" applyNumberFormat="1" applyBorder="1"/>
    <xf numFmtId="38" fontId="0" fillId="0" borderId="1" xfId="0" applyNumberFormat="1" applyBorder="1"/>
    <xf numFmtId="0" fontId="0" fillId="0" borderId="1" xfId="0" applyBorder="1"/>
    <xf numFmtId="14" fontId="7" fillId="0" borderId="1" xfId="0" applyNumberFormat="1" applyFont="1" applyBorder="1"/>
    <xf numFmtId="38" fontId="0" fillId="14" borderId="1" xfId="0" applyNumberFormat="1" applyFill="1" applyBorder="1"/>
    <xf numFmtId="0" fontId="7" fillId="15" borderId="0" xfId="0" applyFont="1" applyFill="1" applyAlignment="1">
      <alignment horizontal="center" wrapText="1"/>
    </xf>
    <xf numFmtId="0" fontId="7" fillId="16" borderId="0" xfId="0" applyFont="1" applyFill="1" applyAlignment="1">
      <alignment horizontal="center" wrapText="1"/>
    </xf>
    <xf numFmtId="0" fontId="7" fillId="17" borderId="0" xfId="0" applyFont="1" applyFill="1" applyAlignment="1">
      <alignment horizontal="center" wrapText="1"/>
    </xf>
    <xf numFmtId="0" fontId="0" fillId="0" borderId="0" xfId="0" applyAlignment="1">
      <alignment horizontal="left"/>
    </xf>
    <xf numFmtId="1" fontId="11" fillId="0" borderId="0" xfId="0" applyNumberFormat="1" applyFont="1"/>
    <xf numFmtId="0" fontId="11" fillId="0" borderId="0" xfId="0" applyFont="1"/>
    <xf numFmtId="0" fontId="7" fillId="0" borderId="0" xfId="0" applyFont="1" applyAlignment="1">
      <alignment horizontal="left"/>
    </xf>
    <xf numFmtId="0" fontId="11" fillId="0" borderId="1" xfId="0" applyFont="1" applyBorder="1" applyAlignment="1">
      <alignment horizontal="center" wrapText="1"/>
    </xf>
    <xf numFmtId="0" fontId="7" fillId="0" borderId="1" xfId="0" applyFont="1" applyBorder="1" applyAlignment="1">
      <alignment horizontal="center" wrapText="1"/>
    </xf>
    <xf numFmtId="0" fontId="11" fillId="19" borderId="1" xfId="0" applyFont="1" applyFill="1" applyBorder="1" applyAlignment="1">
      <alignment horizontal="center" wrapText="1"/>
    </xf>
    <xf numFmtId="3" fontId="0" fillId="0" borderId="1" xfId="0" applyNumberFormat="1" applyBorder="1"/>
    <xf numFmtId="170" fontId="0" fillId="13" borderId="1" xfId="0" applyNumberFormat="1" applyFill="1" applyBorder="1"/>
    <xf numFmtId="170" fontId="0" fillId="0" borderId="1" xfId="0" applyNumberFormat="1" applyBorder="1"/>
    <xf numFmtId="170" fontId="0" fillId="18" borderId="1" xfId="0" applyNumberFormat="1" applyFill="1" applyBorder="1"/>
    <xf numFmtId="0" fontId="10" fillId="0" borderId="0" xfId="0" applyFont="1"/>
    <xf numFmtId="0" fontId="12" fillId="0" borderId="0" xfId="0" applyFont="1"/>
    <xf numFmtId="0" fontId="10" fillId="0" borderId="1" xfId="0" applyFont="1" applyBorder="1" applyAlignment="1">
      <alignment horizontal="center"/>
    </xf>
    <xf numFmtId="0" fontId="10" fillId="0" borderId="1" xfId="0" applyFont="1" applyBorder="1"/>
    <xf numFmtId="164" fontId="0" fillId="0" borderId="1" xfId="0" applyNumberFormat="1" applyBorder="1"/>
    <xf numFmtId="3" fontId="0" fillId="20" borderId="1" xfId="0" applyNumberFormat="1" applyFill="1" applyBorder="1"/>
    <xf numFmtId="164" fontId="0" fillId="20" borderId="1" xfId="0" applyNumberFormat="1" applyFill="1" applyBorder="1"/>
    <xf numFmtId="164" fontId="0" fillId="20" borderId="0" xfId="0" applyNumberFormat="1" applyFill="1"/>
    <xf numFmtId="164" fontId="7" fillId="0" borderId="1" xfId="0" applyNumberFormat="1" applyFont="1" applyBorder="1"/>
    <xf numFmtId="171" fontId="0" fillId="0" borderId="1" xfId="0" applyNumberFormat="1" applyBorder="1"/>
    <xf numFmtId="3" fontId="0" fillId="20" borderId="1" xfId="0" applyNumberFormat="1" applyFill="1" applyBorder="1" applyAlignment="1">
      <alignment wrapText="1"/>
    </xf>
    <xf numFmtId="0" fontId="0" fillId="0" borderId="1" xfId="0" applyBorder="1" applyAlignment="1">
      <alignment horizontal="center" wrapText="1"/>
    </xf>
    <xf numFmtId="3" fontId="0" fillId="11" borderId="1" xfId="0" applyNumberFormat="1" applyFill="1" applyBorder="1"/>
    <xf numFmtId="0" fontId="0" fillId="11" borderId="1" xfId="0" applyFill="1" applyBorder="1"/>
    <xf numFmtId="38" fontId="0" fillId="11" borderId="1" xfId="0" applyNumberFormat="1" applyFill="1" applyBorder="1"/>
    <xf numFmtId="0" fontId="10" fillId="0" borderId="1" xfId="0" applyFont="1" applyBorder="1" applyAlignment="1">
      <alignment horizontal="left" wrapText="1"/>
    </xf>
    <xf numFmtId="0" fontId="10" fillId="0" borderId="1" xfId="0" applyFont="1" applyBorder="1" applyAlignment="1">
      <alignment wrapText="1"/>
    </xf>
    <xf numFmtId="0" fontId="7" fillId="4" borderId="1" xfId="0" applyFont="1" applyFill="1" applyBorder="1" applyAlignment="1">
      <alignment horizontal="center" wrapText="1"/>
    </xf>
    <xf numFmtId="3" fontId="10" fillId="0" borderId="1" xfId="0" applyNumberFormat="1" applyFont="1" applyBorder="1" applyAlignment="1">
      <alignment horizontal="center" wrapText="1"/>
    </xf>
    <xf numFmtId="3" fontId="0" fillId="13" borderId="1" xfId="0" applyNumberFormat="1" applyFill="1" applyBorder="1"/>
    <xf numFmtId="0" fontId="7" fillId="14" borderId="0" xfId="0" applyFont="1" applyFill="1" applyAlignment="1">
      <alignment horizontal="center" wrapText="1"/>
    </xf>
    <xf numFmtId="0" fontId="7" fillId="11" borderId="0" xfId="0" applyFont="1" applyFill="1"/>
    <xf numFmtId="38" fontId="7" fillId="11" borderId="0" xfId="0" applyNumberFormat="1" applyFont="1" applyFill="1"/>
    <xf numFmtId="38" fontId="0" fillId="11" borderId="3" xfId="0" applyNumberFormat="1" applyFill="1" applyBorder="1"/>
    <xf numFmtId="0" fontId="7" fillId="12" borderId="0" xfId="0" applyFont="1" applyFill="1" applyAlignment="1">
      <alignment horizontal="center" wrapText="1"/>
    </xf>
    <xf numFmtId="0" fontId="13" fillId="0" borderId="0" xfId="0" applyFont="1"/>
    <xf numFmtId="3" fontId="0" fillId="14" borderId="0" xfId="0" applyNumberFormat="1" applyFill="1"/>
    <xf numFmtId="3" fontId="0" fillId="21" borderId="0" xfId="0" applyNumberFormat="1" applyFill="1"/>
    <xf numFmtId="165" fontId="0" fillId="13" borderId="0" xfId="0" applyNumberFormat="1" applyFill="1"/>
    <xf numFmtId="3" fontId="7" fillId="0" borderId="0" xfId="0" applyNumberFormat="1" applyFont="1"/>
    <xf numFmtId="1" fontId="0" fillId="0" borderId="0" xfId="0" applyNumberFormat="1"/>
    <xf numFmtId="0" fontId="7" fillId="0" borderId="0" xfId="0" applyFont="1" applyAlignment="1">
      <alignment horizontal="center" vertical="center" wrapText="1"/>
    </xf>
    <xf numFmtId="9" fontId="0" fillId="12" borderId="0" xfId="1" applyFont="1" applyFill="1"/>
    <xf numFmtId="9" fontId="0" fillId="0" borderId="0" xfId="0" applyNumberFormat="1"/>
    <xf numFmtId="0" fontId="16" fillId="22" borderId="5" xfId="0" applyFont="1" applyFill="1" applyBorder="1" applyAlignment="1">
      <alignment horizontal="left" vertical="top" wrapText="1" readingOrder="1"/>
    </xf>
    <xf numFmtId="172" fontId="17" fillId="0" borderId="6" xfId="0" applyNumberFormat="1" applyFont="1" applyBorder="1" applyAlignment="1">
      <alignment vertical="top" wrapText="1" readingOrder="1"/>
    </xf>
    <xf numFmtId="0" fontId="18" fillId="0" borderId="0" xfId="0" applyFont="1"/>
    <xf numFmtId="3" fontId="0" fillId="12" borderId="1" xfId="0" applyNumberFormat="1" applyFill="1" applyBorder="1"/>
    <xf numFmtId="1" fontId="0" fillId="21" borderId="0" xfId="0" applyNumberFormat="1" applyFill="1"/>
    <xf numFmtId="10" fontId="0" fillId="12" borderId="0" xfId="0" applyNumberFormat="1" applyFill="1"/>
    <xf numFmtId="0" fontId="10" fillId="0" borderId="1" xfId="0" applyFont="1" applyBorder="1" applyAlignment="1">
      <alignment horizontal="center" vertical="center" wrapText="1"/>
    </xf>
    <xf numFmtId="0" fontId="10" fillId="23" borderId="1" xfId="0" applyFont="1" applyFill="1" applyBorder="1" applyAlignment="1">
      <alignment horizontal="center" vertical="center" wrapText="1"/>
    </xf>
    <xf numFmtId="0" fontId="10" fillId="24" borderId="1" xfId="0" applyFont="1" applyFill="1" applyBorder="1" applyAlignment="1">
      <alignment horizontal="center" vertical="center" wrapText="1"/>
    </xf>
    <xf numFmtId="3" fontId="0" fillId="23" borderId="1" xfId="0" applyNumberFormat="1" applyFill="1" applyBorder="1"/>
    <xf numFmtId="173" fontId="0" fillId="23" borderId="1" xfId="0" applyNumberFormat="1" applyFill="1" applyBorder="1"/>
    <xf numFmtId="173" fontId="0" fillId="24" borderId="1" xfId="0" applyNumberFormat="1" applyFill="1" applyBorder="1"/>
    <xf numFmtId="173" fontId="0" fillId="11" borderId="1" xfId="0" applyNumberFormat="1" applyFill="1" applyBorder="1"/>
    <xf numFmtId="8" fontId="0" fillId="12" borderId="1" xfId="0" applyNumberFormat="1" applyFill="1" applyBorder="1"/>
    <xf numFmtId="6" fontId="0" fillId="24" borderId="1" xfId="0" applyNumberFormat="1" applyFill="1" applyBorder="1"/>
    <xf numFmtId="173" fontId="0" fillId="12" borderId="1" xfId="2" applyNumberFormat="1" applyFont="1" applyFill="1" applyBorder="1"/>
    <xf numFmtId="8" fontId="0" fillId="0" borderId="1" xfId="0" applyNumberFormat="1" applyBorder="1"/>
    <xf numFmtId="173" fontId="0" fillId="11" borderId="1" xfId="2" applyNumberFormat="1" applyFont="1" applyFill="1" applyBorder="1"/>
    <xf numFmtId="6" fontId="0" fillId="11" borderId="1" xfId="0" applyNumberFormat="1" applyFill="1" applyBorder="1"/>
    <xf numFmtId="0" fontId="0" fillId="0" borderId="4" xfId="0" applyBorder="1"/>
    <xf numFmtId="3" fontId="0" fillId="0" borderId="4" xfId="0" applyNumberFormat="1" applyBorder="1"/>
    <xf numFmtId="173" fontId="0" fillId="0" borderId="1" xfId="2" applyNumberFormat="1" applyFont="1" applyFill="1" applyBorder="1"/>
    <xf numFmtId="10" fontId="0" fillId="0" borderId="1" xfId="1" applyNumberFormat="1" applyFont="1" applyFill="1" applyBorder="1"/>
    <xf numFmtId="173" fontId="0" fillId="0" borderId="1" xfId="0" applyNumberFormat="1" applyBorder="1"/>
    <xf numFmtId="6" fontId="0" fillId="0" borderId="1" xfId="0" applyNumberFormat="1" applyBorder="1"/>
    <xf numFmtId="8" fontId="0" fillId="11" borderId="1" xfId="0" applyNumberFormat="1" applyFill="1" applyBorder="1"/>
    <xf numFmtId="3" fontId="10" fillId="0" borderId="0" xfId="0" applyNumberFormat="1" applyFont="1" applyAlignment="1">
      <alignment horizontal="left" wrapText="1"/>
    </xf>
    <xf numFmtId="172" fontId="17" fillId="13" borderId="6" xfId="0" applyNumberFormat="1" applyFont="1" applyFill="1" applyBorder="1" applyAlignment="1">
      <alignment vertical="top" wrapText="1" readingOrder="1"/>
    </xf>
    <xf numFmtId="0" fontId="10" fillId="17" borderId="1" xfId="0" applyFont="1" applyFill="1" applyBorder="1" applyAlignment="1">
      <alignment horizontal="center" vertical="center" wrapText="1"/>
    </xf>
    <xf numFmtId="6" fontId="0" fillId="17" borderId="1" xfId="0" applyNumberFormat="1" applyFill="1" applyBorder="1"/>
    <xf numFmtId="6" fontId="0" fillId="0" borderId="0" xfId="0" applyNumberFormat="1"/>
    <xf numFmtId="164" fontId="7" fillId="12" borderId="0" xfId="0" applyNumberFormat="1" applyFont="1" applyFill="1"/>
    <xf numFmtId="175" fontId="0" fillId="0" borderId="0" xfId="0" applyNumberFormat="1"/>
    <xf numFmtId="175" fontId="0" fillId="12" borderId="0" xfId="0" applyNumberFormat="1" applyFill="1"/>
    <xf numFmtId="164" fontId="0" fillId="25" borderId="0" xfId="0" applyNumberFormat="1" applyFill="1"/>
    <xf numFmtId="170" fontId="0" fillId="0" borderId="0" xfId="0" applyNumberFormat="1"/>
    <xf numFmtId="0" fontId="0" fillId="0" borderId="1" xfId="0" applyBorder="1" applyAlignment="1">
      <alignment wrapText="1"/>
    </xf>
    <xf numFmtId="0" fontId="16" fillId="22" borderId="1" xfId="0" applyFont="1" applyFill="1" applyBorder="1" applyAlignment="1">
      <alignment horizontal="center" wrapText="1" readingOrder="1"/>
    </xf>
    <xf numFmtId="9" fontId="0" fillId="0" borderId="1" xfId="0" applyNumberFormat="1" applyBorder="1"/>
    <xf numFmtId="172" fontId="14" fillId="0" borderId="1" xfId="0" applyNumberFormat="1" applyFont="1" applyBorder="1" applyAlignment="1">
      <alignment vertical="top" wrapText="1" readingOrder="1"/>
    </xf>
    <xf numFmtId="172" fontId="14" fillId="26" borderId="1" xfId="0" applyNumberFormat="1" applyFont="1" applyFill="1" applyBorder="1" applyAlignment="1">
      <alignment vertical="top" wrapText="1" readingOrder="1"/>
    </xf>
    <xf numFmtId="167" fontId="0" fillId="0" borderId="1" xfId="0" applyNumberFormat="1" applyBorder="1"/>
    <xf numFmtId="0" fontId="7" fillId="0" borderId="1" xfId="0" applyFont="1" applyBorder="1" applyAlignment="1">
      <alignment wrapText="1"/>
    </xf>
    <xf numFmtId="172" fontId="0" fillId="0" borderId="0" xfId="0" applyNumberFormat="1"/>
    <xf numFmtId="174" fontId="0" fillId="0" borderId="0" xfId="0" applyNumberFormat="1"/>
    <xf numFmtId="175" fontId="0" fillId="0" borderId="1" xfId="0" applyNumberFormat="1" applyBorder="1"/>
    <xf numFmtId="174" fontId="0" fillId="13" borderId="0" xfId="0" applyNumberFormat="1" applyFill="1"/>
    <xf numFmtId="6" fontId="7" fillId="0" borderId="0" xfId="0" applyNumberFormat="1" applyFont="1"/>
    <xf numFmtId="1" fontId="0" fillId="12" borderId="0" xfId="0" applyNumberFormat="1" applyFill="1"/>
    <xf numFmtId="3" fontId="10" fillId="0" borderId="1" xfId="0" applyNumberFormat="1" applyFont="1" applyBorder="1"/>
    <xf numFmtId="0" fontId="7" fillId="12" borderId="0" xfId="0" applyFont="1" applyFill="1"/>
    <xf numFmtId="0" fontId="10" fillId="25" borderId="0" xfId="0" applyFont="1" applyFill="1" applyAlignment="1">
      <alignment horizontal="center" vertical="center" wrapText="1"/>
    </xf>
    <xf numFmtId="3" fontId="0" fillId="25" borderId="0" xfId="0" applyNumberFormat="1" applyFill="1"/>
    <xf numFmtId="0" fontId="11" fillId="25" borderId="3" xfId="0" applyFont="1" applyFill="1" applyBorder="1" applyAlignment="1">
      <alignment horizontal="center" wrapText="1"/>
    </xf>
    <xf numFmtId="0" fontId="0" fillId="25" borderId="0" xfId="0" applyFill="1"/>
    <xf numFmtId="3" fontId="0" fillId="25" borderId="3" xfId="0" applyNumberFormat="1" applyFill="1" applyBorder="1"/>
    <xf numFmtId="3" fontId="0" fillId="0" borderId="8" xfId="0" applyNumberFormat="1" applyBorder="1"/>
    <xf numFmtId="3" fontId="0" fillId="25" borderId="9" xfId="0" applyNumberFormat="1" applyFill="1" applyBorder="1"/>
    <xf numFmtId="1" fontId="0" fillId="0" borderId="1" xfId="0" applyNumberFormat="1" applyBorder="1"/>
    <xf numFmtId="3" fontId="0" fillId="19" borderId="0" xfId="0" applyNumberFormat="1" applyFill="1"/>
    <xf numFmtId="3" fontId="0" fillId="27" borderId="0" xfId="0" applyNumberFormat="1" applyFill="1"/>
    <xf numFmtId="38" fontId="0" fillId="27" borderId="0" xfId="0" applyNumberFormat="1" applyFill="1"/>
    <xf numFmtId="37" fontId="0" fillId="27" borderId="0" xfId="0" applyNumberFormat="1" applyFill="1"/>
    <xf numFmtId="164" fontId="0" fillId="27" borderId="0" xfId="0" applyNumberFormat="1" applyFill="1"/>
    <xf numFmtId="38" fontId="0" fillId="25" borderId="0" xfId="0" applyNumberFormat="1" applyFill="1"/>
    <xf numFmtId="0" fontId="0" fillId="4" borderId="0" xfId="0" applyFill="1" applyAlignment="1">
      <alignment horizontal="center" wrapText="1"/>
    </xf>
    <xf numFmtId="3" fontId="0" fillId="0" borderId="0" xfId="0" applyNumberFormat="1" applyAlignment="1">
      <alignment wrapText="1"/>
    </xf>
    <xf numFmtId="3" fontId="0" fillId="0" borderId="0" xfId="0" applyNumberFormat="1" applyAlignment="1">
      <alignment horizontal="center" wrapText="1"/>
    </xf>
    <xf numFmtId="0" fontId="10" fillId="0" borderId="0" xfId="0" applyFont="1" applyAlignment="1">
      <alignment horizontal="center" vertical="center" wrapText="1"/>
    </xf>
    <xf numFmtId="173" fontId="0" fillId="0" borderId="0" xfId="2" applyNumberFormat="1" applyFont="1" applyFill="1" applyBorder="1"/>
    <xf numFmtId="3" fontId="0" fillId="23" borderId="0" xfId="0" applyNumberFormat="1" applyFill="1"/>
    <xf numFmtId="9" fontId="0" fillId="12" borderId="0" xfId="0" applyNumberFormat="1" applyFill="1"/>
    <xf numFmtId="173" fontId="0" fillId="23" borderId="0" xfId="0" applyNumberFormat="1" applyFill="1"/>
    <xf numFmtId="173" fontId="0" fillId="24" borderId="0" xfId="0" applyNumberFormat="1" applyFill="1"/>
    <xf numFmtId="174" fontId="0" fillId="23" borderId="0" xfId="3" applyNumberFormat="1" applyFont="1" applyFill="1" applyBorder="1"/>
    <xf numFmtId="174" fontId="0" fillId="24" borderId="0" xfId="3" applyNumberFormat="1" applyFont="1" applyFill="1" applyBorder="1"/>
    <xf numFmtId="8" fontId="0" fillId="24" borderId="0" xfId="0" applyNumberFormat="1" applyFill="1"/>
    <xf numFmtId="6" fontId="0" fillId="23" borderId="0" xfId="0" applyNumberFormat="1" applyFill="1"/>
    <xf numFmtId="6" fontId="0" fillId="24" borderId="0" xfId="0" applyNumberFormat="1" applyFill="1"/>
    <xf numFmtId="6" fontId="0" fillId="17" borderId="0" xfId="0" applyNumberFormat="1" applyFill="1"/>
    <xf numFmtId="10" fontId="0" fillId="0" borderId="0" xfId="1" applyNumberFormat="1" applyFont="1" applyFill="1" applyBorder="1"/>
    <xf numFmtId="173" fontId="0" fillId="0" borderId="0" xfId="0" applyNumberFormat="1"/>
    <xf numFmtId="173" fontId="0" fillId="12" borderId="0" xfId="2" applyNumberFormat="1" applyFont="1" applyFill="1" applyBorder="1"/>
    <xf numFmtId="174" fontId="0" fillId="18" borderId="1" xfId="3" applyNumberFormat="1" applyFont="1" applyFill="1" applyBorder="1"/>
    <xf numFmtId="0" fontId="0" fillId="18" borderId="1" xfId="0" applyFill="1" applyBorder="1"/>
    <xf numFmtId="8" fontId="0" fillId="18" borderId="1" xfId="0" applyNumberFormat="1" applyFill="1" applyBorder="1"/>
    <xf numFmtId="6" fontId="0" fillId="18" borderId="1" xfId="0" applyNumberFormat="1" applyFill="1" applyBorder="1"/>
    <xf numFmtId="0" fontId="0" fillId="18" borderId="0" xfId="0" applyFill="1"/>
    <xf numFmtId="0" fontId="12" fillId="18" borderId="0" xfId="0" applyFont="1" applyFill="1"/>
    <xf numFmtId="173" fontId="0" fillId="18" borderId="1" xfId="2" applyNumberFormat="1" applyFont="1" applyFill="1" applyBorder="1"/>
    <xf numFmtId="174" fontId="0" fillId="28" borderId="1" xfId="3" applyNumberFormat="1" applyFont="1" applyFill="1" applyBorder="1"/>
    <xf numFmtId="8" fontId="0" fillId="28" borderId="1" xfId="0" applyNumberFormat="1" applyFill="1" applyBorder="1"/>
    <xf numFmtId="0" fontId="10" fillId="29" borderId="1" xfId="0" applyFont="1" applyFill="1" applyBorder="1" applyAlignment="1">
      <alignment horizontal="center" vertical="center" wrapText="1"/>
    </xf>
    <xf numFmtId="174" fontId="0" fillId="0" borderId="1" xfId="3" applyNumberFormat="1" applyFont="1" applyFill="1" applyBorder="1"/>
    <xf numFmtId="6" fontId="0" fillId="28" borderId="1" xfId="0" applyNumberFormat="1" applyFill="1" applyBorder="1"/>
    <xf numFmtId="0" fontId="0" fillId="30" borderId="0" xfId="0" applyFill="1"/>
    <xf numFmtId="0" fontId="0" fillId="28" borderId="0" xfId="0" applyFill="1"/>
    <xf numFmtId="174" fontId="0" fillId="11" borderId="1" xfId="0" applyNumberFormat="1" applyFill="1" applyBorder="1"/>
    <xf numFmtId="0" fontId="10" fillId="31" borderId="1" xfId="0" applyFont="1" applyFill="1" applyBorder="1" applyAlignment="1">
      <alignment horizontal="center" vertical="center" wrapText="1"/>
    </xf>
    <xf numFmtId="6" fontId="0" fillId="31" borderId="1" xfId="0" applyNumberFormat="1" applyFill="1" applyBorder="1"/>
    <xf numFmtId="0" fontId="0" fillId="31" borderId="1" xfId="0" applyFill="1" applyBorder="1"/>
    <xf numFmtId="8" fontId="0" fillId="31" borderId="1" xfId="0" applyNumberFormat="1" applyFill="1" applyBorder="1"/>
    <xf numFmtId="8" fontId="0" fillId="0" borderId="0" xfId="0" applyNumberFormat="1"/>
    <xf numFmtId="0" fontId="10" fillId="32" borderId="1" xfId="0" applyFont="1" applyFill="1" applyBorder="1" applyAlignment="1">
      <alignment horizontal="center" vertical="center" wrapText="1"/>
    </xf>
    <xf numFmtId="6" fontId="0" fillId="32" borderId="1" xfId="0" applyNumberFormat="1" applyFill="1" applyBorder="1"/>
    <xf numFmtId="6" fontId="0" fillId="32" borderId="0" xfId="0" applyNumberFormat="1" applyFill="1"/>
    <xf numFmtId="8" fontId="0" fillId="29" borderId="1" xfId="0" applyNumberFormat="1" applyFill="1" applyBorder="1"/>
    <xf numFmtId="6" fontId="0" fillId="29" borderId="0" xfId="0" applyNumberFormat="1" applyFill="1"/>
    <xf numFmtId="0" fontId="0" fillId="29" borderId="1" xfId="0" applyFill="1" applyBorder="1"/>
    <xf numFmtId="6" fontId="0" fillId="29" borderId="1" xfId="0" applyNumberFormat="1" applyFill="1" applyBorder="1"/>
    <xf numFmtId="0" fontId="0" fillId="29" borderId="0" xfId="0" applyFill="1"/>
    <xf numFmtId="0" fontId="0" fillId="31" borderId="0" xfId="0" applyFill="1"/>
    <xf numFmtId="0" fontId="0" fillId="32" borderId="1" xfId="0" applyFill="1" applyBorder="1"/>
    <xf numFmtId="0" fontId="0" fillId="17" borderId="1" xfId="0" applyFill="1" applyBorder="1"/>
    <xf numFmtId="6" fontId="0" fillId="31" borderId="0" xfId="0" applyNumberFormat="1" applyFill="1"/>
    <xf numFmtId="174" fontId="0" fillId="32" borderId="0" xfId="3" applyNumberFormat="1" applyFont="1" applyFill="1" applyBorder="1"/>
    <xf numFmtId="8" fontId="0" fillId="32" borderId="0" xfId="0" applyNumberFormat="1" applyFill="1"/>
    <xf numFmtId="8" fontId="0" fillId="29" borderId="0" xfId="0" applyNumberFormat="1" applyFill="1"/>
    <xf numFmtId="8" fontId="0" fillId="31" borderId="0" xfId="0" applyNumberFormat="1" applyFill="1"/>
    <xf numFmtId="172" fontId="18" fillId="13" borderId="0" xfId="0" applyNumberFormat="1" applyFont="1" applyFill="1"/>
    <xf numFmtId="38" fontId="0" fillId="21" borderId="0" xfId="0" applyNumberFormat="1" applyFill="1"/>
    <xf numFmtId="0" fontId="7" fillId="21" borderId="0" xfId="0" applyFont="1" applyFill="1" applyAlignment="1">
      <alignment horizontal="center" wrapText="1"/>
    </xf>
    <xf numFmtId="3" fontId="0" fillId="18" borderId="1" xfId="0" applyNumberFormat="1" applyFill="1" applyBorder="1"/>
    <xf numFmtId="0" fontId="7" fillId="0" borderId="0" xfId="0" applyFont="1" applyAlignment="1">
      <alignment wrapText="1"/>
    </xf>
    <xf numFmtId="164" fontId="7" fillId="0" borderId="0" xfId="0" applyNumberFormat="1" applyFont="1"/>
    <xf numFmtId="0" fontId="0" fillId="0" borderId="0" xfId="0" applyAlignment="1">
      <alignment wrapText="1"/>
    </xf>
    <xf numFmtId="0" fontId="7" fillId="11" borderId="0" xfId="0" applyFont="1" applyFill="1" applyAlignment="1">
      <alignment horizontal="center" wrapText="1"/>
    </xf>
    <xf numFmtId="0" fontId="7" fillId="18" borderId="0" xfId="0" applyFont="1" applyFill="1" applyAlignment="1">
      <alignment horizontal="center" wrapText="1"/>
    </xf>
    <xf numFmtId="176" fontId="0" fillId="13" borderId="0" xfId="0" applyNumberFormat="1" applyFill="1"/>
    <xf numFmtId="0" fontId="0" fillId="0" borderId="0" xfId="0" applyAlignment="1">
      <alignment horizontal="center"/>
    </xf>
    <xf numFmtId="0" fontId="10" fillId="0" borderId="0" xfId="0" applyFont="1" applyAlignment="1">
      <alignment horizontal="center"/>
    </xf>
    <xf numFmtId="176" fontId="0" fillId="0" borderId="0" xfId="0" applyNumberFormat="1"/>
    <xf numFmtId="177" fontId="0" fillId="13" borderId="0" xfId="0" applyNumberFormat="1" applyFill="1"/>
    <xf numFmtId="165" fontId="0" fillId="14" borderId="0" xfId="0" applyNumberFormat="1" applyFill="1"/>
    <xf numFmtId="14" fontId="0" fillId="13" borderId="0" xfId="0" applyNumberFormat="1" applyFill="1"/>
    <xf numFmtId="178" fontId="7" fillId="13" borderId="0" xfId="0" applyNumberFormat="1" applyFont="1" applyFill="1" applyAlignment="1">
      <alignment horizontal="center" wrapText="1"/>
    </xf>
    <xf numFmtId="165" fontId="7" fillId="13" borderId="0" xfId="0" applyNumberFormat="1" applyFont="1" applyFill="1" applyAlignment="1">
      <alignment horizontal="center" wrapText="1"/>
    </xf>
    <xf numFmtId="0" fontId="7" fillId="13" borderId="0" xfId="0" applyFont="1" applyFill="1" applyAlignment="1">
      <alignment horizontal="center" wrapText="1"/>
    </xf>
    <xf numFmtId="164" fontId="7" fillId="0" borderId="0" xfId="0" applyNumberFormat="1" applyFont="1" applyAlignment="1">
      <alignment horizontal="center" wrapText="1"/>
    </xf>
    <xf numFmtId="172" fontId="17" fillId="14" borderId="6" xfId="0" applyNumberFormat="1" applyFont="1" applyFill="1" applyBorder="1" applyAlignment="1">
      <alignment vertical="top" wrapText="1" readingOrder="1"/>
    </xf>
    <xf numFmtId="179" fontId="0" fillId="0" borderId="0" xfId="0" applyNumberFormat="1"/>
    <xf numFmtId="171" fontId="0" fillId="0" borderId="0" xfId="0" applyNumberFormat="1"/>
    <xf numFmtId="0" fontId="7" fillId="6" borderId="0" xfId="0" applyFont="1" applyFill="1" applyAlignment="1">
      <alignment horizontal="center" wrapText="1"/>
    </xf>
    <xf numFmtId="0" fontId="10" fillId="31" borderId="7" xfId="0" applyFont="1" applyFill="1" applyBorder="1" applyAlignment="1">
      <alignment horizontal="center"/>
    </xf>
    <xf numFmtId="0" fontId="0" fillId="17" borderId="7" xfId="0" applyFill="1" applyBorder="1" applyAlignment="1">
      <alignment horizontal="center"/>
    </xf>
    <xf numFmtId="0" fontId="10" fillId="17" borderId="8" xfId="0" applyFont="1" applyFill="1" applyBorder="1" applyAlignment="1">
      <alignment horizontal="center" vertical="center" wrapText="1"/>
    </xf>
    <xf numFmtId="0" fontId="10" fillId="17" borderId="10" xfId="0" applyFont="1" applyFill="1" applyBorder="1" applyAlignment="1">
      <alignment horizontal="center" vertical="center" wrapText="1"/>
    </xf>
    <xf numFmtId="0" fontId="10" fillId="17" borderId="11" xfId="0" applyFont="1" applyFill="1" applyBorder="1" applyAlignment="1">
      <alignment horizontal="center" vertical="center" wrapText="1"/>
    </xf>
    <xf numFmtId="0" fontId="10" fillId="29" borderId="7" xfId="0" applyFont="1" applyFill="1" applyBorder="1" applyAlignment="1">
      <alignment horizontal="center"/>
    </xf>
    <xf numFmtId="0" fontId="10" fillId="24" borderId="7" xfId="0" applyFont="1" applyFill="1" applyBorder="1" applyAlignment="1">
      <alignment horizontal="center"/>
    </xf>
    <xf numFmtId="0" fontId="10" fillId="32" borderId="7" xfId="0" applyFont="1" applyFill="1" applyBorder="1" applyAlignment="1">
      <alignment horizontal="center"/>
    </xf>
  </cellXfs>
  <cellStyles count="4">
    <cellStyle name="Comma" xfId="2" builtinId="3"/>
    <cellStyle name="Currency" xfId="3" builtinId="4"/>
    <cellStyle name="Normal" xfId="0" builtinId="0"/>
    <cellStyle name="Percent" xfId="1" builtinId="5"/>
  </cellStyles>
  <dxfs count="8">
    <dxf>
      <fill>
        <patternFill>
          <bgColor rgb="FFFF0000"/>
        </patternFill>
      </fill>
    </dxf>
    <dxf>
      <font>
        <color rgb="FFFF0000"/>
      </font>
    </dxf>
    <dxf>
      <font>
        <color rgb="FFFF0000"/>
      </font>
    </dxf>
    <dxf>
      <font>
        <b/>
        <i val="0"/>
        <condense val="0"/>
        <extend val="0"/>
        <color indexed="10"/>
      </font>
    </dxf>
    <dxf>
      <font>
        <color rgb="FFFF0000"/>
      </font>
    </dxf>
    <dxf>
      <font>
        <b/>
        <i val="0"/>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C1D82F"/>
      <color rgb="FF0082C8"/>
      <color rgb="FFFFC000"/>
      <color rgb="FFED7D31"/>
      <color rgb="FFCCFFCC"/>
      <color rgb="FFEFFA8A"/>
      <color rgb="FFFF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7.xml"/><Relationship Id="rId18" Type="http://schemas.openxmlformats.org/officeDocument/2006/relationships/chartsheet" Target="chartsheets/sheet12.xml"/><Relationship Id="rId26" Type="http://schemas.openxmlformats.org/officeDocument/2006/relationships/worksheet" Target="worksheets/sheet11.xml"/><Relationship Id="rId39" Type="http://schemas.openxmlformats.org/officeDocument/2006/relationships/calcChain" Target="calcChain.xml"/><Relationship Id="rId21" Type="http://schemas.openxmlformats.org/officeDocument/2006/relationships/chartsheet" Target="chartsheets/sheet13.xml"/><Relationship Id="rId34" Type="http://schemas.openxmlformats.org/officeDocument/2006/relationships/chartsheet" Target="chartsheets/sheet16.xml"/><Relationship Id="rId42" Type="http://schemas.openxmlformats.org/officeDocument/2006/relationships/customXml" Target="../customXml/item3.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chartsheet" Target="chartsheets/sheet10.xml"/><Relationship Id="rId20" Type="http://schemas.openxmlformats.org/officeDocument/2006/relationships/worksheet" Target="worksheets/sheet8.xml"/><Relationship Id="rId29" Type="http://schemas.openxmlformats.org/officeDocument/2006/relationships/worksheet" Target="worksheets/sheet14.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5.xml"/><Relationship Id="rId24" Type="http://schemas.openxmlformats.org/officeDocument/2006/relationships/worksheet" Target="worksheets/sheet10.xml"/><Relationship Id="rId32" Type="http://schemas.openxmlformats.org/officeDocument/2006/relationships/worksheet" Target="worksheets/sheet17.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4.xml"/><Relationship Id="rId15" Type="http://schemas.openxmlformats.org/officeDocument/2006/relationships/chartsheet" Target="chartsheets/sheet9.xml"/><Relationship Id="rId23" Type="http://schemas.openxmlformats.org/officeDocument/2006/relationships/worksheet" Target="worksheets/sheet9.xml"/><Relationship Id="rId28" Type="http://schemas.openxmlformats.org/officeDocument/2006/relationships/worksheet" Target="worksheets/sheet13.xml"/><Relationship Id="rId36" Type="http://schemas.openxmlformats.org/officeDocument/2006/relationships/theme" Target="theme/theme1.xml"/><Relationship Id="rId10" Type="http://schemas.openxmlformats.org/officeDocument/2006/relationships/chartsheet" Target="chartsheets/sheet4.xml"/><Relationship Id="rId19" Type="http://schemas.openxmlformats.org/officeDocument/2006/relationships/worksheet" Target="worksheets/sheet7.xml"/><Relationship Id="rId31" Type="http://schemas.openxmlformats.org/officeDocument/2006/relationships/worksheet" Target="worksheets/sheet16.xml"/><Relationship Id="rId4" Type="http://schemas.openxmlformats.org/officeDocument/2006/relationships/chartsheet" Target="chartsheets/sheet1.xml"/><Relationship Id="rId9" Type="http://schemas.openxmlformats.org/officeDocument/2006/relationships/chartsheet" Target="chartsheets/sheet3.xml"/><Relationship Id="rId14" Type="http://schemas.openxmlformats.org/officeDocument/2006/relationships/chartsheet" Target="chartsheets/sheet8.xml"/><Relationship Id="rId22" Type="http://schemas.openxmlformats.org/officeDocument/2006/relationships/chartsheet" Target="chartsheets/sheet14.xml"/><Relationship Id="rId27" Type="http://schemas.openxmlformats.org/officeDocument/2006/relationships/worksheet" Target="worksheets/sheet12.xml"/><Relationship Id="rId30" Type="http://schemas.openxmlformats.org/officeDocument/2006/relationships/worksheet" Target="worksheets/sheet15.xml"/><Relationship Id="rId35" Type="http://schemas.openxmlformats.org/officeDocument/2006/relationships/externalLink" Target="externalLinks/externalLink1.xml"/><Relationship Id="rId8" Type="http://schemas.openxmlformats.org/officeDocument/2006/relationships/worksheet" Target="worksheets/sheet6.xml"/><Relationship Id="rId3" Type="http://schemas.openxmlformats.org/officeDocument/2006/relationships/worksheet" Target="worksheets/sheet3.xml"/><Relationship Id="rId12" Type="http://schemas.openxmlformats.org/officeDocument/2006/relationships/chartsheet" Target="chartsheets/sheet6.xml"/><Relationship Id="rId17" Type="http://schemas.openxmlformats.org/officeDocument/2006/relationships/chartsheet" Target="chartsheets/sheet11.xml"/><Relationship Id="rId25" Type="http://schemas.openxmlformats.org/officeDocument/2006/relationships/chartsheet" Target="chartsheets/sheet15.xml"/><Relationship Id="rId33" Type="http://schemas.openxmlformats.org/officeDocument/2006/relationships/worksheet" Target="worksheets/sheet18.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Base Average Annual Capacity Requirement vs Committed Resources
2015-2034</a:t>
            </a:r>
          </a:p>
        </c:rich>
      </c:tx>
      <c:layout>
        <c:manualLayout>
          <c:xMode val="edge"/>
          <c:yMode val="edge"/>
          <c:x val="0.24972248468941383"/>
          <c:y val="1.9575842708695782E-2"/>
        </c:manualLayout>
      </c:layout>
      <c:overlay val="0"/>
      <c:spPr>
        <a:noFill/>
        <a:ln w="25400">
          <a:noFill/>
        </a:ln>
      </c:spPr>
    </c:title>
    <c:autoTitleDeleted val="0"/>
    <c:plotArea>
      <c:layout>
        <c:manualLayout>
          <c:layoutTarget val="inner"/>
          <c:xMode val="edge"/>
          <c:yMode val="edge"/>
          <c:x val="9.1009988901220862E-2"/>
          <c:y val="0.1402936378466558"/>
          <c:w val="0.89789123196448395"/>
          <c:h val="0.74714518760195758"/>
        </c:manualLayout>
      </c:layout>
      <c:barChart>
        <c:barDir val="col"/>
        <c:grouping val="stacked"/>
        <c:varyColors val="0"/>
        <c:ser>
          <c:idx val="0"/>
          <c:order val="0"/>
          <c:tx>
            <c:strRef>
              <c:f>'Committed Capacity Data'!$M$2</c:f>
              <c:strCache>
                <c:ptCount val="1"/>
                <c:pt idx="0">
                  <c:v>NYPA</c:v>
                </c:pt>
              </c:strCache>
            </c:strRef>
          </c:tx>
          <c:spPr>
            <a:solidFill>
              <a:srgbClr val="0070C0"/>
            </a:solidFill>
            <a:ln w="25400">
              <a:noFill/>
            </a:ln>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Data'!$M$6:$M$25</c:f>
              <c:numCache>
                <c:formatCode>General</c:formatCode>
                <c:ptCount val="20"/>
                <c:pt idx="0">
                  <c:v>5.3580000000000005</c:v>
                </c:pt>
                <c:pt idx="1">
                  <c:v>5.3580000000000005</c:v>
                </c:pt>
                <c:pt idx="2">
                  <c:v>5.3580000000000005</c:v>
                </c:pt>
                <c:pt idx="3">
                  <c:v>5.3580000000000005</c:v>
                </c:pt>
                <c:pt idx="4">
                  <c:v>5.3580000000000005</c:v>
                </c:pt>
                <c:pt idx="5">
                  <c:v>5.3580000000000005</c:v>
                </c:pt>
                <c:pt idx="6">
                  <c:v>5.3580000000000005</c:v>
                </c:pt>
                <c:pt idx="7">
                  <c:v>5.3580000000000005</c:v>
                </c:pt>
                <c:pt idx="8">
                  <c:v>5.3580000000000005</c:v>
                </c:pt>
                <c:pt idx="9">
                  <c:v>5.3580000000000005</c:v>
                </c:pt>
                <c:pt idx="10">
                  <c:v>5.3580000000000005</c:v>
                </c:pt>
                <c:pt idx="11">
                  <c:v>5.3580000000000005</c:v>
                </c:pt>
                <c:pt idx="12">
                  <c:v>5.3580000000000005</c:v>
                </c:pt>
                <c:pt idx="13">
                  <c:v>5.3580000000000005</c:v>
                </c:pt>
                <c:pt idx="14">
                  <c:v>5.3580000000000005</c:v>
                </c:pt>
                <c:pt idx="15">
                  <c:v>5.3580000000000005</c:v>
                </c:pt>
                <c:pt idx="16">
                  <c:v>5.3580000000000005</c:v>
                </c:pt>
                <c:pt idx="17">
                  <c:v>5.3580000000000005</c:v>
                </c:pt>
                <c:pt idx="18">
                  <c:v>5.3580000000000005</c:v>
                </c:pt>
                <c:pt idx="19">
                  <c:v>5.3580000000000005</c:v>
                </c:pt>
              </c:numCache>
            </c:numRef>
          </c:val>
          <c:extLst>
            <c:ext xmlns:c16="http://schemas.microsoft.com/office/drawing/2014/chart" uri="{C3380CC4-5D6E-409C-BE32-E72D297353CC}">
              <c16:uniqueId val="{00000000-F2F6-46DC-9E4D-A9D02265D701}"/>
            </c:ext>
          </c:extLst>
        </c:ser>
        <c:ser>
          <c:idx val="1"/>
          <c:order val="1"/>
          <c:tx>
            <c:strRef>
              <c:f>'Committed Capacity Data'!$N$2</c:f>
              <c:strCache>
                <c:ptCount val="1"/>
                <c:pt idx="0">
                  <c:v>HQ</c:v>
                </c:pt>
              </c:strCache>
            </c:strRef>
          </c:tx>
          <c:spPr>
            <a:solidFill>
              <a:srgbClr val="00B0F0"/>
            </a:solidFill>
            <a:ln w="25400">
              <a:noFill/>
            </a:ln>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Data'!$N$6:$N$25</c:f>
              <c:numCache>
                <c:formatCode>General</c:formatCode>
                <c:ptCount val="20"/>
                <c:pt idx="0">
                  <c:v>6.1210000000000004</c:v>
                </c:pt>
                <c:pt idx="1">
                  <c:v>5.6710000000000003</c:v>
                </c:pt>
                <c:pt idx="2">
                  <c:v>5.6710000000000003</c:v>
                </c:pt>
                <c:pt idx="3">
                  <c:v>5.6710000000000003</c:v>
                </c:pt>
                <c:pt idx="4">
                  <c:v>5.6710000000000003</c:v>
                </c:pt>
                <c:pt idx="5">
                  <c:v>5.6710000000000003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F2F6-46DC-9E4D-A9D02265D701}"/>
            </c:ext>
          </c:extLst>
        </c:ser>
        <c:ser>
          <c:idx val="2"/>
          <c:order val="2"/>
          <c:tx>
            <c:strRef>
              <c:f>'Committed Capacity Data'!$O$2</c:f>
              <c:strCache>
                <c:ptCount val="1"/>
                <c:pt idx="0">
                  <c:v>VEPPI/SPEED</c:v>
                </c:pt>
              </c:strCache>
            </c:strRef>
          </c:tx>
          <c:spPr>
            <a:solidFill>
              <a:srgbClr val="00B050"/>
            </a:solidFill>
            <a:ln>
              <a:noFill/>
            </a:ln>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Data'!$O$6:$O$25</c:f>
              <c:numCache>
                <c:formatCode>General</c:formatCode>
                <c:ptCount val="20"/>
                <c:pt idx="0">
                  <c:v>5.2874221072553755</c:v>
                </c:pt>
                <c:pt idx="1">
                  <c:v>4.934285409522043</c:v>
                </c:pt>
                <c:pt idx="2">
                  <c:v>4.8428157448970426</c:v>
                </c:pt>
                <c:pt idx="3">
                  <c:v>4.331532193972043</c:v>
                </c:pt>
                <c:pt idx="4">
                  <c:v>4.0210440356553763</c:v>
                </c:pt>
                <c:pt idx="5">
                  <c:v>4.009376099555376</c:v>
                </c:pt>
                <c:pt idx="6">
                  <c:v>3.6805360549887096</c:v>
                </c:pt>
                <c:pt idx="7">
                  <c:v>4.0327197424887089</c:v>
                </c:pt>
                <c:pt idx="8">
                  <c:v>4.0327197424887089</c:v>
                </c:pt>
                <c:pt idx="9">
                  <c:v>4.0327197424887089</c:v>
                </c:pt>
                <c:pt idx="10">
                  <c:v>3.6805360549887096</c:v>
                </c:pt>
                <c:pt idx="11">
                  <c:v>3.6805360549887096</c:v>
                </c:pt>
                <c:pt idx="12">
                  <c:v>3.6805360549887096</c:v>
                </c:pt>
                <c:pt idx="13">
                  <c:v>3.6805360549887096</c:v>
                </c:pt>
                <c:pt idx="14">
                  <c:v>3.6805360549887096</c:v>
                </c:pt>
                <c:pt idx="15">
                  <c:v>3.6805360549887096</c:v>
                </c:pt>
                <c:pt idx="16">
                  <c:v>3.6805360549887096</c:v>
                </c:pt>
                <c:pt idx="17">
                  <c:v>3.6805360549887096</c:v>
                </c:pt>
                <c:pt idx="18">
                  <c:v>2.2255360549887095</c:v>
                </c:pt>
                <c:pt idx="19">
                  <c:v>2.2255360549887095</c:v>
                </c:pt>
              </c:numCache>
            </c:numRef>
          </c:val>
          <c:extLst>
            <c:ext xmlns:c16="http://schemas.microsoft.com/office/drawing/2014/chart" uri="{C3380CC4-5D6E-409C-BE32-E72D297353CC}">
              <c16:uniqueId val="{00000002-F2F6-46DC-9E4D-A9D02265D701}"/>
            </c:ext>
          </c:extLst>
        </c:ser>
        <c:ser>
          <c:idx val="3"/>
          <c:order val="3"/>
          <c:tx>
            <c:strRef>
              <c:f>'Committed Capacity Data'!$P$2</c:f>
              <c:strCache>
                <c:ptCount val="1"/>
                <c:pt idx="0">
                  <c:v>FW/KCW</c:v>
                </c:pt>
              </c:strCache>
            </c:strRef>
          </c:tx>
          <c:spPr>
            <a:solidFill>
              <a:srgbClr val="92D050"/>
            </a:solidFill>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Data'!$P$6:$P$25</c:f>
              <c:numCache>
                <c:formatCode>General</c:formatCode>
                <c:ptCount val="20"/>
                <c:pt idx="0">
                  <c:v>6.0093544973544972</c:v>
                </c:pt>
                <c:pt idx="1">
                  <c:v>6.0093544973544972</c:v>
                </c:pt>
                <c:pt idx="2">
                  <c:v>6.0093544973544972</c:v>
                </c:pt>
                <c:pt idx="3">
                  <c:v>6.0093544973544972</c:v>
                </c:pt>
                <c:pt idx="4">
                  <c:v>6.0093544973544972</c:v>
                </c:pt>
                <c:pt idx="5">
                  <c:v>6.0093544973544972</c:v>
                </c:pt>
                <c:pt idx="6">
                  <c:v>5.8149100529100526</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3-F2F6-46DC-9E4D-A9D02265D701}"/>
            </c:ext>
          </c:extLst>
        </c:ser>
        <c:ser>
          <c:idx val="4"/>
          <c:order val="4"/>
          <c:tx>
            <c:strRef>
              <c:f>'Committed Capacity Data'!$Q$2</c:f>
              <c:strCache>
                <c:ptCount val="1"/>
                <c:pt idx="0">
                  <c:v>NextEra - Seabrook</c:v>
                </c:pt>
              </c:strCache>
            </c:strRef>
          </c:tx>
          <c:spPr>
            <a:solidFill>
              <a:srgbClr val="FFFF00"/>
            </a:solidFill>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Data'!$Q$6:$Q$25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4-F2F6-46DC-9E4D-A9D02265D701}"/>
            </c:ext>
          </c:extLst>
        </c:ser>
        <c:ser>
          <c:idx val="5"/>
          <c:order val="5"/>
          <c:tx>
            <c:strRef>
              <c:f>'Committed Capacity Data'!$R$2</c:f>
              <c:strCache>
                <c:ptCount val="1"/>
                <c:pt idx="0">
                  <c:v>Swanton</c:v>
                </c:pt>
              </c:strCache>
            </c:strRef>
          </c:tx>
          <c:spPr>
            <a:solidFill>
              <a:schemeClr val="accent6"/>
            </a:solidFill>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Data'!$R$6:$R$25</c:f>
              <c:numCache>
                <c:formatCode>General</c:formatCode>
                <c:ptCount val="20"/>
                <c:pt idx="0">
                  <c:v>3.3590000000000013</c:v>
                </c:pt>
                <c:pt idx="1">
                  <c:v>3.3590000000000013</c:v>
                </c:pt>
                <c:pt idx="2">
                  <c:v>3.3590000000000013</c:v>
                </c:pt>
                <c:pt idx="3">
                  <c:v>3.3590000000000013</c:v>
                </c:pt>
                <c:pt idx="4">
                  <c:v>3.3590000000000013</c:v>
                </c:pt>
                <c:pt idx="5">
                  <c:v>3.3590000000000013</c:v>
                </c:pt>
                <c:pt idx="6">
                  <c:v>3.3590000000000013</c:v>
                </c:pt>
                <c:pt idx="7">
                  <c:v>3.3590000000000013</c:v>
                </c:pt>
                <c:pt idx="8">
                  <c:v>3.3590000000000013</c:v>
                </c:pt>
                <c:pt idx="9">
                  <c:v>3.3590000000000013</c:v>
                </c:pt>
                <c:pt idx="10">
                  <c:v>3.3590000000000013</c:v>
                </c:pt>
                <c:pt idx="11">
                  <c:v>3.3590000000000013</c:v>
                </c:pt>
                <c:pt idx="12">
                  <c:v>3.3590000000000013</c:v>
                </c:pt>
                <c:pt idx="13">
                  <c:v>3.3590000000000013</c:v>
                </c:pt>
                <c:pt idx="14">
                  <c:v>3.3590000000000013</c:v>
                </c:pt>
                <c:pt idx="15">
                  <c:v>3.3590000000000013</c:v>
                </c:pt>
                <c:pt idx="16">
                  <c:v>3.3590000000000013</c:v>
                </c:pt>
                <c:pt idx="17">
                  <c:v>0</c:v>
                </c:pt>
                <c:pt idx="18">
                  <c:v>0</c:v>
                </c:pt>
                <c:pt idx="19">
                  <c:v>0</c:v>
                </c:pt>
              </c:numCache>
            </c:numRef>
          </c:val>
          <c:extLst>
            <c:ext xmlns:c16="http://schemas.microsoft.com/office/drawing/2014/chart" uri="{C3380CC4-5D6E-409C-BE32-E72D297353CC}">
              <c16:uniqueId val="{00000005-F2F6-46DC-9E4D-A9D02265D701}"/>
            </c:ext>
          </c:extLst>
        </c:ser>
        <c:ser>
          <c:idx val="6"/>
          <c:order val="6"/>
          <c:tx>
            <c:strRef>
              <c:f>'Committed Capacity Data'!$S$2</c:f>
              <c:strCache>
                <c:ptCount val="1"/>
                <c:pt idx="0">
                  <c:v>Rock Tenn</c:v>
                </c:pt>
              </c:strCache>
            </c:strRef>
          </c:tx>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Data'!$S$6:$S$25</c:f>
              <c:numCache>
                <c:formatCode>General</c:formatCode>
                <c:ptCount val="20"/>
                <c:pt idx="0">
                  <c:v>5.0649999999999995</c:v>
                </c:pt>
                <c:pt idx="1">
                  <c:v>5.0649999999999995</c:v>
                </c:pt>
                <c:pt idx="2">
                  <c:v>5.0649999999999995</c:v>
                </c:pt>
                <c:pt idx="3">
                  <c:v>5.0649999999999995</c:v>
                </c:pt>
                <c:pt idx="4">
                  <c:v>5.0649999999999995</c:v>
                </c:pt>
                <c:pt idx="5">
                  <c:v>5.0649999999999995</c:v>
                </c:pt>
                <c:pt idx="6">
                  <c:v>5.0649999999999995</c:v>
                </c:pt>
                <c:pt idx="7">
                  <c:v>5.0649999999999995</c:v>
                </c:pt>
                <c:pt idx="8">
                  <c:v>5.0649999999999995</c:v>
                </c:pt>
                <c:pt idx="9">
                  <c:v>5.0649999999999995</c:v>
                </c:pt>
                <c:pt idx="10">
                  <c:v>5.0649999999999995</c:v>
                </c:pt>
                <c:pt idx="11">
                  <c:v>5.0649999999999995</c:v>
                </c:pt>
                <c:pt idx="12">
                  <c:v>5.0649999999999995</c:v>
                </c:pt>
                <c:pt idx="13">
                  <c:v>5.0649999999999995</c:v>
                </c:pt>
                <c:pt idx="14">
                  <c:v>5.0649999999999995</c:v>
                </c:pt>
                <c:pt idx="15">
                  <c:v>5.0649999999999995</c:v>
                </c:pt>
                <c:pt idx="16">
                  <c:v>5.0649999999999995</c:v>
                </c:pt>
                <c:pt idx="17">
                  <c:v>5.0649999999999995</c:v>
                </c:pt>
                <c:pt idx="18">
                  <c:v>5.0649999999999995</c:v>
                </c:pt>
                <c:pt idx="19">
                  <c:v>5.0649999999999995</c:v>
                </c:pt>
              </c:numCache>
            </c:numRef>
          </c:val>
          <c:extLst>
            <c:ext xmlns:c16="http://schemas.microsoft.com/office/drawing/2014/chart" uri="{C3380CC4-5D6E-409C-BE32-E72D297353CC}">
              <c16:uniqueId val="{00000006-F2F6-46DC-9E4D-A9D02265D701}"/>
            </c:ext>
          </c:extLst>
        </c:ser>
        <c:ser>
          <c:idx val="7"/>
          <c:order val="7"/>
          <c:tx>
            <c:strRef>
              <c:f>'Committed Capacity Data'!$T$2</c:f>
              <c:strCache>
                <c:ptCount val="1"/>
                <c:pt idx="0">
                  <c:v>Open (Excess) Position</c:v>
                </c:pt>
              </c:strCache>
            </c:strRef>
          </c:tx>
          <c:spPr>
            <a:solidFill>
              <a:srgbClr val="FF0000"/>
            </a:solidFill>
          </c:spPr>
          <c:invertIfNegative val="0"/>
          <c:cat>
            <c:numRef>
              <c:f>'Committed Capacity Data'!$K$6:$K$25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'Committed Capacity Data'!$T$6:$T$25</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7-F2F6-46DC-9E4D-A9D02265D701}"/>
            </c:ext>
          </c:extLst>
        </c:ser>
        <c:dLbls>
          <c:showLegendKey val="0"/>
          <c:showVal val="0"/>
          <c:showCatName val="0"/>
          <c:showSerName val="0"/>
          <c:showPercent val="0"/>
          <c:showBubbleSize val="0"/>
        </c:dLbls>
        <c:gapWidth val="150"/>
        <c:overlap val="100"/>
        <c:axId val="-649136000"/>
        <c:axId val="-649138720"/>
      </c:barChart>
      <c:catAx>
        <c:axId val="-64913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649138720"/>
        <c:crosses val="autoZero"/>
        <c:auto val="1"/>
        <c:lblAlgn val="ctr"/>
        <c:lblOffset val="100"/>
        <c:tickLblSkip val="1"/>
        <c:tickMarkSkip val="1"/>
        <c:noMultiLvlLbl val="0"/>
      </c:catAx>
      <c:valAx>
        <c:axId val="-649138720"/>
        <c:scaling>
          <c:orientation val="minMax"/>
          <c:max val="10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t>MW</a:t>
                </a:r>
              </a:p>
            </c:rich>
          </c:tx>
          <c:layout>
            <c:manualLayout>
              <c:xMode val="edge"/>
              <c:yMode val="edge"/>
              <c:x val="1.2208690580344123E-2"/>
              <c:y val="0.491027574090063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9136000"/>
        <c:crosses val="autoZero"/>
        <c:crossBetween val="between"/>
      </c:valAx>
      <c:spPr>
        <a:noFill/>
        <a:ln w="12700">
          <a:solidFill>
            <a:srgbClr val="808080"/>
          </a:solidFill>
          <a:prstDash val="solid"/>
        </a:ln>
      </c:spPr>
    </c:plotArea>
    <c:legend>
      <c:legendPos val="b"/>
      <c:layout>
        <c:manualLayout>
          <c:xMode val="edge"/>
          <c:yMode val="edge"/>
          <c:wMode val="edge"/>
          <c:hMode val="edge"/>
          <c:x val="1.6996792067658209E-2"/>
          <c:y val="0.95595431094844729"/>
          <c:w val="0.98518518518518516"/>
          <c:h val="0.9931832416201656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Tier IV Requirements vs Committed Resources</a:t>
            </a:r>
          </a:p>
        </c:rich>
      </c:tx>
      <c:overlay val="0"/>
    </c:title>
    <c:autoTitleDeleted val="0"/>
    <c:plotArea>
      <c:layout>
        <c:manualLayout>
          <c:layoutTarget val="inner"/>
          <c:xMode val="edge"/>
          <c:yMode val="edge"/>
          <c:x val="6.8514987841085367E-2"/>
          <c:y val="6.6294973804202309E-2"/>
          <c:w val="0.91241014394877307"/>
          <c:h val="0.69176710551599485"/>
        </c:manualLayout>
      </c:layout>
      <c:barChart>
        <c:barDir val="col"/>
        <c:grouping val="stacked"/>
        <c:varyColors val="0"/>
        <c:ser>
          <c:idx val="6"/>
          <c:order val="6"/>
          <c:tx>
            <c:strRef>
              <c:f>'Tier 4 Data'!$V$5</c:f>
              <c:strCache>
                <c:ptCount val="1"/>
                <c:pt idx="0">
                  <c:v>Kingdom Wind</c:v>
                </c:pt>
              </c:strCache>
            </c:strRef>
          </c:tx>
          <c:spPr>
            <a:pattFill prst="ltDnDiag">
              <a:fgClr>
                <a:schemeClr val="accent1"/>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ext>
              </c:extLst>
              <c:f>'Tier 4 Data'!$B$20:$B$35</c:f>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'Tier 4 Data'!$V$13:$V$40</c15:sqref>
                  </c15:fullRef>
                </c:ext>
              </c:extLst>
              <c:f>'Tier 4 Data'!$V$20:$V$35</c:f>
              <c:numCache>
                <c:formatCode>#,##0</c:formatCode>
                <c:ptCount val="16"/>
                <c:pt idx="0">
                  <c:v>21326.281999999999</c:v>
                </c:pt>
                <c:pt idx="1">
                  <c:v>21326.281999999999</c:v>
                </c:pt>
                <c:pt idx="2">
                  <c:v>21326.281999999999</c:v>
                </c:pt>
                <c:pt idx="3">
                  <c:v>21326.281999999999</c:v>
                </c:pt>
                <c:pt idx="4">
                  <c:v>21326.281999999999</c:v>
                </c:pt>
                <c:pt idx="5">
                  <c:v>21326.281999999999</c:v>
                </c:pt>
                <c:pt idx="6">
                  <c:v>21326.281999999999</c:v>
                </c:pt>
                <c:pt idx="7">
                  <c:v>21188.506000000001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6A76-4B3A-9968-BB09FBAFF642}"/>
            </c:ext>
          </c:extLst>
        </c:ser>
        <c:ser>
          <c:idx val="7"/>
          <c:order val="7"/>
          <c:tx>
            <c:strRef>
              <c:f>'Tier 4 Data'!$W$5</c:f>
              <c:strCache>
                <c:ptCount val="1"/>
                <c:pt idx="0">
                  <c:v>Sheffield - Fixed Price</c:v>
                </c:pt>
              </c:strCache>
            </c:strRef>
          </c:tx>
          <c:spPr>
            <a:solidFill>
              <a:schemeClr val="accent2"/>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ext>
              </c:extLst>
              <c:f>'Tier 4 Data'!$B$20:$B$35</c:f>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'Tier 4 Data'!$W$13:$W$40</c15:sqref>
                  </c15:fullRef>
                </c:ext>
              </c:extLst>
              <c:f>'Tier 4 Data'!$W$20:$W$35</c:f>
              <c:numCache>
                <c:formatCode>#,##0</c:formatCode>
                <c:ptCount val="16"/>
                <c:pt idx="0">
                  <c:v>15644.934999999998</c:v>
                </c:pt>
                <c:pt idx="1">
                  <c:v>10215.179999999998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6A76-4B3A-9968-BB09FBAFF642}"/>
            </c:ext>
          </c:extLst>
        </c:ser>
        <c:dLbls>
          <c:showLegendKey val="0"/>
          <c:showVal val="0"/>
          <c:showCatName val="0"/>
          <c:showSerName val="0"/>
          <c:showPercent val="0"/>
          <c:showBubbleSize val="0"/>
        </c:dLbls>
        <c:gapWidth val="150"/>
        <c:overlap val="100"/>
        <c:axId val="-1178461584"/>
        <c:axId val="-1178461040"/>
        <c:extLst>
          <c:ext xmlns:c15="http://schemas.microsoft.com/office/drawing/2012/chart" uri="{02D57815-91ED-43cb-92C2-25804820EDAC}">
            <c15:filteredBarSeries>
              <c15:ser>
                <c:idx val="0"/>
                <c:order val="0"/>
                <c:tx>
                  <c:strRef>
                    <c:extLst>
                      <c:ext uri="{02D57815-91ED-43cb-92C2-25804820EDAC}">
                        <c15:formulaRef>
                          <c15:sqref>'Total Sys Data - MOU I.2'!$J$5</c15:sqref>
                        </c15:formulaRef>
                      </c:ext>
                    </c:extLst>
                    <c:strCache>
                      <c:ptCount val="1"/>
                      <c:pt idx="0">
                        <c:v>HQ 2021-2023</c:v>
                      </c:pt>
                    </c:strCache>
                  </c:strRef>
                </c:tx>
                <c:spPr>
                  <a:solidFill>
                    <a:schemeClr val="tx2"/>
                  </a:solidFill>
                  <a:ln>
                    <a:solidFill>
                      <a:sysClr val="windowText" lastClr="000000"/>
                    </a:solidFill>
                  </a:ln>
                </c:spPr>
                <c:invertIfNegative val="0"/>
                <c:cat>
                  <c:numRef>
                    <c:extLst>
                      <c:ex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uri="{02D57815-91ED-43cb-92C2-25804820EDAC}">
                        <c15:fullRef>
                          <c15:sqref>'Total Sys Data - MOU I.2'!$J$14:$J$41</c15:sqref>
                        </c15:fullRef>
                        <c15:formulaRef>
                          <c15:sqref>'Total Sys Data - MOU I.2'!$J$21:$J$36</c15:sqref>
                        </c15:formulaRef>
                      </c:ext>
                    </c:extLst>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6A76-4B3A-9968-BB09FBAFF6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'Total Sys Data - MOU I.2'!$K$5</c15:sqref>
                        </c15:formulaRef>
                      </c:ext>
                    </c:extLst>
                    <c:strCache>
                      <c:ptCount val="1"/>
                      <c:pt idx="0">
                        <c:v>HQUS - VEC</c:v>
                      </c:pt>
                    </c:strCache>
                  </c:strRef>
                </c:tx>
                <c:spPr>
                  <a:pattFill prst="ltDnDiag">
                    <a:fgClr>
                      <a:schemeClr val="accent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I.2'!$K$14:$K$41</c15:sqref>
                        </c15:fullRef>
                        <c15:formulaRef>
                          <c15:sqref>'Total Sys Data - MOU I.2'!$K$21:$K$36</c15:sqref>
                        </c15:formulaRef>
                      </c:ext>
                    </c:extLst>
                    <c:numCache>
                      <c:formatCode>#,##0</c:formatCode>
                      <c:ptCount val="16"/>
                      <c:pt idx="0">
                        <c:v>103960.72</c:v>
                      </c:pt>
                      <c:pt idx="1">
                        <c:v>39974.799999999996</c:v>
                      </c:pt>
                      <c:pt idx="2">
                        <c:v>40084.32</c:v>
                      </c:pt>
                      <c:pt idx="3">
                        <c:v>39974.799999999996</c:v>
                      </c:pt>
                      <c:pt idx="4">
                        <c:v>39974.799999999996</c:v>
                      </c:pt>
                      <c:pt idx="5">
                        <c:v>39974.799999999996</c:v>
                      </c:pt>
                      <c:pt idx="6">
                        <c:v>40084.32</c:v>
                      </c:pt>
                      <c:pt idx="7">
                        <c:v>39974.799999999996</c:v>
                      </c:pt>
                      <c:pt idx="8">
                        <c:v>33294.079999999994</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0-6A76-4B3A-9968-BB09FBAFF64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'Total Sys Data - MOU I.2'!$L$5</c15:sqref>
                        </c15:formulaRef>
                      </c:ext>
                    </c:extLst>
                    <c:strCache>
                      <c:ptCount val="1"/>
                      <c:pt idx="0">
                        <c:v>HQ US - WEC</c:v>
                      </c:pt>
                    </c:strCache>
                  </c:strRef>
                </c:tx>
                <c:spPr>
                  <a:solidFill>
                    <a:schemeClr val="accent3"/>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I.2'!$L$14:$L$41</c15:sqref>
                        </c15:fullRef>
                        <c15:formulaRef>
                          <c15:sqref>'Total Sys Data - MOU I.2'!$L$21:$L$36</c15:sqref>
                        </c15:formulaRef>
                      </c:ext>
                    </c:extLst>
                    <c:numCache>
                      <c:formatCode>#,##0</c:formatCode>
                      <c:ptCount val="16"/>
                      <c:pt idx="0">
                        <c:v>11680</c:v>
                      </c:pt>
                      <c:pt idx="1">
                        <c:v>11680</c:v>
                      </c:pt>
                      <c:pt idx="2">
                        <c:v>11712</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1-6A76-4B3A-9968-BB09FBAFF64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'Total Sys Data - MOU I.2'!$M$5</c15:sqref>
                        </c15:formulaRef>
                      </c:ext>
                    </c:extLst>
                    <c:strCache>
                      <c:ptCount val="1"/>
                      <c:pt idx="0">
                        <c:v>NYPA</c:v>
                      </c:pt>
                    </c:strCache>
                  </c:strRef>
                </c:tx>
                <c:spPr>
                  <a:pattFill prst="ltUpDiag">
                    <a:fgClr>
                      <a:schemeClr val="accent4"/>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I.2'!$M$14:$M$41</c15:sqref>
                        </c15:fullRef>
                        <c15:formulaRef>
                          <c15:sqref>'Total Sys Data - MOU I.2'!$M$21:$M$36</c15:sqref>
                        </c15:formulaRef>
                      </c:ext>
                    </c:extLst>
                    <c:numCache>
                      <c:formatCode>#,##0</c:formatCode>
                      <c:ptCount val="16"/>
                      <c:pt idx="0">
                        <c:v>39082.345000000008</c:v>
                      </c:pt>
                      <c:pt idx="1">
                        <c:v>39082.345000000008</c:v>
                      </c:pt>
                      <c:pt idx="2">
                        <c:v>39082.345000000008</c:v>
                      </c:pt>
                      <c:pt idx="3">
                        <c:v>39082.345000000008</c:v>
                      </c:pt>
                      <c:pt idx="4">
                        <c:v>39082.345000000008</c:v>
                      </c:pt>
                      <c:pt idx="5">
                        <c:v>39082.345000000008</c:v>
                      </c:pt>
                      <c:pt idx="6">
                        <c:v>39082.345000000008</c:v>
                      </c:pt>
                      <c:pt idx="7">
                        <c:v>39082.345000000008</c:v>
                      </c:pt>
                      <c:pt idx="8">
                        <c:v>39082.345000000008</c:v>
                      </c:pt>
                      <c:pt idx="9">
                        <c:v>39082.345000000008</c:v>
                      </c:pt>
                      <c:pt idx="10">
                        <c:v>39082.345000000008</c:v>
                      </c:pt>
                      <c:pt idx="11">
                        <c:v>39082.345000000008</c:v>
                      </c:pt>
                      <c:pt idx="12">
                        <c:v>39082.345000000008</c:v>
                      </c:pt>
                      <c:pt idx="13">
                        <c:v>39082.345000000008</c:v>
                      </c:pt>
                      <c:pt idx="14">
                        <c:v>39082.345000000008</c:v>
                      </c:pt>
                      <c:pt idx="15">
                        <c:v>39082.345000000008</c:v>
                      </c:pt>
                    </c:numCache>
                  </c:numRef>
                </c:val>
                <c:extLst xmlns:c15="http://schemas.microsoft.com/office/drawing/2012/chart">
                  <c:ext xmlns:c16="http://schemas.microsoft.com/office/drawing/2014/chart" uri="{C3380CC4-5D6E-409C-BE32-E72D297353CC}">
                    <c16:uniqueId val="{00000002-6A76-4B3A-9968-BB09FBAFF64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'Total Sys Data - MOU I.2'!$N$5</c15:sqref>
                        </c15:formulaRef>
                      </c:ext>
                    </c:extLst>
                    <c:strCache>
                      <c:ptCount val="1"/>
                      <c:pt idx="0">
                        <c:v>VEC Sys Hydro</c:v>
                      </c:pt>
                    </c:strCache>
                  </c:strRef>
                </c:tx>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I.2'!$N$14:$N$41</c15:sqref>
                        </c15:fullRef>
                        <c15:formulaRef>
                          <c15:sqref>'Total Sys Data - MOU I.2'!$N$21:$N$36</c15:sqref>
                        </c15:formulaRef>
                      </c:ext>
                    </c:extLst>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3-6A76-4B3A-9968-BB09FBAFF64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'Total Sys Data - MOU I.2'!$O$5</c15:sqref>
                        </c15:formulaRef>
                      </c:ext>
                    </c:extLst>
                    <c:strCache>
                      <c:ptCount val="1"/>
                      <c:pt idx="0">
                        <c:v>Ryegate</c:v>
                      </c:pt>
                    </c:strCache>
                  </c:strRef>
                </c:tx>
                <c:spPr>
                  <a:solidFill>
                    <a:schemeClr val="accent6"/>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I.2'!$O$14:$O$41</c15:sqref>
                        </c15:fullRef>
                        <c15:formulaRef>
                          <c15:sqref>'Total Sys Data - MOU I.2'!$O$21:$O$36</c15:sqref>
                        </c15:formulaRef>
                      </c:ext>
                    </c:extLst>
                    <c:numCache>
                      <c:formatCode>#,##0</c:formatCode>
                      <c:ptCount val="16"/>
                      <c:pt idx="0">
                        <c:v>13626.101309630476</c:v>
                      </c:pt>
                      <c:pt idx="1">
                        <c:v>13626.101309630476</c:v>
                      </c:pt>
                      <c:pt idx="2">
                        <c:v>11347.727874750475</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4-6A76-4B3A-9968-BB09FBAFF64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'Tier 4 Data'!$I$5</c15:sqref>
                        </c15:formulaRef>
                      </c:ext>
                    </c:extLst>
                    <c:strCache>
                      <c:ptCount val="1"/>
                      <c:pt idx="0">
                        <c:v>Standard Offer</c:v>
                      </c:pt>
                    </c:strCache>
                  </c:strRef>
                </c:tx>
                <c:spPr>
                  <a:pattFill prst="ltUpDiag">
                    <a:fgClr>
                      <a:schemeClr val="accent3"/>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'Tier 4 Data'!$I$13:$I$40</c15:sqref>
                        </c15:fullRef>
                        <c15:formulaRef>
                          <c15:sqref>'Tier 4 Data'!$I$20:$I$35</c15:sqref>
                        </c15:formulaRef>
                      </c:ext>
                    </c:extLst>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7-6A76-4B3A-9968-BB09FBAFF642}"/>
                  </c:ext>
                </c:extLst>
              </c15:ser>
            </c15:filteredBarSeries>
            <c15:filteredBarSeries>
              <c15:ser>
                <c:idx val="11"/>
                <c:order val="9"/>
                <c:tx>
                  <c:strRef>
                    <c:extLst xmlns:c15="http://schemas.microsoft.com/office/drawing/2012/chart">
                      <c:ext xmlns:c15="http://schemas.microsoft.com/office/drawing/2012/chart" uri="{02D57815-91ED-43cb-92C2-25804820EDAC}">
                        <c15:formulaRef>
                          <c15:sqref>'Total Sys Data - MOU I.2'!$U$5</c15:sqref>
                        </c15:formulaRef>
                      </c:ext>
                    </c:extLst>
                    <c:strCache>
                      <c:ptCount val="1"/>
                      <c:pt idx="0">
                        <c:v>Exelon</c:v>
                      </c:pt>
                    </c:strCache>
                  </c:strRef>
                </c:tx>
                <c:spPr>
                  <a:pattFill prst="ltDnDiag">
                    <a:fgClr>
                      <a:schemeClr val="accent6"/>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I.2'!$U$14:$U$41</c15:sqref>
                        </c15:fullRef>
                        <c15:formulaRef>
                          <c15:sqref>'Total Sys Data - MOU I.2'!$U$21:$U$36</c15:sqref>
                        </c15:formulaRef>
                      </c:ext>
                    </c:extLst>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17-6A76-4B3A-9968-BB09FBAFF642}"/>
                  </c:ext>
                </c:extLst>
              </c15:ser>
            </c15:filteredBarSeries>
            <c15:filteredBarSeries>
              <c15:ser>
                <c:idx val="15"/>
                <c:order val="10"/>
                <c:tx>
                  <c:strRef>
                    <c:extLst xmlns:c15="http://schemas.microsoft.com/office/drawing/2012/chart">
                      <c:ext xmlns:c15="http://schemas.microsoft.com/office/drawing/2012/chart" uri="{02D57815-91ED-43cb-92C2-25804820EDAC}">
                        <c15:formulaRef>
                          <c15:sqref>'Total Sys Data - MOU I.2'!$Y$5</c15:sqref>
                        </c15:formulaRef>
                      </c:ext>
                    </c:extLst>
                    <c:strCache>
                      <c:ptCount val="1"/>
                      <c:pt idx="0">
                        <c:v>Newport Hydro</c:v>
                      </c:pt>
                    </c:strCache>
                  </c:strRef>
                </c:tx>
                <c:spPr>
                  <a:solidFill>
                    <a:schemeClr val="accent5">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I.2'!$Y$14:$Y$41</c15:sqref>
                        </c15:fullRef>
                        <c15:formulaRef>
                          <c15:sqref>'Total Sys Data - MOU I.2'!$Y$21:$Y$36</c15:sqref>
                        </c15:formulaRef>
                      </c:ext>
                    </c:extLst>
                    <c:numCache>
                      <c:formatCode>#,##0</c:formatCode>
                      <c:ptCount val="16"/>
                      <c:pt idx="0">
                        <c:v>14251.333333333338</c:v>
                      </c:pt>
                      <c:pt idx="1">
                        <c:v>14251.333333333338</c:v>
                      </c:pt>
                      <c:pt idx="2">
                        <c:v>14251.333333333338</c:v>
                      </c:pt>
                      <c:pt idx="3">
                        <c:v>14251.333333333338</c:v>
                      </c:pt>
                      <c:pt idx="4">
                        <c:v>9807.0000000000018</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9-6A76-4B3A-9968-BB09FBAFF642}"/>
                  </c:ext>
                </c:extLst>
              </c15:ser>
            </c15:filteredBarSeries>
            <c15:filteredBarSeries>
              <c15:ser>
                <c:idx val="16"/>
                <c:order val="11"/>
                <c:tx>
                  <c:strRef>
                    <c:extLst xmlns:c15="http://schemas.microsoft.com/office/drawing/2012/chart">
                      <c:ext xmlns:c15="http://schemas.microsoft.com/office/drawing/2012/chart" uri="{02D57815-91ED-43cb-92C2-25804820EDAC}">
                        <c15:formulaRef>
                          <c15:sqref>'Total Sys Data - MOU I.2'!$AD$5</c15:sqref>
                        </c15:formulaRef>
                      </c:ext>
                    </c:extLst>
                    <c:strCache>
                      <c:ptCount val="1"/>
                      <c:pt idx="0">
                        <c:v>Grand Isle Solar</c:v>
                      </c:pt>
                    </c:strCache>
                  </c:strRef>
                </c:tx>
                <c:spPr>
                  <a:pattFill prst="ltVert">
                    <a:fgClr>
                      <a:schemeClr val="tx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I.2'!$AD$14:$AD$41</c15:sqref>
                        </c15:fullRef>
                        <c15:formulaRef>
                          <c15:sqref>'Total Sys Data - MOU I.2'!$AD$21:$AD$36</c15:sqref>
                        </c15:formulaRef>
                      </c:ext>
                    </c:extLst>
                    <c:numCache>
                      <c:formatCode>#,##0</c:formatCode>
                      <c:ptCount val="16"/>
                      <c:pt idx="0">
                        <c:v>6960.4044039094224</c:v>
                      </c:pt>
                      <c:pt idx="1">
                        <c:v>6925.6023818898757</c:v>
                      </c:pt>
                      <c:pt idx="2">
                        <c:v>6890.9743699804267</c:v>
                      </c:pt>
                      <c:pt idx="3">
                        <c:v>6856.519498130524</c:v>
                      </c:pt>
                      <c:pt idx="4">
                        <c:v>6822.2369006398712</c:v>
                      </c:pt>
                      <c:pt idx="5">
                        <c:v>6788.1257161366721</c:v>
                      </c:pt>
                      <c:pt idx="6">
                        <c:v>6754.1850875559885</c:v>
                      </c:pt>
                      <c:pt idx="7">
                        <c:v>6720.4141621182089</c:v>
                      </c:pt>
                      <c:pt idx="8">
                        <c:v>6686.8120913076173</c:v>
                      </c:pt>
                      <c:pt idx="9">
                        <c:v>6653.3780308510795</c:v>
                      </c:pt>
                      <c:pt idx="10">
                        <c:v>6620.1111406968239</c:v>
                      </c:pt>
                      <c:pt idx="11">
                        <c:v>6587.0105849933398</c:v>
                      </c:pt>
                      <c:pt idx="12">
                        <c:v>6554.0755320683729</c:v>
                      </c:pt>
                      <c:pt idx="13">
                        <c:v>0</c:v>
                      </c:pt>
                      <c:pt idx="14">
                        <c:v>0</c:v>
                      </c:pt>
                      <c:pt idx="15">
                        <c:v>0</c:v>
                      </c:pt>
                    </c:numCache>
                  </c:numRef>
                </c:val>
                <c:extLst xmlns:c15="http://schemas.microsoft.com/office/drawing/2012/chart">
                  <c:ext xmlns:c16="http://schemas.microsoft.com/office/drawing/2014/chart" uri="{C3380CC4-5D6E-409C-BE32-E72D297353CC}">
                    <c16:uniqueId val="{0000000A-6A76-4B3A-9968-BB09FBAFF642}"/>
                  </c:ext>
                </c:extLst>
              </c15:ser>
            </c15:filteredBarSeries>
            <c15:filteredBarSeries>
              <c15:ser>
                <c:idx val="20"/>
                <c:order val="15"/>
                <c:tx>
                  <c:strRef>
                    <c:extLst xmlns:c15="http://schemas.microsoft.com/office/drawing/2012/chart">
                      <c:ext xmlns:c15="http://schemas.microsoft.com/office/drawing/2012/chart" uri="{02D57815-91ED-43cb-92C2-25804820EDAC}">
                        <c15:formulaRef>
                          <c15:sqref>'Total Sys Data - MOU I.2'!$AB$5</c15:sqref>
                        </c15:formulaRef>
                      </c:ext>
                    </c:extLst>
                    <c:strCache>
                      <c:ptCount val="1"/>
                      <c:pt idx="0">
                        <c:v>Alburgh Solar</c:v>
                      </c:pt>
                    </c:strCache>
                  </c:strRef>
                </c:tx>
                <c:spPr>
                  <a:solidFill>
                    <a:srgbClr val="FF0000"/>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I.2'!$AB$14:$AB$41</c15:sqref>
                        </c15:fullRef>
                        <c15:formulaRef>
                          <c15:sqref>'Total Sys Data - MOU I.2'!$AB$21:$AB$36</c15:sqref>
                        </c15:formulaRef>
                      </c:ext>
                    </c:extLst>
                    <c:numCache>
                      <c:formatCode>#,##0</c:formatCode>
                      <c:ptCount val="16"/>
                      <c:pt idx="0">
                        <c:v>1472.2795549803836</c:v>
                      </c:pt>
                      <c:pt idx="1">
                        <c:v>1464.9181572054813</c:v>
                      </c:pt>
                      <c:pt idx="2">
                        <c:v>1457.5935664194537</c:v>
                      </c:pt>
                      <c:pt idx="3">
                        <c:v>1450.3055985873568</c:v>
                      </c:pt>
                      <c:pt idx="4">
                        <c:v>1443.0540705944197</c:v>
                      </c:pt>
                      <c:pt idx="5">
                        <c:v>1435.8388002414474</c:v>
                      </c:pt>
                      <c:pt idx="6">
                        <c:v>1428.6596062402407</c:v>
                      </c:pt>
                      <c:pt idx="7">
                        <c:v>1421.5163082090392</c:v>
                      </c:pt>
                      <c:pt idx="8">
                        <c:v>1414.408726667994</c:v>
                      </c:pt>
                      <c:pt idx="9">
                        <c:v>1407.336683034654</c:v>
                      </c:pt>
                      <c:pt idx="10">
                        <c:v>1400.2999996194808</c:v>
                      </c:pt>
                      <c:pt idx="11">
                        <c:v>1393.2984996213834</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B-6A76-4B3A-9968-BB09FBAFF642}"/>
                  </c:ext>
                </c:extLst>
              </c15:ser>
            </c15:filteredBarSeries>
            <c15:filteredBarSeries>
              <c15:ser>
                <c:idx val="22"/>
                <c:order val="16"/>
                <c:tx>
                  <c:strRef>
                    <c:extLst xmlns:c15="http://schemas.microsoft.com/office/drawing/2012/chart">
                      <c:ext xmlns:c15="http://schemas.microsoft.com/office/drawing/2012/chart" uri="{02D57815-91ED-43cb-92C2-25804820EDAC}">
                        <c15:formulaRef>
                          <c15:sqref>'Total Sys Data - MOU I.2'!$AC$5</c15:sqref>
                        </c15:formulaRef>
                      </c:ext>
                    </c:extLst>
                    <c:strCache>
                      <c:ptCount val="1"/>
                      <c:pt idx="0">
                        <c:v>Magee Hill Solar</c:v>
                      </c:pt>
                    </c:strCache>
                  </c:strRef>
                </c:tx>
                <c:spPr>
                  <a:solidFill>
                    <a:schemeClr val="accent1">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I.2'!$AC$14:$AC$41</c15:sqref>
                        </c15:fullRef>
                        <c15:formulaRef>
                          <c15:sqref>'Total Sys Data - MOU I.2'!$AC$21:$AC$36</c15:sqref>
                        </c15:formulaRef>
                      </c:ext>
                    </c:extLst>
                    <c:numCache>
                      <c:formatCode>#,##0</c:formatCode>
                      <c:ptCount val="16"/>
                      <c:pt idx="0">
                        <c:v>1923.2139858165906</c:v>
                      </c:pt>
                      <c:pt idx="1">
                        <c:v>1913.5979158875077</c:v>
                      </c:pt>
                      <c:pt idx="2">
                        <c:v>1904.0299263080701</c:v>
                      </c:pt>
                      <c:pt idx="3">
                        <c:v>1894.5097766765298</c:v>
                      </c:pt>
                      <c:pt idx="4">
                        <c:v>1885.0372277931469</c:v>
                      </c:pt>
                      <c:pt idx="5">
                        <c:v>1875.6120416541814</c:v>
                      </c:pt>
                      <c:pt idx="6">
                        <c:v>1866.2339814459106</c:v>
                      </c:pt>
                      <c:pt idx="7">
                        <c:v>1856.9028115386809</c:v>
                      </c:pt>
                      <c:pt idx="8">
                        <c:v>1847.6182974809872</c:v>
                      </c:pt>
                      <c:pt idx="9">
                        <c:v>1838.3802059935824</c:v>
                      </c:pt>
                      <c:pt idx="10">
                        <c:v>1829.1883049636144</c:v>
                      </c:pt>
                      <c:pt idx="11">
                        <c:v>1820.0423634387967</c:v>
                      </c:pt>
                      <c:pt idx="12">
                        <c:v>1742.1417516018198</c:v>
                      </c:pt>
                      <c:pt idx="13">
                        <c:v>0</c:v>
                      </c:pt>
                      <c:pt idx="14">
                        <c:v>0</c:v>
                      </c:pt>
                      <c:pt idx="15">
                        <c:v>0</c:v>
                      </c:pt>
                    </c:numCache>
                  </c:numRef>
                </c:val>
                <c:extLst xmlns:c15="http://schemas.microsoft.com/office/drawing/2012/chart">
                  <c:ext xmlns:c16="http://schemas.microsoft.com/office/drawing/2014/chart" uri="{C3380CC4-5D6E-409C-BE32-E72D297353CC}">
                    <c16:uniqueId val="{0000000C-6A76-4B3A-9968-BB09FBAFF642}"/>
                  </c:ext>
                </c:extLst>
              </c15:ser>
            </c15:filteredBarSeries>
            <c15:filteredBarSeries>
              <c15:ser>
                <c:idx val="21"/>
                <c:order val="17"/>
                <c:tx>
                  <c:strRef>
                    <c:extLst xmlns:c15="http://schemas.microsoft.com/office/drawing/2012/chart">
                      <c:ext xmlns:c15="http://schemas.microsoft.com/office/drawing/2012/chart" uri="{02D57815-91ED-43cb-92C2-25804820EDAC}">
                        <c15:formulaRef>
                          <c15:sqref>'Total Sys Data - MOU I.2'!$AE$5</c15:sqref>
                        </c15:formulaRef>
                      </c:ext>
                    </c:extLst>
                    <c:strCache>
                      <c:ptCount val="1"/>
                      <c:pt idx="0">
                        <c:v>Jericho - Gravel Pit Solar</c:v>
                      </c:pt>
                    </c:strCache>
                  </c:strRef>
                </c:tx>
                <c:spPr>
                  <a:pattFill prst="ltVert">
                    <a:fgClr>
                      <a:schemeClr val="accent3">
                        <a:lumMod val="60000"/>
                        <a:lumOff val="40000"/>
                      </a:schemeClr>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I.2'!$AE$14:$AE$41</c15:sqref>
                        </c15:fullRef>
                        <c15:formulaRef>
                          <c15:sqref>'Total Sys Data - MOU I.2'!$AE$21:$AE$36</c15:sqref>
                        </c15:formulaRef>
                      </c:ext>
                    </c:extLst>
                    <c:numCache>
                      <c:formatCode>#,##0</c:formatCode>
                      <c:ptCount val="16"/>
                      <c:pt idx="0">
                        <c:v>2384.6348468320489</c:v>
                      </c:pt>
                      <c:pt idx="1">
                        <c:v>2372.7116725978881</c:v>
                      </c:pt>
                      <c:pt idx="2">
                        <c:v>2360.8481142348987</c:v>
                      </c:pt>
                      <c:pt idx="3">
                        <c:v>2349.0438736637238</c:v>
                      </c:pt>
                      <c:pt idx="4">
                        <c:v>2337.2986542954059</c:v>
                      </c:pt>
                      <c:pt idx="5">
                        <c:v>2325.6121610239288</c:v>
                      </c:pt>
                      <c:pt idx="6">
                        <c:v>2313.9841002188086</c:v>
                      </c:pt>
                      <c:pt idx="7">
                        <c:v>2302.4141797177153</c:v>
                      </c:pt>
                      <c:pt idx="8">
                        <c:v>2290.9021088191262</c:v>
                      </c:pt>
                      <c:pt idx="9">
                        <c:v>2279.4475982750305</c:v>
                      </c:pt>
                      <c:pt idx="10">
                        <c:v>2268.0503602836548</c:v>
                      </c:pt>
                      <c:pt idx="11">
                        <c:v>2256.7101084822366</c:v>
                      </c:pt>
                      <c:pt idx="12">
                        <c:v>2245.4265579398257</c:v>
                      </c:pt>
                      <c:pt idx="13">
                        <c:v>2234.1994251501269</c:v>
                      </c:pt>
                      <c:pt idx="14">
                        <c:v>2223.0284280243759</c:v>
                      </c:pt>
                      <c:pt idx="15">
                        <c:v>702.17573329252434</c:v>
                      </c:pt>
                    </c:numCache>
                  </c:numRef>
                </c:val>
                <c:extLst xmlns:c15="http://schemas.microsoft.com/office/drawing/2012/chart">
                  <c:ext xmlns:c16="http://schemas.microsoft.com/office/drawing/2014/chart" uri="{C3380CC4-5D6E-409C-BE32-E72D297353CC}">
                    <c16:uniqueId val="{0000000D-6A76-4B3A-9968-BB09FBAFF642}"/>
                  </c:ext>
                </c:extLst>
              </c15:ser>
            </c15:filteredBarSeries>
            <c15:filteredBarSeries>
              <c15:ser>
                <c:idx val="23"/>
                <c:order val="18"/>
                <c:tx>
                  <c:strRef>
                    <c:extLst xmlns:c15="http://schemas.microsoft.com/office/drawing/2012/chart">
                      <c:ext xmlns:c15="http://schemas.microsoft.com/office/drawing/2012/chart" uri="{02D57815-91ED-43cb-92C2-25804820EDAC}">
                        <c15:formulaRef>
                          <c15:sqref>'Total Sys Data - MOU I.2'!$AF$5</c15:sqref>
                        </c15:formulaRef>
                      </c:ext>
                    </c:extLst>
                    <c:strCache>
                      <c:ptCount val="1"/>
                      <c:pt idx="0">
                        <c:v>Jericho - Landfill Solar</c:v>
                      </c:pt>
                    </c:strCache>
                  </c:strRef>
                </c:tx>
                <c:spPr>
                  <a:pattFill prst="ltDnDiag">
                    <a:fgClr>
                      <a:schemeClr val="accent2">
                        <a:lumMod val="75000"/>
                      </a:schemeClr>
                    </a:fgClr>
                    <a:bgClr>
                      <a:schemeClr val="bg1"/>
                    </a:bgClr>
                  </a:pattFill>
                  <a:ln>
                    <a:solidFill>
                      <a:schemeClr val="accent2">
                        <a:lumMod val="75000"/>
                      </a:schemeClr>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I.2'!$AF$14:$AF$41</c15:sqref>
                        </c15:fullRef>
                        <c15:formulaRef>
                          <c15:sqref>'Total Sys Data - MOU I.2'!$AF$21:$AF$36</c15:sqref>
                        </c15:formulaRef>
                      </c:ext>
                    </c:extLst>
                    <c:numCache>
                      <c:formatCode>#,##0</c:formatCode>
                      <c:ptCount val="16"/>
                      <c:pt idx="0">
                        <c:v>2615.9951950382488</c:v>
                      </c:pt>
                      <c:pt idx="1">
                        <c:v>2602.9152190630575</c:v>
                      </c:pt>
                      <c:pt idx="2">
                        <c:v>2589.900642967742</c:v>
                      </c:pt>
                      <c:pt idx="3">
                        <c:v>2576.9511397529031</c:v>
                      </c:pt>
                      <c:pt idx="4">
                        <c:v>2564.0663840541388</c:v>
                      </c:pt>
                      <c:pt idx="5">
                        <c:v>2551.246052133868</c:v>
                      </c:pt>
                      <c:pt idx="6">
                        <c:v>2538.4898218731983</c:v>
                      </c:pt>
                      <c:pt idx="7">
                        <c:v>2525.7973727638328</c:v>
                      </c:pt>
                      <c:pt idx="8">
                        <c:v>2513.1683859000136</c:v>
                      </c:pt>
                      <c:pt idx="9">
                        <c:v>2500.6025439705131</c:v>
                      </c:pt>
                      <c:pt idx="10">
                        <c:v>2488.0995312506611</c:v>
                      </c:pt>
                      <c:pt idx="11">
                        <c:v>2475.6590335944074</c:v>
                      </c:pt>
                      <c:pt idx="12">
                        <c:v>2463.2807384264352</c:v>
                      </c:pt>
                      <c:pt idx="13">
                        <c:v>2450.9643347343031</c:v>
                      </c:pt>
                      <c:pt idx="14">
                        <c:v>2438.7095130606317</c:v>
                      </c:pt>
                      <c:pt idx="15">
                        <c:v>2426.5159654953281</c:v>
                      </c:pt>
                    </c:numCache>
                  </c:numRef>
                </c:val>
                <c:extLst xmlns:c15="http://schemas.microsoft.com/office/drawing/2012/chart">
                  <c:ext xmlns:c16="http://schemas.microsoft.com/office/drawing/2014/chart" uri="{C3380CC4-5D6E-409C-BE32-E72D297353CC}">
                    <c16:uniqueId val="{0000000E-6A76-4B3A-9968-BB09FBAFF642}"/>
                  </c:ext>
                </c:extLst>
              </c15:ser>
            </c15:filteredBarSeries>
            <c15:filteredBarSeries>
              <c15:ser>
                <c:idx val="13"/>
                <c:order val="19"/>
                <c:tx>
                  <c:strRef>
                    <c:extLst xmlns:c15="http://schemas.microsoft.com/office/drawing/2012/chart">
                      <c:ext xmlns:c15="http://schemas.microsoft.com/office/drawing/2012/chart" uri="{02D57815-91ED-43cb-92C2-25804820EDAC}">
                        <c15:formulaRef>
                          <c15:sqref>'Total Sys Data - MOU I.2'!$AA$5</c15:sqref>
                        </c15:formulaRef>
                      </c:ext>
                    </c:extLst>
                    <c:strCache>
                      <c:ptCount val="1"/>
                      <c:pt idx="0">
                        <c:v>Net Metering as Resource</c:v>
                      </c:pt>
                    </c:strCache>
                  </c:strRef>
                </c:tx>
                <c:spPr>
                  <a:solidFill>
                    <a:srgbClr val="00B050"/>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I.2'!$AA$14:$AA$41</c15:sqref>
                        </c15:fullRef>
                        <c15:formulaRef>
                          <c15:sqref>'Total Sys Data - MOU I.2'!$AA$21:$AA$36</c15:sqref>
                        </c15:formulaRef>
                      </c:ext>
                    </c:extLst>
                    <c:numCache>
                      <c:formatCode>#,##0</c:formatCode>
                      <c:ptCount val="16"/>
                      <c:pt idx="0">
                        <c:v>33120.538293517544</c:v>
                      </c:pt>
                      <c:pt idx="1">
                        <c:v>33491.868685536669</c:v>
                      </c:pt>
                      <c:pt idx="2">
                        <c:v>33827.750506955665</c:v>
                      </c:pt>
                      <c:pt idx="3">
                        <c:v>34017.15729992697</c:v>
                      </c:pt>
                      <c:pt idx="4">
                        <c:v>34195.942138102735</c:v>
                      </c:pt>
                      <c:pt idx="5">
                        <c:v>34386.763823488109</c:v>
                      </c:pt>
                      <c:pt idx="6">
                        <c:v>34583.668999111367</c:v>
                      </c:pt>
                      <c:pt idx="7">
                        <c:v>34661.896071368363</c:v>
                      </c:pt>
                      <c:pt idx="8">
                        <c:v>34755.34918407513</c:v>
                      </c:pt>
                      <c:pt idx="9">
                        <c:v>34879.697455320158</c:v>
                      </c:pt>
                      <c:pt idx="10">
                        <c:v>35025.761480527464</c:v>
                      </c:pt>
                      <c:pt idx="11">
                        <c:v>35062.708120474766</c:v>
                      </c:pt>
                      <c:pt idx="12">
                        <c:v>35124.737313348589</c:v>
                      </c:pt>
                      <c:pt idx="13">
                        <c:v>9334.3472612153091</c:v>
                      </c:pt>
                      <c:pt idx="14">
                        <c:v>9334.3472612153091</c:v>
                      </c:pt>
                      <c:pt idx="15">
                        <c:v>9334.3472612153091</c:v>
                      </c:pt>
                    </c:numCache>
                  </c:numRef>
                </c:val>
                <c:extLst xmlns:c15="http://schemas.microsoft.com/office/drawing/2012/chart">
                  <c:ext xmlns:c16="http://schemas.microsoft.com/office/drawing/2014/chart" uri="{C3380CC4-5D6E-409C-BE32-E72D297353CC}">
                    <c16:uniqueId val="{0000000F-6A76-4B3A-9968-BB09FBAFF642}"/>
                  </c:ext>
                </c:extLst>
              </c15:ser>
            </c15:filteredBarSeries>
            <c15:filteredBarSeries>
              <c15:ser>
                <c:idx val="10"/>
                <c:order val="20"/>
                <c:tx>
                  <c:strRef>
                    <c:extLst xmlns:c15="http://schemas.microsoft.com/office/drawing/2012/chart">
                      <c:ext xmlns:c15="http://schemas.microsoft.com/office/drawing/2012/chart" uri="{02D57815-91ED-43cb-92C2-25804820EDAC}">
                        <c15:formulaRef>
                          <c15:sqref>'Total Sys Data - MOU I.2'!$T$5</c15:sqref>
                        </c15:formulaRef>
                      </c:ext>
                    </c:extLst>
                    <c:strCache>
                      <c:ptCount val="1"/>
                      <c:pt idx="0">
                        <c:v>NextEra 2022-2025</c:v>
                      </c:pt>
                    </c:strCache>
                  </c:strRef>
                </c:tx>
                <c:spPr>
                  <a:solidFill>
                    <a:schemeClr val="tx1"/>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I.2'!$T$14:$T$41</c15:sqref>
                        </c15:fullRef>
                        <c15:formulaRef>
                          <c15:sqref>'Total Sys Data - MOU I.2'!$T$21:$T$36</c15:sqref>
                        </c15:formulaRef>
                      </c:ext>
                    </c:extLst>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10-6A76-4B3A-9968-BB09FBAFF642}"/>
                  </c:ext>
                </c:extLst>
              </c15:ser>
            </c15:filteredBarSeries>
            <c15:filteredBarSeries>
              <c15:ser>
                <c:idx val="12"/>
                <c:order val="21"/>
                <c:tx>
                  <c:strRef>
                    <c:extLst xmlns:c15="http://schemas.microsoft.com/office/drawing/2012/chart">
                      <c:ext xmlns:c15="http://schemas.microsoft.com/office/drawing/2012/chart" uri="{02D57815-91ED-43cb-92C2-25804820EDAC}">
                        <c15:formulaRef>
                          <c15:sqref>'Total Sys Data - MOU I.2'!$Z$5</c15:sqref>
                        </c15:formulaRef>
                      </c:ext>
                    </c:extLst>
                    <c:strCache>
                      <c:ptCount val="1"/>
                      <c:pt idx="0">
                        <c:v>Howard Wind</c:v>
                      </c:pt>
                    </c:strCache>
                  </c:strRef>
                </c:tx>
                <c:spPr>
                  <a:solidFill>
                    <a:schemeClr val="accent4">
                      <a:lumMod val="60000"/>
                      <a:lumOff val="40000"/>
                    </a:schemeClr>
                  </a:solidFill>
                  <a:ln>
                    <a:solidFill>
                      <a:sysClr val="windowText" lastClr="000000"/>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I.2'!$Z$14:$Z$41</c15:sqref>
                        </c15:fullRef>
                        <c15:formulaRef>
                          <c15:sqref>'Total Sys Data - MOU I.2'!$Z$21:$Z$36</c15:sqref>
                        </c15:formulaRef>
                      </c:ext>
                    </c:extLst>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11-6A76-4B3A-9968-BB09FBAFF642}"/>
                  </c:ext>
                </c:extLst>
              </c15:ser>
            </c15:filteredBarSeries>
            <c15:filteredBarSeries>
              <c15:ser>
                <c:idx val="14"/>
                <c:order val="22"/>
                <c:tx>
                  <c:strRef>
                    <c:extLst xmlns:c15="http://schemas.microsoft.com/office/drawing/2012/chart">
                      <c:ext xmlns:c15="http://schemas.microsoft.com/office/drawing/2012/chart" uri="{02D57815-91ED-43cb-92C2-25804820EDAC}">
                        <c15:formulaRef>
                          <c15:sqref>'Total Sys Data - MOU I.2'!$AG$5</c15:sqref>
                        </c15:formulaRef>
                      </c:ext>
                    </c:extLst>
                    <c:strCache>
                      <c:ptCount val="1"/>
                      <c:pt idx="0">
                        <c:v>Brookfield Hydro</c:v>
                      </c:pt>
                    </c:strCache>
                  </c:strRef>
                </c:tx>
                <c:spPr>
                  <a:solidFill>
                    <a:schemeClr val="accent3">
                      <a:lumMod val="40000"/>
                      <a:lumOff val="60000"/>
                    </a:schemeClr>
                  </a:solidFill>
                  <a:ln>
                    <a:solidFill>
                      <a:schemeClr val="tx1"/>
                    </a:solidFill>
                  </a:ln>
                </c:spPr>
                <c:invertIfNegative val="0"/>
                <c:cat>
                  <c:numRef>
                    <c:extLst>
                      <c:ext xmlns:c15="http://schemas.microsoft.com/office/drawing/2012/chart" uri="{02D57815-91ED-43cb-92C2-25804820EDAC}">
                        <c15:fullRef>
                          <c15:sqref>'Tier 4 Data'!$B$13:$B$40</c15:sqref>
                        </c15:fullRef>
                        <c15:formulaRef>
                          <c15:sqref>'Tier 4 Data'!$B$20:$B$35</c15:sqref>
                        </c15:formulaRef>
                      </c:ext>
                    </c:extLst>
                    <c:numCache>
                      <c:formatCode>General</c:formatCode>
                      <c:ptCount val="16"/>
                      <c:pt idx="0">
                        <c:v>2030</c:v>
                      </c:pt>
                      <c:pt idx="1">
                        <c:v>2031</c:v>
                      </c:pt>
                      <c:pt idx="2">
                        <c:v>2032</c:v>
                      </c:pt>
                      <c:pt idx="3">
                        <c:v>2033</c:v>
                      </c:pt>
                      <c:pt idx="4">
                        <c:v>2034</c:v>
                      </c:pt>
                      <c:pt idx="5">
                        <c:v>2035</c:v>
                      </c:pt>
                      <c:pt idx="6">
                        <c:v>2036</c:v>
                      </c:pt>
                      <c:pt idx="7">
                        <c:v>2037</c:v>
                      </c:pt>
                      <c:pt idx="8">
                        <c:v>2038</c:v>
                      </c:pt>
                      <c:pt idx="9">
                        <c:v>2039</c:v>
                      </c:pt>
                      <c:pt idx="10">
                        <c:v>2040</c:v>
                      </c:pt>
                      <c:pt idx="11">
                        <c:v>2041</c:v>
                      </c:pt>
                      <c:pt idx="12">
                        <c:v>2042</c:v>
                      </c:pt>
                      <c:pt idx="13">
                        <c:v>2043</c:v>
                      </c:pt>
                      <c:pt idx="14">
                        <c:v>2044</c:v>
                      </c:pt>
                      <c:pt idx="15">
                        <c:v>2045</c:v>
                      </c:pt>
                    </c:numCache>
                  </c:numRef>
                </c:cat>
                <c:val>
                  <c:numRef>
                    <c:extLst>
                      <c:ext xmlns:c15="http://schemas.microsoft.com/office/drawing/2012/chart" uri="{02D57815-91ED-43cb-92C2-25804820EDAC}">
                        <c15:fullRef>
                          <c15:sqref>'Total Sys Data - MOU I.2'!$AG$14:$AG$41</c15:sqref>
                        </c15:fullRef>
                        <c15:formulaRef>
                          <c15:sqref>'Total Sys Data - MOU I.2'!$AG$21:$AG$36</c15:sqref>
                        </c15:formulaRef>
                      </c:ext>
                    </c:extLst>
                    <c:numCache>
                      <c:formatCode>#,##0</c:formatCode>
                      <c:ptCount val="16"/>
                      <c:pt idx="0">
                        <c:v>64784</c:v>
                      </c:pt>
                      <c:pt idx="1">
                        <c:v>64784</c:v>
                      </c:pt>
                      <c:pt idx="2">
                        <c:v>65024</c:v>
                      </c:pt>
                      <c:pt idx="3">
                        <c:v>64672</c:v>
                      </c:pt>
                      <c:pt idx="4">
                        <c:v>64656</c:v>
                      </c:pt>
                      <c:pt idx="5">
                        <c:v>64736</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12-6A76-4B3A-9968-BB09FBAFF642}"/>
                  </c:ext>
                </c:extLst>
              </c15:ser>
            </c15:filteredBarSeries>
          </c:ext>
        </c:extLst>
      </c:barChart>
      <c:lineChart>
        <c:grouping val="standard"/>
        <c:varyColors val="0"/>
        <c:ser>
          <c:idx val="17"/>
          <c:order val="12"/>
          <c:tx>
            <c:strRef>
              <c:f>'Tier 4 Data'!$G$5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I.2'!$B$9:$B$29</c15:sqref>
                  </c15:fullRef>
                </c:ext>
              </c:extLst>
              <c:f>'Total Sys Data - MOU I.2'!$B$16:$B$29</c:f>
              <c:numCache>
                <c:formatCode>General</c:formatCode>
                <c:ptCount val="1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numCache>
            </c:numRef>
          </c:cat>
          <c:val>
            <c:numRef>
              <c:extLst>
                <c:ext xmlns:c15="http://schemas.microsoft.com/office/drawing/2012/chart" uri="{02D57815-91ED-43cb-92C2-25804820EDAC}">
                  <c15:fullRef>
                    <c15:sqref>'Tier 4 Data'!$G$13:$G$40</c15:sqref>
                  </c15:fullRef>
                </c:ext>
              </c:extLst>
              <c:f>'Tier 4 Data'!$G$20:$G$35</c:f>
              <c:numCache>
                <c:formatCode>#,##0</c:formatCode>
                <c:ptCount val="16"/>
                <c:pt idx="0">
                  <c:v>30218.563434498497</c:v>
                </c:pt>
                <c:pt idx="1">
                  <c:v>31043.673669562264</c:v>
                </c:pt>
                <c:pt idx="2">
                  <c:v>31934.412335302462</c:v>
                </c:pt>
                <c:pt idx="3">
                  <c:v>32858.21416370025</c:v>
                </c:pt>
                <c:pt idx="4">
                  <c:v>33812.548278229282</c:v>
                </c:pt>
                <c:pt idx="5">
                  <c:v>69504.341941483333</c:v>
                </c:pt>
                <c:pt idx="6">
                  <c:v>71397.543825101122</c:v>
                </c:pt>
                <c:pt idx="7">
                  <c:v>73314.130112139042</c:v>
                </c:pt>
                <c:pt idx="8">
                  <c:v>75152.819713254212</c:v>
                </c:pt>
                <c:pt idx="9">
                  <c:v>76855.228858287519</c:v>
                </c:pt>
                <c:pt idx="10">
                  <c:v>78258.765066748529</c:v>
                </c:pt>
                <c:pt idx="11">
                  <c:v>79353.227899898135</c:v>
                </c:pt>
                <c:pt idx="12">
                  <c:v>80317.688283081588</c:v>
                </c:pt>
                <c:pt idx="13">
                  <c:v>81243.424633059156</c:v>
                </c:pt>
                <c:pt idx="14">
                  <c:v>82173.747700223292</c:v>
                </c:pt>
                <c:pt idx="15">
                  <c:v>83102.328535918146</c:v>
                </c:pt>
              </c:numCache>
            </c:numRef>
          </c:val>
          <c:smooth val="0"/>
          <c:extLst>
            <c:ext xmlns:c16="http://schemas.microsoft.com/office/drawing/2014/chart" uri="{C3380CC4-5D6E-409C-BE32-E72D297353CC}">
              <c16:uniqueId val="{00000013-6A76-4B3A-9968-BB09FBAFF642}"/>
            </c:ext>
          </c:extLst>
        </c:ser>
        <c:ser>
          <c:idx val="18"/>
          <c:order val="13"/>
          <c:tx>
            <c:strRef>
              <c:f>'Tier 4 Data'!$F$5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I.2'!$B$9:$B$29</c15:sqref>
                  </c15:fullRef>
                </c:ext>
              </c:extLst>
              <c:f>'Total Sys Data - MOU I.2'!$B$16:$B$29</c:f>
              <c:numCache>
                <c:formatCode>General</c:formatCode>
                <c:ptCount val="1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numCache>
            </c:numRef>
          </c:cat>
          <c:val>
            <c:numRef>
              <c:extLst>
                <c:ext xmlns:c15="http://schemas.microsoft.com/office/drawing/2012/chart" uri="{02D57815-91ED-43cb-92C2-25804820EDAC}">
                  <c15:fullRef>
                    <c15:sqref>'Tier 4 Data'!$F$13:$F$40</c15:sqref>
                  </c15:fullRef>
                </c:ext>
              </c:extLst>
              <c:f>'Tier 4 Data'!$F$20:$F$35</c:f>
              <c:numCache>
                <c:formatCode>#,##0</c:formatCode>
                <c:ptCount val="16"/>
                <c:pt idx="0">
                  <c:v>29876.860445802158</c:v>
                </c:pt>
                <c:pt idx="1">
                  <c:v>30806.344020219916</c:v>
                </c:pt>
                <c:pt idx="2">
                  <c:v>31733.751317863262</c:v>
                </c:pt>
                <c:pt idx="3">
                  <c:v>32631.509311360209</c:v>
                </c:pt>
                <c:pt idx="4">
                  <c:v>33491.19930856771</c:v>
                </c:pt>
                <c:pt idx="5">
                  <c:v>68463.491834434346</c:v>
                </c:pt>
                <c:pt idx="6">
                  <c:v>69615.257991366452</c:v>
                </c:pt>
                <c:pt idx="7">
                  <c:v>70488.109830864923</c:v>
                </c:pt>
                <c:pt idx="8">
                  <c:v>71133.067528154963</c:v>
                </c:pt>
                <c:pt idx="9">
                  <c:v>71612.086595409201</c:v>
                </c:pt>
                <c:pt idx="10">
                  <c:v>71962.063688443974</c:v>
                </c:pt>
                <c:pt idx="11">
                  <c:v>72222.380304426057</c:v>
                </c:pt>
                <c:pt idx="12">
                  <c:v>72308.674512119891</c:v>
                </c:pt>
                <c:pt idx="13">
                  <c:v>72223.48835808289</c:v>
                </c:pt>
                <c:pt idx="14">
                  <c:v>72110.735357227386</c:v>
                </c:pt>
                <c:pt idx="15">
                  <c:v>71996.151587993998</c:v>
                </c:pt>
              </c:numCache>
            </c:numRef>
          </c:val>
          <c:smooth val="0"/>
          <c:extLst>
            <c:ext xmlns:c16="http://schemas.microsoft.com/office/drawing/2014/chart" uri="{C3380CC4-5D6E-409C-BE32-E72D297353CC}">
              <c16:uniqueId val="{00000014-6A76-4B3A-9968-BB09FBAFF642}"/>
            </c:ext>
          </c:extLst>
        </c:ser>
        <c:ser>
          <c:idx val="19"/>
          <c:order val="14"/>
          <c:tx>
            <c:strRef>
              <c:f>'Tier 4 Data'!$H$5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I.2'!$B$9:$B$29</c15:sqref>
                  </c15:fullRef>
                </c:ext>
              </c:extLst>
              <c:f>'Total Sys Data - MOU I.2'!$B$16:$B$29</c:f>
              <c:numCache>
                <c:formatCode>General</c:formatCode>
                <c:ptCount val="1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numCache>
            </c:numRef>
          </c:cat>
          <c:val>
            <c:numRef>
              <c:extLst>
                <c:ext xmlns:c15="http://schemas.microsoft.com/office/drawing/2012/chart" uri="{02D57815-91ED-43cb-92C2-25804820EDAC}">
                  <c15:fullRef>
                    <c15:sqref>'Tier 4 Data'!$H$13:$H$40</c15:sqref>
                  </c15:fullRef>
                </c:ext>
              </c:extLst>
              <c:f>'Tier 4 Data'!$H$20:$H$35</c:f>
              <c:numCache>
                <c:formatCode>#,##0</c:formatCode>
                <c:ptCount val="16"/>
                <c:pt idx="0">
                  <c:v>26662.683817220946</c:v>
                </c:pt>
                <c:pt idx="1">
                  <c:v>27131.282129971587</c:v>
                </c:pt>
                <c:pt idx="2">
                  <c:v>27662.957721588959</c:v>
                </c:pt>
                <c:pt idx="3">
                  <c:v>28261.576027562907</c:v>
                </c:pt>
                <c:pt idx="4">
                  <c:v>28922.250117873587</c:v>
                </c:pt>
                <c:pt idx="5">
                  <c:v>59261.244988284016</c:v>
                </c:pt>
                <c:pt idx="6">
                  <c:v>60694.302648805518</c:v>
                </c:pt>
                <c:pt idx="7">
                  <c:v>62068.45030036987</c:v>
                </c:pt>
                <c:pt idx="8">
                  <c:v>63324.993557360562</c:v>
                </c:pt>
                <c:pt idx="9">
                  <c:v>64421.349095807112</c:v>
                </c:pt>
                <c:pt idx="10">
                  <c:v>65333.772483760134</c:v>
                </c:pt>
                <c:pt idx="11">
                  <c:v>66062.106578335719</c:v>
                </c:pt>
                <c:pt idx="12">
                  <c:v>66654.680842870963</c:v>
                </c:pt>
                <c:pt idx="13">
                  <c:v>67120.674217600594</c:v>
                </c:pt>
                <c:pt idx="14">
                  <c:v>67497.423564273151</c:v>
                </c:pt>
                <c:pt idx="15">
                  <c:v>67811.752073805881</c:v>
                </c:pt>
              </c:numCache>
            </c:numRef>
          </c:val>
          <c:smooth val="0"/>
          <c:extLst>
            <c:ext xmlns:c16="http://schemas.microsoft.com/office/drawing/2014/chart" uri="{C3380CC4-5D6E-409C-BE32-E72D297353CC}">
              <c16:uniqueId val="{00000015-6A76-4B3A-9968-BB09FBAFF642}"/>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max val="100000"/>
        </c:scaling>
        <c:delete val="0"/>
        <c:axPos val="l"/>
        <c:majorGridlines>
          <c:spPr>
            <a:ln>
              <a:prstDash val="dash"/>
            </a:ln>
          </c:spPr>
        </c:majorGridlines>
        <c:title>
          <c:tx>
            <c:rich>
              <a:bodyPr/>
              <a:lstStyle/>
              <a:p>
                <a:pPr>
                  <a:defRPr/>
                </a:pPr>
                <a:r>
                  <a:rPr lang="en-US"/>
                  <a:t>REC</a:t>
                </a:r>
              </a:p>
            </c:rich>
          </c:tx>
          <c:overlay val="0"/>
        </c:title>
        <c:numFmt formatCode="#,##0" sourceLinked="1"/>
        <c:majorTickMark val="out"/>
        <c:minorTickMark val="none"/>
        <c:tickLblPos val="nextTo"/>
        <c:crossAx val="-1178461584"/>
        <c:crosses val="autoZero"/>
        <c:crossBetween val="between"/>
      </c:valAx>
      <c:spPr>
        <a:noFill/>
        <a:ln w="25400">
          <a:noFill/>
        </a:ln>
      </c:spPr>
    </c:plotArea>
    <c:legend>
      <c:legendPos val="b"/>
      <c:layout>
        <c:manualLayout>
          <c:xMode val="edge"/>
          <c:yMode val="edge"/>
          <c:x val="6.865089893926897E-2"/>
          <c:y val="0.82196091254890868"/>
          <c:w val="0.91515262068050607"/>
          <c:h val="0.14590396238006759"/>
        </c:manualLayout>
      </c:layout>
      <c:overlay val="0"/>
      <c:txPr>
        <a:bodyPr/>
        <a:lstStyle/>
        <a:p>
          <a:pPr>
            <a:defRPr baseline="0"/>
          </a:pPr>
          <a:endParaRPr lang="en-US"/>
        </a:p>
      </c:txPr>
    </c:legend>
    <c:plotVisOnly val="1"/>
    <c:dispBlanksAs val="gap"/>
    <c:showDLblsOverMax val="0"/>
  </c:chart>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Tier I Projected Required MWh vs Resources </a:t>
            </a:r>
          </a:p>
        </c:rich>
      </c:tx>
      <c:overlay val="0"/>
    </c:title>
    <c:autoTitleDeleted val="0"/>
    <c:plotArea>
      <c:layout/>
      <c:barChart>
        <c:barDir val="col"/>
        <c:grouping val="stacked"/>
        <c:varyColors val="0"/>
        <c:ser>
          <c:idx val="3"/>
          <c:order val="2"/>
          <c:tx>
            <c:strRef>
              <c:f>'Tier 1 Data - MOU I.4'!$AB$5</c:f>
              <c:strCache>
                <c:ptCount val="1"/>
                <c:pt idx="0">
                  <c:v>HQUS VEC</c:v>
                </c:pt>
              </c:strCache>
            </c:strRef>
          </c:tx>
          <c:spPr>
            <a:pattFill prst="ltDnDiag">
              <a:fgClr>
                <a:schemeClr val="accent2"/>
              </a:fgClr>
              <a:bgClr>
                <a:schemeClr val="bg1"/>
              </a:bgClr>
            </a:patt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I.4'!$AB$13:$AB$40</c15:sqref>
                  </c15:fullRef>
                </c:ext>
              </c:extLst>
              <c:f>'Tier 1 Data - MOU I.4'!$AB$16:$AB$35</c:f>
              <c:numCache>
                <c:formatCode>#,##0</c:formatCode>
                <c:ptCount val="20"/>
                <c:pt idx="0">
                  <c:v>116800</c:v>
                </c:pt>
                <c:pt idx="1">
                  <c:v>116800</c:v>
                </c:pt>
                <c:pt idx="2">
                  <c:v>117120</c:v>
                </c:pt>
                <c:pt idx="3">
                  <c:v>116800</c:v>
                </c:pt>
                <c:pt idx="4">
                  <c:v>103960.72</c:v>
                </c:pt>
                <c:pt idx="5">
                  <c:v>39974.799999999996</c:v>
                </c:pt>
                <c:pt idx="6">
                  <c:v>40084.32</c:v>
                </c:pt>
                <c:pt idx="7">
                  <c:v>39974.799999999996</c:v>
                </c:pt>
                <c:pt idx="8">
                  <c:v>39974.799999999996</c:v>
                </c:pt>
                <c:pt idx="9">
                  <c:v>39974.799999999996</c:v>
                </c:pt>
                <c:pt idx="10">
                  <c:v>40084.32</c:v>
                </c:pt>
                <c:pt idx="11">
                  <c:v>39974.799999999996</c:v>
                </c:pt>
                <c:pt idx="12">
                  <c:v>33294.079999999994</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B745-4BCB-9D3C-DDE61234EF21}"/>
            </c:ext>
          </c:extLst>
        </c:ser>
        <c:ser>
          <c:idx val="4"/>
          <c:order val="3"/>
          <c:tx>
            <c:strRef>
              <c:f>'Tier 1 Data - MOU I.4'!$AC$5</c:f>
              <c:strCache>
                <c:ptCount val="1"/>
                <c:pt idx="0">
                  <c:v>HQUS WEC</c:v>
                </c:pt>
              </c:strCache>
            </c:strRef>
          </c:tx>
          <c:spPr>
            <a:solidFill>
              <a:schemeClr val="accent3"/>
            </a:solid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I.4'!$AC$13:$AC$40</c15:sqref>
                  </c15:fullRef>
                </c:ext>
              </c:extLst>
              <c:f>'Tier 1 Data - MOU I.4'!$AC$16:$AC$35</c:f>
              <c:numCache>
                <c:formatCode>#,##0</c:formatCode>
                <c:ptCount val="20"/>
                <c:pt idx="0">
                  <c:v>11680</c:v>
                </c:pt>
                <c:pt idx="1">
                  <c:v>11680</c:v>
                </c:pt>
                <c:pt idx="2">
                  <c:v>11712</c:v>
                </c:pt>
                <c:pt idx="3">
                  <c:v>11680</c:v>
                </c:pt>
                <c:pt idx="4">
                  <c:v>11680</c:v>
                </c:pt>
                <c:pt idx="5">
                  <c:v>11680</c:v>
                </c:pt>
                <c:pt idx="6">
                  <c:v>11712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B745-4BCB-9D3C-DDE61234EF21}"/>
            </c:ext>
          </c:extLst>
        </c:ser>
        <c:ser>
          <c:idx val="5"/>
          <c:order val="4"/>
          <c:tx>
            <c:strRef>
              <c:f>'Tier 1 Data - MOU I.4'!$AD$5</c:f>
              <c:strCache>
                <c:ptCount val="1"/>
                <c:pt idx="0">
                  <c:v>NYPA</c:v>
                </c:pt>
              </c:strCache>
            </c:strRef>
          </c:tx>
          <c:spPr>
            <a:pattFill prst="ltUpDiag">
              <a:fgClr>
                <a:schemeClr val="accent4"/>
              </a:fgClr>
              <a:bgClr>
                <a:schemeClr val="bg1"/>
              </a:bgClr>
            </a:pattFill>
            <a:ln w="3175">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I.4'!$AD$13:$AD$40</c15:sqref>
                  </c15:fullRef>
                </c:ext>
              </c:extLst>
              <c:f>'Tier 1 Data - MOU I.4'!$AD$16:$AD$35</c:f>
              <c:numCache>
                <c:formatCode>#,##0</c:formatCode>
                <c:ptCount val="20"/>
                <c:pt idx="0">
                  <c:v>39082.345000000008</c:v>
                </c:pt>
                <c:pt idx="1">
                  <c:v>39082.345000000008</c:v>
                </c:pt>
                <c:pt idx="2">
                  <c:v>39082.345000000008</c:v>
                </c:pt>
                <c:pt idx="3">
                  <c:v>39082.345000000008</c:v>
                </c:pt>
                <c:pt idx="4">
                  <c:v>39082.345000000008</c:v>
                </c:pt>
                <c:pt idx="5">
                  <c:v>39082.345000000008</c:v>
                </c:pt>
                <c:pt idx="6">
                  <c:v>39082.345000000008</c:v>
                </c:pt>
                <c:pt idx="7">
                  <c:v>39082.345000000008</c:v>
                </c:pt>
                <c:pt idx="8">
                  <c:v>39082.345000000008</c:v>
                </c:pt>
                <c:pt idx="9">
                  <c:v>39082.345000000008</c:v>
                </c:pt>
                <c:pt idx="10">
                  <c:v>39082.345000000008</c:v>
                </c:pt>
                <c:pt idx="11">
                  <c:v>39082.345000000008</c:v>
                </c:pt>
                <c:pt idx="12">
                  <c:v>39082.345000000008</c:v>
                </c:pt>
                <c:pt idx="13">
                  <c:v>39082.345000000008</c:v>
                </c:pt>
                <c:pt idx="14">
                  <c:v>39082.345000000008</c:v>
                </c:pt>
                <c:pt idx="15">
                  <c:v>39082.345000000008</c:v>
                </c:pt>
                <c:pt idx="16">
                  <c:v>39082.345000000008</c:v>
                </c:pt>
                <c:pt idx="17">
                  <c:v>39082.345000000008</c:v>
                </c:pt>
                <c:pt idx="18">
                  <c:v>39082.345000000008</c:v>
                </c:pt>
                <c:pt idx="19">
                  <c:v>39082.345000000008</c:v>
                </c:pt>
              </c:numCache>
            </c:numRef>
          </c:val>
          <c:extLst>
            <c:ext xmlns:c16="http://schemas.microsoft.com/office/drawing/2014/chart" uri="{C3380CC4-5D6E-409C-BE32-E72D297353CC}">
              <c16:uniqueId val="{00000003-B745-4BCB-9D3C-DDE61234EF21}"/>
            </c:ext>
          </c:extLst>
        </c:ser>
        <c:ser>
          <c:idx val="6"/>
          <c:order val="7"/>
          <c:tx>
            <c:strRef>
              <c:f>'Tier 1 Data - MOU I.4'!$AF$5</c:f>
              <c:strCache>
                <c:ptCount val="1"/>
                <c:pt idx="0">
                  <c:v>Kingdom Wind</c:v>
                </c:pt>
              </c:strCache>
            </c:strRef>
          </c:tx>
          <c:spPr>
            <a:pattFill prst="ltDnDiag">
              <a:fgClr>
                <a:schemeClr val="accent1"/>
              </a:fgClr>
              <a:bgClr>
                <a:schemeClr val="bg1"/>
              </a:bgClr>
            </a:patt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I.4'!$AF$13:$AF$40</c15:sqref>
                  </c15:fullRef>
                </c:ext>
              </c:extLst>
              <c:f>'Tier 1 Data - MOU I.4'!$AF$16:$AF$35</c:f>
              <c:numCache>
                <c:formatCode>#,##0</c:formatCode>
                <c:ptCount val="20"/>
                <c:pt idx="0">
                  <c:v>21326.281999999999</c:v>
                </c:pt>
                <c:pt idx="1">
                  <c:v>21326.281999999999</c:v>
                </c:pt>
                <c:pt idx="2">
                  <c:v>21326.281999999999</c:v>
                </c:pt>
                <c:pt idx="3">
                  <c:v>21326.281999999999</c:v>
                </c:pt>
                <c:pt idx="4">
                  <c:v>21326.281999999999</c:v>
                </c:pt>
                <c:pt idx="5">
                  <c:v>21326.281999999999</c:v>
                </c:pt>
                <c:pt idx="6">
                  <c:v>21326.281999999999</c:v>
                </c:pt>
                <c:pt idx="7">
                  <c:v>21326.281999999999</c:v>
                </c:pt>
                <c:pt idx="8">
                  <c:v>21326.281999999999</c:v>
                </c:pt>
                <c:pt idx="9">
                  <c:v>21326.281999999999</c:v>
                </c:pt>
                <c:pt idx="10">
                  <c:v>21326.281999999999</c:v>
                </c:pt>
                <c:pt idx="11">
                  <c:v>21188.506000000001</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8-B745-4BCB-9D3C-DDE61234EF21}"/>
            </c:ext>
          </c:extLst>
        </c:ser>
        <c:ser>
          <c:idx val="7"/>
          <c:order val="8"/>
          <c:tx>
            <c:strRef>
              <c:f>'Tier 1 Data - MOU I.4'!$AE$5</c:f>
              <c:strCache>
                <c:ptCount val="1"/>
                <c:pt idx="0">
                  <c:v>Ryegate</c:v>
                </c:pt>
              </c:strCache>
            </c:strRef>
          </c:tx>
          <c:spPr>
            <a:solidFill>
              <a:schemeClr val="accent6"/>
            </a:solid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I.4'!$AE$13:$AE$40</c15:sqref>
                  </c15:fullRef>
                </c:ext>
              </c:extLst>
              <c:f>'Tier 1 Data - MOU I.4'!$AE$16:$AE$35</c:f>
              <c:numCache>
                <c:formatCode>#,##0</c:formatCode>
                <c:ptCount val="20"/>
                <c:pt idx="0">
                  <c:v>12263.491178667429</c:v>
                </c:pt>
                <c:pt idx="1">
                  <c:v>12263.491178667429</c:v>
                </c:pt>
                <c:pt idx="2">
                  <c:v>12263.491178667429</c:v>
                </c:pt>
                <c:pt idx="3">
                  <c:v>12263.491178667429</c:v>
                </c:pt>
                <c:pt idx="4">
                  <c:v>12263.491178667429</c:v>
                </c:pt>
                <c:pt idx="5">
                  <c:v>12263.491178667429</c:v>
                </c:pt>
                <c:pt idx="6">
                  <c:v>10212.955087275428</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9-B745-4BCB-9D3C-DDE61234EF21}"/>
            </c:ext>
          </c:extLst>
        </c:ser>
        <c:ser>
          <c:idx val="8"/>
          <c:order val="9"/>
          <c:tx>
            <c:strRef>
              <c:f>'Tier 1 Data - MOU I.4'!$AK$5</c:f>
              <c:strCache>
                <c:ptCount val="1"/>
                <c:pt idx="0">
                  <c:v>Standard Offer - Pre-July 2015</c:v>
                </c:pt>
              </c:strCache>
              <c:extLst xmlns:c15="http://schemas.microsoft.com/office/drawing/2012/chart"/>
            </c:strRef>
          </c:tx>
          <c:spPr>
            <a:pattFill prst="wdDnDiag">
              <a:fgClr>
                <a:srgbClr val="92D050"/>
              </a:fgClr>
              <a:bgClr>
                <a:schemeClr val="bg1"/>
              </a:bgClr>
            </a:patt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I.4'!$AK$13:$AK$40</c15:sqref>
                  </c15:fullRef>
                </c:ext>
              </c:extLst>
              <c:f>'Tier 1 Data - MOU I.4'!$AK$16:$AK$35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A-B745-4BCB-9D3C-DDE61234EF21}"/>
            </c:ext>
          </c:extLst>
        </c:ser>
        <c:ser>
          <c:idx val="1"/>
          <c:order val="10"/>
          <c:tx>
            <c:strRef>
              <c:f>'Tier 1 Data - MOU I.4'!$AJ$5</c:f>
              <c:strCache>
                <c:ptCount val="1"/>
                <c:pt idx="0">
                  <c:v>Sheffield - Fixed Price</c:v>
                </c:pt>
              </c:strCache>
            </c:strRef>
          </c:tx>
          <c:spPr>
            <a:ln>
              <a:solidFill>
                <a:sysClr val="windowText" lastClr="000000"/>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I.4'!$AJ$13:$AJ$43</c15:sqref>
                  </c15:fullRef>
                </c:ext>
              </c:extLst>
              <c:f>'Tier 1 Data - MOU I.4'!$AJ$16:$AJ$35</c:f>
              <c:numCache>
                <c:formatCode>#,##0</c:formatCode>
                <c:ptCount val="20"/>
                <c:pt idx="0">
                  <c:v>15644.934999999998</c:v>
                </c:pt>
                <c:pt idx="1">
                  <c:v>15644.934999999998</c:v>
                </c:pt>
                <c:pt idx="2">
                  <c:v>15644.934999999998</c:v>
                </c:pt>
                <c:pt idx="3">
                  <c:v>15644.934999999998</c:v>
                </c:pt>
                <c:pt idx="4">
                  <c:v>15644.934999999998</c:v>
                </c:pt>
                <c:pt idx="5">
                  <c:v>10215.179999999998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7-B745-4BCB-9D3C-DDE61234EF21}"/>
            </c:ext>
          </c:extLst>
        </c:ser>
        <c:ser>
          <c:idx val="9"/>
          <c:order val="11"/>
          <c:tx>
            <c:strRef>
              <c:f>'Tier 1 Data - MOU I.4'!$AG$5</c:f>
              <c:strCache>
                <c:ptCount val="1"/>
                <c:pt idx="0">
                  <c:v>Newport Hydro</c:v>
                </c:pt>
              </c:strCache>
            </c:strRef>
          </c:tx>
          <c:spPr>
            <a:solidFill>
              <a:schemeClr val="accent5">
                <a:lumMod val="40000"/>
                <a:lumOff val="60000"/>
              </a:schemeClr>
            </a:solid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I.4'!$AG$13:$AG$40</c15:sqref>
                  </c15:fullRef>
                </c:ext>
              </c:extLst>
              <c:f>'Tier 1 Data - MOU I.4'!$AG$16:$AG$35</c:f>
              <c:numCache>
                <c:formatCode>#,##0</c:formatCode>
                <c:ptCount val="20"/>
                <c:pt idx="0">
                  <c:v>14251.333333333338</c:v>
                </c:pt>
                <c:pt idx="1">
                  <c:v>14251.333333333338</c:v>
                </c:pt>
                <c:pt idx="2">
                  <c:v>14251.333333333338</c:v>
                </c:pt>
                <c:pt idx="3">
                  <c:v>14251.333333333338</c:v>
                </c:pt>
                <c:pt idx="4">
                  <c:v>14251.333333333338</c:v>
                </c:pt>
                <c:pt idx="5">
                  <c:v>14251.333333333338</c:v>
                </c:pt>
                <c:pt idx="6">
                  <c:v>14251.333333333338</c:v>
                </c:pt>
                <c:pt idx="7">
                  <c:v>14251.333333333338</c:v>
                </c:pt>
                <c:pt idx="8">
                  <c:v>9807.0000000000018</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1FA5-4478-BD3C-0DC7E9F68F95}"/>
            </c:ext>
          </c:extLst>
        </c:ser>
        <c:ser>
          <c:idx val="10"/>
          <c:order val="12"/>
          <c:tx>
            <c:strRef>
              <c:f>'Tier 1 Data - MOU I.4'!$AH$5</c:f>
              <c:strCache>
                <c:ptCount val="1"/>
                <c:pt idx="0">
                  <c:v>Howard Wind</c:v>
                </c:pt>
              </c:strCache>
            </c:strRef>
          </c:tx>
          <c:spPr>
            <a:solidFill>
              <a:schemeClr val="accent4">
                <a:lumMod val="60000"/>
                <a:lumOff val="40000"/>
              </a:schemeClr>
            </a:solid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I.4'!$AH$13:$AH$40</c15:sqref>
                  </c15:fullRef>
                </c:ext>
              </c:extLst>
              <c:f>'Tier 1 Data - MOU I.4'!$AH$16:$AH$35</c:f>
              <c:numCache>
                <c:formatCode>#,##0</c:formatCode>
                <c:ptCount val="20"/>
                <c:pt idx="0">
                  <c:v>39560</c:v>
                </c:pt>
                <c:pt idx="1">
                  <c:v>39560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1FA5-4478-BD3C-0DC7E9F68F95}"/>
            </c:ext>
          </c:extLst>
        </c:ser>
        <c:ser>
          <c:idx val="11"/>
          <c:order val="13"/>
          <c:tx>
            <c:strRef>
              <c:f>'Tier 1 Data - MOU I.4'!$AI$5</c:f>
              <c:strCache>
                <c:ptCount val="1"/>
                <c:pt idx="0">
                  <c:v>Brookfield Hydro</c:v>
                </c:pt>
              </c:strCache>
            </c:strRef>
          </c:tx>
          <c:spPr>
            <a:solidFill>
              <a:schemeClr val="accent3">
                <a:lumMod val="40000"/>
                <a:lumOff val="60000"/>
              </a:schemeClr>
            </a:solid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I.4'!$AI$13:$AI$40</c15:sqref>
                  </c15:fullRef>
                </c:ext>
              </c:extLst>
              <c:f>'Tier 1 Data - MOU I.4'!$AI$16:$AI$35</c:f>
              <c:numCache>
                <c:formatCode>#,##0</c:formatCode>
                <c:ptCount val="20"/>
                <c:pt idx="0">
                  <c:v>64928</c:v>
                </c:pt>
                <c:pt idx="1">
                  <c:v>64800</c:v>
                </c:pt>
                <c:pt idx="2">
                  <c:v>64864</c:v>
                </c:pt>
                <c:pt idx="3">
                  <c:v>64736</c:v>
                </c:pt>
                <c:pt idx="4">
                  <c:v>64784</c:v>
                </c:pt>
                <c:pt idx="5">
                  <c:v>64784</c:v>
                </c:pt>
                <c:pt idx="6">
                  <c:v>65024</c:v>
                </c:pt>
                <c:pt idx="7">
                  <c:v>64672</c:v>
                </c:pt>
                <c:pt idx="8">
                  <c:v>64656</c:v>
                </c:pt>
                <c:pt idx="9">
                  <c:v>64736</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B84C-410F-A4A5-EA7AC3D23633}"/>
            </c:ext>
          </c:extLst>
        </c:ser>
        <c:dLbls>
          <c:showLegendKey val="0"/>
          <c:showVal val="0"/>
          <c:showCatName val="0"/>
          <c:showSerName val="0"/>
          <c:showPercent val="0"/>
          <c:showBubbleSize val="0"/>
        </c:dLbls>
        <c:gapWidth val="150"/>
        <c:overlap val="100"/>
        <c:axId val="-651188320"/>
        <c:axId val="-651194848"/>
        <c:extLst>
          <c:ext xmlns:c15="http://schemas.microsoft.com/office/drawing/2012/chart" uri="{02D57815-91ED-43cb-92C2-25804820EDAC}">
            <c15:filteredBarSeries>
              <c15:ser>
                <c:idx val="2"/>
                <c:order val="1"/>
                <c:tx>
                  <c:strRef>
                    <c:extLst>
                      <c:ext uri="{02D57815-91ED-43cb-92C2-25804820EDAC}">
                        <c15:formulaRef>
                          <c15:sqref>'Tier 1 Data - MOU I.4'!$AA$5</c15:sqref>
                        </c15:formulaRef>
                      </c:ext>
                    </c:extLst>
                    <c:strCache>
                      <c:ptCount val="1"/>
                      <c:pt idx="0">
                        <c:v>HQ 2021-2023</c:v>
                      </c:pt>
                    </c:strCache>
                  </c:strRef>
                </c:tx>
                <c:spPr>
                  <a:ln>
                    <a:solidFill>
                      <a:schemeClr val="tx1"/>
                    </a:solidFill>
                  </a:ln>
                </c:spPr>
                <c:invertIfNegative val="0"/>
                <c:cat>
                  <c:numRef>
                    <c:extLst>
                      <c:ext uri="{02D57815-91ED-43cb-92C2-25804820EDAC}">
                        <c15:fullRef>
                          <c15:sqref>'Tier 1 Data - MOU I.4'!$B$13:$B$40</c15:sqref>
                        </c15:fullRef>
                        <c15:formulaRef>
                          <c15:sqref>'Tier 1 Data - MOU I.4'!$B$16:$B$35</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uri="{02D57815-91ED-43cb-92C2-25804820EDAC}">
                        <c15:fullRef>
                          <c15:sqref>'Tier 1 Data - MOU I.4'!$AA$13:$AA$40</c15:sqref>
                        </c15:fullRef>
                        <c15:formulaRef>
                          <c15:sqref>'Tier 1 Data - MOU I.4'!$AA$16:$AA$35</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B745-4BCB-9D3C-DDE61234EF21}"/>
                  </c:ext>
                </c:extLst>
              </c15:ser>
            </c15:filteredBarSeries>
          </c:ext>
        </c:extLst>
      </c:barChart>
      <c:lineChart>
        <c:grouping val="standard"/>
        <c:varyColors val="0"/>
        <c:ser>
          <c:idx val="0"/>
          <c:order val="0"/>
          <c:tx>
            <c:strRef>
              <c:f>'Tier 1 Data - MOU I.4'!$U$5</c:f>
              <c:strCache>
                <c:ptCount val="1"/>
                <c:pt idx="0">
                  <c:v>Climate Action Plan Forecast Tier I Requirement</c:v>
                </c:pt>
              </c:strCache>
            </c:strRef>
          </c:tx>
          <c:spPr>
            <a:ln>
              <a:solidFill>
                <a:srgbClr val="ED7D31"/>
              </a:solidFill>
              <a:prstDash val="lgDash"/>
            </a:ln>
          </c:spPr>
          <c:marker>
            <c:symbol val="none"/>
          </c:marker>
          <c:cat>
            <c:numRef>
              <c:extLst>
                <c:ext xmlns:c15="http://schemas.microsoft.com/office/drawing/2012/chart" uri="{02D57815-91ED-43cb-92C2-25804820EDAC}">
                  <c15:fullRef>
                    <c15:sqref>'Tier 1 Data - MOU I.4'!$P$13:$P$40</c15:sqref>
                  </c15:fullRef>
                </c:ext>
              </c:extLst>
              <c:f>'Tier 1 Data - MOU I.4'!$P$16:$P$35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I.4'!$U$13:$U$40</c15:sqref>
                  </c15:fullRef>
                </c:ext>
              </c:extLst>
              <c:f>'Tier 1 Data - MOU I.4'!$U$16:$U$35</c:f>
              <c:numCache>
                <c:formatCode>#,##0</c:formatCode>
                <c:ptCount val="20"/>
                <c:pt idx="0">
                  <c:v>304217.82074763114</c:v>
                </c:pt>
                <c:pt idx="1">
                  <c:v>298878.23843456479</c:v>
                </c:pt>
                <c:pt idx="2">
                  <c:v>316979.42802764499</c:v>
                </c:pt>
                <c:pt idx="3">
                  <c:v>313308.32499550038</c:v>
                </c:pt>
                <c:pt idx="4">
                  <c:v>508880.60823695466</c:v>
                </c:pt>
                <c:pt idx="5">
                  <c:v>510357.99512760364</c:v>
                </c:pt>
                <c:pt idx="6">
                  <c:v>510950.5973648394</c:v>
                </c:pt>
                <c:pt idx="7">
                  <c:v>525731.42661920399</c:v>
                </c:pt>
                <c:pt idx="8">
                  <c:v>541000.77245166851</c:v>
                </c:pt>
                <c:pt idx="9">
                  <c:v>556034.73553186667</c:v>
                </c:pt>
                <c:pt idx="10">
                  <c:v>571180.35060080898</c:v>
                </c:pt>
                <c:pt idx="11">
                  <c:v>586513.04089711234</c:v>
                </c:pt>
                <c:pt idx="12">
                  <c:v>601222.55770603369</c:v>
                </c:pt>
                <c:pt idx="13">
                  <c:v>614841.83086630015</c:v>
                </c:pt>
                <c:pt idx="14">
                  <c:v>626070.12053398823</c:v>
                </c:pt>
                <c:pt idx="15">
                  <c:v>634825.82319918508</c:v>
                </c:pt>
                <c:pt idx="16">
                  <c:v>642541.50626465271</c:v>
                </c:pt>
                <c:pt idx="17">
                  <c:v>649947.39706447325</c:v>
                </c:pt>
                <c:pt idx="18">
                  <c:v>657389.98160178633</c:v>
                </c:pt>
                <c:pt idx="19">
                  <c:v>664818.62828734517</c:v>
                </c:pt>
              </c:numCache>
            </c:numRef>
          </c:val>
          <c:smooth val="0"/>
          <c:extLst>
            <c:ext xmlns:c16="http://schemas.microsoft.com/office/drawing/2014/chart" uri="{C3380CC4-5D6E-409C-BE32-E72D297353CC}">
              <c16:uniqueId val="{00000004-B745-4BCB-9D3C-DDE61234EF21}"/>
            </c:ext>
          </c:extLst>
        </c:ser>
        <c:ser>
          <c:idx val="12"/>
          <c:order val="5"/>
          <c:tx>
            <c:strRef>
              <c:f>'Tier 1 Data - MOU I.4'!$T$5</c:f>
              <c:strCache>
                <c:ptCount val="1"/>
                <c:pt idx="0">
                  <c:v>VELCO Forecast Tier I Requirement</c:v>
                </c:pt>
              </c:strCache>
            </c:strRef>
          </c:tx>
          <c:spPr>
            <a:ln>
              <a:solidFill>
                <a:srgbClr val="FFC000"/>
              </a:solidFill>
              <a:prstDash val="dash"/>
            </a:ln>
          </c:spPr>
          <c:marker>
            <c:symbol val="none"/>
          </c:marker>
          <c:cat>
            <c:numRef>
              <c:extLst>
                <c:ext xmlns:c15="http://schemas.microsoft.com/office/drawing/2012/chart" uri="{02D57815-91ED-43cb-92C2-25804820EDAC}">
                  <c15:fullRef>
                    <c15:sqref>'Tier 1 Data - MOU I.4'!$P$13:$P$40</c15:sqref>
                  </c15:fullRef>
                </c:ext>
              </c:extLst>
              <c:f>'Tier 1 Data - MOU I.4'!$P$16:$P$35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I.4'!$T$13:$T$40</c15:sqref>
                  </c15:fullRef>
                </c:ext>
              </c:extLst>
              <c:f>'Tier 1 Data - MOU I.4'!$T$16:$T$35</c:f>
              <c:numCache>
                <c:formatCode>#,##0</c:formatCode>
                <c:ptCount val="20"/>
                <c:pt idx="0">
                  <c:v>294991.05618712533</c:v>
                </c:pt>
                <c:pt idx="1">
                  <c:v>291260.03511946887</c:v>
                </c:pt>
                <c:pt idx="2">
                  <c:v>310408.50955836871</c:v>
                </c:pt>
                <c:pt idx="3">
                  <c:v>308102.40452101594</c:v>
                </c:pt>
                <c:pt idx="4">
                  <c:v>503126.32990730833</c:v>
                </c:pt>
                <c:pt idx="5">
                  <c:v>506456.29569241544</c:v>
                </c:pt>
                <c:pt idx="6">
                  <c:v>507740.02108581219</c:v>
                </c:pt>
                <c:pt idx="7">
                  <c:v>522104.14898176334</c:v>
                </c:pt>
                <c:pt idx="8">
                  <c:v>535859.18893708335</c:v>
                </c:pt>
                <c:pt idx="9">
                  <c:v>547707.93467547477</c:v>
                </c:pt>
                <c:pt idx="10">
                  <c:v>556922.06393093162</c:v>
                </c:pt>
                <c:pt idx="11">
                  <c:v>563904.87864691939</c:v>
                </c:pt>
                <c:pt idx="12">
                  <c:v>569064.5402252397</c:v>
                </c:pt>
                <c:pt idx="13">
                  <c:v>572896.6927632736</c:v>
                </c:pt>
                <c:pt idx="14">
                  <c:v>575696.50950755179</c:v>
                </c:pt>
                <c:pt idx="15">
                  <c:v>577779.04243540845</c:v>
                </c:pt>
                <c:pt idx="16">
                  <c:v>578469.39609695913</c:v>
                </c:pt>
                <c:pt idx="17">
                  <c:v>577787.90686466312</c:v>
                </c:pt>
                <c:pt idx="18">
                  <c:v>576885.88285781909</c:v>
                </c:pt>
                <c:pt idx="19">
                  <c:v>575969.21270395198</c:v>
                </c:pt>
              </c:numCache>
            </c:numRef>
          </c:val>
          <c:smooth val="0"/>
          <c:extLst>
            <c:ext xmlns:c16="http://schemas.microsoft.com/office/drawing/2014/chart" uri="{C3380CC4-5D6E-409C-BE32-E72D297353CC}">
              <c16:uniqueId val="{00000005-B745-4BCB-9D3C-DDE61234EF21}"/>
            </c:ext>
          </c:extLst>
        </c:ser>
        <c:ser>
          <c:idx val="13"/>
          <c:order val="6"/>
          <c:tx>
            <c:strRef>
              <c:f>'Tier 1 Data - MOU I.4'!$V$5</c:f>
              <c:strCache>
                <c:ptCount val="1"/>
                <c:pt idx="0">
                  <c:v>VEC ForecastTier I Requirement</c:v>
                </c:pt>
              </c:strCache>
            </c:strRef>
          </c:tx>
          <c:spPr>
            <a:ln>
              <a:solidFill>
                <a:schemeClr val="tx1"/>
              </a:solidFill>
              <a:prstDash val="solid"/>
            </a:ln>
          </c:spPr>
          <c:marker>
            <c:symbol val="none"/>
          </c:marker>
          <c:cat>
            <c:numRef>
              <c:extLst>
                <c:ext xmlns:c15="http://schemas.microsoft.com/office/drawing/2012/chart" uri="{02D57815-91ED-43cb-92C2-25804820EDAC}">
                  <c15:fullRef>
                    <c15:sqref>'Tier 1 Data - MOU I.4'!$P$13:$P$40</c15:sqref>
                  </c15:fullRef>
                </c:ext>
              </c:extLst>
              <c:f>'Tier 1 Data - MOU I.4'!$P$16:$P$35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I.4'!$V$13:$V$40</c15:sqref>
                  </c15:fullRef>
                </c:ext>
              </c:extLst>
              <c:f>'Tier 1 Data - MOU I.4'!$V$16:$V$35</c:f>
              <c:numCache>
                <c:formatCode>#,##0</c:formatCode>
                <c:ptCount val="20"/>
                <c:pt idx="0">
                  <c:v>280994.1445955626</c:v>
                </c:pt>
                <c:pt idx="1">
                  <c:v>272927.57014370506</c:v>
                </c:pt>
                <c:pt idx="2">
                  <c:v>286128.03393705894</c:v>
                </c:pt>
                <c:pt idx="3">
                  <c:v>279341.38960178365</c:v>
                </c:pt>
                <c:pt idx="4">
                  <c:v>448999.59548200067</c:v>
                </c:pt>
                <c:pt idx="5">
                  <c:v>446038.2782167329</c:v>
                </c:pt>
                <c:pt idx="6">
                  <c:v>442607.32354542334</c:v>
                </c:pt>
                <c:pt idx="7">
                  <c:v>452185.21644100652</c:v>
                </c:pt>
                <c:pt idx="8">
                  <c:v>462756.0018859774</c:v>
                </c:pt>
                <c:pt idx="9">
                  <c:v>474089.95990627212</c:v>
                </c:pt>
                <c:pt idx="10">
                  <c:v>485554.42119044415</c:v>
                </c:pt>
                <c:pt idx="11">
                  <c:v>496547.60240295896</c:v>
                </c:pt>
                <c:pt idx="12">
                  <c:v>506599.94845888449</c:v>
                </c:pt>
                <c:pt idx="13">
                  <c:v>515370.7927664569</c:v>
                </c:pt>
                <c:pt idx="14">
                  <c:v>522670.17987008108</c:v>
                </c:pt>
                <c:pt idx="15">
                  <c:v>528496.85262668575</c:v>
                </c:pt>
                <c:pt idx="16">
                  <c:v>533237.4467429677</c:v>
                </c:pt>
                <c:pt idx="17">
                  <c:v>536965.39374080475</c:v>
                </c:pt>
                <c:pt idx="18">
                  <c:v>539979.38851418521</c:v>
                </c:pt>
                <c:pt idx="19">
                  <c:v>542494.01659044705</c:v>
                </c:pt>
              </c:numCache>
            </c:numRef>
          </c:val>
          <c:smooth val="0"/>
          <c:extLst>
            <c:ext xmlns:c16="http://schemas.microsoft.com/office/drawing/2014/chart" uri="{C3380CC4-5D6E-409C-BE32-E72D297353CC}">
              <c16:uniqueId val="{00000006-B745-4BCB-9D3C-DDE61234EF21}"/>
            </c:ext>
          </c:extLst>
        </c:ser>
        <c:dLbls>
          <c:showLegendKey val="0"/>
          <c:showVal val="0"/>
          <c:showCatName val="0"/>
          <c:showSerName val="0"/>
          <c:showPercent val="0"/>
          <c:showBubbleSize val="0"/>
        </c:dLbls>
        <c:marker val="1"/>
        <c:smooth val="0"/>
        <c:axId val="-651188320"/>
        <c:axId val="-651194848"/>
      </c:lineChart>
      <c:catAx>
        <c:axId val="-651188320"/>
        <c:scaling>
          <c:orientation val="minMax"/>
        </c:scaling>
        <c:delete val="0"/>
        <c:axPos val="b"/>
        <c:numFmt formatCode="General" sourceLinked="1"/>
        <c:majorTickMark val="out"/>
        <c:minorTickMark val="none"/>
        <c:tickLblPos val="nextTo"/>
        <c:crossAx val="-651194848"/>
        <c:crosses val="autoZero"/>
        <c:auto val="1"/>
        <c:lblAlgn val="ctr"/>
        <c:lblOffset val="100"/>
        <c:noMultiLvlLbl val="0"/>
      </c:catAx>
      <c:valAx>
        <c:axId val="-651194848"/>
        <c:scaling>
          <c:orientation val="minMax"/>
        </c:scaling>
        <c:delete val="0"/>
        <c:axPos val="l"/>
        <c:majorGridlines/>
        <c:numFmt formatCode="#,##0" sourceLinked="1"/>
        <c:majorTickMark val="out"/>
        <c:minorTickMark val="none"/>
        <c:tickLblPos val="nextTo"/>
        <c:crossAx val="-651188320"/>
        <c:crosses val="autoZero"/>
        <c:crossBetween val="between"/>
      </c:valAx>
    </c:plotArea>
    <c:legend>
      <c:legendPos val="b"/>
      <c:layout>
        <c:manualLayout>
          <c:xMode val="edge"/>
          <c:yMode val="edge"/>
          <c:x val="8.8534847235120076E-2"/>
          <c:y val="0.7514425669406295"/>
          <c:w val="0.87420762411245245"/>
          <c:h val="0.2334174838993992"/>
        </c:manualLayout>
      </c:layout>
      <c:overlay val="0"/>
      <c:txPr>
        <a:bodyPr/>
        <a:lstStyle/>
        <a:p>
          <a:pPr>
            <a:defRPr sz="800"/>
          </a:pPr>
          <a:endParaRPr lang="en-US"/>
        </a:p>
      </c:txPr>
    </c:legend>
    <c:plotVisOnly val="1"/>
    <c:dispBlanksAs val="gap"/>
    <c:showDLblsOverMax val="0"/>
  </c:char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Tier I Projected Required MWh vs Resources After</a:t>
            </a:r>
            <a:r>
              <a:rPr lang="en-US" sz="1200" baseline="0"/>
              <a:t> Sale of High-Value RECs</a:t>
            </a:r>
            <a:endParaRPr lang="en-US" sz="1200"/>
          </a:p>
        </c:rich>
      </c:tx>
      <c:overlay val="0"/>
    </c:title>
    <c:autoTitleDeleted val="0"/>
    <c:plotArea>
      <c:layout/>
      <c:barChart>
        <c:barDir val="col"/>
        <c:grouping val="stacked"/>
        <c:varyColors val="0"/>
        <c:ser>
          <c:idx val="3"/>
          <c:order val="3"/>
          <c:tx>
            <c:strRef>
              <c:f>'Tier 1 Data - MOU I.4'!$AB$5</c:f>
              <c:strCache>
                <c:ptCount val="1"/>
                <c:pt idx="0">
                  <c:v>HQUS VEC</c:v>
                </c:pt>
              </c:strCache>
            </c:strRef>
          </c:tx>
          <c:spPr>
            <a:pattFill prst="ltDnDiag">
              <a:fgClr>
                <a:schemeClr val="accent2"/>
              </a:fgClr>
              <a:bgClr>
                <a:schemeClr val="bg1"/>
              </a:bgClr>
            </a:pattFill>
            <a:ln>
              <a:solidFill>
                <a:schemeClr val="tx1"/>
              </a:solidFill>
            </a:ln>
          </c:spPr>
          <c:invertIfNegative val="0"/>
          <c:cat>
            <c:numRef>
              <c:extLst>
                <c:ext xmlns:c15="http://schemas.microsoft.com/office/drawing/2012/chart" uri="{02D57815-91ED-43cb-92C2-25804820EDAC}">
                  <c15:fullRef>
                    <c15:sqref>'Tier 1 Data - MOU I.4'!$P$15:$P$32</c15:sqref>
                  </c15:fullRef>
                </c:ext>
              </c:extLst>
              <c:f>'Tier 1 Data - MOU I.4'!$P$18:$P$32</c:f>
              <c:numCache>
                <c:formatCode>General</c:formatCode>
                <c:ptCount val="15"/>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numCache>
            </c:numRef>
          </c:cat>
          <c:val>
            <c:numRef>
              <c:extLst>
                <c:ext xmlns:c15="http://schemas.microsoft.com/office/drawing/2012/chart" uri="{02D57815-91ED-43cb-92C2-25804820EDAC}">
                  <c15:fullRef>
                    <c15:sqref>'Tier 1 Data - MOU I.4'!$AB$13:$AB$40</c15:sqref>
                  </c15:fullRef>
                </c:ext>
              </c:extLst>
              <c:f>'Tier 1 Data - MOU I.4'!$AB$16:$AB$35</c:f>
              <c:numCache>
                <c:formatCode>#,##0</c:formatCode>
                <c:ptCount val="20"/>
                <c:pt idx="0">
                  <c:v>116800</c:v>
                </c:pt>
                <c:pt idx="1">
                  <c:v>116800</c:v>
                </c:pt>
                <c:pt idx="2">
                  <c:v>117120</c:v>
                </c:pt>
                <c:pt idx="3">
                  <c:v>116800</c:v>
                </c:pt>
                <c:pt idx="4">
                  <c:v>103960.72</c:v>
                </c:pt>
                <c:pt idx="5">
                  <c:v>39974.799999999996</c:v>
                </c:pt>
                <c:pt idx="6">
                  <c:v>40084.32</c:v>
                </c:pt>
                <c:pt idx="7">
                  <c:v>39974.799999999996</c:v>
                </c:pt>
                <c:pt idx="8">
                  <c:v>39974.799999999996</c:v>
                </c:pt>
                <c:pt idx="9">
                  <c:v>39974.799999999996</c:v>
                </c:pt>
                <c:pt idx="10">
                  <c:v>40084.32</c:v>
                </c:pt>
                <c:pt idx="11">
                  <c:v>39974.799999999996</c:v>
                </c:pt>
                <c:pt idx="12">
                  <c:v>33294.079999999994</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A479-48FA-B697-44F3B82992D0}"/>
            </c:ext>
          </c:extLst>
        </c:ser>
        <c:ser>
          <c:idx val="4"/>
          <c:order val="4"/>
          <c:tx>
            <c:strRef>
              <c:f>'Tier 1 Data - MOU I.4'!$AC$5</c:f>
              <c:strCache>
                <c:ptCount val="1"/>
                <c:pt idx="0">
                  <c:v>HQUS WEC</c:v>
                </c:pt>
              </c:strCache>
            </c:strRef>
          </c:tx>
          <c:spPr>
            <a:solidFill>
              <a:schemeClr val="accent3"/>
            </a:solidFill>
            <a:ln>
              <a:solidFill>
                <a:schemeClr val="tx1"/>
              </a:solidFill>
            </a:ln>
          </c:spPr>
          <c:invertIfNegative val="0"/>
          <c:cat>
            <c:numRef>
              <c:extLst>
                <c:ext xmlns:c15="http://schemas.microsoft.com/office/drawing/2012/chart" uri="{02D57815-91ED-43cb-92C2-25804820EDAC}">
                  <c15:fullRef>
                    <c15:sqref>'Tier 1 Data - MOU I.4'!$P$15:$P$32</c15:sqref>
                  </c15:fullRef>
                </c:ext>
              </c:extLst>
              <c:f>'Tier 1 Data - MOU I.4'!$P$18:$P$32</c:f>
              <c:numCache>
                <c:formatCode>General</c:formatCode>
                <c:ptCount val="15"/>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numCache>
            </c:numRef>
          </c:cat>
          <c:val>
            <c:numRef>
              <c:extLst>
                <c:ext xmlns:c15="http://schemas.microsoft.com/office/drawing/2012/chart" uri="{02D57815-91ED-43cb-92C2-25804820EDAC}">
                  <c15:fullRef>
                    <c15:sqref>'Tier 1 Data - MOU I.4'!$AC$13:$AC$40</c15:sqref>
                  </c15:fullRef>
                </c:ext>
              </c:extLst>
              <c:f>'Tier 1 Data - MOU I.4'!$AC$16:$AC$35</c:f>
              <c:numCache>
                <c:formatCode>#,##0</c:formatCode>
                <c:ptCount val="20"/>
                <c:pt idx="0">
                  <c:v>11680</c:v>
                </c:pt>
                <c:pt idx="1">
                  <c:v>11680</c:v>
                </c:pt>
                <c:pt idx="2">
                  <c:v>11712</c:v>
                </c:pt>
                <c:pt idx="3">
                  <c:v>11680</c:v>
                </c:pt>
                <c:pt idx="4">
                  <c:v>11680</c:v>
                </c:pt>
                <c:pt idx="5">
                  <c:v>11680</c:v>
                </c:pt>
                <c:pt idx="6">
                  <c:v>11712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A479-48FA-B697-44F3B82992D0}"/>
            </c:ext>
          </c:extLst>
        </c:ser>
        <c:ser>
          <c:idx val="5"/>
          <c:order val="5"/>
          <c:tx>
            <c:strRef>
              <c:f>'Tier 1 Data - MOU I.4'!$AD$5</c:f>
              <c:strCache>
                <c:ptCount val="1"/>
                <c:pt idx="0">
                  <c:v>NYPA</c:v>
                </c:pt>
              </c:strCache>
            </c:strRef>
          </c:tx>
          <c:spPr>
            <a:pattFill prst="ltUpDiag">
              <a:fgClr>
                <a:schemeClr val="accent4"/>
              </a:fgClr>
              <a:bgClr>
                <a:schemeClr val="bg1"/>
              </a:bgClr>
            </a:pattFill>
            <a:ln w="3175">
              <a:solidFill>
                <a:schemeClr val="tx1"/>
              </a:solidFill>
            </a:ln>
          </c:spPr>
          <c:invertIfNegative val="0"/>
          <c:cat>
            <c:numRef>
              <c:extLst>
                <c:ext xmlns:c15="http://schemas.microsoft.com/office/drawing/2012/chart" uri="{02D57815-91ED-43cb-92C2-25804820EDAC}">
                  <c15:fullRef>
                    <c15:sqref>'Tier 1 Data - MOU I.4'!$P$15:$P$32</c15:sqref>
                  </c15:fullRef>
                </c:ext>
              </c:extLst>
              <c:f>'Tier 1 Data - MOU I.4'!$P$18:$P$32</c:f>
              <c:numCache>
                <c:formatCode>General</c:formatCode>
                <c:ptCount val="15"/>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numCache>
            </c:numRef>
          </c:cat>
          <c:val>
            <c:numRef>
              <c:extLst>
                <c:ext xmlns:c15="http://schemas.microsoft.com/office/drawing/2012/chart" uri="{02D57815-91ED-43cb-92C2-25804820EDAC}">
                  <c15:fullRef>
                    <c15:sqref>'Tier 1 Data - MOU I.4'!$AD$13:$AD$40</c15:sqref>
                  </c15:fullRef>
                </c:ext>
              </c:extLst>
              <c:f>'Tier 1 Data - MOU I.4'!$AD$16:$AD$35</c:f>
              <c:numCache>
                <c:formatCode>#,##0</c:formatCode>
                <c:ptCount val="20"/>
                <c:pt idx="0">
                  <c:v>39082.345000000008</c:v>
                </c:pt>
                <c:pt idx="1">
                  <c:v>39082.345000000008</c:v>
                </c:pt>
                <c:pt idx="2">
                  <c:v>39082.345000000008</c:v>
                </c:pt>
                <c:pt idx="3">
                  <c:v>39082.345000000008</c:v>
                </c:pt>
                <c:pt idx="4">
                  <c:v>39082.345000000008</c:v>
                </c:pt>
                <c:pt idx="5">
                  <c:v>39082.345000000008</c:v>
                </c:pt>
                <c:pt idx="6">
                  <c:v>39082.345000000008</c:v>
                </c:pt>
                <c:pt idx="7">
                  <c:v>39082.345000000008</c:v>
                </c:pt>
                <c:pt idx="8">
                  <c:v>39082.345000000008</c:v>
                </c:pt>
                <c:pt idx="9">
                  <c:v>39082.345000000008</c:v>
                </c:pt>
                <c:pt idx="10">
                  <c:v>39082.345000000008</c:v>
                </c:pt>
                <c:pt idx="11">
                  <c:v>39082.345000000008</c:v>
                </c:pt>
                <c:pt idx="12">
                  <c:v>39082.345000000008</c:v>
                </c:pt>
                <c:pt idx="13">
                  <c:v>39082.345000000008</c:v>
                </c:pt>
                <c:pt idx="14">
                  <c:v>39082.345000000008</c:v>
                </c:pt>
                <c:pt idx="15">
                  <c:v>39082.345000000008</c:v>
                </c:pt>
                <c:pt idx="16">
                  <c:v>39082.345000000008</c:v>
                </c:pt>
                <c:pt idx="17">
                  <c:v>39082.345000000008</c:v>
                </c:pt>
                <c:pt idx="18">
                  <c:v>39082.345000000008</c:v>
                </c:pt>
                <c:pt idx="19">
                  <c:v>39082.345000000008</c:v>
                </c:pt>
              </c:numCache>
            </c:numRef>
          </c:val>
          <c:extLst>
            <c:ext xmlns:c16="http://schemas.microsoft.com/office/drawing/2014/chart" uri="{C3380CC4-5D6E-409C-BE32-E72D297353CC}">
              <c16:uniqueId val="{00000004-A479-48FA-B697-44F3B82992D0}"/>
            </c:ext>
          </c:extLst>
        </c:ser>
        <c:ser>
          <c:idx val="6"/>
          <c:order val="8"/>
          <c:tx>
            <c:strRef>
              <c:f>'Total Sys Data - MOU I.2'!$AJ$36</c:f>
              <c:strCache>
                <c:ptCount val="1"/>
                <c:pt idx="0">
                  <c:v>Brookfield Hydro</c:v>
                </c:pt>
              </c:strCache>
            </c:strRef>
          </c:tx>
          <c:spPr>
            <a:solidFill>
              <a:schemeClr val="accent3">
                <a:lumMod val="40000"/>
                <a:lumOff val="60000"/>
              </a:schemeClr>
            </a:solidFill>
            <a:ln>
              <a:solidFill>
                <a:schemeClr val="tx1"/>
              </a:solidFill>
            </a:ln>
          </c:spPr>
          <c:invertIfNegative val="0"/>
          <c:cat>
            <c:strLit>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'Total Sys Data - MOU I.2'!$AG$14:$AG$41</c15:sqref>
                  </c15:fullRef>
                </c:ext>
              </c:extLst>
              <c:f>'Total Sys Data - MOU I.2'!$AG$17:$AG$36</c:f>
              <c:numCache>
                <c:formatCode>#,##0</c:formatCode>
                <c:ptCount val="20"/>
                <c:pt idx="0">
                  <c:v>64928</c:v>
                </c:pt>
                <c:pt idx="1">
                  <c:v>64800</c:v>
                </c:pt>
                <c:pt idx="2">
                  <c:v>64864</c:v>
                </c:pt>
                <c:pt idx="3">
                  <c:v>64736</c:v>
                </c:pt>
                <c:pt idx="4">
                  <c:v>64784</c:v>
                </c:pt>
                <c:pt idx="5">
                  <c:v>64784</c:v>
                </c:pt>
                <c:pt idx="6">
                  <c:v>65024</c:v>
                </c:pt>
                <c:pt idx="7">
                  <c:v>64672</c:v>
                </c:pt>
                <c:pt idx="8">
                  <c:v>64656</c:v>
                </c:pt>
                <c:pt idx="9">
                  <c:v>64736</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1E2E-4C27-95F4-6A967D7A9AF7}"/>
            </c:ext>
          </c:extLst>
        </c:ser>
        <c:dLbls>
          <c:showLegendKey val="0"/>
          <c:showVal val="0"/>
          <c:showCatName val="0"/>
          <c:showSerName val="0"/>
          <c:showPercent val="0"/>
          <c:showBubbleSize val="0"/>
        </c:dLbls>
        <c:gapWidth val="150"/>
        <c:overlap val="100"/>
        <c:axId val="-651188320"/>
        <c:axId val="-651194848"/>
        <c:extLst>
          <c:ext xmlns:c15="http://schemas.microsoft.com/office/drawing/2012/chart" uri="{02D57815-91ED-43cb-92C2-25804820EDAC}">
            <c15:filteredBarSeries>
              <c15:ser>
                <c:idx val="1"/>
                <c:order val="1"/>
                <c:tx>
                  <c:strRef>
                    <c:extLst>
                      <c:ext uri="{02D57815-91ED-43cb-92C2-25804820EDAC}">
                        <c15:formulaRef>
                          <c15:sqref>'Tier 1 Data - MOU I.4'!$W$5</c15:sqref>
                        </c15:formulaRef>
                      </c:ext>
                    </c:extLst>
                    <c:strCache>
                      <c:ptCount val="1"/>
                      <c:pt idx="0">
                        <c:v>GDF REC Purchase</c:v>
                      </c:pt>
                    </c:strCache>
                  </c:strRef>
                </c:tx>
                <c:invertIfNegative val="0"/>
                <c:cat>
                  <c:numRef>
                    <c:extLst>
                      <c:ext uri="{02D57815-91ED-43cb-92C2-25804820EDAC}">
                        <c15:fullRef>
                          <c15:sqref>'Tier 1 Data - MOU I.4'!$P$15:$P$32</c15:sqref>
                        </c15:fullRef>
                        <c15:formulaRef>
                          <c15:sqref>'Tier 1 Data - MOU I.4'!$P$18:$P$32</c15:sqref>
                        </c15:formulaRef>
                      </c:ext>
                    </c:extLst>
                    <c:numCache>
                      <c:formatCode>General</c:formatCode>
                      <c:ptCount val="15"/>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numCache>
                  </c:numRef>
                </c:cat>
                <c:val>
                  <c:numRef>
                    <c:extLst>
                      <c:ext uri="{02D57815-91ED-43cb-92C2-25804820EDAC}">
                        <c15:fullRef>
                          <c15:sqref>'Tier 1 Data - MOU I.4'!$W$13:$W$40</c15:sqref>
                        </c15:fullRef>
                        <c15:formulaRef>
                          <c15:sqref>'Tier 1 Data - MOU I.4'!$W$16:$W$35</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A479-48FA-B697-44F3B82992D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'Tier 1 Data - MOU I.4'!$AA$5</c15:sqref>
                        </c15:formulaRef>
                      </c:ext>
                    </c:extLst>
                    <c:strCache>
                      <c:ptCount val="1"/>
                      <c:pt idx="0">
                        <c:v>HQ 2021-2023</c:v>
                      </c:pt>
                    </c:strCache>
                  </c:strRef>
                </c:tx>
                <c:spPr>
                  <a:ln>
                    <a:solidFill>
                      <a:schemeClr val="tx1"/>
                    </a:solidFill>
                  </a:ln>
                </c:spPr>
                <c:invertIfNegative val="0"/>
                <c:cat>
                  <c:numRef>
                    <c:extLst>
                      <c:ext xmlns:c15="http://schemas.microsoft.com/office/drawing/2012/chart" uri="{02D57815-91ED-43cb-92C2-25804820EDAC}">
                        <c15:fullRef>
                          <c15:sqref>'Tier 1 Data - MOU I.4'!$P$15:$P$32</c15:sqref>
                        </c15:fullRef>
                        <c15:formulaRef>
                          <c15:sqref>'Tier 1 Data - MOU I.4'!$P$18:$P$32</c15:sqref>
                        </c15:formulaRef>
                      </c:ext>
                    </c:extLst>
                    <c:numCache>
                      <c:formatCode>General</c:formatCode>
                      <c:ptCount val="15"/>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numCache>
                  </c:numRef>
                </c:cat>
                <c:val>
                  <c:numRef>
                    <c:extLst>
                      <c:ext xmlns:c15="http://schemas.microsoft.com/office/drawing/2012/chart" uri="{02D57815-91ED-43cb-92C2-25804820EDAC}">
                        <c15:fullRef>
                          <c15:sqref>'Tier 1 Data - MOU I.4'!$AA$13:$AA$40</c15:sqref>
                        </c15:fullRef>
                        <c15:formulaRef>
                          <c15:sqref>'Tier 1 Data - MOU I.4'!$AA$16:$AA$35</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1-A479-48FA-B697-44F3B82992D0}"/>
                  </c:ext>
                </c:extLst>
              </c15:ser>
            </c15:filteredBarSeries>
          </c:ext>
        </c:extLst>
      </c:barChart>
      <c:lineChart>
        <c:grouping val="standard"/>
        <c:varyColors val="0"/>
        <c:ser>
          <c:idx val="0"/>
          <c:order val="0"/>
          <c:tx>
            <c:strRef>
              <c:f>'Tier 1 Data - MOU I.4'!$U$5</c:f>
              <c:strCache>
                <c:ptCount val="1"/>
                <c:pt idx="0">
                  <c:v>Climate Action Plan Forecast Tier I Requirement</c:v>
                </c:pt>
              </c:strCache>
            </c:strRef>
          </c:tx>
          <c:spPr>
            <a:ln>
              <a:solidFill>
                <a:srgbClr val="ED7D31"/>
              </a:solidFill>
              <a:prstDash val="lgDash"/>
            </a:ln>
          </c:spPr>
          <c:marker>
            <c:symbol val="none"/>
          </c:marker>
          <c:cat>
            <c:numRef>
              <c:extLst>
                <c:ext xmlns:c15="http://schemas.microsoft.com/office/drawing/2012/chart" uri="{02D57815-91ED-43cb-92C2-25804820EDAC}">
                  <c15:fullRef>
                    <c15:sqref>'Tier 1 Data - MOU I.4'!$P$13:$P$40</c15:sqref>
                  </c15:fullRef>
                </c:ext>
              </c:extLst>
              <c:f>'Tier 1 Data - MOU I.4'!$P$16:$P$35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I.4'!$U$13:$U$40</c15:sqref>
                  </c15:fullRef>
                </c:ext>
              </c:extLst>
              <c:f>'Tier 1 Data - MOU I.4'!$U$16:$U$35</c:f>
              <c:numCache>
                <c:formatCode>#,##0</c:formatCode>
                <c:ptCount val="20"/>
                <c:pt idx="0">
                  <c:v>304217.82074763114</c:v>
                </c:pt>
                <c:pt idx="1">
                  <c:v>298878.23843456479</c:v>
                </c:pt>
                <c:pt idx="2">
                  <c:v>316979.42802764499</c:v>
                </c:pt>
                <c:pt idx="3">
                  <c:v>313308.32499550038</c:v>
                </c:pt>
                <c:pt idx="4">
                  <c:v>508880.60823695466</c:v>
                </c:pt>
                <c:pt idx="5">
                  <c:v>510357.99512760364</c:v>
                </c:pt>
                <c:pt idx="6">
                  <c:v>510950.5973648394</c:v>
                </c:pt>
                <c:pt idx="7">
                  <c:v>525731.42661920399</c:v>
                </c:pt>
                <c:pt idx="8">
                  <c:v>541000.77245166851</c:v>
                </c:pt>
                <c:pt idx="9">
                  <c:v>556034.73553186667</c:v>
                </c:pt>
                <c:pt idx="10">
                  <c:v>571180.35060080898</c:v>
                </c:pt>
                <c:pt idx="11">
                  <c:v>586513.04089711234</c:v>
                </c:pt>
                <c:pt idx="12">
                  <c:v>601222.55770603369</c:v>
                </c:pt>
                <c:pt idx="13">
                  <c:v>614841.83086630015</c:v>
                </c:pt>
                <c:pt idx="14">
                  <c:v>626070.12053398823</c:v>
                </c:pt>
                <c:pt idx="15">
                  <c:v>634825.82319918508</c:v>
                </c:pt>
                <c:pt idx="16">
                  <c:v>642541.50626465271</c:v>
                </c:pt>
                <c:pt idx="17">
                  <c:v>649947.39706447325</c:v>
                </c:pt>
                <c:pt idx="18">
                  <c:v>657389.98160178633</c:v>
                </c:pt>
                <c:pt idx="19">
                  <c:v>664818.62828734517</c:v>
                </c:pt>
              </c:numCache>
            </c:numRef>
          </c:val>
          <c:smooth val="0"/>
          <c:extLst>
            <c:ext xmlns:c16="http://schemas.microsoft.com/office/drawing/2014/chart" uri="{C3380CC4-5D6E-409C-BE32-E72D297353CC}">
              <c16:uniqueId val="{00000005-A479-48FA-B697-44F3B82992D0}"/>
            </c:ext>
          </c:extLst>
        </c:ser>
        <c:ser>
          <c:idx val="12"/>
          <c:order val="6"/>
          <c:tx>
            <c:strRef>
              <c:f>'Tier 1 Data - MOU I.4'!$T$5</c:f>
              <c:strCache>
                <c:ptCount val="1"/>
                <c:pt idx="0">
                  <c:v>VELCO Forecast Tier I Requirement</c:v>
                </c:pt>
              </c:strCache>
            </c:strRef>
          </c:tx>
          <c:spPr>
            <a:ln>
              <a:solidFill>
                <a:srgbClr val="FFC000"/>
              </a:solidFill>
              <a:prstDash val="dash"/>
            </a:ln>
          </c:spPr>
          <c:marker>
            <c:symbol val="none"/>
          </c:marker>
          <c:cat>
            <c:numRef>
              <c:extLst>
                <c:ext xmlns:c15="http://schemas.microsoft.com/office/drawing/2012/chart" uri="{02D57815-91ED-43cb-92C2-25804820EDAC}">
                  <c15:fullRef>
                    <c15:sqref>'Tier 1 Data - MOU I.4'!$P$13:$P$40</c15:sqref>
                  </c15:fullRef>
                </c:ext>
              </c:extLst>
              <c:f>'Tier 1 Data - MOU I.4'!$P$16:$P$35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I.4'!$T$13:$T$40</c15:sqref>
                  </c15:fullRef>
                </c:ext>
              </c:extLst>
              <c:f>'Tier 1 Data - MOU I.4'!$T$16:$T$35</c:f>
              <c:numCache>
                <c:formatCode>#,##0</c:formatCode>
                <c:ptCount val="20"/>
                <c:pt idx="0">
                  <c:v>294991.05618712533</c:v>
                </c:pt>
                <c:pt idx="1">
                  <c:v>291260.03511946887</c:v>
                </c:pt>
                <c:pt idx="2">
                  <c:v>310408.50955836871</c:v>
                </c:pt>
                <c:pt idx="3">
                  <c:v>308102.40452101594</c:v>
                </c:pt>
                <c:pt idx="4">
                  <c:v>503126.32990730833</c:v>
                </c:pt>
                <c:pt idx="5">
                  <c:v>506456.29569241544</c:v>
                </c:pt>
                <c:pt idx="6">
                  <c:v>507740.02108581219</c:v>
                </c:pt>
                <c:pt idx="7">
                  <c:v>522104.14898176334</c:v>
                </c:pt>
                <c:pt idx="8">
                  <c:v>535859.18893708335</c:v>
                </c:pt>
                <c:pt idx="9">
                  <c:v>547707.93467547477</c:v>
                </c:pt>
                <c:pt idx="10">
                  <c:v>556922.06393093162</c:v>
                </c:pt>
                <c:pt idx="11">
                  <c:v>563904.87864691939</c:v>
                </c:pt>
                <c:pt idx="12">
                  <c:v>569064.5402252397</c:v>
                </c:pt>
                <c:pt idx="13">
                  <c:v>572896.6927632736</c:v>
                </c:pt>
                <c:pt idx="14">
                  <c:v>575696.50950755179</c:v>
                </c:pt>
                <c:pt idx="15">
                  <c:v>577779.04243540845</c:v>
                </c:pt>
                <c:pt idx="16">
                  <c:v>578469.39609695913</c:v>
                </c:pt>
                <c:pt idx="17">
                  <c:v>577787.90686466312</c:v>
                </c:pt>
                <c:pt idx="18">
                  <c:v>576885.88285781909</c:v>
                </c:pt>
                <c:pt idx="19">
                  <c:v>575969.21270395198</c:v>
                </c:pt>
              </c:numCache>
            </c:numRef>
          </c:val>
          <c:smooth val="0"/>
          <c:extLst>
            <c:ext xmlns:c16="http://schemas.microsoft.com/office/drawing/2014/chart" uri="{C3380CC4-5D6E-409C-BE32-E72D297353CC}">
              <c16:uniqueId val="{00000006-A479-48FA-B697-44F3B82992D0}"/>
            </c:ext>
          </c:extLst>
        </c:ser>
        <c:ser>
          <c:idx val="13"/>
          <c:order val="7"/>
          <c:tx>
            <c:strRef>
              <c:f>'Tier 1 Data - MOU I.4'!$V$5</c:f>
              <c:strCache>
                <c:ptCount val="1"/>
                <c:pt idx="0">
                  <c:v>VEC ForecastTier I Requirement</c:v>
                </c:pt>
              </c:strCache>
            </c:strRef>
          </c:tx>
          <c:spPr>
            <a:ln>
              <a:solidFill>
                <a:schemeClr val="tx1"/>
              </a:solidFill>
              <a:prstDash val="solid"/>
            </a:ln>
          </c:spPr>
          <c:marker>
            <c:symbol val="none"/>
          </c:marker>
          <c:cat>
            <c:numRef>
              <c:extLst>
                <c:ext xmlns:c15="http://schemas.microsoft.com/office/drawing/2012/chart" uri="{02D57815-91ED-43cb-92C2-25804820EDAC}">
                  <c15:fullRef>
                    <c15:sqref>'Tier 1 Data - MOU I.4'!$P$13:$P$40</c15:sqref>
                  </c15:fullRef>
                </c:ext>
              </c:extLst>
              <c:f>'Tier 1 Data - MOU I.4'!$P$16:$P$35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1 Data - MOU I.4'!$V$13:$V$40</c15:sqref>
                  </c15:fullRef>
                </c:ext>
              </c:extLst>
              <c:f>'Tier 1 Data - MOU I.4'!$V$16:$V$35</c:f>
              <c:numCache>
                <c:formatCode>#,##0</c:formatCode>
                <c:ptCount val="20"/>
                <c:pt idx="0">
                  <c:v>280994.1445955626</c:v>
                </c:pt>
                <c:pt idx="1">
                  <c:v>272927.57014370506</c:v>
                </c:pt>
                <c:pt idx="2">
                  <c:v>286128.03393705894</c:v>
                </c:pt>
                <c:pt idx="3">
                  <c:v>279341.38960178365</c:v>
                </c:pt>
                <c:pt idx="4">
                  <c:v>448999.59548200067</c:v>
                </c:pt>
                <c:pt idx="5">
                  <c:v>446038.2782167329</c:v>
                </c:pt>
                <c:pt idx="6">
                  <c:v>442607.32354542334</c:v>
                </c:pt>
                <c:pt idx="7">
                  <c:v>452185.21644100652</c:v>
                </c:pt>
                <c:pt idx="8">
                  <c:v>462756.0018859774</c:v>
                </c:pt>
                <c:pt idx="9">
                  <c:v>474089.95990627212</c:v>
                </c:pt>
                <c:pt idx="10">
                  <c:v>485554.42119044415</c:v>
                </c:pt>
                <c:pt idx="11">
                  <c:v>496547.60240295896</c:v>
                </c:pt>
                <c:pt idx="12">
                  <c:v>506599.94845888449</c:v>
                </c:pt>
                <c:pt idx="13">
                  <c:v>515370.7927664569</c:v>
                </c:pt>
                <c:pt idx="14">
                  <c:v>522670.17987008108</c:v>
                </c:pt>
                <c:pt idx="15">
                  <c:v>528496.85262668575</c:v>
                </c:pt>
                <c:pt idx="16">
                  <c:v>533237.4467429677</c:v>
                </c:pt>
                <c:pt idx="17">
                  <c:v>536965.39374080475</c:v>
                </c:pt>
                <c:pt idx="18">
                  <c:v>539979.38851418521</c:v>
                </c:pt>
                <c:pt idx="19">
                  <c:v>542494.01659044705</c:v>
                </c:pt>
              </c:numCache>
            </c:numRef>
          </c:val>
          <c:smooth val="0"/>
          <c:extLst>
            <c:ext xmlns:c16="http://schemas.microsoft.com/office/drawing/2014/chart" uri="{C3380CC4-5D6E-409C-BE32-E72D297353CC}">
              <c16:uniqueId val="{00000007-A479-48FA-B697-44F3B82992D0}"/>
            </c:ext>
          </c:extLst>
        </c:ser>
        <c:dLbls>
          <c:showLegendKey val="0"/>
          <c:showVal val="0"/>
          <c:showCatName val="0"/>
          <c:showSerName val="0"/>
          <c:showPercent val="0"/>
          <c:showBubbleSize val="0"/>
        </c:dLbls>
        <c:marker val="1"/>
        <c:smooth val="0"/>
        <c:axId val="-651188320"/>
        <c:axId val="-651194848"/>
      </c:lineChart>
      <c:catAx>
        <c:axId val="-651188320"/>
        <c:scaling>
          <c:orientation val="minMax"/>
        </c:scaling>
        <c:delete val="0"/>
        <c:axPos val="b"/>
        <c:numFmt formatCode="General" sourceLinked="1"/>
        <c:majorTickMark val="out"/>
        <c:minorTickMark val="none"/>
        <c:tickLblPos val="nextTo"/>
        <c:crossAx val="-651194848"/>
        <c:crosses val="autoZero"/>
        <c:auto val="1"/>
        <c:lblAlgn val="ctr"/>
        <c:lblOffset val="100"/>
        <c:noMultiLvlLbl val="0"/>
      </c:catAx>
      <c:valAx>
        <c:axId val="-651194848"/>
        <c:scaling>
          <c:orientation val="minMax"/>
        </c:scaling>
        <c:delete val="0"/>
        <c:axPos val="l"/>
        <c:majorGridlines/>
        <c:numFmt formatCode="#,##0" sourceLinked="1"/>
        <c:majorTickMark val="out"/>
        <c:minorTickMark val="none"/>
        <c:tickLblPos val="nextTo"/>
        <c:crossAx val="-651188320"/>
        <c:crosses val="autoZero"/>
        <c:crossBetween val="between"/>
      </c:valAx>
    </c:plotArea>
    <c:legend>
      <c:legendPos val="b"/>
      <c:layout>
        <c:manualLayout>
          <c:xMode val="edge"/>
          <c:yMode val="edge"/>
          <c:x val="9.0366123369788859E-2"/>
          <c:y val="0.89168333372868358"/>
          <c:w val="0.87970162253202666"/>
          <c:h val="0.10784718128313481"/>
        </c:manualLayout>
      </c:layout>
      <c:overlay val="0"/>
      <c:txPr>
        <a:bodyPr/>
        <a:lstStyle/>
        <a:p>
          <a:pPr>
            <a:defRPr sz="800"/>
          </a:pPr>
          <a:endParaRPr lang="en-US"/>
        </a:p>
      </c:txPr>
    </c:legend>
    <c:plotVisOnly val="1"/>
    <c:dispBlanksAs val="gap"/>
    <c:showDLblsOverMax val="0"/>
  </c:char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Tier II Minimum</a:t>
            </a:r>
            <a:r>
              <a:rPr lang="en-US" baseline="0"/>
              <a:t> MWh</a:t>
            </a:r>
            <a:r>
              <a:rPr lang="en-US"/>
              <a:t> vs Committed Resources</a:t>
            </a:r>
          </a:p>
          <a:p>
            <a:pPr>
              <a:defRPr sz="1200" b="1" i="0" u="none" strike="noStrike" baseline="0">
                <a:solidFill>
                  <a:srgbClr val="000000"/>
                </a:solidFill>
                <a:latin typeface="Calibri"/>
                <a:ea typeface="Calibri"/>
                <a:cs typeface="Calibri"/>
              </a:defRPr>
            </a:pPr>
            <a:r>
              <a:rPr lang="en-US"/>
              <a:t>(Existing Net Metering)</a:t>
            </a:r>
          </a:p>
        </c:rich>
      </c:tx>
      <c:overlay val="0"/>
    </c:title>
    <c:autoTitleDeleted val="0"/>
    <c:plotArea>
      <c:layout/>
      <c:barChart>
        <c:barDir val="col"/>
        <c:grouping val="stacked"/>
        <c:varyColors val="0"/>
        <c:ser>
          <c:idx val="1"/>
          <c:order val="0"/>
          <c:tx>
            <c:strRef>
              <c:f>'Tier 2 Data - MOU I.6'!$Q$5</c:f>
              <c:strCache>
                <c:ptCount val="1"/>
                <c:pt idx="0">
                  <c:v>Grand Isle Solar</c:v>
                </c:pt>
              </c:strCache>
            </c:strRef>
          </c:tx>
          <c:spPr>
            <a:pattFill prst="ltVert">
              <a:fgClr>
                <a:schemeClr val="tx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I.6'!$Q$13:$Q$40</c15:sqref>
                  </c15:fullRef>
                </c:ext>
              </c:extLst>
              <c:f>'Tier 2 Data - MOU I.6'!$Q$16:$Q$35</c:f>
              <c:numCache>
                <c:formatCode>#,##0</c:formatCode>
                <c:ptCount val="20"/>
                <c:pt idx="0">
                  <c:v>7101.3701475857169</c:v>
                </c:pt>
                <c:pt idx="1">
                  <c:v>7065.8632968477878</c:v>
                </c:pt>
                <c:pt idx="2">
                  <c:v>7030.5339803635497</c:v>
                </c:pt>
                <c:pt idx="3">
                  <c:v>6995.3813104617311</c:v>
                </c:pt>
                <c:pt idx="4">
                  <c:v>6960.4044039094224</c:v>
                </c:pt>
                <c:pt idx="5">
                  <c:v>6925.6023818898757</c:v>
                </c:pt>
                <c:pt idx="6">
                  <c:v>6890.9743699804267</c:v>
                </c:pt>
                <c:pt idx="7">
                  <c:v>6856.519498130524</c:v>
                </c:pt>
                <c:pt idx="8">
                  <c:v>6822.2369006398712</c:v>
                </c:pt>
                <c:pt idx="9">
                  <c:v>6788.1257161366721</c:v>
                </c:pt>
                <c:pt idx="10">
                  <c:v>6754.1850875559885</c:v>
                </c:pt>
                <c:pt idx="11">
                  <c:v>6720.4141621182089</c:v>
                </c:pt>
                <c:pt idx="12">
                  <c:v>6686.8120913076173</c:v>
                </c:pt>
                <c:pt idx="13">
                  <c:v>6653.3780308510795</c:v>
                </c:pt>
                <c:pt idx="14">
                  <c:v>6620.1111406968239</c:v>
                </c:pt>
                <c:pt idx="15">
                  <c:v>6587.0105849933398</c:v>
                </c:pt>
                <c:pt idx="16">
                  <c:v>6554.0755320683729</c:v>
                </c:pt>
                <c:pt idx="17">
                  <c:v>0</c:v>
                </c:pt>
                <c:pt idx="18">
                  <c:v>0</c:v>
                </c:pt>
                <c:pt idx="19">
                  <c:v>0</c:v>
                </c:pt>
              </c:numCache>
            </c:numRef>
          </c:val>
          <c:extLst>
            <c:ext xmlns:c16="http://schemas.microsoft.com/office/drawing/2014/chart" uri="{C3380CC4-5D6E-409C-BE32-E72D297353CC}">
              <c16:uniqueId val="{00000000-C7E4-452E-8A5E-4D204920AE07}"/>
            </c:ext>
          </c:extLst>
        </c:ser>
        <c:ser>
          <c:idx val="4"/>
          <c:order val="1"/>
          <c:tx>
            <c:strRef>
              <c:f>'Tier 2 Data - MOU I.6'!$P$5</c:f>
              <c:strCache>
                <c:ptCount val="1"/>
                <c:pt idx="0">
                  <c:v>Magee Hill Solar</c:v>
                </c:pt>
              </c:strCache>
            </c:strRef>
          </c:tx>
          <c:spPr>
            <a:solidFill>
              <a:schemeClr val="accent1">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I.6'!$P$13:$P$40</c15:sqref>
                  </c15:fullRef>
                </c:ext>
              </c:extLst>
              <c:f>'Tier 2 Data - MOU I.6'!$P$16:$P$35</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1-C7E4-452E-8A5E-4D204920AE07}"/>
            </c:ext>
          </c:extLst>
        </c:ser>
        <c:ser>
          <c:idx val="7"/>
          <c:order val="2"/>
          <c:tx>
            <c:strRef>
              <c:f>'Tier 2 Data - MOU I.6'!$O$5</c:f>
              <c:strCache>
                <c:ptCount val="1"/>
                <c:pt idx="0">
                  <c:v>Alburgh Solar</c:v>
                </c:pt>
              </c:strCache>
            </c:strRef>
          </c:tx>
          <c:spPr>
            <a:solidFill>
              <a:srgbClr val="FF0000"/>
            </a:solidFill>
            <a:ln>
              <a:solidFill>
                <a:sysClr val="windowText" lastClr="000000"/>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I.6'!$P$13:$P$40</c15:sqref>
                  </c15:fullRef>
                </c:ext>
              </c:extLst>
              <c:f>'Tier 2 Data - MOU I.6'!$P$16:$P$35</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2-C7E4-452E-8A5E-4D204920AE07}"/>
            </c:ext>
          </c:extLst>
        </c:ser>
        <c:ser>
          <c:idx val="5"/>
          <c:order val="3"/>
          <c:tx>
            <c:strRef>
              <c:f>'Tier 2 Data - MOU I.6'!$J$5</c:f>
              <c:strCache>
                <c:ptCount val="1"/>
                <c:pt idx="0">
                  <c:v>Standard Offer</c:v>
                </c:pt>
              </c:strCache>
            </c:strRef>
          </c:tx>
          <c:spPr>
            <a:pattFill prst="ltUpDiag">
              <a:fgClr>
                <a:schemeClr val="accent3"/>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I.6'!$J$13:$J$40</c15:sqref>
                  </c15:fullRef>
                </c:ext>
              </c:extLst>
              <c:f>'Tier 2 Data - MOU I.6'!$J$16:$J$35</c:f>
              <c:numCache>
                <c:formatCode>#,##0</c:formatCode>
                <c:ptCount val="20"/>
                <c:pt idx="0">
                  <c:v>22018.530550899453</c:v>
                </c:pt>
                <c:pt idx="1">
                  <c:v>22018.530550899453</c:v>
                </c:pt>
                <c:pt idx="2">
                  <c:v>22018.530550899453</c:v>
                </c:pt>
                <c:pt idx="3">
                  <c:v>22018.530550899453</c:v>
                </c:pt>
                <c:pt idx="4">
                  <c:v>22018.530550899453</c:v>
                </c:pt>
                <c:pt idx="5">
                  <c:v>21887.353370889454</c:v>
                </c:pt>
                <c:pt idx="6">
                  <c:v>21699.87913878214</c:v>
                </c:pt>
                <c:pt idx="7">
                  <c:v>21488.380168451804</c:v>
                </c:pt>
                <c:pt idx="8">
                  <c:v>21226.078797851602</c:v>
                </c:pt>
                <c:pt idx="9">
                  <c:v>21223.151654515084</c:v>
                </c:pt>
                <c:pt idx="10">
                  <c:v>20685.127510960221</c:v>
                </c:pt>
                <c:pt idx="11">
                  <c:v>20215.896379748039</c:v>
                </c:pt>
                <c:pt idx="12">
                  <c:v>19122.926704312446</c:v>
                </c:pt>
                <c:pt idx="13">
                  <c:v>17583.098078059018</c:v>
                </c:pt>
                <c:pt idx="14">
                  <c:v>15340.101627517215</c:v>
                </c:pt>
                <c:pt idx="15">
                  <c:v>14131.642055142078</c:v>
                </c:pt>
                <c:pt idx="16">
                  <c:v>12523.80282419064</c:v>
                </c:pt>
                <c:pt idx="17">
                  <c:v>11028.433631574659</c:v>
                </c:pt>
                <c:pt idx="18">
                  <c:v>10565.73237757724</c:v>
                </c:pt>
                <c:pt idx="19">
                  <c:v>9903.1627649343609</c:v>
                </c:pt>
              </c:numCache>
            </c:numRef>
          </c:val>
          <c:extLst>
            <c:ext xmlns:c16="http://schemas.microsoft.com/office/drawing/2014/chart" uri="{C3380CC4-5D6E-409C-BE32-E72D297353CC}">
              <c16:uniqueId val="{00000003-C7E4-452E-8A5E-4D204920AE07}"/>
            </c:ext>
          </c:extLst>
        </c:ser>
        <c:ser>
          <c:idx val="8"/>
          <c:order val="4"/>
          <c:tx>
            <c:strRef>
              <c:f>'Tier 2 Data - MOU I.6'!$R$5</c:f>
              <c:strCache>
                <c:ptCount val="1"/>
                <c:pt idx="0">
                  <c:v>Jericho - Gravel Pit Solar</c:v>
                </c:pt>
              </c:strCache>
            </c:strRef>
          </c:tx>
          <c:spPr>
            <a:pattFill prst="ltVert">
              <a:fgClr>
                <a:schemeClr val="accent3">
                  <a:lumMod val="60000"/>
                  <a:lumOff val="40000"/>
                </a:schemeClr>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I.6'!$R$13:$R$40</c15:sqref>
                  </c15:fullRef>
                </c:ext>
              </c:extLst>
              <c:f>'Tier 2 Data - MOU I.6'!$R$16:$R$35</c:f>
              <c:numCache>
                <c:formatCode>#,##0</c:formatCode>
                <c:ptCount val="20"/>
                <c:pt idx="0">
                  <c:v>2432.9297166518654</c:v>
                </c:pt>
                <c:pt idx="1">
                  <c:v>2420.7650680686056</c:v>
                </c:pt>
                <c:pt idx="2">
                  <c:v>2408.6612427282626</c:v>
                </c:pt>
                <c:pt idx="3">
                  <c:v>2396.6179365146213</c:v>
                </c:pt>
                <c:pt idx="4">
                  <c:v>2384.6348468320489</c:v>
                </c:pt>
                <c:pt idx="5">
                  <c:v>2372.7116725978881</c:v>
                </c:pt>
                <c:pt idx="6">
                  <c:v>2360.8481142348987</c:v>
                </c:pt>
                <c:pt idx="7">
                  <c:v>2349.0438736637238</c:v>
                </c:pt>
                <c:pt idx="8">
                  <c:v>2337.2986542954059</c:v>
                </c:pt>
                <c:pt idx="9">
                  <c:v>2325.6121610239288</c:v>
                </c:pt>
                <c:pt idx="10">
                  <c:v>2313.9841002188086</c:v>
                </c:pt>
                <c:pt idx="11">
                  <c:v>2302.4141797177153</c:v>
                </c:pt>
                <c:pt idx="12">
                  <c:v>2290.9021088191262</c:v>
                </c:pt>
                <c:pt idx="13">
                  <c:v>2279.4475982750305</c:v>
                </c:pt>
                <c:pt idx="14">
                  <c:v>2268.0503602836548</c:v>
                </c:pt>
                <c:pt idx="15">
                  <c:v>2256.7101084822366</c:v>
                </c:pt>
                <c:pt idx="16">
                  <c:v>2245.4265579398257</c:v>
                </c:pt>
                <c:pt idx="17">
                  <c:v>2234.1994251501269</c:v>
                </c:pt>
                <c:pt idx="18">
                  <c:v>2223.0284280243759</c:v>
                </c:pt>
                <c:pt idx="19">
                  <c:v>702.17573329252434</c:v>
                </c:pt>
              </c:numCache>
            </c:numRef>
          </c:val>
          <c:extLst>
            <c:ext xmlns:c16="http://schemas.microsoft.com/office/drawing/2014/chart" uri="{C3380CC4-5D6E-409C-BE32-E72D297353CC}">
              <c16:uniqueId val="{00000004-C7E4-452E-8A5E-4D204920AE07}"/>
            </c:ext>
          </c:extLst>
        </c:ser>
        <c:ser>
          <c:idx val="9"/>
          <c:order val="5"/>
          <c:tx>
            <c:strRef>
              <c:f>'Tier 2 Data - MOU I.6'!$S$5</c:f>
              <c:strCache>
                <c:ptCount val="1"/>
                <c:pt idx="0">
                  <c:v>Jericho - Landfill Solar</c:v>
                </c:pt>
              </c:strCache>
            </c:strRef>
          </c:tx>
          <c:spPr>
            <a:pattFill prst="ltDnDiag">
              <a:fgClr>
                <a:schemeClr val="accent2">
                  <a:lumMod val="75000"/>
                </a:schemeClr>
              </a:fgClr>
              <a:bgClr>
                <a:schemeClr val="bg1"/>
              </a:bgClr>
            </a:pattFill>
            <a:ln>
              <a:solidFill>
                <a:schemeClr val="accent2">
                  <a:lumMod val="75000"/>
                </a:schemeClr>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I.6'!$S$13:$S$40</c15:sqref>
                  </c15:fullRef>
                </c:ext>
              </c:extLst>
              <c:f>'Tier 2 Data - MOU I.6'!$S$16:$S$35</c:f>
              <c:numCache>
                <c:formatCode>#,##0</c:formatCode>
                <c:ptCount val="20"/>
                <c:pt idx="0">
                  <c:v>2668.9756954119125</c:v>
                </c:pt>
                <c:pt idx="1">
                  <c:v>2655.6308169348531</c:v>
                </c:pt>
                <c:pt idx="2">
                  <c:v>2642.3526628501786</c:v>
                </c:pt>
                <c:pt idx="3">
                  <c:v>2629.1408995359275</c:v>
                </c:pt>
                <c:pt idx="4">
                  <c:v>2615.9951950382488</c:v>
                </c:pt>
                <c:pt idx="5">
                  <c:v>2602.9152190630575</c:v>
                </c:pt>
                <c:pt idx="6">
                  <c:v>2589.900642967742</c:v>
                </c:pt>
                <c:pt idx="7">
                  <c:v>2576.9511397529031</c:v>
                </c:pt>
                <c:pt idx="8">
                  <c:v>2564.0663840541388</c:v>
                </c:pt>
                <c:pt idx="9">
                  <c:v>2551.246052133868</c:v>
                </c:pt>
                <c:pt idx="10">
                  <c:v>2538.4898218731983</c:v>
                </c:pt>
                <c:pt idx="11">
                  <c:v>2525.7973727638328</c:v>
                </c:pt>
                <c:pt idx="12">
                  <c:v>2513.1683859000136</c:v>
                </c:pt>
                <c:pt idx="13">
                  <c:v>2500.6025439705131</c:v>
                </c:pt>
                <c:pt idx="14">
                  <c:v>2488.0995312506611</c:v>
                </c:pt>
                <c:pt idx="15">
                  <c:v>2475.6590335944074</c:v>
                </c:pt>
                <c:pt idx="16">
                  <c:v>2463.2807384264352</c:v>
                </c:pt>
                <c:pt idx="17">
                  <c:v>2450.9643347343031</c:v>
                </c:pt>
                <c:pt idx="18">
                  <c:v>2438.7095130606317</c:v>
                </c:pt>
                <c:pt idx="19">
                  <c:v>2426.5159654953281</c:v>
                </c:pt>
              </c:numCache>
            </c:numRef>
          </c:val>
          <c:extLst>
            <c:ext xmlns:c16="http://schemas.microsoft.com/office/drawing/2014/chart" uri="{C3380CC4-5D6E-409C-BE32-E72D297353CC}">
              <c16:uniqueId val="{00000005-C7E4-452E-8A5E-4D204920AE07}"/>
            </c:ext>
          </c:extLst>
        </c:ser>
        <c:ser>
          <c:idx val="10"/>
          <c:order val="6"/>
          <c:tx>
            <c:strRef>
              <c:f>'Tier 2 Data - MOU I.6'!$AA$5</c:f>
              <c:strCache>
                <c:ptCount val="1"/>
                <c:pt idx="0">
                  <c:v>Existing Net Metering RECs</c:v>
                </c:pt>
              </c:strCache>
            </c:strRef>
          </c:tx>
          <c:spPr>
            <a:solidFill>
              <a:srgbClr val="92D050"/>
            </a:solidFill>
            <a:ln>
              <a:solidFill>
                <a:sysClr val="windowText" lastClr="000000"/>
              </a:solidFill>
            </a:ln>
          </c:spPr>
          <c:invertIfNegative val="0"/>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I.6'!$AA$13:$AA$40</c15:sqref>
                  </c15:fullRef>
                </c:ext>
              </c:extLst>
              <c:f>'Tier 2 Data - MOU I.6'!$AA$16:$AA$35</c:f>
              <c:numCache>
                <c:formatCode>#,##0</c:formatCode>
                <c:ptCount val="20"/>
                <c:pt idx="0">
                  <c:v>28196.65820114288</c:v>
                </c:pt>
                <c:pt idx="1">
                  <c:v>28196.65820114288</c:v>
                </c:pt>
                <c:pt idx="2">
                  <c:v>28254.961443200569</c:v>
                </c:pt>
                <c:pt idx="3">
                  <c:v>28196.65820114288</c:v>
                </c:pt>
                <c:pt idx="4">
                  <c:v>28196.65820114288</c:v>
                </c:pt>
                <c:pt idx="5">
                  <c:v>28196.65820114288</c:v>
                </c:pt>
                <c:pt idx="6">
                  <c:v>28254.961443200569</c:v>
                </c:pt>
                <c:pt idx="7">
                  <c:v>28196.65820114288</c:v>
                </c:pt>
                <c:pt idx="8">
                  <c:v>28196.65820114288</c:v>
                </c:pt>
                <c:pt idx="9">
                  <c:v>28196.65820114288</c:v>
                </c:pt>
                <c:pt idx="10">
                  <c:v>28254.961443200569</c:v>
                </c:pt>
                <c:pt idx="11">
                  <c:v>28196.65820114288</c:v>
                </c:pt>
                <c:pt idx="12">
                  <c:v>28196.65820114288</c:v>
                </c:pt>
                <c:pt idx="13">
                  <c:v>28196.65820114288</c:v>
                </c:pt>
                <c:pt idx="14">
                  <c:v>28254.961443200569</c:v>
                </c:pt>
                <c:pt idx="15">
                  <c:v>28196.65820114288</c:v>
                </c:pt>
                <c:pt idx="16">
                  <c:v>28196.65820114288</c:v>
                </c:pt>
                <c:pt idx="17">
                  <c:v>28714.043230465362</c:v>
                </c:pt>
                <c:pt idx="18">
                  <c:v>28714.043230465362</c:v>
                </c:pt>
                <c:pt idx="19">
                  <c:v>28714.043230465362</c:v>
                </c:pt>
              </c:numCache>
            </c:numRef>
          </c:val>
          <c:extLst>
            <c:ext xmlns:c16="http://schemas.microsoft.com/office/drawing/2014/chart" uri="{C3380CC4-5D6E-409C-BE32-E72D297353CC}">
              <c16:uniqueId val="{00000006-C7E4-452E-8A5E-4D204920AE07}"/>
            </c:ext>
          </c:extLst>
        </c:ser>
        <c:dLbls>
          <c:showLegendKey val="0"/>
          <c:showVal val="0"/>
          <c:showCatName val="0"/>
          <c:showSerName val="0"/>
          <c:showPercent val="0"/>
          <c:showBubbleSize val="0"/>
        </c:dLbls>
        <c:gapWidth val="150"/>
        <c:overlap val="100"/>
        <c:axId val="-650479008"/>
        <c:axId val="-650480640"/>
        <c:extLst>
          <c:ext xmlns:c15="http://schemas.microsoft.com/office/drawing/2012/chart" uri="{02D57815-91ED-43cb-92C2-25804820EDAC}">
            <c15:filteredBarSeries>
              <c15:ser>
                <c:idx val="6"/>
                <c:order val="7"/>
                <c:tx>
                  <c:strRef>
                    <c:extLst>
                      <c:ext uri="{02D57815-91ED-43cb-92C2-25804820EDAC}">
                        <c15:formulaRef>
                          <c15:sqref>'Tier 2 Data - MOU I.6'!$AB$5</c15:sqref>
                        </c15:formulaRef>
                      </c:ext>
                    </c:extLst>
                    <c:strCache>
                      <c:ptCount val="1"/>
                      <c:pt idx="0">
                        <c:v>New Net Metering RECs</c:v>
                      </c:pt>
                    </c:strCache>
                  </c:strRef>
                </c:tx>
                <c:invertIfNegative val="0"/>
                <c:cat>
                  <c:numRef>
                    <c:extLst>
                      <c:ext uri="{02D57815-91ED-43cb-92C2-25804820EDAC}">
                        <c15:fullRef>
                          <c15:sqref>'Tier 2 Data - MOU I.6'!$B$13:$B$40</c15:sqref>
                        </c15:fullRef>
                        <c15:formulaRef>
                          <c15:sqref>'Tier 2 Data - MOU I.6'!$B$16:$B$35</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uri="{02D57815-91ED-43cb-92C2-25804820EDAC}">
                        <c15:fullRef>
                          <c15:sqref>'Tier 2 Data - MOU I.6'!$AB$13:$AB$40</c15:sqref>
                        </c15:fullRef>
                        <c15:formulaRef>
                          <c15:sqref>'Tier 2 Data - MOU I.6'!$AB$16:$AB$35</c15:sqref>
                        </c15:formulaRef>
                      </c:ext>
                    </c:extLst>
                    <c:numCache>
                      <c:formatCode>#,##0</c:formatCode>
                      <c:ptCount val="20"/>
                      <c:pt idx="0">
                        <c:v>2245.8789846632098</c:v>
                      </c:pt>
                      <c:pt idx="1">
                        <c:v>3716.6134858236146</c:v>
                      </c:pt>
                      <c:pt idx="2">
                        <c:v>4651.5065506662722</c:v>
                      </c:pt>
                      <c:pt idx="3">
                        <c:v>5437.4546203270011</c:v>
                      </c:pt>
                      <c:pt idx="4">
                        <c:v>6023.887951654131</c:v>
                      </c:pt>
                      <c:pt idx="5">
                        <c:v>6554.3599402528862</c:v>
                      </c:pt>
                      <c:pt idx="6">
                        <c:v>6948.8118863940417</c:v>
                      </c:pt>
                      <c:pt idx="7">
                        <c:v>7304.772246524748</c:v>
                      </c:pt>
                      <c:pt idx="8">
                        <c:v>7560.1791582044043</c:v>
                      </c:pt>
                      <c:pt idx="9">
                        <c:v>7832.7815658977834</c:v>
                      </c:pt>
                      <c:pt idx="10">
                        <c:v>8028.6954466164807</c:v>
                      </c:pt>
                      <c:pt idx="11">
                        <c:v>8225.8276342981535</c:v>
                      </c:pt>
                      <c:pt idx="12">
                        <c:v>8359.332081022123</c:v>
                      </c:pt>
                      <c:pt idx="13">
                        <c:v>8536.972468515014</c:v>
                      </c:pt>
                      <c:pt idx="14">
                        <c:v>8660.2561343537491</c:v>
                      </c:pt>
                      <c:pt idx="15">
                        <c:v>8798.4162758787297</c:v>
                      </c:pt>
                      <c:pt idx="16">
                        <c:v>8887.029408555627</c:v>
                      </c:pt>
                      <c:pt idx="17">
                        <c:v>9195.3567177013192</c:v>
                      </c:pt>
                      <c:pt idx="18">
                        <c:v>9274.7697039603154</c:v>
                      </c:pt>
                      <c:pt idx="19">
                        <c:v>9412.2570725296246</c:v>
                      </c:pt>
                    </c:numCache>
                  </c:numRef>
                </c:val>
                <c:extLst>
                  <c:ext xmlns:c16="http://schemas.microsoft.com/office/drawing/2014/chart" uri="{C3380CC4-5D6E-409C-BE32-E72D297353CC}">
                    <c16:uniqueId val="{00000007-C7E4-452E-8A5E-4D204920AE07}"/>
                  </c:ext>
                </c:extLst>
              </c15:ser>
            </c15:filteredBarSeries>
          </c:ext>
        </c:extLst>
      </c:barChart>
      <c:lineChart>
        <c:grouping val="standard"/>
        <c:varyColors val="0"/>
        <c:ser>
          <c:idx val="0"/>
          <c:order val="8"/>
          <c:tx>
            <c:strRef>
              <c:f>'Tier 2 Data - MOU I.6'!$H$5</c:f>
              <c:strCache>
                <c:ptCount val="1"/>
                <c:pt idx="0">
                  <c:v>Climate Action Plan Forecast Tier II Requirement</c:v>
                </c:pt>
              </c:strCache>
            </c:strRef>
          </c:tx>
          <c:spPr>
            <a:ln>
              <a:solidFill>
                <a:srgbClr val="ED7D31"/>
              </a:solidFill>
              <a:prstDash val="lgDash"/>
            </a:ln>
          </c:spPr>
          <c:marker>
            <c:symbol val="none"/>
          </c:marker>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I.6'!$H$13:$H$40</c15:sqref>
                  </c15:fullRef>
                </c:ext>
              </c:extLst>
              <c:f>'Tier 2 Data - MOU I.6'!$H$16:$H$35</c:f>
              <c:numCache>
                <c:formatCode>#,##0</c:formatCode>
                <c:ptCount val="20"/>
                <c:pt idx="0">
                  <c:v>29892.79220558938</c:v>
                </c:pt>
                <c:pt idx="1">
                  <c:v>41962.009054139133</c:v>
                </c:pt>
                <c:pt idx="2">
                  <c:v>54638.510584366726</c:v>
                </c:pt>
                <c:pt idx="3">
                  <c:v>68177.199811266415</c:v>
                </c:pt>
                <c:pt idx="4">
                  <c:v>82396.151900787198</c:v>
                </c:pt>
                <c:pt idx="5">
                  <c:v>97420.969711413607</c:v>
                </c:pt>
                <c:pt idx="6">
                  <c:v>114616.06480372493</c:v>
                </c:pt>
                <c:pt idx="7">
                  <c:v>118338.34810257296</c:v>
                </c:pt>
                <c:pt idx="8">
                  <c:v>122155.68456068909</c:v>
                </c:pt>
                <c:pt idx="9">
                  <c:v>125914.17533073862</c:v>
                </c:pt>
                <c:pt idx="10">
                  <c:v>129673.50311271733</c:v>
                </c:pt>
                <c:pt idx="11">
                  <c:v>133533.75167205004</c:v>
                </c:pt>
                <c:pt idx="12">
                  <c:v>137211.13087428038</c:v>
                </c:pt>
                <c:pt idx="13">
                  <c:v>140615.949164347</c:v>
                </c:pt>
                <c:pt idx="14">
                  <c:v>143395.94559601214</c:v>
                </c:pt>
                <c:pt idx="15">
                  <c:v>145611.94724756823</c:v>
                </c:pt>
                <c:pt idx="16">
                  <c:v>147540.86801393513</c:v>
                </c:pt>
                <c:pt idx="17">
                  <c:v>149152.06746438215</c:v>
                </c:pt>
                <c:pt idx="18">
                  <c:v>151012.71359871043</c:v>
                </c:pt>
                <c:pt idx="19">
                  <c:v>152869.87527010014</c:v>
                </c:pt>
              </c:numCache>
            </c:numRef>
          </c:val>
          <c:smooth val="0"/>
          <c:extLst>
            <c:ext xmlns:c16="http://schemas.microsoft.com/office/drawing/2014/chart" uri="{C3380CC4-5D6E-409C-BE32-E72D297353CC}">
              <c16:uniqueId val="{00000008-C7E4-452E-8A5E-4D204920AE07}"/>
            </c:ext>
          </c:extLst>
        </c:ser>
        <c:ser>
          <c:idx val="2"/>
          <c:order val="9"/>
          <c:tx>
            <c:strRef>
              <c:f>'Tier 2 Data - MOU I.6'!$G$5</c:f>
              <c:strCache>
                <c:ptCount val="1"/>
                <c:pt idx="0">
                  <c:v>VELCO Forecast Tier II Requirement</c:v>
                </c:pt>
              </c:strCache>
            </c:strRef>
          </c:tx>
          <c:spPr>
            <a:ln>
              <a:solidFill>
                <a:srgbClr val="FFC000"/>
              </a:solidFill>
              <a:prstDash val="dash"/>
            </a:ln>
          </c:spPr>
          <c:marker>
            <c:symbol val="none"/>
          </c:marker>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I.6'!$G$13:$G$40</c15:sqref>
                  </c15:fullRef>
                </c:ext>
              </c:extLst>
              <c:f>'Tier 2 Data - MOU I.6'!$G$16:$G$35</c:f>
              <c:numCache>
                <c:formatCode>#,##0</c:formatCode>
                <c:ptCount val="20"/>
                <c:pt idx="0">
                  <c:v>28589.010256822257</c:v>
                </c:pt>
                <c:pt idx="1">
                  <c:v>40558.655811884622</c:v>
                </c:pt>
                <c:pt idx="2">
                  <c:v>53233.857723180859</c:v>
                </c:pt>
                <c:pt idx="3">
                  <c:v>66826.791868636996</c:v>
                </c:pt>
                <c:pt idx="4">
                  <c:v>81316.37045650676</c:v>
                </c:pt>
                <c:pt idx="5">
                  <c:v>96576.076159754855</c:v>
                </c:pt>
                <c:pt idx="6">
                  <c:v>113813.42073396813</c:v>
                </c:pt>
                <c:pt idx="7">
                  <c:v>117431.52869321278</c:v>
                </c:pt>
                <c:pt idx="8">
                  <c:v>120870.2886820428</c:v>
                </c:pt>
                <c:pt idx="9">
                  <c:v>123832.47511664065</c:v>
                </c:pt>
                <c:pt idx="10">
                  <c:v>126108.93144524799</c:v>
                </c:pt>
                <c:pt idx="11">
                  <c:v>127881.7111095018</c:v>
                </c:pt>
                <c:pt idx="12">
                  <c:v>129171.62650408188</c:v>
                </c:pt>
                <c:pt idx="13">
                  <c:v>130129.66463859036</c:v>
                </c:pt>
                <c:pt idx="14">
                  <c:v>130802.54283940303</c:v>
                </c:pt>
                <c:pt idx="15">
                  <c:v>131350.25205662407</c:v>
                </c:pt>
                <c:pt idx="16">
                  <c:v>131522.84047201174</c:v>
                </c:pt>
                <c:pt idx="17">
                  <c:v>131112.19491442962</c:v>
                </c:pt>
                <c:pt idx="18">
                  <c:v>130886.68891271862</c:v>
                </c:pt>
                <c:pt idx="19">
                  <c:v>130657.52137425184</c:v>
                </c:pt>
              </c:numCache>
            </c:numRef>
          </c:val>
          <c:smooth val="0"/>
          <c:extLst>
            <c:ext xmlns:c16="http://schemas.microsoft.com/office/drawing/2014/chart" uri="{C3380CC4-5D6E-409C-BE32-E72D297353CC}">
              <c16:uniqueId val="{00000009-C7E4-452E-8A5E-4D204920AE07}"/>
            </c:ext>
          </c:extLst>
        </c:ser>
        <c:ser>
          <c:idx val="3"/>
          <c:order val="10"/>
          <c:tx>
            <c:strRef>
              <c:f>'Tier 2 Data - MOU I.6'!$I$5</c:f>
              <c:strCache>
                <c:ptCount val="1"/>
                <c:pt idx="0">
                  <c:v>VEC Forecast Tier II Requirement</c:v>
                </c:pt>
              </c:strCache>
            </c:strRef>
          </c:tx>
          <c:spPr>
            <a:ln>
              <a:solidFill>
                <a:schemeClr val="tx1"/>
              </a:solidFill>
              <a:prstDash val="solid"/>
            </a:ln>
          </c:spPr>
          <c:marker>
            <c:symbol val="none"/>
          </c:marker>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I.6'!$I$13:$I$40</c15:sqref>
                  </c15:fullRef>
                </c:ext>
              </c:extLst>
              <c:f>'Tier 2 Data - MOU I.6'!$I$16:$I$35</c:f>
              <c:numCache>
                <c:formatCode>#,##0</c:formatCode>
                <c:ptCount val="20"/>
                <c:pt idx="0">
                  <c:v>26611.185792797085</c:v>
                </c:pt>
                <c:pt idx="1">
                  <c:v>37181.622790033405</c:v>
                </c:pt>
                <c:pt idx="2">
                  <c:v>48043.466195437097</c:v>
                </c:pt>
                <c:pt idx="3">
                  <c:v>59366.227848234623</c:v>
                </c:pt>
                <c:pt idx="4">
                  <c:v>71159.572310190124</c:v>
                </c:pt>
                <c:pt idx="5">
                  <c:v>83492.855830470799</c:v>
                </c:pt>
                <c:pt idx="6">
                  <c:v>97530.246348870918</c:v>
                </c:pt>
                <c:pt idx="7">
                  <c:v>99951.795558023587</c:v>
                </c:pt>
                <c:pt idx="8">
                  <c:v>102594.49191926629</c:v>
                </c:pt>
                <c:pt idx="9">
                  <c:v>105427.98142433999</c:v>
                </c:pt>
                <c:pt idx="10">
                  <c:v>108267.02076012612</c:v>
                </c:pt>
                <c:pt idx="11">
                  <c:v>111042.39204851168</c:v>
                </c:pt>
                <c:pt idx="12">
                  <c:v>113555.47856249308</c:v>
                </c:pt>
                <c:pt idx="13">
                  <c:v>115748.18963938617</c:v>
                </c:pt>
                <c:pt idx="14">
                  <c:v>117545.96043003535</c:v>
                </c:pt>
                <c:pt idx="15">
                  <c:v>119029.7046044434</c:v>
                </c:pt>
                <c:pt idx="16">
                  <c:v>120214.85313351388</c:v>
                </c:pt>
                <c:pt idx="17">
                  <c:v>120906.56663346503</c:v>
                </c:pt>
                <c:pt idx="18">
                  <c:v>121660.06532681015</c:v>
                </c:pt>
                <c:pt idx="19">
                  <c:v>122288.72234587561</c:v>
                </c:pt>
              </c:numCache>
            </c:numRef>
          </c:val>
          <c:smooth val="0"/>
          <c:extLst>
            <c:ext xmlns:c16="http://schemas.microsoft.com/office/drawing/2014/chart" uri="{C3380CC4-5D6E-409C-BE32-E72D297353CC}">
              <c16:uniqueId val="{0000000A-C7E4-452E-8A5E-4D204920AE07}"/>
            </c:ext>
          </c:extLst>
        </c:ser>
        <c:dLbls>
          <c:showLegendKey val="0"/>
          <c:showVal val="0"/>
          <c:showCatName val="0"/>
          <c:showSerName val="0"/>
          <c:showPercent val="0"/>
          <c:showBubbleSize val="0"/>
        </c:dLbls>
        <c:marker val="1"/>
        <c:smooth val="0"/>
        <c:axId val="-650474112"/>
        <c:axId val="-650477920"/>
      </c:lineChart>
      <c:catAx>
        <c:axId val="-6504741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50477920"/>
        <c:crosses val="autoZero"/>
        <c:auto val="1"/>
        <c:lblAlgn val="ctr"/>
        <c:lblOffset val="100"/>
        <c:noMultiLvlLbl val="0"/>
      </c:catAx>
      <c:valAx>
        <c:axId val="-650477920"/>
        <c:scaling>
          <c:orientation val="minMax"/>
        </c:scaling>
        <c:delete val="0"/>
        <c:axPos val="l"/>
        <c:majorGridlines/>
        <c:title>
          <c:tx>
            <c:rich>
              <a:bodyPr rot="-5400000" vert="horz"/>
              <a:lstStyle/>
              <a:p>
                <a:pPr>
                  <a:defRPr b="1" u="none"/>
                </a:pPr>
                <a:r>
                  <a:rPr lang="en-US" b="1" u="none"/>
                  <a:t>Annual MWh</a:t>
                </a:r>
              </a:p>
            </c:rich>
          </c:tx>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50474112"/>
        <c:crosses val="autoZero"/>
        <c:crossBetween val="between"/>
      </c:valAx>
      <c:catAx>
        <c:axId val="-650479008"/>
        <c:scaling>
          <c:orientation val="minMax"/>
        </c:scaling>
        <c:delete val="1"/>
        <c:axPos val="b"/>
        <c:numFmt formatCode="General" sourceLinked="1"/>
        <c:majorTickMark val="out"/>
        <c:minorTickMark val="none"/>
        <c:tickLblPos val="nextTo"/>
        <c:crossAx val="-650480640"/>
        <c:crosses val="autoZero"/>
        <c:auto val="1"/>
        <c:lblAlgn val="ctr"/>
        <c:lblOffset val="100"/>
        <c:noMultiLvlLbl val="0"/>
      </c:catAx>
      <c:valAx>
        <c:axId val="-650480640"/>
        <c:scaling>
          <c:orientation val="minMax"/>
          <c:max val="60000"/>
        </c:scaling>
        <c:delete val="1"/>
        <c:axPos val="r"/>
        <c:numFmt formatCode="#,##0" sourceLinked="1"/>
        <c:majorTickMark val="out"/>
        <c:minorTickMark val="none"/>
        <c:tickLblPos val="nextTo"/>
        <c:crossAx val="-650479008"/>
        <c:crosses val="max"/>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sng" strike="noStrike" baseline="0">
          <a:solidFill>
            <a:srgbClr val="000000"/>
          </a:solidFill>
          <a:latin typeface="Calibri"/>
          <a:ea typeface="Calibri"/>
          <a:cs typeface="Calibri"/>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Tier II Minimum</a:t>
            </a:r>
            <a:r>
              <a:rPr lang="en-US" baseline="0"/>
              <a:t> MWh</a:t>
            </a:r>
            <a:r>
              <a:rPr lang="en-US"/>
              <a:t> vs Committed Resources</a:t>
            </a:r>
          </a:p>
          <a:p>
            <a:pPr>
              <a:defRPr sz="1200" b="1" i="0" u="none" strike="noStrike" baseline="0">
                <a:solidFill>
                  <a:srgbClr val="000000"/>
                </a:solidFill>
                <a:latin typeface="Calibri"/>
                <a:ea typeface="Calibri"/>
                <a:cs typeface="Calibri"/>
              </a:defRPr>
            </a:pPr>
            <a:r>
              <a:rPr lang="en-US"/>
              <a:t>(Existing + New Net Metering - Base</a:t>
            </a:r>
            <a:r>
              <a:rPr lang="en-US" baseline="0"/>
              <a:t> Case</a:t>
            </a:r>
            <a:r>
              <a:rPr lang="en-US"/>
              <a:t>)</a:t>
            </a:r>
          </a:p>
        </c:rich>
      </c:tx>
      <c:overlay val="0"/>
    </c:title>
    <c:autoTitleDeleted val="0"/>
    <c:plotArea>
      <c:layout>
        <c:manualLayout>
          <c:layoutTarget val="inner"/>
          <c:xMode val="edge"/>
          <c:yMode val="edge"/>
          <c:x val="9.4224235887201441E-2"/>
          <c:y val="0.11682994101777809"/>
          <c:w val="0.88563110324102645"/>
          <c:h val="0.65216701946854405"/>
        </c:manualLayout>
      </c:layout>
      <c:barChart>
        <c:barDir val="col"/>
        <c:grouping val="stacked"/>
        <c:varyColors val="0"/>
        <c:ser>
          <c:idx val="1"/>
          <c:order val="0"/>
          <c:tx>
            <c:strRef>
              <c:f>'Tier 2 Data - MOU I.6'!$Q$5</c:f>
              <c:strCache>
                <c:ptCount val="1"/>
                <c:pt idx="0">
                  <c:v>Grand Isle Solar</c:v>
                </c:pt>
              </c:strCache>
            </c:strRef>
          </c:tx>
          <c:spPr>
            <a:pattFill prst="ltVert">
              <a:fgClr>
                <a:schemeClr val="tx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I.6'!$Q$13:$Q$40</c15:sqref>
                  </c15:fullRef>
                </c:ext>
              </c:extLst>
              <c:f>'Tier 2 Data - MOU I.6'!$Q$16:$Q$35</c:f>
              <c:numCache>
                <c:formatCode>#,##0</c:formatCode>
                <c:ptCount val="20"/>
                <c:pt idx="0">
                  <c:v>7101.3701475857169</c:v>
                </c:pt>
                <c:pt idx="1">
                  <c:v>7065.8632968477878</c:v>
                </c:pt>
                <c:pt idx="2">
                  <c:v>7030.5339803635497</c:v>
                </c:pt>
                <c:pt idx="3">
                  <c:v>6995.3813104617311</c:v>
                </c:pt>
                <c:pt idx="4">
                  <c:v>6960.4044039094224</c:v>
                </c:pt>
                <c:pt idx="5">
                  <c:v>6925.6023818898757</c:v>
                </c:pt>
                <c:pt idx="6">
                  <c:v>6890.9743699804267</c:v>
                </c:pt>
                <c:pt idx="7">
                  <c:v>6856.519498130524</c:v>
                </c:pt>
                <c:pt idx="8">
                  <c:v>6822.2369006398712</c:v>
                </c:pt>
                <c:pt idx="9">
                  <c:v>6788.1257161366721</c:v>
                </c:pt>
                <c:pt idx="10">
                  <c:v>6754.1850875559885</c:v>
                </c:pt>
                <c:pt idx="11">
                  <c:v>6720.4141621182089</c:v>
                </c:pt>
                <c:pt idx="12">
                  <c:v>6686.8120913076173</c:v>
                </c:pt>
                <c:pt idx="13">
                  <c:v>6653.3780308510795</c:v>
                </c:pt>
                <c:pt idx="14">
                  <c:v>6620.1111406968239</c:v>
                </c:pt>
                <c:pt idx="15">
                  <c:v>6587.0105849933398</c:v>
                </c:pt>
                <c:pt idx="16">
                  <c:v>6554.0755320683729</c:v>
                </c:pt>
                <c:pt idx="17">
                  <c:v>0</c:v>
                </c:pt>
                <c:pt idx="18">
                  <c:v>0</c:v>
                </c:pt>
                <c:pt idx="19">
                  <c:v>0</c:v>
                </c:pt>
              </c:numCache>
            </c:numRef>
          </c:val>
          <c:extLst>
            <c:ext xmlns:c16="http://schemas.microsoft.com/office/drawing/2014/chart" uri="{C3380CC4-5D6E-409C-BE32-E72D297353CC}">
              <c16:uniqueId val="{00000000-410E-474B-9EC3-3F1E5ADD4A41}"/>
            </c:ext>
          </c:extLst>
        </c:ser>
        <c:ser>
          <c:idx val="4"/>
          <c:order val="1"/>
          <c:tx>
            <c:strRef>
              <c:f>'Tier 2 Data - MOU I.6'!$P$5</c:f>
              <c:strCache>
                <c:ptCount val="1"/>
                <c:pt idx="0">
                  <c:v>Magee Hill Solar</c:v>
                </c:pt>
              </c:strCache>
            </c:strRef>
          </c:tx>
          <c:spPr>
            <a:solidFill>
              <a:schemeClr val="accent1">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I.6'!$P$13:$P$40</c15:sqref>
                  </c15:fullRef>
                </c:ext>
              </c:extLst>
              <c:f>'Tier 2 Data - MOU I.6'!$P$16:$P$35</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1-410E-474B-9EC3-3F1E5ADD4A41}"/>
            </c:ext>
          </c:extLst>
        </c:ser>
        <c:ser>
          <c:idx val="7"/>
          <c:order val="2"/>
          <c:tx>
            <c:strRef>
              <c:f>'Tier 2 Data - MOU I.6'!$O$5</c:f>
              <c:strCache>
                <c:ptCount val="1"/>
                <c:pt idx="0">
                  <c:v>Alburgh Solar</c:v>
                </c:pt>
              </c:strCache>
            </c:strRef>
          </c:tx>
          <c:spPr>
            <a:solidFill>
              <a:srgbClr val="FF0000"/>
            </a:solidFill>
            <a:ln>
              <a:solidFill>
                <a:sysClr val="windowText" lastClr="000000"/>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I.6'!$P$13:$P$40</c15:sqref>
                  </c15:fullRef>
                </c:ext>
              </c:extLst>
              <c:f>'Tier 2 Data - MOU I.6'!$P$16:$P$35</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2-410E-474B-9EC3-3F1E5ADD4A41}"/>
            </c:ext>
          </c:extLst>
        </c:ser>
        <c:ser>
          <c:idx val="5"/>
          <c:order val="3"/>
          <c:tx>
            <c:strRef>
              <c:f>'Tier 2 Data - MOU I.6'!$J$5</c:f>
              <c:strCache>
                <c:ptCount val="1"/>
                <c:pt idx="0">
                  <c:v>Standard Offer</c:v>
                </c:pt>
              </c:strCache>
            </c:strRef>
          </c:tx>
          <c:spPr>
            <a:pattFill prst="ltUpDiag">
              <a:fgClr>
                <a:schemeClr val="accent3"/>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I.6'!$J$13:$J$40</c15:sqref>
                  </c15:fullRef>
                </c:ext>
              </c:extLst>
              <c:f>'Tier 2 Data - MOU I.6'!$J$16:$J$35</c:f>
              <c:numCache>
                <c:formatCode>#,##0</c:formatCode>
                <c:ptCount val="20"/>
                <c:pt idx="0">
                  <c:v>22018.530550899453</c:v>
                </c:pt>
                <c:pt idx="1">
                  <c:v>22018.530550899453</c:v>
                </c:pt>
                <c:pt idx="2">
                  <c:v>22018.530550899453</c:v>
                </c:pt>
                <c:pt idx="3">
                  <c:v>22018.530550899453</c:v>
                </c:pt>
                <c:pt idx="4">
                  <c:v>22018.530550899453</c:v>
                </c:pt>
                <c:pt idx="5">
                  <c:v>21887.353370889454</c:v>
                </c:pt>
                <c:pt idx="6">
                  <c:v>21699.87913878214</c:v>
                </c:pt>
                <c:pt idx="7">
                  <c:v>21488.380168451804</c:v>
                </c:pt>
                <c:pt idx="8">
                  <c:v>21226.078797851602</c:v>
                </c:pt>
                <c:pt idx="9">
                  <c:v>21223.151654515084</c:v>
                </c:pt>
                <c:pt idx="10">
                  <c:v>20685.127510960221</c:v>
                </c:pt>
                <c:pt idx="11">
                  <c:v>20215.896379748039</c:v>
                </c:pt>
                <c:pt idx="12">
                  <c:v>19122.926704312446</c:v>
                </c:pt>
                <c:pt idx="13">
                  <c:v>17583.098078059018</c:v>
                </c:pt>
                <c:pt idx="14">
                  <c:v>15340.101627517215</c:v>
                </c:pt>
                <c:pt idx="15">
                  <c:v>14131.642055142078</c:v>
                </c:pt>
                <c:pt idx="16">
                  <c:v>12523.80282419064</c:v>
                </c:pt>
                <c:pt idx="17">
                  <c:v>11028.433631574659</c:v>
                </c:pt>
                <c:pt idx="18">
                  <c:v>10565.73237757724</c:v>
                </c:pt>
                <c:pt idx="19">
                  <c:v>9903.1627649343609</c:v>
                </c:pt>
              </c:numCache>
            </c:numRef>
          </c:val>
          <c:extLst>
            <c:ext xmlns:c16="http://schemas.microsoft.com/office/drawing/2014/chart" uri="{C3380CC4-5D6E-409C-BE32-E72D297353CC}">
              <c16:uniqueId val="{00000003-410E-474B-9EC3-3F1E5ADD4A41}"/>
            </c:ext>
          </c:extLst>
        </c:ser>
        <c:ser>
          <c:idx val="8"/>
          <c:order val="4"/>
          <c:tx>
            <c:strRef>
              <c:f>'Tier 2 Data - MOU I.6'!$R$5</c:f>
              <c:strCache>
                <c:ptCount val="1"/>
                <c:pt idx="0">
                  <c:v>Jericho - Gravel Pit Solar</c:v>
                </c:pt>
              </c:strCache>
            </c:strRef>
          </c:tx>
          <c:spPr>
            <a:pattFill prst="ltVert">
              <a:fgClr>
                <a:schemeClr val="accent3">
                  <a:lumMod val="60000"/>
                  <a:lumOff val="40000"/>
                </a:schemeClr>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I.6'!$R$13:$R$40</c15:sqref>
                  </c15:fullRef>
                </c:ext>
              </c:extLst>
              <c:f>'Tier 2 Data - MOU I.6'!$R$16:$R$35</c:f>
              <c:numCache>
                <c:formatCode>#,##0</c:formatCode>
                <c:ptCount val="20"/>
                <c:pt idx="0">
                  <c:v>2432.9297166518654</c:v>
                </c:pt>
                <c:pt idx="1">
                  <c:v>2420.7650680686056</c:v>
                </c:pt>
                <c:pt idx="2">
                  <c:v>2408.6612427282626</c:v>
                </c:pt>
                <c:pt idx="3">
                  <c:v>2396.6179365146213</c:v>
                </c:pt>
                <c:pt idx="4">
                  <c:v>2384.6348468320489</c:v>
                </c:pt>
                <c:pt idx="5">
                  <c:v>2372.7116725978881</c:v>
                </c:pt>
                <c:pt idx="6">
                  <c:v>2360.8481142348987</c:v>
                </c:pt>
                <c:pt idx="7">
                  <c:v>2349.0438736637238</c:v>
                </c:pt>
                <c:pt idx="8">
                  <c:v>2337.2986542954059</c:v>
                </c:pt>
                <c:pt idx="9">
                  <c:v>2325.6121610239288</c:v>
                </c:pt>
                <c:pt idx="10">
                  <c:v>2313.9841002188086</c:v>
                </c:pt>
                <c:pt idx="11">
                  <c:v>2302.4141797177153</c:v>
                </c:pt>
                <c:pt idx="12">
                  <c:v>2290.9021088191262</c:v>
                </c:pt>
                <c:pt idx="13">
                  <c:v>2279.4475982750305</c:v>
                </c:pt>
                <c:pt idx="14">
                  <c:v>2268.0503602836548</c:v>
                </c:pt>
                <c:pt idx="15">
                  <c:v>2256.7101084822366</c:v>
                </c:pt>
                <c:pt idx="16">
                  <c:v>2245.4265579398257</c:v>
                </c:pt>
                <c:pt idx="17">
                  <c:v>2234.1994251501269</c:v>
                </c:pt>
                <c:pt idx="18">
                  <c:v>2223.0284280243759</c:v>
                </c:pt>
                <c:pt idx="19">
                  <c:v>702.17573329252434</c:v>
                </c:pt>
              </c:numCache>
            </c:numRef>
          </c:val>
          <c:extLst>
            <c:ext xmlns:c16="http://schemas.microsoft.com/office/drawing/2014/chart" uri="{C3380CC4-5D6E-409C-BE32-E72D297353CC}">
              <c16:uniqueId val="{00000004-410E-474B-9EC3-3F1E5ADD4A41}"/>
            </c:ext>
          </c:extLst>
        </c:ser>
        <c:ser>
          <c:idx val="9"/>
          <c:order val="5"/>
          <c:tx>
            <c:strRef>
              <c:f>'Tier 2 Data - MOU I.6'!$S$5</c:f>
              <c:strCache>
                <c:ptCount val="1"/>
                <c:pt idx="0">
                  <c:v>Jericho - Landfill Solar</c:v>
                </c:pt>
              </c:strCache>
            </c:strRef>
          </c:tx>
          <c:spPr>
            <a:pattFill prst="ltDnDiag">
              <a:fgClr>
                <a:schemeClr val="accent2">
                  <a:lumMod val="75000"/>
                </a:schemeClr>
              </a:fgClr>
              <a:bgClr>
                <a:schemeClr val="bg1"/>
              </a:bgClr>
            </a:pattFill>
            <a:ln>
              <a:solidFill>
                <a:schemeClr val="accent2">
                  <a:lumMod val="75000"/>
                </a:schemeClr>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I.6'!$S$13:$S$40</c15:sqref>
                  </c15:fullRef>
                </c:ext>
              </c:extLst>
              <c:f>'Tier 2 Data - MOU I.6'!$S$16:$S$35</c:f>
              <c:numCache>
                <c:formatCode>#,##0</c:formatCode>
                <c:ptCount val="20"/>
                <c:pt idx="0">
                  <c:v>2668.9756954119125</c:v>
                </c:pt>
                <c:pt idx="1">
                  <c:v>2655.6308169348531</c:v>
                </c:pt>
                <c:pt idx="2">
                  <c:v>2642.3526628501786</c:v>
                </c:pt>
                <c:pt idx="3">
                  <c:v>2629.1408995359275</c:v>
                </c:pt>
                <c:pt idx="4">
                  <c:v>2615.9951950382488</c:v>
                </c:pt>
                <c:pt idx="5">
                  <c:v>2602.9152190630575</c:v>
                </c:pt>
                <c:pt idx="6">
                  <c:v>2589.900642967742</c:v>
                </c:pt>
                <c:pt idx="7">
                  <c:v>2576.9511397529031</c:v>
                </c:pt>
                <c:pt idx="8">
                  <c:v>2564.0663840541388</c:v>
                </c:pt>
                <c:pt idx="9">
                  <c:v>2551.246052133868</c:v>
                </c:pt>
                <c:pt idx="10">
                  <c:v>2538.4898218731983</c:v>
                </c:pt>
                <c:pt idx="11">
                  <c:v>2525.7973727638328</c:v>
                </c:pt>
                <c:pt idx="12">
                  <c:v>2513.1683859000136</c:v>
                </c:pt>
                <c:pt idx="13">
                  <c:v>2500.6025439705131</c:v>
                </c:pt>
                <c:pt idx="14">
                  <c:v>2488.0995312506611</c:v>
                </c:pt>
                <c:pt idx="15">
                  <c:v>2475.6590335944074</c:v>
                </c:pt>
                <c:pt idx="16">
                  <c:v>2463.2807384264352</c:v>
                </c:pt>
                <c:pt idx="17">
                  <c:v>2450.9643347343031</c:v>
                </c:pt>
                <c:pt idx="18">
                  <c:v>2438.7095130606317</c:v>
                </c:pt>
                <c:pt idx="19">
                  <c:v>2426.5159654953281</c:v>
                </c:pt>
              </c:numCache>
            </c:numRef>
          </c:val>
          <c:extLst>
            <c:ext xmlns:c16="http://schemas.microsoft.com/office/drawing/2014/chart" uri="{C3380CC4-5D6E-409C-BE32-E72D297353CC}">
              <c16:uniqueId val="{00000005-410E-474B-9EC3-3F1E5ADD4A41}"/>
            </c:ext>
          </c:extLst>
        </c:ser>
        <c:ser>
          <c:idx val="10"/>
          <c:order val="6"/>
          <c:tx>
            <c:strRef>
              <c:f>'Tier 2 Data - MOU I.6'!$AA$5</c:f>
              <c:strCache>
                <c:ptCount val="1"/>
                <c:pt idx="0">
                  <c:v>Existing Net Metering RECs</c:v>
                </c:pt>
              </c:strCache>
            </c:strRef>
          </c:tx>
          <c:spPr>
            <a:solidFill>
              <a:srgbClr val="92D050"/>
            </a:solidFill>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I.6'!$AA$13:$AA$40</c15:sqref>
                  </c15:fullRef>
                </c:ext>
              </c:extLst>
              <c:f>'Tier 2 Data - MOU I.6'!$AA$16:$AA$35</c:f>
              <c:numCache>
                <c:formatCode>#,##0</c:formatCode>
                <c:ptCount val="20"/>
                <c:pt idx="0">
                  <c:v>28196.65820114288</c:v>
                </c:pt>
                <c:pt idx="1">
                  <c:v>28196.65820114288</c:v>
                </c:pt>
                <c:pt idx="2">
                  <c:v>28254.961443200569</c:v>
                </c:pt>
                <c:pt idx="3">
                  <c:v>28196.65820114288</c:v>
                </c:pt>
                <c:pt idx="4">
                  <c:v>28196.65820114288</c:v>
                </c:pt>
                <c:pt idx="5">
                  <c:v>28196.65820114288</c:v>
                </c:pt>
                <c:pt idx="6">
                  <c:v>28254.961443200569</c:v>
                </c:pt>
                <c:pt idx="7">
                  <c:v>28196.65820114288</c:v>
                </c:pt>
                <c:pt idx="8">
                  <c:v>28196.65820114288</c:v>
                </c:pt>
                <c:pt idx="9">
                  <c:v>28196.65820114288</c:v>
                </c:pt>
                <c:pt idx="10">
                  <c:v>28254.961443200569</c:v>
                </c:pt>
                <c:pt idx="11">
                  <c:v>28196.65820114288</c:v>
                </c:pt>
                <c:pt idx="12">
                  <c:v>28196.65820114288</c:v>
                </c:pt>
                <c:pt idx="13">
                  <c:v>28196.65820114288</c:v>
                </c:pt>
                <c:pt idx="14">
                  <c:v>28254.961443200569</c:v>
                </c:pt>
                <c:pt idx="15">
                  <c:v>28196.65820114288</c:v>
                </c:pt>
                <c:pt idx="16">
                  <c:v>28196.65820114288</c:v>
                </c:pt>
                <c:pt idx="17">
                  <c:v>28714.043230465362</c:v>
                </c:pt>
                <c:pt idx="18">
                  <c:v>28714.043230465362</c:v>
                </c:pt>
                <c:pt idx="19">
                  <c:v>28714.043230465362</c:v>
                </c:pt>
              </c:numCache>
            </c:numRef>
          </c:val>
          <c:extLst>
            <c:ext xmlns:c16="http://schemas.microsoft.com/office/drawing/2014/chart" uri="{C3380CC4-5D6E-409C-BE32-E72D297353CC}">
              <c16:uniqueId val="{00000006-410E-474B-9EC3-3F1E5ADD4A41}"/>
            </c:ext>
          </c:extLst>
        </c:ser>
        <c:ser>
          <c:idx val="6"/>
          <c:order val="7"/>
          <c:tx>
            <c:strRef>
              <c:f>'Tier 2 Data - MOU I.6'!$AB$5</c:f>
              <c:strCache>
                <c:ptCount val="1"/>
                <c:pt idx="0">
                  <c:v>New Net Metering RECs</c:v>
                </c:pt>
              </c:strCache>
            </c:strRef>
          </c:tx>
          <c:spPr>
            <a:ln>
              <a:solidFill>
                <a:schemeClr val="tx1"/>
              </a:solidFill>
            </a:ln>
          </c:spPr>
          <c:invertIfNegative val="0"/>
          <c:cat>
            <c:numRef>
              <c:extLst>
                <c:ext xmlns:c15="http://schemas.microsoft.com/office/drawing/2012/chart" uri="{02D57815-91ED-43cb-92C2-25804820EDAC}">
                  <c15:fullRef>
                    <c15:sqref>'Tier 1 Data - MOU I.4'!$B$13:$B$40</c15:sqref>
                  </c15:fullRef>
                </c:ext>
              </c:extLst>
              <c:f>'Tier 1 Data - MOU I.4'!$B$16:$B$35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I.6'!$AB$13:$AB$40</c15:sqref>
                  </c15:fullRef>
                </c:ext>
              </c:extLst>
              <c:f>'Tier 2 Data - MOU I.6'!$AB$16:$AB$35</c:f>
              <c:numCache>
                <c:formatCode>#,##0</c:formatCode>
                <c:ptCount val="20"/>
                <c:pt idx="0">
                  <c:v>2245.8789846632098</c:v>
                </c:pt>
                <c:pt idx="1">
                  <c:v>3716.6134858236146</c:v>
                </c:pt>
                <c:pt idx="2">
                  <c:v>4651.5065506662722</c:v>
                </c:pt>
                <c:pt idx="3">
                  <c:v>5437.4546203270011</c:v>
                </c:pt>
                <c:pt idx="4">
                  <c:v>6023.887951654131</c:v>
                </c:pt>
                <c:pt idx="5">
                  <c:v>6554.3599402528862</c:v>
                </c:pt>
                <c:pt idx="6">
                  <c:v>6948.8118863940417</c:v>
                </c:pt>
                <c:pt idx="7">
                  <c:v>7304.772246524748</c:v>
                </c:pt>
                <c:pt idx="8">
                  <c:v>7560.1791582044043</c:v>
                </c:pt>
                <c:pt idx="9">
                  <c:v>7832.7815658977834</c:v>
                </c:pt>
                <c:pt idx="10">
                  <c:v>8028.6954466164807</c:v>
                </c:pt>
                <c:pt idx="11">
                  <c:v>8225.8276342981535</c:v>
                </c:pt>
                <c:pt idx="12">
                  <c:v>8359.332081022123</c:v>
                </c:pt>
                <c:pt idx="13">
                  <c:v>8536.972468515014</c:v>
                </c:pt>
                <c:pt idx="14">
                  <c:v>8660.2561343537491</c:v>
                </c:pt>
                <c:pt idx="15">
                  <c:v>8798.4162758787297</c:v>
                </c:pt>
                <c:pt idx="16">
                  <c:v>8887.029408555627</c:v>
                </c:pt>
                <c:pt idx="17">
                  <c:v>9195.3567177013192</c:v>
                </c:pt>
                <c:pt idx="18">
                  <c:v>9274.7697039603154</c:v>
                </c:pt>
                <c:pt idx="19">
                  <c:v>9412.2570725296246</c:v>
                </c:pt>
              </c:numCache>
            </c:numRef>
          </c:val>
          <c:extLst>
            <c:ext xmlns:c16="http://schemas.microsoft.com/office/drawing/2014/chart" uri="{C3380CC4-5D6E-409C-BE32-E72D297353CC}">
              <c16:uniqueId val="{00000007-410E-474B-9EC3-3F1E5ADD4A41}"/>
            </c:ext>
          </c:extLst>
        </c:ser>
        <c:dLbls>
          <c:showLegendKey val="0"/>
          <c:showVal val="0"/>
          <c:showCatName val="0"/>
          <c:showSerName val="0"/>
          <c:showPercent val="0"/>
          <c:showBubbleSize val="0"/>
        </c:dLbls>
        <c:gapWidth val="150"/>
        <c:overlap val="100"/>
        <c:axId val="-650479008"/>
        <c:axId val="-650480640"/>
      </c:barChart>
      <c:lineChart>
        <c:grouping val="standard"/>
        <c:varyColors val="0"/>
        <c:ser>
          <c:idx val="0"/>
          <c:order val="8"/>
          <c:tx>
            <c:strRef>
              <c:f>'Tier 2 Data - MOU I.6'!$H$5</c:f>
              <c:strCache>
                <c:ptCount val="1"/>
                <c:pt idx="0">
                  <c:v>Climate Action Plan Forecast Tier II Requirement</c:v>
                </c:pt>
              </c:strCache>
            </c:strRef>
          </c:tx>
          <c:spPr>
            <a:ln>
              <a:solidFill>
                <a:srgbClr val="ED7D31"/>
              </a:solidFill>
              <a:prstDash val="lgDash"/>
            </a:ln>
          </c:spPr>
          <c:marker>
            <c:symbol val="none"/>
          </c:marker>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I.6'!$H$13:$H$40</c15:sqref>
                  </c15:fullRef>
                </c:ext>
              </c:extLst>
              <c:f>'Tier 2 Data - MOU I.6'!$H$16:$H$35</c:f>
              <c:numCache>
                <c:formatCode>#,##0</c:formatCode>
                <c:ptCount val="20"/>
                <c:pt idx="0">
                  <c:v>29892.79220558938</c:v>
                </c:pt>
                <c:pt idx="1">
                  <c:v>41962.009054139133</c:v>
                </c:pt>
                <c:pt idx="2">
                  <c:v>54638.510584366726</c:v>
                </c:pt>
                <c:pt idx="3">
                  <c:v>68177.199811266415</c:v>
                </c:pt>
                <c:pt idx="4">
                  <c:v>82396.151900787198</c:v>
                </c:pt>
                <c:pt idx="5">
                  <c:v>97420.969711413607</c:v>
                </c:pt>
                <c:pt idx="6">
                  <c:v>114616.06480372493</c:v>
                </c:pt>
                <c:pt idx="7">
                  <c:v>118338.34810257296</c:v>
                </c:pt>
                <c:pt idx="8">
                  <c:v>122155.68456068909</c:v>
                </c:pt>
                <c:pt idx="9">
                  <c:v>125914.17533073862</c:v>
                </c:pt>
                <c:pt idx="10">
                  <c:v>129673.50311271733</c:v>
                </c:pt>
                <c:pt idx="11">
                  <c:v>133533.75167205004</c:v>
                </c:pt>
                <c:pt idx="12">
                  <c:v>137211.13087428038</c:v>
                </c:pt>
                <c:pt idx="13">
                  <c:v>140615.949164347</c:v>
                </c:pt>
                <c:pt idx="14">
                  <c:v>143395.94559601214</c:v>
                </c:pt>
                <c:pt idx="15">
                  <c:v>145611.94724756823</c:v>
                </c:pt>
                <c:pt idx="16">
                  <c:v>147540.86801393513</c:v>
                </c:pt>
                <c:pt idx="17">
                  <c:v>149152.06746438215</c:v>
                </c:pt>
                <c:pt idx="18">
                  <c:v>151012.71359871043</c:v>
                </c:pt>
                <c:pt idx="19">
                  <c:v>152869.87527010014</c:v>
                </c:pt>
              </c:numCache>
            </c:numRef>
          </c:val>
          <c:smooth val="0"/>
          <c:extLst>
            <c:ext xmlns:c16="http://schemas.microsoft.com/office/drawing/2014/chart" uri="{C3380CC4-5D6E-409C-BE32-E72D297353CC}">
              <c16:uniqueId val="{00000008-410E-474B-9EC3-3F1E5ADD4A41}"/>
            </c:ext>
          </c:extLst>
        </c:ser>
        <c:ser>
          <c:idx val="2"/>
          <c:order val="9"/>
          <c:tx>
            <c:strRef>
              <c:f>'Tier 2 Data - MOU I.6'!$G$5</c:f>
              <c:strCache>
                <c:ptCount val="1"/>
                <c:pt idx="0">
                  <c:v>VELCO Forecast Tier II Requirement</c:v>
                </c:pt>
              </c:strCache>
            </c:strRef>
          </c:tx>
          <c:spPr>
            <a:ln>
              <a:solidFill>
                <a:srgbClr val="FFC000"/>
              </a:solidFill>
              <a:prstDash val="dash"/>
            </a:ln>
          </c:spPr>
          <c:marker>
            <c:symbol val="none"/>
          </c:marker>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I.6'!$G$13:$G$40</c15:sqref>
                  </c15:fullRef>
                </c:ext>
              </c:extLst>
              <c:f>'Tier 2 Data - MOU I.6'!$G$16:$G$35</c:f>
              <c:numCache>
                <c:formatCode>#,##0</c:formatCode>
                <c:ptCount val="20"/>
                <c:pt idx="0">
                  <c:v>28589.010256822257</c:v>
                </c:pt>
                <c:pt idx="1">
                  <c:v>40558.655811884622</c:v>
                </c:pt>
                <c:pt idx="2">
                  <c:v>53233.857723180859</c:v>
                </c:pt>
                <c:pt idx="3">
                  <c:v>66826.791868636996</c:v>
                </c:pt>
                <c:pt idx="4">
                  <c:v>81316.37045650676</c:v>
                </c:pt>
                <c:pt idx="5">
                  <c:v>96576.076159754855</c:v>
                </c:pt>
                <c:pt idx="6">
                  <c:v>113813.42073396813</c:v>
                </c:pt>
                <c:pt idx="7">
                  <c:v>117431.52869321278</c:v>
                </c:pt>
                <c:pt idx="8">
                  <c:v>120870.2886820428</c:v>
                </c:pt>
                <c:pt idx="9">
                  <c:v>123832.47511664065</c:v>
                </c:pt>
                <c:pt idx="10">
                  <c:v>126108.93144524799</c:v>
                </c:pt>
                <c:pt idx="11">
                  <c:v>127881.7111095018</c:v>
                </c:pt>
                <c:pt idx="12">
                  <c:v>129171.62650408188</c:v>
                </c:pt>
                <c:pt idx="13">
                  <c:v>130129.66463859036</c:v>
                </c:pt>
                <c:pt idx="14">
                  <c:v>130802.54283940303</c:v>
                </c:pt>
                <c:pt idx="15">
                  <c:v>131350.25205662407</c:v>
                </c:pt>
                <c:pt idx="16">
                  <c:v>131522.84047201174</c:v>
                </c:pt>
                <c:pt idx="17">
                  <c:v>131112.19491442962</c:v>
                </c:pt>
                <c:pt idx="18">
                  <c:v>130886.68891271862</c:v>
                </c:pt>
                <c:pt idx="19">
                  <c:v>130657.52137425184</c:v>
                </c:pt>
              </c:numCache>
            </c:numRef>
          </c:val>
          <c:smooth val="0"/>
          <c:extLst>
            <c:ext xmlns:c16="http://schemas.microsoft.com/office/drawing/2014/chart" uri="{C3380CC4-5D6E-409C-BE32-E72D297353CC}">
              <c16:uniqueId val="{00000009-410E-474B-9EC3-3F1E5ADD4A41}"/>
            </c:ext>
          </c:extLst>
        </c:ser>
        <c:ser>
          <c:idx val="3"/>
          <c:order val="10"/>
          <c:tx>
            <c:strRef>
              <c:f>'Tier 2 Data - MOU I.6'!$I$5</c:f>
              <c:strCache>
                <c:ptCount val="1"/>
                <c:pt idx="0">
                  <c:v>VEC Forecast Tier II Requirement</c:v>
                </c:pt>
              </c:strCache>
            </c:strRef>
          </c:tx>
          <c:spPr>
            <a:ln>
              <a:solidFill>
                <a:schemeClr val="tx1"/>
              </a:solidFill>
              <a:prstDash val="solid"/>
            </a:ln>
          </c:spPr>
          <c:marker>
            <c:symbol val="none"/>
          </c:marker>
          <c:cat>
            <c:numRef>
              <c:extLst>
                <c:ext xmlns:c15="http://schemas.microsoft.com/office/drawing/2012/chart" uri="{02D57815-91ED-43cb-92C2-25804820EDAC}">
                  <c15:fullRef>
                    <c15:sqref>'Tier 2 Data - MOU I.6'!$B$13:$B$40</c15:sqref>
                  </c15:fullRef>
                </c:ext>
              </c:extLst>
              <c:f>'Tier 2 Data - MOU I.6'!$B$16:$B$35</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'Tier 2 Data - MOU I.6'!$I$13:$I$40</c15:sqref>
                  </c15:fullRef>
                </c:ext>
              </c:extLst>
              <c:f>'Tier 2 Data - MOU I.6'!$I$16:$I$35</c:f>
              <c:numCache>
                <c:formatCode>#,##0</c:formatCode>
                <c:ptCount val="20"/>
                <c:pt idx="0">
                  <c:v>26611.185792797085</c:v>
                </c:pt>
                <c:pt idx="1">
                  <c:v>37181.622790033405</c:v>
                </c:pt>
                <c:pt idx="2">
                  <c:v>48043.466195437097</c:v>
                </c:pt>
                <c:pt idx="3">
                  <c:v>59366.227848234623</c:v>
                </c:pt>
                <c:pt idx="4">
                  <c:v>71159.572310190124</c:v>
                </c:pt>
                <c:pt idx="5">
                  <c:v>83492.855830470799</c:v>
                </c:pt>
                <c:pt idx="6">
                  <c:v>97530.246348870918</c:v>
                </c:pt>
                <c:pt idx="7">
                  <c:v>99951.795558023587</c:v>
                </c:pt>
                <c:pt idx="8">
                  <c:v>102594.49191926629</c:v>
                </c:pt>
                <c:pt idx="9">
                  <c:v>105427.98142433999</c:v>
                </c:pt>
                <c:pt idx="10">
                  <c:v>108267.02076012612</c:v>
                </c:pt>
                <c:pt idx="11">
                  <c:v>111042.39204851168</c:v>
                </c:pt>
                <c:pt idx="12">
                  <c:v>113555.47856249308</c:v>
                </c:pt>
                <c:pt idx="13">
                  <c:v>115748.18963938617</c:v>
                </c:pt>
                <c:pt idx="14">
                  <c:v>117545.96043003535</c:v>
                </c:pt>
                <c:pt idx="15">
                  <c:v>119029.7046044434</c:v>
                </c:pt>
                <c:pt idx="16">
                  <c:v>120214.85313351388</c:v>
                </c:pt>
                <c:pt idx="17">
                  <c:v>120906.56663346503</c:v>
                </c:pt>
                <c:pt idx="18">
                  <c:v>121660.06532681015</c:v>
                </c:pt>
                <c:pt idx="19">
                  <c:v>122288.72234587561</c:v>
                </c:pt>
              </c:numCache>
            </c:numRef>
          </c:val>
          <c:smooth val="0"/>
          <c:extLst>
            <c:ext xmlns:c16="http://schemas.microsoft.com/office/drawing/2014/chart" uri="{C3380CC4-5D6E-409C-BE32-E72D297353CC}">
              <c16:uniqueId val="{0000000A-410E-474B-9EC3-3F1E5ADD4A41}"/>
            </c:ext>
          </c:extLst>
        </c:ser>
        <c:dLbls>
          <c:showLegendKey val="0"/>
          <c:showVal val="0"/>
          <c:showCatName val="0"/>
          <c:showSerName val="0"/>
          <c:showPercent val="0"/>
          <c:showBubbleSize val="0"/>
        </c:dLbls>
        <c:marker val="1"/>
        <c:smooth val="0"/>
        <c:axId val="-650474112"/>
        <c:axId val="-650477920"/>
      </c:lineChart>
      <c:catAx>
        <c:axId val="-6504741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50477920"/>
        <c:crosses val="autoZero"/>
        <c:auto val="1"/>
        <c:lblAlgn val="ctr"/>
        <c:lblOffset val="100"/>
        <c:noMultiLvlLbl val="0"/>
      </c:catAx>
      <c:valAx>
        <c:axId val="-650477920"/>
        <c:scaling>
          <c:orientation val="minMax"/>
        </c:scaling>
        <c:delete val="0"/>
        <c:axPos val="l"/>
        <c:majorGridlines/>
        <c:title>
          <c:tx>
            <c:rich>
              <a:bodyPr rot="-5400000" vert="horz"/>
              <a:lstStyle/>
              <a:p>
                <a:pPr>
                  <a:defRPr b="1" u="none"/>
                </a:pPr>
                <a:r>
                  <a:rPr lang="en-US" b="1" u="none"/>
                  <a:t>Annual MWh</a:t>
                </a:r>
              </a:p>
            </c:rich>
          </c:tx>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50474112"/>
        <c:crosses val="autoZero"/>
        <c:crossBetween val="between"/>
      </c:valAx>
      <c:catAx>
        <c:axId val="-650479008"/>
        <c:scaling>
          <c:orientation val="minMax"/>
        </c:scaling>
        <c:delete val="1"/>
        <c:axPos val="b"/>
        <c:numFmt formatCode="General" sourceLinked="1"/>
        <c:majorTickMark val="out"/>
        <c:minorTickMark val="none"/>
        <c:tickLblPos val="nextTo"/>
        <c:crossAx val="-650480640"/>
        <c:crosses val="autoZero"/>
        <c:auto val="1"/>
        <c:lblAlgn val="ctr"/>
        <c:lblOffset val="100"/>
        <c:noMultiLvlLbl val="0"/>
      </c:catAx>
      <c:valAx>
        <c:axId val="-650480640"/>
        <c:scaling>
          <c:orientation val="minMax"/>
          <c:max val="60000"/>
        </c:scaling>
        <c:delete val="1"/>
        <c:axPos val="r"/>
        <c:numFmt formatCode="#,##0" sourceLinked="1"/>
        <c:majorTickMark val="out"/>
        <c:minorTickMark val="none"/>
        <c:tickLblPos val="nextTo"/>
        <c:crossAx val="-650479008"/>
        <c:crosses val="max"/>
        <c:crossBetween val="between"/>
      </c:valAx>
    </c:plotArea>
    <c:legend>
      <c:legendPos val="b"/>
      <c:layout>
        <c:manualLayout>
          <c:xMode val="edge"/>
          <c:yMode val="edge"/>
          <c:x val="0.10971413904286186"/>
          <c:y val="0.82858915145154755"/>
          <c:w val="0.8666443638209389"/>
          <c:h val="0.15879442293547322"/>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sng" strike="noStrike" baseline="0">
          <a:solidFill>
            <a:srgbClr val="000000"/>
          </a:solidFill>
          <a:latin typeface="Calibri"/>
          <a:ea typeface="Calibri"/>
          <a:cs typeface="Calibri"/>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Projected SPEED Requirements vs Committed + Pending Resources</a:t>
            </a:r>
          </a:p>
        </c:rich>
      </c:tx>
      <c:layout>
        <c:manualLayout>
          <c:xMode val="edge"/>
          <c:yMode val="edge"/>
          <c:x val="0.25971143046063133"/>
          <c:y val="1.9575990027043279E-2"/>
        </c:manualLayout>
      </c:layout>
      <c:overlay val="0"/>
      <c:spPr>
        <a:noFill/>
        <a:ln w="25400">
          <a:noFill/>
        </a:ln>
      </c:spPr>
    </c:title>
    <c:autoTitleDeleted val="0"/>
    <c:plotArea>
      <c:layout>
        <c:manualLayout>
          <c:layoutTarget val="inner"/>
          <c:xMode val="edge"/>
          <c:yMode val="edge"/>
          <c:x val="0.10210876803551609"/>
          <c:y val="0.11256117455138662"/>
          <c:w val="0.8867924528301887"/>
          <c:h val="0.77814029363784665"/>
        </c:manualLayout>
      </c:layout>
      <c:barChart>
        <c:barDir val="col"/>
        <c:grouping val="stacked"/>
        <c:varyColors val="0"/>
        <c:ser>
          <c:idx val="0"/>
          <c:order val="0"/>
          <c:tx>
            <c:strRef>
              <c:f>'Annual Energy Data'!$EB$7</c:f>
              <c:strCache>
                <c:ptCount val="1"/>
                <c:pt idx="0">
                  <c:v>VELCO Forecast</c:v>
                </c:pt>
              </c:strCache>
            </c:strRef>
          </c:tx>
          <c:spPr>
            <a:solidFill>
              <a:srgbClr val="9999FF"/>
            </a:solidFill>
            <a:ln w="12700">
              <a:solidFill>
                <a:srgbClr val="000000"/>
              </a:solidFill>
              <a:prstDash val="solid"/>
            </a:ln>
          </c:spPr>
          <c:invertIfNegative val="0"/>
          <c:cat>
            <c:numRef>
              <c:f>'Annual Energy Data'!$A$13:$A$26</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'Annual Energy Data'!$EB$13:$EB$26</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0.92964809165618023</c:v>
                </c:pt>
                <c:pt idx="13">
                  <c:v>0.90891067627288791</c:v>
                </c:pt>
              </c:numCache>
            </c:numRef>
          </c:val>
          <c:extLst>
            <c:ext xmlns:c16="http://schemas.microsoft.com/office/drawing/2014/chart" uri="{C3380CC4-5D6E-409C-BE32-E72D297353CC}">
              <c16:uniqueId val="{00000000-7C77-4304-BCAB-F7B22B122D40}"/>
            </c:ext>
          </c:extLst>
        </c:ser>
        <c:ser>
          <c:idx val="1"/>
          <c:order val="1"/>
          <c:tx>
            <c:strRef>
              <c:f>'Annual Energy Data'!$DZ$7</c:f>
              <c:strCache>
                <c:ptCount val="1"/>
                <c:pt idx="0">
                  <c:v>Climate Action Plan Forecast</c:v>
                </c:pt>
              </c:strCache>
            </c:strRef>
          </c:tx>
          <c:spPr>
            <a:solidFill>
              <a:srgbClr val="00FF00"/>
            </a:solidFill>
            <a:ln w="12700">
              <a:solidFill>
                <a:srgbClr val="000000"/>
              </a:solidFill>
              <a:prstDash val="solid"/>
            </a:ln>
          </c:spPr>
          <c:invertIfNegative val="0"/>
          <c:cat>
            <c:numRef>
              <c:f>'Annual Energy Data'!$A$13:$A$26</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'Annual Energy Data'!$DZ$13:$DZ$26</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0.91347653647313665</c:v>
                </c:pt>
                <c:pt idx="13">
                  <c:v>0.88134389929746204</c:v>
                </c:pt>
              </c:numCache>
            </c:numRef>
          </c:val>
          <c:extLst>
            <c:ext xmlns:c16="http://schemas.microsoft.com/office/drawing/2014/chart" uri="{C3380CC4-5D6E-409C-BE32-E72D297353CC}">
              <c16:uniqueId val="{00000001-7C77-4304-BCAB-F7B22B122D40}"/>
            </c:ext>
          </c:extLst>
        </c:ser>
        <c:ser>
          <c:idx val="2"/>
          <c:order val="2"/>
          <c:tx>
            <c:strRef>
              <c:f>'Annual Energy Data'!$EA$7</c:f>
              <c:strCache>
                <c:ptCount val="1"/>
                <c:pt idx="0">
                  <c:v>VEC Forecast</c:v>
                </c:pt>
              </c:strCache>
            </c:strRef>
          </c:tx>
          <c:spPr>
            <a:solidFill>
              <a:srgbClr val="CCFFFF"/>
            </a:solidFill>
            <a:ln w="12700">
              <a:solidFill>
                <a:srgbClr val="000000"/>
              </a:solidFill>
              <a:prstDash val="solid"/>
            </a:ln>
          </c:spPr>
          <c:invertIfNegative val="0"/>
          <c:cat>
            <c:numRef>
              <c:f>'Annual Energy Data'!$A$13:$A$26</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'Annual Energy Data'!$EA$13:$EA$26</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0.94998717748695483</c:v>
                </c:pt>
                <c:pt idx="13">
                  <c:v>0.95418543599690253</c:v>
                </c:pt>
              </c:numCache>
            </c:numRef>
          </c:val>
          <c:extLst>
            <c:ext xmlns:c16="http://schemas.microsoft.com/office/drawing/2014/chart" uri="{C3380CC4-5D6E-409C-BE32-E72D297353CC}">
              <c16:uniqueId val="{00000002-7C77-4304-BCAB-F7B22B122D40}"/>
            </c:ext>
          </c:extLst>
        </c:ser>
        <c:ser>
          <c:idx val="3"/>
          <c:order val="3"/>
          <c:tx>
            <c:strRef>
              <c:f>'Annual Energy Data'!$EC$7</c:f>
              <c:strCache>
                <c:ptCount val="1"/>
              </c:strCache>
            </c:strRef>
          </c:tx>
          <c:spPr>
            <a:solidFill>
              <a:srgbClr val="FFCC00"/>
            </a:solidFill>
            <a:ln w="12700">
              <a:solidFill>
                <a:srgbClr val="000000"/>
              </a:solidFill>
              <a:prstDash val="solid"/>
            </a:ln>
          </c:spPr>
          <c:invertIfNegative val="0"/>
          <c:cat>
            <c:numRef>
              <c:f>'Annual Energy Data'!$A$13:$A$26</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'Annual Energy Data'!$EC$13:$EC$26</c:f>
              <c:numCache>
                <c:formatCode>General</c:formatCode>
                <c:ptCount val="14"/>
              </c:numCache>
            </c:numRef>
          </c:val>
          <c:extLst>
            <c:ext xmlns:c16="http://schemas.microsoft.com/office/drawing/2014/chart" uri="{C3380CC4-5D6E-409C-BE32-E72D297353CC}">
              <c16:uniqueId val="{00000003-7C77-4304-BCAB-F7B22B122D40}"/>
            </c:ext>
          </c:extLst>
        </c:ser>
        <c:ser>
          <c:idx val="4"/>
          <c:order val="4"/>
          <c:tx>
            <c:strRef>
              <c:f>'Annual Energy Data'!$EH$7</c:f>
              <c:strCache>
                <c:ptCount val="1"/>
                <c:pt idx="0">
                  <c:v>% Renew VEC EV and EVT CCHP Load Forecast</c:v>
                </c:pt>
              </c:strCache>
            </c:strRef>
          </c:tx>
          <c:spPr>
            <a:solidFill>
              <a:srgbClr val="FF0000"/>
            </a:solidFill>
            <a:ln w="12700">
              <a:solidFill>
                <a:srgbClr val="000000"/>
              </a:solidFill>
              <a:prstDash val="solid"/>
            </a:ln>
          </c:spPr>
          <c:invertIfNegative val="0"/>
          <c:cat>
            <c:numRef>
              <c:f>'Annual Energy Data'!$A$13:$A$26</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'Annual Energy Data'!$EH$13:$EH$26</c:f>
              <c:numCache>
                <c:formatCode>General</c:formatCode>
                <c:ptCount val="14"/>
                <c:pt idx="11" formatCode="0.0%">
                  <c:v>0</c:v>
                </c:pt>
                <c:pt idx="12" formatCode="0.0%">
                  <c:v>0</c:v>
                </c:pt>
                <c:pt idx="13" formatCode="0.0%">
                  <c:v>0</c:v>
                </c:pt>
              </c:numCache>
            </c:numRef>
          </c:val>
          <c:extLst>
            <c:ext xmlns:c16="http://schemas.microsoft.com/office/drawing/2014/chart" uri="{C3380CC4-5D6E-409C-BE32-E72D297353CC}">
              <c16:uniqueId val="{00000004-7C77-4304-BCAB-F7B22B122D40}"/>
            </c:ext>
          </c:extLst>
        </c:ser>
        <c:dLbls>
          <c:showLegendKey val="0"/>
          <c:showVal val="0"/>
          <c:showCatName val="0"/>
          <c:showSerName val="0"/>
          <c:showPercent val="0"/>
          <c:showBubbleSize val="0"/>
        </c:dLbls>
        <c:gapWidth val="150"/>
        <c:overlap val="100"/>
        <c:axId val="-650480096"/>
        <c:axId val="-650478464"/>
      </c:barChart>
      <c:catAx>
        <c:axId val="-650480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0478464"/>
        <c:crossesAt val="-60000"/>
        <c:auto val="1"/>
        <c:lblAlgn val="ctr"/>
        <c:lblOffset val="100"/>
        <c:tickLblSkip val="1"/>
        <c:tickMarkSkip val="1"/>
        <c:noMultiLvlLbl val="0"/>
      </c:catAx>
      <c:valAx>
        <c:axId val="-6504784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t>MWh</a:t>
                </a:r>
              </a:p>
            </c:rich>
          </c:tx>
          <c:layout>
            <c:manualLayout>
              <c:xMode val="edge"/>
              <c:yMode val="edge"/>
              <c:x val="1.2208622437046854E-2"/>
              <c:y val="0.4714519334552073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0480096"/>
        <c:crosses val="autoZero"/>
        <c:crossBetween val="between"/>
      </c:valAx>
      <c:spPr>
        <a:solidFill>
          <a:srgbClr val="FFFFFF"/>
        </a:solidFill>
        <a:ln w="12700">
          <a:solidFill>
            <a:srgbClr val="808080"/>
          </a:solidFill>
          <a:prstDash val="solid"/>
        </a:ln>
      </c:spPr>
    </c:plotArea>
    <c:legend>
      <c:legendPos val="b"/>
      <c:layout>
        <c:manualLayout>
          <c:xMode val="edge"/>
          <c:yMode val="edge"/>
          <c:wMode val="edge"/>
          <c:hMode val="edge"/>
          <c:x val="0.17758050870703868"/>
          <c:y val="0.95921682020399957"/>
          <c:w val="0.91342948468075147"/>
          <c:h val="0.99510592283703536"/>
        </c:manualLayout>
      </c:layout>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Annual Load Increase Due to Tier III Programs</a:t>
            </a:r>
          </a:p>
        </c:rich>
      </c:tx>
      <c:overlay val="0"/>
    </c:title>
    <c:autoTitleDeleted val="0"/>
    <c:plotArea>
      <c:layout/>
      <c:lineChart>
        <c:grouping val="standard"/>
        <c:varyColors val="0"/>
        <c:ser>
          <c:idx val="0"/>
          <c:order val="0"/>
          <c:tx>
            <c:strRef>
              <c:f>'Tier 3 Data'!$AF$11</c:f>
              <c:strCache>
                <c:ptCount val="1"/>
                <c:pt idx="0">
                  <c:v>VELCO Forecast</c:v>
                </c:pt>
              </c:strCache>
            </c:strRef>
          </c:tx>
          <c:spPr>
            <a:ln>
              <a:solidFill>
                <a:schemeClr val="tx1"/>
              </a:solidFill>
            </a:ln>
          </c:spPr>
          <c:marker>
            <c:symbol val="none"/>
          </c:marker>
          <c:cat>
            <c:numRef>
              <c:f>'Tier 3 Data'!$AA$18:$AA$37</c:f>
              <c:numCache>
                <c:formatCode>General</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'Tier 3 Data'!$AF$18:$AF$37</c:f>
              <c:numCache>
                <c:formatCode>#,##0</c:formatCode>
                <c:ptCount val="20"/>
                <c:pt idx="0">
                  <c:v>24610.634617679712</c:v>
                </c:pt>
                <c:pt idx="1">
                  <c:v>32682.288174114026</c:v>
                </c:pt>
                <c:pt idx="2">
                  <c:v>41616.606059639336</c:v>
                </c:pt>
                <c:pt idx="3">
                  <c:v>51849.08968217628</c:v>
                </c:pt>
                <c:pt idx="4">
                  <c:v>63472.746871614348</c:v>
                </c:pt>
                <c:pt idx="5">
                  <c:v>77860.594529124806</c:v>
                </c:pt>
                <c:pt idx="6">
                  <c:v>97144.414668250305</c:v>
                </c:pt>
                <c:pt idx="7">
                  <c:v>122417.65779677349</c:v>
                </c:pt>
                <c:pt idx="8">
                  <c:v>155775.48324992924</c:v>
                </c:pt>
                <c:pt idx="9">
                  <c:v>194325.78890993242</c:v>
                </c:pt>
                <c:pt idx="10">
                  <c:v>233272.35791373224</c:v>
                </c:pt>
                <c:pt idx="11">
                  <c:v>271858.2605251593</c:v>
                </c:pt>
                <c:pt idx="12">
                  <c:v>308527.73671862524</c:v>
                </c:pt>
                <c:pt idx="13">
                  <c:v>342176.74467882339</c:v>
                </c:pt>
                <c:pt idx="14">
                  <c:v>371840.23903284752</c:v>
                </c:pt>
                <c:pt idx="15">
                  <c:v>394677.93532371765</c:v>
                </c:pt>
                <c:pt idx="16">
                  <c:v>408525.23568359495</c:v>
                </c:pt>
                <c:pt idx="17">
                  <c:v>415717.94428490126</c:v>
                </c:pt>
                <c:pt idx="18">
                  <c:v>420072.55738872098</c:v>
                </c:pt>
                <c:pt idx="19">
                  <c:v>423028.23563407222</c:v>
                </c:pt>
              </c:numCache>
            </c:numRef>
          </c:val>
          <c:smooth val="0"/>
          <c:extLst>
            <c:ext xmlns:c16="http://schemas.microsoft.com/office/drawing/2014/chart" uri="{C3380CC4-5D6E-409C-BE32-E72D297353CC}">
              <c16:uniqueId val="{00000000-B849-4A23-96B2-3AF14C99EC27}"/>
            </c:ext>
          </c:extLst>
        </c:ser>
        <c:ser>
          <c:idx val="1"/>
          <c:order val="1"/>
          <c:tx>
            <c:strRef>
              <c:f>'Tier 3 Data'!$AG$11</c:f>
              <c:strCache>
                <c:ptCount val="1"/>
                <c:pt idx="0">
                  <c:v>Climate Action Plan Forecast</c:v>
                </c:pt>
              </c:strCache>
            </c:strRef>
          </c:tx>
          <c:spPr>
            <a:ln>
              <a:solidFill>
                <a:schemeClr val="tx1"/>
              </a:solidFill>
              <a:prstDash val="dash"/>
            </a:ln>
          </c:spPr>
          <c:marker>
            <c:symbol val="none"/>
          </c:marker>
          <c:cat>
            <c:numRef>
              <c:f>'Tier 3 Data'!$AA$18:$AA$37</c:f>
              <c:numCache>
                <c:formatCode>General</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'Tier 3 Data'!$AG$18:$AG$37</c:f>
              <c:numCache>
                <c:formatCode>#,##0</c:formatCode>
                <c:ptCount val="20"/>
                <c:pt idx="0">
                  <c:v>26459.8554968231</c:v>
                </c:pt>
                <c:pt idx="1">
                  <c:v>34737.554800464131</c:v>
                </c:pt>
                <c:pt idx="2">
                  <c:v>43495.41105368032</c:v>
                </c:pt>
                <c:pt idx="3">
                  <c:v>53297.476115602738</c:v>
                </c:pt>
                <c:pt idx="4">
                  <c:v>64196.977790981218</c:v>
                </c:pt>
                <c:pt idx="5">
                  <c:v>76589.788736806368</c:v>
                </c:pt>
                <c:pt idx="6">
                  <c:v>91005.763829283824</c:v>
                </c:pt>
                <c:pt idx="7">
                  <c:v>106397.21744244391</c:v>
                </c:pt>
                <c:pt idx="8">
                  <c:v>122760.13632800187</c:v>
                </c:pt>
                <c:pt idx="9">
                  <c:v>140313.87973190629</c:v>
                </c:pt>
                <c:pt idx="10">
                  <c:v>158498.49946289416</c:v>
                </c:pt>
                <c:pt idx="11">
                  <c:v>177253.19551063425</c:v>
                </c:pt>
                <c:pt idx="12">
                  <c:v>196064.39677137215</c:v>
                </c:pt>
                <c:pt idx="13">
                  <c:v>214809.37293487575</c:v>
                </c:pt>
                <c:pt idx="14">
                  <c:v>233580.31791292215</c:v>
                </c:pt>
                <c:pt idx="15">
                  <c:v>251674.05833838246</c:v>
                </c:pt>
                <c:pt idx="16">
                  <c:v>268706.49025240331</c:v>
                </c:pt>
                <c:pt idx="17">
                  <c:v>283693.70429160533</c:v>
                </c:pt>
                <c:pt idx="18">
                  <c:v>296435.63367750112</c:v>
                </c:pt>
                <c:pt idx="19">
                  <c:v>308040.39633821533</c:v>
                </c:pt>
              </c:numCache>
            </c:numRef>
          </c:val>
          <c:smooth val="0"/>
          <c:extLst>
            <c:ext xmlns:c16="http://schemas.microsoft.com/office/drawing/2014/chart" uri="{C3380CC4-5D6E-409C-BE32-E72D297353CC}">
              <c16:uniqueId val="{00000001-B849-4A23-96B2-3AF14C99EC27}"/>
            </c:ext>
          </c:extLst>
        </c:ser>
        <c:ser>
          <c:idx val="2"/>
          <c:order val="2"/>
          <c:tx>
            <c:strRef>
              <c:f>'Tier 3 Data'!$AH$11</c:f>
              <c:strCache>
                <c:ptCount val="1"/>
                <c:pt idx="0">
                  <c:v>VEC Forecast</c:v>
                </c:pt>
              </c:strCache>
            </c:strRef>
          </c:tx>
          <c:spPr>
            <a:ln>
              <a:solidFill>
                <a:schemeClr val="tx1"/>
              </a:solidFill>
              <a:prstDash val="sysDash"/>
            </a:ln>
          </c:spPr>
          <c:marker>
            <c:symbol val="none"/>
          </c:marker>
          <c:cat>
            <c:numRef>
              <c:f>'Tier 3 Data'!$AA$18:$AA$37</c:f>
              <c:numCache>
                <c:formatCode>General</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'Tier 3 Data'!$AH$18:$AH$37</c:f>
              <c:numCache>
                <c:formatCode>#,##0</c:formatCode>
                <c:ptCount val="20"/>
                <c:pt idx="0">
                  <c:v>11053.372425934369</c:v>
                </c:pt>
                <c:pt idx="1">
                  <c:v>14649.544227819628</c:v>
                </c:pt>
                <c:pt idx="2">
                  <c:v>19196.595759341399</c:v>
                </c:pt>
                <c:pt idx="3">
                  <c:v>25131.235655754819</c:v>
                </c:pt>
                <c:pt idx="4">
                  <c:v>33012.139641841786</c:v>
                </c:pt>
                <c:pt idx="5">
                  <c:v>43812.104896539626</c:v>
                </c:pt>
                <c:pt idx="6">
                  <c:v>59108.013824825241</c:v>
                </c:pt>
                <c:pt idx="7">
                  <c:v>80887.373705046091</c:v>
                </c:pt>
                <c:pt idx="8">
                  <c:v>110661.21686078755</c:v>
                </c:pt>
                <c:pt idx="9">
                  <c:v>144962.76319370707</c:v>
                </c:pt>
                <c:pt idx="10">
                  <c:v>179588.88498420821</c:v>
                </c:pt>
                <c:pt idx="11">
                  <c:v>213819.69133220657</c:v>
                </c:pt>
                <c:pt idx="12">
                  <c:v>246628.50836007885</c:v>
                </c:pt>
                <c:pt idx="13">
                  <c:v>276484.26776499738</c:v>
                </c:pt>
                <c:pt idx="14">
                  <c:v>301837.05353209766</c:v>
                </c:pt>
                <c:pt idx="15">
                  <c:v>320505.24336900155</c:v>
                </c:pt>
                <c:pt idx="16">
                  <c:v>330665.44101721753</c:v>
                </c:pt>
                <c:pt idx="17">
                  <c:v>335589.99818894733</c:v>
                </c:pt>
                <c:pt idx="18">
                  <c:v>339288.79290546122</c:v>
                </c:pt>
                <c:pt idx="19">
                  <c:v>342078.23479401879</c:v>
                </c:pt>
              </c:numCache>
            </c:numRef>
          </c:val>
          <c:smooth val="0"/>
          <c:extLst>
            <c:ext xmlns:c16="http://schemas.microsoft.com/office/drawing/2014/chart" uri="{C3380CC4-5D6E-409C-BE32-E72D297353CC}">
              <c16:uniqueId val="{00000002-B849-4A23-96B2-3AF14C99EC27}"/>
            </c:ext>
          </c:extLst>
        </c:ser>
        <c:dLbls>
          <c:showLegendKey val="0"/>
          <c:showVal val="0"/>
          <c:showCatName val="0"/>
          <c:showSerName val="0"/>
          <c:showPercent val="0"/>
          <c:showBubbleSize val="0"/>
        </c:dLbls>
        <c:smooth val="0"/>
        <c:axId val="-650476832"/>
        <c:axId val="-1342159088"/>
      </c:lineChart>
      <c:catAx>
        <c:axId val="-650476832"/>
        <c:scaling>
          <c:orientation val="minMax"/>
        </c:scaling>
        <c:delete val="0"/>
        <c:axPos val="b"/>
        <c:numFmt formatCode="General" sourceLinked="1"/>
        <c:majorTickMark val="out"/>
        <c:minorTickMark val="none"/>
        <c:tickLblPos val="nextTo"/>
        <c:txPr>
          <a:bodyPr/>
          <a:lstStyle/>
          <a:p>
            <a:pPr>
              <a:defRPr sz="800"/>
            </a:pPr>
            <a:endParaRPr lang="en-US"/>
          </a:p>
        </c:txPr>
        <c:crossAx val="-1342159088"/>
        <c:crosses val="autoZero"/>
        <c:auto val="1"/>
        <c:lblAlgn val="ctr"/>
        <c:lblOffset val="100"/>
        <c:noMultiLvlLbl val="0"/>
      </c:catAx>
      <c:valAx>
        <c:axId val="-1342159088"/>
        <c:scaling>
          <c:orientation val="minMax"/>
        </c:scaling>
        <c:delete val="0"/>
        <c:axPos val="l"/>
        <c:majorGridlines/>
        <c:title>
          <c:tx>
            <c:rich>
              <a:bodyPr rot="-5400000" vert="horz"/>
              <a:lstStyle/>
              <a:p>
                <a:pPr>
                  <a:defRPr sz="800"/>
                </a:pPr>
                <a:r>
                  <a:rPr lang="en-US" sz="800"/>
                  <a:t>Tier III Load Increase (MWh)</a:t>
                </a:r>
              </a:p>
            </c:rich>
          </c:tx>
          <c:overlay val="0"/>
        </c:title>
        <c:numFmt formatCode="#,##0" sourceLinked="1"/>
        <c:majorTickMark val="out"/>
        <c:minorTickMark val="none"/>
        <c:tickLblPos val="nextTo"/>
        <c:txPr>
          <a:bodyPr/>
          <a:lstStyle/>
          <a:p>
            <a:pPr>
              <a:defRPr sz="800"/>
            </a:pPr>
            <a:endParaRPr lang="en-US"/>
          </a:p>
        </c:txPr>
        <c:crossAx val="-6504768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VEC Portfolio MWh with Emissions</a:t>
            </a:r>
          </a:p>
        </c:rich>
      </c:tx>
      <c:overlay val="0"/>
    </c:title>
    <c:autoTitleDeleted val="0"/>
    <c:plotArea>
      <c:layout/>
      <c:lineChart>
        <c:grouping val="standard"/>
        <c:varyColors val="0"/>
        <c:ser>
          <c:idx val="0"/>
          <c:order val="0"/>
          <c:tx>
            <c:strRef>
              <c:f>'Annual Emissions'!$H$4</c:f>
              <c:strCache>
                <c:ptCount val="1"/>
                <c:pt idx="0">
                  <c:v>% of VEC Portfolio MWh with Emissions</c:v>
                </c:pt>
              </c:strCache>
            </c:strRef>
          </c:tx>
          <c:marker>
            <c:symbol val="none"/>
          </c:marker>
          <c:cat>
            <c:numRef>
              <c:f>'Annual Emissions'!$C$9:$C$28</c:f>
              <c:numCache>
                <c:formatCode>General</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'Annual Emissions'!$H$9:$H$28</c:f>
              <c:numCache>
                <c:formatCode>0%</c:formatCode>
                <c:ptCount val="20"/>
                <c:pt idx="0">
                  <c:v>0</c:v>
                </c:pt>
                <c:pt idx="1">
                  <c:v>0</c:v>
                </c:pt>
                <c:pt idx="2">
                  <c:v>0.20762656267817883</c:v>
                </c:pt>
                <c:pt idx="3">
                  <c:v>0.2277621787781576</c:v>
                </c:pt>
                <c:pt idx="4">
                  <c:v>0.2308831736369352</c:v>
                </c:pt>
                <c:pt idx="5">
                  <c:v>0.18085628965209397</c:v>
                </c:pt>
                <c:pt idx="6">
                  <c:v>0.19689316346573638</c:v>
                </c:pt>
                <c:pt idx="7">
                  <c:v>-0.12931786146851471</c:v>
                </c:pt>
                <c:pt idx="8">
                  <c:v>-0.13756426012772918</c:v>
                </c:pt>
                <c:pt idx="9">
                  <c:v>-0.12310231228693022</c:v>
                </c:pt>
                <c:pt idx="10">
                  <c:v>-0.11892916579492928</c:v>
                </c:pt>
                <c:pt idx="11">
                  <c:v>-0.12629926513848783</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AEAF-4843-A8DA-A900394673F9}"/>
            </c:ext>
          </c:extLst>
        </c:ser>
        <c:dLbls>
          <c:showLegendKey val="0"/>
          <c:showVal val="0"/>
          <c:showCatName val="0"/>
          <c:showSerName val="0"/>
          <c:showPercent val="0"/>
          <c:showBubbleSize val="0"/>
        </c:dLbls>
        <c:smooth val="0"/>
        <c:axId val="-1342160176"/>
        <c:axId val="-1342158544"/>
      </c:lineChart>
      <c:catAx>
        <c:axId val="-1342160176"/>
        <c:scaling>
          <c:orientation val="minMax"/>
        </c:scaling>
        <c:delete val="0"/>
        <c:axPos val="b"/>
        <c:numFmt formatCode="General" sourceLinked="1"/>
        <c:majorTickMark val="out"/>
        <c:minorTickMark val="none"/>
        <c:tickLblPos val="nextTo"/>
        <c:txPr>
          <a:bodyPr rot="5400000" vert="horz"/>
          <a:lstStyle/>
          <a:p>
            <a:pPr>
              <a:defRPr baseline="0"/>
            </a:pPr>
            <a:endParaRPr lang="en-US"/>
          </a:p>
        </c:txPr>
        <c:crossAx val="-1342158544"/>
        <c:crosses val="autoZero"/>
        <c:auto val="1"/>
        <c:lblAlgn val="ctr"/>
        <c:lblOffset val="100"/>
        <c:noMultiLvlLbl val="0"/>
      </c:catAx>
      <c:valAx>
        <c:axId val="-1342158544"/>
        <c:scaling>
          <c:orientation val="minMax"/>
        </c:scaling>
        <c:delete val="0"/>
        <c:axPos val="l"/>
        <c:majorGridlines/>
        <c:numFmt formatCode="0%" sourceLinked="1"/>
        <c:majorTickMark val="out"/>
        <c:minorTickMark val="none"/>
        <c:tickLblPos val="nextTo"/>
        <c:crossAx val="-1342160176"/>
        <c:crosses val="autoZero"/>
        <c:crossBetween val="between"/>
      </c:valAx>
    </c:plotArea>
    <c:legend>
      <c:legendPos val="b"/>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8552048772845E-2"/>
          <c:y val="7.0338680114446162E-2"/>
          <c:w val="0.91241014394877307"/>
          <c:h val="0.68997819305288199"/>
        </c:manualLayout>
      </c:layout>
      <c:barChart>
        <c:barDir val="col"/>
        <c:grouping val="stacked"/>
        <c:varyColors val="0"/>
        <c:ser>
          <c:idx val="15"/>
          <c:order val="3"/>
          <c:tx>
            <c:v>Total Renewable Resources</c:v>
          </c:tx>
          <c:spPr>
            <a:solidFill>
              <a:srgbClr val="C1D82F"/>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'Annual Energy Data'!$DT$23:$DT$50</c15:sqref>
                  </c15:fullRef>
                </c:ext>
              </c:extLst>
              <c:f>'Annual Energy Data'!$DT$26:$DT$45</c:f>
              <c:numCache>
                <c:formatCode>#,##0</c:formatCode>
                <c:ptCount val="20"/>
                <c:pt idx="0">
                  <c:v>405060.99561874371</c:v>
                </c:pt>
                <c:pt idx="1">
                  <c:v>405884.17208751471</c:v>
                </c:pt>
                <c:pt idx="2">
                  <c:v>367376.4166983937</c:v>
                </c:pt>
                <c:pt idx="3">
                  <c:v>367309.25862437306</c:v>
                </c:pt>
                <c:pt idx="4">
                  <c:v>354851.31347395747</c:v>
                </c:pt>
                <c:pt idx="5">
                  <c:v>285599.00904603378</c:v>
                </c:pt>
                <c:pt idx="6">
                  <c:v>273558.98447373224</c:v>
                </c:pt>
                <c:pt idx="7">
                  <c:v>249939.62768852315</c:v>
                </c:pt>
                <c:pt idx="8">
                  <c:v>245320.14117333136</c:v>
                </c:pt>
                <c:pt idx="9">
                  <c:v>235705.77724919331</c:v>
                </c:pt>
                <c:pt idx="10">
                  <c:v>170663.29610740574</c:v>
                </c:pt>
                <c:pt idx="11">
                  <c:v>169950.48828546391</c:v>
                </c:pt>
                <c:pt idx="12">
                  <c:v>141007.61049856333</c:v>
                </c:pt>
                <c:pt idx="13">
                  <c:v>106224.28559550404</c:v>
                </c:pt>
                <c:pt idx="14">
                  <c:v>104053.95744485893</c:v>
                </c:pt>
                <c:pt idx="15">
                  <c:v>102809.41576574702</c:v>
                </c:pt>
                <c:pt idx="16">
                  <c:v>99735.809717575699</c:v>
                </c:pt>
                <c:pt idx="17">
                  <c:v>64130.289652674401</c:v>
                </c:pt>
                <c:pt idx="18">
                  <c:v>63644.162579877564</c:v>
                </c:pt>
                <c:pt idx="19">
                  <c:v>61448.546724937536</c:v>
                </c:pt>
              </c:numCache>
            </c:numRef>
          </c:val>
          <c:extLst xmlns:c15="http://schemas.microsoft.com/office/drawing/2012/chart">
            <c:ext xmlns:c15="http://schemas.microsoft.com/office/drawing/2012/chart" uri="{02D57815-91ED-43cb-92C2-25804820EDAC}">
              <c15:categoryFilterExceptions>
                <c15:categoryFilterException>
                  <c15:sqref>'Annual Energy Data'!$DT$25</c15:sqref>
                  <c15:invertIfNegative val="0"/>
                  <c15:bubble3D val="0"/>
                </c15:categoryFilterException>
              </c15:categoryFilterExceptions>
            </c:ext>
            <c:ext xmlns:c16="http://schemas.microsoft.com/office/drawing/2014/chart" uri="{C3380CC4-5D6E-409C-BE32-E72D297353CC}">
              <c16:uniqueId val="{00000000-BBFF-4DDF-95E9-0483192E4D5D}"/>
            </c:ext>
          </c:extLst>
        </c:ser>
        <c:dLbls>
          <c:showLegendKey val="0"/>
          <c:showVal val="0"/>
          <c:showCatName val="0"/>
          <c:showSerName val="0"/>
          <c:showPercent val="0"/>
          <c:showBubbleSize val="0"/>
        </c:dLbls>
        <c:gapWidth val="150"/>
        <c:overlap val="100"/>
        <c:axId val="-1178461584"/>
        <c:axId val="-1178461040"/>
        <c:extLst/>
      </c:barChart>
      <c:lineChart>
        <c:grouping val="standard"/>
        <c:varyColors val="0"/>
        <c:ser>
          <c:idx val="17"/>
          <c:order val="0"/>
          <c:tx>
            <c:strRef>
              <c:f>'Total Sys Data - MOU I.2'!$G$5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I.2'!$G$14:$G$41</c15:sqref>
                  </c15:fullRef>
                </c:ext>
              </c:extLst>
              <c:f>'Total Sys Data - MOU I.2'!$G$17:$G$36</c:f>
              <c:numCache>
                <c:formatCode>#,##0</c:formatCode>
                <c:ptCount val="20"/>
                <c:pt idx="0">
                  <c:v>551119.24048483884</c:v>
                </c:pt>
                <c:pt idx="1">
                  <c:v>561801.20006497123</c:v>
                </c:pt>
                <c:pt idx="2">
                  <c:v>574238.09425297996</c:v>
                </c:pt>
                <c:pt idx="3">
                  <c:v>588925.42292387283</c:v>
                </c:pt>
                <c:pt idx="4">
                  <c:v>604371.2686899699</c:v>
                </c:pt>
                <c:pt idx="5">
                  <c:v>620873.47339124524</c:v>
                </c:pt>
                <c:pt idx="6">
                  <c:v>638688.24670604919</c:v>
                </c:pt>
                <c:pt idx="7">
                  <c:v>657164.28327400493</c:v>
                </c:pt>
                <c:pt idx="8">
                  <c:v>676250.96556458564</c:v>
                </c:pt>
                <c:pt idx="9">
                  <c:v>695043.4194148333</c:v>
                </c:pt>
                <c:pt idx="10">
                  <c:v>713975.43825101119</c:v>
                </c:pt>
                <c:pt idx="11">
                  <c:v>733141.30112139042</c:v>
                </c:pt>
                <c:pt idx="12">
                  <c:v>751528.19713254215</c:v>
                </c:pt>
                <c:pt idx="13">
                  <c:v>768552.28858287516</c:v>
                </c:pt>
                <c:pt idx="14">
                  <c:v>782587.65066748532</c:v>
                </c:pt>
                <c:pt idx="15">
                  <c:v>793532.27899898123</c:v>
                </c:pt>
                <c:pt idx="16">
                  <c:v>803176.88283081586</c:v>
                </c:pt>
                <c:pt idx="17">
                  <c:v>812434.2463305915</c:v>
                </c:pt>
                <c:pt idx="18">
                  <c:v>821737.4770022328</c:v>
                </c:pt>
                <c:pt idx="19">
                  <c:v>831023.28535918146</c:v>
                </c:pt>
              </c:numCache>
            </c:numRef>
          </c:val>
          <c:smooth val="0"/>
          <c:extLst>
            <c:ext xmlns:c16="http://schemas.microsoft.com/office/drawing/2014/chart" uri="{C3380CC4-5D6E-409C-BE32-E72D297353CC}">
              <c16:uniqueId val="{00000001-BBFF-4DDF-95E9-0483192E4D5D}"/>
            </c:ext>
          </c:extLst>
        </c:ser>
        <c:ser>
          <c:idx val="18"/>
          <c:order val="1"/>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I.2'!$F$14:$F$41</c15:sqref>
                  </c15:fullRef>
                </c:ext>
              </c:extLst>
              <c:f>'Total Sys Data - MOU I.2'!$F$17:$F$36</c:f>
              <c:numCache>
                <c:formatCode>#,##0</c:formatCode>
                <c:ptCount val="20"/>
                <c:pt idx="0">
                  <c:v>534404.08729551674</c:v>
                </c:pt>
                <c:pt idx="1">
                  <c:v>547481.26902155788</c:v>
                </c:pt>
                <c:pt idx="2">
                  <c:v>562334.2564463201</c:v>
                </c:pt>
                <c:pt idx="3">
                  <c:v>579139.85812221037</c:v>
                </c:pt>
                <c:pt idx="4">
                  <c:v>597537.20891604316</c:v>
                </c:pt>
                <c:pt idx="5">
                  <c:v>616126.88040439831</c:v>
                </c:pt>
                <c:pt idx="6">
                  <c:v>634675.02635726519</c:v>
                </c:pt>
                <c:pt idx="7">
                  <c:v>652630.18622720416</c:v>
                </c:pt>
                <c:pt idx="8">
                  <c:v>669823.98617135419</c:v>
                </c:pt>
                <c:pt idx="9">
                  <c:v>684634.91834434343</c:v>
                </c:pt>
                <c:pt idx="10">
                  <c:v>696152.57991366449</c:v>
                </c:pt>
                <c:pt idx="11">
                  <c:v>704881.09830864915</c:v>
                </c:pt>
                <c:pt idx="12">
                  <c:v>711330.67528154957</c:v>
                </c:pt>
                <c:pt idx="13">
                  <c:v>716120.86595409201</c:v>
                </c:pt>
                <c:pt idx="14">
                  <c:v>719620.63688443974</c:v>
                </c:pt>
                <c:pt idx="15">
                  <c:v>722223.80304426048</c:v>
                </c:pt>
                <c:pt idx="16">
                  <c:v>723086.74512119894</c:v>
                </c:pt>
                <c:pt idx="17">
                  <c:v>722234.8835808289</c:v>
                </c:pt>
                <c:pt idx="18">
                  <c:v>721107.35357227386</c:v>
                </c:pt>
                <c:pt idx="19">
                  <c:v>719961.51587993989</c:v>
                </c:pt>
              </c:numCache>
            </c:numRef>
          </c:val>
          <c:smooth val="0"/>
          <c:extLst>
            <c:ext xmlns:c16="http://schemas.microsoft.com/office/drawing/2014/chart" uri="{C3380CC4-5D6E-409C-BE32-E72D297353CC}">
              <c16:uniqueId val="{00000002-BBFF-4DDF-95E9-0483192E4D5D}"/>
            </c:ext>
          </c:extLst>
        </c:ser>
        <c:ser>
          <c:idx val="19"/>
          <c:order val="2"/>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I.2'!$H$14:$H$41</c15:sqref>
                  </c15:fullRef>
                </c:ext>
              </c:extLst>
              <c:f>'Total Sys Data - MOU I.2'!$H$17:$H$36</c:f>
              <c:numCache>
                <c:formatCode>#,##0</c:formatCode>
                <c:ptCount val="20"/>
                <c:pt idx="0">
                  <c:v>509047.36339775816</c:v>
                </c:pt>
                <c:pt idx="1">
                  <c:v>513021.74839042296</c:v>
                </c:pt>
                <c:pt idx="2">
                  <c:v>518347.88756713568</c:v>
                </c:pt>
                <c:pt idx="3">
                  <c:v>525077.80000335269</c:v>
                </c:pt>
                <c:pt idx="4">
                  <c:v>533253.6763444189</c:v>
                </c:pt>
                <c:pt idx="5">
                  <c:v>542625.64259943168</c:v>
                </c:pt>
                <c:pt idx="6">
                  <c:v>553259.15443177917</c:v>
                </c:pt>
                <c:pt idx="7">
                  <c:v>565231.52055125812</c:v>
                </c:pt>
                <c:pt idx="8">
                  <c:v>578445.00235747173</c:v>
                </c:pt>
                <c:pt idx="9">
                  <c:v>592612.44988284016</c:v>
                </c:pt>
                <c:pt idx="10">
                  <c:v>606943.02648805513</c:v>
                </c:pt>
                <c:pt idx="11">
                  <c:v>620684.50300369866</c:v>
                </c:pt>
                <c:pt idx="12">
                  <c:v>633249.93557360559</c:v>
                </c:pt>
                <c:pt idx="13">
                  <c:v>644213.49095807108</c:v>
                </c:pt>
                <c:pt idx="14">
                  <c:v>653337.7248376013</c:v>
                </c:pt>
                <c:pt idx="15">
                  <c:v>660621.06578335713</c:v>
                </c:pt>
                <c:pt idx="16">
                  <c:v>666546.80842870963</c:v>
                </c:pt>
                <c:pt idx="17">
                  <c:v>671206.74217600585</c:v>
                </c:pt>
                <c:pt idx="18">
                  <c:v>674974.23564273154</c:v>
                </c:pt>
                <c:pt idx="19">
                  <c:v>678117.52073805872</c:v>
                </c:pt>
              </c:numCache>
            </c:numRef>
          </c:val>
          <c:smooth val="0"/>
          <c:extLst>
            <c:ext xmlns:c16="http://schemas.microsoft.com/office/drawing/2014/chart" uri="{C3380CC4-5D6E-409C-BE32-E72D297353CC}">
              <c16:uniqueId val="{00000003-BBFF-4DDF-95E9-0483192E4D5D}"/>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scaling>
        <c:delete val="0"/>
        <c:axPos val="l"/>
        <c:majorGridlines>
          <c:spPr>
            <a:ln>
              <a:solidFill>
                <a:schemeClr val="bg1"/>
              </a:solidFill>
              <a:prstDash val="dash"/>
            </a:ln>
          </c:spPr>
        </c:majorGridlines>
        <c:numFmt formatCode="#,##0" sourceLinked="1"/>
        <c:majorTickMark val="out"/>
        <c:minorTickMark val="none"/>
        <c:tickLblPos val="nextTo"/>
        <c:crossAx val="-1178461584"/>
        <c:crosses val="autoZero"/>
        <c:crossBetween val="between"/>
      </c:valAx>
      <c:spPr>
        <a:noFill/>
        <a:ln w="25400">
          <a:solidFill>
            <a:schemeClr val="bg1"/>
          </a:solidFill>
        </a:ln>
      </c:spPr>
    </c:plotArea>
    <c:legend>
      <c:legendPos val="b"/>
      <c:layout>
        <c:manualLayout>
          <c:xMode val="edge"/>
          <c:yMode val="edge"/>
          <c:x val="7.7565307923470453E-2"/>
          <c:y val="0.87369334256637599"/>
          <c:w val="0.90713469957489989"/>
          <c:h val="0.11116665975618223"/>
        </c:manualLayout>
      </c:layout>
      <c:overlay val="0"/>
    </c:legend>
    <c:plotVisOnly val="1"/>
    <c:dispBlanksAs val="gap"/>
    <c:showDLblsOverMax val="0"/>
  </c:chart>
  <c:spPr>
    <a:solidFill>
      <a:srgbClr val="0082C8"/>
    </a:solidFill>
  </c:spPr>
  <c:txPr>
    <a:bodyPr/>
    <a:lstStyle/>
    <a:p>
      <a:pPr>
        <a:defRPr sz="1600" b="1">
          <a:solidFill>
            <a:schemeClr val="bg1"/>
          </a:solidFil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Base Annual Average Capacity Requirement vs Committed + Pending Resources        
2015 - 2034 </a:t>
            </a:r>
          </a:p>
        </c:rich>
      </c:tx>
      <c:layout>
        <c:manualLayout>
          <c:xMode val="edge"/>
          <c:yMode val="edge"/>
          <c:x val="0.21420647419072616"/>
          <c:y val="1.9575842708695782E-2"/>
        </c:manualLayout>
      </c:layout>
      <c:overlay val="0"/>
      <c:spPr>
        <a:noFill/>
        <a:ln w="25400">
          <a:noFill/>
        </a:ln>
      </c:spPr>
    </c:title>
    <c:autoTitleDeleted val="0"/>
    <c:plotArea>
      <c:layout>
        <c:manualLayout>
          <c:layoutTarget val="inner"/>
          <c:xMode val="edge"/>
          <c:yMode val="edge"/>
          <c:x val="9.2119866814650384E-2"/>
          <c:y val="0.1402936378466558"/>
          <c:w val="0.89678135405105441"/>
          <c:h val="0.74551386623164762"/>
        </c:manualLayout>
      </c:layout>
      <c:barChart>
        <c:barDir val="col"/>
        <c:grouping val="stacked"/>
        <c:varyColors val="0"/>
        <c:ser>
          <c:idx val="0"/>
          <c:order val="0"/>
          <c:tx>
            <c:strRef>
              <c:f>'Committted + Pending Cap Data'!$P$2</c:f>
              <c:strCache>
                <c:ptCount val="1"/>
                <c:pt idx="0">
                  <c:v>NYPA</c:v>
                </c:pt>
              </c:strCache>
            </c:strRef>
          </c:tx>
          <c:spPr>
            <a:solidFill>
              <a:srgbClr val="0070C0"/>
            </a:solidFill>
            <a:ln w="25400">
              <a:noFill/>
            </a:ln>
          </c:spPr>
          <c:invertIfNegative val="0"/>
          <c:cat>
            <c:numRef>
              <c:f>'Committted + Pending Cap Data'!$A$6:$A$25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'Committted + Pending Cap Data'!$P$6:$P$25</c:f>
              <c:numCache>
                <c:formatCode>0.000</c:formatCode>
                <c:ptCount val="20"/>
                <c:pt idx="0">
                  <c:v>5.3580000000000005</c:v>
                </c:pt>
                <c:pt idx="1">
                  <c:v>5.3580000000000005</c:v>
                </c:pt>
                <c:pt idx="2">
                  <c:v>5.3580000000000005</c:v>
                </c:pt>
                <c:pt idx="3">
                  <c:v>5.3580000000000005</c:v>
                </c:pt>
                <c:pt idx="4">
                  <c:v>5.3580000000000005</c:v>
                </c:pt>
                <c:pt idx="5">
                  <c:v>5.3580000000000005</c:v>
                </c:pt>
                <c:pt idx="6">
                  <c:v>5.3580000000000005</c:v>
                </c:pt>
                <c:pt idx="7">
                  <c:v>5.3580000000000005</c:v>
                </c:pt>
                <c:pt idx="8">
                  <c:v>5.3580000000000005</c:v>
                </c:pt>
                <c:pt idx="9">
                  <c:v>5.3580000000000005</c:v>
                </c:pt>
                <c:pt idx="10">
                  <c:v>5.3580000000000005</c:v>
                </c:pt>
                <c:pt idx="11">
                  <c:v>5.3580000000000005</c:v>
                </c:pt>
                <c:pt idx="12">
                  <c:v>5.3580000000000005</c:v>
                </c:pt>
                <c:pt idx="13">
                  <c:v>5.3580000000000005</c:v>
                </c:pt>
                <c:pt idx="14">
                  <c:v>5.3580000000000005</c:v>
                </c:pt>
                <c:pt idx="15">
                  <c:v>5.3580000000000005</c:v>
                </c:pt>
                <c:pt idx="16">
                  <c:v>5.3580000000000005</c:v>
                </c:pt>
                <c:pt idx="17">
                  <c:v>5.3580000000000005</c:v>
                </c:pt>
                <c:pt idx="18">
                  <c:v>5.3580000000000005</c:v>
                </c:pt>
                <c:pt idx="19">
                  <c:v>5.3580000000000005</c:v>
                </c:pt>
              </c:numCache>
            </c:numRef>
          </c:val>
          <c:extLst>
            <c:ext xmlns:c16="http://schemas.microsoft.com/office/drawing/2014/chart" uri="{C3380CC4-5D6E-409C-BE32-E72D297353CC}">
              <c16:uniqueId val="{00000000-85FE-46F2-AF0E-4F70AFAFF541}"/>
            </c:ext>
          </c:extLst>
        </c:ser>
        <c:ser>
          <c:idx val="1"/>
          <c:order val="1"/>
          <c:tx>
            <c:strRef>
              <c:f>'Committted + Pending Cap Data'!$Q$2</c:f>
              <c:strCache>
                <c:ptCount val="1"/>
                <c:pt idx="0">
                  <c:v>HQ</c:v>
                </c:pt>
              </c:strCache>
            </c:strRef>
          </c:tx>
          <c:spPr>
            <a:solidFill>
              <a:srgbClr val="00B0F0"/>
            </a:solidFill>
            <a:ln w="25400">
              <a:noFill/>
            </a:ln>
          </c:spPr>
          <c:invertIfNegative val="0"/>
          <c:cat>
            <c:numRef>
              <c:f>'Committted + Pending Cap Data'!$A$6:$A$25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'Committted + Pending Cap Data'!$Q$6:$Q$25</c:f>
              <c:numCache>
                <c:formatCode>0.000</c:formatCode>
                <c:ptCount val="20"/>
                <c:pt idx="0">
                  <c:v>6.1210000000000004</c:v>
                </c:pt>
                <c:pt idx="1">
                  <c:v>5.6710000000000003</c:v>
                </c:pt>
                <c:pt idx="2">
                  <c:v>5.6710000000000003</c:v>
                </c:pt>
                <c:pt idx="3">
                  <c:v>5.6710000000000003</c:v>
                </c:pt>
                <c:pt idx="4">
                  <c:v>5.6710000000000003</c:v>
                </c:pt>
                <c:pt idx="5">
                  <c:v>5.6710000000000003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85FE-46F2-AF0E-4F70AFAFF541}"/>
            </c:ext>
          </c:extLst>
        </c:ser>
        <c:ser>
          <c:idx val="2"/>
          <c:order val="2"/>
          <c:tx>
            <c:strRef>
              <c:f>'Committted + Pending Cap Data'!$R$2</c:f>
              <c:strCache>
                <c:ptCount val="1"/>
                <c:pt idx="0">
                  <c:v>VEPPI/SPEED</c:v>
                </c:pt>
              </c:strCache>
            </c:strRef>
          </c:tx>
          <c:spPr>
            <a:solidFill>
              <a:srgbClr val="00B050"/>
            </a:solidFill>
            <a:ln w="25400">
              <a:noFill/>
            </a:ln>
          </c:spPr>
          <c:invertIfNegative val="0"/>
          <c:cat>
            <c:numRef>
              <c:f>'Committted + Pending Cap Data'!$A$6:$A$25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'Committted + Pending Cap Data'!$R$6:$R$25</c:f>
              <c:numCache>
                <c:formatCode>0.000</c:formatCode>
                <c:ptCount val="20"/>
                <c:pt idx="0">
                  <c:v>5.2874221072553755</c:v>
                </c:pt>
                <c:pt idx="1">
                  <c:v>4.934285409522043</c:v>
                </c:pt>
                <c:pt idx="2">
                  <c:v>4.8428157448970426</c:v>
                </c:pt>
                <c:pt idx="3">
                  <c:v>4.331532193972043</c:v>
                </c:pt>
                <c:pt idx="4">
                  <c:v>4.0210440356553763</c:v>
                </c:pt>
                <c:pt idx="5">
                  <c:v>4.009376099555376</c:v>
                </c:pt>
                <c:pt idx="6">
                  <c:v>3.6805360549887096</c:v>
                </c:pt>
                <c:pt idx="7">
                  <c:v>4.0327197424887089</c:v>
                </c:pt>
                <c:pt idx="8">
                  <c:v>4.0327197424887089</c:v>
                </c:pt>
                <c:pt idx="9">
                  <c:v>4.0327197424887089</c:v>
                </c:pt>
                <c:pt idx="10">
                  <c:v>3.6805360549887096</c:v>
                </c:pt>
                <c:pt idx="11">
                  <c:v>3.6805360549887096</c:v>
                </c:pt>
                <c:pt idx="12">
                  <c:v>3.6805360549887096</c:v>
                </c:pt>
                <c:pt idx="13">
                  <c:v>3.6805360549887096</c:v>
                </c:pt>
                <c:pt idx="14">
                  <c:v>3.6805360549887096</c:v>
                </c:pt>
                <c:pt idx="15">
                  <c:v>3.6805360549887096</c:v>
                </c:pt>
                <c:pt idx="16">
                  <c:v>3.6805360549887096</c:v>
                </c:pt>
                <c:pt idx="17">
                  <c:v>3.6805360549887096</c:v>
                </c:pt>
                <c:pt idx="18">
                  <c:v>2.2255360549887095</c:v>
                </c:pt>
                <c:pt idx="19">
                  <c:v>2.2255360549887095</c:v>
                </c:pt>
              </c:numCache>
            </c:numRef>
          </c:val>
          <c:extLst>
            <c:ext xmlns:c16="http://schemas.microsoft.com/office/drawing/2014/chart" uri="{C3380CC4-5D6E-409C-BE32-E72D297353CC}">
              <c16:uniqueId val="{00000002-85FE-46F2-AF0E-4F70AFAFF541}"/>
            </c:ext>
          </c:extLst>
        </c:ser>
        <c:ser>
          <c:idx val="3"/>
          <c:order val="3"/>
          <c:tx>
            <c:strRef>
              <c:f>'Committted + Pending Cap Data'!$S$2</c:f>
              <c:strCache>
                <c:ptCount val="1"/>
                <c:pt idx="0">
                  <c:v>FW/KCW</c:v>
                </c:pt>
              </c:strCache>
            </c:strRef>
          </c:tx>
          <c:spPr>
            <a:solidFill>
              <a:srgbClr val="92D050"/>
            </a:solidFill>
            <a:ln w="25400">
              <a:noFill/>
            </a:ln>
          </c:spPr>
          <c:invertIfNegative val="0"/>
          <c:cat>
            <c:numRef>
              <c:f>'Committted + Pending Cap Data'!$A$6:$A$25</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'Committted + Pending Cap Data'!$S$6:$S$25</c:f>
              <c:numCache>
                <c:formatCode>0.000</c:formatCode>
                <c:ptCount val="20"/>
                <c:pt idx="0">
                  <c:v>6.0093544973544972</c:v>
                </c:pt>
                <c:pt idx="1">
                  <c:v>6.0093544973544972</c:v>
                </c:pt>
                <c:pt idx="2">
                  <c:v>6.0093544973544972</c:v>
                </c:pt>
                <c:pt idx="3">
                  <c:v>6.0093544973544972</c:v>
                </c:pt>
                <c:pt idx="4">
                  <c:v>6.0093544973544972</c:v>
                </c:pt>
                <c:pt idx="5">
                  <c:v>6.0093544973544972</c:v>
                </c:pt>
                <c:pt idx="6">
                  <c:v>5.8149100529100526</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3-85FE-46F2-AF0E-4F70AFAFF541}"/>
            </c:ext>
          </c:extLst>
        </c:ser>
        <c:ser>
          <c:idx val="4"/>
          <c:order val="4"/>
          <c:tx>
            <c:strRef>
              <c:f>'Committted + Pending Cap Data'!$T$2</c:f>
              <c:strCache>
                <c:ptCount val="1"/>
                <c:pt idx="0">
                  <c:v>NextEra - Seabrook</c:v>
                </c:pt>
              </c:strCache>
            </c:strRef>
          </c:tx>
          <c:spPr>
            <a:solidFill>
              <a:srgbClr val="FFFF00"/>
            </a:solidFill>
            <a:ln>
              <a:noFill/>
            </a:ln>
          </c:spPr>
          <c:invertIfNegative val="0"/>
          <c:val>
            <c:numRef>
              <c:f>'Committted + Pending Cap Data'!$T$6:$T$25</c:f>
              <c:numCache>
                <c:formatCode>0.000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4-85FE-46F2-AF0E-4F70AFAFF541}"/>
            </c:ext>
          </c:extLst>
        </c:ser>
        <c:ser>
          <c:idx val="5"/>
          <c:order val="5"/>
          <c:tx>
            <c:strRef>
              <c:f>'Committted + Pending Cap Data'!$U$2</c:f>
              <c:strCache>
                <c:ptCount val="1"/>
                <c:pt idx="0">
                  <c:v>Swanton</c:v>
                </c:pt>
              </c:strCache>
            </c:strRef>
          </c:tx>
          <c:spPr>
            <a:solidFill>
              <a:srgbClr val="FFC000"/>
            </a:solidFill>
          </c:spPr>
          <c:invertIfNegative val="0"/>
          <c:val>
            <c:numRef>
              <c:f>'Committted + Pending Cap Data'!$U$6:$U$25</c:f>
              <c:numCache>
                <c:formatCode>0.000</c:formatCode>
                <c:ptCount val="20"/>
                <c:pt idx="0">
                  <c:v>3.3590000000000013</c:v>
                </c:pt>
                <c:pt idx="1">
                  <c:v>3.3590000000000013</c:v>
                </c:pt>
                <c:pt idx="2">
                  <c:v>3.3590000000000013</c:v>
                </c:pt>
                <c:pt idx="3">
                  <c:v>3.3590000000000013</c:v>
                </c:pt>
                <c:pt idx="4">
                  <c:v>3.3590000000000013</c:v>
                </c:pt>
                <c:pt idx="5">
                  <c:v>3.3590000000000013</c:v>
                </c:pt>
                <c:pt idx="6">
                  <c:v>3.3590000000000013</c:v>
                </c:pt>
                <c:pt idx="7">
                  <c:v>3.3590000000000013</c:v>
                </c:pt>
                <c:pt idx="8">
                  <c:v>3.3590000000000013</c:v>
                </c:pt>
                <c:pt idx="9">
                  <c:v>3.3590000000000013</c:v>
                </c:pt>
                <c:pt idx="10">
                  <c:v>3.3590000000000013</c:v>
                </c:pt>
                <c:pt idx="11">
                  <c:v>3.3590000000000013</c:v>
                </c:pt>
                <c:pt idx="12">
                  <c:v>3.3590000000000013</c:v>
                </c:pt>
                <c:pt idx="13">
                  <c:v>3.3590000000000013</c:v>
                </c:pt>
                <c:pt idx="14">
                  <c:v>3.3590000000000013</c:v>
                </c:pt>
                <c:pt idx="15">
                  <c:v>3.3590000000000013</c:v>
                </c:pt>
                <c:pt idx="16">
                  <c:v>3.3590000000000013</c:v>
                </c:pt>
                <c:pt idx="17">
                  <c:v>0</c:v>
                </c:pt>
                <c:pt idx="18">
                  <c:v>0</c:v>
                </c:pt>
                <c:pt idx="19">
                  <c:v>0</c:v>
                </c:pt>
              </c:numCache>
            </c:numRef>
          </c:val>
          <c:extLst>
            <c:ext xmlns:c16="http://schemas.microsoft.com/office/drawing/2014/chart" uri="{C3380CC4-5D6E-409C-BE32-E72D297353CC}">
              <c16:uniqueId val="{00000005-85FE-46F2-AF0E-4F70AFAFF541}"/>
            </c:ext>
          </c:extLst>
        </c:ser>
        <c:ser>
          <c:idx val="6"/>
          <c:order val="6"/>
          <c:tx>
            <c:strRef>
              <c:f>'Committted + Pending Cap Data'!$V$2</c:f>
              <c:strCache>
                <c:ptCount val="1"/>
                <c:pt idx="0">
                  <c:v>Rock Tenn</c:v>
                </c:pt>
              </c:strCache>
            </c:strRef>
          </c:tx>
          <c:invertIfNegative val="0"/>
          <c:val>
            <c:numRef>
              <c:f>'Committted + Pending Cap Data'!$V$6:$V$25</c:f>
              <c:numCache>
                <c:formatCode>0.000</c:formatCode>
                <c:ptCount val="20"/>
                <c:pt idx="0">
                  <c:v>5.0649999999999995</c:v>
                </c:pt>
                <c:pt idx="1">
                  <c:v>5.0649999999999995</c:v>
                </c:pt>
                <c:pt idx="2">
                  <c:v>5.0649999999999995</c:v>
                </c:pt>
                <c:pt idx="3">
                  <c:v>5.0649999999999995</c:v>
                </c:pt>
                <c:pt idx="4">
                  <c:v>5.0649999999999995</c:v>
                </c:pt>
                <c:pt idx="5">
                  <c:v>5.0649999999999995</c:v>
                </c:pt>
                <c:pt idx="6">
                  <c:v>5.0649999999999995</c:v>
                </c:pt>
                <c:pt idx="7">
                  <c:v>5.0649999999999995</c:v>
                </c:pt>
                <c:pt idx="8">
                  <c:v>5.0649999999999995</c:v>
                </c:pt>
                <c:pt idx="9">
                  <c:v>5.0649999999999995</c:v>
                </c:pt>
                <c:pt idx="10">
                  <c:v>5.0649999999999995</c:v>
                </c:pt>
                <c:pt idx="11">
                  <c:v>5.0649999999999995</c:v>
                </c:pt>
                <c:pt idx="12">
                  <c:v>5.0649999999999995</c:v>
                </c:pt>
                <c:pt idx="13">
                  <c:v>5.0649999999999995</c:v>
                </c:pt>
                <c:pt idx="14">
                  <c:v>5.0649999999999995</c:v>
                </c:pt>
                <c:pt idx="15">
                  <c:v>5.0649999999999995</c:v>
                </c:pt>
                <c:pt idx="16">
                  <c:v>5.0649999999999995</c:v>
                </c:pt>
                <c:pt idx="17">
                  <c:v>5.0649999999999995</c:v>
                </c:pt>
                <c:pt idx="18">
                  <c:v>5.0649999999999995</c:v>
                </c:pt>
                <c:pt idx="19">
                  <c:v>5.0649999999999995</c:v>
                </c:pt>
              </c:numCache>
            </c:numRef>
          </c:val>
          <c:extLst>
            <c:ext xmlns:c16="http://schemas.microsoft.com/office/drawing/2014/chart" uri="{C3380CC4-5D6E-409C-BE32-E72D297353CC}">
              <c16:uniqueId val="{00000006-85FE-46F2-AF0E-4F70AFAFF541}"/>
            </c:ext>
          </c:extLst>
        </c:ser>
        <c:ser>
          <c:idx val="7"/>
          <c:order val="7"/>
          <c:tx>
            <c:strRef>
              <c:f>'Committted + Pending Cap Data'!$W$2</c:f>
              <c:strCache>
                <c:ptCount val="1"/>
                <c:pt idx="0">
                  <c:v>NextEra - 9/2013</c:v>
                </c:pt>
              </c:strCache>
            </c:strRef>
          </c:tx>
          <c:spPr>
            <a:ln>
              <a:noFill/>
            </a:ln>
          </c:spPr>
          <c:invertIfNegative val="0"/>
          <c:val>
            <c:numRef>
              <c:f>'Committted + Pending Cap Data'!$W$6:$W$25</c:f>
              <c:numCache>
                <c:formatCode>0.000</c:formatCode>
                <c:ptCount val="20"/>
                <c:pt idx="0">
                  <c:v>0</c:v>
                </c:pt>
                <c:pt idx="1">
                  <c:v>0</c:v>
                </c:pt>
                <c:pt idx="2">
                  <c:v>6.666666666666667</c:v>
                </c:pt>
                <c:pt idx="3">
                  <c:v>10</c:v>
                </c:pt>
                <c:pt idx="4">
                  <c:v>10</c:v>
                </c:pt>
                <c:pt idx="5">
                  <c:v>10</c:v>
                </c:pt>
                <c:pt idx="6">
                  <c:v>10</c:v>
                </c:pt>
                <c:pt idx="7">
                  <c:v>4.166666666666667</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85FE-46F2-AF0E-4F70AFAFF541}"/>
            </c:ext>
          </c:extLst>
        </c:ser>
        <c:ser>
          <c:idx val="8"/>
          <c:order val="8"/>
          <c:tx>
            <c:strRef>
              <c:f>'Committted + Pending Cap Data'!$X$2</c:f>
              <c:strCache>
                <c:ptCount val="1"/>
                <c:pt idx="0">
                  <c:v>Consetllation - 1/2014</c:v>
                </c:pt>
              </c:strCache>
            </c:strRef>
          </c:tx>
          <c:spPr>
            <a:ln>
              <a:noFill/>
            </a:ln>
          </c:spPr>
          <c:invertIfNegative val="0"/>
          <c:val>
            <c:numRef>
              <c:f>'Committted + Pending Cap Data'!$X$6:$X$25</c:f>
              <c:numCache>
                <c:formatCode>0.000</c:formatCode>
                <c:ptCount val="20"/>
                <c:pt idx="0">
                  <c:v>0</c:v>
                </c:pt>
                <c:pt idx="1">
                  <c:v>0</c:v>
                </c:pt>
                <c:pt idx="2">
                  <c:v>3.3333333333333335</c:v>
                </c:pt>
                <c:pt idx="3">
                  <c:v>5</c:v>
                </c:pt>
                <c:pt idx="4">
                  <c:v>5</c:v>
                </c:pt>
                <c:pt idx="5">
                  <c:v>5</c:v>
                </c:pt>
                <c:pt idx="6">
                  <c:v>5</c:v>
                </c:pt>
                <c:pt idx="7">
                  <c:v>2.0833333333333335</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8-85FE-46F2-AF0E-4F70AFAFF541}"/>
            </c:ext>
          </c:extLst>
        </c:ser>
        <c:ser>
          <c:idx val="9"/>
          <c:order val="9"/>
          <c:tx>
            <c:strRef>
              <c:f>'Committted + Pending Cap Data'!$Y$2</c:f>
              <c:strCache>
                <c:ptCount val="1"/>
                <c:pt idx="0">
                  <c:v>PSEG - 1/2014</c:v>
                </c:pt>
              </c:strCache>
            </c:strRef>
          </c:tx>
          <c:spPr>
            <a:ln>
              <a:noFill/>
            </a:ln>
          </c:spPr>
          <c:invertIfNegative val="0"/>
          <c:val>
            <c:numRef>
              <c:f>'Committted + Pending Cap Data'!$Y$6:$Y$25</c:f>
              <c:numCache>
                <c:formatCode>0.000</c:formatCode>
                <c:ptCount val="20"/>
                <c:pt idx="0">
                  <c:v>0</c:v>
                </c:pt>
                <c:pt idx="1">
                  <c:v>0</c:v>
                </c:pt>
                <c:pt idx="2">
                  <c:v>3.3333333333333335</c:v>
                </c:pt>
                <c:pt idx="3">
                  <c:v>5</c:v>
                </c:pt>
                <c:pt idx="4">
                  <c:v>2.0833333333333335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9-85FE-46F2-AF0E-4F70AFAFF541}"/>
            </c:ext>
          </c:extLst>
        </c:ser>
        <c:ser>
          <c:idx val="10"/>
          <c:order val="10"/>
          <c:tx>
            <c:strRef>
              <c:f>'Committted + Pending Cap Data'!$Z$2</c:f>
              <c:strCache>
                <c:ptCount val="1"/>
                <c:pt idx="0">
                  <c:v>Open (Excess) Position</c:v>
                </c:pt>
              </c:strCache>
            </c:strRef>
          </c:tx>
          <c:spPr>
            <a:solidFill>
              <a:srgbClr val="FF0000"/>
            </a:solidFill>
            <a:ln>
              <a:noFill/>
            </a:ln>
          </c:spPr>
          <c:invertIfNegative val="0"/>
          <c:val>
            <c:numRef>
              <c:f>'Committted + Pending Cap Data'!$Z$6:$Z$25</c:f>
              <c:numCache>
                <c:formatCode>0.000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A-85FE-46F2-AF0E-4F70AFAFF541}"/>
            </c:ext>
          </c:extLst>
        </c:ser>
        <c:dLbls>
          <c:showLegendKey val="0"/>
          <c:showVal val="0"/>
          <c:showCatName val="0"/>
          <c:showSerName val="0"/>
          <c:showPercent val="0"/>
          <c:showBubbleSize val="0"/>
        </c:dLbls>
        <c:gapWidth val="150"/>
        <c:overlap val="100"/>
        <c:axId val="-1178467568"/>
        <c:axId val="-1178464848"/>
      </c:barChart>
      <c:catAx>
        <c:axId val="-11784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78464848"/>
        <c:crosses val="autoZero"/>
        <c:auto val="1"/>
        <c:lblAlgn val="ctr"/>
        <c:lblOffset val="100"/>
        <c:tickLblSkip val="1"/>
        <c:tickMarkSkip val="1"/>
        <c:noMultiLvlLbl val="0"/>
      </c:catAx>
      <c:valAx>
        <c:axId val="-1178464848"/>
        <c:scaling>
          <c:orientation val="minMax"/>
          <c:max val="10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t>MW</a:t>
                </a:r>
              </a:p>
            </c:rich>
          </c:tx>
          <c:layout>
            <c:manualLayout>
              <c:xMode val="edge"/>
              <c:yMode val="edge"/>
              <c:x val="1.3318518518518519E-2"/>
              <c:y val="0.489396239545343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8467568"/>
        <c:crosses val="autoZero"/>
        <c:crossBetween val="between"/>
        <c:majorUnit val="10"/>
      </c:valAx>
      <c:spPr>
        <a:noFill/>
        <a:ln w="12700">
          <a:solidFill>
            <a:srgbClr val="808080"/>
          </a:solidFill>
          <a:prstDash val="solid"/>
        </a:ln>
      </c:spPr>
    </c:plotArea>
    <c:legend>
      <c:legendPos val="b"/>
      <c:layout>
        <c:manualLayout>
          <c:xMode val="edge"/>
          <c:yMode val="edge"/>
          <c:wMode val="edge"/>
          <c:hMode val="edge"/>
          <c:x val="3.3970487022455524E-2"/>
          <c:y val="0.94559583489052412"/>
          <c:w val="0.98615619714202396"/>
          <c:h val="0.99127285848679714"/>
        </c:manualLayout>
      </c:layout>
      <c:overlay val="0"/>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VEC 2015 Resources by Fuel Type</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3A2B-471A-BEF5-E696DFFF7346}"/>
              </c:ext>
            </c:extLst>
          </c:dPt>
          <c:dPt>
            <c:idx val="1"/>
            <c:bubble3D val="0"/>
            <c:extLst>
              <c:ext xmlns:c16="http://schemas.microsoft.com/office/drawing/2014/chart" uri="{C3380CC4-5D6E-409C-BE32-E72D297353CC}">
                <c16:uniqueId val="{00000001-3A2B-471A-BEF5-E696DFFF7346}"/>
              </c:ext>
            </c:extLst>
          </c:dPt>
          <c:dPt>
            <c:idx val="2"/>
            <c:bubble3D val="0"/>
            <c:extLst>
              <c:ext xmlns:c16="http://schemas.microsoft.com/office/drawing/2014/chart" uri="{C3380CC4-5D6E-409C-BE32-E72D297353CC}">
                <c16:uniqueId val="{00000002-3A2B-471A-BEF5-E696DFFF7346}"/>
              </c:ext>
            </c:extLst>
          </c:dPt>
          <c:dPt>
            <c:idx val="3"/>
            <c:bubble3D val="0"/>
            <c:extLst>
              <c:ext xmlns:c16="http://schemas.microsoft.com/office/drawing/2014/chart" uri="{C3380CC4-5D6E-409C-BE32-E72D297353CC}">
                <c16:uniqueId val="{00000003-3A2B-471A-BEF5-E696DFFF7346}"/>
              </c:ext>
            </c:extLst>
          </c:dPt>
          <c:dPt>
            <c:idx val="4"/>
            <c:bubble3D val="0"/>
            <c:extLst>
              <c:ext xmlns:c16="http://schemas.microsoft.com/office/drawing/2014/chart" uri="{C3380CC4-5D6E-409C-BE32-E72D297353CC}">
                <c16:uniqueId val="{00000004-3A2B-471A-BEF5-E696DFFF7346}"/>
              </c:ext>
            </c:extLst>
          </c:dPt>
          <c:dPt>
            <c:idx val="5"/>
            <c:bubble3D val="0"/>
            <c:extLst>
              <c:ext xmlns:c16="http://schemas.microsoft.com/office/drawing/2014/chart" uri="{C3380CC4-5D6E-409C-BE32-E72D297353CC}">
                <c16:uniqueId val="{00000005-3A2B-471A-BEF5-E696DFFF7346}"/>
              </c:ext>
            </c:extLst>
          </c:dPt>
          <c:dPt>
            <c:idx val="6"/>
            <c:bubble3D val="0"/>
            <c:extLst>
              <c:ext xmlns:c16="http://schemas.microsoft.com/office/drawing/2014/chart" uri="{C3380CC4-5D6E-409C-BE32-E72D297353CC}">
                <c16:uniqueId val="{00000006-3A2B-471A-BEF5-E696DFFF7346}"/>
              </c:ext>
            </c:extLst>
          </c:dPt>
          <c:dPt>
            <c:idx val="7"/>
            <c:bubble3D val="0"/>
            <c:spPr>
              <a:solidFill>
                <a:srgbClr val="CC6600"/>
              </a:solidFill>
            </c:spPr>
            <c:extLst>
              <c:ext xmlns:c16="http://schemas.microsoft.com/office/drawing/2014/chart" uri="{C3380CC4-5D6E-409C-BE32-E72D297353CC}">
                <c16:uniqueId val="{00000008-3A2B-471A-BEF5-E696DFFF7346}"/>
              </c:ext>
            </c:extLst>
          </c:dPt>
          <c:dPt>
            <c:idx val="8"/>
            <c:bubble3D val="0"/>
            <c:spPr>
              <a:solidFill>
                <a:srgbClr val="FFFF00"/>
              </a:solidFill>
            </c:spPr>
            <c:extLst>
              <c:ext xmlns:c16="http://schemas.microsoft.com/office/drawing/2014/chart" uri="{C3380CC4-5D6E-409C-BE32-E72D297353CC}">
                <c16:uniqueId val="{0000000A-3A2B-471A-BEF5-E696DFFF7346}"/>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Ref>
              <c:f>#REF!</c:f>
              <c:numCache>
                <c:formatCode>#,##0</c:formatCode>
                <c:ptCount val="9"/>
                <c:pt idx="0">
                  <c:v>137074.90157199232</c:v>
                </c:pt>
                <c:pt idx="1">
                  <c:v>48941.119546504298</c:v>
                </c:pt>
                <c:pt idx="2">
                  <c:v>0</c:v>
                </c:pt>
                <c:pt idx="3" formatCode="General">
                  <c:v>0</c:v>
                </c:pt>
                <c:pt idx="4" formatCode="General">
                  <c:v>0</c:v>
                </c:pt>
                <c:pt idx="5" formatCode="General">
                  <c:v>0</c:v>
                </c:pt>
                <c:pt idx="6">
                  <c:v>0</c:v>
                </c:pt>
                <c:pt idx="7">
                  <c:v>152759.42490408564</c:v>
                </c:pt>
                <c:pt idx="8">
                  <c:v>78156</c:v>
                </c:pt>
              </c:numCache>
            </c:numRef>
          </c:val>
          <c:extLst>
            <c:ext xmlns:c15="http://schemas.microsoft.com/office/drawing/2012/chart" uri="{02D57815-91ED-43cb-92C2-25804820EDAC}">
              <c15:filteredCategoryTitle>
                <c15:cat>
                  <c:strRef>
                    <c:extLst>
                      <c:ext uri="{02D57815-91ED-43cb-92C2-25804820EDAC}">
                        <c15:formulaRef>
                          <c15:sqref>#REF!</c15:sqref>
                        </c15:formulaRef>
                      </c:ext>
                    </c:extLst>
                    <c:strCache>
                      <c:ptCount val="9"/>
                      <c:pt idx="0">
                        <c:v>Large Hydro</c:v>
                      </c:pt>
                      <c:pt idx="1">
                        <c:v>Large Wind</c:v>
                      </c:pt>
                      <c:pt idx="2">
                        <c:v>Wood</c:v>
                      </c:pt>
                      <c:pt idx="3">
                        <c:v>Solar</c:v>
                      </c:pt>
                      <c:pt idx="4">
                        <c:v>Small Wind</c:v>
                      </c:pt>
                      <c:pt idx="5">
                        <c:v>Farm Methane</c:v>
                      </c:pt>
                      <c:pt idx="6">
                        <c:v>Small Hydro</c:v>
                      </c:pt>
                      <c:pt idx="7">
                        <c:v>Natural Gas</c:v>
                      </c:pt>
                      <c:pt idx="8">
                        <c:v>Nuclear</c:v>
                      </c:pt>
                    </c:strCache>
                  </c:strRef>
                </c15:cat>
              </c15:filteredCategoryTitle>
            </c:ext>
            <c:ext xmlns:c16="http://schemas.microsoft.com/office/drawing/2014/chart" uri="{C3380CC4-5D6E-409C-BE32-E72D297353CC}">
              <c16:uniqueId val="{0000000B-3A2B-471A-BEF5-E696DFFF7346}"/>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Total System Requirements vs Committed Resources</a:t>
            </a:r>
          </a:p>
          <a:p>
            <a:pPr>
              <a:defRPr sz="1200"/>
            </a:pPr>
            <a:r>
              <a:rPr lang="en-US" sz="1200"/>
              <a:t>100% Carbon</a:t>
            </a:r>
            <a:r>
              <a:rPr lang="en-US" sz="1200" baseline="0"/>
              <a:t> Free</a:t>
            </a:r>
            <a:endParaRPr lang="en-US" sz="1200"/>
          </a:p>
        </c:rich>
      </c:tx>
      <c:overlay val="0"/>
    </c:title>
    <c:autoTitleDeleted val="0"/>
    <c:plotArea>
      <c:layout>
        <c:manualLayout>
          <c:layoutTarget val="inner"/>
          <c:xMode val="edge"/>
          <c:yMode val="edge"/>
          <c:x val="7.1448552048772845E-2"/>
          <c:y val="7.0338680114446162E-2"/>
          <c:w val="0.91241014394877307"/>
          <c:h val="0.55023705360906539"/>
        </c:manualLayout>
      </c:layout>
      <c:barChart>
        <c:barDir val="col"/>
        <c:grouping val="stacked"/>
        <c:varyColors val="0"/>
        <c:ser>
          <c:idx val="1"/>
          <c:order val="1"/>
          <c:tx>
            <c:strRef>
              <c:f>'Total Sys Data - MOU I.2'!$K$5</c:f>
              <c:strCache>
                <c:ptCount val="1"/>
                <c:pt idx="0">
                  <c:v>HQUS - VEC</c:v>
                </c:pt>
              </c:strCache>
            </c:strRef>
          </c:tx>
          <c:spPr>
            <a:pattFill prst="ltDnDiag">
              <a:fgClr>
                <a:schemeClr val="accent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I.2'!$K$14:$K$41</c15:sqref>
                  </c15:fullRef>
                </c:ext>
              </c:extLst>
              <c:f>'Total Sys Data - MOU I.2'!$K$17:$K$36</c:f>
              <c:numCache>
                <c:formatCode>#,##0</c:formatCode>
                <c:ptCount val="20"/>
                <c:pt idx="0">
                  <c:v>116800</c:v>
                </c:pt>
                <c:pt idx="1">
                  <c:v>116800</c:v>
                </c:pt>
                <c:pt idx="2">
                  <c:v>117120</c:v>
                </c:pt>
                <c:pt idx="3">
                  <c:v>116800</c:v>
                </c:pt>
                <c:pt idx="4">
                  <c:v>103960.72</c:v>
                </c:pt>
                <c:pt idx="5">
                  <c:v>39974.799999999996</c:v>
                </c:pt>
                <c:pt idx="6">
                  <c:v>40084.32</c:v>
                </c:pt>
                <c:pt idx="7">
                  <c:v>39974.799999999996</c:v>
                </c:pt>
                <c:pt idx="8">
                  <c:v>39974.799999999996</c:v>
                </c:pt>
                <c:pt idx="9">
                  <c:v>39974.799999999996</c:v>
                </c:pt>
                <c:pt idx="10">
                  <c:v>40084.32</c:v>
                </c:pt>
                <c:pt idx="11">
                  <c:v>39974.799999999996</c:v>
                </c:pt>
                <c:pt idx="12">
                  <c:v>33294.079999999994</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E8D0-4D23-A9F2-CE7C7B272C4C}"/>
            </c:ext>
          </c:extLst>
        </c:ser>
        <c:ser>
          <c:idx val="2"/>
          <c:order val="2"/>
          <c:tx>
            <c:strRef>
              <c:f>'Total Sys Data - MOU I.2'!$L$5</c:f>
              <c:strCache>
                <c:ptCount val="1"/>
                <c:pt idx="0">
                  <c:v>HQ US - WEC</c:v>
                </c:pt>
              </c:strCache>
            </c:strRef>
          </c:tx>
          <c:spPr>
            <a:solidFill>
              <a:schemeClr val="accent3"/>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I.2'!$L$14:$L$41</c15:sqref>
                  </c15:fullRef>
                </c:ext>
              </c:extLst>
              <c:f>'Total Sys Data - MOU I.2'!$L$17:$L$36</c:f>
              <c:numCache>
                <c:formatCode>#,##0</c:formatCode>
                <c:ptCount val="20"/>
                <c:pt idx="0">
                  <c:v>11680</c:v>
                </c:pt>
                <c:pt idx="1">
                  <c:v>11680</c:v>
                </c:pt>
                <c:pt idx="2">
                  <c:v>11712</c:v>
                </c:pt>
                <c:pt idx="3">
                  <c:v>11680</c:v>
                </c:pt>
                <c:pt idx="4">
                  <c:v>11680</c:v>
                </c:pt>
                <c:pt idx="5">
                  <c:v>11680</c:v>
                </c:pt>
                <c:pt idx="6">
                  <c:v>11712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E8D0-4D23-A9F2-CE7C7B272C4C}"/>
            </c:ext>
          </c:extLst>
        </c:ser>
        <c:ser>
          <c:idx val="3"/>
          <c:order val="3"/>
          <c:tx>
            <c:strRef>
              <c:f>'Total Sys Data - MOU I.2'!$M$5</c:f>
              <c:strCache>
                <c:ptCount val="1"/>
                <c:pt idx="0">
                  <c:v>NYPA</c:v>
                </c:pt>
              </c:strCache>
            </c:strRef>
          </c:tx>
          <c:spPr>
            <a:pattFill prst="ltUpDiag">
              <a:fgClr>
                <a:schemeClr val="accent4"/>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I.2'!$M$14:$M$41</c15:sqref>
                  </c15:fullRef>
                </c:ext>
              </c:extLst>
              <c:f>'Total Sys Data - MOU I.2'!$M$17:$M$36</c:f>
              <c:numCache>
                <c:formatCode>#,##0</c:formatCode>
                <c:ptCount val="20"/>
                <c:pt idx="0">
                  <c:v>39082.345000000008</c:v>
                </c:pt>
                <c:pt idx="1">
                  <c:v>39082.345000000008</c:v>
                </c:pt>
                <c:pt idx="2">
                  <c:v>39082.345000000008</c:v>
                </c:pt>
                <c:pt idx="3">
                  <c:v>39082.345000000008</c:v>
                </c:pt>
                <c:pt idx="4">
                  <c:v>39082.345000000008</c:v>
                </c:pt>
                <c:pt idx="5">
                  <c:v>39082.345000000008</c:v>
                </c:pt>
                <c:pt idx="6">
                  <c:v>39082.345000000008</c:v>
                </c:pt>
                <c:pt idx="7">
                  <c:v>39082.345000000008</c:v>
                </c:pt>
                <c:pt idx="8">
                  <c:v>39082.345000000008</c:v>
                </c:pt>
                <c:pt idx="9">
                  <c:v>39082.345000000008</c:v>
                </c:pt>
                <c:pt idx="10">
                  <c:v>39082.345000000008</c:v>
                </c:pt>
                <c:pt idx="11">
                  <c:v>39082.345000000008</c:v>
                </c:pt>
                <c:pt idx="12">
                  <c:v>39082.345000000008</c:v>
                </c:pt>
                <c:pt idx="13">
                  <c:v>39082.345000000008</c:v>
                </c:pt>
                <c:pt idx="14">
                  <c:v>39082.345000000008</c:v>
                </c:pt>
                <c:pt idx="15">
                  <c:v>39082.345000000008</c:v>
                </c:pt>
                <c:pt idx="16">
                  <c:v>39082.345000000008</c:v>
                </c:pt>
                <c:pt idx="17">
                  <c:v>39082.345000000008</c:v>
                </c:pt>
                <c:pt idx="18">
                  <c:v>39082.345000000008</c:v>
                </c:pt>
                <c:pt idx="19">
                  <c:v>39082.345000000008</c:v>
                </c:pt>
              </c:numCache>
            </c:numRef>
          </c:val>
          <c:extLst>
            <c:ext xmlns:c16="http://schemas.microsoft.com/office/drawing/2014/chart" uri="{C3380CC4-5D6E-409C-BE32-E72D297353CC}">
              <c16:uniqueId val="{00000003-E8D0-4D23-A9F2-CE7C7B272C4C}"/>
            </c:ext>
          </c:extLst>
        </c:ser>
        <c:ser>
          <c:idx val="4"/>
          <c:order val="4"/>
          <c:tx>
            <c:strRef>
              <c:f>'Total Sys Data - MOU I.2'!$N$5</c:f>
              <c:strCache>
                <c:ptCount val="1"/>
                <c:pt idx="0">
                  <c:v>VEC Sys Hydro</c:v>
                </c:pt>
              </c:strCache>
            </c:strRef>
          </c:tx>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I.2'!$N$14:$N$41</c15:sqref>
                  </c15:fullRef>
                </c:ext>
              </c:extLst>
              <c:f>'Total Sys Data - MOU I.2'!$N$17:$N$36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E8D0-4D23-A9F2-CE7C7B272C4C}"/>
            </c:ext>
          </c:extLst>
        </c:ser>
        <c:ser>
          <c:idx val="5"/>
          <c:order val="5"/>
          <c:tx>
            <c:strRef>
              <c:f>'Total Sys Data - MOU I.2'!$O$5</c:f>
              <c:strCache>
                <c:ptCount val="1"/>
                <c:pt idx="0">
                  <c:v>Ryegate</c:v>
                </c:pt>
              </c:strCache>
            </c:strRef>
          </c:tx>
          <c:spPr>
            <a:solidFill>
              <a:schemeClr val="accent6"/>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I.2'!$O$14:$O$41</c15:sqref>
                  </c15:fullRef>
                </c:ext>
              </c:extLst>
              <c:f>'Total Sys Data - MOU I.2'!$O$17:$O$36</c:f>
              <c:numCache>
                <c:formatCode>#,##0</c:formatCode>
                <c:ptCount val="20"/>
                <c:pt idx="0">
                  <c:v>13626.101309630476</c:v>
                </c:pt>
                <c:pt idx="1">
                  <c:v>13626.101309630476</c:v>
                </c:pt>
                <c:pt idx="2">
                  <c:v>13626.101309630476</c:v>
                </c:pt>
                <c:pt idx="3">
                  <c:v>13626.101309630476</c:v>
                </c:pt>
                <c:pt idx="4">
                  <c:v>13626.101309630476</c:v>
                </c:pt>
                <c:pt idx="5">
                  <c:v>13626.101309630476</c:v>
                </c:pt>
                <c:pt idx="6">
                  <c:v>11347.727874750475</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E8D0-4D23-A9F2-CE7C7B272C4C}"/>
            </c:ext>
          </c:extLst>
        </c:ser>
        <c:ser>
          <c:idx val="6"/>
          <c:order val="6"/>
          <c:tx>
            <c:strRef>
              <c:f>'Total Sys Data - MOU I.2'!$P$5</c:f>
              <c:strCache>
                <c:ptCount val="1"/>
                <c:pt idx="0">
                  <c:v>KCW</c:v>
                </c:pt>
              </c:strCache>
            </c:strRef>
          </c:tx>
          <c:spPr>
            <a:pattFill prst="ltDnDiag">
              <a:fgClr>
                <a:schemeClr val="accent1"/>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I.2'!$P$14:$P$41</c15:sqref>
                  </c15:fullRef>
                </c:ext>
              </c:extLst>
              <c:f>'Total Sys Data - MOU I.2'!$P$17:$P$36</c:f>
              <c:numCache>
                <c:formatCode>#,##0</c:formatCode>
                <c:ptCount val="20"/>
                <c:pt idx="0">
                  <c:v>21326.281999999999</c:v>
                </c:pt>
                <c:pt idx="1">
                  <c:v>21326.281999999999</c:v>
                </c:pt>
                <c:pt idx="2">
                  <c:v>21326.281999999999</c:v>
                </c:pt>
                <c:pt idx="3">
                  <c:v>21326.281999999999</c:v>
                </c:pt>
                <c:pt idx="4">
                  <c:v>21326.281999999999</c:v>
                </c:pt>
                <c:pt idx="5">
                  <c:v>21326.281999999999</c:v>
                </c:pt>
                <c:pt idx="6">
                  <c:v>21326.281999999999</c:v>
                </c:pt>
                <c:pt idx="7">
                  <c:v>21326.281999999999</c:v>
                </c:pt>
                <c:pt idx="8">
                  <c:v>21326.281999999999</c:v>
                </c:pt>
                <c:pt idx="9">
                  <c:v>21326.281999999999</c:v>
                </c:pt>
                <c:pt idx="10">
                  <c:v>21326.281999999999</c:v>
                </c:pt>
                <c:pt idx="11">
                  <c:v>21188.506000000001</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E8D0-4D23-A9F2-CE7C7B272C4C}"/>
            </c:ext>
          </c:extLst>
        </c:ser>
        <c:ser>
          <c:idx val="7"/>
          <c:order val="7"/>
          <c:tx>
            <c:strRef>
              <c:f>'Total Sys Data - MOU I.2'!$Q$5</c:f>
              <c:strCache>
                <c:ptCount val="1"/>
                <c:pt idx="0">
                  <c:v>Sheffield</c:v>
                </c:pt>
              </c:strCache>
            </c:strRef>
          </c:tx>
          <c:spPr>
            <a:solidFill>
              <a:schemeClr val="accent2"/>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I.2'!$Q$14:$Q$41</c15:sqref>
                  </c15:fullRef>
                </c:ext>
              </c:extLst>
              <c:f>'Total Sys Data - MOU I.2'!$Q$17:$Q$36</c:f>
              <c:numCache>
                <c:formatCode>#,##0</c:formatCode>
                <c:ptCount val="20"/>
                <c:pt idx="0">
                  <c:v>15644.934999999998</c:v>
                </c:pt>
                <c:pt idx="1">
                  <c:v>15644.934999999998</c:v>
                </c:pt>
                <c:pt idx="2">
                  <c:v>15644.934999999998</c:v>
                </c:pt>
                <c:pt idx="3">
                  <c:v>15644.934999999998</c:v>
                </c:pt>
                <c:pt idx="4">
                  <c:v>15644.934999999998</c:v>
                </c:pt>
                <c:pt idx="5">
                  <c:v>10215.179999999998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E8D0-4D23-A9F2-CE7C7B272C4C}"/>
            </c:ext>
          </c:extLst>
        </c:ser>
        <c:ser>
          <c:idx val="8"/>
          <c:order val="8"/>
          <c:tx>
            <c:strRef>
              <c:f>'Total Sys Data - MOU I.2'!$R$5</c:f>
              <c:strCache>
                <c:ptCount val="1"/>
                <c:pt idx="0">
                  <c:v>Standard Offer</c:v>
                </c:pt>
              </c:strCache>
            </c:strRef>
          </c:tx>
          <c:spPr>
            <a:pattFill prst="ltUpDiag">
              <a:fgClr>
                <a:schemeClr val="accent3"/>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I.2'!$R$14:$R$41</c15:sqref>
                  </c15:fullRef>
                </c:ext>
              </c:extLst>
              <c:f>'Total Sys Data - MOU I.2'!$R$17:$R$36</c:f>
              <c:numCache>
                <c:formatCode>#,##0</c:formatCode>
                <c:ptCount val="20"/>
                <c:pt idx="0">
                  <c:v>24240.579198919313</c:v>
                </c:pt>
                <c:pt idx="1">
                  <c:v>24240.579198919313</c:v>
                </c:pt>
                <c:pt idx="2">
                  <c:v>24240.579198919313</c:v>
                </c:pt>
                <c:pt idx="3">
                  <c:v>24240.579198919313</c:v>
                </c:pt>
                <c:pt idx="4">
                  <c:v>23687.309625901577</c:v>
                </c:pt>
                <c:pt idx="5">
                  <c:v>22480.277331318477</c:v>
                </c:pt>
                <c:pt idx="6">
                  <c:v>22096.519032520115</c:v>
                </c:pt>
                <c:pt idx="7">
                  <c:v>21678.818987417155</c:v>
                </c:pt>
                <c:pt idx="8">
                  <c:v>21278.130860380184</c:v>
                </c:pt>
                <c:pt idx="9">
                  <c:v>21223.151654515084</c:v>
                </c:pt>
                <c:pt idx="10">
                  <c:v>20685.127510960221</c:v>
                </c:pt>
                <c:pt idx="11">
                  <c:v>20215.896379748039</c:v>
                </c:pt>
                <c:pt idx="12">
                  <c:v>19122.926704312446</c:v>
                </c:pt>
                <c:pt idx="13">
                  <c:v>17583.098078059018</c:v>
                </c:pt>
                <c:pt idx="14">
                  <c:v>15340.101627517215</c:v>
                </c:pt>
                <c:pt idx="15">
                  <c:v>14131.642055142078</c:v>
                </c:pt>
                <c:pt idx="16">
                  <c:v>12523.80282419064</c:v>
                </c:pt>
                <c:pt idx="17">
                  <c:v>11028.433631574659</c:v>
                </c:pt>
                <c:pt idx="18">
                  <c:v>10565.73237757724</c:v>
                </c:pt>
                <c:pt idx="19">
                  <c:v>9903.1627649343609</c:v>
                </c:pt>
              </c:numCache>
            </c:numRef>
          </c:val>
          <c:extLst>
            <c:ext xmlns:c16="http://schemas.microsoft.com/office/drawing/2014/chart" uri="{C3380CC4-5D6E-409C-BE32-E72D297353CC}">
              <c16:uniqueId val="{00000008-E8D0-4D23-A9F2-CE7C7B272C4C}"/>
            </c:ext>
          </c:extLst>
        </c:ser>
        <c:ser>
          <c:idx val="9"/>
          <c:order val="9"/>
          <c:tx>
            <c:strRef>
              <c:f>'Total Sys Data - MOU I.2'!$S$5</c:f>
              <c:strCache>
                <c:ptCount val="1"/>
                <c:pt idx="0">
                  <c:v>Next Era - Seabrook</c:v>
                </c:pt>
              </c:strCache>
            </c:strRef>
          </c:tx>
          <c:spPr>
            <a:solidFill>
              <a:srgbClr val="FFFF0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I.2'!$S$14:$S$41</c15:sqref>
                  </c15:fullRef>
                </c:ext>
              </c:extLst>
              <c:f>'Total Sys Data - MOU I.2'!$S$17:$S$36</c:f>
              <c:numCache>
                <c:formatCode>#,##0</c:formatCode>
                <c:ptCount val="20"/>
                <c:pt idx="0">
                  <c:v>78390</c:v>
                </c:pt>
                <c:pt idx="1">
                  <c:v>78156</c:v>
                </c:pt>
                <c:pt idx="2">
                  <c:v>85644</c:v>
                </c:pt>
                <c:pt idx="3">
                  <c:v>78390</c:v>
                </c:pt>
                <c:pt idx="4">
                  <c:v>78156</c:v>
                </c:pt>
                <c:pt idx="5">
                  <c:v>85410</c:v>
                </c:pt>
                <c:pt idx="6">
                  <c:v>78624</c:v>
                </c:pt>
                <c:pt idx="7">
                  <c:v>78156</c:v>
                </c:pt>
                <c:pt idx="8">
                  <c:v>85410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9-E8D0-4D23-A9F2-CE7C7B272C4C}"/>
            </c:ext>
          </c:extLst>
        </c:ser>
        <c:ser>
          <c:idx val="16"/>
          <c:order val="11"/>
          <c:tx>
            <c:strRef>
              <c:f>'Total Sys Data - MOU I.2'!$AD$5</c:f>
              <c:strCache>
                <c:ptCount val="1"/>
                <c:pt idx="0">
                  <c:v>Grand Isle Solar</c:v>
                </c:pt>
              </c:strCache>
            </c:strRef>
          </c:tx>
          <c:spPr>
            <a:pattFill prst="ltVert">
              <a:fgClr>
                <a:schemeClr val="tx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I.2'!$AD$14:$AD$41</c15:sqref>
                  </c15:fullRef>
                </c:ext>
              </c:extLst>
              <c:f>'Total Sys Data - MOU I.2'!$AD$17:$AD$36</c:f>
              <c:numCache>
                <c:formatCode>#,##0</c:formatCode>
                <c:ptCount val="20"/>
                <c:pt idx="0">
                  <c:v>7101.3701475857169</c:v>
                </c:pt>
                <c:pt idx="1">
                  <c:v>7065.8632968477878</c:v>
                </c:pt>
                <c:pt idx="2">
                  <c:v>7030.5339803635497</c:v>
                </c:pt>
                <c:pt idx="3">
                  <c:v>6995.3813104617311</c:v>
                </c:pt>
                <c:pt idx="4">
                  <c:v>6960.4044039094224</c:v>
                </c:pt>
                <c:pt idx="5">
                  <c:v>6925.6023818898757</c:v>
                </c:pt>
                <c:pt idx="6">
                  <c:v>6890.9743699804267</c:v>
                </c:pt>
                <c:pt idx="7">
                  <c:v>6856.519498130524</c:v>
                </c:pt>
                <c:pt idx="8">
                  <c:v>6822.2369006398712</c:v>
                </c:pt>
                <c:pt idx="9">
                  <c:v>6788.1257161366721</c:v>
                </c:pt>
                <c:pt idx="10">
                  <c:v>6754.1850875559885</c:v>
                </c:pt>
                <c:pt idx="11">
                  <c:v>6720.4141621182089</c:v>
                </c:pt>
                <c:pt idx="12">
                  <c:v>6686.8120913076173</c:v>
                </c:pt>
                <c:pt idx="13">
                  <c:v>6653.3780308510795</c:v>
                </c:pt>
                <c:pt idx="14">
                  <c:v>6620.1111406968239</c:v>
                </c:pt>
                <c:pt idx="15">
                  <c:v>6587.0105849933398</c:v>
                </c:pt>
                <c:pt idx="16">
                  <c:v>6554.0755320683729</c:v>
                </c:pt>
                <c:pt idx="17">
                  <c:v>0</c:v>
                </c:pt>
                <c:pt idx="18">
                  <c:v>0</c:v>
                </c:pt>
                <c:pt idx="19">
                  <c:v>0</c:v>
                </c:pt>
              </c:numCache>
            </c:numRef>
          </c:val>
          <c:extLst>
            <c:ext xmlns:c16="http://schemas.microsoft.com/office/drawing/2014/chart" uri="{C3380CC4-5D6E-409C-BE32-E72D297353CC}">
              <c16:uniqueId val="{0000000C-E8D0-4D23-A9F2-CE7C7B272C4C}"/>
            </c:ext>
          </c:extLst>
        </c:ser>
        <c:ser>
          <c:idx val="20"/>
          <c:order val="15"/>
          <c:tx>
            <c:strRef>
              <c:f>'Total Sys Data - MOU I.2'!$AB$5</c:f>
              <c:strCache>
                <c:ptCount val="1"/>
                <c:pt idx="0">
                  <c:v>Alburgh Solar</c:v>
                </c:pt>
              </c:strCache>
            </c:strRef>
          </c:tx>
          <c:spPr>
            <a:solidFill>
              <a:srgbClr val="FF000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I.2'!$AB$14:$AB$41</c15:sqref>
                  </c15:fullRef>
                </c:ext>
              </c:extLst>
              <c:f>'Total Sys Data - MOU I.2'!$AB$17:$AB$36</c:f>
              <c:numCache>
                <c:formatCode>#,##0</c:formatCode>
                <c:ptCount val="20"/>
                <c:pt idx="0">
                  <c:v>1502.096929133334</c:v>
                </c:pt>
                <c:pt idx="1">
                  <c:v>1494.5864444876672</c:v>
                </c:pt>
                <c:pt idx="2">
                  <c:v>1487.1135122652292</c:v>
                </c:pt>
                <c:pt idx="3">
                  <c:v>1479.6779447039028</c:v>
                </c:pt>
                <c:pt idx="4">
                  <c:v>1472.2795549803836</c:v>
                </c:pt>
                <c:pt idx="5">
                  <c:v>1464.9181572054813</c:v>
                </c:pt>
                <c:pt idx="6">
                  <c:v>1457.5935664194537</c:v>
                </c:pt>
                <c:pt idx="7">
                  <c:v>1450.3055985873568</c:v>
                </c:pt>
                <c:pt idx="8">
                  <c:v>1443.0540705944197</c:v>
                </c:pt>
                <c:pt idx="9">
                  <c:v>1435.8388002414474</c:v>
                </c:pt>
                <c:pt idx="10">
                  <c:v>1428.6596062402407</c:v>
                </c:pt>
                <c:pt idx="11">
                  <c:v>1421.5163082090392</c:v>
                </c:pt>
                <c:pt idx="12">
                  <c:v>1414.408726667994</c:v>
                </c:pt>
                <c:pt idx="13">
                  <c:v>1407.336683034654</c:v>
                </c:pt>
                <c:pt idx="14">
                  <c:v>1400.2999996194808</c:v>
                </c:pt>
                <c:pt idx="15">
                  <c:v>1393.2984996213834</c:v>
                </c:pt>
                <c:pt idx="16">
                  <c:v>0</c:v>
                </c:pt>
                <c:pt idx="17">
                  <c:v>0</c:v>
                </c:pt>
                <c:pt idx="18">
                  <c:v>0</c:v>
                </c:pt>
                <c:pt idx="19">
                  <c:v>0</c:v>
                </c:pt>
              </c:numCache>
            </c:numRef>
          </c:val>
          <c:extLst>
            <c:ext xmlns:c16="http://schemas.microsoft.com/office/drawing/2014/chart" uri="{C3380CC4-5D6E-409C-BE32-E72D297353CC}">
              <c16:uniqueId val="{0000000D-E8D0-4D23-A9F2-CE7C7B272C4C}"/>
            </c:ext>
          </c:extLst>
        </c:ser>
        <c:ser>
          <c:idx val="22"/>
          <c:order val="16"/>
          <c:tx>
            <c:strRef>
              <c:f>'Total Sys Data - MOU I.2'!$AC$5</c:f>
              <c:strCache>
                <c:ptCount val="1"/>
                <c:pt idx="0">
                  <c:v>Magee Hill Solar</c:v>
                </c:pt>
              </c:strCache>
            </c:strRef>
          </c:tx>
          <c:spPr>
            <a:solidFill>
              <a:schemeClr val="accent1">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I.2'!$AC$14:$AC$41</c15:sqref>
                  </c15:fullRef>
                </c:ext>
              </c:extLst>
              <c:f>'Total Sys Data - MOU I.2'!$AC$17:$AC$36</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E-E8D0-4D23-A9F2-CE7C7B272C4C}"/>
            </c:ext>
          </c:extLst>
        </c:ser>
        <c:ser>
          <c:idx val="21"/>
          <c:order val="17"/>
          <c:tx>
            <c:strRef>
              <c:f>'Total Sys Data - MOU I.2'!$AE$5</c:f>
              <c:strCache>
                <c:ptCount val="1"/>
                <c:pt idx="0">
                  <c:v>Jericho - Gravel Pit Solar</c:v>
                </c:pt>
              </c:strCache>
            </c:strRef>
          </c:tx>
          <c:spPr>
            <a:pattFill prst="ltVert">
              <a:fgClr>
                <a:schemeClr val="accent3">
                  <a:lumMod val="60000"/>
                  <a:lumOff val="40000"/>
                </a:schemeClr>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I.2'!$AE$14:$AE$41</c15:sqref>
                  </c15:fullRef>
                </c:ext>
              </c:extLst>
              <c:f>'Total Sys Data - MOU I.2'!$AE$17:$AE$36</c:f>
              <c:numCache>
                <c:formatCode>#,##0</c:formatCode>
                <c:ptCount val="20"/>
                <c:pt idx="0">
                  <c:v>2432.9297166518654</c:v>
                </c:pt>
                <c:pt idx="1">
                  <c:v>2420.7650680686056</c:v>
                </c:pt>
                <c:pt idx="2">
                  <c:v>2408.6612427282626</c:v>
                </c:pt>
                <c:pt idx="3">
                  <c:v>2396.6179365146213</c:v>
                </c:pt>
                <c:pt idx="4">
                  <c:v>2384.6348468320489</c:v>
                </c:pt>
                <c:pt idx="5">
                  <c:v>2372.7116725978881</c:v>
                </c:pt>
                <c:pt idx="6">
                  <c:v>2360.8481142348987</c:v>
                </c:pt>
                <c:pt idx="7">
                  <c:v>2349.0438736637238</c:v>
                </c:pt>
                <c:pt idx="8">
                  <c:v>2337.2986542954059</c:v>
                </c:pt>
                <c:pt idx="9">
                  <c:v>2325.6121610239288</c:v>
                </c:pt>
                <c:pt idx="10">
                  <c:v>2313.9841002188086</c:v>
                </c:pt>
                <c:pt idx="11">
                  <c:v>2302.4141797177153</c:v>
                </c:pt>
                <c:pt idx="12">
                  <c:v>2290.9021088191262</c:v>
                </c:pt>
                <c:pt idx="13">
                  <c:v>2279.4475982750305</c:v>
                </c:pt>
                <c:pt idx="14">
                  <c:v>2268.0503602836548</c:v>
                </c:pt>
                <c:pt idx="15">
                  <c:v>2256.7101084822366</c:v>
                </c:pt>
                <c:pt idx="16">
                  <c:v>2245.4265579398257</c:v>
                </c:pt>
                <c:pt idx="17">
                  <c:v>2234.1994251501269</c:v>
                </c:pt>
                <c:pt idx="18">
                  <c:v>2223.0284280243759</c:v>
                </c:pt>
                <c:pt idx="19">
                  <c:v>702.17573329252434</c:v>
                </c:pt>
              </c:numCache>
            </c:numRef>
          </c:val>
          <c:extLst>
            <c:ext xmlns:c16="http://schemas.microsoft.com/office/drawing/2014/chart" uri="{C3380CC4-5D6E-409C-BE32-E72D297353CC}">
              <c16:uniqueId val="{0000000F-E8D0-4D23-A9F2-CE7C7B272C4C}"/>
            </c:ext>
          </c:extLst>
        </c:ser>
        <c:ser>
          <c:idx val="23"/>
          <c:order val="18"/>
          <c:tx>
            <c:strRef>
              <c:f>'Total Sys Data - MOU I.2'!$AF$5</c:f>
              <c:strCache>
                <c:ptCount val="1"/>
                <c:pt idx="0">
                  <c:v>Jericho - Landfill Solar</c:v>
                </c:pt>
              </c:strCache>
            </c:strRef>
          </c:tx>
          <c:spPr>
            <a:pattFill prst="ltDnDiag">
              <a:fgClr>
                <a:schemeClr val="accent2">
                  <a:lumMod val="75000"/>
                </a:schemeClr>
              </a:fgClr>
              <a:bgClr>
                <a:schemeClr val="bg1"/>
              </a:bgClr>
            </a:pattFill>
            <a:ln>
              <a:solidFill>
                <a:schemeClr val="accent2">
                  <a:lumMod val="75000"/>
                </a:schemeClr>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I.2'!$AF$14:$AF$41</c15:sqref>
                  </c15:fullRef>
                </c:ext>
              </c:extLst>
              <c:f>'Total Sys Data - MOU I.2'!$AF$17:$AF$36</c:f>
              <c:numCache>
                <c:formatCode>#,##0</c:formatCode>
                <c:ptCount val="20"/>
                <c:pt idx="0">
                  <c:v>2668.9756954119125</c:v>
                </c:pt>
                <c:pt idx="1">
                  <c:v>2655.6308169348531</c:v>
                </c:pt>
                <c:pt idx="2">
                  <c:v>2642.3526628501786</c:v>
                </c:pt>
                <c:pt idx="3">
                  <c:v>2629.1408995359275</c:v>
                </c:pt>
                <c:pt idx="4">
                  <c:v>2615.9951950382488</c:v>
                </c:pt>
                <c:pt idx="5">
                  <c:v>2602.9152190630575</c:v>
                </c:pt>
                <c:pt idx="6">
                  <c:v>2589.900642967742</c:v>
                </c:pt>
                <c:pt idx="7">
                  <c:v>2576.9511397529031</c:v>
                </c:pt>
                <c:pt idx="8">
                  <c:v>2564.0663840541388</c:v>
                </c:pt>
                <c:pt idx="9">
                  <c:v>2551.246052133868</c:v>
                </c:pt>
                <c:pt idx="10">
                  <c:v>2538.4898218731983</c:v>
                </c:pt>
                <c:pt idx="11">
                  <c:v>2525.7973727638328</c:v>
                </c:pt>
                <c:pt idx="12">
                  <c:v>2513.1683859000136</c:v>
                </c:pt>
                <c:pt idx="13">
                  <c:v>2500.6025439705131</c:v>
                </c:pt>
                <c:pt idx="14">
                  <c:v>2488.0995312506611</c:v>
                </c:pt>
                <c:pt idx="15">
                  <c:v>2475.6590335944074</c:v>
                </c:pt>
                <c:pt idx="16">
                  <c:v>2463.2807384264352</c:v>
                </c:pt>
                <c:pt idx="17">
                  <c:v>2450.9643347343031</c:v>
                </c:pt>
                <c:pt idx="18">
                  <c:v>2438.7095130606317</c:v>
                </c:pt>
                <c:pt idx="19">
                  <c:v>2426.5159654953281</c:v>
                </c:pt>
              </c:numCache>
            </c:numRef>
          </c:val>
          <c:extLst>
            <c:ext xmlns:c16="http://schemas.microsoft.com/office/drawing/2014/chart" uri="{C3380CC4-5D6E-409C-BE32-E72D297353CC}">
              <c16:uniqueId val="{00000010-E8D0-4D23-A9F2-CE7C7B272C4C}"/>
            </c:ext>
          </c:extLst>
        </c:ser>
        <c:ser>
          <c:idx val="13"/>
          <c:order val="19"/>
          <c:tx>
            <c:strRef>
              <c:f>'Total Sys Data - MOU I.2'!$AA$5</c:f>
              <c:strCache>
                <c:ptCount val="1"/>
                <c:pt idx="0">
                  <c:v>Net Metering as Resource</c:v>
                </c:pt>
              </c:strCache>
            </c:strRef>
          </c:tx>
          <c:spPr>
            <a:solidFill>
              <a:srgbClr val="00B05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I.2'!$AA$14:$AA$41</c15:sqref>
                  </c15:fullRef>
                </c:ext>
              </c:extLst>
              <c:f>'Total Sys Data - MOU I.2'!$AA$17:$AA$36</c:f>
              <c:numCache>
                <c:formatCode>#,##0</c:formatCode>
                <c:ptCount val="20"/>
                <c:pt idx="0">
                  <c:v>30475.932016623898</c:v>
                </c:pt>
                <c:pt idx="1">
                  <c:v>31505.446167436185</c:v>
                </c:pt>
                <c:pt idx="2">
                  <c:v>32219.636771946232</c:v>
                </c:pt>
                <c:pt idx="3">
                  <c:v>32710.034961588553</c:v>
                </c:pt>
                <c:pt idx="4">
                  <c:v>33120.538293517544</c:v>
                </c:pt>
                <c:pt idx="5">
                  <c:v>33491.868685536669</c:v>
                </c:pt>
                <c:pt idx="6">
                  <c:v>33827.750506955665</c:v>
                </c:pt>
                <c:pt idx="7">
                  <c:v>34017.15729992697</c:v>
                </c:pt>
                <c:pt idx="8">
                  <c:v>34195.942138102735</c:v>
                </c:pt>
                <c:pt idx="9">
                  <c:v>34386.763823488109</c:v>
                </c:pt>
                <c:pt idx="10">
                  <c:v>34583.668999111367</c:v>
                </c:pt>
                <c:pt idx="11">
                  <c:v>34661.896071368363</c:v>
                </c:pt>
                <c:pt idx="12">
                  <c:v>34755.34918407513</c:v>
                </c:pt>
                <c:pt idx="13">
                  <c:v>34879.697455320158</c:v>
                </c:pt>
                <c:pt idx="14">
                  <c:v>35025.761480527464</c:v>
                </c:pt>
                <c:pt idx="15">
                  <c:v>35062.708120474766</c:v>
                </c:pt>
                <c:pt idx="16">
                  <c:v>35124.737313348589</c:v>
                </c:pt>
                <c:pt idx="17">
                  <c:v>9334.3472612153091</c:v>
                </c:pt>
                <c:pt idx="18">
                  <c:v>9334.3472612153091</c:v>
                </c:pt>
                <c:pt idx="19">
                  <c:v>9334.3472612153091</c:v>
                </c:pt>
              </c:numCache>
            </c:numRef>
          </c:val>
          <c:extLst>
            <c:ext xmlns:c16="http://schemas.microsoft.com/office/drawing/2014/chart" uri="{C3380CC4-5D6E-409C-BE32-E72D297353CC}">
              <c16:uniqueId val="{00000011-E8D0-4D23-A9F2-CE7C7B272C4C}"/>
            </c:ext>
          </c:extLst>
        </c:ser>
        <c:ser>
          <c:idx val="12"/>
          <c:order val="21"/>
          <c:tx>
            <c:strRef>
              <c:f>'Total Sys Data - MOU I.2'!$Z$5</c:f>
              <c:strCache>
                <c:ptCount val="1"/>
                <c:pt idx="0">
                  <c:v>Howard Wind</c:v>
                </c:pt>
              </c:strCache>
            </c:strRef>
          </c:tx>
          <c:spPr>
            <a:solidFill>
              <a:schemeClr val="accent4">
                <a:lumMod val="60000"/>
                <a:lumOff val="40000"/>
              </a:schemeClr>
            </a:solidFill>
            <a:ln>
              <a:solidFill>
                <a:schemeClr val="tx1"/>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I.2'!$Z$14:$Z$41</c15:sqref>
                  </c15:fullRef>
                </c:ext>
              </c:extLst>
              <c:f>'Total Sys Data - MOU I.2'!$Z$17:$Z$36</c:f>
              <c:numCache>
                <c:formatCode>#,##0</c:formatCode>
                <c:ptCount val="20"/>
                <c:pt idx="0">
                  <c:v>39560</c:v>
                </c:pt>
                <c:pt idx="1">
                  <c:v>39560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7231-4FE2-AAA3-CDC511DCECA6}"/>
            </c:ext>
          </c:extLst>
        </c:ser>
        <c:ser>
          <c:idx val="14"/>
          <c:order val="22"/>
          <c:tx>
            <c:strRef>
              <c:f>'Total Sys Data - MOU I.2'!$AG$5</c:f>
              <c:strCache>
                <c:ptCount val="1"/>
                <c:pt idx="0">
                  <c:v>Brookfield Hydro</c:v>
                </c:pt>
              </c:strCache>
            </c:strRef>
          </c:tx>
          <c:spPr>
            <a:solidFill>
              <a:schemeClr val="accent3">
                <a:lumMod val="40000"/>
                <a:lumOff val="60000"/>
              </a:schemeClr>
            </a:solidFill>
            <a:ln>
              <a:solidFill>
                <a:schemeClr val="tx1"/>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I.2'!$AG$14:$AG$41</c15:sqref>
                  </c15:fullRef>
                </c:ext>
              </c:extLst>
              <c:f>'Total Sys Data - MOU I.2'!$AG$17:$AG$36</c:f>
              <c:numCache>
                <c:formatCode>#,##0</c:formatCode>
                <c:ptCount val="20"/>
                <c:pt idx="0">
                  <c:v>64928</c:v>
                </c:pt>
                <c:pt idx="1">
                  <c:v>64800</c:v>
                </c:pt>
                <c:pt idx="2">
                  <c:v>64864</c:v>
                </c:pt>
                <c:pt idx="3">
                  <c:v>64736</c:v>
                </c:pt>
                <c:pt idx="4">
                  <c:v>64784</c:v>
                </c:pt>
                <c:pt idx="5">
                  <c:v>64784</c:v>
                </c:pt>
                <c:pt idx="6">
                  <c:v>65024</c:v>
                </c:pt>
                <c:pt idx="7">
                  <c:v>64672</c:v>
                </c:pt>
                <c:pt idx="8">
                  <c:v>64656</c:v>
                </c:pt>
                <c:pt idx="9">
                  <c:v>64736</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BE5-4628-B33F-F25CF59FE465}"/>
            </c:ext>
          </c:extLst>
        </c:ser>
        <c:ser>
          <c:idx val="15"/>
          <c:order val="23"/>
          <c:tx>
            <c:strRef>
              <c:f>'Total Sys Data - MOU I.2'!$Y$5</c:f>
              <c:strCache>
                <c:ptCount val="1"/>
                <c:pt idx="0">
                  <c:v>Newport Hydro</c:v>
                </c:pt>
              </c:strCache>
              <c:extLst xmlns:c15="http://schemas.microsoft.com/office/drawing/2012/chart"/>
            </c:strRef>
          </c:tx>
          <c:spPr>
            <a:solidFill>
              <a:schemeClr val="accent5">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I.2'!$Y$14:$Y$41</c15:sqref>
                  </c15:fullRef>
                </c:ext>
              </c:extLst>
              <c:f>'Total Sys Data - MOU I.2'!$Y$17:$Y$36</c:f>
              <c:numCache>
                <c:formatCode>#,##0</c:formatCode>
                <c:ptCount val="20"/>
                <c:pt idx="0">
                  <c:v>14251.333333333338</c:v>
                </c:pt>
                <c:pt idx="1">
                  <c:v>14251.333333333338</c:v>
                </c:pt>
                <c:pt idx="2">
                  <c:v>14251.333333333338</c:v>
                </c:pt>
                <c:pt idx="3">
                  <c:v>14251.333333333338</c:v>
                </c:pt>
                <c:pt idx="4">
                  <c:v>14251.333333333338</c:v>
                </c:pt>
                <c:pt idx="5">
                  <c:v>14251.333333333338</c:v>
                </c:pt>
                <c:pt idx="6">
                  <c:v>14251.333333333338</c:v>
                </c:pt>
                <c:pt idx="7">
                  <c:v>14251.333333333338</c:v>
                </c:pt>
                <c:pt idx="8">
                  <c:v>9807.0000000000018</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5="http://schemas.microsoft.com/office/drawing/2012/chart" uri="{02D57815-91ED-43cb-92C2-25804820EDAC}">
              <c15:categoryFilterExceptions>
                <c15:categoryFilterException>
                  <c15:sqref>'Total Sys Data - MOU I.2'!$Y$16</c15:sqref>
                  <c15:spPr xmlns:c15="http://schemas.microsoft.com/office/drawing/2012/chart">
                    <a:noFill/>
                    <a:ln>
                      <a:noFill/>
                    </a:ln>
                  </c15:spPr>
                  <c15:invertIfNegative val="0"/>
                  <c15:bubble3D val="0"/>
                </c15:categoryFilterException>
              </c15:categoryFilterExceptions>
            </c:ext>
            <c:ext xmlns:c16="http://schemas.microsoft.com/office/drawing/2014/chart" uri="{C3380CC4-5D6E-409C-BE32-E72D297353CC}">
              <c16:uniqueId val="{0000000B-E8D0-4D23-A9F2-CE7C7B272C4C}"/>
            </c:ext>
          </c:extLst>
        </c:ser>
        <c:dLbls>
          <c:showLegendKey val="0"/>
          <c:showVal val="0"/>
          <c:showCatName val="0"/>
          <c:showSerName val="0"/>
          <c:showPercent val="0"/>
          <c:showBubbleSize val="0"/>
        </c:dLbls>
        <c:gapWidth val="150"/>
        <c:overlap val="100"/>
        <c:axId val="-1178461584"/>
        <c:axId val="-1178461040"/>
        <c:extLst>
          <c:ext xmlns:c15="http://schemas.microsoft.com/office/drawing/2012/chart" uri="{02D57815-91ED-43cb-92C2-25804820EDAC}">
            <c15:filteredBarSeries>
              <c15:ser>
                <c:idx val="0"/>
                <c:order val="0"/>
                <c:tx>
                  <c:strRef>
                    <c:extLst>
                      <c:ext uri="{02D57815-91ED-43cb-92C2-25804820EDAC}">
                        <c15:formulaRef>
                          <c15:sqref>'Total Sys Data - MOU I.2'!$J$5</c15:sqref>
                        </c15:formulaRef>
                      </c:ext>
                    </c:extLst>
                    <c:strCache>
                      <c:ptCount val="1"/>
                      <c:pt idx="0">
                        <c:v>HQ 2021-2023</c:v>
                      </c:pt>
                    </c:strCache>
                  </c:strRef>
                </c:tx>
                <c:spPr>
                  <a:solidFill>
                    <a:schemeClr val="tx2"/>
                  </a:solidFill>
                  <a:ln>
                    <a:solidFill>
                      <a:sysClr val="windowText" lastClr="000000"/>
                    </a:solidFill>
                  </a:ln>
                </c:spPr>
                <c:invertIfNegative val="0"/>
                <c:cat>
                  <c:numRef>
                    <c:extLst>
                      <c:ex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uri="{02D57815-91ED-43cb-92C2-25804820EDAC}">
                        <c15:fullRef>
                          <c15:sqref>'Total Sys Data - MOU I.2'!$J$14:$J$41</c15:sqref>
                        </c15:fullRef>
                        <c15:formulaRef>
                          <c15:sqref>'Total Sys Data - MOU I.2'!$J$17:$J$36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E8D0-4D23-A9F2-CE7C7B272C4C}"/>
                  </c:ext>
                </c:extLst>
              </c15:ser>
            </c15:filteredBarSeries>
            <c15:filteredBarSeries>
              <c15:ser>
                <c:idx val="11"/>
                <c:order val="10"/>
                <c:tx>
                  <c:strRef>
                    <c:extLst xmlns:c15="http://schemas.microsoft.com/office/drawing/2012/chart">
                      <c:ext xmlns:c15="http://schemas.microsoft.com/office/drawing/2012/chart" uri="{02D57815-91ED-43cb-92C2-25804820EDAC}">
                        <c15:formulaRef>
                          <c15:sqref>'Total Sys Data - MOU I.2'!$U$5</c15:sqref>
                        </c15:formulaRef>
                      </c:ext>
                    </c:extLst>
                    <c:strCache>
                      <c:ptCount val="1"/>
                      <c:pt idx="0">
                        <c:v>Exelon</c:v>
                      </c:pt>
                    </c:strCache>
                  </c:strRef>
                </c:tx>
                <c:spPr>
                  <a:pattFill prst="ltDnDiag">
                    <a:fgClr>
                      <a:schemeClr val="accent6"/>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I.2'!$U$14:$U$41</c15:sqref>
                        </c15:fullRef>
                        <c15:formulaRef>
                          <c15:sqref>'Total Sys Data - MOU I.2'!$U$17:$U$36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A-E8D0-4D23-A9F2-CE7C7B272C4C}"/>
                  </c:ext>
                </c:extLst>
              </c15:ser>
            </c15:filteredBarSeries>
            <c15:filteredBarSeries>
              <c15:ser>
                <c:idx val="10"/>
                <c:order val="20"/>
                <c:tx>
                  <c:strRef>
                    <c:extLst xmlns:c15="http://schemas.microsoft.com/office/drawing/2012/chart">
                      <c:ext xmlns:c15="http://schemas.microsoft.com/office/drawing/2012/chart" uri="{02D57815-91ED-43cb-92C2-25804820EDAC}">
                        <c15:formulaRef>
                          <c15:sqref>'Total Sys Data - MOU I.2'!$T$5</c15:sqref>
                        </c15:formulaRef>
                      </c:ext>
                    </c:extLst>
                    <c:strCache>
                      <c:ptCount val="1"/>
                      <c:pt idx="0">
                        <c:v>NextEra 2022-2025</c:v>
                      </c:pt>
                    </c:strCache>
                  </c:strRef>
                </c:tx>
                <c:spPr>
                  <a:solidFill>
                    <a:schemeClr val="tx1"/>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I.2'!$T$14:$T$41</c15:sqref>
                        </c15:fullRef>
                        <c15:formulaRef>
                          <c15:sqref>'Total Sys Data - MOU I.2'!$T$17:$T$36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15-E8D0-4D23-A9F2-CE7C7B272C4C}"/>
                  </c:ext>
                </c:extLst>
              </c15:ser>
            </c15:filteredBarSeries>
          </c:ext>
        </c:extLst>
      </c:barChart>
      <c:lineChart>
        <c:grouping val="standard"/>
        <c:varyColors val="0"/>
        <c:ser>
          <c:idx val="17"/>
          <c:order val="12"/>
          <c:tx>
            <c:strRef>
              <c:f>'Total Sys Data - MOU I.2'!$G$5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I.2'!$G$14:$G$41</c15:sqref>
                  </c15:fullRef>
                </c:ext>
              </c:extLst>
              <c:f>'Total Sys Data - MOU I.2'!$G$17:$G$36</c:f>
              <c:numCache>
                <c:formatCode>#,##0</c:formatCode>
                <c:ptCount val="20"/>
                <c:pt idx="0">
                  <c:v>551119.24048483884</c:v>
                </c:pt>
                <c:pt idx="1">
                  <c:v>561801.20006497123</c:v>
                </c:pt>
                <c:pt idx="2">
                  <c:v>574238.09425297996</c:v>
                </c:pt>
                <c:pt idx="3">
                  <c:v>588925.42292387283</c:v>
                </c:pt>
                <c:pt idx="4">
                  <c:v>604371.2686899699</c:v>
                </c:pt>
                <c:pt idx="5">
                  <c:v>620873.47339124524</c:v>
                </c:pt>
                <c:pt idx="6">
                  <c:v>638688.24670604919</c:v>
                </c:pt>
                <c:pt idx="7">
                  <c:v>657164.28327400493</c:v>
                </c:pt>
                <c:pt idx="8">
                  <c:v>676250.96556458564</c:v>
                </c:pt>
                <c:pt idx="9">
                  <c:v>695043.4194148333</c:v>
                </c:pt>
                <c:pt idx="10">
                  <c:v>713975.43825101119</c:v>
                </c:pt>
                <c:pt idx="11">
                  <c:v>733141.30112139042</c:v>
                </c:pt>
                <c:pt idx="12">
                  <c:v>751528.19713254215</c:v>
                </c:pt>
                <c:pt idx="13">
                  <c:v>768552.28858287516</c:v>
                </c:pt>
                <c:pt idx="14">
                  <c:v>782587.65066748532</c:v>
                </c:pt>
                <c:pt idx="15">
                  <c:v>793532.27899898123</c:v>
                </c:pt>
                <c:pt idx="16">
                  <c:v>803176.88283081586</c:v>
                </c:pt>
                <c:pt idx="17">
                  <c:v>812434.2463305915</c:v>
                </c:pt>
                <c:pt idx="18">
                  <c:v>821737.4770022328</c:v>
                </c:pt>
                <c:pt idx="19">
                  <c:v>831023.28535918146</c:v>
                </c:pt>
              </c:numCache>
            </c:numRef>
          </c:val>
          <c:smooth val="0"/>
          <c:extLst>
            <c:ext xmlns:c16="http://schemas.microsoft.com/office/drawing/2014/chart" uri="{C3380CC4-5D6E-409C-BE32-E72D297353CC}">
              <c16:uniqueId val="{00000012-E8D0-4D23-A9F2-CE7C7B272C4C}"/>
            </c:ext>
          </c:extLst>
        </c:ser>
        <c:ser>
          <c:idx val="18"/>
          <c:order val="13"/>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I.2'!$F$14:$F$41</c15:sqref>
                  </c15:fullRef>
                </c:ext>
              </c:extLst>
              <c:f>'Total Sys Data - MOU I.2'!$F$17:$F$36</c:f>
              <c:numCache>
                <c:formatCode>#,##0</c:formatCode>
                <c:ptCount val="20"/>
                <c:pt idx="0">
                  <c:v>534404.08729551674</c:v>
                </c:pt>
                <c:pt idx="1">
                  <c:v>547481.26902155788</c:v>
                </c:pt>
                <c:pt idx="2">
                  <c:v>562334.2564463201</c:v>
                </c:pt>
                <c:pt idx="3">
                  <c:v>579139.85812221037</c:v>
                </c:pt>
                <c:pt idx="4">
                  <c:v>597537.20891604316</c:v>
                </c:pt>
                <c:pt idx="5">
                  <c:v>616126.88040439831</c:v>
                </c:pt>
                <c:pt idx="6">
                  <c:v>634675.02635726519</c:v>
                </c:pt>
                <c:pt idx="7">
                  <c:v>652630.18622720416</c:v>
                </c:pt>
                <c:pt idx="8">
                  <c:v>669823.98617135419</c:v>
                </c:pt>
                <c:pt idx="9">
                  <c:v>684634.91834434343</c:v>
                </c:pt>
                <c:pt idx="10">
                  <c:v>696152.57991366449</c:v>
                </c:pt>
                <c:pt idx="11">
                  <c:v>704881.09830864915</c:v>
                </c:pt>
                <c:pt idx="12">
                  <c:v>711330.67528154957</c:v>
                </c:pt>
                <c:pt idx="13">
                  <c:v>716120.86595409201</c:v>
                </c:pt>
                <c:pt idx="14">
                  <c:v>719620.63688443974</c:v>
                </c:pt>
                <c:pt idx="15">
                  <c:v>722223.80304426048</c:v>
                </c:pt>
                <c:pt idx="16">
                  <c:v>723086.74512119894</c:v>
                </c:pt>
                <c:pt idx="17">
                  <c:v>722234.8835808289</c:v>
                </c:pt>
                <c:pt idx="18">
                  <c:v>721107.35357227386</c:v>
                </c:pt>
                <c:pt idx="19">
                  <c:v>719961.51587993989</c:v>
                </c:pt>
              </c:numCache>
            </c:numRef>
          </c:val>
          <c:smooth val="0"/>
          <c:extLst>
            <c:ext xmlns:c16="http://schemas.microsoft.com/office/drawing/2014/chart" uri="{C3380CC4-5D6E-409C-BE32-E72D297353CC}">
              <c16:uniqueId val="{00000013-E8D0-4D23-A9F2-CE7C7B272C4C}"/>
            </c:ext>
          </c:extLst>
        </c:ser>
        <c:ser>
          <c:idx val="19"/>
          <c:order val="14"/>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I.2'!$H$14:$H$41</c15:sqref>
                  </c15:fullRef>
                </c:ext>
              </c:extLst>
              <c:f>'Total Sys Data - MOU I.2'!$H$17:$H$36</c:f>
              <c:numCache>
                <c:formatCode>#,##0</c:formatCode>
                <c:ptCount val="20"/>
                <c:pt idx="0">
                  <c:v>509047.36339775816</c:v>
                </c:pt>
                <c:pt idx="1">
                  <c:v>513021.74839042296</c:v>
                </c:pt>
                <c:pt idx="2">
                  <c:v>518347.88756713568</c:v>
                </c:pt>
                <c:pt idx="3">
                  <c:v>525077.80000335269</c:v>
                </c:pt>
                <c:pt idx="4">
                  <c:v>533253.6763444189</c:v>
                </c:pt>
                <c:pt idx="5">
                  <c:v>542625.64259943168</c:v>
                </c:pt>
                <c:pt idx="6">
                  <c:v>553259.15443177917</c:v>
                </c:pt>
                <c:pt idx="7">
                  <c:v>565231.52055125812</c:v>
                </c:pt>
                <c:pt idx="8">
                  <c:v>578445.00235747173</c:v>
                </c:pt>
                <c:pt idx="9">
                  <c:v>592612.44988284016</c:v>
                </c:pt>
                <c:pt idx="10">
                  <c:v>606943.02648805513</c:v>
                </c:pt>
                <c:pt idx="11">
                  <c:v>620684.50300369866</c:v>
                </c:pt>
                <c:pt idx="12">
                  <c:v>633249.93557360559</c:v>
                </c:pt>
                <c:pt idx="13">
                  <c:v>644213.49095807108</c:v>
                </c:pt>
                <c:pt idx="14">
                  <c:v>653337.7248376013</c:v>
                </c:pt>
                <c:pt idx="15">
                  <c:v>660621.06578335713</c:v>
                </c:pt>
                <c:pt idx="16">
                  <c:v>666546.80842870963</c:v>
                </c:pt>
                <c:pt idx="17">
                  <c:v>671206.74217600585</c:v>
                </c:pt>
                <c:pt idx="18">
                  <c:v>674974.23564273154</c:v>
                </c:pt>
                <c:pt idx="19">
                  <c:v>678117.52073805872</c:v>
                </c:pt>
              </c:numCache>
            </c:numRef>
          </c:val>
          <c:smooth val="0"/>
          <c:extLst>
            <c:ext xmlns:c16="http://schemas.microsoft.com/office/drawing/2014/chart" uri="{C3380CC4-5D6E-409C-BE32-E72D297353CC}">
              <c16:uniqueId val="{00000014-E8D0-4D23-A9F2-CE7C7B272C4C}"/>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scaling>
        <c:delete val="0"/>
        <c:axPos val="l"/>
        <c:majorGridlines>
          <c:spPr>
            <a:ln>
              <a:prstDash val="dash"/>
            </a:ln>
          </c:spPr>
        </c:majorGridlines>
        <c:numFmt formatCode="#,##0" sourceLinked="1"/>
        <c:majorTickMark val="out"/>
        <c:minorTickMark val="none"/>
        <c:tickLblPos val="nextTo"/>
        <c:crossAx val="-1178461584"/>
        <c:crosses val="autoZero"/>
        <c:crossBetween val="between"/>
      </c:valAx>
      <c:spPr>
        <a:noFill/>
        <a:ln w="25400">
          <a:noFill/>
        </a:ln>
      </c:spPr>
    </c:plotArea>
    <c:legend>
      <c:legendPos val="b"/>
      <c:layout>
        <c:manualLayout>
          <c:xMode val="edge"/>
          <c:yMode val="edge"/>
          <c:x val="4.1180891792603307E-2"/>
          <c:y val="0.67840903712201039"/>
          <c:w val="0.94079127997185241"/>
          <c:h val="0.30964255811892688"/>
        </c:manualLayout>
      </c:layout>
      <c:overlay val="0"/>
      <c:txPr>
        <a:bodyPr/>
        <a:lstStyle/>
        <a:p>
          <a:pPr>
            <a:defRPr baseline="0"/>
          </a:pPr>
          <a:endParaRPr lang="en-US"/>
        </a:p>
      </c:txPr>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100 % Carbon-Free</a:t>
            </a:r>
            <a:r>
              <a:rPr lang="en-US" sz="1200" baseline="0"/>
              <a:t> MWh </a:t>
            </a:r>
            <a:r>
              <a:rPr lang="en-US" sz="1200"/>
              <a:t>Requirements vs Committed Resources</a:t>
            </a:r>
          </a:p>
        </c:rich>
      </c:tx>
      <c:overlay val="0"/>
    </c:title>
    <c:autoTitleDeleted val="0"/>
    <c:plotArea>
      <c:layout>
        <c:manualLayout>
          <c:layoutTarget val="inner"/>
          <c:xMode val="edge"/>
          <c:yMode val="edge"/>
          <c:x val="8.0012516510835144E-2"/>
          <c:y val="6.7815448390853877E-2"/>
          <c:w val="0.91241014394877307"/>
          <c:h val="0.79488186538214456"/>
        </c:manualLayout>
      </c:layout>
      <c:barChart>
        <c:barDir val="col"/>
        <c:grouping val="stacked"/>
        <c:varyColors val="0"/>
        <c:ser>
          <c:idx val="15"/>
          <c:order val="3"/>
          <c:tx>
            <c:v>Total Carbon Free Resources</c:v>
          </c:tx>
          <c:spPr>
            <a:solidFill>
              <a:schemeClr val="accent3">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I.2'!$B$17:$B$20</c:f>
              <c:numCache>
                <c:formatCode>General</c:formatCode>
                <c:ptCount val="4"/>
                <c:pt idx="0">
                  <c:v>2026</c:v>
                </c:pt>
                <c:pt idx="1">
                  <c:v>2027</c:v>
                </c:pt>
                <c:pt idx="2">
                  <c:v>2028</c:v>
                </c:pt>
                <c:pt idx="3">
                  <c:v>2029</c:v>
                </c:pt>
              </c:numCache>
            </c:numRef>
          </c:cat>
          <c:val>
            <c:numRef>
              <c:extLst>
                <c:ext xmlns:c15="http://schemas.microsoft.com/office/drawing/2012/chart" uri="{02D57815-91ED-43cb-92C2-25804820EDAC}">
                  <c15:fullRef>
                    <c15:sqref>'Annual Energy Data'!$DN$23:$DN$50</c15:sqref>
                  </c15:fullRef>
                </c:ext>
              </c:extLst>
              <c:f>'Annual Energy Data'!$DN$26:$DN$29</c:f>
              <c:numCache>
                <c:formatCode>#,##0</c:formatCode>
                <c:ptCount val="4"/>
                <c:pt idx="0">
                  <c:v>483450.99561874371</c:v>
                </c:pt>
                <c:pt idx="1">
                  <c:v>484040.17208751471</c:v>
                </c:pt>
                <c:pt idx="2">
                  <c:v>453020.4166983937</c:v>
                </c:pt>
                <c:pt idx="3">
                  <c:v>445699.25862437306</c:v>
                </c:pt>
              </c:numCache>
            </c:numRef>
          </c:val>
          <c:extLst xmlns:c15="http://schemas.microsoft.com/office/drawing/2012/chart">
            <c:ext xmlns:c15="http://schemas.microsoft.com/office/drawing/2012/chart" uri="{02D57815-91ED-43cb-92C2-25804820EDAC}">
              <c15:categoryFilterExceptions>
                <c15:categoryFilterException>
                  <c15:sqref>'Annual Energy Data'!$DN$25</c15:sqref>
                  <c15:invertIfNegative val="0"/>
                  <c15:bubble3D val="0"/>
                </c15:categoryFilterException>
              </c15:categoryFilterExceptions>
            </c:ext>
            <c:ext xmlns:c16="http://schemas.microsoft.com/office/drawing/2014/chart" uri="{C3380CC4-5D6E-409C-BE32-E72D297353CC}">
              <c16:uniqueId val="{00000014-ACDB-4ABF-9B80-CD4C935644D3}"/>
            </c:ext>
          </c:extLst>
        </c:ser>
        <c:dLbls>
          <c:showLegendKey val="0"/>
          <c:showVal val="0"/>
          <c:showCatName val="0"/>
          <c:showSerName val="0"/>
          <c:showPercent val="0"/>
          <c:showBubbleSize val="0"/>
        </c:dLbls>
        <c:gapWidth val="150"/>
        <c:overlap val="100"/>
        <c:axId val="-1178461584"/>
        <c:axId val="-1178461040"/>
        <c:extLst/>
      </c:barChart>
      <c:lineChart>
        <c:grouping val="standard"/>
        <c:varyColors val="0"/>
        <c:ser>
          <c:idx val="17"/>
          <c:order val="0"/>
          <c:tx>
            <c:strRef>
              <c:f>'Total Sys Data - MOU I.2'!$G$5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I.2'!$B$14:$B$41</c15:sqref>
                  </c15:fullRef>
                </c:ext>
              </c:extLst>
              <c:f>'Total Sys Data - MOU I.2'!$B$17:$B$20</c:f>
              <c:numCache>
                <c:formatCode>General</c:formatCode>
                <c:ptCount val="4"/>
                <c:pt idx="0">
                  <c:v>2026</c:v>
                </c:pt>
                <c:pt idx="1">
                  <c:v>2027</c:v>
                </c:pt>
                <c:pt idx="2">
                  <c:v>2028</c:v>
                </c:pt>
                <c:pt idx="3">
                  <c:v>2029</c:v>
                </c:pt>
              </c:numCache>
            </c:numRef>
          </c:cat>
          <c:val>
            <c:numRef>
              <c:extLst>
                <c:ext xmlns:c15="http://schemas.microsoft.com/office/drawing/2012/chart" uri="{02D57815-91ED-43cb-92C2-25804820EDAC}">
                  <c15:fullRef>
                    <c15:sqref>'Total Sys Data - MOU I.2'!$G$14:$G$41</c15:sqref>
                  </c15:fullRef>
                </c:ext>
              </c:extLst>
              <c:f>'Total Sys Data - MOU I.2'!$G$17:$G$20</c:f>
              <c:numCache>
                <c:formatCode>#,##0</c:formatCode>
                <c:ptCount val="4"/>
                <c:pt idx="0">
                  <c:v>551119.24048483884</c:v>
                </c:pt>
                <c:pt idx="1">
                  <c:v>561801.20006497123</c:v>
                </c:pt>
                <c:pt idx="2">
                  <c:v>574238.09425297996</c:v>
                </c:pt>
                <c:pt idx="3">
                  <c:v>588925.42292387283</c:v>
                </c:pt>
              </c:numCache>
            </c:numRef>
          </c:val>
          <c:smooth val="0"/>
          <c:extLst>
            <c:ext xmlns:c16="http://schemas.microsoft.com/office/drawing/2014/chart" uri="{C3380CC4-5D6E-409C-BE32-E72D297353CC}">
              <c16:uniqueId val="{00000015-ACDB-4ABF-9B80-CD4C935644D3}"/>
            </c:ext>
          </c:extLst>
        </c:ser>
        <c:ser>
          <c:idx val="18"/>
          <c:order val="1"/>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I.2'!$B$14:$B$41</c15:sqref>
                  </c15:fullRef>
                </c:ext>
              </c:extLst>
              <c:f>'Total Sys Data - MOU I.2'!$B$17:$B$20</c:f>
              <c:numCache>
                <c:formatCode>General</c:formatCode>
                <c:ptCount val="4"/>
                <c:pt idx="0">
                  <c:v>2026</c:v>
                </c:pt>
                <c:pt idx="1">
                  <c:v>2027</c:v>
                </c:pt>
                <c:pt idx="2">
                  <c:v>2028</c:v>
                </c:pt>
                <c:pt idx="3">
                  <c:v>2029</c:v>
                </c:pt>
              </c:numCache>
            </c:numRef>
          </c:cat>
          <c:val>
            <c:numRef>
              <c:extLst>
                <c:ext xmlns:c15="http://schemas.microsoft.com/office/drawing/2012/chart" uri="{02D57815-91ED-43cb-92C2-25804820EDAC}">
                  <c15:fullRef>
                    <c15:sqref>'Total Sys Data - MOU I.2'!$F$14:$F$41</c15:sqref>
                  </c15:fullRef>
                </c:ext>
              </c:extLst>
              <c:f>'Total Sys Data - MOU I.2'!$F$17:$F$20</c:f>
              <c:numCache>
                <c:formatCode>#,##0</c:formatCode>
                <c:ptCount val="4"/>
                <c:pt idx="0">
                  <c:v>534404.08729551674</c:v>
                </c:pt>
                <c:pt idx="1">
                  <c:v>547481.26902155788</c:v>
                </c:pt>
                <c:pt idx="2">
                  <c:v>562334.2564463201</c:v>
                </c:pt>
                <c:pt idx="3">
                  <c:v>579139.85812221037</c:v>
                </c:pt>
              </c:numCache>
            </c:numRef>
          </c:val>
          <c:smooth val="0"/>
          <c:extLst>
            <c:ext xmlns:c16="http://schemas.microsoft.com/office/drawing/2014/chart" uri="{C3380CC4-5D6E-409C-BE32-E72D297353CC}">
              <c16:uniqueId val="{00000016-ACDB-4ABF-9B80-CD4C935644D3}"/>
            </c:ext>
          </c:extLst>
        </c:ser>
        <c:ser>
          <c:idx val="19"/>
          <c:order val="2"/>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I.2'!$B$14:$B$41</c15:sqref>
                  </c15:fullRef>
                </c:ext>
              </c:extLst>
              <c:f>'Total Sys Data - MOU I.2'!$B$17:$B$20</c:f>
              <c:numCache>
                <c:formatCode>General</c:formatCode>
                <c:ptCount val="4"/>
                <c:pt idx="0">
                  <c:v>2026</c:v>
                </c:pt>
                <c:pt idx="1">
                  <c:v>2027</c:v>
                </c:pt>
                <c:pt idx="2">
                  <c:v>2028</c:v>
                </c:pt>
                <c:pt idx="3">
                  <c:v>2029</c:v>
                </c:pt>
              </c:numCache>
            </c:numRef>
          </c:cat>
          <c:val>
            <c:numRef>
              <c:extLst>
                <c:ext xmlns:c15="http://schemas.microsoft.com/office/drawing/2012/chart" uri="{02D57815-91ED-43cb-92C2-25804820EDAC}">
                  <c15:fullRef>
                    <c15:sqref>'Total Sys Data - MOU I.2'!$H$14:$H$41</c15:sqref>
                  </c15:fullRef>
                </c:ext>
              </c:extLst>
              <c:f>'Total Sys Data - MOU I.2'!$H$17:$H$20</c:f>
              <c:numCache>
                <c:formatCode>#,##0</c:formatCode>
                <c:ptCount val="4"/>
                <c:pt idx="0">
                  <c:v>509047.36339775816</c:v>
                </c:pt>
                <c:pt idx="1">
                  <c:v>513021.74839042296</c:v>
                </c:pt>
                <c:pt idx="2">
                  <c:v>518347.88756713568</c:v>
                </c:pt>
                <c:pt idx="3">
                  <c:v>525077.80000335269</c:v>
                </c:pt>
              </c:numCache>
            </c:numRef>
          </c:val>
          <c:smooth val="0"/>
          <c:extLst>
            <c:ext xmlns:c16="http://schemas.microsoft.com/office/drawing/2014/chart" uri="{C3380CC4-5D6E-409C-BE32-E72D297353CC}">
              <c16:uniqueId val="{00000017-ACDB-4ABF-9B80-CD4C935644D3}"/>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max val="900000"/>
        </c:scaling>
        <c:delete val="0"/>
        <c:axPos val="l"/>
        <c:majorGridlines>
          <c:spPr>
            <a:ln>
              <a:prstDash val="dash"/>
            </a:ln>
          </c:spPr>
        </c:majorGridlines>
        <c:title>
          <c:tx>
            <c:rich>
              <a:bodyPr/>
              <a:lstStyle/>
              <a:p>
                <a:pPr>
                  <a:defRPr/>
                </a:pPr>
                <a:r>
                  <a:rPr lang="en-US"/>
                  <a:t>Annual MWh</a:t>
                </a:r>
              </a:p>
            </c:rich>
          </c:tx>
          <c:overlay val="0"/>
        </c:title>
        <c:numFmt formatCode="#,##0" sourceLinked="1"/>
        <c:majorTickMark val="out"/>
        <c:minorTickMark val="none"/>
        <c:tickLblPos val="nextTo"/>
        <c:crossAx val="-1178461584"/>
        <c:crosses val="autoZero"/>
        <c:crossBetween val="between"/>
      </c:valAx>
      <c:spPr>
        <a:noFill/>
        <a:ln w="25400">
          <a:noFill/>
        </a:ln>
      </c:spPr>
    </c:plotArea>
    <c:legend>
      <c:legendPos val="b"/>
      <c:overlay val="0"/>
      <c:txPr>
        <a:bodyPr/>
        <a:lstStyle/>
        <a:p>
          <a:pPr>
            <a:defRPr baseline="0"/>
          </a:pPr>
          <a:endParaRPr lang="en-US"/>
        </a:p>
      </c:txPr>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Total System Requirements vs Committed Resources</a:t>
            </a:r>
          </a:p>
          <a:p>
            <a:pPr>
              <a:defRPr sz="1200"/>
            </a:pPr>
            <a:r>
              <a:rPr lang="en-US" sz="1200"/>
              <a:t>100% Renewable</a:t>
            </a:r>
          </a:p>
        </c:rich>
      </c:tx>
      <c:overlay val="0"/>
    </c:title>
    <c:autoTitleDeleted val="0"/>
    <c:plotArea>
      <c:layout>
        <c:manualLayout>
          <c:layoutTarget val="inner"/>
          <c:xMode val="edge"/>
          <c:yMode val="edge"/>
          <c:x val="7.1448552048772845E-2"/>
          <c:y val="7.0338680114446162E-2"/>
          <c:w val="0.91241014394877307"/>
          <c:h val="0.55023705360906539"/>
        </c:manualLayout>
      </c:layout>
      <c:barChart>
        <c:barDir val="col"/>
        <c:grouping val="stacked"/>
        <c:varyColors val="0"/>
        <c:ser>
          <c:idx val="1"/>
          <c:order val="1"/>
          <c:tx>
            <c:strRef>
              <c:f>'Total Sys Data - MOU I.2'!$K$5</c:f>
              <c:strCache>
                <c:ptCount val="1"/>
                <c:pt idx="0">
                  <c:v>HQUS - VEC</c:v>
                </c:pt>
              </c:strCache>
            </c:strRef>
          </c:tx>
          <c:spPr>
            <a:pattFill prst="ltDnDiag">
              <a:fgClr>
                <a:schemeClr val="accent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I.2'!$K$14:$K$41</c15:sqref>
                  </c15:fullRef>
                </c:ext>
              </c:extLst>
              <c:f>'Total Sys Data - MOU I.2'!$K$17:$K$36</c:f>
              <c:numCache>
                <c:formatCode>#,##0</c:formatCode>
                <c:ptCount val="20"/>
                <c:pt idx="0">
                  <c:v>116800</c:v>
                </c:pt>
                <c:pt idx="1">
                  <c:v>116800</c:v>
                </c:pt>
                <c:pt idx="2">
                  <c:v>117120</c:v>
                </c:pt>
                <c:pt idx="3">
                  <c:v>116800</c:v>
                </c:pt>
                <c:pt idx="4">
                  <c:v>103960.72</c:v>
                </c:pt>
                <c:pt idx="5">
                  <c:v>39974.799999999996</c:v>
                </c:pt>
                <c:pt idx="6">
                  <c:v>40084.32</c:v>
                </c:pt>
                <c:pt idx="7">
                  <c:v>39974.799999999996</c:v>
                </c:pt>
                <c:pt idx="8">
                  <c:v>39974.799999999996</c:v>
                </c:pt>
                <c:pt idx="9">
                  <c:v>39974.799999999996</c:v>
                </c:pt>
                <c:pt idx="10">
                  <c:v>40084.32</c:v>
                </c:pt>
                <c:pt idx="11">
                  <c:v>39974.799999999996</c:v>
                </c:pt>
                <c:pt idx="12">
                  <c:v>33294.079999999994</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F222-4AA8-AE80-E6ABAA7C504E}"/>
            </c:ext>
          </c:extLst>
        </c:ser>
        <c:ser>
          <c:idx val="2"/>
          <c:order val="2"/>
          <c:tx>
            <c:strRef>
              <c:f>'Total Sys Data - MOU I.2'!$L$5</c:f>
              <c:strCache>
                <c:ptCount val="1"/>
                <c:pt idx="0">
                  <c:v>HQ US - WEC</c:v>
                </c:pt>
              </c:strCache>
            </c:strRef>
          </c:tx>
          <c:spPr>
            <a:solidFill>
              <a:schemeClr val="accent3"/>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I.2'!$L$14:$L$41</c15:sqref>
                  </c15:fullRef>
                </c:ext>
              </c:extLst>
              <c:f>'Total Sys Data - MOU I.2'!$L$17:$L$36</c:f>
              <c:numCache>
                <c:formatCode>#,##0</c:formatCode>
                <c:ptCount val="20"/>
                <c:pt idx="0">
                  <c:v>11680</c:v>
                </c:pt>
                <c:pt idx="1">
                  <c:v>11680</c:v>
                </c:pt>
                <c:pt idx="2">
                  <c:v>11712</c:v>
                </c:pt>
                <c:pt idx="3">
                  <c:v>11680</c:v>
                </c:pt>
                <c:pt idx="4">
                  <c:v>11680</c:v>
                </c:pt>
                <c:pt idx="5">
                  <c:v>11680</c:v>
                </c:pt>
                <c:pt idx="6">
                  <c:v>11712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222-4AA8-AE80-E6ABAA7C504E}"/>
            </c:ext>
          </c:extLst>
        </c:ser>
        <c:ser>
          <c:idx val="3"/>
          <c:order val="3"/>
          <c:tx>
            <c:strRef>
              <c:f>'Total Sys Data - MOU I.2'!$M$5</c:f>
              <c:strCache>
                <c:ptCount val="1"/>
                <c:pt idx="0">
                  <c:v>NYPA</c:v>
                </c:pt>
              </c:strCache>
            </c:strRef>
          </c:tx>
          <c:spPr>
            <a:pattFill prst="ltUpDiag">
              <a:fgClr>
                <a:schemeClr val="accent4"/>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I.2'!$M$14:$M$41</c15:sqref>
                  </c15:fullRef>
                </c:ext>
              </c:extLst>
              <c:f>'Total Sys Data - MOU I.2'!$M$17:$M$36</c:f>
              <c:numCache>
                <c:formatCode>#,##0</c:formatCode>
                <c:ptCount val="20"/>
                <c:pt idx="0">
                  <c:v>39082.345000000008</c:v>
                </c:pt>
                <c:pt idx="1">
                  <c:v>39082.345000000008</c:v>
                </c:pt>
                <c:pt idx="2">
                  <c:v>39082.345000000008</c:v>
                </c:pt>
                <c:pt idx="3">
                  <c:v>39082.345000000008</c:v>
                </c:pt>
                <c:pt idx="4">
                  <c:v>39082.345000000008</c:v>
                </c:pt>
                <c:pt idx="5">
                  <c:v>39082.345000000008</c:v>
                </c:pt>
                <c:pt idx="6">
                  <c:v>39082.345000000008</c:v>
                </c:pt>
                <c:pt idx="7">
                  <c:v>39082.345000000008</c:v>
                </c:pt>
                <c:pt idx="8">
                  <c:v>39082.345000000008</c:v>
                </c:pt>
                <c:pt idx="9">
                  <c:v>39082.345000000008</c:v>
                </c:pt>
                <c:pt idx="10">
                  <c:v>39082.345000000008</c:v>
                </c:pt>
                <c:pt idx="11">
                  <c:v>39082.345000000008</c:v>
                </c:pt>
                <c:pt idx="12">
                  <c:v>39082.345000000008</c:v>
                </c:pt>
                <c:pt idx="13">
                  <c:v>39082.345000000008</c:v>
                </c:pt>
                <c:pt idx="14">
                  <c:v>39082.345000000008</c:v>
                </c:pt>
                <c:pt idx="15">
                  <c:v>39082.345000000008</c:v>
                </c:pt>
                <c:pt idx="16">
                  <c:v>39082.345000000008</c:v>
                </c:pt>
                <c:pt idx="17">
                  <c:v>39082.345000000008</c:v>
                </c:pt>
                <c:pt idx="18">
                  <c:v>39082.345000000008</c:v>
                </c:pt>
                <c:pt idx="19">
                  <c:v>39082.345000000008</c:v>
                </c:pt>
              </c:numCache>
            </c:numRef>
          </c:val>
          <c:extLst>
            <c:ext xmlns:c16="http://schemas.microsoft.com/office/drawing/2014/chart" uri="{C3380CC4-5D6E-409C-BE32-E72D297353CC}">
              <c16:uniqueId val="{00000003-F222-4AA8-AE80-E6ABAA7C504E}"/>
            </c:ext>
          </c:extLst>
        </c:ser>
        <c:ser>
          <c:idx val="4"/>
          <c:order val="4"/>
          <c:tx>
            <c:strRef>
              <c:f>'Total Sys Data - MOU I.2'!$N$5</c:f>
              <c:strCache>
                <c:ptCount val="1"/>
                <c:pt idx="0">
                  <c:v>VEC Sys Hydro</c:v>
                </c:pt>
              </c:strCache>
            </c:strRef>
          </c:tx>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I.2'!$N$14:$N$41</c15:sqref>
                  </c15:fullRef>
                </c:ext>
              </c:extLst>
              <c:f>'Total Sys Data - MOU I.2'!$N$17:$N$36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F222-4AA8-AE80-E6ABAA7C504E}"/>
            </c:ext>
          </c:extLst>
        </c:ser>
        <c:ser>
          <c:idx val="5"/>
          <c:order val="5"/>
          <c:tx>
            <c:strRef>
              <c:f>'Total Sys Data - MOU I.2'!$O$5</c:f>
              <c:strCache>
                <c:ptCount val="1"/>
                <c:pt idx="0">
                  <c:v>Ryegate</c:v>
                </c:pt>
              </c:strCache>
            </c:strRef>
          </c:tx>
          <c:spPr>
            <a:solidFill>
              <a:schemeClr val="accent6"/>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I.2'!$O$14:$O$41</c15:sqref>
                  </c15:fullRef>
                </c:ext>
              </c:extLst>
              <c:f>'Total Sys Data - MOU I.2'!$O$17:$O$36</c:f>
              <c:numCache>
                <c:formatCode>#,##0</c:formatCode>
                <c:ptCount val="20"/>
                <c:pt idx="0">
                  <c:v>13626.101309630476</c:v>
                </c:pt>
                <c:pt idx="1">
                  <c:v>13626.101309630476</c:v>
                </c:pt>
                <c:pt idx="2">
                  <c:v>13626.101309630476</c:v>
                </c:pt>
                <c:pt idx="3">
                  <c:v>13626.101309630476</c:v>
                </c:pt>
                <c:pt idx="4">
                  <c:v>13626.101309630476</c:v>
                </c:pt>
                <c:pt idx="5">
                  <c:v>13626.101309630476</c:v>
                </c:pt>
                <c:pt idx="6">
                  <c:v>11347.727874750475</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F222-4AA8-AE80-E6ABAA7C504E}"/>
            </c:ext>
          </c:extLst>
        </c:ser>
        <c:ser>
          <c:idx val="6"/>
          <c:order val="6"/>
          <c:tx>
            <c:strRef>
              <c:f>'Total Sys Data - MOU I.2'!$P$5</c:f>
              <c:strCache>
                <c:ptCount val="1"/>
                <c:pt idx="0">
                  <c:v>KCW</c:v>
                </c:pt>
              </c:strCache>
            </c:strRef>
          </c:tx>
          <c:spPr>
            <a:pattFill prst="ltDnDiag">
              <a:fgClr>
                <a:schemeClr val="accent1"/>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I.2'!$P$14:$P$41</c15:sqref>
                  </c15:fullRef>
                </c:ext>
              </c:extLst>
              <c:f>'Total Sys Data - MOU I.2'!$P$17:$P$36</c:f>
              <c:numCache>
                <c:formatCode>#,##0</c:formatCode>
                <c:ptCount val="20"/>
                <c:pt idx="0">
                  <c:v>21326.281999999999</c:v>
                </c:pt>
                <c:pt idx="1">
                  <c:v>21326.281999999999</c:v>
                </c:pt>
                <c:pt idx="2">
                  <c:v>21326.281999999999</c:v>
                </c:pt>
                <c:pt idx="3">
                  <c:v>21326.281999999999</c:v>
                </c:pt>
                <c:pt idx="4">
                  <c:v>21326.281999999999</c:v>
                </c:pt>
                <c:pt idx="5">
                  <c:v>21326.281999999999</c:v>
                </c:pt>
                <c:pt idx="6">
                  <c:v>21326.281999999999</c:v>
                </c:pt>
                <c:pt idx="7">
                  <c:v>21326.281999999999</c:v>
                </c:pt>
                <c:pt idx="8">
                  <c:v>21326.281999999999</c:v>
                </c:pt>
                <c:pt idx="9">
                  <c:v>21326.281999999999</c:v>
                </c:pt>
                <c:pt idx="10">
                  <c:v>21326.281999999999</c:v>
                </c:pt>
                <c:pt idx="11">
                  <c:v>21188.506000000001</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F222-4AA8-AE80-E6ABAA7C504E}"/>
            </c:ext>
          </c:extLst>
        </c:ser>
        <c:ser>
          <c:idx val="7"/>
          <c:order val="7"/>
          <c:tx>
            <c:strRef>
              <c:f>'Total Sys Data - MOU I.2'!$Q$5</c:f>
              <c:strCache>
                <c:ptCount val="1"/>
                <c:pt idx="0">
                  <c:v>Sheffield</c:v>
                </c:pt>
              </c:strCache>
            </c:strRef>
          </c:tx>
          <c:spPr>
            <a:solidFill>
              <a:schemeClr val="accent2"/>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I.2'!$Q$14:$Q$41</c15:sqref>
                  </c15:fullRef>
                </c:ext>
              </c:extLst>
              <c:f>'Total Sys Data - MOU I.2'!$Q$17:$Q$36</c:f>
              <c:numCache>
                <c:formatCode>#,##0</c:formatCode>
                <c:ptCount val="20"/>
                <c:pt idx="0">
                  <c:v>15644.934999999998</c:v>
                </c:pt>
                <c:pt idx="1">
                  <c:v>15644.934999999998</c:v>
                </c:pt>
                <c:pt idx="2">
                  <c:v>15644.934999999998</c:v>
                </c:pt>
                <c:pt idx="3">
                  <c:v>15644.934999999998</c:v>
                </c:pt>
                <c:pt idx="4">
                  <c:v>15644.934999999998</c:v>
                </c:pt>
                <c:pt idx="5">
                  <c:v>10215.179999999998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F222-4AA8-AE80-E6ABAA7C504E}"/>
            </c:ext>
          </c:extLst>
        </c:ser>
        <c:ser>
          <c:idx val="8"/>
          <c:order val="8"/>
          <c:tx>
            <c:strRef>
              <c:f>'Total Sys Data - MOU I.2'!$R$5</c:f>
              <c:strCache>
                <c:ptCount val="1"/>
                <c:pt idx="0">
                  <c:v>Standard Offer</c:v>
                </c:pt>
              </c:strCache>
            </c:strRef>
          </c:tx>
          <c:spPr>
            <a:pattFill prst="ltUpDiag">
              <a:fgClr>
                <a:schemeClr val="accent3"/>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I.2'!$R$14:$R$41</c15:sqref>
                  </c15:fullRef>
                </c:ext>
              </c:extLst>
              <c:f>'Total Sys Data - MOU I.2'!$R$17:$R$36</c:f>
              <c:numCache>
                <c:formatCode>#,##0</c:formatCode>
                <c:ptCount val="20"/>
                <c:pt idx="0">
                  <c:v>24240.579198919313</c:v>
                </c:pt>
                <c:pt idx="1">
                  <c:v>24240.579198919313</c:v>
                </c:pt>
                <c:pt idx="2">
                  <c:v>24240.579198919313</c:v>
                </c:pt>
                <c:pt idx="3">
                  <c:v>24240.579198919313</c:v>
                </c:pt>
                <c:pt idx="4">
                  <c:v>23687.309625901577</c:v>
                </c:pt>
                <c:pt idx="5">
                  <c:v>22480.277331318477</c:v>
                </c:pt>
                <c:pt idx="6">
                  <c:v>22096.519032520115</c:v>
                </c:pt>
                <c:pt idx="7">
                  <c:v>21678.818987417155</c:v>
                </c:pt>
                <c:pt idx="8">
                  <c:v>21278.130860380184</c:v>
                </c:pt>
                <c:pt idx="9">
                  <c:v>21223.151654515084</c:v>
                </c:pt>
                <c:pt idx="10">
                  <c:v>20685.127510960221</c:v>
                </c:pt>
                <c:pt idx="11">
                  <c:v>20215.896379748039</c:v>
                </c:pt>
                <c:pt idx="12">
                  <c:v>19122.926704312446</c:v>
                </c:pt>
                <c:pt idx="13">
                  <c:v>17583.098078059018</c:v>
                </c:pt>
                <c:pt idx="14">
                  <c:v>15340.101627517215</c:v>
                </c:pt>
                <c:pt idx="15">
                  <c:v>14131.642055142078</c:v>
                </c:pt>
                <c:pt idx="16">
                  <c:v>12523.80282419064</c:v>
                </c:pt>
                <c:pt idx="17">
                  <c:v>11028.433631574659</c:v>
                </c:pt>
                <c:pt idx="18">
                  <c:v>10565.73237757724</c:v>
                </c:pt>
                <c:pt idx="19">
                  <c:v>9903.1627649343609</c:v>
                </c:pt>
              </c:numCache>
            </c:numRef>
          </c:val>
          <c:extLst>
            <c:ext xmlns:c16="http://schemas.microsoft.com/office/drawing/2014/chart" uri="{C3380CC4-5D6E-409C-BE32-E72D297353CC}">
              <c16:uniqueId val="{00000008-F222-4AA8-AE80-E6ABAA7C504E}"/>
            </c:ext>
          </c:extLst>
        </c:ser>
        <c:ser>
          <c:idx val="16"/>
          <c:order val="11"/>
          <c:tx>
            <c:strRef>
              <c:f>'Total Sys Data - MOU I.2'!$AD$5</c:f>
              <c:strCache>
                <c:ptCount val="1"/>
                <c:pt idx="0">
                  <c:v>Grand Isle Solar</c:v>
                </c:pt>
              </c:strCache>
            </c:strRef>
          </c:tx>
          <c:spPr>
            <a:pattFill prst="ltVert">
              <a:fgClr>
                <a:schemeClr val="tx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I.2'!$AD$14:$AD$41</c15:sqref>
                  </c15:fullRef>
                </c:ext>
              </c:extLst>
              <c:f>'Total Sys Data - MOU I.2'!$AD$17:$AD$36</c:f>
              <c:numCache>
                <c:formatCode>#,##0</c:formatCode>
                <c:ptCount val="20"/>
                <c:pt idx="0">
                  <c:v>7101.3701475857169</c:v>
                </c:pt>
                <c:pt idx="1">
                  <c:v>7065.8632968477878</c:v>
                </c:pt>
                <c:pt idx="2">
                  <c:v>7030.5339803635497</c:v>
                </c:pt>
                <c:pt idx="3">
                  <c:v>6995.3813104617311</c:v>
                </c:pt>
                <c:pt idx="4">
                  <c:v>6960.4044039094224</c:v>
                </c:pt>
                <c:pt idx="5">
                  <c:v>6925.6023818898757</c:v>
                </c:pt>
                <c:pt idx="6">
                  <c:v>6890.9743699804267</c:v>
                </c:pt>
                <c:pt idx="7">
                  <c:v>6856.519498130524</c:v>
                </c:pt>
                <c:pt idx="8">
                  <c:v>6822.2369006398712</c:v>
                </c:pt>
                <c:pt idx="9">
                  <c:v>6788.1257161366721</c:v>
                </c:pt>
                <c:pt idx="10">
                  <c:v>6754.1850875559885</c:v>
                </c:pt>
                <c:pt idx="11">
                  <c:v>6720.4141621182089</c:v>
                </c:pt>
                <c:pt idx="12">
                  <c:v>6686.8120913076173</c:v>
                </c:pt>
                <c:pt idx="13">
                  <c:v>6653.3780308510795</c:v>
                </c:pt>
                <c:pt idx="14">
                  <c:v>6620.1111406968239</c:v>
                </c:pt>
                <c:pt idx="15">
                  <c:v>6587.0105849933398</c:v>
                </c:pt>
                <c:pt idx="16">
                  <c:v>6554.0755320683729</c:v>
                </c:pt>
                <c:pt idx="17">
                  <c:v>0</c:v>
                </c:pt>
                <c:pt idx="18">
                  <c:v>0</c:v>
                </c:pt>
                <c:pt idx="19">
                  <c:v>0</c:v>
                </c:pt>
              </c:numCache>
            </c:numRef>
          </c:val>
          <c:extLst>
            <c:ext xmlns:c16="http://schemas.microsoft.com/office/drawing/2014/chart" uri="{C3380CC4-5D6E-409C-BE32-E72D297353CC}">
              <c16:uniqueId val="{0000000A-F222-4AA8-AE80-E6ABAA7C504E}"/>
            </c:ext>
          </c:extLst>
        </c:ser>
        <c:ser>
          <c:idx val="20"/>
          <c:order val="15"/>
          <c:tx>
            <c:strRef>
              <c:f>'Total Sys Data - MOU I.2'!$AB$5</c:f>
              <c:strCache>
                <c:ptCount val="1"/>
                <c:pt idx="0">
                  <c:v>Alburgh Solar</c:v>
                </c:pt>
              </c:strCache>
            </c:strRef>
          </c:tx>
          <c:spPr>
            <a:solidFill>
              <a:srgbClr val="FF000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I.2'!$AB$14:$AB$41</c15:sqref>
                  </c15:fullRef>
                </c:ext>
              </c:extLst>
              <c:f>'Total Sys Data - MOU I.2'!$AB$17:$AB$36</c:f>
              <c:numCache>
                <c:formatCode>#,##0</c:formatCode>
                <c:ptCount val="20"/>
                <c:pt idx="0">
                  <c:v>1502.096929133334</c:v>
                </c:pt>
                <c:pt idx="1">
                  <c:v>1494.5864444876672</c:v>
                </c:pt>
                <c:pt idx="2">
                  <c:v>1487.1135122652292</c:v>
                </c:pt>
                <c:pt idx="3">
                  <c:v>1479.6779447039028</c:v>
                </c:pt>
                <c:pt idx="4">
                  <c:v>1472.2795549803836</c:v>
                </c:pt>
                <c:pt idx="5">
                  <c:v>1464.9181572054813</c:v>
                </c:pt>
                <c:pt idx="6">
                  <c:v>1457.5935664194537</c:v>
                </c:pt>
                <c:pt idx="7">
                  <c:v>1450.3055985873568</c:v>
                </c:pt>
                <c:pt idx="8">
                  <c:v>1443.0540705944197</c:v>
                </c:pt>
                <c:pt idx="9">
                  <c:v>1435.8388002414474</c:v>
                </c:pt>
                <c:pt idx="10">
                  <c:v>1428.6596062402407</c:v>
                </c:pt>
                <c:pt idx="11">
                  <c:v>1421.5163082090392</c:v>
                </c:pt>
                <c:pt idx="12">
                  <c:v>1414.408726667994</c:v>
                </c:pt>
                <c:pt idx="13">
                  <c:v>1407.336683034654</c:v>
                </c:pt>
                <c:pt idx="14">
                  <c:v>1400.2999996194808</c:v>
                </c:pt>
                <c:pt idx="15">
                  <c:v>1393.2984996213834</c:v>
                </c:pt>
                <c:pt idx="16">
                  <c:v>0</c:v>
                </c:pt>
                <c:pt idx="17">
                  <c:v>0</c:v>
                </c:pt>
                <c:pt idx="18">
                  <c:v>0</c:v>
                </c:pt>
                <c:pt idx="19">
                  <c:v>0</c:v>
                </c:pt>
              </c:numCache>
            </c:numRef>
          </c:val>
          <c:extLst>
            <c:ext xmlns:c16="http://schemas.microsoft.com/office/drawing/2014/chart" uri="{C3380CC4-5D6E-409C-BE32-E72D297353CC}">
              <c16:uniqueId val="{0000000B-F222-4AA8-AE80-E6ABAA7C504E}"/>
            </c:ext>
          </c:extLst>
        </c:ser>
        <c:ser>
          <c:idx val="22"/>
          <c:order val="16"/>
          <c:tx>
            <c:strRef>
              <c:f>'Total Sys Data - MOU I.2'!$AC$5</c:f>
              <c:strCache>
                <c:ptCount val="1"/>
                <c:pt idx="0">
                  <c:v>Magee Hill Solar</c:v>
                </c:pt>
              </c:strCache>
            </c:strRef>
          </c:tx>
          <c:spPr>
            <a:solidFill>
              <a:schemeClr val="accent1">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I.2'!$AC$14:$AC$41</c15:sqref>
                  </c15:fullRef>
                </c:ext>
              </c:extLst>
              <c:f>'Total Sys Data - MOU I.2'!$AC$17:$AC$36</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C-F222-4AA8-AE80-E6ABAA7C504E}"/>
            </c:ext>
          </c:extLst>
        </c:ser>
        <c:ser>
          <c:idx val="21"/>
          <c:order val="17"/>
          <c:tx>
            <c:strRef>
              <c:f>'Total Sys Data - MOU I.2'!$AE$5</c:f>
              <c:strCache>
                <c:ptCount val="1"/>
                <c:pt idx="0">
                  <c:v>Jericho - Gravel Pit Solar</c:v>
                </c:pt>
              </c:strCache>
            </c:strRef>
          </c:tx>
          <c:spPr>
            <a:pattFill prst="ltVert">
              <a:fgClr>
                <a:schemeClr val="accent3">
                  <a:lumMod val="60000"/>
                  <a:lumOff val="40000"/>
                </a:schemeClr>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I.2'!$AE$14:$AE$41</c15:sqref>
                  </c15:fullRef>
                </c:ext>
              </c:extLst>
              <c:f>'Total Sys Data - MOU I.2'!$AE$17:$AE$36</c:f>
              <c:numCache>
                <c:formatCode>#,##0</c:formatCode>
                <c:ptCount val="20"/>
                <c:pt idx="0">
                  <c:v>2432.9297166518654</c:v>
                </c:pt>
                <c:pt idx="1">
                  <c:v>2420.7650680686056</c:v>
                </c:pt>
                <c:pt idx="2">
                  <c:v>2408.6612427282626</c:v>
                </c:pt>
                <c:pt idx="3">
                  <c:v>2396.6179365146213</c:v>
                </c:pt>
                <c:pt idx="4">
                  <c:v>2384.6348468320489</c:v>
                </c:pt>
                <c:pt idx="5">
                  <c:v>2372.7116725978881</c:v>
                </c:pt>
                <c:pt idx="6">
                  <c:v>2360.8481142348987</c:v>
                </c:pt>
                <c:pt idx="7">
                  <c:v>2349.0438736637238</c:v>
                </c:pt>
                <c:pt idx="8">
                  <c:v>2337.2986542954059</c:v>
                </c:pt>
                <c:pt idx="9">
                  <c:v>2325.6121610239288</c:v>
                </c:pt>
                <c:pt idx="10">
                  <c:v>2313.9841002188086</c:v>
                </c:pt>
                <c:pt idx="11">
                  <c:v>2302.4141797177153</c:v>
                </c:pt>
                <c:pt idx="12">
                  <c:v>2290.9021088191262</c:v>
                </c:pt>
                <c:pt idx="13">
                  <c:v>2279.4475982750305</c:v>
                </c:pt>
                <c:pt idx="14">
                  <c:v>2268.0503602836548</c:v>
                </c:pt>
                <c:pt idx="15">
                  <c:v>2256.7101084822366</c:v>
                </c:pt>
                <c:pt idx="16">
                  <c:v>2245.4265579398257</c:v>
                </c:pt>
                <c:pt idx="17">
                  <c:v>2234.1994251501269</c:v>
                </c:pt>
                <c:pt idx="18">
                  <c:v>2223.0284280243759</c:v>
                </c:pt>
                <c:pt idx="19">
                  <c:v>702.17573329252434</c:v>
                </c:pt>
              </c:numCache>
            </c:numRef>
          </c:val>
          <c:extLst>
            <c:ext xmlns:c16="http://schemas.microsoft.com/office/drawing/2014/chart" uri="{C3380CC4-5D6E-409C-BE32-E72D297353CC}">
              <c16:uniqueId val="{0000000D-F222-4AA8-AE80-E6ABAA7C504E}"/>
            </c:ext>
          </c:extLst>
        </c:ser>
        <c:ser>
          <c:idx val="23"/>
          <c:order val="18"/>
          <c:tx>
            <c:strRef>
              <c:f>'Total Sys Data - MOU I.2'!$AF$5</c:f>
              <c:strCache>
                <c:ptCount val="1"/>
                <c:pt idx="0">
                  <c:v>Jericho - Landfill Solar</c:v>
                </c:pt>
              </c:strCache>
            </c:strRef>
          </c:tx>
          <c:spPr>
            <a:pattFill prst="ltDnDiag">
              <a:fgClr>
                <a:schemeClr val="accent2">
                  <a:lumMod val="75000"/>
                </a:schemeClr>
              </a:fgClr>
              <a:bgClr>
                <a:schemeClr val="bg1"/>
              </a:bgClr>
            </a:pattFill>
            <a:ln>
              <a:solidFill>
                <a:schemeClr val="accent2">
                  <a:lumMod val="75000"/>
                </a:schemeClr>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I.2'!$AF$14:$AF$41</c15:sqref>
                  </c15:fullRef>
                </c:ext>
              </c:extLst>
              <c:f>'Total Sys Data - MOU I.2'!$AF$17:$AF$36</c:f>
              <c:numCache>
                <c:formatCode>#,##0</c:formatCode>
                <c:ptCount val="20"/>
                <c:pt idx="0">
                  <c:v>2668.9756954119125</c:v>
                </c:pt>
                <c:pt idx="1">
                  <c:v>2655.6308169348531</c:v>
                </c:pt>
                <c:pt idx="2">
                  <c:v>2642.3526628501786</c:v>
                </c:pt>
                <c:pt idx="3">
                  <c:v>2629.1408995359275</c:v>
                </c:pt>
                <c:pt idx="4">
                  <c:v>2615.9951950382488</c:v>
                </c:pt>
                <c:pt idx="5">
                  <c:v>2602.9152190630575</c:v>
                </c:pt>
                <c:pt idx="6">
                  <c:v>2589.900642967742</c:v>
                </c:pt>
                <c:pt idx="7">
                  <c:v>2576.9511397529031</c:v>
                </c:pt>
                <c:pt idx="8">
                  <c:v>2564.0663840541388</c:v>
                </c:pt>
                <c:pt idx="9">
                  <c:v>2551.246052133868</c:v>
                </c:pt>
                <c:pt idx="10">
                  <c:v>2538.4898218731983</c:v>
                </c:pt>
                <c:pt idx="11">
                  <c:v>2525.7973727638328</c:v>
                </c:pt>
                <c:pt idx="12">
                  <c:v>2513.1683859000136</c:v>
                </c:pt>
                <c:pt idx="13">
                  <c:v>2500.6025439705131</c:v>
                </c:pt>
                <c:pt idx="14">
                  <c:v>2488.0995312506611</c:v>
                </c:pt>
                <c:pt idx="15">
                  <c:v>2475.6590335944074</c:v>
                </c:pt>
                <c:pt idx="16">
                  <c:v>2463.2807384264352</c:v>
                </c:pt>
                <c:pt idx="17">
                  <c:v>2450.9643347343031</c:v>
                </c:pt>
                <c:pt idx="18">
                  <c:v>2438.7095130606317</c:v>
                </c:pt>
                <c:pt idx="19">
                  <c:v>2426.5159654953281</c:v>
                </c:pt>
              </c:numCache>
            </c:numRef>
          </c:val>
          <c:extLst>
            <c:ext xmlns:c16="http://schemas.microsoft.com/office/drawing/2014/chart" uri="{C3380CC4-5D6E-409C-BE32-E72D297353CC}">
              <c16:uniqueId val="{0000000E-F222-4AA8-AE80-E6ABAA7C504E}"/>
            </c:ext>
          </c:extLst>
        </c:ser>
        <c:ser>
          <c:idx val="13"/>
          <c:order val="19"/>
          <c:tx>
            <c:strRef>
              <c:f>'Total Sys Data - MOU I.2'!$AA$5</c:f>
              <c:strCache>
                <c:ptCount val="1"/>
                <c:pt idx="0">
                  <c:v>Net Metering as Resource</c:v>
                </c:pt>
              </c:strCache>
            </c:strRef>
          </c:tx>
          <c:spPr>
            <a:solidFill>
              <a:srgbClr val="00B05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I.2'!$AA$14:$AA$41</c15:sqref>
                  </c15:fullRef>
                </c:ext>
              </c:extLst>
              <c:f>'Total Sys Data - MOU I.2'!$AA$17:$AA$36</c:f>
              <c:numCache>
                <c:formatCode>#,##0</c:formatCode>
                <c:ptCount val="20"/>
                <c:pt idx="0">
                  <c:v>30475.932016623898</c:v>
                </c:pt>
                <c:pt idx="1">
                  <c:v>31505.446167436185</c:v>
                </c:pt>
                <c:pt idx="2">
                  <c:v>32219.636771946232</c:v>
                </c:pt>
                <c:pt idx="3">
                  <c:v>32710.034961588553</c:v>
                </c:pt>
                <c:pt idx="4">
                  <c:v>33120.538293517544</c:v>
                </c:pt>
                <c:pt idx="5">
                  <c:v>33491.868685536669</c:v>
                </c:pt>
                <c:pt idx="6">
                  <c:v>33827.750506955665</c:v>
                </c:pt>
                <c:pt idx="7">
                  <c:v>34017.15729992697</c:v>
                </c:pt>
                <c:pt idx="8">
                  <c:v>34195.942138102735</c:v>
                </c:pt>
                <c:pt idx="9">
                  <c:v>34386.763823488109</c:v>
                </c:pt>
                <c:pt idx="10">
                  <c:v>34583.668999111367</c:v>
                </c:pt>
                <c:pt idx="11">
                  <c:v>34661.896071368363</c:v>
                </c:pt>
                <c:pt idx="12">
                  <c:v>34755.34918407513</c:v>
                </c:pt>
                <c:pt idx="13">
                  <c:v>34879.697455320158</c:v>
                </c:pt>
                <c:pt idx="14">
                  <c:v>35025.761480527464</c:v>
                </c:pt>
                <c:pt idx="15">
                  <c:v>35062.708120474766</c:v>
                </c:pt>
                <c:pt idx="16">
                  <c:v>35124.737313348589</c:v>
                </c:pt>
                <c:pt idx="17">
                  <c:v>9334.3472612153091</c:v>
                </c:pt>
                <c:pt idx="18">
                  <c:v>9334.3472612153091</c:v>
                </c:pt>
                <c:pt idx="19">
                  <c:v>9334.3472612153091</c:v>
                </c:pt>
              </c:numCache>
            </c:numRef>
          </c:val>
          <c:extLst>
            <c:ext xmlns:c16="http://schemas.microsoft.com/office/drawing/2014/chart" uri="{C3380CC4-5D6E-409C-BE32-E72D297353CC}">
              <c16:uniqueId val="{0000000F-F222-4AA8-AE80-E6ABAA7C504E}"/>
            </c:ext>
          </c:extLst>
        </c:ser>
        <c:ser>
          <c:idx val="12"/>
          <c:order val="21"/>
          <c:tx>
            <c:strRef>
              <c:f>'Total Sys Data - MOU I.2'!$Z$5</c:f>
              <c:strCache>
                <c:ptCount val="1"/>
                <c:pt idx="0">
                  <c:v>Howard Wind</c:v>
                </c:pt>
              </c:strCache>
            </c:strRef>
          </c:tx>
          <c:spPr>
            <a:solidFill>
              <a:schemeClr val="accent4">
                <a:lumMod val="60000"/>
                <a:lumOff val="40000"/>
              </a:schemeClr>
            </a:solidFill>
            <a:ln>
              <a:solidFill>
                <a:schemeClr val="tx1"/>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I.2'!$Z$14:$Z$41</c15:sqref>
                  </c15:fullRef>
                </c:ext>
              </c:extLst>
              <c:f>'Total Sys Data - MOU I.2'!$Z$17:$Z$36</c:f>
              <c:numCache>
                <c:formatCode>#,##0</c:formatCode>
                <c:ptCount val="20"/>
                <c:pt idx="0">
                  <c:v>39560</c:v>
                </c:pt>
                <c:pt idx="1">
                  <c:v>39560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574A-422C-9E6F-35DB64AC487A}"/>
            </c:ext>
          </c:extLst>
        </c:ser>
        <c:ser>
          <c:idx val="14"/>
          <c:order val="22"/>
          <c:tx>
            <c:strRef>
              <c:f>'Total Sys Data - MOU I.2'!$AG$5</c:f>
              <c:strCache>
                <c:ptCount val="1"/>
                <c:pt idx="0">
                  <c:v>Brookfield Hydro</c:v>
                </c:pt>
              </c:strCache>
            </c:strRef>
          </c:tx>
          <c:spPr>
            <a:solidFill>
              <a:schemeClr val="accent3">
                <a:lumMod val="40000"/>
                <a:lumOff val="60000"/>
              </a:schemeClr>
            </a:solidFill>
            <a:ln>
              <a:solidFill>
                <a:schemeClr val="tx1"/>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I.2'!$AG$14:$AG$41</c15:sqref>
                  </c15:fullRef>
                </c:ext>
              </c:extLst>
              <c:f>'Total Sys Data - MOU I.2'!$AG$17:$AG$36</c:f>
              <c:numCache>
                <c:formatCode>#,##0</c:formatCode>
                <c:ptCount val="20"/>
                <c:pt idx="0">
                  <c:v>64928</c:v>
                </c:pt>
                <c:pt idx="1">
                  <c:v>64800</c:v>
                </c:pt>
                <c:pt idx="2">
                  <c:v>64864</c:v>
                </c:pt>
                <c:pt idx="3">
                  <c:v>64736</c:v>
                </c:pt>
                <c:pt idx="4">
                  <c:v>64784</c:v>
                </c:pt>
                <c:pt idx="5">
                  <c:v>64784</c:v>
                </c:pt>
                <c:pt idx="6">
                  <c:v>65024</c:v>
                </c:pt>
                <c:pt idx="7">
                  <c:v>64672</c:v>
                </c:pt>
                <c:pt idx="8">
                  <c:v>64656</c:v>
                </c:pt>
                <c:pt idx="9">
                  <c:v>64736</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831C-4D5E-BB81-7B033CC4B366}"/>
            </c:ext>
          </c:extLst>
        </c:ser>
        <c:ser>
          <c:idx val="15"/>
          <c:order val="23"/>
          <c:tx>
            <c:strRef>
              <c:f>'Total Sys Data - MOU I.2'!$Y$5</c:f>
              <c:strCache>
                <c:ptCount val="1"/>
                <c:pt idx="0">
                  <c:v>Newport Hydro</c:v>
                </c:pt>
              </c:strCache>
              <c:extLst xmlns:c15="http://schemas.microsoft.com/office/drawing/2012/chart"/>
            </c:strRef>
          </c:tx>
          <c:spPr>
            <a:solidFill>
              <a:schemeClr val="accent5">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I.2'!$Y$14:$Y$41</c15:sqref>
                  </c15:fullRef>
                </c:ext>
              </c:extLst>
              <c:f>'Total Sys Data - MOU I.2'!$Y$17:$Y$36</c:f>
              <c:numCache>
                <c:formatCode>#,##0</c:formatCode>
                <c:ptCount val="20"/>
                <c:pt idx="0">
                  <c:v>14251.333333333338</c:v>
                </c:pt>
                <c:pt idx="1">
                  <c:v>14251.333333333338</c:v>
                </c:pt>
                <c:pt idx="2">
                  <c:v>14251.333333333338</c:v>
                </c:pt>
                <c:pt idx="3">
                  <c:v>14251.333333333338</c:v>
                </c:pt>
                <c:pt idx="4">
                  <c:v>14251.333333333338</c:v>
                </c:pt>
                <c:pt idx="5">
                  <c:v>14251.333333333338</c:v>
                </c:pt>
                <c:pt idx="6">
                  <c:v>14251.333333333338</c:v>
                </c:pt>
                <c:pt idx="7">
                  <c:v>14251.333333333338</c:v>
                </c:pt>
                <c:pt idx="8">
                  <c:v>9807.0000000000018</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5="http://schemas.microsoft.com/office/drawing/2012/chart" uri="{02D57815-91ED-43cb-92C2-25804820EDAC}">
              <c15:categoryFilterExceptions>
                <c15:categoryFilterException>
                  <c15:sqref>'Total Sys Data - MOU I.2'!$Y$16</c15:sqref>
                  <c15:spPr xmlns:c15="http://schemas.microsoft.com/office/drawing/2012/chart">
                    <a:noFill/>
                    <a:ln>
                      <a:noFill/>
                    </a:ln>
                  </c15:spPr>
                  <c15:invertIfNegative val="0"/>
                  <c15:bubble3D val="0"/>
                </c15:categoryFilterException>
              </c15:categoryFilterExceptions>
            </c:ext>
            <c:ext xmlns:c16="http://schemas.microsoft.com/office/drawing/2014/chart" uri="{C3380CC4-5D6E-409C-BE32-E72D297353CC}">
              <c16:uniqueId val="{00000009-F222-4AA8-AE80-E6ABAA7C504E}"/>
            </c:ext>
          </c:extLst>
        </c:ser>
        <c:dLbls>
          <c:showLegendKey val="0"/>
          <c:showVal val="0"/>
          <c:showCatName val="0"/>
          <c:showSerName val="0"/>
          <c:showPercent val="0"/>
          <c:showBubbleSize val="0"/>
        </c:dLbls>
        <c:gapWidth val="150"/>
        <c:overlap val="100"/>
        <c:axId val="-1178461584"/>
        <c:axId val="-1178461040"/>
        <c:extLst>
          <c:ext xmlns:c15="http://schemas.microsoft.com/office/drawing/2012/chart" uri="{02D57815-91ED-43cb-92C2-25804820EDAC}">
            <c15:filteredBarSeries>
              <c15:ser>
                <c:idx val="0"/>
                <c:order val="0"/>
                <c:tx>
                  <c:strRef>
                    <c:extLst>
                      <c:ext uri="{02D57815-91ED-43cb-92C2-25804820EDAC}">
                        <c15:formulaRef>
                          <c15:sqref>'Total Sys Data - MOU I.2'!$J$5</c15:sqref>
                        </c15:formulaRef>
                      </c:ext>
                    </c:extLst>
                    <c:strCache>
                      <c:ptCount val="1"/>
                      <c:pt idx="0">
                        <c:v>HQ 2021-2023</c:v>
                      </c:pt>
                    </c:strCache>
                  </c:strRef>
                </c:tx>
                <c:spPr>
                  <a:solidFill>
                    <a:schemeClr val="tx2"/>
                  </a:solidFill>
                  <a:ln>
                    <a:solidFill>
                      <a:sysClr val="windowText" lastClr="000000"/>
                    </a:solidFill>
                  </a:ln>
                </c:spPr>
                <c:invertIfNegative val="0"/>
                <c:cat>
                  <c:numRef>
                    <c:extLst>
                      <c:ex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uri="{02D57815-91ED-43cb-92C2-25804820EDAC}">
                        <c15:fullRef>
                          <c15:sqref>'Total Sys Data - MOU I.2'!$J$14:$J$41</c15:sqref>
                        </c15:fullRef>
                        <c15:formulaRef>
                          <c15:sqref>'Total Sys Data - MOU I.2'!$J$17:$J$36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F222-4AA8-AE80-E6ABAA7C504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'Total Sys Data - MOU I.2'!$S$5</c15:sqref>
                        </c15:formulaRef>
                      </c:ext>
                    </c:extLst>
                    <c:strCache>
                      <c:ptCount val="1"/>
                      <c:pt idx="0">
                        <c:v>Next Era - Seabrook</c:v>
                      </c:pt>
                    </c:strCache>
                  </c:strRef>
                </c:tx>
                <c:spPr>
                  <a:solidFill>
                    <a:schemeClr val="accent4"/>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I.2'!$S$14:$S$41</c15:sqref>
                        </c15:fullRef>
                        <c15:formulaRef>
                          <c15:sqref>'Total Sys Data - MOU I.2'!$S$17:$S$36</c15:sqref>
                        </c15:formulaRef>
                      </c:ext>
                    </c:extLst>
                    <c:numCache>
                      <c:formatCode>#,##0</c:formatCode>
                      <c:ptCount val="20"/>
                      <c:pt idx="0">
                        <c:v>78390</c:v>
                      </c:pt>
                      <c:pt idx="1">
                        <c:v>78156</c:v>
                      </c:pt>
                      <c:pt idx="2">
                        <c:v>85644</c:v>
                      </c:pt>
                      <c:pt idx="3">
                        <c:v>78390</c:v>
                      </c:pt>
                      <c:pt idx="4">
                        <c:v>78156</c:v>
                      </c:pt>
                      <c:pt idx="5">
                        <c:v>85410</c:v>
                      </c:pt>
                      <c:pt idx="6">
                        <c:v>78624</c:v>
                      </c:pt>
                      <c:pt idx="7">
                        <c:v>78156</c:v>
                      </c:pt>
                      <c:pt idx="8">
                        <c:v>85410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13-F222-4AA8-AE80-E6ABAA7C504E}"/>
                  </c:ext>
                </c:extLst>
              </c15:ser>
            </c15:filteredBarSeries>
            <c15:filteredBarSeries>
              <c15:ser>
                <c:idx val="11"/>
                <c:order val="10"/>
                <c:tx>
                  <c:strRef>
                    <c:extLst xmlns:c15="http://schemas.microsoft.com/office/drawing/2012/chart">
                      <c:ext xmlns:c15="http://schemas.microsoft.com/office/drawing/2012/chart" uri="{02D57815-91ED-43cb-92C2-25804820EDAC}">
                        <c15:formulaRef>
                          <c15:sqref>'Total Sys Data - MOU I.2'!$U$5</c15:sqref>
                        </c15:formulaRef>
                      </c:ext>
                    </c:extLst>
                    <c:strCache>
                      <c:ptCount val="1"/>
                      <c:pt idx="0">
                        <c:v>Exelon</c:v>
                      </c:pt>
                    </c:strCache>
                  </c:strRef>
                </c:tx>
                <c:spPr>
                  <a:pattFill prst="ltDnDiag">
                    <a:fgClr>
                      <a:schemeClr val="accent6"/>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I.2'!$U$14:$U$41</c15:sqref>
                        </c15:fullRef>
                        <c15:formulaRef>
                          <c15:sqref>'Total Sys Data - MOU I.2'!$U$17:$U$36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14-F222-4AA8-AE80-E6ABAA7C504E}"/>
                  </c:ext>
                </c:extLst>
              </c15:ser>
            </c15:filteredBarSeries>
            <c15:filteredBarSeries>
              <c15:ser>
                <c:idx val="10"/>
                <c:order val="20"/>
                <c:tx>
                  <c:strRef>
                    <c:extLst xmlns:c15="http://schemas.microsoft.com/office/drawing/2012/chart">
                      <c:ext xmlns:c15="http://schemas.microsoft.com/office/drawing/2012/chart" uri="{02D57815-91ED-43cb-92C2-25804820EDAC}">
                        <c15:formulaRef>
                          <c15:sqref>'Total Sys Data - MOU I.2'!$T$5</c15:sqref>
                        </c15:formulaRef>
                      </c:ext>
                    </c:extLst>
                    <c:strCache>
                      <c:ptCount val="1"/>
                      <c:pt idx="0">
                        <c:v>NextEra 2022-2025</c:v>
                      </c:pt>
                    </c:strCache>
                  </c:strRef>
                </c:tx>
                <c:spPr>
                  <a:solidFill>
                    <a:schemeClr val="tx1"/>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I.2'!$T$14:$T$41</c15:sqref>
                        </c15:fullRef>
                        <c15:formulaRef>
                          <c15:sqref>'Total Sys Data - MOU I.2'!$T$17:$T$36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15-F222-4AA8-AE80-E6ABAA7C504E}"/>
                  </c:ext>
                </c:extLst>
              </c15:ser>
            </c15:filteredBarSeries>
          </c:ext>
        </c:extLst>
      </c:barChart>
      <c:lineChart>
        <c:grouping val="standard"/>
        <c:varyColors val="0"/>
        <c:ser>
          <c:idx val="17"/>
          <c:order val="12"/>
          <c:tx>
            <c:strRef>
              <c:f>'Total Sys Data - MOU I.2'!$G$5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I.2'!$G$14:$G$41</c15:sqref>
                  </c15:fullRef>
                </c:ext>
              </c:extLst>
              <c:f>'Total Sys Data - MOU I.2'!$G$17:$G$36</c:f>
              <c:numCache>
                <c:formatCode>#,##0</c:formatCode>
                <c:ptCount val="20"/>
                <c:pt idx="0">
                  <c:v>551119.24048483884</c:v>
                </c:pt>
                <c:pt idx="1">
                  <c:v>561801.20006497123</c:v>
                </c:pt>
                <c:pt idx="2">
                  <c:v>574238.09425297996</c:v>
                </c:pt>
                <c:pt idx="3">
                  <c:v>588925.42292387283</c:v>
                </c:pt>
                <c:pt idx="4">
                  <c:v>604371.2686899699</c:v>
                </c:pt>
                <c:pt idx="5">
                  <c:v>620873.47339124524</c:v>
                </c:pt>
                <c:pt idx="6">
                  <c:v>638688.24670604919</c:v>
                </c:pt>
                <c:pt idx="7">
                  <c:v>657164.28327400493</c:v>
                </c:pt>
                <c:pt idx="8">
                  <c:v>676250.96556458564</c:v>
                </c:pt>
                <c:pt idx="9">
                  <c:v>695043.4194148333</c:v>
                </c:pt>
                <c:pt idx="10">
                  <c:v>713975.43825101119</c:v>
                </c:pt>
                <c:pt idx="11">
                  <c:v>733141.30112139042</c:v>
                </c:pt>
                <c:pt idx="12">
                  <c:v>751528.19713254215</c:v>
                </c:pt>
                <c:pt idx="13">
                  <c:v>768552.28858287516</c:v>
                </c:pt>
                <c:pt idx="14">
                  <c:v>782587.65066748532</c:v>
                </c:pt>
                <c:pt idx="15">
                  <c:v>793532.27899898123</c:v>
                </c:pt>
                <c:pt idx="16">
                  <c:v>803176.88283081586</c:v>
                </c:pt>
                <c:pt idx="17">
                  <c:v>812434.2463305915</c:v>
                </c:pt>
                <c:pt idx="18">
                  <c:v>821737.4770022328</c:v>
                </c:pt>
                <c:pt idx="19">
                  <c:v>831023.28535918146</c:v>
                </c:pt>
              </c:numCache>
            </c:numRef>
          </c:val>
          <c:smooth val="0"/>
          <c:extLst>
            <c:ext xmlns:c16="http://schemas.microsoft.com/office/drawing/2014/chart" uri="{C3380CC4-5D6E-409C-BE32-E72D297353CC}">
              <c16:uniqueId val="{00000010-F222-4AA8-AE80-E6ABAA7C504E}"/>
            </c:ext>
          </c:extLst>
        </c:ser>
        <c:ser>
          <c:idx val="18"/>
          <c:order val="13"/>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I.2'!$F$14:$F$41</c15:sqref>
                  </c15:fullRef>
                </c:ext>
              </c:extLst>
              <c:f>'Total Sys Data - MOU I.2'!$F$17:$F$36</c:f>
              <c:numCache>
                <c:formatCode>#,##0</c:formatCode>
                <c:ptCount val="20"/>
                <c:pt idx="0">
                  <c:v>534404.08729551674</c:v>
                </c:pt>
                <c:pt idx="1">
                  <c:v>547481.26902155788</c:v>
                </c:pt>
                <c:pt idx="2">
                  <c:v>562334.2564463201</c:v>
                </c:pt>
                <c:pt idx="3">
                  <c:v>579139.85812221037</c:v>
                </c:pt>
                <c:pt idx="4">
                  <c:v>597537.20891604316</c:v>
                </c:pt>
                <c:pt idx="5">
                  <c:v>616126.88040439831</c:v>
                </c:pt>
                <c:pt idx="6">
                  <c:v>634675.02635726519</c:v>
                </c:pt>
                <c:pt idx="7">
                  <c:v>652630.18622720416</c:v>
                </c:pt>
                <c:pt idx="8">
                  <c:v>669823.98617135419</c:v>
                </c:pt>
                <c:pt idx="9">
                  <c:v>684634.91834434343</c:v>
                </c:pt>
                <c:pt idx="10">
                  <c:v>696152.57991366449</c:v>
                </c:pt>
                <c:pt idx="11">
                  <c:v>704881.09830864915</c:v>
                </c:pt>
                <c:pt idx="12">
                  <c:v>711330.67528154957</c:v>
                </c:pt>
                <c:pt idx="13">
                  <c:v>716120.86595409201</c:v>
                </c:pt>
                <c:pt idx="14">
                  <c:v>719620.63688443974</c:v>
                </c:pt>
                <c:pt idx="15">
                  <c:v>722223.80304426048</c:v>
                </c:pt>
                <c:pt idx="16">
                  <c:v>723086.74512119894</c:v>
                </c:pt>
                <c:pt idx="17">
                  <c:v>722234.8835808289</c:v>
                </c:pt>
                <c:pt idx="18">
                  <c:v>721107.35357227386</c:v>
                </c:pt>
                <c:pt idx="19">
                  <c:v>719961.51587993989</c:v>
                </c:pt>
              </c:numCache>
            </c:numRef>
          </c:val>
          <c:smooth val="0"/>
          <c:extLst>
            <c:ext xmlns:c16="http://schemas.microsoft.com/office/drawing/2014/chart" uri="{C3380CC4-5D6E-409C-BE32-E72D297353CC}">
              <c16:uniqueId val="{00000011-F222-4AA8-AE80-E6ABAA7C504E}"/>
            </c:ext>
          </c:extLst>
        </c:ser>
        <c:ser>
          <c:idx val="19"/>
          <c:order val="14"/>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I.2'!$H$14:$H$41</c15:sqref>
                  </c15:fullRef>
                </c:ext>
              </c:extLst>
              <c:f>'Total Sys Data - MOU I.2'!$H$17:$H$36</c:f>
              <c:numCache>
                <c:formatCode>#,##0</c:formatCode>
                <c:ptCount val="20"/>
                <c:pt idx="0">
                  <c:v>509047.36339775816</c:v>
                </c:pt>
                <c:pt idx="1">
                  <c:v>513021.74839042296</c:v>
                </c:pt>
                <c:pt idx="2">
                  <c:v>518347.88756713568</c:v>
                </c:pt>
                <c:pt idx="3">
                  <c:v>525077.80000335269</c:v>
                </c:pt>
                <c:pt idx="4">
                  <c:v>533253.6763444189</c:v>
                </c:pt>
                <c:pt idx="5">
                  <c:v>542625.64259943168</c:v>
                </c:pt>
                <c:pt idx="6">
                  <c:v>553259.15443177917</c:v>
                </c:pt>
                <c:pt idx="7">
                  <c:v>565231.52055125812</c:v>
                </c:pt>
                <c:pt idx="8">
                  <c:v>578445.00235747173</c:v>
                </c:pt>
                <c:pt idx="9">
                  <c:v>592612.44988284016</c:v>
                </c:pt>
                <c:pt idx="10">
                  <c:v>606943.02648805513</c:v>
                </c:pt>
                <c:pt idx="11">
                  <c:v>620684.50300369866</c:v>
                </c:pt>
                <c:pt idx="12">
                  <c:v>633249.93557360559</c:v>
                </c:pt>
                <c:pt idx="13">
                  <c:v>644213.49095807108</c:v>
                </c:pt>
                <c:pt idx="14">
                  <c:v>653337.7248376013</c:v>
                </c:pt>
                <c:pt idx="15">
                  <c:v>660621.06578335713</c:v>
                </c:pt>
                <c:pt idx="16">
                  <c:v>666546.80842870963</c:v>
                </c:pt>
                <c:pt idx="17">
                  <c:v>671206.74217600585</c:v>
                </c:pt>
                <c:pt idx="18">
                  <c:v>674974.23564273154</c:v>
                </c:pt>
                <c:pt idx="19">
                  <c:v>678117.52073805872</c:v>
                </c:pt>
              </c:numCache>
            </c:numRef>
          </c:val>
          <c:smooth val="0"/>
          <c:extLst>
            <c:ext xmlns:c16="http://schemas.microsoft.com/office/drawing/2014/chart" uri="{C3380CC4-5D6E-409C-BE32-E72D297353CC}">
              <c16:uniqueId val="{00000012-F222-4AA8-AE80-E6ABAA7C504E}"/>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scaling>
        <c:delete val="0"/>
        <c:axPos val="l"/>
        <c:majorGridlines>
          <c:spPr>
            <a:ln>
              <a:prstDash val="dash"/>
            </a:ln>
          </c:spPr>
        </c:majorGridlines>
        <c:numFmt formatCode="#,##0" sourceLinked="1"/>
        <c:majorTickMark val="out"/>
        <c:minorTickMark val="none"/>
        <c:tickLblPos val="nextTo"/>
        <c:crossAx val="-1178461584"/>
        <c:crosses val="autoZero"/>
        <c:crossBetween val="between"/>
      </c:valAx>
      <c:spPr>
        <a:noFill/>
        <a:ln w="25400">
          <a:noFill/>
        </a:ln>
      </c:spPr>
    </c:plotArea>
    <c:legend>
      <c:legendPos val="b"/>
      <c:layout>
        <c:manualLayout>
          <c:xMode val="edge"/>
          <c:yMode val="edge"/>
          <c:x val="4.1180891792603307E-2"/>
          <c:y val="0.67840903712201039"/>
          <c:w val="0.93529728155227809"/>
          <c:h val="0.29831461768052003"/>
        </c:manualLayout>
      </c:layout>
      <c:overlay val="0"/>
      <c:txPr>
        <a:bodyPr/>
        <a:lstStyle/>
        <a:p>
          <a:pPr>
            <a:defRPr baseline="0"/>
          </a:pPr>
          <a:endParaRPr lang="en-US"/>
        </a:p>
      </c:txPr>
    </c:legend>
    <c:plotVisOnly val="1"/>
    <c:dispBlanksAs val="gap"/>
    <c:showDLblsOverMax val="0"/>
  </c:char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Total System Requirements vs Committed Resources</a:t>
            </a:r>
          </a:p>
          <a:p>
            <a:pPr>
              <a:defRPr sz="1200"/>
            </a:pPr>
            <a:r>
              <a:rPr lang="en-US" sz="1200"/>
              <a:t>100% Renewable</a:t>
            </a:r>
          </a:p>
        </c:rich>
      </c:tx>
      <c:overlay val="0"/>
    </c:title>
    <c:autoTitleDeleted val="0"/>
    <c:plotArea>
      <c:layout>
        <c:manualLayout>
          <c:layoutTarget val="inner"/>
          <c:xMode val="edge"/>
          <c:yMode val="edge"/>
          <c:x val="7.1448552048772845E-2"/>
          <c:y val="7.0338680114446162E-2"/>
          <c:w val="0.91241014394877307"/>
          <c:h val="0.79892558145532699"/>
        </c:manualLayout>
      </c:layout>
      <c:barChart>
        <c:barDir val="col"/>
        <c:grouping val="stacked"/>
        <c:varyColors val="0"/>
        <c:ser>
          <c:idx val="15"/>
          <c:order val="3"/>
          <c:tx>
            <c:v>Total Renewable Resources</c:v>
          </c:tx>
          <c:spPr>
            <a:solidFill>
              <a:srgbClr val="00B05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'Annual Energy Data'!$DT$23:$DT$50</c15:sqref>
                  </c15:fullRef>
                </c:ext>
              </c:extLst>
              <c:f>'Annual Energy Data'!$DT$26:$DT$45</c:f>
              <c:numCache>
                <c:formatCode>#,##0</c:formatCode>
                <c:ptCount val="20"/>
                <c:pt idx="0">
                  <c:v>405060.99561874371</c:v>
                </c:pt>
                <c:pt idx="1">
                  <c:v>405884.17208751471</c:v>
                </c:pt>
                <c:pt idx="2">
                  <c:v>367376.4166983937</c:v>
                </c:pt>
                <c:pt idx="3">
                  <c:v>367309.25862437306</c:v>
                </c:pt>
                <c:pt idx="4">
                  <c:v>354851.31347395747</c:v>
                </c:pt>
                <c:pt idx="5">
                  <c:v>285599.00904603378</c:v>
                </c:pt>
                <c:pt idx="6">
                  <c:v>273558.98447373224</c:v>
                </c:pt>
                <c:pt idx="7">
                  <c:v>249939.62768852315</c:v>
                </c:pt>
                <c:pt idx="8">
                  <c:v>245320.14117333136</c:v>
                </c:pt>
                <c:pt idx="9">
                  <c:v>235705.77724919331</c:v>
                </c:pt>
                <c:pt idx="10">
                  <c:v>170663.29610740574</c:v>
                </c:pt>
                <c:pt idx="11">
                  <c:v>169950.48828546391</c:v>
                </c:pt>
                <c:pt idx="12">
                  <c:v>141007.61049856333</c:v>
                </c:pt>
                <c:pt idx="13">
                  <c:v>106224.28559550404</c:v>
                </c:pt>
                <c:pt idx="14">
                  <c:v>104053.95744485893</c:v>
                </c:pt>
                <c:pt idx="15">
                  <c:v>102809.41576574702</c:v>
                </c:pt>
                <c:pt idx="16">
                  <c:v>99735.809717575699</c:v>
                </c:pt>
                <c:pt idx="17">
                  <c:v>64130.289652674401</c:v>
                </c:pt>
                <c:pt idx="18">
                  <c:v>63644.162579877564</c:v>
                </c:pt>
                <c:pt idx="19">
                  <c:v>61448.546724937536</c:v>
                </c:pt>
              </c:numCache>
            </c:numRef>
          </c:val>
          <c:extLst xmlns:c15="http://schemas.microsoft.com/office/drawing/2012/chart">
            <c:ext xmlns:c15="http://schemas.microsoft.com/office/drawing/2012/chart" uri="{02D57815-91ED-43cb-92C2-25804820EDAC}">
              <c15:categoryFilterExceptions>
                <c15:categoryFilterException>
                  <c15:sqref>'Annual Energy Data'!$DT$25</c15:sqref>
                  <c15:invertIfNegative val="0"/>
                  <c15:bubble3D val="0"/>
                </c15:categoryFilterException>
              </c15:categoryFilterExceptions>
            </c:ext>
            <c:ext xmlns:c16="http://schemas.microsoft.com/office/drawing/2014/chart" uri="{C3380CC4-5D6E-409C-BE32-E72D297353CC}">
              <c16:uniqueId val="{00000013-1428-4961-876F-EECEE63F618C}"/>
            </c:ext>
          </c:extLst>
        </c:ser>
        <c:dLbls>
          <c:showLegendKey val="0"/>
          <c:showVal val="0"/>
          <c:showCatName val="0"/>
          <c:showSerName val="0"/>
          <c:showPercent val="0"/>
          <c:showBubbleSize val="0"/>
        </c:dLbls>
        <c:gapWidth val="150"/>
        <c:overlap val="100"/>
        <c:axId val="-1178461584"/>
        <c:axId val="-1178461040"/>
        <c:extLst/>
      </c:barChart>
      <c:lineChart>
        <c:grouping val="standard"/>
        <c:varyColors val="0"/>
        <c:ser>
          <c:idx val="17"/>
          <c:order val="0"/>
          <c:tx>
            <c:strRef>
              <c:f>'Total Sys Data - MOU I.2'!$G$5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I.2'!$G$14:$G$41</c15:sqref>
                  </c15:fullRef>
                </c:ext>
              </c:extLst>
              <c:f>'Total Sys Data - MOU I.2'!$G$17:$G$36</c:f>
              <c:numCache>
                <c:formatCode>#,##0</c:formatCode>
                <c:ptCount val="20"/>
                <c:pt idx="0">
                  <c:v>551119.24048483884</c:v>
                </c:pt>
                <c:pt idx="1">
                  <c:v>561801.20006497123</c:v>
                </c:pt>
                <c:pt idx="2">
                  <c:v>574238.09425297996</c:v>
                </c:pt>
                <c:pt idx="3">
                  <c:v>588925.42292387283</c:v>
                </c:pt>
                <c:pt idx="4">
                  <c:v>604371.2686899699</c:v>
                </c:pt>
                <c:pt idx="5">
                  <c:v>620873.47339124524</c:v>
                </c:pt>
                <c:pt idx="6">
                  <c:v>638688.24670604919</c:v>
                </c:pt>
                <c:pt idx="7">
                  <c:v>657164.28327400493</c:v>
                </c:pt>
                <c:pt idx="8">
                  <c:v>676250.96556458564</c:v>
                </c:pt>
                <c:pt idx="9">
                  <c:v>695043.4194148333</c:v>
                </c:pt>
                <c:pt idx="10">
                  <c:v>713975.43825101119</c:v>
                </c:pt>
                <c:pt idx="11">
                  <c:v>733141.30112139042</c:v>
                </c:pt>
                <c:pt idx="12">
                  <c:v>751528.19713254215</c:v>
                </c:pt>
                <c:pt idx="13">
                  <c:v>768552.28858287516</c:v>
                </c:pt>
                <c:pt idx="14">
                  <c:v>782587.65066748532</c:v>
                </c:pt>
                <c:pt idx="15">
                  <c:v>793532.27899898123</c:v>
                </c:pt>
                <c:pt idx="16">
                  <c:v>803176.88283081586</c:v>
                </c:pt>
                <c:pt idx="17">
                  <c:v>812434.2463305915</c:v>
                </c:pt>
                <c:pt idx="18">
                  <c:v>821737.4770022328</c:v>
                </c:pt>
                <c:pt idx="19">
                  <c:v>831023.28535918146</c:v>
                </c:pt>
              </c:numCache>
            </c:numRef>
          </c:val>
          <c:smooth val="0"/>
          <c:extLst>
            <c:ext xmlns:c16="http://schemas.microsoft.com/office/drawing/2014/chart" uri="{C3380CC4-5D6E-409C-BE32-E72D297353CC}">
              <c16:uniqueId val="{00000014-1428-4961-876F-EECEE63F618C}"/>
            </c:ext>
          </c:extLst>
        </c:ser>
        <c:ser>
          <c:idx val="18"/>
          <c:order val="1"/>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I.2'!$F$14:$F$41</c15:sqref>
                  </c15:fullRef>
                </c:ext>
              </c:extLst>
              <c:f>'Total Sys Data - MOU I.2'!$F$17:$F$36</c:f>
              <c:numCache>
                <c:formatCode>#,##0</c:formatCode>
                <c:ptCount val="20"/>
                <c:pt idx="0">
                  <c:v>534404.08729551674</c:v>
                </c:pt>
                <c:pt idx="1">
                  <c:v>547481.26902155788</c:v>
                </c:pt>
                <c:pt idx="2">
                  <c:v>562334.2564463201</c:v>
                </c:pt>
                <c:pt idx="3">
                  <c:v>579139.85812221037</c:v>
                </c:pt>
                <c:pt idx="4">
                  <c:v>597537.20891604316</c:v>
                </c:pt>
                <c:pt idx="5">
                  <c:v>616126.88040439831</c:v>
                </c:pt>
                <c:pt idx="6">
                  <c:v>634675.02635726519</c:v>
                </c:pt>
                <c:pt idx="7">
                  <c:v>652630.18622720416</c:v>
                </c:pt>
                <c:pt idx="8">
                  <c:v>669823.98617135419</c:v>
                </c:pt>
                <c:pt idx="9">
                  <c:v>684634.91834434343</c:v>
                </c:pt>
                <c:pt idx="10">
                  <c:v>696152.57991366449</c:v>
                </c:pt>
                <c:pt idx="11">
                  <c:v>704881.09830864915</c:v>
                </c:pt>
                <c:pt idx="12">
                  <c:v>711330.67528154957</c:v>
                </c:pt>
                <c:pt idx="13">
                  <c:v>716120.86595409201</c:v>
                </c:pt>
                <c:pt idx="14">
                  <c:v>719620.63688443974</c:v>
                </c:pt>
                <c:pt idx="15">
                  <c:v>722223.80304426048</c:v>
                </c:pt>
                <c:pt idx="16">
                  <c:v>723086.74512119894</c:v>
                </c:pt>
                <c:pt idx="17">
                  <c:v>722234.8835808289</c:v>
                </c:pt>
                <c:pt idx="18">
                  <c:v>721107.35357227386</c:v>
                </c:pt>
                <c:pt idx="19">
                  <c:v>719961.51587993989</c:v>
                </c:pt>
              </c:numCache>
            </c:numRef>
          </c:val>
          <c:smooth val="0"/>
          <c:extLst>
            <c:ext xmlns:c16="http://schemas.microsoft.com/office/drawing/2014/chart" uri="{C3380CC4-5D6E-409C-BE32-E72D297353CC}">
              <c16:uniqueId val="{00000015-1428-4961-876F-EECEE63F618C}"/>
            </c:ext>
          </c:extLst>
        </c:ser>
        <c:ser>
          <c:idx val="19"/>
          <c:order val="2"/>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I.2'!$H$14:$H$41</c15:sqref>
                  </c15:fullRef>
                </c:ext>
              </c:extLst>
              <c:f>'Total Sys Data - MOU I.2'!$H$17:$H$36</c:f>
              <c:numCache>
                <c:formatCode>#,##0</c:formatCode>
                <c:ptCount val="20"/>
                <c:pt idx="0">
                  <c:v>509047.36339775816</c:v>
                </c:pt>
                <c:pt idx="1">
                  <c:v>513021.74839042296</c:v>
                </c:pt>
                <c:pt idx="2">
                  <c:v>518347.88756713568</c:v>
                </c:pt>
                <c:pt idx="3">
                  <c:v>525077.80000335269</c:v>
                </c:pt>
                <c:pt idx="4">
                  <c:v>533253.6763444189</c:v>
                </c:pt>
                <c:pt idx="5">
                  <c:v>542625.64259943168</c:v>
                </c:pt>
                <c:pt idx="6">
                  <c:v>553259.15443177917</c:v>
                </c:pt>
                <c:pt idx="7">
                  <c:v>565231.52055125812</c:v>
                </c:pt>
                <c:pt idx="8">
                  <c:v>578445.00235747173</c:v>
                </c:pt>
                <c:pt idx="9">
                  <c:v>592612.44988284016</c:v>
                </c:pt>
                <c:pt idx="10">
                  <c:v>606943.02648805513</c:v>
                </c:pt>
                <c:pt idx="11">
                  <c:v>620684.50300369866</c:v>
                </c:pt>
                <c:pt idx="12">
                  <c:v>633249.93557360559</c:v>
                </c:pt>
                <c:pt idx="13">
                  <c:v>644213.49095807108</c:v>
                </c:pt>
                <c:pt idx="14">
                  <c:v>653337.7248376013</c:v>
                </c:pt>
                <c:pt idx="15">
                  <c:v>660621.06578335713</c:v>
                </c:pt>
                <c:pt idx="16">
                  <c:v>666546.80842870963</c:v>
                </c:pt>
                <c:pt idx="17">
                  <c:v>671206.74217600585</c:v>
                </c:pt>
                <c:pt idx="18">
                  <c:v>674974.23564273154</c:v>
                </c:pt>
                <c:pt idx="19">
                  <c:v>678117.52073805872</c:v>
                </c:pt>
              </c:numCache>
            </c:numRef>
          </c:val>
          <c:smooth val="0"/>
          <c:extLst>
            <c:ext xmlns:c16="http://schemas.microsoft.com/office/drawing/2014/chart" uri="{C3380CC4-5D6E-409C-BE32-E72D297353CC}">
              <c16:uniqueId val="{00000016-1428-4961-876F-EECEE63F618C}"/>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scaling>
        <c:delete val="0"/>
        <c:axPos val="l"/>
        <c:majorGridlines>
          <c:spPr>
            <a:ln>
              <a:prstDash val="dash"/>
            </a:ln>
          </c:spPr>
        </c:majorGridlines>
        <c:numFmt formatCode="#,##0" sourceLinked="1"/>
        <c:majorTickMark val="out"/>
        <c:minorTickMark val="none"/>
        <c:tickLblPos val="nextTo"/>
        <c:crossAx val="-1178461584"/>
        <c:crosses val="autoZero"/>
        <c:crossBetween val="between"/>
      </c:valAx>
      <c:spPr>
        <a:noFill/>
        <a:ln w="25400">
          <a:noFill/>
        </a:ln>
      </c:spPr>
    </c:plotArea>
    <c:legend>
      <c:legendPos val="b"/>
      <c:layout>
        <c:manualLayout>
          <c:xMode val="edge"/>
          <c:yMode val="edge"/>
          <c:x val="7.7565307923470453E-2"/>
          <c:y val="0.92009683209478499"/>
          <c:w val="0.90713469957489989"/>
          <c:h val="6.4763218745243933E-2"/>
        </c:manualLayout>
      </c:layout>
      <c:overlay val="0"/>
      <c:txPr>
        <a:bodyPr/>
        <a:lstStyle/>
        <a:p>
          <a:pPr>
            <a:defRPr baseline="0"/>
          </a:pPr>
          <a:endParaRPr lang="en-US"/>
        </a:p>
      </c:txPr>
    </c:legend>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Total System Requirements vs Committed Resources</a:t>
            </a:r>
          </a:p>
        </c:rich>
      </c:tx>
      <c:overlay val="0"/>
    </c:title>
    <c:autoTitleDeleted val="0"/>
    <c:plotArea>
      <c:layout>
        <c:manualLayout>
          <c:layoutTarget val="inner"/>
          <c:xMode val="edge"/>
          <c:yMode val="edge"/>
          <c:x val="6.8514979422661076E-2"/>
          <c:y val="7.0338689877384661E-2"/>
          <c:w val="0.91241014394877307"/>
          <c:h val="0.55023705360906539"/>
        </c:manualLayout>
      </c:layout>
      <c:barChart>
        <c:barDir val="col"/>
        <c:grouping val="stacked"/>
        <c:varyColors val="0"/>
        <c:ser>
          <c:idx val="1"/>
          <c:order val="1"/>
          <c:tx>
            <c:strRef>
              <c:f>'Total Sys Data - MOU I.2'!$K$5</c:f>
              <c:strCache>
                <c:ptCount val="1"/>
                <c:pt idx="0">
                  <c:v>HQUS - VEC</c:v>
                </c:pt>
              </c:strCache>
            </c:strRef>
          </c:tx>
          <c:spPr>
            <a:pattFill prst="ltDnDiag">
              <a:fgClr>
                <a:schemeClr val="accent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I.2'!$K$14:$K$41</c15:sqref>
                  </c15:fullRef>
                </c:ext>
              </c:extLst>
              <c:f>'Total Sys Data - MOU I.2'!$K$17:$K$36</c:f>
              <c:numCache>
                <c:formatCode>#,##0</c:formatCode>
                <c:ptCount val="20"/>
                <c:pt idx="0">
                  <c:v>116800</c:v>
                </c:pt>
                <c:pt idx="1">
                  <c:v>116800</c:v>
                </c:pt>
                <c:pt idx="2">
                  <c:v>117120</c:v>
                </c:pt>
                <c:pt idx="3">
                  <c:v>116800</c:v>
                </c:pt>
                <c:pt idx="4">
                  <c:v>103960.72</c:v>
                </c:pt>
                <c:pt idx="5">
                  <c:v>39974.799999999996</c:v>
                </c:pt>
                <c:pt idx="6">
                  <c:v>40084.32</c:v>
                </c:pt>
                <c:pt idx="7">
                  <c:v>39974.799999999996</c:v>
                </c:pt>
                <c:pt idx="8">
                  <c:v>39974.799999999996</c:v>
                </c:pt>
                <c:pt idx="9">
                  <c:v>39974.799999999996</c:v>
                </c:pt>
                <c:pt idx="10">
                  <c:v>40084.32</c:v>
                </c:pt>
                <c:pt idx="11">
                  <c:v>39974.799999999996</c:v>
                </c:pt>
                <c:pt idx="12">
                  <c:v>33294.079999999994</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EAB6-4650-8355-CEFC5AB92ED2}"/>
            </c:ext>
          </c:extLst>
        </c:ser>
        <c:ser>
          <c:idx val="2"/>
          <c:order val="2"/>
          <c:tx>
            <c:strRef>
              <c:f>'Total Sys Data - MOU I.2'!$L$5</c:f>
              <c:strCache>
                <c:ptCount val="1"/>
                <c:pt idx="0">
                  <c:v>HQ US - WEC</c:v>
                </c:pt>
              </c:strCache>
            </c:strRef>
          </c:tx>
          <c:spPr>
            <a:solidFill>
              <a:schemeClr val="accent3"/>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I.2'!$L$14:$L$41</c15:sqref>
                  </c15:fullRef>
                </c:ext>
              </c:extLst>
              <c:f>'Total Sys Data - MOU I.2'!$L$17:$L$36</c:f>
              <c:numCache>
                <c:formatCode>#,##0</c:formatCode>
                <c:ptCount val="20"/>
                <c:pt idx="0">
                  <c:v>11680</c:v>
                </c:pt>
                <c:pt idx="1">
                  <c:v>11680</c:v>
                </c:pt>
                <c:pt idx="2">
                  <c:v>11712</c:v>
                </c:pt>
                <c:pt idx="3">
                  <c:v>11680</c:v>
                </c:pt>
                <c:pt idx="4">
                  <c:v>11680</c:v>
                </c:pt>
                <c:pt idx="5">
                  <c:v>11680</c:v>
                </c:pt>
                <c:pt idx="6">
                  <c:v>11712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EAB6-4650-8355-CEFC5AB92ED2}"/>
            </c:ext>
          </c:extLst>
        </c:ser>
        <c:ser>
          <c:idx val="3"/>
          <c:order val="3"/>
          <c:tx>
            <c:strRef>
              <c:f>'Total Sys Data - MOU I.2'!$M$5</c:f>
              <c:strCache>
                <c:ptCount val="1"/>
                <c:pt idx="0">
                  <c:v>NYPA</c:v>
                </c:pt>
              </c:strCache>
            </c:strRef>
          </c:tx>
          <c:spPr>
            <a:pattFill prst="ltUpDiag">
              <a:fgClr>
                <a:schemeClr val="accent4"/>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I.2'!$M$14:$M$41</c15:sqref>
                  </c15:fullRef>
                </c:ext>
              </c:extLst>
              <c:f>'Total Sys Data - MOU I.2'!$M$17:$M$36</c:f>
              <c:numCache>
                <c:formatCode>#,##0</c:formatCode>
                <c:ptCount val="20"/>
                <c:pt idx="0">
                  <c:v>39082.345000000008</c:v>
                </c:pt>
                <c:pt idx="1">
                  <c:v>39082.345000000008</c:v>
                </c:pt>
                <c:pt idx="2">
                  <c:v>39082.345000000008</c:v>
                </c:pt>
                <c:pt idx="3">
                  <c:v>39082.345000000008</c:v>
                </c:pt>
                <c:pt idx="4">
                  <c:v>39082.345000000008</c:v>
                </c:pt>
                <c:pt idx="5">
                  <c:v>39082.345000000008</c:v>
                </c:pt>
                <c:pt idx="6">
                  <c:v>39082.345000000008</c:v>
                </c:pt>
                <c:pt idx="7">
                  <c:v>39082.345000000008</c:v>
                </c:pt>
                <c:pt idx="8">
                  <c:v>39082.345000000008</c:v>
                </c:pt>
                <c:pt idx="9">
                  <c:v>39082.345000000008</c:v>
                </c:pt>
                <c:pt idx="10">
                  <c:v>39082.345000000008</c:v>
                </c:pt>
                <c:pt idx="11">
                  <c:v>39082.345000000008</c:v>
                </c:pt>
                <c:pt idx="12">
                  <c:v>39082.345000000008</c:v>
                </c:pt>
                <c:pt idx="13">
                  <c:v>39082.345000000008</c:v>
                </c:pt>
                <c:pt idx="14">
                  <c:v>39082.345000000008</c:v>
                </c:pt>
                <c:pt idx="15">
                  <c:v>39082.345000000008</c:v>
                </c:pt>
                <c:pt idx="16">
                  <c:v>39082.345000000008</c:v>
                </c:pt>
                <c:pt idx="17">
                  <c:v>39082.345000000008</c:v>
                </c:pt>
                <c:pt idx="18">
                  <c:v>39082.345000000008</c:v>
                </c:pt>
                <c:pt idx="19">
                  <c:v>39082.345000000008</c:v>
                </c:pt>
              </c:numCache>
            </c:numRef>
          </c:val>
          <c:extLst>
            <c:ext xmlns:c16="http://schemas.microsoft.com/office/drawing/2014/chart" uri="{C3380CC4-5D6E-409C-BE32-E72D297353CC}">
              <c16:uniqueId val="{00000003-EAB6-4650-8355-CEFC5AB92ED2}"/>
            </c:ext>
          </c:extLst>
        </c:ser>
        <c:ser>
          <c:idx val="4"/>
          <c:order val="4"/>
          <c:tx>
            <c:strRef>
              <c:f>'Total Sys Data - MOU I.2'!$N$5</c:f>
              <c:strCache>
                <c:ptCount val="1"/>
                <c:pt idx="0">
                  <c:v>VEC Sys Hydro</c:v>
                </c:pt>
              </c:strCache>
            </c:strRef>
          </c:tx>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I.2'!$N$14:$N$41</c15:sqref>
                  </c15:fullRef>
                </c:ext>
              </c:extLst>
              <c:f>'Total Sys Data - MOU I.2'!$N$17:$N$36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EAB6-4650-8355-CEFC5AB92ED2}"/>
            </c:ext>
          </c:extLst>
        </c:ser>
        <c:ser>
          <c:idx val="5"/>
          <c:order val="5"/>
          <c:tx>
            <c:strRef>
              <c:f>'Total Sys Data - MOU I.2'!$O$5</c:f>
              <c:strCache>
                <c:ptCount val="1"/>
                <c:pt idx="0">
                  <c:v>Ryegate</c:v>
                </c:pt>
              </c:strCache>
            </c:strRef>
          </c:tx>
          <c:spPr>
            <a:solidFill>
              <a:schemeClr val="accent6"/>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I.2'!$O$14:$O$41</c15:sqref>
                  </c15:fullRef>
                </c:ext>
              </c:extLst>
              <c:f>'Total Sys Data - MOU I.2'!$O$17:$O$36</c:f>
              <c:numCache>
                <c:formatCode>#,##0</c:formatCode>
                <c:ptCount val="20"/>
                <c:pt idx="0">
                  <c:v>13626.101309630476</c:v>
                </c:pt>
                <c:pt idx="1">
                  <c:v>13626.101309630476</c:v>
                </c:pt>
                <c:pt idx="2">
                  <c:v>13626.101309630476</c:v>
                </c:pt>
                <c:pt idx="3">
                  <c:v>13626.101309630476</c:v>
                </c:pt>
                <c:pt idx="4">
                  <c:v>13626.101309630476</c:v>
                </c:pt>
                <c:pt idx="5">
                  <c:v>13626.101309630476</c:v>
                </c:pt>
                <c:pt idx="6">
                  <c:v>11347.727874750475</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EAB6-4650-8355-CEFC5AB92ED2}"/>
            </c:ext>
          </c:extLst>
        </c:ser>
        <c:ser>
          <c:idx val="6"/>
          <c:order val="6"/>
          <c:tx>
            <c:strRef>
              <c:f>'Total Sys Data - MOU I.2'!$P$5</c:f>
              <c:strCache>
                <c:ptCount val="1"/>
                <c:pt idx="0">
                  <c:v>KCW</c:v>
                </c:pt>
              </c:strCache>
            </c:strRef>
          </c:tx>
          <c:spPr>
            <a:pattFill prst="ltDnDiag">
              <a:fgClr>
                <a:schemeClr val="accent1"/>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I.2'!$P$14:$P$41</c15:sqref>
                  </c15:fullRef>
                </c:ext>
              </c:extLst>
              <c:f>'Total Sys Data - MOU I.2'!$P$17:$P$36</c:f>
              <c:numCache>
                <c:formatCode>#,##0</c:formatCode>
                <c:ptCount val="20"/>
                <c:pt idx="0">
                  <c:v>21326.281999999999</c:v>
                </c:pt>
                <c:pt idx="1">
                  <c:v>21326.281999999999</c:v>
                </c:pt>
                <c:pt idx="2">
                  <c:v>21326.281999999999</c:v>
                </c:pt>
                <c:pt idx="3">
                  <c:v>21326.281999999999</c:v>
                </c:pt>
                <c:pt idx="4">
                  <c:v>21326.281999999999</c:v>
                </c:pt>
                <c:pt idx="5">
                  <c:v>21326.281999999999</c:v>
                </c:pt>
                <c:pt idx="6">
                  <c:v>21326.281999999999</c:v>
                </c:pt>
                <c:pt idx="7">
                  <c:v>21326.281999999999</c:v>
                </c:pt>
                <c:pt idx="8">
                  <c:v>21326.281999999999</c:v>
                </c:pt>
                <c:pt idx="9">
                  <c:v>21326.281999999999</c:v>
                </c:pt>
                <c:pt idx="10">
                  <c:v>21326.281999999999</c:v>
                </c:pt>
                <c:pt idx="11">
                  <c:v>21188.506000000001</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EAB6-4650-8355-CEFC5AB92ED2}"/>
            </c:ext>
          </c:extLst>
        </c:ser>
        <c:ser>
          <c:idx val="7"/>
          <c:order val="7"/>
          <c:tx>
            <c:strRef>
              <c:f>'Total Sys Data - MOU I.2'!$Q$5</c:f>
              <c:strCache>
                <c:ptCount val="1"/>
                <c:pt idx="0">
                  <c:v>Sheffield</c:v>
                </c:pt>
              </c:strCache>
            </c:strRef>
          </c:tx>
          <c:spPr>
            <a:solidFill>
              <a:schemeClr val="accent2"/>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I.2'!$Q$14:$Q$41</c15:sqref>
                  </c15:fullRef>
                </c:ext>
              </c:extLst>
              <c:f>'Total Sys Data - MOU I.2'!$Q$17:$Q$36</c:f>
              <c:numCache>
                <c:formatCode>#,##0</c:formatCode>
                <c:ptCount val="20"/>
                <c:pt idx="0">
                  <c:v>15644.934999999998</c:v>
                </c:pt>
                <c:pt idx="1">
                  <c:v>15644.934999999998</c:v>
                </c:pt>
                <c:pt idx="2">
                  <c:v>15644.934999999998</c:v>
                </c:pt>
                <c:pt idx="3">
                  <c:v>15644.934999999998</c:v>
                </c:pt>
                <c:pt idx="4">
                  <c:v>15644.934999999998</c:v>
                </c:pt>
                <c:pt idx="5">
                  <c:v>10215.179999999998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EAB6-4650-8355-CEFC5AB92ED2}"/>
            </c:ext>
          </c:extLst>
        </c:ser>
        <c:ser>
          <c:idx val="8"/>
          <c:order val="8"/>
          <c:tx>
            <c:strRef>
              <c:f>'Total Sys Data - MOU I.2'!$R$5</c:f>
              <c:strCache>
                <c:ptCount val="1"/>
                <c:pt idx="0">
                  <c:v>Standard Offer</c:v>
                </c:pt>
              </c:strCache>
            </c:strRef>
          </c:tx>
          <c:spPr>
            <a:pattFill prst="ltUpDiag">
              <a:fgClr>
                <a:schemeClr val="accent3"/>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I.2'!$R$14:$R$41</c15:sqref>
                  </c15:fullRef>
                </c:ext>
              </c:extLst>
              <c:f>'Total Sys Data - MOU I.2'!$R$17:$R$36</c:f>
              <c:numCache>
                <c:formatCode>#,##0</c:formatCode>
                <c:ptCount val="20"/>
                <c:pt idx="0">
                  <c:v>24240.579198919313</c:v>
                </c:pt>
                <c:pt idx="1">
                  <c:v>24240.579198919313</c:v>
                </c:pt>
                <c:pt idx="2">
                  <c:v>24240.579198919313</c:v>
                </c:pt>
                <c:pt idx="3">
                  <c:v>24240.579198919313</c:v>
                </c:pt>
                <c:pt idx="4">
                  <c:v>23687.309625901577</c:v>
                </c:pt>
                <c:pt idx="5">
                  <c:v>22480.277331318477</c:v>
                </c:pt>
                <c:pt idx="6">
                  <c:v>22096.519032520115</c:v>
                </c:pt>
                <c:pt idx="7">
                  <c:v>21678.818987417155</c:v>
                </c:pt>
                <c:pt idx="8">
                  <c:v>21278.130860380184</c:v>
                </c:pt>
                <c:pt idx="9">
                  <c:v>21223.151654515084</c:v>
                </c:pt>
                <c:pt idx="10">
                  <c:v>20685.127510960221</c:v>
                </c:pt>
                <c:pt idx="11">
                  <c:v>20215.896379748039</c:v>
                </c:pt>
                <c:pt idx="12">
                  <c:v>19122.926704312446</c:v>
                </c:pt>
                <c:pt idx="13">
                  <c:v>17583.098078059018</c:v>
                </c:pt>
                <c:pt idx="14">
                  <c:v>15340.101627517215</c:v>
                </c:pt>
                <c:pt idx="15">
                  <c:v>14131.642055142078</c:v>
                </c:pt>
                <c:pt idx="16">
                  <c:v>12523.80282419064</c:v>
                </c:pt>
                <c:pt idx="17">
                  <c:v>11028.433631574659</c:v>
                </c:pt>
                <c:pt idx="18">
                  <c:v>10565.73237757724</c:v>
                </c:pt>
                <c:pt idx="19">
                  <c:v>9903.1627649343609</c:v>
                </c:pt>
              </c:numCache>
            </c:numRef>
          </c:val>
          <c:extLst>
            <c:ext xmlns:c16="http://schemas.microsoft.com/office/drawing/2014/chart" uri="{C3380CC4-5D6E-409C-BE32-E72D297353CC}">
              <c16:uniqueId val="{00000008-EAB6-4650-8355-CEFC5AB92ED2}"/>
            </c:ext>
          </c:extLst>
        </c:ser>
        <c:ser>
          <c:idx val="9"/>
          <c:order val="9"/>
          <c:tx>
            <c:strRef>
              <c:f>'Total Sys Data - MOU I.2'!$S$5</c:f>
              <c:strCache>
                <c:ptCount val="1"/>
                <c:pt idx="0">
                  <c:v>Next Era - Seabrook</c:v>
                </c:pt>
              </c:strCache>
            </c:strRef>
          </c:tx>
          <c:spPr>
            <a:solidFill>
              <a:srgbClr val="FFFF0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I.2'!$S$14:$S$41</c15:sqref>
                  </c15:fullRef>
                </c:ext>
              </c:extLst>
              <c:f>'Total Sys Data - MOU I.2'!$S$17:$S$36</c:f>
              <c:numCache>
                <c:formatCode>#,##0</c:formatCode>
                <c:ptCount val="20"/>
                <c:pt idx="0">
                  <c:v>78390</c:v>
                </c:pt>
                <c:pt idx="1">
                  <c:v>78156</c:v>
                </c:pt>
                <c:pt idx="2">
                  <c:v>85644</c:v>
                </c:pt>
                <c:pt idx="3">
                  <c:v>78390</c:v>
                </c:pt>
                <c:pt idx="4">
                  <c:v>78156</c:v>
                </c:pt>
                <c:pt idx="5">
                  <c:v>85410</c:v>
                </c:pt>
                <c:pt idx="6">
                  <c:v>78624</c:v>
                </c:pt>
                <c:pt idx="7">
                  <c:v>78156</c:v>
                </c:pt>
                <c:pt idx="8">
                  <c:v>85410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9-EAB6-4650-8355-CEFC5AB92ED2}"/>
            </c:ext>
          </c:extLst>
        </c:ser>
        <c:ser>
          <c:idx val="15"/>
          <c:order val="11"/>
          <c:tx>
            <c:strRef>
              <c:f>'Total Sys Data - MOU I.2'!$Y$5</c:f>
              <c:strCache>
                <c:ptCount val="1"/>
                <c:pt idx="0">
                  <c:v>Newport Hydro</c:v>
                </c:pt>
              </c:strCache>
            </c:strRef>
          </c:tx>
          <c:spPr>
            <a:solidFill>
              <a:schemeClr val="accent5">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I.2'!$Y$14:$Y$41</c15:sqref>
                  </c15:fullRef>
                </c:ext>
              </c:extLst>
              <c:f>'Total Sys Data - MOU I.2'!$Y$17:$Y$36</c:f>
              <c:numCache>
                <c:formatCode>#,##0</c:formatCode>
                <c:ptCount val="20"/>
                <c:pt idx="0">
                  <c:v>14251.333333333338</c:v>
                </c:pt>
                <c:pt idx="1">
                  <c:v>14251.333333333338</c:v>
                </c:pt>
                <c:pt idx="2">
                  <c:v>14251.333333333338</c:v>
                </c:pt>
                <c:pt idx="3">
                  <c:v>14251.333333333338</c:v>
                </c:pt>
                <c:pt idx="4">
                  <c:v>14251.333333333338</c:v>
                </c:pt>
                <c:pt idx="5">
                  <c:v>14251.333333333338</c:v>
                </c:pt>
                <c:pt idx="6">
                  <c:v>14251.333333333338</c:v>
                </c:pt>
                <c:pt idx="7">
                  <c:v>14251.333333333338</c:v>
                </c:pt>
                <c:pt idx="8">
                  <c:v>9807.0000000000018</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C-EAB6-4650-8355-CEFC5AB92ED2}"/>
            </c:ext>
          </c:extLst>
        </c:ser>
        <c:ser>
          <c:idx val="16"/>
          <c:order val="12"/>
          <c:tx>
            <c:strRef>
              <c:f>'Total Sys Data - MOU I.2'!$AD$5</c:f>
              <c:strCache>
                <c:ptCount val="1"/>
                <c:pt idx="0">
                  <c:v>Grand Isle Solar</c:v>
                </c:pt>
              </c:strCache>
            </c:strRef>
          </c:tx>
          <c:spPr>
            <a:pattFill prst="ltVert">
              <a:fgClr>
                <a:schemeClr val="tx2"/>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I.2'!$AD$14:$AD$41</c15:sqref>
                  </c15:fullRef>
                </c:ext>
              </c:extLst>
              <c:f>'Total Sys Data - MOU I.2'!$AD$17:$AD$36</c:f>
              <c:numCache>
                <c:formatCode>#,##0</c:formatCode>
                <c:ptCount val="20"/>
                <c:pt idx="0">
                  <c:v>7101.3701475857169</c:v>
                </c:pt>
                <c:pt idx="1">
                  <c:v>7065.8632968477878</c:v>
                </c:pt>
                <c:pt idx="2">
                  <c:v>7030.5339803635497</c:v>
                </c:pt>
                <c:pt idx="3">
                  <c:v>6995.3813104617311</c:v>
                </c:pt>
                <c:pt idx="4">
                  <c:v>6960.4044039094224</c:v>
                </c:pt>
                <c:pt idx="5">
                  <c:v>6925.6023818898757</c:v>
                </c:pt>
                <c:pt idx="6">
                  <c:v>6890.9743699804267</c:v>
                </c:pt>
                <c:pt idx="7">
                  <c:v>6856.519498130524</c:v>
                </c:pt>
                <c:pt idx="8">
                  <c:v>6822.2369006398712</c:v>
                </c:pt>
                <c:pt idx="9">
                  <c:v>6788.1257161366721</c:v>
                </c:pt>
                <c:pt idx="10">
                  <c:v>6754.1850875559885</c:v>
                </c:pt>
                <c:pt idx="11">
                  <c:v>6720.4141621182089</c:v>
                </c:pt>
                <c:pt idx="12">
                  <c:v>6686.8120913076173</c:v>
                </c:pt>
                <c:pt idx="13">
                  <c:v>6653.3780308510795</c:v>
                </c:pt>
                <c:pt idx="14">
                  <c:v>6620.1111406968239</c:v>
                </c:pt>
                <c:pt idx="15">
                  <c:v>6587.0105849933398</c:v>
                </c:pt>
                <c:pt idx="16">
                  <c:v>6554.0755320683729</c:v>
                </c:pt>
                <c:pt idx="17">
                  <c:v>0</c:v>
                </c:pt>
                <c:pt idx="18">
                  <c:v>0</c:v>
                </c:pt>
                <c:pt idx="19">
                  <c:v>0</c:v>
                </c:pt>
              </c:numCache>
            </c:numRef>
          </c:val>
          <c:extLst>
            <c:ext xmlns:c16="http://schemas.microsoft.com/office/drawing/2014/chart" uri="{C3380CC4-5D6E-409C-BE32-E72D297353CC}">
              <c16:uniqueId val="{0000000D-EAB6-4650-8355-CEFC5AB92ED2}"/>
            </c:ext>
          </c:extLst>
        </c:ser>
        <c:ser>
          <c:idx val="20"/>
          <c:order val="16"/>
          <c:tx>
            <c:strRef>
              <c:f>'Total Sys Data - MOU I.2'!$AB$5</c:f>
              <c:strCache>
                <c:ptCount val="1"/>
                <c:pt idx="0">
                  <c:v>Alburgh Solar</c:v>
                </c:pt>
              </c:strCache>
            </c:strRef>
          </c:tx>
          <c:spPr>
            <a:solidFill>
              <a:srgbClr val="FF000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I.2'!$AB$14:$AB$41</c15:sqref>
                  </c15:fullRef>
                </c:ext>
              </c:extLst>
              <c:f>'Total Sys Data - MOU I.2'!$AB$17:$AB$36</c:f>
              <c:numCache>
                <c:formatCode>#,##0</c:formatCode>
                <c:ptCount val="20"/>
                <c:pt idx="0">
                  <c:v>1502.096929133334</c:v>
                </c:pt>
                <c:pt idx="1">
                  <c:v>1494.5864444876672</c:v>
                </c:pt>
                <c:pt idx="2">
                  <c:v>1487.1135122652292</c:v>
                </c:pt>
                <c:pt idx="3">
                  <c:v>1479.6779447039028</c:v>
                </c:pt>
                <c:pt idx="4">
                  <c:v>1472.2795549803836</c:v>
                </c:pt>
                <c:pt idx="5">
                  <c:v>1464.9181572054813</c:v>
                </c:pt>
                <c:pt idx="6">
                  <c:v>1457.5935664194537</c:v>
                </c:pt>
                <c:pt idx="7">
                  <c:v>1450.3055985873568</c:v>
                </c:pt>
                <c:pt idx="8">
                  <c:v>1443.0540705944197</c:v>
                </c:pt>
                <c:pt idx="9">
                  <c:v>1435.8388002414474</c:v>
                </c:pt>
                <c:pt idx="10">
                  <c:v>1428.6596062402407</c:v>
                </c:pt>
                <c:pt idx="11">
                  <c:v>1421.5163082090392</c:v>
                </c:pt>
                <c:pt idx="12">
                  <c:v>1414.408726667994</c:v>
                </c:pt>
                <c:pt idx="13">
                  <c:v>1407.336683034654</c:v>
                </c:pt>
                <c:pt idx="14">
                  <c:v>1400.2999996194808</c:v>
                </c:pt>
                <c:pt idx="15">
                  <c:v>1393.2984996213834</c:v>
                </c:pt>
                <c:pt idx="16">
                  <c:v>0</c:v>
                </c:pt>
                <c:pt idx="17">
                  <c:v>0</c:v>
                </c:pt>
                <c:pt idx="18">
                  <c:v>0</c:v>
                </c:pt>
                <c:pt idx="19">
                  <c:v>0</c:v>
                </c:pt>
              </c:numCache>
            </c:numRef>
          </c:val>
          <c:extLst>
            <c:ext xmlns:c16="http://schemas.microsoft.com/office/drawing/2014/chart" uri="{C3380CC4-5D6E-409C-BE32-E72D297353CC}">
              <c16:uniqueId val="{0000000E-EAB6-4650-8355-CEFC5AB92ED2}"/>
            </c:ext>
          </c:extLst>
        </c:ser>
        <c:ser>
          <c:idx val="22"/>
          <c:order val="17"/>
          <c:tx>
            <c:strRef>
              <c:f>'Total Sys Data - MOU I.2'!$AC$5</c:f>
              <c:strCache>
                <c:ptCount val="1"/>
                <c:pt idx="0">
                  <c:v>Magee Hill Solar</c:v>
                </c:pt>
              </c:strCache>
            </c:strRef>
          </c:tx>
          <c:spPr>
            <a:solidFill>
              <a:schemeClr val="accent1">
                <a:lumMod val="40000"/>
                <a:lumOff val="6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I.2'!$AC$14:$AC$41</c15:sqref>
                  </c15:fullRef>
                </c:ext>
              </c:extLst>
              <c:f>'Total Sys Data - MOU I.2'!$AC$17:$AC$36</c:f>
              <c:numCache>
                <c:formatCode>#,##0</c:formatCode>
                <c:ptCount val="20"/>
                <c:pt idx="0">
                  <c:v>1962.163919473752</c:v>
                </c:pt>
                <c:pt idx="1">
                  <c:v>1952.3530998763833</c:v>
                </c:pt>
                <c:pt idx="2">
                  <c:v>1942.5913343770012</c:v>
                </c:pt>
                <c:pt idx="3">
                  <c:v>1932.8783777051162</c:v>
                </c:pt>
                <c:pt idx="4">
                  <c:v>1923.2139858165906</c:v>
                </c:pt>
                <c:pt idx="5">
                  <c:v>1913.5979158875077</c:v>
                </c:pt>
                <c:pt idx="6">
                  <c:v>1904.0299263080701</c:v>
                </c:pt>
                <c:pt idx="7">
                  <c:v>1894.5097766765298</c:v>
                </c:pt>
                <c:pt idx="8">
                  <c:v>1885.0372277931469</c:v>
                </c:pt>
                <c:pt idx="9">
                  <c:v>1875.6120416541814</c:v>
                </c:pt>
                <c:pt idx="10">
                  <c:v>1866.2339814459106</c:v>
                </c:pt>
                <c:pt idx="11">
                  <c:v>1856.9028115386809</c:v>
                </c:pt>
                <c:pt idx="12">
                  <c:v>1847.6182974809872</c:v>
                </c:pt>
                <c:pt idx="13">
                  <c:v>1838.3802059935824</c:v>
                </c:pt>
                <c:pt idx="14">
                  <c:v>1829.1883049636144</c:v>
                </c:pt>
                <c:pt idx="15">
                  <c:v>1820.0423634387967</c:v>
                </c:pt>
                <c:pt idx="16">
                  <c:v>1742.1417516018198</c:v>
                </c:pt>
                <c:pt idx="17">
                  <c:v>0</c:v>
                </c:pt>
                <c:pt idx="18">
                  <c:v>0</c:v>
                </c:pt>
                <c:pt idx="19">
                  <c:v>0</c:v>
                </c:pt>
              </c:numCache>
            </c:numRef>
          </c:val>
          <c:extLst>
            <c:ext xmlns:c16="http://schemas.microsoft.com/office/drawing/2014/chart" uri="{C3380CC4-5D6E-409C-BE32-E72D297353CC}">
              <c16:uniqueId val="{0000000F-EAB6-4650-8355-CEFC5AB92ED2}"/>
            </c:ext>
          </c:extLst>
        </c:ser>
        <c:ser>
          <c:idx val="21"/>
          <c:order val="18"/>
          <c:tx>
            <c:strRef>
              <c:f>'Total Sys Data - MOU I.2'!$AE$5</c:f>
              <c:strCache>
                <c:ptCount val="1"/>
                <c:pt idx="0">
                  <c:v>Jericho - Gravel Pit Solar</c:v>
                </c:pt>
              </c:strCache>
            </c:strRef>
          </c:tx>
          <c:spPr>
            <a:pattFill prst="ltVert">
              <a:fgClr>
                <a:schemeClr val="accent3">
                  <a:lumMod val="60000"/>
                  <a:lumOff val="40000"/>
                </a:schemeClr>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I.2'!$AE$14:$AE$41</c15:sqref>
                  </c15:fullRef>
                </c:ext>
              </c:extLst>
              <c:f>'Total Sys Data - MOU I.2'!$AE$17:$AE$36</c:f>
              <c:numCache>
                <c:formatCode>#,##0</c:formatCode>
                <c:ptCount val="20"/>
                <c:pt idx="0">
                  <c:v>2432.9297166518654</c:v>
                </c:pt>
                <c:pt idx="1">
                  <c:v>2420.7650680686056</c:v>
                </c:pt>
                <c:pt idx="2">
                  <c:v>2408.6612427282626</c:v>
                </c:pt>
                <c:pt idx="3">
                  <c:v>2396.6179365146213</c:v>
                </c:pt>
                <c:pt idx="4">
                  <c:v>2384.6348468320489</c:v>
                </c:pt>
                <c:pt idx="5">
                  <c:v>2372.7116725978881</c:v>
                </c:pt>
                <c:pt idx="6">
                  <c:v>2360.8481142348987</c:v>
                </c:pt>
                <c:pt idx="7">
                  <c:v>2349.0438736637238</c:v>
                </c:pt>
                <c:pt idx="8">
                  <c:v>2337.2986542954059</c:v>
                </c:pt>
                <c:pt idx="9">
                  <c:v>2325.6121610239288</c:v>
                </c:pt>
                <c:pt idx="10">
                  <c:v>2313.9841002188086</c:v>
                </c:pt>
                <c:pt idx="11">
                  <c:v>2302.4141797177153</c:v>
                </c:pt>
                <c:pt idx="12">
                  <c:v>2290.9021088191262</c:v>
                </c:pt>
                <c:pt idx="13">
                  <c:v>2279.4475982750305</c:v>
                </c:pt>
                <c:pt idx="14">
                  <c:v>2268.0503602836548</c:v>
                </c:pt>
                <c:pt idx="15">
                  <c:v>2256.7101084822366</c:v>
                </c:pt>
                <c:pt idx="16">
                  <c:v>2245.4265579398257</c:v>
                </c:pt>
                <c:pt idx="17">
                  <c:v>2234.1994251501269</c:v>
                </c:pt>
                <c:pt idx="18">
                  <c:v>2223.0284280243759</c:v>
                </c:pt>
                <c:pt idx="19">
                  <c:v>702.17573329252434</c:v>
                </c:pt>
              </c:numCache>
            </c:numRef>
          </c:val>
          <c:extLst>
            <c:ext xmlns:c16="http://schemas.microsoft.com/office/drawing/2014/chart" uri="{C3380CC4-5D6E-409C-BE32-E72D297353CC}">
              <c16:uniqueId val="{00000010-EAB6-4650-8355-CEFC5AB92ED2}"/>
            </c:ext>
          </c:extLst>
        </c:ser>
        <c:ser>
          <c:idx val="23"/>
          <c:order val="19"/>
          <c:tx>
            <c:strRef>
              <c:f>'Total Sys Data - MOU I.2'!$AF$5</c:f>
              <c:strCache>
                <c:ptCount val="1"/>
                <c:pt idx="0">
                  <c:v>Jericho - Landfill Solar</c:v>
                </c:pt>
              </c:strCache>
            </c:strRef>
          </c:tx>
          <c:spPr>
            <a:pattFill prst="ltDnDiag">
              <a:fgClr>
                <a:schemeClr val="accent2">
                  <a:lumMod val="75000"/>
                </a:schemeClr>
              </a:fgClr>
              <a:bgClr>
                <a:schemeClr val="bg1"/>
              </a:bgClr>
            </a:pattFill>
            <a:ln>
              <a:solidFill>
                <a:schemeClr val="accent2">
                  <a:lumMod val="75000"/>
                </a:schemeClr>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I.2'!$AF$14:$AF$41</c15:sqref>
                  </c15:fullRef>
                </c:ext>
              </c:extLst>
              <c:f>'Total Sys Data - MOU I.2'!$AF$17:$AF$36</c:f>
              <c:numCache>
                <c:formatCode>#,##0</c:formatCode>
                <c:ptCount val="20"/>
                <c:pt idx="0">
                  <c:v>2668.9756954119125</c:v>
                </c:pt>
                <c:pt idx="1">
                  <c:v>2655.6308169348531</c:v>
                </c:pt>
                <c:pt idx="2">
                  <c:v>2642.3526628501786</c:v>
                </c:pt>
                <c:pt idx="3">
                  <c:v>2629.1408995359275</c:v>
                </c:pt>
                <c:pt idx="4">
                  <c:v>2615.9951950382488</c:v>
                </c:pt>
                <c:pt idx="5">
                  <c:v>2602.9152190630575</c:v>
                </c:pt>
                <c:pt idx="6">
                  <c:v>2589.900642967742</c:v>
                </c:pt>
                <c:pt idx="7">
                  <c:v>2576.9511397529031</c:v>
                </c:pt>
                <c:pt idx="8">
                  <c:v>2564.0663840541388</c:v>
                </c:pt>
                <c:pt idx="9">
                  <c:v>2551.246052133868</c:v>
                </c:pt>
                <c:pt idx="10">
                  <c:v>2538.4898218731983</c:v>
                </c:pt>
                <c:pt idx="11">
                  <c:v>2525.7973727638328</c:v>
                </c:pt>
                <c:pt idx="12">
                  <c:v>2513.1683859000136</c:v>
                </c:pt>
                <c:pt idx="13">
                  <c:v>2500.6025439705131</c:v>
                </c:pt>
                <c:pt idx="14">
                  <c:v>2488.0995312506611</c:v>
                </c:pt>
                <c:pt idx="15">
                  <c:v>2475.6590335944074</c:v>
                </c:pt>
                <c:pt idx="16">
                  <c:v>2463.2807384264352</c:v>
                </c:pt>
                <c:pt idx="17">
                  <c:v>2450.9643347343031</c:v>
                </c:pt>
                <c:pt idx="18">
                  <c:v>2438.7095130606317</c:v>
                </c:pt>
                <c:pt idx="19">
                  <c:v>2426.5159654953281</c:v>
                </c:pt>
              </c:numCache>
            </c:numRef>
          </c:val>
          <c:extLst>
            <c:ext xmlns:c16="http://schemas.microsoft.com/office/drawing/2014/chart" uri="{C3380CC4-5D6E-409C-BE32-E72D297353CC}">
              <c16:uniqueId val="{00000011-EAB6-4650-8355-CEFC5AB92ED2}"/>
            </c:ext>
          </c:extLst>
        </c:ser>
        <c:ser>
          <c:idx val="13"/>
          <c:order val="20"/>
          <c:tx>
            <c:strRef>
              <c:f>'Total Sys Data - MOU I.2'!$AA$5</c:f>
              <c:strCache>
                <c:ptCount val="1"/>
                <c:pt idx="0">
                  <c:v>Net Metering as Resource</c:v>
                </c:pt>
              </c:strCache>
            </c:strRef>
          </c:tx>
          <c:spPr>
            <a:solidFill>
              <a:srgbClr val="00B050"/>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I.2'!$AA$14:$AA$41</c15:sqref>
                  </c15:fullRef>
                </c:ext>
              </c:extLst>
              <c:f>'Total Sys Data - MOU I.2'!$AA$17:$AA$36</c:f>
              <c:numCache>
                <c:formatCode>#,##0</c:formatCode>
                <c:ptCount val="20"/>
                <c:pt idx="0">
                  <c:v>30475.932016623898</c:v>
                </c:pt>
                <c:pt idx="1">
                  <c:v>31505.446167436185</c:v>
                </c:pt>
                <c:pt idx="2">
                  <c:v>32219.636771946232</c:v>
                </c:pt>
                <c:pt idx="3">
                  <c:v>32710.034961588553</c:v>
                </c:pt>
                <c:pt idx="4">
                  <c:v>33120.538293517544</c:v>
                </c:pt>
                <c:pt idx="5">
                  <c:v>33491.868685536669</c:v>
                </c:pt>
                <c:pt idx="6">
                  <c:v>33827.750506955665</c:v>
                </c:pt>
                <c:pt idx="7">
                  <c:v>34017.15729992697</c:v>
                </c:pt>
                <c:pt idx="8">
                  <c:v>34195.942138102735</c:v>
                </c:pt>
                <c:pt idx="9">
                  <c:v>34386.763823488109</c:v>
                </c:pt>
                <c:pt idx="10">
                  <c:v>34583.668999111367</c:v>
                </c:pt>
                <c:pt idx="11">
                  <c:v>34661.896071368363</c:v>
                </c:pt>
                <c:pt idx="12">
                  <c:v>34755.34918407513</c:v>
                </c:pt>
                <c:pt idx="13">
                  <c:v>34879.697455320158</c:v>
                </c:pt>
                <c:pt idx="14">
                  <c:v>35025.761480527464</c:v>
                </c:pt>
                <c:pt idx="15">
                  <c:v>35062.708120474766</c:v>
                </c:pt>
                <c:pt idx="16">
                  <c:v>35124.737313348589</c:v>
                </c:pt>
                <c:pt idx="17">
                  <c:v>9334.3472612153091</c:v>
                </c:pt>
                <c:pt idx="18">
                  <c:v>9334.3472612153091</c:v>
                </c:pt>
                <c:pt idx="19">
                  <c:v>9334.3472612153091</c:v>
                </c:pt>
              </c:numCache>
            </c:numRef>
          </c:val>
          <c:extLst>
            <c:ext xmlns:c16="http://schemas.microsoft.com/office/drawing/2014/chart" uri="{C3380CC4-5D6E-409C-BE32-E72D297353CC}">
              <c16:uniqueId val="{00000012-EAB6-4650-8355-CEFC5AB92ED2}"/>
            </c:ext>
          </c:extLst>
        </c:ser>
        <c:ser>
          <c:idx val="10"/>
          <c:order val="21"/>
          <c:tx>
            <c:strRef>
              <c:f>'Total Sys Data - MOU I.2'!$T$5</c:f>
              <c:strCache>
                <c:ptCount val="1"/>
                <c:pt idx="0">
                  <c:v>NextEra 2022-2025</c:v>
                </c:pt>
              </c:strCache>
            </c:strRef>
          </c:tx>
          <c:spPr>
            <a:solidFill>
              <a:schemeClr val="tx1"/>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I.2'!$T$14:$T$41</c15:sqref>
                  </c15:fullRef>
                </c:ext>
              </c:extLst>
              <c:f>'Total Sys Data - MOU I.2'!$T$17:$T$36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A-EAB6-4650-8355-CEFC5AB92ED2}"/>
            </c:ext>
          </c:extLst>
        </c:ser>
        <c:ser>
          <c:idx val="12"/>
          <c:order val="22"/>
          <c:tx>
            <c:strRef>
              <c:f>'Total Sys Data - MOU I.2'!$Z$5</c:f>
              <c:strCache>
                <c:ptCount val="1"/>
                <c:pt idx="0">
                  <c:v>Howard Wind</c:v>
                </c:pt>
              </c:strCache>
            </c:strRef>
          </c:tx>
          <c:spPr>
            <a:solidFill>
              <a:schemeClr val="accent4">
                <a:lumMod val="60000"/>
                <a:lumOff val="40000"/>
              </a:schemeClr>
            </a:solid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I.2'!$Z$14:$Z$41</c15:sqref>
                  </c15:fullRef>
                </c:ext>
              </c:extLst>
              <c:f>'Total Sys Data - MOU I.2'!$Z$17:$Z$36</c:f>
              <c:numCache>
                <c:formatCode>#,##0</c:formatCode>
                <c:ptCount val="20"/>
                <c:pt idx="0">
                  <c:v>39560</c:v>
                </c:pt>
                <c:pt idx="1">
                  <c:v>39560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B039-4654-956A-8A957BE99143}"/>
            </c:ext>
          </c:extLst>
        </c:ser>
        <c:ser>
          <c:idx val="14"/>
          <c:order val="23"/>
          <c:tx>
            <c:strRef>
              <c:f>'Total Sys Data - MOU I.2'!$AG$5</c:f>
              <c:strCache>
                <c:ptCount val="1"/>
                <c:pt idx="0">
                  <c:v>Brookfield Hydro</c:v>
                </c:pt>
              </c:strCache>
            </c:strRef>
          </c:tx>
          <c:spPr>
            <a:solidFill>
              <a:schemeClr val="accent3">
                <a:lumMod val="40000"/>
                <a:lumOff val="60000"/>
              </a:schemeClr>
            </a:solidFill>
            <a:ln>
              <a:solidFill>
                <a:schemeClr val="tx1"/>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I.2'!$AG$14:$AG$41</c15:sqref>
                  </c15:fullRef>
                </c:ext>
              </c:extLst>
              <c:f>'Total Sys Data - MOU I.2'!$AG$17:$AG$36</c:f>
              <c:numCache>
                <c:formatCode>#,##0</c:formatCode>
                <c:ptCount val="20"/>
                <c:pt idx="0">
                  <c:v>64928</c:v>
                </c:pt>
                <c:pt idx="1">
                  <c:v>64800</c:v>
                </c:pt>
                <c:pt idx="2">
                  <c:v>64864</c:v>
                </c:pt>
                <c:pt idx="3">
                  <c:v>64736</c:v>
                </c:pt>
                <c:pt idx="4">
                  <c:v>64784</c:v>
                </c:pt>
                <c:pt idx="5">
                  <c:v>64784</c:v>
                </c:pt>
                <c:pt idx="6">
                  <c:v>65024</c:v>
                </c:pt>
                <c:pt idx="7">
                  <c:v>64672</c:v>
                </c:pt>
                <c:pt idx="8">
                  <c:v>64656</c:v>
                </c:pt>
                <c:pt idx="9">
                  <c:v>64736</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A9F6-435D-9F8E-9AB76FFB1673}"/>
            </c:ext>
          </c:extLst>
        </c:ser>
        <c:dLbls>
          <c:showLegendKey val="0"/>
          <c:showVal val="0"/>
          <c:showCatName val="0"/>
          <c:showSerName val="0"/>
          <c:showPercent val="0"/>
          <c:showBubbleSize val="0"/>
        </c:dLbls>
        <c:gapWidth val="150"/>
        <c:overlap val="100"/>
        <c:axId val="-1178461584"/>
        <c:axId val="-1178461040"/>
        <c:extLst>
          <c:ext xmlns:c15="http://schemas.microsoft.com/office/drawing/2012/chart" uri="{02D57815-91ED-43cb-92C2-25804820EDAC}">
            <c15:filteredBarSeries>
              <c15:ser>
                <c:idx val="0"/>
                <c:order val="0"/>
                <c:tx>
                  <c:strRef>
                    <c:extLst>
                      <c:ext uri="{02D57815-91ED-43cb-92C2-25804820EDAC}">
                        <c15:formulaRef>
                          <c15:sqref>'Total Sys Data - MOU I.2'!$J$5</c15:sqref>
                        </c15:formulaRef>
                      </c:ext>
                    </c:extLst>
                    <c:strCache>
                      <c:ptCount val="1"/>
                      <c:pt idx="0">
                        <c:v>HQ 2021-2023</c:v>
                      </c:pt>
                    </c:strCache>
                  </c:strRef>
                </c:tx>
                <c:spPr>
                  <a:solidFill>
                    <a:schemeClr val="tx2"/>
                  </a:solidFill>
                  <a:ln>
                    <a:solidFill>
                      <a:sysClr val="windowText" lastClr="000000"/>
                    </a:solidFill>
                  </a:ln>
                </c:spPr>
                <c:invertIfNegative val="0"/>
                <c:cat>
                  <c:numRef>
                    <c:extLst>
                      <c:ex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uri="{02D57815-91ED-43cb-92C2-25804820EDAC}">
                        <c15:fullRef>
                          <c15:sqref>'Total Sys Data - MOU I.2'!$J$14:$J$41</c15:sqref>
                        </c15:fullRef>
                        <c15:formulaRef>
                          <c15:sqref>'Total Sys Data - MOU I.2'!$J$17:$J$36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EAB6-4650-8355-CEFC5AB92ED2}"/>
                  </c:ext>
                </c:extLst>
              </c15:ser>
            </c15:filteredBarSeries>
            <c15:filteredBarSeries>
              <c15:ser>
                <c:idx val="11"/>
                <c:order val="10"/>
                <c:tx>
                  <c:strRef>
                    <c:extLst xmlns:c15="http://schemas.microsoft.com/office/drawing/2012/chart">
                      <c:ext xmlns:c15="http://schemas.microsoft.com/office/drawing/2012/chart" uri="{02D57815-91ED-43cb-92C2-25804820EDAC}">
                        <c15:formulaRef>
                          <c15:sqref>'Total Sys Data - MOU I.2'!$U$5</c15:sqref>
                        </c15:formulaRef>
                      </c:ext>
                    </c:extLst>
                    <c:strCache>
                      <c:ptCount val="1"/>
                      <c:pt idx="0">
                        <c:v>Exelon</c:v>
                      </c:pt>
                    </c:strCache>
                  </c:strRef>
                </c:tx>
                <c:spPr>
                  <a:pattFill prst="ltDnDiag">
                    <a:fgClr>
                      <a:schemeClr val="accent6"/>
                    </a:fgClr>
                    <a:bgClr>
                      <a:schemeClr val="bg1"/>
                    </a:bgClr>
                  </a:pattFill>
                  <a:ln>
                    <a:solidFill>
                      <a:sysClr val="windowText" lastClr="000000"/>
                    </a:solidFill>
                  </a:ln>
                </c:spPr>
                <c:invertIfNegative val="0"/>
                <c:cat>
                  <c:numRef>
                    <c:extLst>
                      <c:ext xmlns:c15="http://schemas.microsoft.com/office/drawing/2012/chart" uri="{02D57815-91ED-43cb-92C2-25804820EDAC}">
                        <c15:fullRef>
                          <c15:sqref>'Total Sys Data - MOU I.2'!$B$14:$B$41</c15:sqref>
                        </c15:fullRef>
                        <c15:formulaRef>
                          <c15:sqref>'Total Sys Data - MOU I.2'!$B$17:$B$36</c15:sqref>
                        </c15:formulaRef>
                      </c:ext>
                    </c:extLst>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I.2'!$U$14:$U$41</c15:sqref>
                        </c15:fullRef>
                        <c15:formulaRef>
                          <c15:sqref>'Total Sys Data - MOU I.2'!$U$17:$U$36</c15:sqref>
                        </c15:formulaRef>
                      </c:ext>
                    </c:extLst>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B-EAB6-4650-8355-CEFC5AB92ED2}"/>
                  </c:ext>
                </c:extLst>
              </c15:ser>
            </c15:filteredBarSeries>
          </c:ext>
        </c:extLst>
      </c:barChart>
      <c:lineChart>
        <c:grouping val="standard"/>
        <c:varyColors val="0"/>
        <c:ser>
          <c:idx val="17"/>
          <c:order val="13"/>
          <c:tx>
            <c:strRef>
              <c:f>'Total Sys Data - MOU I.2'!$G$5</c:f>
              <c:strCache>
                <c:ptCount val="1"/>
                <c:pt idx="0">
                  <c:v>Climate Action Plan Forecast</c:v>
                </c:pt>
              </c:strCache>
            </c:strRef>
          </c:tx>
          <c:spPr>
            <a:ln>
              <a:solidFill>
                <a:srgbClr val="ED7D31"/>
              </a:solidFill>
              <a:prstDash val="lgDash"/>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I.2'!$G$14:$G$41</c15:sqref>
                  </c15:fullRef>
                </c:ext>
              </c:extLst>
              <c:f>'Total Sys Data - MOU I.2'!$G$17:$G$36</c:f>
              <c:numCache>
                <c:formatCode>#,##0</c:formatCode>
                <c:ptCount val="20"/>
                <c:pt idx="0">
                  <c:v>551119.24048483884</c:v>
                </c:pt>
                <c:pt idx="1">
                  <c:v>561801.20006497123</c:v>
                </c:pt>
                <c:pt idx="2">
                  <c:v>574238.09425297996</c:v>
                </c:pt>
                <c:pt idx="3">
                  <c:v>588925.42292387283</c:v>
                </c:pt>
                <c:pt idx="4">
                  <c:v>604371.2686899699</c:v>
                </c:pt>
                <c:pt idx="5">
                  <c:v>620873.47339124524</c:v>
                </c:pt>
                <c:pt idx="6">
                  <c:v>638688.24670604919</c:v>
                </c:pt>
                <c:pt idx="7">
                  <c:v>657164.28327400493</c:v>
                </c:pt>
                <c:pt idx="8">
                  <c:v>676250.96556458564</c:v>
                </c:pt>
                <c:pt idx="9">
                  <c:v>695043.4194148333</c:v>
                </c:pt>
                <c:pt idx="10">
                  <c:v>713975.43825101119</c:v>
                </c:pt>
                <c:pt idx="11">
                  <c:v>733141.30112139042</c:v>
                </c:pt>
                <c:pt idx="12">
                  <c:v>751528.19713254215</c:v>
                </c:pt>
                <c:pt idx="13">
                  <c:v>768552.28858287516</c:v>
                </c:pt>
                <c:pt idx="14">
                  <c:v>782587.65066748532</c:v>
                </c:pt>
                <c:pt idx="15">
                  <c:v>793532.27899898123</c:v>
                </c:pt>
                <c:pt idx="16">
                  <c:v>803176.88283081586</c:v>
                </c:pt>
                <c:pt idx="17">
                  <c:v>812434.2463305915</c:v>
                </c:pt>
                <c:pt idx="18">
                  <c:v>821737.4770022328</c:v>
                </c:pt>
                <c:pt idx="19">
                  <c:v>831023.28535918146</c:v>
                </c:pt>
              </c:numCache>
            </c:numRef>
          </c:val>
          <c:smooth val="0"/>
          <c:extLst>
            <c:ext xmlns:c16="http://schemas.microsoft.com/office/drawing/2014/chart" uri="{C3380CC4-5D6E-409C-BE32-E72D297353CC}">
              <c16:uniqueId val="{00000013-EAB6-4650-8355-CEFC5AB92ED2}"/>
            </c:ext>
          </c:extLst>
        </c:ser>
        <c:ser>
          <c:idx val="18"/>
          <c:order val="14"/>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I.2'!$F$14:$F$41</c15:sqref>
                  </c15:fullRef>
                </c:ext>
              </c:extLst>
              <c:f>'Total Sys Data - MOU I.2'!$F$17:$F$36</c:f>
              <c:numCache>
                <c:formatCode>#,##0</c:formatCode>
                <c:ptCount val="20"/>
                <c:pt idx="0">
                  <c:v>534404.08729551674</c:v>
                </c:pt>
                <c:pt idx="1">
                  <c:v>547481.26902155788</c:v>
                </c:pt>
                <c:pt idx="2">
                  <c:v>562334.2564463201</c:v>
                </c:pt>
                <c:pt idx="3">
                  <c:v>579139.85812221037</c:v>
                </c:pt>
                <c:pt idx="4">
                  <c:v>597537.20891604316</c:v>
                </c:pt>
                <c:pt idx="5">
                  <c:v>616126.88040439831</c:v>
                </c:pt>
                <c:pt idx="6">
                  <c:v>634675.02635726519</c:v>
                </c:pt>
                <c:pt idx="7">
                  <c:v>652630.18622720416</c:v>
                </c:pt>
                <c:pt idx="8">
                  <c:v>669823.98617135419</c:v>
                </c:pt>
                <c:pt idx="9">
                  <c:v>684634.91834434343</c:v>
                </c:pt>
                <c:pt idx="10">
                  <c:v>696152.57991366449</c:v>
                </c:pt>
                <c:pt idx="11">
                  <c:v>704881.09830864915</c:v>
                </c:pt>
                <c:pt idx="12">
                  <c:v>711330.67528154957</c:v>
                </c:pt>
                <c:pt idx="13">
                  <c:v>716120.86595409201</c:v>
                </c:pt>
                <c:pt idx="14">
                  <c:v>719620.63688443974</c:v>
                </c:pt>
                <c:pt idx="15">
                  <c:v>722223.80304426048</c:v>
                </c:pt>
                <c:pt idx="16">
                  <c:v>723086.74512119894</c:v>
                </c:pt>
                <c:pt idx="17">
                  <c:v>722234.8835808289</c:v>
                </c:pt>
                <c:pt idx="18">
                  <c:v>721107.35357227386</c:v>
                </c:pt>
                <c:pt idx="19">
                  <c:v>719961.51587993989</c:v>
                </c:pt>
              </c:numCache>
            </c:numRef>
          </c:val>
          <c:smooth val="0"/>
          <c:extLst>
            <c:ext xmlns:c16="http://schemas.microsoft.com/office/drawing/2014/chart" uri="{C3380CC4-5D6E-409C-BE32-E72D297353CC}">
              <c16:uniqueId val="{00000014-EAB6-4650-8355-CEFC5AB92ED2}"/>
            </c:ext>
          </c:extLst>
        </c:ser>
        <c:ser>
          <c:idx val="19"/>
          <c:order val="15"/>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I.2'!$B$9:$B$29</c15:sqref>
                  </c15:fullRef>
                </c:ext>
              </c:extLst>
              <c:f>'Total Sys Data - MOU I.2'!$B$12:$B$29</c:f>
              <c:numCache>
                <c:formatCode>General</c:formatCode>
                <c:ptCount val="18"/>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extLst>
                <c:ext xmlns:c15="http://schemas.microsoft.com/office/drawing/2012/chart" uri="{02D57815-91ED-43cb-92C2-25804820EDAC}">
                  <c15:fullRef>
                    <c15:sqref>'Total Sys Data - MOU I.2'!$H$14:$H$41</c15:sqref>
                  </c15:fullRef>
                </c:ext>
              </c:extLst>
              <c:f>'Total Sys Data - MOU I.2'!$H$17:$H$36</c:f>
              <c:numCache>
                <c:formatCode>#,##0</c:formatCode>
                <c:ptCount val="20"/>
                <c:pt idx="0">
                  <c:v>509047.36339775816</c:v>
                </c:pt>
                <c:pt idx="1">
                  <c:v>513021.74839042296</c:v>
                </c:pt>
                <c:pt idx="2">
                  <c:v>518347.88756713568</c:v>
                </c:pt>
                <c:pt idx="3">
                  <c:v>525077.80000335269</c:v>
                </c:pt>
                <c:pt idx="4">
                  <c:v>533253.6763444189</c:v>
                </c:pt>
                <c:pt idx="5">
                  <c:v>542625.64259943168</c:v>
                </c:pt>
                <c:pt idx="6">
                  <c:v>553259.15443177917</c:v>
                </c:pt>
                <c:pt idx="7">
                  <c:v>565231.52055125812</c:v>
                </c:pt>
                <c:pt idx="8">
                  <c:v>578445.00235747173</c:v>
                </c:pt>
                <c:pt idx="9">
                  <c:v>592612.44988284016</c:v>
                </c:pt>
                <c:pt idx="10">
                  <c:v>606943.02648805513</c:v>
                </c:pt>
                <c:pt idx="11">
                  <c:v>620684.50300369866</c:v>
                </c:pt>
                <c:pt idx="12">
                  <c:v>633249.93557360559</c:v>
                </c:pt>
                <c:pt idx="13">
                  <c:v>644213.49095807108</c:v>
                </c:pt>
                <c:pt idx="14">
                  <c:v>653337.7248376013</c:v>
                </c:pt>
                <c:pt idx="15">
                  <c:v>660621.06578335713</c:v>
                </c:pt>
                <c:pt idx="16">
                  <c:v>666546.80842870963</c:v>
                </c:pt>
                <c:pt idx="17">
                  <c:v>671206.74217600585</c:v>
                </c:pt>
                <c:pt idx="18">
                  <c:v>674974.23564273154</c:v>
                </c:pt>
                <c:pt idx="19">
                  <c:v>678117.52073805872</c:v>
                </c:pt>
              </c:numCache>
            </c:numRef>
          </c:val>
          <c:smooth val="0"/>
          <c:extLst>
            <c:ext xmlns:c16="http://schemas.microsoft.com/office/drawing/2014/chart" uri="{C3380CC4-5D6E-409C-BE32-E72D297353CC}">
              <c16:uniqueId val="{00000015-EAB6-4650-8355-CEFC5AB92ED2}"/>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scaling>
        <c:delete val="0"/>
        <c:axPos val="l"/>
        <c:majorGridlines>
          <c:spPr>
            <a:ln>
              <a:prstDash val="dash"/>
            </a:ln>
          </c:spPr>
        </c:majorGridlines>
        <c:numFmt formatCode="#,##0" sourceLinked="1"/>
        <c:majorTickMark val="out"/>
        <c:minorTickMark val="none"/>
        <c:tickLblPos val="nextTo"/>
        <c:crossAx val="-1178461584"/>
        <c:crosses val="autoZero"/>
        <c:crossBetween val="between"/>
      </c:valAx>
      <c:spPr>
        <a:noFill/>
        <a:ln w="25400">
          <a:noFill/>
        </a:ln>
      </c:spPr>
    </c:plotArea>
    <c:legend>
      <c:legendPos val="b"/>
      <c:layout>
        <c:manualLayout>
          <c:xMode val="edge"/>
          <c:yMode val="edge"/>
          <c:x val="4.1180891792603307E-2"/>
          <c:y val="0.67840903712201039"/>
          <c:w val="0.79062198158509212"/>
          <c:h val="0.28945588297804087"/>
        </c:manualLayout>
      </c:layout>
      <c:overlay val="0"/>
      <c:txPr>
        <a:bodyPr/>
        <a:lstStyle/>
        <a:p>
          <a:pPr>
            <a:defRPr baseline="0"/>
          </a:pPr>
          <a:endParaRPr lang="en-US"/>
        </a:p>
      </c:txPr>
    </c:legend>
    <c:plotVisOnly val="1"/>
    <c:dispBlanksAs val="gap"/>
    <c:showDLblsOverMax val="0"/>
  </c:char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Total System Requirements vs Committed Resources</a:t>
            </a:r>
          </a:p>
          <a:p>
            <a:pPr>
              <a:defRPr sz="1200"/>
            </a:pPr>
            <a:r>
              <a:rPr lang="en-US" sz="1000"/>
              <a:t>Total Resources</a:t>
            </a:r>
          </a:p>
        </c:rich>
      </c:tx>
      <c:layout>
        <c:manualLayout>
          <c:xMode val="edge"/>
          <c:yMode val="edge"/>
          <c:x val="0.25867143293861139"/>
          <c:y val="7.569974579985623E-3"/>
        </c:manualLayout>
      </c:layout>
      <c:overlay val="1"/>
    </c:title>
    <c:autoTitleDeleted val="0"/>
    <c:plotArea>
      <c:layout>
        <c:manualLayout>
          <c:layoutTarget val="inner"/>
          <c:xMode val="edge"/>
          <c:yMode val="edge"/>
          <c:x val="6.8514979422661076E-2"/>
          <c:y val="7.0338689877384661E-2"/>
          <c:w val="0.91241014394877307"/>
          <c:h val="0.79690372341873583"/>
        </c:manualLayout>
      </c:layout>
      <c:barChart>
        <c:barDir val="col"/>
        <c:grouping val="stacked"/>
        <c:varyColors val="0"/>
        <c:ser>
          <c:idx val="14"/>
          <c:order val="3"/>
          <c:tx>
            <c:v>Total Resources</c:v>
          </c:tx>
          <c:spPr>
            <a:solidFill>
              <a:schemeClr val="tx2">
                <a:lumMod val="60000"/>
                <a:lumOff val="40000"/>
              </a:schemeClr>
            </a:solidFill>
            <a:ln>
              <a:solidFill>
                <a:schemeClr val="tx1"/>
              </a:solidFill>
            </a:ln>
          </c:spPr>
          <c:invertIfNegative val="0"/>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'Annual Energy Data'!$CR$23:$CR$50</c15:sqref>
                  </c15:fullRef>
                </c:ext>
              </c:extLst>
              <c:f>'Annual Energy Data'!$CR$26:$CR$45</c:f>
              <c:numCache>
                <c:formatCode>#,##0</c:formatCode>
                <c:ptCount val="20"/>
                <c:pt idx="0">
                  <c:v>485725.58038676355</c:v>
                </c:pt>
                <c:pt idx="1">
                  <c:v>486314.75685553462</c:v>
                </c:pt>
                <c:pt idx="2">
                  <c:v>455295.00146641361</c:v>
                </c:pt>
                <c:pt idx="3">
                  <c:v>447973.84339239297</c:v>
                </c:pt>
                <c:pt idx="4">
                  <c:v>434728.62866895966</c:v>
                </c:pt>
                <c:pt idx="5">
                  <c:v>371654.46912646276</c:v>
                </c:pt>
                <c:pt idx="6">
                  <c:v>352632.16048747016</c:v>
                </c:pt>
                <c:pt idx="7">
                  <c:v>328338.60262748844</c:v>
                </c:pt>
                <c:pt idx="8">
                  <c:v>330834.72935585992</c:v>
                </c:pt>
                <c:pt idx="9">
                  <c:v>235758.31336919329</c:v>
                </c:pt>
                <c:pt idx="10">
                  <c:v>170715.83222740574</c:v>
                </c:pt>
                <c:pt idx="11">
                  <c:v>170003.02440546386</c:v>
                </c:pt>
                <c:pt idx="12">
                  <c:v>141060.1466185633</c:v>
                </c:pt>
                <c:pt idx="13">
                  <c:v>106224.28559550403</c:v>
                </c:pt>
                <c:pt idx="14">
                  <c:v>104053.95744485894</c:v>
                </c:pt>
                <c:pt idx="15">
                  <c:v>102809.41576574699</c:v>
                </c:pt>
                <c:pt idx="16">
                  <c:v>99735.809717575685</c:v>
                </c:pt>
                <c:pt idx="17">
                  <c:v>90666.869616391079</c:v>
                </c:pt>
                <c:pt idx="18">
                  <c:v>90236.33163397554</c:v>
                </c:pt>
                <c:pt idx="19">
                  <c:v>88136.956937034018</c:v>
                </c:pt>
              </c:numCache>
            </c:numRef>
          </c:val>
          <c:extLst>
            <c:ext xmlns:c16="http://schemas.microsoft.com/office/drawing/2014/chart" uri="{C3380CC4-5D6E-409C-BE32-E72D297353CC}">
              <c16:uniqueId val="{00000012-9873-47B1-A8A5-F5B3AA06C8EE}"/>
            </c:ext>
          </c:extLst>
        </c:ser>
        <c:dLbls>
          <c:showLegendKey val="0"/>
          <c:showVal val="0"/>
          <c:showCatName val="0"/>
          <c:showSerName val="0"/>
          <c:showPercent val="0"/>
          <c:showBubbleSize val="0"/>
        </c:dLbls>
        <c:gapWidth val="150"/>
        <c:overlap val="100"/>
        <c:axId val="-1178461584"/>
        <c:axId val="-1178461040"/>
        <c:extLst/>
      </c:barChart>
      <c:lineChart>
        <c:grouping val="standard"/>
        <c:varyColors val="0"/>
        <c:ser>
          <c:idx val="17"/>
          <c:order val="0"/>
          <c:tx>
            <c:strRef>
              <c:f>'Total Sys Data - MOU I.2'!$G$5</c:f>
              <c:strCache>
                <c:ptCount val="1"/>
                <c:pt idx="0">
                  <c:v>Climate Action Plan Forecast</c:v>
                </c:pt>
              </c:strCache>
            </c:strRef>
          </c:tx>
          <c:spPr>
            <a:ln>
              <a:solidFill>
                <a:schemeClr val="accent6"/>
              </a:solidFill>
              <a:prstDash val="lgDash"/>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I.2'!$G$14:$G$41</c15:sqref>
                  </c15:fullRef>
                </c:ext>
              </c:extLst>
              <c:f>'Total Sys Data - MOU I.2'!$G$17:$G$36</c:f>
              <c:numCache>
                <c:formatCode>#,##0</c:formatCode>
                <c:ptCount val="20"/>
                <c:pt idx="0">
                  <c:v>551119.24048483884</c:v>
                </c:pt>
                <c:pt idx="1">
                  <c:v>561801.20006497123</c:v>
                </c:pt>
                <c:pt idx="2">
                  <c:v>574238.09425297996</c:v>
                </c:pt>
                <c:pt idx="3">
                  <c:v>588925.42292387283</c:v>
                </c:pt>
                <c:pt idx="4">
                  <c:v>604371.2686899699</c:v>
                </c:pt>
                <c:pt idx="5">
                  <c:v>620873.47339124524</c:v>
                </c:pt>
                <c:pt idx="6">
                  <c:v>638688.24670604919</c:v>
                </c:pt>
                <c:pt idx="7">
                  <c:v>657164.28327400493</c:v>
                </c:pt>
                <c:pt idx="8">
                  <c:v>676250.96556458564</c:v>
                </c:pt>
                <c:pt idx="9">
                  <c:v>695043.4194148333</c:v>
                </c:pt>
                <c:pt idx="10">
                  <c:v>713975.43825101119</c:v>
                </c:pt>
                <c:pt idx="11">
                  <c:v>733141.30112139042</c:v>
                </c:pt>
                <c:pt idx="12">
                  <c:v>751528.19713254215</c:v>
                </c:pt>
                <c:pt idx="13">
                  <c:v>768552.28858287516</c:v>
                </c:pt>
                <c:pt idx="14">
                  <c:v>782587.65066748532</c:v>
                </c:pt>
                <c:pt idx="15">
                  <c:v>793532.27899898123</c:v>
                </c:pt>
                <c:pt idx="16">
                  <c:v>803176.88283081586</c:v>
                </c:pt>
                <c:pt idx="17">
                  <c:v>812434.2463305915</c:v>
                </c:pt>
                <c:pt idx="18">
                  <c:v>821737.4770022328</c:v>
                </c:pt>
                <c:pt idx="19">
                  <c:v>831023.28535918146</c:v>
                </c:pt>
              </c:numCache>
            </c:numRef>
          </c:val>
          <c:smooth val="0"/>
          <c:extLst>
            <c:ext xmlns:c16="http://schemas.microsoft.com/office/drawing/2014/chart" uri="{C3380CC4-5D6E-409C-BE32-E72D297353CC}">
              <c16:uniqueId val="{00000013-9873-47B1-A8A5-F5B3AA06C8EE}"/>
            </c:ext>
          </c:extLst>
        </c:ser>
        <c:ser>
          <c:idx val="18"/>
          <c:order val="1"/>
          <c:tx>
            <c:strRef>
              <c:f>'Total Sys Data - MOU I.2'!$F$5</c:f>
              <c:strCache>
                <c:ptCount val="1"/>
                <c:pt idx="0">
                  <c:v>VELCO Forecast</c:v>
                </c:pt>
              </c:strCache>
            </c:strRef>
          </c:tx>
          <c:spPr>
            <a:ln>
              <a:solidFill>
                <a:srgbClr val="FFC000"/>
              </a:solidFill>
              <a:prstDash val="dash"/>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I.2'!$F$14:$F$41</c15:sqref>
                  </c15:fullRef>
                </c:ext>
              </c:extLst>
              <c:f>'Total Sys Data - MOU I.2'!$F$17:$F$36</c:f>
              <c:numCache>
                <c:formatCode>#,##0</c:formatCode>
                <c:ptCount val="20"/>
                <c:pt idx="0">
                  <c:v>534404.08729551674</c:v>
                </c:pt>
                <c:pt idx="1">
                  <c:v>547481.26902155788</c:v>
                </c:pt>
                <c:pt idx="2">
                  <c:v>562334.2564463201</c:v>
                </c:pt>
                <c:pt idx="3">
                  <c:v>579139.85812221037</c:v>
                </c:pt>
                <c:pt idx="4">
                  <c:v>597537.20891604316</c:v>
                </c:pt>
                <c:pt idx="5">
                  <c:v>616126.88040439831</c:v>
                </c:pt>
                <c:pt idx="6">
                  <c:v>634675.02635726519</c:v>
                </c:pt>
                <c:pt idx="7">
                  <c:v>652630.18622720416</c:v>
                </c:pt>
                <c:pt idx="8">
                  <c:v>669823.98617135419</c:v>
                </c:pt>
                <c:pt idx="9">
                  <c:v>684634.91834434343</c:v>
                </c:pt>
                <c:pt idx="10">
                  <c:v>696152.57991366449</c:v>
                </c:pt>
                <c:pt idx="11">
                  <c:v>704881.09830864915</c:v>
                </c:pt>
                <c:pt idx="12">
                  <c:v>711330.67528154957</c:v>
                </c:pt>
                <c:pt idx="13">
                  <c:v>716120.86595409201</c:v>
                </c:pt>
                <c:pt idx="14">
                  <c:v>719620.63688443974</c:v>
                </c:pt>
                <c:pt idx="15">
                  <c:v>722223.80304426048</c:v>
                </c:pt>
                <c:pt idx="16">
                  <c:v>723086.74512119894</c:v>
                </c:pt>
                <c:pt idx="17">
                  <c:v>722234.8835808289</c:v>
                </c:pt>
                <c:pt idx="18">
                  <c:v>721107.35357227386</c:v>
                </c:pt>
                <c:pt idx="19">
                  <c:v>719961.51587993989</c:v>
                </c:pt>
              </c:numCache>
            </c:numRef>
          </c:val>
          <c:smooth val="0"/>
          <c:extLst>
            <c:ext xmlns:c16="http://schemas.microsoft.com/office/drawing/2014/chart" uri="{C3380CC4-5D6E-409C-BE32-E72D297353CC}">
              <c16:uniqueId val="{00000014-9873-47B1-A8A5-F5B3AA06C8EE}"/>
            </c:ext>
          </c:extLst>
        </c:ser>
        <c:ser>
          <c:idx val="19"/>
          <c:order val="2"/>
          <c:tx>
            <c:strRef>
              <c:f>'Total Sys Data - MOU I.2'!$H$5</c:f>
              <c:strCache>
                <c:ptCount val="1"/>
                <c:pt idx="0">
                  <c:v>VEC Forecast</c:v>
                </c:pt>
              </c:strCache>
            </c:strRef>
          </c:tx>
          <c:spPr>
            <a:ln>
              <a:solidFill>
                <a:schemeClr val="tx1"/>
              </a:solidFill>
              <a:prstDash val="solid"/>
            </a:ln>
          </c:spPr>
          <c:marker>
            <c:symbol val="none"/>
          </c:marker>
          <c:cat>
            <c:numRef>
              <c:extLst>
                <c:ext xmlns:c15="http://schemas.microsoft.com/office/drawing/2012/chart" uri="{02D57815-91ED-43cb-92C2-25804820EDAC}">
                  <c15:fullRef>
                    <c15:sqref>'Total Sys Data - MOU I.2'!$B$14:$B$41</c15:sqref>
                  </c15:fullRef>
                </c:ext>
              </c:extLst>
              <c:f>'Total Sys Data - MOU I.2'!$B$17:$B$36</c:f>
              <c:numCache>
                <c:formatCode>General</c:formatCode>
                <c:ptCount val="20"/>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numCache>
            </c:numRef>
          </c:cat>
          <c:val>
            <c:numRef>
              <c:extLst>
                <c:ext xmlns:c15="http://schemas.microsoft.com/office/drawing/2012/chart" uri="{02D57815-91ED-43cb-92C2-25804820EDAC}">
                  <c15:fullRef>
                    <c15:sqref>'Total Sys Data - MOU I.2'!$H$14:$H$41</c15:sqref>
                  </c15:fullRef>
                </c:ext>
              </c:extLst>
              <c:f>'Total Sys Data - MOU I.2'!$H$17:$H$36</c:f>
              <c:numCache>
                <c:formatCode>#,##0</c:formatCode>
                <c:ptCount val="20"/>
                <c:pt idx="0">
                  <c:v>509047.36339775816</c:v>
                </c:pt>
                <c:pt idx="1">
                  <c:v>513021.74839042296</c:v>
                </c:pt>
                <c:pt idx="2">
                  <c:v>518347.88756713568</c:v>
                </c:pt>
                <c:pt idx="3">
                  <c:v>525077.80000335269</c:v>
                </c:pt>
                <c:pt idx="4">
                  <c:v>533253.6763444189</c:v>
                </c:pt>
                <c:pt idx="5">
                  <c:v>542625.64259943168</c:v>
                </c:pt>
                <c:pt idx="6">
                  <c:v>553259.15443177917</c:v>
                </c:pt>
                <c:pt idx="7">
                  <c:v>565231.52055125812</c:v>
                </c:pt>
                <c:pt idx="8">
                  <c:v>578445.00235747173</c:v>
                </c:pt>
                <c:pt idx="9">
                  <c:v>592612.44988284016</c:v>
                </c:pt>
                <c:pt idx="10">
                  <c:v>606943.02648805513</c:v>
                </c:pt>
                <c:pt idx="11">
                  <c:v>620684.50300369866</c:v>
                </c:pt>
                <c:pt idx="12">
                  <c:v>633249.93557360559</c:v>
                </c:pt>
                <c:pt idx="13">
                  <c:v>644213.49095807108</c:v>
                </c:pt>
                <c:pt idx="14">
                  <c:v>653337.7248376013</c:v>
                </c:pt>
                <c:pt idx="15">
                  <c:v>660621.06578335713</c:v>
                </c:pt>
                <c:pt idx="16">
                  <c:v>666546.80842870963</c:v>
                </c:pt>
                <c:pt idx="17">
                  <c:v>671206.74217600585</c:v>
                </c:pt>
                <c:pt idx="18">
                  <c:v>674974.23564273154</c:v>
                </c:pt>
                <c:pt idx="19">
                  <c:v>678117.52073805872</c:v>
                </c:pt>
              </c:numCache>
            </c:numRef>
          </c:val>
          <c:smooth val="0"/>
          <c:extLst>
            <c:ext xmlns:c16="http://schemas.microsoft.com/office/drawing/2014/chart" uri="{C3380CC4-5D6E-409C-BE32-E72D297353CC}">
              <c16:uniqueId val="{00000015-9873-47B1-A8A5-F5B3AA06C8EE}"/>
            </c:ext>
          </c:extLst>
        </c:ser>
        <c:dLbls>
          <c:showLegendKey val="0"/>
          <c:showVal val="0"/>
          <c:showCatName val="0"/>
          <c:showSerName val="0"/>
          <c:showPercent val="0"/>
          <c:showBubbleSize val="0"/>
        </c:dLbls>
        <c:marker val="1"/>
        <c:smooth val="0"/>
        <c:axId val="-1178461584"/>
        <c:axId val="-1178461040"/>
      </c:lineChart>
      <c:catAx>
        <c:axId val="-1178461584"/>
        <c:scaling>
          <c:orientation val="minMax"/>
        </c:scaling>
        <c:delete val="0"/>
        <c:axPos val="b"/>
        <c:numFmt formatCode="General" sourceLinked="1"/>
        <c:majorTickMark val="out"/>
        <c:minorTickMark val="none"/>
        <c:tickLblPos val="nextTo"/>
        <c:crossAx val="-1178461040"/>
        <c:crosses val="autoZero"/>
        <c:auto val="1"/>
        <c:lblAlgn val="ctr"/>
        <c:lblOffset val="100"/>
        <c:noMultiLvlLbl val="0"/>
      </c:catAx>
      <c:valAx>
        <c:axId val="-1178461040"/>
        <c:scaling>
          <c:orientation val="minMax"/>
        </c:scaling>
        <c:delete val="0"/>
        <c:axPos val="l"/>
        <c:majorGridlines>
          <c:spPr>
            <a:ln>
              <a:prstDash val="dash"/>
            </a:ln>
          </c:spPr>
        </c:majorGridlines>
        <c:numFmt formatCode="#,##0" sourceLinked="1"/>
        <c:majorTickMark val="out"/>
        <c:minorTickMark val="none"/>
        <c:tickLblPos val="nextTo"/>
        <c:crossAx val="-1178461584"/>
        <c:crosses val="autoZero"/>
        <c:crossBetween val="between"/>
      </c:valAx>
      <c:spPr>
        <a:noFill/>
        <a:ln w="25400">
          <a:noFill/>
        </a:ln>
      </c:spPr>
    </c:plotArea>
    <c:legend>
      <c:legendPos val="b"/>
      <c:layout>
        <c:manualLayout>
          <c:xMode val="edge"/>
          <c:yMode val="edge"/>
          <c:x val="8.1227973536519935E-2"/>
          <c:y val="0.92514348181477524"/>
          <c:w val="0.8998093683488011"/>
          <c:h val="5.9716569025253512E-2"/>
        </c:manualLayout>
      </c:layout>
      <c:overlay val="0"/>
      <c:txPr>
        <a:bodyPr/>
        <a:lstStyle/>
        <a:p>
          <a:pPr>
            <a:defRPr baseline="0"/>
          </a:pPr>
          <a:endParaRPr lang="en-US"/>
        </a:p>
      </c:txPr>
    </c:legend>
    <c:plotVisOnly val="1"/>
    <c:dispBlanksAs val="gap"/>
    <c:showDLblsOverMax val="0"/>
  </c:chart>
  <c:spPr>
    <a:noFill/>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90" workbookViewId="0"/>
  </sheetViews>
  <pageMargins left="0.75" right="0.75" top="1" bottom="1" header="0.5" footer="0.5"/>
  <pageSetup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6E2E3D-0617-4C09-A3A2-AF32E2E88272}">
  <sheetPr/>
  <sheetViews>
    <sheetView zoomScale="95"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1A0C4AE-A24C-471E-B221-9CFD70BD0096}">
  <sheetPr/>
  <sheetViews>
    <sheetView zoomScale="111"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sheetViews>
    <sheetView zoomScale="111"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99B72F4-E36D-41A8-9C11-B27C828DAF8E}">
  <sheetPr/>
  <sheetViews>
    <sheetView zoomScale="119"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sheetViews>
    <sheetView zoomScale="119" workbookViewId="0" zoomToFit="1"/>
  </sheetViews>
  <pageMargins left="0.7" right="0.7" top="0.75" bottom="0.7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sheetViews>
    <sheetView zoomScale="94" workbookViewId="0"/>
  </sheetViews>
  <pageMargins left="0.75" right="0.75" top="1" bottom="1" header="0.5" footer="0.5"/>
  <headerFooter alignWithMargins="0"/>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32EAF0-F2F1-4860-96BE-001D7CA0A291}">
  <sheetPr/>
  <sheetViews>
    <sheetView zoomScale="85"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sheetViews>
    <sheetView zoomScale="90" workbookViewId="0"/>
  </sheetViews>
  <pageMargins left="0.75" right="0.75" top="1" bottom="1" header="0.5" footer="0.5"/>
  <pageSetup orientation="landscape" verticalDpi="12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sheetViews>
    <sheetView zoomScale="8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F597DAF-66FB-4ADF-BB60-56FCE82CE9FC}">
  <sheetPr/>
  <sheetViews>
    <sheetView zoomScale="161"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FCF494F-23B7-4AE4-B785-950A3F61BA2E}">
  <sheetPr/>
  <sheetViews>
    <sheetView zoomScale="161"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5E7B903-9BE0-42FC-ABB6-89FFEFCCD884}">
  <sheetPr/>
  <sheetViews>
    <sheetView zoomScale="161"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4B29FA1-35FC-4B88-BAB1-22DD537559E7}">
  <sheetPr/>
  <sheetViews>
    <sheetView tabSelected="1" zoomScale="85"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sheetViews>
    <sheetView zoomScale="111"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3113758-0997-4F8B-AA32-3372FF60925E}">
  <sheetPr/>
  <sheetViews>
    <sheetView zoomScale="11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572500" cy="5819775"/>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E257B221-074B-4320-B139-1A2C860B2B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54716" cy="6272463"/>
    <xdr:graphicFrame macro="">
      <xdr:nvGraphicFramePr>
        <xdr:cNvPr id="2" name="Chart 1">
          <a:extLst>
            <a:ext uri="{FF2B5EF4-FFF2-40B4-BE49-F238E27FC236}">
              <a16:creationId xmlns:a16="http://schemas.microsoft.com/office/drawing/2014/main" id="{D8E8F20F-5CED-4E32-933F-0F4D4F30FD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0.62189</cdr:x>
      <cdr:y>0.36268</cdr:y>
    </cdr:from>
    <cdr:to>
      <cdr:x>0.92882</cdr:x>
      <cdr:y>0.54164</cdr:y>
    </cdr:to>
    <cdr:sp macro="" textlink="">
      <cdr:nvSpPr>
        <cdr:cNvPr id="2" name="TextBox 1">
          <a:extLst xmlns:a="http://schemas.openxmlformats.org/drawingml/2006/main">
            <a:ext uri="{FF2B5EF4-FFF2-40B4-BE49-F238E27FC236}">
              <a16:creationId xmlns:a16="http://schemas.microsoft.com/office/drawing/2014/main" id="{B1E08F80-BCF9-4FAC-AA18-9CD40F171CF6}"/>
            </a:ext>
          </a:extLst>
        </cdr:cNvPr>
        <cdr:cNvSpPr txBox="1"/>
      </cdr:nvSpPr>
      <cdr:spPr>
        <a:xfrm xmlns:a="http://schemas.openxmlformats.org/drawingml/2006/main">
          <a:off x="5384496" y="2278113"/>
          <a:ext cx="2657496" cy="1124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t>Any individual REC can only be used to meet one Tier requirement.</a:t>
          </a:r>
        </a:p>
        <a:p xmlns:a="http://schemas.openxmlformats.org/drawingml/2006/main">
          <a:endParaRPr lang="en-US" sz="1100" baseline="0"/>
        </a:p>
        <a:p xmlns:a="http://schemas.openxmlformats.org/drawingml/2006/main">
          <a:r>
            <a:rPr lang="en-US" sz="1100" baseline="0"/>
            <a:t>RECs used to meet II, or sold, must be removed from the total shown here.</a:t>
          </a:r>
          <a:endParaRPr lang="en-US" sz="1100"/>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703F9BA0-5F24-45BC-8A8C-88EC0BEFC3F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6934840" cy="5033042"/>
    <xdr:graphicFrame macro="">
      <xdr:nvGraphicFramePr>
        <xdr:cNvPr id="2" name="Chart 1">
          <a:extLst>
            <a:ext uri="{FF2B5EF4-FFF2-40B4-BE49-F238E27FC236}">
              <a16:creationId xmlns:a16="http://schemas.microsoft.com/office/drawing/2014/main" id="{DDC54E5D-127B-436C-9BA2-BEB40E1575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6934840" cy="5033042"/>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58225" cy="6276975"/>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xdr:from>
      <xdr:col>17</xdr:col>
      <xdr:colOff>53340</xdr:colOff>
      <xdr:row>41</xdr:row>
      <xdr:rowOff>41910</xdr:rowOff>
    </xdr:from>
    <xdr:to>
      <xdr:col>28</xdr:col>
      <xdr:colOff>281940</xdr:colOff>
      <xdr:row>64</xdr:row>
      <xdr:rowOff>121920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22860</xdr:colOff>
      <xdr:row>32</xdr:row>
      <xdr:rowOff>19050</xdr:rowOff>
    </xdr:from>
    <xdr:to>
      <xdr:col>20</xdr:col>
      <xdr:colOff>1524</xdr:colOff>
      <xdr:row>48</xdr:row>
      <xdr:rowOff>89154</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572500" cy="5819775"/>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67158" cy="6294783"/>
    <xdr:graphicFrame macro="">
      <xdr:nvGraphicFramePr>
        <xdr:cNvPr id="2" name="Chart 1">
          <a:extLst>
            <a:ext uri="{FF2B5EF4-FFF2-40B4-BE49-F238E27FC236}">
              <a16:creationId xmlns:a16="http://schemas.microsoft.com/office/drawing/2014/main" id="{2F5901AF-4824-0160-E136-2FB8DFB7CE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82025" cy="5819775"/>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7158" cy="6294783"/>
    <xdr:graphicFrame macro="">
      <xdr:nvGraphicFramePr>
        <xdr:cNvPr id="2" name="Chart 1">
          <a:extLst>
            <a:ext uri="{FF2B5EF4-FFF2-40B4-BE49-F238E27FC236}">
              <a16:creationId xmlns:a16="http://schemas.microsoft.com/office/drawing/2014/main" id="{A4052C00-AAE7-481B-960D-2A856B7C4E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0.62331</cdr:x>
      <cdr:y>0.20481</cdr:y>
    </cdr:from>
    <cdr:to>
      <cdr:x>0.85034</cdr:x>
      <cdr:y>0.36462</cdr:y>
    </cdr:to>
    <cdr:sp macro="" textlink="">
      <cdr:nvSpPr>
        <cdr:cNvPr id="2" name="TextBox 1">
          <a:extLst xmlns:a="http://schemas.openxmlformats.org/drawingml/2006/main">
            <a:ext uri="{FF2B5EF4-FFF2-40B4-BE49-F238E27FC236}">
              <a16:creationId xmlns:a16="http://schemas.microsoft.com/office/drawing/2014/main" id="{D39C6F98-835E-4E7F-AF84-B41C7E21D211}"/>
            </a:ext>
          </a:extLst>
        </cdr:cNvPr>
        <cdr:cNvSpPr txBox="1"/>
      </cdr:nvSpPr>
      <cdr:spPr>
        <a:xfrm xmlns:a="http://schemas.openxmlformats.org/drawingml/2006/main">
          <a:off x="5396814" y="1286476"/>
          <a:ext cx="1965680" cy="100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FF0000"/>
              </a:solidFill>
            </a:rPr>
            <a:t>Notes:</a:t>
          </a:r>
        </a:p>
        <a:p xmlns:a="http://schemas.openxmlformats.org/drawingml/2006/main">
          <a:r>
            <a:rPr lang="en-US" sz="1100">
              <a:solidFill>
                <a:srgbClr val="FF0000"/>
              </a:solidFill>
            </a:rPr>
            <a:t>1) VEC's share of Seabrook attributes is 50% of what is shown here.</a:t>
          </a:r>
        </a:p>
        <a:p xmlns:a="http://schemas.openxmlformats.org/drawingml/2006/main">
          <a:endParaRPr lang="en-US" sz="1100">
            <a:solidFill>
              <a:srgbClr val="FF0000"/>
            </a:solidFill>
          </a:endParaRPr>
        </a:p>
        <a:p xmlns:a="http://schemas.openxmlformats.org/drawingml/2006/main">
          <a:endParaRPr lang="en-US" sz="1100">
            <a:solidFill>
              <a:srgbClr val="FF0000"/>
            </a:solidFill>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7158" cy="6294783"/>
    <xdr:graphicFrame macro="">
      <xdr:nvGraphicFramePr>
        <xdr:cNvPr id="2" name="Chart 1">
          <a:extLst>
            <a:ext uri="{FF2B5EF4-FFF2-40B4-BE49-F238E27FC236}">
              <a16:creationId xmlns:a16="http://schemas.microsoft.com/office/drawing/2014/main" id="{E133BFB1-6918-4CB1-BB0B-3BEE7A47537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7.xml><?xml version="1.0" encoding="utf-8"?>
<xdr:wsDr xmlns:xdr="http://schemas.openxmlformats.org/drawingml/2006/spreadsheetDrawing" xmlns:a="http://schemas.openxmlformats.org/drawingml/2006/main">
  <xdr:absoluteAnchor>
    <xdr:pos x="0" y="0"/>
    <xdr:ext cx="8667158" cy="6294783"/>
    <xdr:graphicFrame macro="">
      <xdr:nvGraphicFramePr>
        <xdr:cNvPr id="2" name="Chart 1">
          <a:extLst>
            <a:ext uri="{FF2B5EF4-FFF2-40B4-BE49-F238E27FC236}">
              <a16:creationId xmlns:a16="http://schemas.microsoft.com/office/drawing/2014/main" id="{8616038A-06BD-41C0-BB1F-B46AF5521D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7158" cy="6294783"/>
    <xdr:graphicFrame macro="">
      <xdr:nvGraphicFramePr>
        <xdr:cNvPr id="2" name="Chart 1">
          <a:extLst>
            <a:ext uri="{FF2B5EF4-FFF2-40B4-BE49-F238E27FC236}">
              <a16:creationId xmlns:a16="http://schemas.microsoft.com/office/drawing/2014/main" id="{012F993D-4390-44BD-AF52-E76229C228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ower%20Supply/100%25%20Renewable/100%25%20Renewable%20Strategy%20Development/Resource%20Projections%20-%20Base%20NM%20-%20Three%20Forecasts%20Combined%20in%20to%201%20File%20-%202024-04-03%20-%20New%20Proposed%20RES%20-%20DP%20Updates.xlsx?0A415825" TargetMode="External"/><Relationship Id="rId1" Type="http://schemas.openxmlformats.org/officeDocument/2006/relationships/externalLinkPath" Target="file:///\\0A415825\Resource%20Projections%20-%20Base%20NM%20-%20Three%20Forecasts%20Combined%20in%20to%201%20File%20-%202024-04-03%20-%20New%20Proposed%20RES%20-%20DP%20Upd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Cap Data"/>
      <sheetName val="Annual Cap Data"/>
      <sheetName val="Committed Capacity Data"/>
      <sheetName val="Committed Cap Plot"/>
      <sheetName val="Committted + Pending Cap Data"/>
      <sheetName val="Committed + Pending Cap Plot"/>
      <sheetName val="Monthly Energy Data"/>
      <sheetName val="Annual Energy Data"/>
      <sheetName val="2015 Fuel Type Chart"/>
      <sheetName val="100% CF Chart - By Resource"/>
      <sheetName val="100% CF Chart - Total Sys"/>
      <sheetName val="CF % Chart - Annual"/>
      <sheetName val="100% Renew Chart - By Resource"/>
      <sheetName val="100% Renew Chart - Total Sys"/>
      <sheetName val="Renew % Chart - Annual"/>
      <sheetName val="Total Sys Chart - MOU I.1a"/>
      <sheetName val="Total Sys Data - MOU I.2"/>
      <sheetName val="Tier 1 Chart - Pre-REC Sales"/>
      <sheetName val="Tier 1 Chart - Post-REC Sales"/>
      <sheetName val="Tier 1 Data - MOU I.4"/>
      <sheetName val="Tier 1 Data - MOU 1.5"/>
      <sheetName val="Tier 2 Chart - Existing NM"/>
      <sheetName val="Tier 2 Chart - Existing NM Tot"/>
      <sheetName val="Tier 2 Chart - Existing+New NM"/>
      <sheetName val="Tier 2 Chart - Exist+New NM Tot"/>
      <sheetName val="Tier 2 Data - MOU I.6"/>
      <sheetName val="SPEED Plot"/>
      <sheetName val="Tier 3 Data"/>
      <sheetName val="Pre-Post Tier 3 Comp Tables"/>
      <sheetName val="Renewable Analysis"/>
      <sheetName val="Emissions Data"/>
      <sheetName val="Annual Emissions"/>
    </sheetNames>
    <sheetDataSet>
      <sheetData sheetId="0"/>
      <sheetData sheetId="1"/>
      <sheetData sheetId="2"/>
      <sheetData sheetId="3" refreshError="1"/>
      <sheetData sheetId="4"/>
      <sheetData sheetId="5" refreshError="1"/>
      <sheetData sheetId="6">
        <row r="1">
          <cell r="CS1">
            <v>0</v>
          </cell>
          <cell r="CT1">
            <v>0</v>
          </cell>
          <cell r="CU1">
            <v>0</v>
          </cell>
          <cell r="CV1">
            <v>0</v>
          </cell>
          <cell r="CW1">
            <v>0</v>
          </cell>
          <cell r="CX1">
            <v>0</v>
          </cell>
          <cell r="CY1">
            <v>0</v>
          </cell>
          <cell r="CZ1">
            <v>0</v>
          </cell>
          <cell r="DA1">
            <v>0</v>
          </cell>
        </row>
        <row r="2">
          <cell r="CS2">
            <v>0</v>
          </cell>
          <cell r="CT2">
            <v>0</v>
          </cell>
          <cell r="CU2">
            <v>0</v>
          </cell>
          <cell r="CV2">
            <v>0</v>
          </cell>
          <cell r="CW2">
            <v>0</v>
          </cell>
          <cell r="CX2">
            <v>0</v>
          </cell>
          <cell r="CY2">
            <v>0</v>
          </cell>
          <cell r="CZ2">
            <v>0</v>
          </cell>
          <cell r="DA2">
            <v>0</v>
          </cell>
        </row>
        <row r="200">
          <cell r="D200">
            <v>2024</v>
          </cell>
          <cell r="EK200">
            <v>1831.5228331457374</v>
          </cell>
          <cell r="EL200">
            <v>1835.5518877285217</v>
          </cell>
        </row>
        <row r="201">
          <cell r="D201">
            <v>2024</v>
          </cell>
          <cell r="EK201">
            <v>2367.8529585275523</v>
          </cell>
          <cell r="EL201">
            <v>2377.9297077510278</v>
          </cell>
        </row>
        <row r="202">
          <cell r="D202">
            <v>2024</v>
          </cell>
          <cell r="EK202">
            <v>4145.446118886548</v>
          </cell>
          <cell r="EL202">
            <v>4178.0650724159432</v>
          </cell>
        </row>
        <row r="203">
          <cell r="D203">
            <v>2024</v>
          </cell>
          <cell r="EK203">
            <v>4896.7521429648832</v>
          </cell>
          <cell r="EL203">
            <v>4959.664494085283</v>
          </cell>
        </row>
        <row r="204">
          <cell r="D204">
            <v>2024</v>
          </cell>
          <cell r="EK204">
            <v>5423.2478817228666</v>
          </cell>
          <cell r="EL204">
            <v>5563.9722490747463</v>
          </cell>
        </row>
        <row r="205">
          <cell r="D205">
            <v>2024</v>
          </cell>
          <cell r="EK205">
            <v>5460.0379551484575</v>
          </cell>
          <cell r="EL205">
            <v>5631.031295376094</v>
          </cell>
        </row>
        <row r="206">
          <cell r="D206">
            <v>2024</v>
          </cell>
          <cell r="EK206">
            <v>5638.5947690504872</v>
          </cell>
          <cell r="EL206">
            <v>5876.8988935841207</v>
          </cell>
        </row>
        <row r="207">
          <cell r="D207">
            <v>2024</v>
          </cell>
          <cell r="EK207">
            <v>5372.7355628528639</v>
          </cell>
          <cell r="EL207">
            <v>5612.6256956287252</v>
          </cell>
        </row>
        <row r="208">
          <cell r="D208">
            <v>2024</v>
          </cell>
          <cell r="EK208">
            <v>4644.5611749123054</v>
          </cell>
          <cell r="EL208">
            <v>4875.8941850880256</v>
          </cell>
        </row>
        <row r="209">
          <cell r="D209">
            <v>2024</v>
          </cell>
          <cell r="EK209">
            <v>3386.1515049636537</v>
          </cell>
          <cell r="EL209">
            <v>3547.2742805977091</v>
          </cell>
        </row>
        <row r="210">
          <cell r="D210">
            <v>2024</v>
          </cell>
          <cell r="EK210">
            <v>2222.0669673237007</v>
          </cell>
          <cell r="EL210">
            <v>2304.4012180739333</v>
          </cell>
        </row>
        <row r="211">
          <cell r="D211">
            <v>2024</v>
          </cell>
          <cell r="EK211">
            <v>1510.5765994210785</v>
          </cell>
          <cell r="EL211">
            <v>1555.3572192218471</v>
          </cell>
        </row>
        <row r="212">
          <cell r="D212">
            <v>2025</v>
          </cell>
          <cell r="EK212">
            <v>1887.2896721384593</v>
          </cell>
          <cell r="EL212">
            <v>1935.2114369358465</v>
          </cell>
        </row>
        <row r="213">
          <cell r="D213">
            <v>2025</v>
          </cell>
          <cell r="EK213">
            <v>2437.366363808464</v>
          </cell>
          <cell r="EL213">
            <v>2531.4590961034605</v>
          </cell>
        </row>
        <row r="214">
          <cell r="D214">
            <v>2025</v>
          </cell>
          <cell r="EK214">
            <v>4281.9376896990452</v>
          </cell>
          <cell r="EL214">
            <v>4528.6776358030647</v>
          </cell>
        </row>
        <row r="215">
          <cell r="D215">
            <v>2025</v>
          </cell>
          <cell r="EK215">
            <v>5070.5809631658185</v>
          </cell>
          <cell r="EL215">
            <v>5394.3444484782667</v>
          </cell>
        </row>
        <row r="216">
          <cell r="D216">
            <v>2025</v>
          </cell>
          <cell r="EK216">
            <v>5596.8116898592762</v>
          </cell>
          <cell r="EL216">
            <v>6024.359676796199</v>
          </cell>
        </row>
        <row r="217">
          <cell r="D217">
            <v>2025</v>
          </cell>
          <cell r="EK217">
            <v>5645.2192387098185</v>
          </cell>
          <cell r="EL217">
            <v>6103.4785771640263</v>
          </cell>
        </row>
        <row r="218">
          <cell r="D218">
            <v>2025</v>
          </cell>
          <cell r="EK218">
            <v>5629.5909021486295</v>
          </cell>
          <cell r="EL218">
            <v>6177.4744246420205</v>
          </cell>
        </row>
        <row r="219">
          <cell r="D219">
            <v>2025</v>
          </cell>
          <cell r="EK219">
            <v>5364.2187651687491</v>
          </cell>
          <cell r="EL219">
            <v>5893.6616375154363</v>
          </cell>
        </row>
        <row r="220">
          <cell r="D220">
            <v>2025</v>
          </cell>
          <cell r="EK220">
            <v>4637.6452877471402</v>
          </cell>
          <cell r="EL220">
            <v>5113.1020887144041</v>
          </cell>
        </row>
        <row r="221">
          <cell r="D221">
            <v>2025</v>
          </cell>
          <cell r="EK221">
            <v>3380.9171273144129</v>
          </cell>
          <cell r="EL221">
            <v>3697.7498764412921</v>
          </cell>
        </row>
        <row r="222">
          <cell r="D222">
            <v>2025</v>
          </cell>
          <cell r="EK222">
            <v>2218.6588099811274</v>
          </cell>
          <cell r="EL222">
            <v>2376.3777826870687</v>
          </cell>
        </row>
        <row r="223">
          <cell r="D223">
            <v>2025</v>
          </cell>
          <cell r="EK223">
            <v>1507.4870355021349</v>
          </cell>
          <cell r="EL223">
            <v>1592.387193816915</v>
          </cell>
        </row>
        <row r="224">
          <cell r="D224">
            <v>2026</v>
          </cell>
          <cell r="EK224">
            <v>1882.9878345378177</v>
          </cell>
          <cell r="EL224">
            <v>1970.2613960113893</v>
          </cell>
        </row>
        <row r="225">
          <cell r="D225">
            <v>2026</v>
          </cell>
          <cell r="EK225">
            <v>2432.0143090321571</v>
          </cell>
          <cell r="EL225">
            <v>2601.4474490919556</v>
          </cell>
        </row>
        <row r="226">
          <cell r="D226">
            <v>2026</v>
          </cell>
          <cell r="EK226">
            <v>4274.5158756806577</v>
          </cell>
          <cell r="EL226">
            <v>4713.3142432391669</v>
          </cell>
        </row>
        <row r="227">
          <cell r="D227">
            <v>2026</v>
          </cell>
          <cell r="EK227">
            <v>5062.6695863708574</v>
          </cell>
          <cell r="EL227">
            <v>5620.5662625731993</v>
          </cell>
        </row>
        <row r="228">
          <cell r="D228">
            <v>2026</v>
          </cell>
          <cell r="EK228">
            <v>5587.8584046371816</v>
          </cell>
          <cell r="EL228">
            <v>6291.5726942764504</v>
          </cell>
        </row>
        <row r="229">
          <cell r="D229">
            <v>2026</v>
          </cell>
          <cell r="EK229">
            <v>5636.4160757958371</v>
          </cell>
          <cell r="EL229">
            <v>6371.7414643151251</v>
          </cell>
        </row>
        <row r="230">
          <cell r="D230">
            <v>2026</v>
          </cell>
          <cell r="EK230">
            <v>5620.6320545812814</v>
          </cell>
          <cell r="EL230">
            <v>6431.6580653404653</v>
          </cell>
        </row>
        <row r="231">
          <cell r="D231">
            <v>2026</v>
          </cell>
          <cell r="EK231">
            <v>5355.7445514730553</v>
          </cell>
          <cell r="EL231">
            <v>6131.3072524549443</v>
          </cell>
        </row>
        <row r="232">
          <cell r="D232">
            <v>2026</v>
          </cell>
          <cell r="EK232">
            <v>4630.7639800178013</v>
          </cell>
          <cell r="EL232">
            <v>5313.7260031578771</v>
          </cell>
        </row>
        <row r="233">
          <cell r="D233">
            <v>2026</v>
          </cell>
          <cell r="EK233">
            <v>3375.7089215534179</v>
          </cell>
          <cell r="EL233">
            <v>3824.8951481491972</v>
          </cell>
        </row>
        <row r="234">
          <cell r="D234">
            <v>2026</v>
          </cell>
          <cell r="EK234">
            <v>2215.2676934252668</v>
          </cell>
          <cell r="EL234">
            <v>2437.0636797935604</v>
          </cell>
        </row>
        <row r="235">
          <cell r="D235">
            <v>2026</v>
          </cell>
          <cell r="EK235">
            <v>1504.4129194027857</v>
          </cell>
          <cell r="EL235">
            <v>1623.4146854544758</v>
          </cell>
        </row>
        <row r="236">
          <cell r="D236">
            <v>2027</v>
          </cell>
          <cell r="EK236">
            <v>1878.7075061251792</v>
          </cell>
          <cell r="EL236">
            <v>1999.4300947735073</v>
          </cell>
        </row>
        <row r="237">
          <cell r="D237">
            <v>2027</v>
          </cell>
          <cell r="EK237">
            <v>2426.6890145297316</v>
          </cell>
          <cell r="EL237">
            <v>2660.161501189612</v>
          </cell>
        </row>
        <row r="238">
          <cell r="D238">
            <v>2027</v>
          </cell>
          <cell r="EK238">
            <v>4267.1311707323639</v>
          </cell>
          <cell r="EL238">
            <v>4869.1791965271905</v>
          </cell>
        </row>
        <row r="239">
          <cell r="D239">
            <v>2027</v>
          </cell>
          <cell r="EK239">
            <v>5054.7977664598729</v>
          </cell>
          <cell r="EL239">
            <v>5811.7076549186249</v>
          </cell>
        </row>
        <row r="240">
          <cell r="D240">
            <v>2027</v>
          </cell>
          <cell r="EK240">
            <v>5578.9498858411971</v>
          </cell>
          <cell r="EL240">
            <v>6517.4055327774595</v>
          </cell>
        </row>
        <row r="241">
          <cell r="D241">
            <v>2027</v>
          </cell>
          <cell r="EK241">
            <v>5627.6569286964259</v>
          </cell>
          <cell r="EL241">
            <v>6598.4884597710325</v>
          </cell>
        </row>
        <row r="242">
          <cell r="D242">
            <v>2027</v>
          </cell>
          <cell r="EK242">
            <v>5611.7180012517701</v>
          </cell>
          <cell r="EL242">
            <v>6646.4151270368784</v>
          </cell>
        </row>
        <row r="243">
          <cell r="D243">
            <v>2027</v>
          </cell>
          <cell r="EK243">
            <v>5347.3127088458386</v>
          </cell>
          <cell r="EL243">
            <v>6332.0772641676504</v>
          </cell>
        </row>
        <row r="244">
          <cell r="D244">
            <v>2027</v>
          </cell>
          <cell r="EK244">
            <v>4623.9170788271076</v>
          </cell>
          <cell r="EL244">
            <v>5483.2585408140731</v>
          </cell>
        </row>
        <row r="245">
          <cell r="D245">
            <v>2027</v>
          </cell>
          <cell r="EK245">
            <v>3370.5267568212275</v>
          </cell>
          <cell r="EL245">
            <v>3932.2134392655717</v>
          </cell>
        </row>
        <row r="246">
          <cell r="D246">
            <v>2027</v>
          </cell>
          <cell r="EK246">
            <v>2211.8935324521858</v>
          </cell>
          <cell r="EL246">
            <v>2488.1549804334786</v>
          </cell>
        </row>
        <row r="247">
          <cell r="D247">
            <v>2027</v>
          </cell>
          <cell r="EK247">
            <v>1501.3541738839335</v>
          </cell>
          <cell r="EL247">
            <v>1649.3423065119969</v>
          </cell>
        </row>
        <row r="248">
          <cell r="D248">
            <v>2028</v>
          </cell>
          <cell r="EK248">
            <v>1874.4485793546041</v>
          </cell>
          <cell r="EL248">
            <v>2023.6028411014754</v>
          </cell>
        </row>
        <row r="249">
          <cell r="D249">
            <v>2028</v>
          </cell>
          <cell r="EK249">
            <v>2421.3903464998184</v>
          </cell>
          <cell r="EL249">
            <v>2709.2962777697685</v>
          </cell>
        </row>
        <row r="250">
          <cell r="D250">
            <v>2028</v>
          </cell>
          <cell r="EK250">
            <v>4259.78338930881</v>
          </cell>
          <cell r="EL250">
            <v>5000.5936246045048</v>
          </cell>
        </row>
        <row r="251">
          <cell r="D251">
            <v>2028</v>
          </cell>
          <cell r="EK251">
            <v>5046.9653056484422</v>
          </cell>
          <cell r="EL251">
            <v>5973.0364245251421</v>
          </cell>
        </row>
        <row r="252">
          <cell r="D252">
            <v>2028</v>
          </cell>
          <cell r="EK252">
            <v>5570.0859096391923</v>
          </cell>
          <cell r="EL252">
            <v>6708.071710277899</v>
          </cell>
        </row>
        <row r="253">
          <cell r="D253">
            <v>2028</v>
          </cell>
          <cell r="EK253">
            <v>5618.9415773325127</v>
          </cell>
          <cell r="EL253">
            <v>6789.9533295791407</v>
          </cell>
        </row>
        <row r="254">
          <cell r="D254">
            <v>2028</v>
          </cell>
          <cell r="EK254">
            <v>5602.8485181889064</v>
          </cell>
          <cell r="EL254">
            <v>6827.6660917460504</v>
          </cell>
        </row>
        <row r="255">
          <cell r="D255">
            <v>2028</v>
          </cell>
          <cell r="EK255">
            <v>5338.9230254317599</v>
          </cell>
          <cell r="EL255">
            <v>6501.5091569425049</v>
          </cell>
        </row>
        <row r="256">
          <cell r="D256">
            <v>2028</v>
          </cell>
          <cell r="EK256">
            <v>4617.1044121423693</v>
          </cell>
          <cell r="EL256">
            <v>5626.3683971491919</v>
          </cell>
        </row>
        <row r="257">
          <cell r="D257">
            <v>2028</v>
          </cell>
          <cell r="EK257">
            <v>3365.3705029126986</v>
          </cell>
          <cell r="EL257">
            <v>4022.6825728283234</v>
          </cell>
        </row>
        <row r="258">
          <cell r="D258">
            <v>2028</v>
          </cell>
          <cell r="EK258">
            <v>2208.5362422839698</v>
          </cell>
          <cell r="EL258">
            <v>2531.093332636312</v>
          </cell>
        </row>
        <row r="259">
          <cell r="D259">
            <v>2028</v>
          </cell>
          <cell r="EK259">
            <v>1498.3107220926754</v>
          </cell>
          <cell r="EL259">
            <v>1670.937266310656</v>
          </cell>
        </row>
        <row r="260">
          <cell r="D260">
            <v>2029</v>
          </cell>
          <cell r="EK260">
            <v>1870.2109472178815</v>
          </cell>
          <cell r="EL260">
            <v>2043.5321310985146</v>
          </cell>
        </row>
        <row r="261">
          <cell r="D261">
            <v>2029</v>
          </cell>
          <cell r="EK261">
            <v>2416.1181718100547</v>
          </cell>
          <cell r="EL261">
            <v>2750.292530998564</v>
          </cell>
        </row>
        <row r="262">
          <cell r="D262">
            <v>2029</v>
          </cell>
          <cell r="EK262">
            <v>4252.4723467923741</v>
          </cell>
          <cell r="EL262">
            <v>5111.2304601638079</v>
          </cell>
        </row>
        <row r="263">
          <cell r="D263">
            <v>2029</v>
          </cell>
          <cell r="EK263">
            <v>5039.1720071410691</v>
          </cell>
          <cell r="EL263">
            <v>6109.0301718730252</v>
          </cell>
        </row>
        <row r="264">
          <cell r="D264">
            <v>2029</v>
          </cell>
          <cell r="EK264">
            <v>5561.2662533181974</v>
          </cell>
          <cell r="EL264">
            <v>6868.8526846039822</v>
          </cell>
        </row>
        <row r="265">
          <cell r="D265">
            <v>2029</v>
          </cell>
          <cell r="EK265">
            <v>5610.2698027254191</v>
          </cell>
          <cell r="EL265">
            <v>6951.4347429682639</v>
          </cell>
        </row>
        <row r="266">
          <cell r="D266">
            <v>2029</v>
          </cell>
          <cell r="EK266">
            <v>5594.0233825413561</v>
          </cell>
          <cell r="EL266">
            <v>6980.4433367047313</v>
          </cell>
        </row>
        <row r="267">
          <cell r="D267">
            <v>2029</v>
          </cell>
          <cell r="EK267">
            <v>5330.575290434751</v>
          </cell>
          <cell r="EL267">
            <v>6644.3097617060894</v>
          </cell>
        </row>
        <row r="268">
          <cell r="D268">
            <v>2029</v>
          </cell>
          <cell r="EK268">
            <v>4610.3258087910535</v>
          </cell>
          <cell r="EL268">
            <v>5747.023938364754</v>
          </cell>
        </row>
        <row r="269">
          <cell r="D269">
            <v>2029</v>
          </cell>
          <cell r="EK269">
            <v>3360.2400302737115</v>
          </cell>
          <cell r="EL269">
            <v>4098.8336795399246</v>
          </cell>
        </row>
        <row r="270">
          <cell r="D270">
            <v>2029</v>
          </cell>
          <cell r="EK270">
            <v>2205.1957385665951</v>
          </cell>
          <cell r="EL270">
            <v>2567.1041249343298</v>
          </cell>
        </row>
        <row r="271">
          <cell r="D271">
            <v>2029</v>
          </cell>
          <cell r="EK271">
            <v>1495.2824875603737</v>
          </cell>
          <cell r="EL271">
            <v>1688.8516816297843</v>
          </cell>
        </row>
        <row r="272">
          <cell r="D272">
            <v>2030</v>
          </cell>
          <cell r="EK272">
            <v>1865.9945032418429</v>
          </cell>
          <cell r="EL272">
            <v>2059.8575709361735</v>
          </cell>
        </row>
        <row r="273">
          <cell r="D273">
            <v>2030</v>
          </cell>
          <cell r="EK273">
            <v>2410.8723579937396</v>
          </cell>
          <cell r="EL273">
            <v>2784.3748809130243</v>
          </cell>
        </row>
        <row r="274">
          <cell r="D274">
            <v>2030</v>
          </cell>
          <cell r="EK274">
            <v>4245.1978594885204</v>
          </cell>
          <cell r="EL274">
            <v>5204.2116692243326</v>
          </cell>
        </row>
        <row r="275">
          <cell r="D275">
            <v>2030</v>
          </cell>
          <cell r="EK275">
            <v>5031.4176751262312</v>
          </cell>
          <cell r="EL275">
            <v>6223.4948288351552</v>
          </cell>
        </row>
        <row r="276">
          <cell r="D276">
            <v>2030</v>
          </cell>
          <cell r="EK276">
            <v>5552.4906952788078</v>
          </cell>
          <cell r="EL276">
            <v>7004.2376626146088</v>
          </cell>
        </row>
        <row r="277">
          <cell r="D277">
            <v>2030</v>
          </cell>
          <cell r="EK277">
            <v>5601.6413869913595</v>
          </cell>
          <cell r="EL277">
            <v>7087.4365370309897</v>
          </cell>
        </row>
        <row r="278">
          <cell r="D278">
            <v>2030</v>
          </cell>
          <cell r="EK278">
            <v>5585.2423725720446</v>
          </cell>
          <cell r="EL278">
            <v>7109.0243502507155</v>
          </cell>
        </row>
        <row r="279">
          <cell r="D279">
            <v>2030</v>
          </cell>
          <cell r="EK279">
            <v>5322.269294112727</v>
          </cell>
          <cell r="EL279">
            <v>6764.4798541805703</v>
          </cell>
        </row>
        <row r="280">
          <cell r="D280">
            <v>2030</v>
          </cell>
          <cell r="EK280">
            <v>4603.5810984564951</v>
          </cell>
          <cell r="EL280">
            <v>5848.5982509120422</v>
          </cell>
        </row>
        <row r="281">
          <cell r="D281">
            <v>2030</v>
          </cell>
          <cell r="EK281">
            <v>3355.1352099979213</v>
          </cell>
          <cell r="EL281">
            <v>4162.8182017121344</v>
          </cell>
        </row>
        <row r="282">
          <cell r="D282">
            <v>2030</v>
          </cell>
          <cell r="EK282">
            <v>2201.8719373678073</v>
          </cell>
          <cell r="EL282">
            <v>2597.2289253486251</v>
          </cell>
        </row>
        <row r="283">
          <cell r="D283">
            <v>2030</v>
          </cell>
          <cell r="EK283">
            <v>1492.2693942007336</v>
          </cell>
          <cell r="EL283">
            <v>1703.6398406438593</v>
          </cell>
        </row>
        <row r="284">
          <cell r="D284">
            <v>2031</v>
          </cell>
          <cell r="EK284">
            <v>1861.7991414856835</v>
          </cell>
          <cell r="EL284">
            <v>2073.1228104216571</v>
          </cell>
        </row>
        <row r="285">
          <cell r="D285">
            <v>2031</v>
          </cell>
          <cell r="EK285">
            <v>2405.6527732465065</v>
          </cell>
          <cell r="EL285">
            <v>2812.5842353369503</v>
          </cell>
        </row>
        <row r="286">
          <cell r="D286">
            <v>2031</v>
          </cell>
          <cell r="EK286">
            <v>4237.9597446211865</v>
          </cell>
          <cell r="EL286">
            <v>5282.1908962667203</v>
          </cell>
        </row>
        <row r="287">
          <cell r="D287">
            <v>2031</v>
          </cell>
          <cell r="EK287">
            <v>5023.7021147714704</v>
          </cell>
          <cell r="EL287">
            <v>6319.6654091108167</v>
          </cell>
        </row>
        <row r="288">
          <cell r="D288">
            <v>2031</v>
          </cell>
          <cell r="EK288">
            <v>5543.7590150296146</v>
          </cell>
          <cell r="EL288">
            <v>7118.0424380079303</v>
          </cell>
        </row>
        <row r="289">
          <cell r="D289">
            <v>2031</v>
          </cell>
          <cell r="EK289">
            <v>5593.0561133359715</v>
          </cell>
          <cell r="EL289">
            <v>7201.7869417028687</v>
          </cell>
        </row>
        <row r="290">
          <cell r="D290">
            <v>2031</v>
          </cell>
          <cell r="EK290">
            <v>5576.5052676525793</v>
          </cell>
          <cell r="EL290">
            <v>7217.0449653192518</v>
          </cell>
        </row>
        <row r="291">
          <cell r="D291">
            <v>2031</v>
          </cell>
          <cell r="EK291">
            <v>5314.0048277723126</v>
          </cell>
          <cell r="EL291">
            <v>6865.420063317184</v>
          </cell>
        </row>
        <row r="292">
          <cell r="D292">
            <v>2031</v>
          </cell>
          <cell r="EK292">
            <v>4596.8701116736083</v>
          </cell>
          <cell r="EL292">
            <v>5933.9584335787249</v>
          </cell>
        </row>
        <row r="293">
          <cell r="D293">
            <v>2031</v>
          </cell>
          <cell r="EK293">
            <v>3350.0559138235085</v>
          </cell>
          <cell r="EL293">
            <v>4216.4648466185217</v>
          </cell>
        </row>
        <row r="294">
          <cell r="D294">
            <v>2031</v>
          </cell>
          <cell r="EK294">
            <v>2198.5647551750135</v>
          </cell>
          <cell r="EL294">
            <v>2622.3530545269523</v>
          </cell>
        </row>
        <row r="295">
          <cell r="D295">
            <v>2031</v>
          </cell>
          <cell r="EK295">
            <v>1489.2713663078914</v>
          </cell>
          <cell r="EL295">
            <v>1715.7728772686751</v>
          </cell>
        </row>
        <row r="296">
          <cell r="D296">
            <v>2032</v>
          </cell>
          <cell r="EK296">
            <v>1857.6247565383062</v>
          </cell>
          <cell r="EL296">
            <v>2083.7899365296762</v>
          </cell>
        </row>
        <row r="297">
          <cell r="D297">
            <v>2032</v>
          </cell>
          <cell r="EK297">
            <v>2400.4592864230094</v>
          </cell>
          <cell r="EL297">
            <v>2835.8053468089383</v>
          </cell>
        </row>
        <row r="298">
          <cell r="D298">
            <v>2032</v>
          </cell>
          <cell r="EK298">
            <v>4230.7578203281892</v>
          </cell>
          <cell r="EL298">
            <v>5347.4237125969858</v>
          </cell>
        </row>
        <row r="299">
          <cell r="D299">
            <v>2032</v>
          </cell>
          <cell r="EK299">
            <v>5016.0251322184813</v>
          </cell>
          <cell r="EL299">
            <v>6400.2916460936876</v>
          </cell>
        </row>
        <row r="300">
          <cell r="D300">
            <v>2032</v>
          </cell>
          <cell r="EK300">
            <v>5535.0709931816691</v>
          </cell>
          <cell r="EL300">
            <v>7213.5104034561209</v>
          </cell>
        </row>
        <row r="301">
          <cell r="D301">
            <v>2032</v>
          </cell>
          <cell r="EK301">
            <v>5584.5137660488599</v>
          </cell>
          <cell r="EL301">
            <v>7297.7399209939349</v>
          </cell>
        </row>
        <row r="302">
          <cell r="D302">
            <v>2032</v>
          </cell>
          <cell r="EK302">
            <v>5567.811848257712</v>
          </cell>
          <cell r="EL302">
            <v>7307.5956079141861</v>
          </cell>
        </row>
        <row r="303">
          <cell r="D303">
            <v>2032</v>
          </cell>
          <cell r="EK303">
            <v>5305.7816837636001</v>
          </cell>
          <cell r="EL303">
            <v>6950.0208934639468</v>
          </cell>
        </row>
        <row r="304">
          <cell r="D304">
            <v>2032</v>
          </cell>
          <cell r="EK304">
            <v>4590.1926798246359</v>
          </cell>
          <cell r="EL304">
            <v>6005.5414957618868</v>
          </cell>
        </row>
        <row r="305">
          <cell r="D305">
            <v>2032</v>
          </cell>
          <cell r="EK305">
            <v>3345.0020141299674</v>
          </cell>
          <cell r="EL305">
            <v>4261.3279968436609</v>
          </cell>
        </row>
        <row r="306">
          <cell r="D306">
            <v>2032</v>
          </cell>
          <cell r="EK306">
            <v>2195.2741088931834</v>
          </cell>
          <cell r="EL306">
            <v>2643.2290229105747</v>
          </cell>
        </row>
        <row r="307">
          <cell r="D307">
            <v>2032</v>
          </cell>
          <cell r="EK307">
            <v>1486.2883285545136</v>
          </cell>
          <cell r="EL307">
            <v>1725.6512443553065</v>
          </cell>
        </row>
        <row r="308">
          <cell r="D308">
            <v>2033</v>
          </cell>
          <cell r="EK308">
            <v>1853.4712435156653</v>
          </cell>
          <cell r="EL308">
            <v>2092.2517079041222</v>
          </cell>
        </row>
        <row r="309">
          <cell r="D309">
            <v>2033</v>
          </cell>
          <cell r="EK309">
            <v>2395.2917670336301</v>
          </cell>
          <cell r="EL309">
            <v>2854.7902359707214</v>
          </cell>
        </row>
        <row r="310">
          <cell r="D310">
            <v>2033</v>
          </cell>
          <cell r="EK310">
            <v>4223.5919056566572</v>
          </cell>
          <cell r="EL310">
            <v>5401.8273274552275</v>
          </cell>
        </row>
        <row r="311">
          <cell r="D311">
            <v>2033</v>
          </cell>
          <cell r="EK311">
            <v>5008.3865345782579</v>
          </cell>
          <cell r="EL311">
            <v>6467.7107850589446</v>
          </cell>
        </row>
        <row r="312">
          <cell r="D312">
            <v>2033</v>
          </cell>
          <cell r="EK312">
            <v>5526.4264114429607</v>
          </cell>
          <cell r="EL312">
            <v>7293.3984109191297</v>
          </cell>
        </row>
        <row r="313">
          <cell r="D313">
            <v>2033</v>
          </cell>
          <cell r="EK313">
            <v>5576.0141304981835</v>
          </cell>
          <cell r="EL313">
            <v>7378.0613130347083</v>
          </cell>
        </row>
        <row r="314">
          <cell r="D314">
            <v>2033</v>
          </cell>
          <cell r="EK314">
            <v>5559.1618959598181</v>
          </cell>
          <cell r="EL314">
            <v>7383.3031083076239</v>
          </cell>
        </row>
        <row r="315">
          <cell r="D315">
            <v>2033</v>
          </cell>
          <cell r="EK315">
            <v>5297.5996554749327</v>
          </cell>
          <cell r="EL315">
            <v>7020.7392432074321</v>
          </cell>
        </row>
        <row r="316">
          <cell r="D316">
            <v>2033</v>
          </cell>
          <cell r="EK316">
            <v>4583.5486351349091</v>
          </cell>
          <cell r="EL316">
            <v>6065.4188709994742</v>
          </cell>
        </row>
        <row r="317">
          <cell r="D317">
            <v>2033</v>
          </cell>
          <cell r="EK317">
            <v>3339.9733839348946</v>
          </cell>
          <cell r="EL317">
            <v>4298.728859079466</v>
          </cell>
        </row>
        <row r="318">
          <cell r="D318">
            <v>2033</v>
          </cell>
          <cell r="EK318">
            <v>2191.9999158427627</v>
          </cell>
          <cell r="EL318">
            <v>2660.4964523257886</v>
          </cell>
        </row>
        <row r="319">
          <cell r="D319">
            <v>2033</v>
          </cell>
          <cell r="EK319">
            <v>1483.3202059899029</v>
          </cell>
          <cell r="EL319">
            <v>1733.6153159047037</v>
          </cell>
        </row>
        <row r="320">
          <cell r="D320">
            <v>2034</v>
          </cell>
          <cell r="EK320">
            <v>1849.3384980581372</v>
          </cell>
          <cell r="EL320">
            <v>2098.8419541841181</v>
          </cell>
        </row>
        <row r="321">
          <cell r="D321">
            <v>2034</v>
          </cell>
          <cell r="EK321">
            <v>2390.1500852411973</v>
          </cell>
          <cell r="EL321">
            <v>2870.1781014467765</v>
          </cell>
        </row>
        <row r="322">
          <cell r="D322">
            <v>2034</v>
          </cell>
          <cell r="EK322">
            <v>4216.461820558482</v>
          </cell>
          <cell r="EL322">
            <v>5447.0313424573596</v>
          </cell>
        </row>
        <row r="323">
          <cell r="D323">
            <v>2034</v>
          </cell>
          <cell r="EK323">
            <v>5000.7861299262349</v>
          </cell>
          <cell r="EL323">
            <v>6523.9094565215801</v>
          </cell>
        </row>
        <row r="324">
          <cell r="D324">
            <v>2034</v>
          </cell>
          <cell r="EK324">
            <v>5517.8250526129468</v>
          </cell>
          <cell r="EL324">
            <v>7360.0497529105742</v>
          </cell>
        </row>
        <row r="325">
          <cell r="D325">
            <v>2034</v>
          </cell>
          <cell r="EK325">
            <v>5567.556993125263</v>
          </cell>
          <cell r="EL325">
            <v>7445.1020491145209</v>
          </cell>
        </row>
        <row r="326">
          <cell r="D326">
            <v>2034</v>
          </cell>
          <cell r="EK326">
            <v>5550.5551934234136</v>
          </cell>
          <cell r="EL326">
            <v>7446.4002405588508</v>
          </cell>
        </row>
        <row r="327">
          <cell r="D327">
            <v>2034</v>
          </cell>
          <cell r="EK327">
            <v>5289.4585373277077</v>
          </cell>
          <cell r="EL327">
            <v>7079.663446387538</v>
          </cell>
        </row>
        <row r="328">
          <cell r="D328">
            <v>2034</v>
          </cell>
          <cell r="EK328">
            <v>4576.9378106686308</v>
          </cell>
          <cell r="EL328">
            <v>6115.3512534714127</v>
          </cell>
        </row>
        <row r="329">
          <cell r="D329">
            <v>2034</v>
          </cell>
          <cell r="EK329">
            <v>3334.9698968907983</v>
          </cell>
          <cell r="EL329">
            <v>4329.790440601616</v>
          </cell>
        </row>
        <row r="330">
          <cell r="D330">
            <v>2034</v>
          </cell>
          <cell r="EK330">
            <v>2188.7420937575939</v>
          </cell>
          <cell r="EL330">
            <v>2674.6990093364097</v>
          </cell>
        </row>
        <row r="331">
          <cell r="D331">
            <v>2034</v>
          </cell>
          <cell r="EK331">
            <v>1480.3669240381148</v>
          </cell>
          <cell r="EL331">
            <v>1739.9543989498225</v>
          </cell>
        </row>
        <row r="332">
          <cell r="D332">
            <v>2035</v>
          </cell>
          <cell r="EK332">
            <v>1845.2264163278974</v>
          </cell>
          <cell r="EL332">
            <v>2103.8444154307736</v>
          </cell>
        </row>
        <row r="333">
          <cell r="D333">
            <v>2035</v>
          </cell>
          <cell r="EK333">
            <v>2385.0341118577267</v>
          </cell>
          <cell r="EL333">
            <v>2882.5122432415205</v>
          </cell>
        </row>
        <row r="334">
          <cell r="D334">
            <v>2035</v>
          </cell>
          <cell r="EK334">
            <v>4209.3673858857983</v>
          </cell>
          <cell r="EL334">
            <v>5484.4208928699372</v>
          </cell>
        </row>
        <row r="335">
          <cell r="D335">
            <v>2035</v>
          </cell>
          <cell r="EK335">
            <v>4993.2237272974726</v>
          </cell>
          <cell r="EL335">
            <v>6570.5762685902764</v>
          </cell>
        </row>
        <row r="336">
          <cell r="D336">
            <v>2035</v>
          </cell>
          <cell r="EK336">
            <v>5509.2667005770836</v>
          </cell>
          <cell r="EL336">
            <v>7415.4561965729508</v>
          </cell>
        </row>
        <row r="337">
          <cell r="D337">
            <v>2035</v>
          </cell>
          <cell r="EK337">
            <v>5559.1421414392034</v>
          </cell>
          <cell r="EL337">
            <v>7500.8603898632846</v>
          </cell>
        </row>
        <row r="338">
          <cell r="D338">
            <v>2035</v>
          </cell>
          <cell r="EK338">
            <v>5541.991524399692</v>
          </cell>
          <cell r="EL338">
            <v>7498.7848311046155</v>
          </cell>
        </row>
        <row r="339">
          <cell r="D339">
            <v>2035</v>
          </cell>
          <cell r="EK339">
            <v>5281.3581247712173</v>
          </cell>
          <cell r="EL339">
            <v>7128.5685569592788</v>
          </cell>
        </row>
        <row r="340">
          <cell r="D340">
            <v>2035</v>
          </cell>
          <cell r="EK340">
            <v>4570.3600403246837</v>
          </cell>
          <cell r="EL340">
            <v>6156.83520902495</v>
          </cell>
        </row>
        <row r="341">
          <cell r="D341">
            <v>2035</v>
          </cell>
          <cell r="EK341">
            <v>3329.9914272819206</v>
          </cell>
          <cell r="EL341">
            <v>4355.4672792740475</v>
          </cell>
        </row>
        <row r="342">
          <cell r="D342">
            <v>2035</v>
          </cell>
          <cell r="EK342">
            <v>2185.5005607828507</v>
          </cell>
          <cell r="EL342">
            <v>2686.2987985930877</v>
          </cell>
        </row>
        <row r="343">
          <cell r="D343">
            <v>2035</v>
          </cell>
          <cell r="EK343">
            <v>1477.4284084960859</v>
          </cell>
          <cell r="EL343">
            <v>1744.9143936551641</v>
          </cell>
        </row>
        <row r="344">
          <cell r="D344">
            <v>2036</v>
          </cell>
          <cell r="EK344">
            <v>1841.1348950063086</v>
          </cell>
          <cell r="EL344">
            <v>2107.5002556395457</v>
          </cell>
        </row>
        <row r="345">
          <cell r="D345">
            <v>2036</v>
          </cell>
          <cell r="EK345">
            <v>2379.9437183411737</v>
          </cell>
          <cell r="EL345">
            <v>2892.2544476264502</v>
          </cell>
        </row>
        <row r="346">
          <cell r="D346">
            <v>2036</v>
          </cell>
          <cell r="EK346">
            <v>4202.3084233864774</v>
          </cell>
          <cell r="EL346">
            <v>5515.1733176930884</v>
          </cell>
        </row>
        <row r="347">
          <cell r="D347">
            <v>2036</v>
          </cell>
          <cell r="EK347">
            <v>4985.6991366818547</v>
          </cell>
          <cell r="EL347">
            <v>6609.146510467499</v>
          </cell>
        </row>
        <row r="348">
          <cell r="D348">
            <v>2036</v>
          </cell>
          <cell r="EK348">
            <v>5434.16785276067</v>
          </cell>
          <cell r="EL348">
            <v>7394.7274251000408</v>
          </cell>
        </row>
        <row r="349">
          <cell r="D349">
            <v>2036</v>
          </cell>
          <cell r="EK349">
            <v>5522.2336693512625</v>
          </cell>
          <cell r="EL349">
            <v>7518.4991313449427</v>
          </cell>
        </row>
        <row r="350">
          <cell r="D350">
            <v>2036</v>
          </cell>
          <cell r="EK350">
            <v>5504.9349790607757</v>
          </cell>
          <cell r="EL350">
            <v>7513.5343063997625</v>
          </cell>
        </row>
        <row r="351">
          <cell r="D351">
            <v>2036</v>
          </cell>
          <cell r="EK351">
            <v>5249.5184687272522</v>
          </cell>
          <cell r="EL351">
            <v>7145.1835955743081</v>
          </cell>
        </row>
        <row r="352">
          <cell r="D352">
            <v>2036</v>
          </cell>
          <cell r="EK352">
            <v>4559.0592097224044</v>
          </cell>
          <cell r="EL352">
            <v>6186.3868454355315</v>
          </cell>
        </row>
        <row r="353">
          <cell r="D353">
            <v>2036</v>
          </cell>
          <cell r="EK353">
            <v>3291.7462062507229</v>
          </cell>
          <cell r="EL353">
            <v>4343.279070281963</v>
          </cell>
        </row>
        <row r="354">
          <cell r="D354">
            <v>2036</v>
          </cell>
          <cell r="EK354">
            <v>2120.4478970423042</v>
          </cell>
          <cell r="EL354">
            <v>2633.8612587492489</v>
          </cell>
        </row>
        <row r="355">
          <cell r="D355">
            <v>2036</v>
          </cell>
          <cell r="EK355">
            <v>1436.45699265135</v>
          </cell>
          <cell r="EL355">
            <v>1710.6567115206933</v>
          </cell>
        </row>
        <row r="356">
          <cell r="D356">
            <v>2037</v>
          </cell>
          <cell r="EK356">
            <v>1803.7721875209627</v>
          </cell>
          <cell r="EL356">
            <v>2076.7228054550064</v>
          </cell>
        </row>
        <row r="357">
          <cell r="D357">
            <v>2037</v>
          </cell>
          <cell r="EK357">
            <v>2355.8549803519945</v>
          </cell>
          <cell r="EL357">
            <v>2880.7734178535311</v>
          </cell>
        </row>
        <row r="358">
          <cell r="D358">
            <v>2037</v>
          </cell>
          <cell r="EK358">
            <v>4161.9931119292887</v>
          </cell>
          <cell r="EL358">
            <v>5506.9976854600009</v>
          </cell>
        </row>
        <row r="359">
          <cell r="D359">
            <v>2037</v>
          </cell>
          <cell r="EK359">
            <v>4873.5812885981668</v>
          </cell>
          <cell r="EL359">
            <v>6536.209270002726</v>
          </cell>
        </row>
        <row r="360">
          <cell r="D360">
            <v>2037</v>
          </cell>
          <cell r="EK360">
            <v>5425.6948702863647</v>
          </cell>
          <cell r="EL360">
            <v>7432.4690075177132</v>
          </cell>
        </row>
        <row r="361">
          <cell r="D361">
            <v>2037</v>
          </cell>
          <cell r="EK361">
            <v>5513.9027558107737</v>
          </cell>
          <cell r="EL361">
            <v>7556.5333493386133</v>
          </cell>
        </row>
        <row r="362">
          <cell r="D362">
            <v>2037</v>
          </cell>
          <cell r="EK362">
            <v>5496.4567326355645</v>
          </cell>
          <cell r="EL362">
            <v>7549.0911775135046</v>
          </cell>
        </row>
        <row r="363">
          <cell r="D363">
            <v>2037</v>
          </cell>
          <cell r="EK363">
            <v>5241.498857786014</v>
          </cell>
          <cell r="EL363">
            <v>7178.350475093217</v>
          </cell>
        </row>
        <row r="364">
          <cell r="D364">
            <v>2037</v>
          </cell>
          <cell r="EK364">
            <v>4552.5470526376375</v>
          </cell>
          <cell r="EL364">
            <v>6214.5992853116968</v>
          </cell>
        </row>
        <row r="365">
          <cell r="D365">
            <v>2037</v>
          </cell>
          <cell r="EK365">
            <v>3286.8173968761939</v>
          </cell>
          <cell r="EL365">
            <v>4360.4987211406797</v>
          </cell>
        </row>
        <row r="366">
          <cell r="D366">
            <v>2037</v>
          </cell>
          <cell r="EK366">
            <v>2117.238698358984</v>
          </cell>
          <cell r="EL366">
            <v>2641.3749153781305</v>
          </cell>
        </row>
        <row r="367">
          <cell r="D367">
            <v>2037</v>
          </cell>
          <cell r="EK367">
            <v>1433.5477888018529</v>
          </cell>
          <cell r="EL367">
            <v>1713.4541813249216</v>
          </cell>
        </row>
        <row r="368">
          <cell r="D368">
            <v>2038</v>
          </cell>
          <cell r="EK368">
            <v>1799.7214791245569</v>
          </cell>
          <cell r="EL368">
            <v>2078.2695657642867</v>
          </cell>
        </row>
        <row r="369">
          <cell r="D369">
            <v>2038</v>
          </cell>
          <cell r="EK369">
            <v>2350.8153635107692</v>
          </cell>
          <cell r="EL369">
            <v>2886.4503529961271</v>
          </cell>
        </row>
        <row r="370">
          <cell r="D370">
            <v>2038</v>
          </cell>
          <cell r="EK370">
            <v>4155.0045625808989</v>
          </cell>
          <cell r="EL370">
            <v>5527.3278634520975</v>
          </cell>
        </row>
        <row r="371">
          <cell r="D371">
            <v>2038</v>
          </cell>
          <cell r="EK371">
            <v>4866.1317557739394</v>
          </cell>
          <cell r="EL371">
            <v>6562.0632536545754</v>
          </cell>
        </row>
        <row r="372">
          <cell r="D372">
            <v>2038</v>
          </cell>
          <cell r="EK372">
            <v>5417.2642527244298</v>
          </cell>
          <cell r="EL372">
            <v>7463.32077011396</v>
          </cell>
        </row>
        <row r="373">
          <cell r="D373">
            <v>2038</v>
          </cell>
          <cell r="EK373">
            <v>5484.3682348106504</v>
          </cell>
          <cell r="EL373">
            <v>7566.4091901425254</v>
          </cell>
        </row>
        <row r="374">
          <cell r="D374">
            <v>2038</v>
          </cell>
          <cell r="EK374">
            <v>5467.4459562546326</v>
          </cell>
          <cell r="EL374">
            <v>7557.5102510406841</v>
          </cell>
        </row>
        <row r="375">
          <cell r="D375">
            <v>2038</v>
          </cell>
          <cell r="EK375">
            <v>5213.5663017183997</v>
          </cell>
          <cell r="EL375">
            <v>7185.4264359167273</v>
          </cell>
        </row>
        <row r="376">
          <cell r="D376">
            <v>2038</v>
          </cell>
          <cell r="EK376">
            <v>4527.5022322754849</v>
          </cell>
          <cell r="EL376">
            <v>6219.0703723663373</v>
          </cell>
        </row>
        <row r="377">
          <cell r="D377">
            <v>2038</v>
          </cell>
          <cell r="EK377">
            <v>3268.3141186271005</v>
          </cell>
          <cell r="EL377">
            <v>4360.8216340898452</v>
          </cell>
        </row>
        <row r="378">
          <cell r="D378">
            <v>2038</v>
          </cell>
          <cell r="EK378">
            <v>2104.0920231940954</v>
          </cell>
          <cell r="EL378">
            <v>2637.3426672286132</v>
          </cell>
        </row>
        <row r="379">
          <cell r="D379">
            <v>2038</v>
          </cell>
          <cell r="EK379">
            <v>1425.9888198660497</v>
          </cell>
          <cell r="EL379">
            <v>1710.7458849947848</v>
          </cell>
        </row>
        <row r="380">
          <cell r="D380">
            <v>2039</v>
          </cell>
          <cell r="EK380">
            <v>1789.1114092582895</v>
          </cell>
          <cell r="EL380">
            <v>2072.4173442978522</v>
          </cell>
        </row>
        <row r="381">
          <cell r="D381">
            <v>2039</v>
          </cell>
          <cell r="EK381">
            <v>2337.600571112197</v>
          </cell>
          <cell r="EL381">
            <v>2882.3446297838027</v>
          </cell>
        </row>
        <row r="382">
          <cell r="D382">
            <v>2039</v>
          </cell>
          <cell r="EK382">
            <v>4132.2890084728933</v>
          </cell>
          <cell r="EL382">
            <v>5527.8332275835055</v>
          </cell>
        </row>
        <row r="383">
          <cell r="D383">
            <v>2039</v>
          </cell>
          <cell r="EK383">
            <v>4838.8153891328111</v>
          </cell>
          <cell r="EL383">
            <v>6563.0548760181127</v>
          </cell>
        </row>
        <row r="384">
          <cell r="D384">
            <v>2039</v>
          </cell>
          <cell r="EK384">
            <v>5388.886066848665</v>
          </cell>
          <cell r="EL384">
            <v>7468.3326073726494</v>
          </cell>
        </row>
        <row r="385">
          <cell r="D385">
            <v>2039</v>
          </cell>
          <cell r="EK385">
            <v>5463.4126243048613</v>
          </cell>
          <cell r="EL385">
            <v>7578.9523871701676</v>
          </cell>
        </row>
        <row r="386">
          <cell r="D386">
            <v>2039</v>
          </cell>
          <cell r="EK386">
            <v>5446.7454451267731</v>
          </cell>
          <cell r="EL386">
            <v>7568.6251123347192</v>
          </cell>
        </row>
        <row r="387">
          <cell r="D387">
            <v>2039</v>
          </cell>
          <cell r="EK387">
            <v>5193.6918258862443</v>
          </cell>
          <cell r="EL387">
            <v>7195.3091994420283</v>
          </cell>
        </row>
        <row r="388">
          <cell r="D388">
            <v>2039</v>
          </cell>
          <cell r="EK388">
            <v>4509.9502938176647</v>
          </cell>
          <cell r="EL388">
            <v>6226.606955212791</v>
          </cell>
        </row>
        <row r="389">
          <cell r="D389">
            <v>2039</v>
          </cell>
          <cell r="EK389">
            <v>3255.3002003561674</v>
          </cell>
          <cell r="EL389">
            <v>4363.8099783374328</v>
          </cell>
        </row>
        <row r="390">
          <cell r="D390">
            <v>2039</v>
          </cell>
          <cell r="EK390">
            <v>2094.9611628733346</v>
          </cell>
          <cell r="EL390">
            <v>2635.9590698709185</v>
          </cell>
        </row>
        <row r="391">
          <cell r="D391">
            <v>2039</v>
          </cell>
          <cell r="EK391">
            <v>1420.3186898557271</v>
          </cell>
          <cell r="EL391">
            <v>1709.1988266992789</v>
          </cell>
        </row>
        <row r="392">
          <cell r="D392">
            <v>2040</v>
          </cell>
          <cell r="EK392">
            <v>1781.1655271946693</v>
          </cell>
          <cell r="EL392">
            <v>2068.5156333740902</v>
          </cell>
        </row>
        <row r="393">
          <cell r="D393">
            <v>2040</v>
          </cell>
          <cell r="EK393">
            <v>2327.7061924368486</v>
          </cell>
          <cell r="EL393">
            <v>2880.1929599167656</v>
          </cell>
        </row>
        <row r="394">
          <cell r="D394">
            <v>2040</v>
          </cell>
          <cell r="EK394">
            <v>4115.9422022930994</v>
          </cell>
          <cell r="EL394">
            <v>5531.2242019072128</v>
          </cell>
        </row>
        <row r="395">
          <cell r="D395">
            <v>2040</v>
          </cell>
          <cell r="EK395">
            <v>4819.5345912010816</v>
          </cell>
          <cell r="EL395">
            <v>6567.8358687403497</v>
          </cell>
        </row>
        <row r="396">
          <cell r="D396">
            <v>2040</v>
          </cell>
          <cell r="EK396">
            <v>5368.582745205309</v>
          </cell>
          <cell r="EL396">
            <v>7476.4108053935806</v>
          </cell>
        </row>
        <row r="397">
          <cell r="D397">
            <v>2040</v>
          </cell>
          <cell r="EK397">
            <v>5455.2060506903272</v>
          </cell>
          <cell r="EL397">
            <v>7599.2197999590499</v>
          </cell>
        </row>
        <row r="398">
          <cell r="D398">
            <v>2040</v>
          </cell>
          <cell r="EK398">
            <v>5421.1339605892399</v>
          </cell>
          <cell r="EL398">
            <v>7570.0566943557969</v>
          </cell>
        </row>
        <row r="399">
          <cell r="D399">
            <v>2040</v>
          </cell>
          <cell r="EK399">
            <v>5141.7454469349395</v>
          </cell>
          <cell r="EL399">
            <v>7168.6564739445621</v>
          </cell>
        </row>
        <row r="400">
          <cell r="D400">
            <v>2040</v>
          </cell>
          <cell r="EK400">
            <v>4461.9087647712549</v>
          </cell>
          <cell r="EL400">
            <v>6199.8906692750143</v>
          </cell>
        </row>
        <row r="401">
          <cell r="D401">
            <v>2040</v>
          </cell>
          <cell r="EK401">
            <v>3214.9285559297223</v>
          </cell>
          <cell r="EL401">
            <v>4337.0402570517299</v>
          </cell>
        </row>
        <row r="402">
          <cell r="D402">
            <v>2040</v>
          </cell>
          <cell r="EK402">
            <v>2061.7343855233739</v>
          </cell>
          <cell r="EL402">
            <v>2609.3174660395634</v>
          </cell>
        </row>
        <row r="403">
          <cell r="D403">
            <v>2040</v>
          </cell>
          <cell r="EK403">
            <v>1393.9313560421176</v>
          </cell>
          <cell r="EL403">
            <v>1686.3161038432636</v>
          </cell>
        </row>
        <row r="404">
          <cell r="D404">
            <v>2041</v>
          </cell>
          <cell r="EK404">
            <v>1751.0824569088247</v>
          </cell>
          <cell r="EL404">
            <v>2041.8701085571249</v>
          </cell>
        </row>
        <row r="405">
          <cell r="D405">
            <v>2041</v>
          </cell>
          <cell r="EK405">
            <v>2295.1669474182727</v>
          </cell>
          <cell r="EL405">
            <v>2854.2350173852537</v>
          </cell>
        </row>
        <row r="406">
          <cell r="D406">
            <v>2041</v>
          </cell>
          <cell r="EK406">
            <v>4069.6543546869289</v>
          </cell>
          <cell r="EL406">
            <v>5501.7134677290187</v>
          </cell>
        </row>
        <row r="407">
          <cell r="D407">
            <v>2041</v>
          </cell>
          <cell r="EK407">
            <v>4711.3027163449606</v>
          </cell>
          <cell r="EL407">
            <v>6480.0565159400994</v>
          </cell>
        </row>
        <row r="408">
          <cell r="D408">
            <v>2041</v>
          </cell>
          <cell r="EK408">
            <v>5225.8763595140099</v>
          </cell>
          <cell r="EL408">
            <v>7357.8287114169252</v>
          </cell>
        </row>
        <row r="409">
          <cell r="D409">
            <v>2041</v>
          </cell>
          <cell r="EK409">
            <v>5311.4748530120805</v>
          </cell>
          <cell r="EL409">
            <v>7479.691490723706</v>
          </cell>
        </row>
        <row r="410">
          <cell r="D410">
            <v>2041</v>
          </cell>
          <cell r="EK410">
            <v>5294.1408109317572</v>
          </cell>
          <cell r="EL410">
            <v>7466.0501512731325</v>
          </cell>
        </row>
        <row r="411">
          <cell r="D411">
            <v>2041</v>
          </cell>
          <cell r="EK411">
            <v>5043.7176784227222</v>
          </cell>
          <cell r="EL411">
            <v>7092.1283108681064</v>
          </cell>
        </row>
        <row r="412">
          <cell r="D412">
            <v>2041</v>
          </cell>
          <cell r="EK412">
            <v>4369.3032128052309</v>
          </cell>
          <cell r="EL412">
            <v>6125.4115739513272</v>
          </cell>
        </row>
        <row r="413">
          <cell r="D413">
            <v>2041</v>
          </cell>
          <cell r="EK413">
            <v>3102.2879639836206</v>
          </cell>
          <cell r="EL413">
            <v>4235.9612997752592</v>
          </cell>
        </row>
        <row r="414">
          <cell r="D414">
            <v>2041</v>
          </cell>
          <cell r="EK414">
            <v>1965.5317871583611</v>
          </cell>
          <cell r="EL414">
            <v>2518.7122651653658</v>
          </cell>
        </row>
        <row r="415">
          <cell r="D415">
            <v>2041</v>
          </cell>
          <cell r="EK415">
            <v>1315.0333370051569</v>
          </cell>
          <cell r="EL415">
            <v>1610.3970041202576</v>
          </cell>
        </row>
        <row r="416">
          <cell r="D416">
            <v>2042</v>
          </cell>
          <cell r="EK416">
            <v>1577.915584954409</v>
          </cell>
          <cell r="EL416">
            <v>1871.6251502512566</v>
          </cell>
        </row>
        <row r="417">
          <cell r="D417">
            <v>2042</v>
          </cell>
          <cell r="EK417">
            <v>2100.9603146391819</v>
          </cell>
          <cell r="EL417">
            <v>2665.6224917201675</v>
          </cell>
        </row>
        <row r="418">
          <cell r="D418">
            <v>2042</v>
          </cell>
          <cell r="EK418">
            <v>3791.6145939114899</v>
          </cell>
          <cell r="EL418">
            <v>5237.9342533673589</v>
          </cell>
        </row>
        <row r="419">
          <cell r="D419">
            <v>2042</v>
          </cell>
          <cell r="EK419">
            <v>4460.6148885448902</v>
          </cell>
          <cell r="EL419">
            <v>6246.7533318875194</v>
          </cell>
        </row>
        <row r="420">
          <cell r="D420">
            <v>2042</v>
          </cell>
          <cell r="EK420">
            <v>4983.9961580675154</v>
          </cell>
          <cell r="EL420">
            <v>7136.4541579278775</v>
          </cell>
        </row>
        <row r="421">
          <cell r="D421">
            <v>2042</v>
          </cell>
          <cell r="EK421">
            <v>5069.571683041595</v>
          </cell>
          <cell r="EL421">
            <v>7258.3607759296883</v>
          </cell>
        </row>
        <row r="422">
          <cell r="D422">
            <v>2042</v>
          </cell>
          <cell r="EK422">
            <v>4939.1838264038124</v>
          </cell>
          <cell r="EL422">
            <v>7130.6317823337831</v>
          </cell>
        </row>
        <row r="423">
          <cell r="D423">
            <v>2042</v>
          </cell>
          <cell r="EK423">
            <v>4699.5162401985444</v>
          </cell>
          <cell r="EL423">
            <v>6766.2015372643255</v>
          </cell>
        </row>
        <row r="424">
          <cell r="D424">
            <v>2042</v>
          </cell>
          <cell r="EK424">
            <v>4032.1248762122627</v>
          </cell>
          <cell r="EL424">
            <v>5803.6407255043459</v>
          </cell>
        </row>
        <row r="425">
          <cell r="D425">
            <v>2042</v>
          </cell>
          <cell r="EK425">
            <v>2842.6615939542708</v>
          </cell>
          <cell r="EL425">
            <v>3986.1623192150955</v>
          </cell>
        </row>
        <row r="426">
          <cell r="D426">
            <v>2042</v>
          </cell>
          <cell r="EK426">
            <v>1760.0000376489743</v>
          </cell>
          <cell r="EL426">
            <v>2317.9383035231717</v>
          </cell>
        </row>
        <row r="427">
          <cell r="D427">
            <v>2042</v>
          </cell>
          <cell r="EK427">
            <v>1060.7774395698352</v>
          </cell>
          <cell r="EL427">
            <v>1358.6731881017977</v>
          </cell>
        </row>
        <row r="428">
          <cell r="D428">
            <v>2043</v>
          </cell>
          <cell r="EK428">
            <v>1036.8847974415287</v>
          </cell>
          <cell r="EL428">
            <v>1036.8847974415287</v>
          </cell>
        </row>
        <row r="429">
          <cell r="D429">
            <v>2043</v>
          </cell>
          <cell r="EK429">
            <v>1283.0640006817971</v>
          </cell>
          <cell r="EL429">
            <v>1283.0640006817971</v>
          </cell>
        </row>
        <row r="430">
          <cell r="D430">
            <v>2043</v>
          </cell>
          <cell r="EK430">
            <v>2039.5718412989991</v>
          </cell>
          <cell r="EL430">
            <v>2039.5718412989991</v>
          </cell>
        </row>
        <row r="431">
          <cell r="D431">
            <v>2043</v>
          </cell>
          <cell r="EK431">
            <v>2360.1034145508561</v>
          </cell>
          <cell r="EL431">
            <v>2360.1034145508561</v>
          </cell>
        </row>
        <row r="432">
          <cell r="D432">
            <v>2043</v>
          </cell>
          <cell r="EK432">
            <v>2508.0291095932544</v>
          </cell>
          <cell r="EL432">
            <v>2508.0291095932544</v>
          </cell>
        </row>
        <row r="433">
          <cell r="D433">
            <v>2043</v>
          </cell>
          <cell r="EK433">
            <v>2566.4727591736273</v>
          </cell>
          <cell r="EL433">
            <v>2566.4727591736273</v>
          </cell>
        </row>
        <row r="434">
          <cell r="D434">
            <v>2043</v>
          </cell>
          <cell r="EK434">
            <v>2527.7206730557295</v>
          </cell>
          <cell r="EL434">
            <v>2527.7206730557295</v>
          </cell>
        </row>
        <row r="435">
          <cell r="D435">
            <v>2043</v>
          </cell>
          <cell r="EK435">
            <v>2419.7265010893511</v>
          </cell>
          <cell r="EL435">
            <v>2419.7265010893511</v>
          </cell>
        </row>
        <row r="436">
          <cell r="D436">
            <v>2043</v>
          </cell>
          <cell r="EK436">
            <v>2113.3676493122907</v>
          </cell>
          <cell r="EL436">
            <v>2113.3676493122907</v>
          </cell>
        </row>
        <row r="437">
          <cell r="D437">
            <v>2043</v>
          </cell>
          <cell r="EK437">
            <v>1563.1966344399757</v>
          </cell>
          <cell r="EL437">
            <v>1563.1966344399757</v>
          </cell>
        </row>
        <row r="438">
          <cell r="D438">
            <v>2043</v>
          </cell>
          <cell r="EK438">
            <v>1092.2137302262888</v>
          </cell>
          <cell r="EL438">
            <v>1092.2137302262888</v>
          </cell>
        </row>
        <row r="439">
          <cell r="D439">
            <v>2043</v>
          </cell>
          <cell r="EK439">
            <v>724.55143500342217</v>
          </cell>
          <cell r="EL439">
            <v>724.55143500342217</v>
          </cell>
        </row>
        <row r="440">
          <cell r="D440">
            <v>2044</v>
          </cell>
          <cell r="EK440">
            <v>1000.8193333304815</v>
          </cell>
          <cell r="EL440">
            <v>1000.8193333304815</v>
          </cell>
        </row>
        <row r="441">
          <cell r="D441">
            <v>2044</v>
          </cell>
          <cell r="EK441">
            <v>1246.0171012488663</v>
          </cell>
          <cell r="EL441">
            <v>1246.0171012488663</v>
          </cell>
        </row>
        <row r="442">
          <cell r="D442">
            <v>2044</v>
          </cell>
          <cell r="EK442">
            <v>1987.3519866783245</v>
          </cell>
          <cell r="EL442">
            <v>1987.3519866783245</v>
          </cell>
        </row>
        <row r="443">
          <cell r="D443">
            <v>2044</v>
          </cell>
          <cell r="EK443">
            <v>2301.9938810244794</v>
          </cell>
          <cell r="EL443">
            <v>2301.9938810244794</v>
          </cell>
        </row>
        <row r="444">
          <cell r="D444">
            <v>2044</v>
          </cell>
          <cell r="EK444">
            <v>2448.337396164291</v>
          </cell>
          <cell r="EL444">
            <v>2448.337396164291</v>
          </cell>
        </row>
        <row r="445">
          <cell r="D445">
            <v>2044</v>
          </cell>
          <cell r="EK445">
            <v>2505.7041199992723</v>
          </cell>
          <cell r="EL445">
            <v>2505.7041199992723</v>
          </cell>
        </row>
        <row r="446">
          <cell r="D446">
            <v>2044</v>
          </cell>
          <cell r="EK446">
            <v>2490.118447735676</v>
          </cell>
          <cell r="EL446">
            <v>2490.118447735676</v>
          </cell>
        </row>
        <row r="447">
          <cell r="D447">
            <v>2044</v>
          </cell>
          <cell r="EK447">
            <v>2383.4187733328367</v>
          </cell>
          <cell r="EL447">
            <v>2383.4187733328367</v>
          </cell>
        </row>
        <row r="448">
          <cell r="D448">
            <v>2044</v>
          </cell>
          <cell r="EK448">
            <v>2080.2755614777284</v>
          </cell>
          <cell r="EL448">
            <v>2080.2755614777284</v>
          </cell>
        </row>
        <row r="449">
          <cell r="D449">
            <v>2044</v>
          </cell>
          <cell r="EK449">
            <v>1511.5572523915025</v>
          </cell>
          <cell r="EL449">
            <v>1511.5572523915025</v>
          </cell>
        </row>
        <row r="450">
          <cell r="D450">
            <v>2044</v>
          </cell>
          <cell r="EK450">
            <v>1054.6772469385446</v>
          </cell>
          <cell r="EL450">
            <v>1054.6772469385446</v>
          </cell>
        </row>
        <row r="451">
          <cell r="D451">
            <v>2044</v>
          </cell>
          <cell r="EK451">
            <v>705.89784697623486</v>
          </cell>
          <cell r="EL451">
            <v>705.89784697623486</v>
          </cell>
        </row>
        <row r="452">
          <cell r="D452">
            <v>2045</v>
          </cell>
          <cell r="EK452">
            <v>971.3278798966868</v>
          </cell>
          <cell r="EL452">
            <v>971.3278798966868</v>
          </cell>
        </row>
        <row r="453">
          <cell r="D453">
            <v>2045</v>
          </cell>
          <cell r="EK453">
            <v>1209.2676807020246</v>
          </cell>
          <cell r="EL453">
            <v>1209.2676807020246</v>
          </cell>
        </row>
        <row r="454">
          <cell r="D454">
            <v>2045</v>
          </cell>
          <cell r="EK454">
            <v>1918.7539781402065</v>
          </cell>
          <cell r="EL454">
            <v>1918.7539781402065</v>
          </cell>
        </row>
        <row r="455">
          <cell r="D455">
            <v>2045</v>
          </cell>
          <cell r="EK455">
            <v>2216.4068807489025</v>
          </cell>
          <cell r="EL455">
            <v>2216.4068807489025</v>
          </cell>
        </row>
        <row r="456">
          <cell r="D456">
            <v>2045</v>
          </cell>
          <cell r="EK456">
            <v>2128.9192263262194</v>
          </cell>
          <cell r="EL456">
            <v>2128.9192263262194</v>
          </cell>
        </row>
        <row r="457">
          <cell r="D457">
            <v>2045</v>
          </cell>
          <cell r="EK457">
            <v>2170.4485743746445</v>
          </cell>
          <cell r="EL457">
            <v>2170.4485743746445</v>
          </cell>
        </row>
        <row r="458">
          <cell r="D458">
            <v>2045</v>
          </cell>
          <cell r="EK458">
            <v>2149.3324557114929</v>
          </cell>
          <cell r="EL458">
            <v>2149.3324557114929</v>
          </cell>
        </row>
        <row r="459">
          <cell r="D459">
            <v>2045</v>
          </cell>
          <cell r="EK459">
            <v>2058.2949093559823</v>
          </cell>
          <cell r="EL459">
            <v>2058.2949093559823</v>
          </cell>
        </row>
        <row r="460">
          <cell r="D460">
            <v>2045</v>
          </cell>
          <cell r="EK460">
            <v>1794.973179555092</v>
          </cell>
          <cell r="EL460">
            <v>1794.973179555092</v>
          </cell>
        </row>
        <row r="461">
          <cell r="D461">
            <v>2045</v>
          </cell>
          <cell r="EK461">
            <v>1335.7088518788828</v>
          </cell>
          <cell r="EL461">
            <v>1335.7088518788828</v>
          </cell>
        </row>
        <row r="462">
          <cell r="D462">
            <v>2045</v>
          </cell>
          <cell r="EK462">
            <v>932.33857714161968</v>
          </cell>
          <cell r="EL462">
            <v>932.33857714161968</v>
          </cell>
        </row>
        <row r="463">
          <cell r="D463">
            <v>2045</v>
          </cell>
          <cell r="EK463">
            <v>602.3374053832714</v>
          </cell>
          <cell r="EL463">
            <v>602.3374053832714</v>
          </cell>
        </row>
        <row r="464">
          <cell r="D464">
            <v>2046</v>
          </cell>
          <cell r="EK464">
            <v>849.06148787051347</v>
          </cell>
          <cell r="EL464">
            <v>849.06148787051347</v>
          </cell>
        </row>
        <row r="465">
          <cell r="D465">
            <v>2046</v>
          </cell>
          <cell r="EK465">
            <v>1052.5620431802504</v>
          </cell>
          <cell r="EL465">
            <v>1052.5620431802504</v>
          </cell>
        </row>
        <row r="466">
          <cell r="D466">
            <v>2046</v>
          </cell>
          <cell r="EK466">
            <v>1711.1241992953205</v>
          </cell>
          <cell r="EL466">
            <v>1711.1241992953205</v>
          </cell>
        </row>
        <row r="467">
          <cell r="D467">
            <v>2046</v>
          </cell>
          <cell r="EK467">
            <v>1986.720355867722</v>
          </cell>
          <cell r="EL467">
            <v>1986.720355867722</v>
          </cell>
        </row>
        <row r="468">
          <cell r="D468">
            <v>2046</v>
          </cell>
          <cell r="EK468">
            <v>2123.8045538848401</v>
          </cell>
          <cell r="EL468">
            <v>2123.8045538848401</v>
          </cell>
        </row>
        <row r="469">
          <cell r="D469">
            <v>2046</v>
          </cell>
          <cell r="EK469">
            <v>2165.4735858891645</v>
          </cell>
          <cell r="EL469">
            <v>2165.4735858891645</v>
          </cell>
        </row>
        <row r="470">
          <cell r="D470">
            <v>2046</v>
          </cell>
          <cell r="EK470">
            <v>2102.9381546900609</v>
          </cell>
          <cell r="EL470">
            <v>2102.9381546900609</v>
          </cell>
        </row>
        <row r="471">
          <cell r="D471">
            <v>2046</v>
          </cell>
          <cell r="EK471">
            <v>2013.4332477039277</v>
          </cell>
          <cell r="EL471">
            <v>2013.4332477039277</v>
          </cell>
        </row>
        <row r="472">
          <cell r="D472">
            <v>2046</v>
          </cell>
          <cell r="EK472">
            <v>1716.531093803495</v>
          </cell>
          <cell r="EL472">
            <v>1716.531093803495</v>
          </cell>
        </row>
        <row r="473">
          <cell r="D473">
            <v>2046</v>
          </cell>
          <cell r="EK473">
            <v>1278.1452461769577</v>
          </cell>
          <cell r="EL473">
            <v>1278.1452461769577</v>
          </cell>
        </row>
        <row r="474">
          <cell r="D474">
            <v>2046</v>
          </cell>
          <cell r="EK474">
            <v>740.77129353692658</v>
          </cell>
          <cell r="EL474">
            <v>740.77129353692658</v>
          </cell>
        </row>
        <row r="475">
          <cell r="D475">
            <v>2046</v>
          </cell>
          <cell r="EK475">
            <v>466.24099642184228</v>
          </cell>
          <cell r="EL475">
            <v>466.24099642184228</v>
          </cell>
        </row>
        <row r="476">
          <cell r="D476">
            <v>2047</v>
          </cell>
          <cell r="EK476">
            <v>658.76309248149869</v>
          </cell>
          <cell r="EL476">
            <v>658.76309248149869</v>
          </cell>
        </row>
        <row r="477">
          <cell r="D477">
            <v>2047</v>
          </cell>
          <cell r="EK477">
            <v>820.258981157265</v>
          </cell>
          <cell r="EL477">
            <v>820.258981157265</v>
          </cell>
        </row>
        <row r="478">
          <cell r="D478">
            <v>2047</v>
          </cell>
          <cell r="EK478">
            <v>1347.6647083124908</v>
          </cell>
          <cell r="EL478">
            <v>1347.6647083124908</v>
          </cell>
        </row>
        <row r="479">
          <cell r="D479">
            <v>2047</v>
          </cell>
          <cell r="EK479">
            <v>1584.7041330147065</v>
          </cell>
          <cell r="EL479">
            <v>1584.7041330147065</v>
          </cell>
        </row>
        <row r="480">
          <cell r="D480">
            <v>2047</v>
          </cell>
          <cell r="EK480">
            <v>1686.0622368368627</v>
          </cell>
          <cell r="EL480">
            <v>1686.0622368368627</v>
          </cell>
        </row>
        <row r="481">
          <cell r="D481">
            <v>2047</v>
          </cell>
          <cell r="EK481">
            <v>1557.2195418494807</v>
          </cell>
          <cell r="EL481">
            <v>1557.2195418494807</v>
          </cell>
        </row>
        <row r="482">
          <cell r="D482">
            <v>2047</v>
          </cell>
          <cell r="EK482">
            <v>1373.6972971913019</v>
          </cell>
          <cell r="EL482">
            <v>1373.6972971913019</v>
          </cell>
        </row>
        <row r="483">
          <cell r="D483">
            <v>2047</v>
          </cell>
          <cell r="EK483">
            <v>1317.1365750433461</v>
          </cell>
          <cell r="EL483">
            <v>1317.1365750433461</v>
          </cell>
        </row>
        <row r="484">
          <cell r="D484">
            <v>2047</v>
          </cell>
          <cell r="EK484">
            <v>1134.4651194456201</v>
          </cell>
          <cell r="EL484">
            <v>1134.4651194456201</v>
          </cell>
        </row>
        <row r="485">
          <cell r="D485">
            <v>2047</v>
          </cell>
          <cell r="EK485">
            <v>819.49601345916244</v>
          </cell>
          <cell r="EL485">
            <v>819.49601345916244</v>
          </cell>
        </row>
        <row r="486">
          <cell r="D486">
            <v>2047</v>
          </cell>
          <cell r="EK486">
            <v>549.60724124541935</v>
          </cell>
          <cell r="EL486">
            <v>549.60724124541935</v>
          </cell>
        </row>
        <row r="487">
          <cell r="D487">
            <v>2047</v>
          </cell>
          <cell r="EK487">
            <v>376.06423973402485</v>
          </cell>
          <cell r="EL487">
            <v>376.06423973402485</v>
          </cell>
        </row>
        <row r="488">
          <cell r="D488">
            <v>2048</v>
          </cell>
          <cell r="EK488">
            <v>186.27991098998945</v>
          </cell>
          <cell r="EL488">
            <v>186.27991098998945</v>
          </cell>
        </row>
        <row r="489">
          <cell r="D489">
            <v>2048</v>
          </cell>
          <cell r="EK489">
            <v>232.16629989499813</v>
          </cell>
          <cell r="EL489">
            <v>232.16629989499813</v>
          </cell>
        </row>
        <row r="490">
          <cell r="D490">
            <v>2048</v>
          </cell>
          <cell r="EK490">
            <v>446.24710917401563</v>
          </cell>
          <cell r="EL490">
            <v>446.24710917401563</v>
          </cell>
        </row>
        <row r="491">
          <cell r="D491">
            <v>2048</v>
          </cell>
          <cell r="EK491">
            <v>363.55990531636246</v>
          </cell>
          <cell r="EL491">
            <v>363.55990531636246</v>
          </cell>
        </row>
        <row r="492">
          <cell r="D492">
            <v>2048</v>
          </cell>
          <cell r="EK492">
            <v>365.12416948306065</v>
          </cell>
          <cell r="EL492">
            <v>365.12416948306065</v>
          </cell>
        </row>
        <row r="493">
          <cell r="D493">
            <v>2048</v>
          </cell>
          <cell r="EK493">
            <v>388.05736694981834</v>
          </cell>
          <cell r="EL493">
            <v>388.05736694981834</v>
          </cell>
        </row>
        <row r="494">
          <cell r="D494">
            <v>2048</v>
          </cell>
          <cell r="EK494">
            <v>187.90659609382385</v>
          </cell>
          <cell r="EL494">
            <v>187.90659609382385</v>
          </cell>
        </row>
        <row r="495">
          <cell r="D495">
            <v>2048</v>
          </cell>
          <cell r="EK495">
            <v>182.22710996747389</v>
          </cell>
          <cell r="EL495">
            <v>182.22710996747389</v>
          </cell>
        </row>
        <row r="496">
          <cell r="D496">
            <v>2048</v>
          </cell>
          <cell r="EK496">
            <v>169.55243850083158</v>
          </cell>
          <cell r="EL496">
            <v>169.55243850083158</v>
          </cell>
        </row>
        <row r="497">
          <cell r="D497">
            <v>2048</v>
          </cell>
          <cell r="EK497">
            <v>124.19794932056872</v>
          </cell>
          <cell r="EL497">
            <v>124.19794932056872</v>
          </cell>
        </row>
        <row r="498">
          <cell r="D498">
            <v>2048</v>
          </cell>
          <cell r="EK498">
            <v>90.903508710527561</v>
          </cell>
          <cell r="EL498">
            <v>90.903508710527561</v>
          </cell>
        </row>
        <row r="499">
          <cell r="D499">
            <v>2048</v>
          </cell>
          <cell r="EK499">
            <v>42.59821046045306</v>
          </cell>
          <cell r="EL499">
            <v>42.59821046045306</v>
          </cell>
        </row>
        <row r="500">
          <cell r="D500">
            <v>2049</v>
          </cell>
          <cell r="EK500">
            <v>60.090293867738531</v>
          </cell>
          <cell r="EL500">
            <v>60.090293867738531</v>
          </cell>
        </row>
        <row r="501">
          <cell r="D501">
            <v>2049</v>
          </cell>
          <cell r="EK501">
            <v>74.892354804838121</v>
          </cell>
          <cell r="EL501">
            <v>74.892354804838121</v>
          </cell>
        </row>
        <row r="502">
          <cell r="D502">
            <v>2049</v>
          </cell>
          <cell r="EK502">
            <v>143.95068037871471</v>
          </cell>
          <cell r="EL502">
            <v>143.95068037871471</v>
          </cell>
        </row>
        <row r="503">
          <cell r="D503">
            <v>2049</v>
          </cell>
          <cell r="EK503">
            <v>181.77995265818123</v>
          </cell>
          <cell r="EL503">
            <v>181.77995265818123</v>
          </cell>
        </row>
        <row r="504">
          <cell r="D504">
            <v>2049</v>
          </cell>
          <cell r="EK504">
            <v>182.56208474153033</v>
          </cell>
          <cell r="EL504">
            <v>182.56208474153033</v>
          </cell>
        </row>
        <row r="505">
          <cell r="D505">
            <v>2049</v>
          </cell>
          <cell r="EK505">
            <v>194.02868347490917</v>
          </cell>
          <cell r="EL505">
            <v>194.02868347490917</v>
          </cell>
        </row>
        <row r="506">
          <cell r="D506">
            <v>2049</v>
          </cell>
          <cell r="EK506">
            <v>0</v>
          </cell>
          <cell r="EL506">
            <v>0</v>
          </cell>
        </row>
        <row r="507">
          <cell r="D507">
            <v>2049</v>
          </cell>
          <cell r="EK507">
            <v>0</v>
          </cell>
          <cell r="EL507">
            <v>0</v>
          </cell>
        </row>
        <row r="508">
          <cell r="D508">
            <v>2049</v>
          </cell>
          <cell r="EK508">
            <v>0</v>
          </cell>
          <cell r="EL508">
            <v>0</v>
          </cell>
        </row>
        <row r="509">
          <cell r="D509">
            <v>2049</v>
          </cell>
          <cell r="EK509">
            <v>0</v>
          </cell>
          <cell r="EL509">
            <v>0</v>
          </cell>
        </row>
        <row r="510">
          <cell r="D510">
            <v>2049</v>
          </cell>
          <cell r="EK510">
            <v>0</v>
          </cell>
          <cell r="EL510">
            <v>0</v>
          </cell>
        </row>
        <row r="511">
          <cell r="D511">
            <v>2049</v>
          </cell>
          <cell r="EK511">
            <v>0</v>
          </cell>
          <cell r="EL511">
            <v>0</v>
          </cell>
        </row>
        <row r="512">
          <cell r="D512">
            <v>2050</v>
          </cell>
          <cell r="EK512">
            <v>0</v>
          </cell>
          <cell r="EL512">
            <v>0</v>
          </cell>
        </row>
        <row r="513">
          <cell r="D513">
            <v>2050</v>
          </cell>
          <cell r="EK513">
            <v>0</v>
          </cell>
          <cell r="EL513">
            <v>0</v>
          </cell>
        </row>
        <row r="514">
          <cell r="D514">
            <v>2050</v>
          </cell>
          <cell r="EK514">
            <v>0</v>
          </cell>
          <cell r="EL514">
            <v>0</v>
          </cell>
        </row>
        <row r="515">
          <cell r="D515">
            <v>2050</v>
          </cell>
          <cell r="EK515">
            <v>0</v>
          </cell>
          <cell r="EL515">
            <v>0</v>
          </cell>
        </row>
        <row r="516">
          <cell r="D516">
            <v>2050</v>
          </cell>
          <cell r="EK516">
            <v>0</v>
          </cell>
          <cell r="EL516">
            <v>0</v>
          </cell>
        </row>
        <row r="517">
          <cell r="D517">
            <v>2050</v>
          </cell>
          <cell r="EK517">
            <v>0</v>
          </cell>
          <cell r="EL517">
            <v>0</v>
          </cell>
        </row>
        <row r="518">
          <cell r="D518">
            <v>2050</v>
          </cell>
          <cell r="EK518">
            <v>0</v>
          </cell>
          <cell r="EL518">
            <v>0</v>
          </cell>
        </row>
        <row r="519">
          <cell r="D519">
            <v>2050</v>
          </cell>
          <cell r="EK519">
            <v>0</v>
          </cell>
          <cell r="EL519">
            <v>0</v>
          </cell>
        </row>
        <row r="520">
          <cell r="D520">
            <v>2050</v>
          </cell>
          <cell r="EK520">
            <v>0</v>
          </cell>
          <cell r="EL520">
            <v>0</v>
          </cell>
        </row>
        <row r="521">
          <cell r="D521">
            <v>2050</v>
          </cell>
          <cell r="EK521">
            <v>0</v>
          </cell>
          <cell r="EL521">
            <v>0</v>
          </cell>
        </row>
        <row r="522">
          <cell r="D522">
            <v>2050</v>
          </cell>
          <cell r="EK522">
            <v>0</v>
          </cell>
          <cell r="EL522">
            <v>0</v>
          </cell>
        </row>
        <row r="523">
          <cell r="D523">
            <v>2050</v>
          </cell>
          <cell r="EK523">
            <v>0</v>
          </cell>
          <cell r="EL523">
            <v>0</v>
          </cell>
        </row>
        <row r="524">
          <cell r="D524">
            <v>2051</v>
          </cell>
          <cell r="EK524">
            <v>0</v>
          </cell>
          <cell r="EL524">
            <v>0</v>
          </cell>
        </row>
        <row r="525">
          <cell r="D525">
            <v>2051</v>
          </cell>
          <cell r="EK525">
            <v>0</v>
          </cell>
          <cell r="EL525">
            <v>0</v>
          </cell>
        </row>
        <row r="526">
          <cell r="D526">
            <v>2051</v>
          </cell>
          <cell r="EK526">
            <v>0</v>
          </cell>
          <cell r="EL526">
            <v>0</v>
          </cell>
        </row>
        <row r="527">
          <cell r="D527">
            <v>2051</v>
          </cell>
          <cell r="EK527">
            <v>0</v>
          </cell>
          <cell r="EL527">
            <v>0</v>
          </cell>
        </row>
        <row r="528">
          <cell r="D528">
            <v>2051</v>
          </cell>
          <cell r="EK528">
            <v>0</v>
          </cell>
          <cell r="EL528">
            <v>0</v>
          </cell>
        </row>
        <row r="529">
          <cell r="D529">
            <v>2051</v>
          </cell>
          <cell r="EK529">
            <v>0</v>
          </cell>
          <cell r="EL529">
            <v>0</v>
          </cell>
        </row>
        <row r="530">
          <cell r="D530">
            <v>2051</v>
          </cell>
          <cell r="EK530">
            <v>0</v>
          </cell>
          <cell r="EL530">
            <v>0</v>
          </cell>
        </row>
        <row r="531">
          <cell r="D531">
            <v>2051</v>
          </cell>
          <cell r="EK531">
            <v>0</v>
          </cell>
          <cell r="EL531">
            <v>0</v>
          </cell>
        </row>
        <row r="532">
          <cell r="D532">
            <v>2051</v>
          </cell>
          <cell r="EK532">
            <v>0</v>
          </cell>
          <cell r="EL532">
            <v>0</v>
          </cell>
        </row>
        <row r="533">
          <cell r="D533">
            <v>2051</v>
          </cell>
          <cell r="EK533">
            <v>0</v>
          </cell>
          <cell r="EL533">
            <v>0</v>
          </cell>
        </row>
        <row r="534">
          <cell r="D534">
            <v>2051</v>
          </cell>
          <cell r="EK534">
            <v>0</v>
          </cell>
          <cell r="EL534">
            <v>0</v>
          </cell>
        </row>
        <row r="535">
          <cell r="D535">
            <v>2051</v>
          </cell>
          <cell r="EK535">
            <v>0</v>
          </cell>
          <cell r="EL535">
            <v>0</v>
          </cell>
        </row>
        <row r="536">
          <cell r="D536">
            <v>2052</v>
          </cell>
          <cell r="EK536">
            <v>0</v>
          </cell>
          <cell r="EL536">
            <v>0</v>
          </cell>
        </row>
        <row r="537">
          <cell r="D537">
            <v>2052</v>
          </cell>
          <cell r="EK537">
            <v>0</v>
          </cell>
          <cell r="EL537">
            <v>0</v>
          </cell>
        </row>
        <row r="538">
          <cell r="D538">
            <v>2052</v>
          </cell>
          <cell r="EK538">
            <v>0</v>
          </cell>
          <cell r="EL538">
            <v>0</v>
          </cell>
        </row>
        <row r="539">
          <cell r="D539">
            <v>2052</v>
          </cell>
          <cell r="EK539">
            <v>0</v>
          </cell>
          <cell r="EL539">
            <v>0</v>
          </cell>
        </row>
        <row r="540">
          <cell r="D540">
            <v>2052</v>
          </cell>
          <cell r="EK540">
            <v>0</v>
          </cell>
          <cell r="EL540">
            <v>0</v>
          </cell>
        </row>
        <row r="541">
          <cell r="D541">
            <v>2052</v>
          </cell>
          <cell r="EK541">
            <v>0</v>
          </cell>
          <cell r="EL541">
            <v>0</v>
          </cell>
        </row>
        <row r="542">
          <cell r="D542">
            <v>2052</v>
          </cell>
          <cell r="EK542">
            <v>0</v>
          </cell>
          <cell r="EL542">
            <v>0</v>
          </cell>
        </row>
        <row r="543">
          <cell r="D543">
            <v>2052</v>
          </cell>
          <cell r="EK543">
            <v>0</v>
          </cell>
          <cell r="EL543">
            <v>0</v>
          </cell>
        </row>
        <row r="544">
          <cell r="D544">
            <v>2052</v>
          </cell>
          <cell r="EK544">
            <v>0</v>
          </cell>
          <cell r="EL544">
            <v>0</v>
          </cell>
        </row>
        <row r="545">
          <cell r="D545">
            <v>2052</v>
          </cell>
          <cell r="EK545">
            <v>0</v>
          </cell>
          <cell r="EL545">
            <v>0</v>
          </cell>
        </row>
        <row r="546">
          <cell r="D546">
            <v>2052</v>
          </cell>
          <cell r="EK546">
            <v>0</v>
          </cell>
          <cell r="EL546">
            <v>0</v>
          </cell>
        </row>
        <row r="547">
          <cell r="D547">
            <v>2052</v>
          </cell>
          <cell r="EK547">
            <v>0</v>
          </cell>
          <cell r="EL547">
            <v>0</v>
          </cell>
        </row>
        <row r="548">
          <cell r="D548">
            <v>2053</v>
          </cell>
          <cell r="EK548">
            <v>0</v>
          </cell>
          <cell r="EL548">
            <v>0</v>
          </cell>
        </row>
        <row r="549">
          <cell r="D549">
            <v>2053</v>
          </cell>
          <cell r="EK549">
            <v>0</v>
          </cell>
          <cell r="EL549">
            <v>0</v>
          </cell>
        </row>
        <row r="550">
          <cell r="D550">
            <v>2053</v>
          </cell>
          <cell r="EK550">
            <v>0</v>
          </cell>
          <cell r="EL550">
            <v>0</v>
          </cell>
        </row>
        <row r="551">
          <cell r="D551">
            <v>2053</v>
          </cell>
          <cell r="EK551">
            <v>0</v>
          </cell>
          <cell r="EL551">
            <v>0</v>
          </cell>
        </row>
        <row r="552">
          <cell r="D552">
            <v>2053</v>
          </cell>
          <cell r="EK552">
            <v>0</v>
          </cell>
          <cell r="EL552">
            <v>0</v>
          </cell>
        </row>
        <row r="553">
          <cell r="D553">
            <v>2053</v>
          </cell>
          <cell r="EK553">
            <v>0</v>
          </cell>
          <cell r="EL553">
            <v>0</v>
          </cell>
        </row>
        <row r="554">
          <cell r="D554">
            <v>2053</v>
          </cell>
          <cell r="EK554">
            <v>0</v>
          </cell>
          <cell r="EL554">
            <v>0</v>
          </cell>
        </row>
        <row r="555">
          <cell r="D555">
            <v>2053</v>
          </cell>
          <cell r="EK555">
            <v>0</v>
          </cell>
          <cell r="EL555">
            <v>0</v>
          </cell>
        </row>
        <row r="556">
          <cell r="D556">
            <v>2053</v>
          </cell>
          <cell r="EK556">
            <v>0</v>
          </cell>
          <cell r="EL556">
            <v>0</v>
          </cell>
        </row>
        <row r="557">
          <cell r="D557">
            <v>2053</v>
          </cell>
          <cell r="EK557">
            <v>0</v>
          </cell>
          <cell r="EL557">
            <v>0</v>
          </cell>
        </row>
        <row r="558">
          <cell r="D558">
            <v>2053</v>
          </cell>
          <cell r="EK558">
            <v>0</v>
          </cell>
          <cell r="EL558">
            <v>0</v>
          </cell>
        </row>
        <row r="559">
          <cell r="D559">
            <v>2053</v>
          </cell>
          <cell r="EK559">
            <v>0</v>
          </cell>
          <cell r="EL559">
            <v>0</v>
          </cell>
        </row>
        <row r="560">
          <cell r="D560">
            <v>2054</v>
          </cell>
          <cell r="EK560">
            <v>0</v>
          </cell>
          <cell r="EL560">
            <v>0</v>
          </cell>
        </row>
        <row r="561">
          <cell r="D561">
            <v>2054</v>
          </cell>
          <cell r="EK561">
            <v>0</v>
          </cell>
          <cell r="EL561">
            <v>0</v>
          </cell>
        </row>
        <row r="562">
          <cell r="D562">
            <v>2054</v>
          </cell>
          <cell r="EK562">
            <v>0</v>
          </cell>
          <cell r="EL562">
            <v>0</v>
          </cell>
        </row>
        <row r="563">
          <cell r="D563">
            <v>2054</v>
          </cell>
          <cell r="EK563">
            <v>0</v>
          </cell>
          <cell r="EL563">
            <v>0</v>
          </cell>
        </row>
        <row r="564">
          <cell r="D564">
            <v>2054</v>
          </cell>
          <cell r="EK564">
            <v>0</v>
          </cell>
          <cell r="EL564">
            <v>0</v>
          </cell>
        </row>
        <row r="565">
          <cell r="D565">
            <v>2054</v>
          </cell>
          <cell r="EK565">
            <v>0</v>
          </cell>
          <cell r="EL565">
            <v>0</v>
          </cell>
        </row>
        <row r="566">
          <cell r="D566">
            <v>2054</v>
          </cell>
          <cell r="EK566">
            <v>0</v>
          </cell>
          <cell r="EL566">
            <v>0</v>
          </cell>
        </row>
        <row r="567">
          <cell r="D567">
            <v>2054</v>
          </cell>
          <cell r="EK567">
            <v>0</v>
          </cell>
          <cell r="EL567">
            <v>0</v>
          </cell>
        </row>
        <row r="568">
          <cell r="D568">
            <v>2054</v>
          </cell>
          <cell r="EK568">
            <v>0</v>
          </cell>
          <cell r="EL568">
            <v>0</v>
          </cell>
        </row>
        <row r="569">
          <cell r="D569">
            <v>2054</v>
          </cell>
          <cell r="EK569">
            <v>0</v>
          </cell>
          <cell r="EL569">
            <v>0</v>
          </cell>
        </row>
        <row r="570">
          <cell r="D570">
            <v>2054</v>
          </cell>
          <cell r="EK570">
            <v>0</v>
          </cell>
          <cell r="EL570">
            <v>0</v>
          </cell>
        </row>
        <row r="571">
          <cell r="D571">
            <v>2054</v>
          </cell>
          <cell r="EK571">
            <v>0</v>
          </cell>
          <cell r="EL571">
            <v>0</v>
          </cell>
        </row>
        <row r="572">
          <cell r="D572">
            <v>2055</v>
          </cell>
          <cell r="EK572">
            <v>0</v>
          </cell>
          <cell r="EL572">
            <v>0</v>
          </cell>
        </row>
        <row r="573">
          <cell r="D573">
            <v>2055</v>
          </cell>
          <cell r="EK573">
            <v>0</v>
          </cell>
          <cell r="EL573">
            <v>0</v>
          </cell>
        </row>
        <row r="574">
          <cell r="D574">
            <v>2055</v>
          </cell>
          <cell r="EK574">
            <v>0</v>
          </cell>
          <cell r="EL574">
            <v>0</v>
          </cell>
        </row>
        <row r="575">
          <cell r="D575">
            <v>2055</v>
          </cell>
          <cell r="EK575">
            <v>0</v>
          </cell>
          <cell r="EL575">
            <v>0</v>
          </cell>
        </row>
        <row r="576">
          <cell r="D576">
            <v>2055</v>
          </cell>
          <cell r="EK576">
            <v>0</v>
          </cell>
          <cell r="EL576">
            <v>0</v>
          </cell>
        </row>
        <row r="577">
          <cell r="D577">
            <v>2055</v>
          </cell>
          <cell r="EK577">
            <v>0</v>
          </cell>
          <cell r="EL577">
            <v>0</v>
          </cell>
        </row>
        <row r="578">
          <cell r="D578">
            <v>2055</v>
          </cell>
          <cell r="EK578">
            <v>0</v>
          </cell>
          <cell r="EL578">
            <v>0</v>
          </cell>
        </row>
        <row r="579">
          <cell r="D579">
            <v>2055</v>
          </cell>
          <cell r="EK579">
            <v>0</v>
          </cell>
          <cell r="EL579">
            <v>0</v>
          </cell>
        </row>
        <row r="580">
          <cell r="D580">
            <v>2055</v>
          </cell>
          <cell r="EK580">
            <v>0</v>
          </cell>
          <cell r="EL580">
            <v>0</v>
          </cell>
        </row>
        <row r="581">
          <cell r="D581">
            <v>2055</v>
          </cell>
          <cell r="EK581">
            <v>0</v>
          </cell>
          <cell r="EL581">
            <v>0</v>
          </cell>
        </row>
        <row r="582">
          <cell r="D582">
            <v>2055</v>
          </cell>
          <cell r="EK582">
            <v>0</v>
          </cell>
          <cell r="EL582">
            <v>0</v>
          </cell>
        </row>
        <row r="583">
          <cell r="D583">
            <v>2055</v>
          </cell>
          <cell r="EK583">
            <v>0</v>
          </cell>
          <cell r="EL583">
            <v>0</v>
          </cell>
        </row>
        <row r="584">
          <cell r="D584">
            <v>2056</v>
          </cell>
          <cell r="EK584">
            <v>0</v>
          </cell>
          <cell r="EL584">
            <v>0</v>
          </cell>
        </row>
        <row r="585">
          <cell r="D585">
            <v>2056</v>
          </cell>
          <cell r="EK585">
            <v>0</v>
          </cell>
          <cell r="EL585">
            <v>0</v>
          </cell>
        </row>
        <row r="586">
          <cell r="D586">
            <v>2056</v>
          </cell>
          <cell r="EK586">
            <v>0</v>
          </cell>
          <cell r="EL586">
            <v>0</v>
          </cell>
        </row>
        <row r="587">
          <cell r="D587">
            <v>2056</v>
          </cell>
          <cell r="EK587">
            <v>0</v>
          </cell>
          <cell r="EL587">
            <v>0</v>
          </cell>
        </row>
        <row r="588">
          <cell r="D588">
            <v>2056</v>
          </cell>
          <cell r="EK588">
            <v>0</v>
          </cell>
          <cell r="EL588">
            <v>0</v>
          </cell>
        </row>
        <row r="589">
          <cell r="D589">
            <v>2056</v>
          </cell>
          <cell r="EK589">
            <v>0</v>
          </cell>
          <cell r="EL589">
            <v>0</v>
          </cell>
        </row>
        <row r="590">
          <cell r="D590">
            <v>2056</v>
          </cell>
          <cell r="EK590">
            <v>0</v>
          </cell>
          <cell r="EL590">
            <v>0</v>
          </cell>
        </row>
        <row r="591">
          <cell r="D591">
            <v>2056</v>
          </cell>
          <cell r="EK591">
            <v>0</v>
          </cell>
          <cell r="EL591">
            <v>0</v>
          </cell>
        </row>
        <row r="592">
          <cell r="D592">
            <v>2056</v>
          </cell>
          <cell r="EK592">
            <v>0</v>
          </cell>
          <cell r="EL592">
            <v>0</v>
          </cell>
        </row>
        <row r="593">
          <cell r="D593">
            <v>2056</v>
          </cell>
          <cell r="EK593">
            <v>0</v>
          </cell>
          <cell r="EL593">
            <v>0</v>
          </cell>
        </row>
        <row r="594">
          <cell r="D594">
            <v>2056</v>
          </cell>
          <cell r="EK594">
            <v>0</v>
          </cell>
          <cell r="EL594">
            <v>0</v>
          </cell>
        </row>
        <row r="595">
          <cell r="D595">
            <v>2056</v>
          </cell>
          <cell r="EK595">
            <v>0</v>
          </cell>
          <cell r="EL595">
            <v>0</v>
          </cell>
        </row>
      </sheetData>
      <sheetData sheetId="7">
        <row r="22">
          <cell r="A22">
            <v>2022</v>
          </cell>
        </row>
        <row r="23">
          <cell r="A23">
            <v>2023</v>
          </cell>
        </row>
        <row r="24">
          <cell r="A24">
            <v>2024</v>
          </cell>
        </row>
        <row r="25">
          <cell r="A25">
            <v>2025</v>
          </cell>
        </row>
        <row r="26">
          <cell r="A26">
            <v>2026</v>
          </cell>
        </row>
        <row r="27">
          <cell r="A27">
            <v>2027</v>
          </cell>
        </row>
        <row r="28">
          <cell r="A28">
            <v>2028</v>
          </cell>
        </row>
        <row r="29">
          <cell r="A29">
            <v>2029</v>
          </cell>
        </row>
        <row r="30">
          <cell r="A30">
            <v>2030</v>
          </cell>
        </row>
        <row r="31">
          <cell r="A31">
            <v>2031</v>
          </cell>
        </row>
        <row r="32">
          <cell r="A32">
            <v>2032</v>
          </cell>
        </row>
        <row r="33">
          <cell r="A33">
            <v>2033</v>
          </cell>
        </row>
        <row r="34">
          <cell r="A34">
            <v>2034</v>
          </cell>
        </row>
        <row r="35">
          <cell r="A35">
            <v>2035</v>
          </cell>
        </row>
        <row r="36">
          <cell r="A36">
            <v>2036</v>
          </cell>
        </row>
        <row r="37">
          <cell r="A37">
            <v>2037</v>
          </cell>
        </row>
        <row r="38">
          <cell r="A38">
            <v>2038</v>
          </cell>
        </row>
        <row r="39">
          <cell r="A39">
            <v>2039</v>
          </cell>
        </row>
        <row r="40">
          <cell r="A40">
            <v>2040</v>
          </cell>
        </row>
        <row r="41">
          <cell r="A41">
            <v>2041</v>
          </cell>
        </row>
        <row r="42">
          <cell r="A42">
            <v>2042</v>
          </cell>
        </row>
        <row r="43">
          <cell r="A43">
            <v>2043</v>
          </cell>
        </row>
        <row r="44">
          <cell r="A44">
            <v>2044</v>
          </cell>
        </row>
        <row r="45">
          <cell r="A45">
            <v>2045</v>
          </cell>
        </row>
        <row r="46">
          <cell r="A46">
            <v>2046</v>
          </cell>
        </row>
        <row r="47">
          <cell r="A47">
            <v>2047</v>
          </cell>
        </row>
        <row r="48">
          <cell r="A48">
            <v>2048</v>
          </cell>
        </row>
        <row r="49">
          <cell r="A49">
            <v>2049</v>
          </cell>
        </row>
        <row r="50">
          <cell r="A50">
            <v>2050</v>
          </cell>
        </row>
        <row r="51">
          <cell r="A51">
            <v>2051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F5" t="str">
            <v>VEC EV and CAP CCHP Load Forecast</v>
          </cell>
        </row>
      </sheetData>
      <sheetData sheetId="17" refreshError="1"/>
      <sheetData sheetId="18" refreshError="1"/>
      <sheetData sheetId="19"/>
      <sheetData sheetId="20"/>
      <sheetData sheetId="21" refreshError="1"/>
      <sheetData sheetId="22" refreshError="1"/>
      <sheetData sheetId="23" refreshError="1"/>
      <sheetData sheetId="24" refreshError="1"/>
      <sheetData sheetId="25"/>
      <sheetData sheetId="26" refreshError="1"/>
      <sheetData sheetId="27">
        <row r="2">
          <cell r="A2">
            <v>6.7000000000000004E-2</v>
          </cell>
        </row>
      </sheetData>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335"/>
  <sheetViews>
    <sheetView workbookViewId="0">
      <pane xSplit="5" ySplit="4" topLeftCell="W126" activePane="bottomRight" state="frozen"/>
      <selection pane="topRight" activeCell="F1" sqref="F1"/>
      <selection pane="bottomLeft" activeCell="A5" sqref="A5"/>
      <selection pane="bottomRight" activeCell="AD130" sqref="AD130:AE136"/>
    </sheetView>
  </sheetViews>
  <sheetFormatPr defaultRowHeight="12.75" x14ac:dyDescent="0.2"/>
  <cols>
    <col min="29" max="29" width="9.7109375" customWidth="1"/>
    <col min="32" max="32" width="9.140625" style="5"/>
    <col min="34" max="35" width="9.140625" style="5"/>
    <col min="45" max="45" width="13.7109375" bestFit="1" customWidth="1"/>
  </cols>
  <sheetData>
    <row r="1" spans="1:47" x14ac:dyDescent="0.2">
      <c r="D1" s="7" t="s">
        <v>12</v>
      </c>
      <c r="AF1"/>
      <c r="AH1"/>
      <c r="AI1"/>
    </row>
    <row r="2" spans="1:47" x14ac:dyDescent="0.2">
      <c r="D2" s="2" t="s">
        <v>13</v>
      </c>
      <c r="N2" s="2">
        <v>0</v>
      </c>
      <c r="AB2" s="2">
        <v>3.7874548996000001</v>
      </c>
      <c r="AD2" s="2">
        <v>10</v>
      </c>
      <c r="AE2" s="2">
        <v>8</v>
      </c>
      <c r="AF2" s="2">
        <v>10</v>
      </c>
      <c r="AG2" s="2">
        <v>2.4</v>
      </c>
      <c r="AH2" s="2"/>
      <c r="AI2" s="2"/>
      <c r="AJ2" s="2">
        <v>0</v>
      </c>
      <c r="AK2" s="2">
        <v>0</v>
      </c>
      <c r="AL2" s="2">
        <v>0</v>
      </c>
      <c r="AM2" s="2">
        <v>0</v>
      </c>
      <c r="AN2" s="2">
        <v>0</v>
      </c>
      <c r="AO2" s="2">
        <v>0</v>
      </c>
      <c r="AP2" s="2">
        <v>0</v>
      </c>
    </row>
    <row r="3" spans="1:47" x14ac:dyDescent="0.2">
      <c r="I3" t="s">
        <v>18</v>
      </c>
      <c r="J3" t="s">
        <v>18</v>
      </c>
      <c r="K3" t="s">
        <v>18</v>
      </c>
      <c r="L3" t="s">
        <v>18</v>
      </c>
      <c r="M3" t="s">
        <v>18</v>
      </c>
      <c r="N3" s="37">
        <v>0</v>
      </c>
      <c r="O3" t="s">
        <v>18</v>
      </c>
      <c r="P3" t="s">
        <v>18</v>
      </c>
      <c r="Q3" t="s">
        <v>17</v>
      </c>
      <c r="AB3" s="37">
        <v>0.48108971766038339</v>
      </c>
      <c r="AD3" s="44">
        <v>0.32441939890710381</v>
      </c>
      <c r="AE3" s="37">
        <v>0.27067207999999998</v>
      </c>
      <c r="AF3" s="37">
        <v>0.97499999999999998</v>
      </c>
      <c r="AG3" s="37">
        <f>16/24</f>
        <v>0.66666666666666663</v>
      </c>
      <c r="AH3" s="37"/>
      <c r="AI3" s="37"/>
      <c r="AJ3" s="37">
        <v>0</v>
      </c>
      <c r="AK3" s="37">
        <v>0</v>
      </c>
      <c r="AL3" s="2">
        <v>0.9</v>
      </c>
      <c r="AM3" s="2">
        <v>0.9</v>
      </c>
      <c r="AN3" s="2">
        <v>1</v>
      </c>
      <c r="AO3" s="2">
        <v>1</v>
      </c>
      <c r="AP3" s="2">
        <v>1</v>
      </c>
    </row>
    <row r="4" spans="1:47" ht="102" x14ac:dyDescent="0.2">
      <c r="A4" s="6" t="s">
        <v>19</v>
      </c>
      <c r="B4" s="6" t="s">
        <v>20</v>
      </c>
      <c r="C4" s="6" t="s">
        <v>21</v>
      </c>
      <c r="D4" s="3" t="s">
        <v>8</v>
      </c>
      <c r="E4" s="3" t="s">
        <v>9</v>
      </c>
      <c r="F4" s="6" t="s">
        <v>44</v>
      </c>
      <c r="G4" s="6" t="s">
        <v>45</v>
      </c>
      <c r="H4" s="6" t="s">
        <v>46</v>
      </c>
      <c r="I4" s="6" t="s">
        <v>3</v>
      </c>
      <c r="J4" s="6" t="s">
        <v>4</v>
      </c>
      <c r="K4" s="6" t="s">
        <v>5</v>
      </c>
      <c r="L4" s="6" t="s">
        <v>6</v>
      </c>
      <c r="M4" s="6" t="s">
        <v>7</v>
      </c>
      <c r="N4" s="6" t="s">
        <v>47</v>
      </c>
      <c r="O4" s="6" t="s">
        <v>0</v>
      </c>
      <c r="P4" s="6" t="s">
        <v>1</v>
      </c>
      <c r="Q4" s="6" t="s">
        <v>2</v>
      </c>
      <c r="R4" s="6" t="s">
        <v>48</v>
      </c>
      <c r="S4" s="6" t="s">
        <v>64</v>
      </c>
      <c r="T4" s="6" t="s">
        <v>22</v>
      </c>
      <c r="U4" s="6" t="s">
        <v>23</v>
      </c>
      <c r="V4" s="56" t="s">
        <v>78</v>
      </c>
      <c r="W4" s="56" t="s">
        <v>49</v>
      </c>
      <c r="X4" s="6" t="s">
        <v>50</v>
      </c>
      <c r="Y4" s="6" t="s">
        <v>51</v>
      </c>
      <c r="Z4" s="6" t="s">
        <v>52</v>
      </c>
      <c r="AA4" s="6" t="s">
        <v>53</v>
      </c>
      <c r="AB4" s="6" t="s">
        <v>25</v>
      </c>
      <c r="AC4" s="6" t="s">
        <v>10</v>
      </c>
      <c r="AD4" s="56" t="s">
        <v>79</v>
      </c>
      <c r="AE4" s="56" t="s">
        <v>80</v>
      </c>
      <c r="AF4" s="56" t="s">
        <v>81</v>
      </c>
      <c r="AG4" s="6" t="s">
        <v>54</v>
      </c>
      <c r="AH4" s="6" t="s">
        <v>55</v>
      </c>
      <c r="AI4" s="6" t="s">
        <v>56</v>
      </c>
      <c r="AJ4" s="6" t="s">
        <v>57</v>
      </c>
      <c r="AK4" s="6" t="s">
        <v>58</v>
      </c>
      <c r="AL4" s="6" t="s">
        <v>59</v>
      </c>
      <c r="AM4" s="6" t="s">
        <v>60</v>
      </c>
      <c r="AN4" s="6" t="s">
        <v>61</v>
      </c>
      <c r="AO4" s="6" t="s">
        <v>62</v>
      </c>
      <c r="AP4" s="6" t="s">
        <v>63</v>
      </c>
      <c r="AQ4" s="6" t="s">
        <v>14</v>
      </c>
      <c r="AR4" s="6" t="s">
        <v>15</v>
      </c>
      <c r="AS4" s="56" t="s">
        <v>69</v>
      </c>
      <c r="AT4" s="56" t="s">
        <v>70</v>
      </c>
      <c r="AU4" s="56" t="s">
        <v>71</v>
      </c>
    </row>
    <row r="5" spans="1:47" x14ac:dyDescent="0.2">
      <c r="A5" s="43">
        <v>0.01</v>
      </c>
      <c r="B5" s="43"/>
      <c r="C5" s="43">
        <v>0</v>
      </c>
      <c r="D5" s="2">
        <v>2012</v>
      </c>
      <c r="E5" s="2">
        <v>1</v>
      </c>
      <c r="F5" s="47" t="e">
        <f>#N/A</f>
        <v>#N/A</v>
      </c>
      <c r="G5" s="37">
        <v>81.513900000000007</v>
      </c>
      <c r="H5" s="47" t="e">
        <f>#N/A</f>
        <v>#N/A</v>
      </c>
      <c r="I5" s="2">
        <v>0.41499999999999998</v>
      </c>
      <c r="J5" s="2">
        <v>19.995000000000001</v>
      </c>
      <c r="K5" s="2">
        <v>5.1319999999999997</v>
      </c>
      <c r="L5" s="50">
        <v>0.125</v>
      </c>
      <c r="M5" s="2">
        <v>5.6710000000000003</v>
      </c>
      <c r="N5" s="49">
        <v>4.6870000000000003</v>
      </c>
      <c r="O5" s="51">
        <v>5.2492977284550024</v>
      </c>
      <c r="P5" s="51">
        <v>0.10870227154499738</v>
      </c>
      <c r="Q5" s="37">
        <v>3.4619770932999998</v>
      </c>
      <c r="R5" s="51">
        <v>3.359</v>
      </c>
      <c r="S5" s="5">
        <v>0</v>
      </c>
      <c r="T5" s="37">
        <v>3</v>
      </c>
      <c r="U5" s="4">
        <v>0</v>
      </c>
      <c r="V5" s="18"/>
      <c r="W5" s="5"/>
      <c r="X5" s="5"/>
      <c r="Y5" s="5"/>
      <c r="Z5" s="5"/>
      <c r="AA5" s="5"/>
      <c r="AB5" s="49">
        <v>0.14984875</v>
      </c>
      <c r="AC5" s="47" t="e">
        <f>#N/A</f>
        <v>#N/A</v>
      </c>
      <c r="AD5" s="37"/>
      <c r="AE5" s="4"/>
      <c r="AF5" s="18"/>
      <c r="AG5" s="18"/>
      <c r="AH5" s="18"/>
      <c r="AI5" s="18"/>
      <c r="AJ5" s="18"/>
      <c r="AK5" s="18"/>
      <c r="AL5" s="5"/>
      <c r="AM5" s="5"/>
      <c r="AN5" s="18"/>
      <c r="AO5" s="18"/>
      <c r="AP5" s="18"/>
      <c r="AQ5" s="8" t="e">
        <f>#N/A</f>
        <v>#N/A</v>
      </c>
      <c r="AR5" s="8" t="e">
        <f>#N/A</f>
        <v>#N/A</v>
      </c>
      <c r="AS5" s="60" t="e">
        <f>+F5-$AR5</f>
        <v>#N/A</v>
      </c>
      <c r="AT5" s="60" t="e">
        <f>#N/A</f>
        <v>#N/A</v>
      </c>
      <c r="AU5" s="60" t="e">
        <f>#N/A</f>
        <v>#N/A</v>
      </c>
    </row>
    <row r="6" spans="1:47" x14ac:dyDescent="0.2">
      <c r="A6" s="43">
        <v>0.01</v>
      </c>
      <c r="B6" s="43"/>
      <c r="C6" s="43">
        <v>0</v>
      </c>
      <c r="D6" s="2">
        <v>2012</v>
      </c>
      <c r="E6" s="2">
        <v>2</v>
      </c>
      <c r="F6" s="47" t="e">
        <f>#N/A</f>
        <v>#N/A</v>
      </c>
      <c r="G6" s="37">
        <v>81.513900000000007</v>
      </c>
      <c r="H6" s="47" t="e">
        <f>#N/A</f>
        <v>#N/A</v>
      </c>
      <c r="I6" s="2">
        <v>0.41499999999999998</v>
      </c>
      <c r="J6" s="2">
        <v>19.995000000000001</v>
      </c>
      <c r="K6" s="2">
        <v>5.1319999999999997</v>
      </c>
      <c r="L6" s="50">
        <v>0.125</v>
      </c>
      <c r="M6" s="2">
        <v>5.6710000000000003</v>
      </c>
      <c r="N6" s="49">
        <v>4.6870000000000003</v>
      </c>
      <c r="O6" s="51">
        <v>5.2492977284550024</v>
      </c>
      <c r="P6" s="51">
        <v>0.10870227154499738</v>
      </c>
      <c r="Q6" s="37">
        <v>3.4619770932999998</v>
      </c>
      <c r="R6" s="51">
        <v>3.359</v>
      </c>
      <c r="S6" s="5">
        <v>0</v>
      </c>
      <c r="T6" s="37">
        <v>3</v>
      </c>
      <c r="U6" s="4">
        <v>0</v>
      </c>
      <c r="V6" s="18"/>
      <c r="W6" s="5"/>
      <c r="X6" s="5"/>
      <c r="Y6" s="5"/>
      <c r="Z6" s="5"/>
      <c r="AA6" s="5"/>
      <c r="AB6" s="49">
        <v>0.14984875</v>
      </c>
      <c r="AC6" s="47" t="e">
        <f>#N/A</f>
        <v>#N/A</v>
      </c>
      <c r="AD6" s="37"/>
      <c r="AE6" s="4"/>
      <c r="AF6" s="18"/>
      <c r="AG6" s="18"/>
      <c r="AH6" s="18"/>
      <c r="AI6" s="18"/>
      <c r="AJ6" s="18"/>
      <c r="AK6" s="18"/>
      <c r="AL6" s="5"/>
      <c r="AM6" s="5"/>
      <c r="AN6" s="18"/>
      <c r="AO6" s="18"/>
      <c r="AP6" s="18"/>
      <c r="AQ6" s="8" t="e">
        <f>#N/A</f>
        <v>#N/A</v>
      </c>
      <c r="AR6" s="8" t="e">
        <f>#N/A</f>
        <v>#N/A</v>
      </c>
      <c r="AS6" s="60" t="e">
        <f>#N/A</f>
        <v>#N/A</v>
      </c>
      <c r="AT6" s="60" t="e">
        <f>#N/A</f>
        <v>#N/A</v>
      </c>
      <c r="AU6" s="60" t="e">
        <f>#N/A</f>
        <v>#N/A</v>
      </c>
    </row>
    <row r="7" spans="1:47" x14ac:dyDescent="0.2">
      <c r="A7" s="43">
        <v>0.01</v>
      </c>
      <c r="B7" s="43"/>
      <c r="C7" s="43">
        <v>0</v>
      </c>
      <c r="D7" s="2">
        <v>2012</v>
      </c>
      <c r="E7" s="2">
        <v>3</v>
      </c>
      <c r="F7" s="47" t="e">
        <f>#N/A</f>
        <v>#N/A</v>
      </c>
      <c r="G7" s="37">
        <v>81.513900000000007</v>
      </c>
      <c r="H7" s="47" t="e">
        <f>#N/A</f>
        <v>#N/A</v>
      </c>
      <c r="I7" s="2">
        <v>0.41499999999999998</v>
      </c>
      <c r="J7" s="2">
        <v>19.995000000000001</v>
      </c>
      <c r="K7" s="2">
        <v>5.1319999999999997</v>
      </c>
      <c r="L7" s="50">
        <v>0.125</v>
      </c>
      <c r="M7" s="2">
        <v>5.6710000000000003</v>
      </c>
      <c r="N7" s="49">
        <v>4.6870000000000003</v>
      </c>
      <c r="O7" s="51">
        <v>5.2492977284550024</v>
      </c>
      <c r="P7" s="51">
        <v>0.10870227154499738</v>
      </c>
      <c r="Q7" s="37">
        <v>3.4619770932999998</v>
      </c>
      <c r="R7" s="51">
        <v>3.359</v>
      </c>
      <c r="S7" s="5">
        <v>0</v>
      </c>
      <c r="T7" s="37">
        <v>3</v>
      </c>
      <c r="U7" s="4">
        <v>0</v>
      </c>
      <c r="V7" s="18"/>
      <c r="W7" s="5"/>
      <c r="X7" s="5"/>
      <c r="Y7" s="5"/>
      <c r="Z7" s="5"/>
      <c r="AA7" s="5"/>
      <c r="AB7" s="49">
        <v>0.14984875</v>
      </c>
      <c r="AC7" s="47" t="e">
        <f>#N/A</f>
        <v>#N/A</v>
      </c>
      <c r="AD7" s="37"/>
      <c r="AE7" s="4"/>
      <c r="AF7" s="18"/>
      <c r="AG7" s="18"/>
      <c r="AH7" s="18"/>
      <c r="AI7" s="18"/>
      <c r="AJ7" s="18"/>
      <c r="AK7" s="18"/>
      <c r="AL7" s="5"/>
      <c r="AM7" s="5"/>
      <c r="AN7" s="18"/>
      <c r="AO7" s="18"/>
      <c r="AP7" s="18"/>
      <c r="AQ7" s="8" t="e">
        <f>#N/A</f>
        <v>#N/A</v>
      </c>
      <c r="AR7" s="8" t="e">
        <f>#N/A</f>
        <v>#N/A</v>
      </c>
      <c r="AS7" s="60" t="e">
        <f>#N/A</f>
        <v>#N/A</v>
      </c>
      <c r="AT7" s="60" t="e">
        <f>#N/A</f>
        <v>#N/A</v>
      </c>
      <c r="AU7" s="60" t="e">
        <f>#N/A</f>
        <v>#N/A</v>
      </c>
    </row>
    <row r="8" spans="1:47" x14ac:dyDescent="0.2">
      <c r="A8" s="43">
        <v>0.01</v>
      </c>
      <c r="B8" s="43"/>
      <c r="C8" s="43">
        <v>0</v>
      </c>
      <c r="D8" s="2">
        <v>2012</v>
      </c>
      <c r="E8" s="2">
        <v>4</v>
      </c>
      <c r="F8" s="47" t="e">
        <f>#N/A</f>
        <v>#N/A</v>
      </c>
      <c r="G8" s="37">
        <v>81.513900000000007</v>
      </c>
      <c r="H8" s="47" t="e">
        <f>#N/A</f>
        <v>#N/A</v>
      </c>
      <c r="I8" s="2">
        <v>0.41499999999999998</v>
      </c>
      <c r="J8" s="2">
        <v>19.995000000000001</v>
      </c>
      <c r="K8" s="2">
        <v>5.1319999999999997</v>
      </c>
      <c r="L8" s="50">
        <v>0.125</v>
      </c>
      <c r="M8" s="2">
        <v>5.6710000000000003</v>
      </c>
      <c r="N8" s="49">
        <v>4.6870000000000003</v>
      </c>
      <c r="O8" s="51">
        <v>5.2492977284550024</v>
      </c>
      <c r="P8" s="51">
        <v>0.10870227154499738</v>
      </c>
      <c r="Q8" s="37">
        <v>3.4619770932999998</v>
      </c>
      <c r="R8" s="51">
        <v>3.359</v>
      </c>
      <c r="S8" s="5">
        <v>0</v>
      </c>
      <c r="T8" s="37">
        <v>3</v>
      </c>
      <c r="U8" s="4">
        <v>0</v>
      </c>
      <c r="V8" s="18"/>
      <c r="W8" s="5"/>
      <c r="X8" s="5"/>
      <c r="Y8" s="5"/>
      <c r="Z8" s="5"/>
      <c r="AA8" s="5"/>
      <c r="AB8" s="49">
        <v>0.14984875</v>
      </c>
      <c r="AC8" s="47" t="e">
        <f>#N/A</f>
        <v>#N/A</v>
      </c>
      <c r="AD8" s="37"/>
      <c r="AE8" s="4"/>
      <c r="AF8" s="18"/>
      <c r="AG8" s="18"/>
      <c r="AH8" s="18"/>
      <c r="AI8" s="18"/>
      <c r="AJ8" s="18"/>
      <c r="AK8" s="18"/>
      <c r="AL8" s="5"/>
      <c r="AM8" s="5"/>
      <c r="AN8" s="18"/>
      <c r="AO8" s="18"/>
      <c r="AP8" s="18"/>
      <c r="AQ8" s="8" t="e">
        <f>#N/A</f>
        <v>#N/A</v>
      </c>
      <c r="AR8" s="8" t="e">
        <f>#N/A</f>
        <v>#N/A</v>
      </c>
      <c r="AS8" s="60" t="e">
        <f>#N/A</f>
        <v>#N/A</v>
      </c>
      <c r="AT8" s="60" t="e">
        <f>#N/A</f>
        <v>#N/A</v>
      </c>
      <c r="AU8" s="60" t="e">
        <f>#N/A</f>
        <v>#N/A</v>
      </c>
    </row>
    <row r="9" spans="1:47" x14ac:dyDescent="0.2">
      <c r="A9" s="43">
        <v>0.01</v>
      </c>
      <c r="B9" s="43"/>
      <c r="C9" s="43">
        <v>0</v>
      </c>
      <c r="D9" s="2">
        <v>2012</v>
      </c>
      <c r="E9" s="2">
        <v>5</v>
      </c>
      <c r="F9" s="47" t="e">
        <f>#N/A</f>
        <v>#N/A</v>
      </c>
      <c r="G9" s="37">
        <v>81.513900000000007</v>
      </c>
      <c r="H9" s="47" t="e">
        <f>#N/A</f>
        <v>#N/A</v>
      </c>
      <c r="I9" s="2">
        <v>0.41499999999999998</v>
      </c>
      <c r="J9" s="2">
        <v>19.995000000000001</v>
      </c>
      <c r="K9" s="2">
        <v>5.1319999999999997</v>
      </c>
      <c r="L9" s="50">
        <v>0.125</v>
      </c>
      <c r="M9" s="2">
        <v>5.6710000000000003</v>
      </c>
      <c r="N9" s="49">
        <v>4.6870000000000003</v>
      </c>
      <c r="O9" s="51">
        <v>5.2492977284550024</v>
      </c>
      <c r="P9" s="51">
        <v>0.10870227154499738</v>
      </c>
      <c r="Q9" s="37">
        <v>3.4619770932999998</v>
      </c>
      <c r="R9" s="51">
        <v>3.359</v>
      </c>
      <c r="S9" s="5">
        <v>0</v>
      </c>
      <c r="T9" s="37">
        <v>3</v>
      </c>
      <c r="U9" s="4">
        <v>0</v>
      </c>
      <c r="V9" s="18"/>
      <c r="W9" s="5"/>
      <c r="X9" s="5"/>
      <c r="Y9" s="5"/>
      <c r="Z9" s="5"/>
      <c r="AA9" s="5"/>
      <c r="AB9" s="49">
        <v>0.14984875</v>
      </c>
      <c r="AC9" s="47" t="e">
        <f>#N/A</f>
        <v>#N/A</v>
      </c>
      <c r="AD9" s="37"/>
      <c r="AE9" s="4"/>
      <c r="AF9" s="18"/>
      <c r="AG9" s="18"/>
      <c r="AH9" s="18"/>
      <c r="AI9" s="18"/>
      <c r="AJ9" s="18"/>
      <c r="AK9" s="18"/>
      <c r="AL9" s="5"/>
      <c r="AM9" s="5"/>
      <c r="AN9" s="18"/>
      <c r="AO9" s="18"/>
      <c r="AP9" s="18"/>
      <c r="AQ9" s="8" t="e">
        <f>#N/A</f>
        <v>#N/A</v>
      </c>
      <c r="AR9" s="8" t="e">
        <f>#N/A</f>
        <v>#N/A</v>
      </c>
      <c r="AS9" s="60" t="e">
        <f>#N/A</f>
        <v>#N/A</v>
      </c>
      <c r="AT9" s="60" t="e">
        <f>#N/A</f>
        <v>#N/A</v>
      </c>
      <c r="AU9" s="60" t="e">
        <f>#N/A</f>
        <v>#N/A</v>
      </c>
    </row>
    <row r="10" spans="1:47" x14ac:dyDescent="0.2">
      <c r="A10" s="43">
        <v>0.01</v>
      </c>
      <c r="B10" s="43"/>
      <c r="C10" s="43">
        <v>0</v>
      </c>
      <c r="D10" s="2">
        <v>2012</v>
      </c>
      <c r="E10" s="2">
        <v>6</v>
      </c>
      <c r="F10" s="47" t="e">
        <f>#N/A</f>
        <v>#N/A</v>
      </c>
      <c r="G10" s="37">
        <v>81.513900000000007</v>
      </c>
      <c r="H10" s="47" t="e">
        <f>#N/A</f>
        <v>#N/A</v>
      </c>
      <c r="I10" s="2">
        <v>0.41499999999999998</v>
      </c>
      <c r="J10" s="2">
        <v>19.995000000000001</v>
      </c>
      <c r="K10" s="2">
        <v>5.1319999999999997</v>
      </c>
      <c r="L10" s="50">
        <v>0.125</v>
      </c>
      <c r="M10" s="2">
        <v>5.6710000000000003</v>
      </c>
      <c r="N10" s="49">
        <v>4.6870000000000003</v>
      </c>
      <c r="O10" s="51">
        <v>5.2492977284550024</v>
      </c>
      <c r="P10" s="51">
        <v>0.10870227154499738</v>
      </c>
      <c r="Q10" s="37">
        <v>2.5013427781000002</v>
      </c>
      <c r="R10" s="51">
        <v>3.359</v>
      </c>
      <c r="S10" s="5">
        <v>0</v>
      </c>
      <c r="T10" s="37">
        <v>3</v>
      </c>
      <c r="U10" s="4">
        <v>0</v>
      </c>
      <c r="V10" s="18"/>
      <c r="W10" s="5"/>
      <c r="X10" s="5"/>
      <c r="Y10" s="5"/>
      <c r="Z10" s="5"/>
      <c r="AA10" s="5"/>
      <c r="AB10" s="49">
        <v>1.2711595</v>
      </c>
      <c r="AC10" s="47" t="e">
        <f>#N/A</f>
        <v>#N/A</v>
      </c>
      <c r="AD10" s="37"/>
      <c r="AE10" s="4"/>
      <c r="AF10" s="18"/>
      <c r="AG10" s="18"/>
      <c r="AH10" s="18"/>
      <c r="AI10" s="18"/>
      <c r="AJ10" s="18"/>
      <c r="AK10" s="18"/>
      <c r="AL10" s="5"/>
      <c r="AM10" s="5"/>
      <c r="AN10" s="18"/>
      <c r="AO10" s="18"/>
      <c r="AP10" s="18"/>
      <c r="AQ10" s="8" t="e">
        <f>#N/A</f>
        <v>#N/A</v>
      </c>
      <c r="AR10" s="8" t="e">
        <f>#N/A</f>
        <v>#N/A</v>
      </c>
      <c r="AS10" s="60" t="e">
        <f>#N/A</f>
        <v>#N/A</v>
      </c>
      <c r="AT10" s="60" t="e">
        <f>#N/A</f>
        <v>#N/A</v>
      </c>
      <c r="AU10" s="60" t="e">
        <f>#N/A</f>
        <v>#N/A</v>
      </c>
    </row>
    <row r="11" spans="1:47" x14ac:dyDescent="0.2">
      <c r="A11" s="43">
        <v>0.01</v>
      </c>
      <c r="B11" s="43"/>
      <c r="C11" s="43">
        <v>0</v>
      </c>
      <c r="D11" s="2">
        <v>2012</v>
      </c>
      <c r="E11" s="2">
        <v>7</v>
      </c>
      <c r="F11" s="47" t="e">
        <f>#N/A</f>
        <v>#N/A</v>
      </c>
      <c r="G11" s="37">
        <v>81.513900000000007</v>
      </c>
      <c r="H11" s="47" t="e">
        <f>#N/A</f>
        <v>#N/A</v>
      </c>
      <c r="I11" s="2">
        <v>0.41499999999999998</v>
      </c>
      <c r="J11" s="2">
        <v>19.995000000000001</v>
      </c>
      <c r="K11" s="2">
        <v>5.1319999999999997</v>
      </c>
      <c r="L11" s="50">
        <v>0.125</v>
      </c>
      <c r="M11" s="2">
        <v>5.6710000000000003</v>
      </c>
      <c r="N11" s="49">
        <v>4.6870000000000003</v>
      </c>
      <c r="O11" s="51">
        <v>5.2492977284550024</v>
      </c>
      <c r="P11" s="51">
        <v>0.10870227154499738</v>
      </c>
      <c r="Q11" s="37">
        <v>2.5013427781000002</v>
      </c>
      <c r="R11" s="51">
        <v>3.359</v>
      </c>
      <c r="S11" s="5">
        <v>0</v>
      </c>
      <c r="T11" s="37">
        <v>3</v>
      </c>
      <c r="U11" s="4">
        <v>0</v>
      </c>
      <c r="V11" s="18"/>
      <c r="W11" s="5"/>
      <c r="X11" s="5"/>
      <c r="Y11" s="5"/>
      <c r="Z11" s="5"/>
      <c r="AA11" s="5"/>
      <c r="AB11" s="49">
        <v>1.2711595</v>
      </c>
      <c r="AC11" s="47" t="e">
        <f>#N/A</f>
        <v>#N/A</v>
      </c>
      <c r="AD11" s="37"/>
      <c r="AE11" s="4"/>
      <c r="AF11" s="18"/>
      <c r="AG11" s="18"/>
      <c r="AH11" s="18"/>
      <c r="AI11" s="18"/>
      <c r="AJ11" s="18"/>
      <c r="AK11" s="18"/>
      <c r="AL11" s="5"/>
      <c r="AM11" s="5"/>
      <c r="AN11" s="18"/>
      <c r="AO11" s="18"/>
      <c r="AP11" s="18"/>
      <c r="AQ11" s="8" t="e">
        <f>#N/A</f>
        <v>#N/A</v>
      </c>
      <c r="AR11" s="8" t="e">
        <f>#N/A</f>
        <v>#N/A</v>
      </c>
      <c r="AS11" s="60" t="e">
        <f>#N/A</f>
        <v>#N/A</v>
      </c>
      <c r="AT11" s="60" t="e">
        <f>#N/A</f>
        <v>#N/A</v>
      </c>
      <c r="AU11" s="60" t="e">
        <f>#N/A</f>
        <v>#N/A</v>
      </c>
    </row>
    <row r="12" spans="1:47" x14ac:dyDescent="0.2">
      <c r="A12" s="43">
        <v>0.01</v>
      </c>
      <c r="B12" s="43"/>
      <c r="C12" s="43">
        <v>0</v>
      </c>
      <c r="D12" s="2">
        <v>2012</v>
      </c>
      <c r="E12" s="2">
        <v>8</v>
      </c>
      <c r="F12" s="47" t="e">
        <f>#N/A</f>
        <v>#N/A</v>
      </c>
      <c r="G12" s="37">
        <v>81.513900000000007</v>
      </c>
      <c r="H12" s="47" t="e">
        <f>#N/A</f>
        <v>#N/A</v>
      </c>
      <c r="I12" s="2">
        <v>0.41499999999999998</v>
      </c>
      <c r="J12" s="2">
        <v>19.995000000000001</v>
      </c>
      <c r="K12" s="2">
        <v>5.1319999999999997</v>
      </c>
      <c r="L12" s="50">
        <v>0.125</v>
      </c>
      <c r="M12" s="2">
        <v>5.6710000000000003</v>
      </c>
      <c r="N12" s="49">
        <v>4.6870000000000003</v>
      </c>
      <c r="O12" s="51">
        <v>5.2492977284550024</v>
      </c>
      <c r="P12" s="51">
        <v>0.10870227154499738</v>
      </c>
      <c r="Q12" s="37">
        <v>2.5013427781000002</v>
      </c>
      <c r="R12" s="51">
        <v>3.359</v>
      </c>
      <c r="S12" s="5">
        <v>0</v>
      </c>
      <c r="T12" s="37">
        <v>3</v>
      </c>
      <c r="U12" s="4">
        <v>0</v>
      </c>
      <c r="V12" s="18"/>
      <c r="W12" s="5"/>
      <c r="X12" s="5"/>
      <c r="Y12" s="5"/>
      <c r="Z12" s="5"/>
      <c r="AA12" s="5"/>
      <c r="AB12" s="49">
        <v>1.2711595</v>
      </c>
      <c r="AC12" s="47" t="e">
        <f>#N/A</f>
        <v>#N/A</v>
      </c>
      <c r="AD12" s="37"/>
      <c r="AE12" s="4"/>
      <c r="AF12" s="18"/>
      <c r="AG12" s="18"/>
      <c r="AH12" s="18"/>
      <c r="AI12" s="18"/>
      <c r="AJ12" s="18"/>
      <c r="AK12" s="18"/>
      <c r="AL12" s="5"/>
      <c r="AM12" s="5"/>
      <c r="AN12" s="18"/>
      <c r="AO12" s="18"/>
      <c r="AP12" s="18"/>
      <c r="AQ12" s="8" t="e">
        <f>#N/A</f>
        <v>#N/A</v>
      </c>
      <c r="AR12" s="8" t="e">
        <f>#N/A</f>
        <v>#N/A</v>
      </c>
      <c r="AS12" s="60" t="e">
        <f>#N/A</f>
        <v>#N/A</v>
      </c>
      <c r="AT12" s="60" t="e">
        <f>#N/A</f>
        <v>#N/A</v>
      </c>
      <c r="AU12" s="60" t="e">
        <f>#N/A</f>
        <v>#N/A</v>
      </c>
    </row>
    <row r="13" spans="1:47" x14ac:dyDescent="0.2">
      <c r="A13" s="43">
        <v>0.01</v>
      </c>
      <c r="B13" s="43"/>
      <c r="C13" s="43">
        <v>0</v>
      </c>
      <c r="D13" s="2">
        <v>2012</v>
      </c>
      <c r="E13" s="2">
        <v>9</v>
      </c>
      <c r="F13" s="47" t="e">
        <f>#N/A</f>
        <v>#N/A</v>
      </c>
      <c r="G13" s="37">
        <v>81.513900000000007</v>
      </c>
      <c r="H13" s="47" t="e">
        <f>#N/A</f>
        <v>#N/A</v>
      </c>
      <c r="I13" s="2">
        <v>0.41499999999999998</v>
      </c>
      <c r="J13" s="2">
        <v>19.995000000000001</v>
      </c>
      <c r="K13" s="2">
        <v>5.1319999999999997</v>
      </c>
      <c r="L13" s="50">
        <v>0.125</v>
      </c>
      <c r="M13" s="2">
        <v>5.6710000000000003</v>
      </c>
      <c r="N13" s="49">
        <v>4.6870000000000003</v>
      </c>
      <c r="O13" s="51">
        <v>5.2492977284550024</v>
      </c>
      <c r="P13" s="51">
        <v>0.10870227154499738</v>
      </c>
      <c r="Q13" s="37">
        <v>2.5013427781000002</v>
      </c>
      <c r="R13" s="51">
        <v>3.359</v>
      </c>
      <c r="S13" s="5">
        <v>0</v>
      </c>
      <c r="T13" s="37">
        <v>3</v>
      </c>
      <c r="U13" s="4">
        <v>0</v>
      </c>
      <c r="V13" s="18"/>
      <c r="W13" s="5"/>
      <c r="X13" s="5"/>
      <c r="Y13" s="5"/>
      <c r="Z13" s="5"/>
      <c r="AA13" s="5"/>
      <c r="AB13" s="49">
        <v>1.2711595</v>
      </c>
      <c r="AC13" s="47" t="e">
        <f>#N/A</f>
        <v>#N/A</v>
      </c>
      <c r="AD13" s="37"/>
      <c r="AE13" s="4"/>
      <c r="AF13" s="18"/>
      <c r="AG13" s="18"/>
      <c r="AH13" s="18"/>
      <c r="AI13" s="18"/>
      <c r="AJ13" s="18"/>
      <c r="AK13" s="18"/>
      <c r="AL13" s="5"/>
      <c r="AM13" s="5"/>
      <c r="AN13" s="18"/>
      <c r="AO13" s="18"/>
      <c r="AP13" s="18"/>
      <c r="AQ13" s="8" t="e">
        <f>#N/A</f>
        <v>#N/A</v>
      </c>
      <c r="AR13" s="8" t="e">
        <f>#N/A</f>
        <v>#N/A</v>
      </c>
      <c r="AS13" s="60" t="e">
        <f>#N/A</f>
        <v>#N/A</v>
      </c>
      <c r="AT13" s="60" t="e">
        <f>#N/A</f>
        <v>#N/A</v>
      </c>
      <c r="AU13" s="60" t="e">
        <f>#N/A</f>
        <v>#N/A</v>
      </c>
    </row>
    <row r="14" spans="1:47" x14ac:dyDescent="0.2">
      <c r="A14" s="43">
        <v>0.01</v>
      </c>
      <c r="B14" s="43"/>
      <c r="C14" s="43">
        <v>0</v>
      </c>
      <c r="D14" s="2">
        <v>2012</v>
      </c>
      <c r="E14" s="2">
        <v>10</v>
      </c>
      <c r="F14" s="47" t="e">
        <f>#N/A</f>
        <v>#N/A</v>
      </c>
      <c r="G14" s="37">
        <v>81.513900000000007</v>
      </c>
      <c r="H14" s="47" t="e">
        <f>#N/A</f>
        <v>#N/A</v>
      </c>
      <c r="I14" s="2">
        <v>0.41499999999999998</v>
      </c>
      <c r="J14" s="2">
        <v>19.995000000000001</v>
      </c>
      <c r="K14" s="2">
        <v>5.1319999999999997</v>
      </c>
      <c r="L14" s="50">
        <v>0.125</v>
      </c>
      <c r="M14" s="2">
        <v>5.6710000000000003</v>
      </c>
      <c r="N14" s="49">
        <v>4.6870000000000003</v>
      </c>
      <c r="O14" s="51">
        <v>5.2492977284550024</v>
      </c>
      <c r="P14" s="51">
        <v>0.10870227154499738</v>
      </c>
      <c r="Q14" s="37">
        <v>3.4642952263</v>
      </c>
      <c r="R14" s="51">
        <v>3.359</v>
      </c>
      <c r="S14" s="52">
        <v>0</v>
      </c>
      <c r="T14" s="37">
        <v>3</v>
      </c>
      <c r="U14" s="4">
        <v>0</v>
      </c>
      <c r="V14" s="18"/>
      <c r="W14" s="5"/>
      <c r="X14" s="5"/>
      <c r="Y14" s="5"/>
      <c r="Z14" s="5"/>
      <c r="AA14" s="5"/>
      <c r="AB14" s="49">
        <v>1.2711595</v>
      </c>
      <c r="AC14" s="47" t="e">
        <f>#N/A</f>
        <v>#N/A</v>
      </c>
      <c r="AD14" s="37"/>
      <c r="AE14" s="4"/>
      <c r="AF14" s="18"/>
      <c r="AG14" s="18"/>
      <c r="AH14" s="18"/>
      <c r="AI14" s="18"/>
      <c r="AJ14" s="18"/>
      <c r="AK14" s="18"/>
      <c r="AL14" s="5"/>
      <c r="AM14" s="5"/>
      <c r="AN14" s="18"/>
      <c r="AO14" s="18"/>
      <c r="AP14" s="18"/>
      <c r="AQ14" s="8" t="e">
        <f>#N/A</f>
        <v>#N/A</v>
      </c>
      <c r="AR14" s="8" t="e">
        <f>#N/A</f>
        <v>#N/A</v>
      </c>
      <c r="AS14" s="60" t="e">
        <f>#N/A</f>
        <v>#N/A</v>
      </c>
      <c r="AT14" s="60" t="e">
        <f>#N/A</f>
        <v>#N/A</v>
      </c>
      <c r="AU14" s="60" t="e">
        <f>#N/A</f>
        <v>#N/A</v>
      </c>
    </row>
    <row r="15" spans="1:47" x14ac:dyDescent="0.2">
      <c r="A15" s="43">
        <v>0.01</v>
      </c>
      <c r="B15" s="43"/>
      <c r="C15" s="43">
        <v>0</v>
      </c>
      <c r="D15" s="2">
        <v>2012</v>
      </c>
      <c r="E15" s="2">
        <v>11</v>
      </c>
      <c r="F15" s="47" t="e">
        <f>#N/A</f>
        <v>#N/A</v>
      </c>
      <c r="G15" s="37">
        <v>81.513900000000007</v>
      </c>
      <c r="H15" s="47" t="e">
        <f>#N/A</f>
        <v>#N/A</v>
      </c>
      <c r="I15" s="2">
        <v>0.41499999999999998</v>
      </c>
      <c r="J15" s="4">
        <v>0</v>
      </c>
      <c r="K15" s="4">
        <v>0</v>
      </c>
      <c r="L15" s="50">
        <v>0.125</v>
      </c>
      <c r="M15" s="2">
        <v>5.6710000000000003</v>
      </c>
      <c r="N15" s="49">
        <v>4.6870000000000003</v>
      </c>
      <c r="O15" s="51">
        <v>5.2492977284550024</v>
      </c>
      <c r="P15" s="51">
        <v>0.10870227154499738</v>
      </c>
      <c r="Q15" s="37">
        <v>1.8682606557999999</v>
      </c>
      <c r="R15" s="51">
        <v>3.359</v>
      </c>
      <c r="S15" s="2">
        <v>1.5960000000000001</v>
      </c>
      <c r="T15" s="37">
        <v>3</v>
      </c>
      <c r="U15" s="4">
        <v>0</v>
      </c>
      <c r="V15" s="18"/>
      <c r="W15" s="5"/>
      <c r="X15" s="5"/>
      <c r="Y15" s="5"/>
      <c r="Z15" s="5"/>
      <c r="AA15" s="5"/>
      <c r="AB15" s="49">
        <v>1.2711595</v>
      </c>
      <c r="AC15" s="47" t="e">
        <f>#N/A</f>
        <v>#N/A</v>
      </c>
      <c r="AD15" s="37"/>
      <c r="AE15" s="4"/>
      <c r="AF15" s="18"/>
      <c r="AG15" s="18"/>
      <c r="AH15" s="18"/>
      <c r="AI15" s="18"/>
      <c r="AJ15" s="18"/>
      <c r="AK15" s="18"/>
      <c r="AL15" s="5"/>
      <c r="AM15" s="5"/>
      <c r="AN15" s="18"/>
      <c r="AO15" s="18"/>
      <c r="AP15" s="18"/>
      <c r="AQ15" s="8" t="e">
        <f>#N/A</f>
        <v>#N/A</v>
      </c>
      <c r="AR15" s="8" t="e">
        <f>#N/A</f>
        <v>#N/A</v>
      </c>
      <c r="AS15" s="60" t="e">
        <f>#N/A</f>
        <v>#N/A</v>
      </c>
      <c r="AT15" s="60" t="e">
        <f>#N/A</f>
        <v>#N/A</v>
      </c>
      <c r="AU15" s="60" t="e">
        <f>#N/A</f>
        <v>#N/A</v>
      </c>
    </row>
    <row r="16" spans="1:47" x14ac:dyDescent="0.2">
      <c r="A16" s="43">
        <v>0.01</v>
      </c>
      <c r="B16" s="43"/>
      <c r="C16" s="43">
        <v>0</v>
      </c>
      <c r="D16" s="2">
        <v>2012</v>
      </c>
      <c r="E16" s="2">
        <v>12</v>
      </c>
      <c r="F16" s="47" t="e">
        <f>#N/A</f>
        <v>#N/A</v>
      </c>
      <c r="G16" s="37">
        <v>81.513900000000007</v>
      </c>
      <c r="H16" s="47" t="e">
        <f>#N/A</f>
        <v>#N/A</v>
      </c>
      <c r="I16" s="2">
        <v>0.41499999999999998</v>
      </c>
      <c r="J16" s="4">
        <v>0</v>
      </c>
      <c r="K16" s="4">
        <v>0</v>
      </c>
      <c r="L16" s="50">
        <v>0.125</v>
      </c>
      <c r="M16" s="2">
        <v>5.6710000000000003</v>
      </c>
      <c r="N16" s="49">
        <v>4.6870000000000003</v>
      </c>
      <c r="O16" s="51">
        <v>5.2492977284550024</v>
      </c>
      <c r="P16" s="51">
        <v>0.10870227154499738</v>
      </c>
      <c r="Q16" s="37">
        <v>1.8682606557999999</v>
      </c>
      <c r="R16" s="51">
        <v>3.359</v>
      </c>
      <c r="S16" s="2">
        <v>1.5960000000000001</v>
      </c>
      <c r="T16" s="37">
        <v>3</v>
      </c>
      <c r="U16" s="4">
        <v>0</v>
      </c>
      <c r="V16" s="18"/>
      <c r="W16" s="5"/>
      <c r="X16" s="5"/>
      <c r="Y16" s="5"/>
      <c r="Z16" s="5"/>
      <c r="AA16" s="5"/>
      <c r="AB16" s="49">
        <v>1.2711595</v>
      </c>
      <c r="AC16" s="47" t="e">
        <f>#N/A</f>
        <v>#N/A</v>
      </c>
      <c r="AD16" s="37"/>
      <c r="AE16" s="4"/>
      <c r="AF16" s="18"/>
      <c r="AG16" s="18"/>
      <c r="AH16" s="18"/>
      <c r="AI16" s="18"/>
      <c r="AJ16" s="18"/>
      <c r="AK16" s="18"/>
      <c r="AL16" s="5"/>
      <c r="AM16" s="5"/>
      <c r="AN16" s="18"/>
      <c r="AO16" s="18"/>
      <c r="AP16" s="18"/>
      <c r="AQ16" s="8" t="e">
        <f>#N/A</f>
        <v>#N/A</v>
      </c>
      <c r="AR16" s="8" t="e">
        <f>#N/A</f>
        <v>#N/A</v>
      </c>
      <c r="AS16" s="60" t="e">
        <f>#N/A</f>
        <v>#N/A</v>
      </c>
      <c r="AT16" s="60" t="e">
        <f>#N/A</f>
        <v>#N/A</v>
      </c>
      <c r="AU16" s="60" t="e">
        <f>#N/A</f>
        <v>#N/A</v>
      </c>
    </row>
    <row r="17" spans="1:47" x14ac:dyDescent="0.2">
      <c r="A17" s="43">
        <v>0.01</v>
      </c>
      <c r="B17" s="43">
        <v>1.2275687915747069E-2</v>
      </c>
      <c r="C17" s="43">
        <v>0</v>
      </c>
      <c r="D17" s="7" t="e">
        <f>#N/A</f>
        <v>#N/A</v>
      </c>
      <c r="E17" s="7" t="e">
        <f>#N/A</f>
        <v>#N/A</v>
      </c>
      <c r="F17" s="47" t="e">
        <f>#N/A</f>
        <v>#N/A</v>
      </c>
      <c r="G17" s="37">
        <f>+G5*(1+B17)</f>
        <v>82.514539197195418</v>
      </c>
      <c r="H17" s="47" t="e">
        <f>#N/A</f>
        <v>#N/A</v>
      </c>
      <c r="I17" s="2">
        <v>0.41499999999999998</v>
      </c>
      <c r="J17" s="4"/>
      <c r="K17" s="4"/>
      <c r="L17" s="50">
        <v>0.125</v>
      </c>
      <c r="M17" s="2">
        <v>5.6710000000000003</v>
      </c>
      <c r="N17" s="49">
        <v>5.0620000000000003</v>
      </c>
      <c r="O17" s="51">
        <v>5.2492977284550024</v>
      </c>
      <c r="P17" s="51">
        <v>0.10870227154499738</v>
      </c>
      <c r="Q17" s="37">
        <v>1.8682606557999999</v>
      </c>
      <c r="R17" s="51">
        <v>3.359</v>
      </c>
      <c r="S17" s="2">
        <v>1.5960000000000001</v>
      </c>
      <c r="T17" s="37">
        <v>3</v>
      </c>
      <c r="U17" s="48">
        <v>2.4</v>
      </c>
      <c r="V17" s="18"/>
      <c r="W17" s="5"/>
      <c r="X17" s="5"/>
      <c r="Y17" s="5"/>
      <c r="Z17" s="5"/>
      <c r="AA17" s="5"/>
      <c r="AB17" s="49">
        <v>1.2711595</v>
      </c>
      <c r="AC17" s="47" t="e">
        <f>#N/A</f>
        <v>#N/A</v>
      </c>
      <c r="AD17" s="37"/>
      <c r="AE17" s="48"/>
      <c r="AF17" s="18"/>
      <c r="AG17" s="18"/>
      <c r="AH17" s="18"/>
      <c r="AI17" s="18"/>
      <c r="AJ17" s="18"/>
      <c r="AK17" s="18"/>
      <c r="AL17" s="18"/>
      <c r="AM17" s="18"/>
      <c r="AN17" s="18"/>
      <c r="AO17" s="18"/>
      <c r="AP17" s="18"/>
      <c r="AQ17" s="8" t="e">
        <f>#N/A</f>
        <v>#N/A</v>
      </c>
      <c r="AR17" s="8" t="e">
        <f>#N/A</f>
        <v>#N/A</v>
      </c>
      <c r="AS17" s="60" t="e">
        <f>#N/A</f>
        <v>#N/A</v>
      </c>
      <c r="AT17" s="60" t="e">
        <f>#N/A</f>
        <v>#N/A</v>
      </c>
      <c r="AU17" s="60" t="e">
        <f>#N/A</f>
        <v>#N/A</v>
      </c>
    </row>
    <row r="18" spans="1:47" x14ac:dyDescent="0.2">
      <c r="A18" s="43">
        <v>0.01</v>
      </c>
      <c r="B18" s="43">
        <v>1.2275687915747069E-2</v>
      </c>
      <c r="C18" s="43">
        <v>0</v>
      </c>
      <c r="D18" s="7" t="e">
        <f>#N/A</f>
        <v>#N/A</v>
      </c>
      <c r="E18" s="7" t="e">
        <f>#N/A</f>
        <v>#N/A</v>
      </c>
      <c r="F18" s="47" t="e">
        <f>#N/A</f>
        <v>#N/A</v>
      </c>
      <c r="G18" s="37" t="e">
        <f>#N/A</f>
        <v>#N/A</v>
      </c>
      <c r="H18" s="47" t="e">
        <f>#N/A</f>
        <v>#N/A</v>
      </c>
      <c r="I18" s="2">
        <v>0.41499999999999998</v>
      </c>
      <c r="J18" s="4"/>
      <c r="K18" s="4"/>
      <c r="L18" s="50">
        <v>0.125</v>
      </c>
      <c r="M18" s="2">
        <v>5.6710000000000003</v>
      </c>
      <c r="N18" s="49">
        <v>5.0620000000000003</v>
      </c>
      <c r="O18" s="51">
        <v>5.2492977284550024</v>
      </c>
      <c r="P18" s="51">
        <v>0.10870227154499738</v>
      </c>
      <c r="Q18" s="37">
        <v>1.8682606557999999</v>
      </c>
      <c r="R18" s="51">
        <v>3.359</v>
      </c>
      <c r="S18" s="2">
        <v>1.5960000000000001</v>
      </c>
      <c r="T18" s="37">
        <v>3</v>
      </c>
      <c r="U18" s="48">
        <v>2.4</v>
      </c>
      <c r="V18" s="18"/>
      <c r="W18" s="5"/>
      <c r="X18" s="5"/>
      <c r="Y18" s="5"/>
      <c r="Z18" s="5"/>
      <c r="AA18" s="5"/>
      <c r="AB18" s="49">
        <v>1.2711595</v>
      </c>
      <c r="AC18" s="47" t="e">
        <f>#N/A</f>
        <v>#N/A</v>
      </c>
      <c r="AD18" s="37"/>
      <c r="AE18" s="48"/>
      <c r="AF18" s="18"/>
      <c r="AG18" s="18"/>
      <c r="AH18" s="18"/>
      <c r="AI18" s="18"/>
      <c r="AJ18" s="18"/>
      <c r="AK18" s="18"/>
      <c r="AL18" s="18"/>
      <c r="AM18" s="18"/>
      <c r="AN18" s="18"/>
      <c r="AO18" s="18"/>
      <c r="AP18" s="18"/>
      <c r="AQ18" s="8" t="e">
        <f>#N/A</f>
        <v>#N/A</v>
      </c>
      <c r="AR18" s="8" t="e">
        <f>#N/A</f>
        <v>#N/A</v>
      </c>
      <c r="AS18" s="60" t="e">
        <f>#N/A</f>
        <v>#N/A</v>
      </c>
      <c r="AT18" s="60" t="e">
        <f>#N/A</f>
        <v>#N/A</v>
      </c>
      <c r="AU18" s="60" t="e">
        <f>#N/A</f>
        <v>#N/A</v>
      </c>
    </row>
    <row r="19" spans="1:47" x14ac:dyDescent="0.2">
      <c r="A19" s="43">
        <v>0.01</v>
      </c>
      <c r="B19" s="43">
        <v>1.2275687915747069E-2</v>
      </c>
      <c r="C19" s="43">
        <v>0</v>
      </c>
      <c r="D19" s="7" t="e">
        <f>#N/A</f>
        <v>#N/A</v>
      </c>
      <c r="E19" s="7" t="e">
        <f>#N/A</f>
        <v>#N/A</v>
      </c>
      <c r="F19" s="47" t="e">
        <f>#N/A</f>
        <v>#N/A</v>
      </c>
      <c r="G19" s="37" t="e">
        <f>#N/A</f>
        <v>#N/A</v>
      </c>
      <c r="H19" s="47" t="e">
        <f>#N/A</f>
        <v>#N/A</v>
      </c>
      <c r="I19" s="2">
        <v>0.41499999999999998</v>
      </c>
      <c r="J19" s="4"/>
      <c r="K19" s="4"/>
      <c r="L19" s="50">
        <v>0.125</v>
      </c>
      <c r="M19" s="2">
        <v>5.6710000000000003</v>
      </c>
      <c r="N19" s="49">
        <v>5.0620000000000003</v>
      </c>
      <c r="O19" s="51">
        <v>5.2492977284550024</v>
      </c>
      <c r="P19" s="51">
        <v>0.10870227154499738</v>
      </c>
      <c r="Q19" s="37">
        <v>1.8682606557999999</v>
      </c>
      <c r="R19" s="51">
        <v>3.359</v>
      </c>
      <c r="S19" s="2">
        <v>1.5960000000000001</v>
      </c>
      <c r="T19" s="37">
        <v>3</v>
      </c>
      <c r="U19" s="48">
        <v>2.4</v>
      </c>
      <c r="V19" s="18"/>
      <c r="W19" s="5"/>
      <c r="X19" s="5"/>
      <c r="Y19" s="5"/>
      <c r="Z19" s="5"/>
      <c r="AA19" s="5"/>
      <c r="AB19" s="49">
        <v>1.2711595</v>
      </c>
      <c r="AC19" s="47" t="e">
        <f>#N/A</f>
        <v>#N/A</v>
      </c>
      <c r="AD19" s="37"/>
      <c r="AE19" s="48"/>
      <c r="AF19" s="18"/>
      <c r="AG19" s="18"/>
      <c r="AH19" s="18"/>
      <c r="AI19" s="18"/>
      <c r="AJ19" s="18"/>
      <c r="AK19" s="18"/>
      <c r="AL19" s="18"/>
      <c r="AM19" s="18"/>
      <c r="AN19" s="18"/>
      <c r="AO19" s="18"/>
      <c r="AP19" s="18"/>
      <c r="AQ19" s="8" t="e">
        <f>#N/A</f>
        <v>#N/A</v>
      </c>
      <c r="AR19" s="8" t="e">
        <f>#N/A</f>
        <v>#N/A</v>
      </c>
      <c r="AS19" s="60" t="e">
        <f>#N/A</f>
        <v>#N/A</v>
      </c>
      <c r="AT19" s="60" t="e">
        <f>#N/A</f>
        <v>#N/A</v>
      </c>
      <c r="AU19" s="60" t="e">
        <f>#N/A</f>
        <v>#N/A</v>
      </c>
    </row>
    <row r="20" spans="1:47" x14ac:dyDescent="0.2">
      <c r="A20" s="43">
        <v>0.01</v>
      </c>
      <c r="B20" s="43">
        <v>1.2275687915747069E-2</v>
      </c>
      <c r="C20" s="43">
        <v>0</v>
      </c>
      <c r="D20" s="7" t="e">
        <f>#N/A</f>
        <v>#N/A</v>
      </c>
      <c r="E20" s="7" t="e">
        <f>#N/A</f>
        <v>#N/A</v>
      </c>
      <c r="F20" s="47" t="e">
        <f>#N/A</f>
        <v>#N/A</v>
      </c>
      <c r="G20" s="37" t="e">
        <f>#N/A</f>
        <v>#N/A</v>
      </c>
      <c r="H20" s="47" t="e">
        <f>#N/A</f>
        <v>#N/A</v>
      </c>
      <c r="I20" s="2">
        <v>0.41499999999999998</v>
      </c>
      <c r="J20" s="4"/>
      <c r="K20" s="4"/>
      <c r="L20" s="50">
        <v>0.125</v>
      </c>
      <c r="M20" s="2">
        <v>5.6710000000000003</v>
      </c>
      <c r="N20" s="49">
        <v>5.0620000000000003</v>
      </c>
      <c r="O20" s="51">
        <v>5.2492977284550024</v>
      </c>
      <c r="P20" s="51">
        <v>0.10870227154499738</v>
      </c>
      <c r="Q20" s="37">
        <v>1.5238633630999998</v>
      </c>
      <c r="R20" s="51">
        <v>3.359</v>
      </c>
      <c r="S20" s="2">
        <v>1.5960000000000001</v>
      </c>
      <c r="T20" s="37">
        <v>3</v>
      </c>
      <c r="U20" s="48">
        <v>2.4</v>
      </c>
      <c r="V20" s="18"/>
      <c r="W20" s="5"/>
      <c r="X20" s="5"/>
      <c r="Y20" s="5"/>
      <c r="Z20" s="5"/>
      <c r="AA20" s="5"/>
      <c r="AB20" s="49">
        <v>1.2711595</v>
      </c>
      <c r="AC20" s="47" t="e">
        <f>#N/A</f>
        <v>#N/A</v>
      </c>
      <c r="AD20" s="37"/>
      <c r="AE20" s="48"/>
      <c r="AF20" s="18"/>
      <c r="AG20" s="18"/>
      <c r="AH20" s="18"/>
      <c r="AI20" s="18"/>
      <c r="AJ20" s="18"/>
      <c r="AK20" s="18"/>
      <c r="AL20" s="18"/>
      <c r="AM20" s="18"/>
      <c r="AN20" s="18"/>
      <c r="AO20" s="18"/>
      <c r="AP20" s="18"/>
      <c r="AQ20" s="8" t="e">
        <f>#N/A</f>
        <v>#N/A</v>
      </c>
      <c r="AR20" s="8" t="e">
        <f>#N/A</f>
        <v>#N/A</v>
      </c>
      <c r="AS20" s="60" t="e">
        <f>#N/A</f>
        <v>#N/A</v>
      </c>
      <c r="AT20" s="60" t="e">
        <f>#N/A</f>
        <v>#N/A</v>
      </c>
      <c r="AU20" s="60" t="e">
        <f>#N/A</f>
        <v>#N/A</v>
      </c>
    </row>
    <row r="21" spans="1:47" x14ac:dyDescent="0.2">
      <c r="A21" s="43">
        <v>0.01</v>
      </c>
      <c r="B21" s="43">
        <v>1.2275687915747069E-2</v>
      </c>
      <c r="C21" s="43">
        <v>0</v>
      </c>
      <c r="D21" s="7" t="e">
        <f>#N/A</f>
        <v>#N/A</v>
      </c>
      <c r="E21" s="7" t="e">
        <f>#N/A</f>
        <v>#N/A</v>
      </c>
      <c r="F21" s="47" t="e">
        <f>#N/A</f>
        <v>#N/A</v>
      </c>
      <c r="G21" s="37" t="e">
        <f>#N/A</f>
        <v>#N/A</v>
      </c>
      <c r="H21" s="47" t="e">
        <f>#N/A</f>
        <v>#N/A</v>
      </c>
      <c r="I21" s="2">
        <v>0.41499999999999998</v>
      </c>
      <c r="J21" s="4"/>
      <c r="K21" s="4"/>
      <c r="L21" s="50">
        <v>0.125</v>
      </c>
      <c r="M21" s="2">
        <v>5.6710000000000003</v>
      </c>
      <c r="N21" s="49">
        <v>5.0620000000000003</v>
      </c>
      <c r="O21" s="51">
        <v>5.2492977284550024</v>
      </c>
      <c r="P21" s="51">
        <v>0.10870227154499738</v>
      </c>
      <c r="Q21" s="37">
        <v>1.5238633630999998</v>
      </c>
      <c r="R21" s="51">
        <v>3.359</v>
      </c>
      <c r="S21" s="2">
        <v>1.5960000000000001</v>
      </c>
      <c r="T21" s="37">
        <v>3</v>
      </c>
      <c r="U21" s="48">
        <v>2.4</v>
      </c>
      <c r="V21" s="18"/>
      <c r="W21" s="5"/>
      <c r="X21" s="5"/>
      <c r="Y21" s="5"/>
      <c r="Z21" s="5"/>
      <c r="AA21" s="5"/>
      <c r="AB21" s="49">
        <v>1.2711595</v>
      </c>
      <c r="AC21" s="47" t="e">
        <f>#N/A</f>
        <v>#N/A</v>
      </c>
      <c r="AD21" s="37"/>
      <c r="AE21" s="48"/>
      <c r="AF21" s="18"/>
      <c r="AG21" s="18"/>
      <c r="AH21" s="18"/>
      <c r="AI21" s="18"/>
      <c r="AJ21" s="18"/>
      <c r="AK21" s="18"/>
      <c r="AL21" s="18"/>
      <c r="AM21" s="18"/>
      <c r="AN21" s="18"/>
      <c r="AO21" s="18"/>
      <c r="AP21" s="18"/>
      <c r="AQ21" s="8" t="e">
        <f>#N/A</f>
        <v>#N/A</v>
      </c>
      <c r="AR21" s="8" t="e">
        <f>#N/A</f>
        <v>#N/A</v>
      </c>
      <c r="AS21" s="60" t="e">
        <f>#N/A</f>
        <v>#N/A</v>
      </c>
      <c r="AT21" s="60" t="e">
        <f>#N/A</f>
        <v>#N/A</v>
      </c>
      <c r="AU21" s="60" t="e">
        <f>#N/A</f>
        <v>#N/A</v>
      </c>
    </row>
    <row r="22" spans="1:47" x14ac:dyDescent="0.2">
      <c r="A22" s="43">
        <v>0.01</v>
      </c>
      <c r="B22" s="43">
        <v>1.2275687915747069E-2</v>
      </c>
      <c r="C22" s="43">
        <v>0</v>
      </c>
      <c r="D22" s="7" t="e">
        <f>#N/A</f>
        <v>#N/A</v>
      </c>
      <c r="E22" s="7" t="e">
        <f>#N/A</f>
        <v>#N/A</v>
      </c>
      <c r="F22" s="47" t="e">
        <f>#N/A</f>
        <v>#N/A</v>
      </c>
      <c r="G22" s="37" t="e">
        <f>#N/A</f>
        <v>#N/A</v>
      </c>
      <c r="H22" s="47" t="e">
        <f>#N/A</f>
        <v>#N/A</v>
      </c>
      <c r="I22" s="2">
        <v>0.41499999999999998</v>
      </c>
      <c r="J22" s="4"/>
      <c r="K22" s="4"/>
      <c r="L22" s="50">
        <v>0.125</v>
      </c>
      <c r="M22" s="2">
        <v>5.6710000000000003</v>
      </c>
      <c r="N22" s="49">
        <v>5.0650000000000004</v>
      </c>
      <c r="O22" s="51">
        <v>5.2492977284550024</v>
      </c>
      <c r="P22" s="51">
        <v>0.10870227154499738</v>
      </c>
      <c r="Q22" s="37">
        <v>0.75339322499999994</v>
      </c>
      <c r="R22" s="51">
        <v>3.359</v>
      </c>
      <c r="S22" s="2">
        <v>1.4550000000000001</v>
      </c>
      <c r="T22" s="37">
        <v>3</v>
      </c>
      <c r="U22" s="48">
        <v>2.4</v>
      </c>
      <c r="V22" s="18"/>
      <c r="W22" s="5"/>
      <c r="X22" s="5"/>
      <c r="Y22" s="5"/>
      <c r="Z22" s="5"/>
      <c r="AA22" s="5"/>
      <c r="AB22" s="49">
        <v>1.5098093705725808</v>
      </c>
      <c r="AC22" s="47" t="e">
        <f>#N/A</f>
        <v>#N/A</v>
      </c>
      <c r="AD22" s="37"/>
      <c r="AE22" s="48"/>
      <c r="AF22" s="18"/>
      <c r="AG22" s="18"/>
      <c r="AH22" s="18"/>
      <c r="AI22" s="18"/>
      <c r="AJ22" s="18"/>
      <c r="AK22" s="18"/>
      <c r="AL22" s="18"/>
      <c r="AM22" s="18"/>
      <c r="AN22" s="18"/>
      <c r="AO22" s="18"/>
      <c r="AP22" s="18"/>
      <c r="AQ22" s="8" t="e">
        <f>#N/A</f>
        <v>#N/A</v>
      </c>
      <c r="AR22" s="8" t="e">
        <f>#N/A</f>
        <v>#N/A</v>
      </c>
      <c r="AS22" s="60" t="e">
        <f>#N/A</f>
        <v>#N/A</v>
      </c>
      <c r="AT22" s="60" t="e">
        <f>#N/A</f>
        <v>#N/A</v>
      </c>
      <c r="AU22" s="60" t="e">
        <f>#N/A</f>
        <v>#N/A</v>
      </c>
    </row>
    <row r="23" spans="1:47" x14ac:dyDescent="0.2">
      <c r="A23" s="43">
        <v>0.01</v>
      </c>
      <c r="B23" s="43">
        <v>1.2275687915747069E-2</v>
      </c>
      <c r="C23" s="43">
        <v>0</v>
      </c>
      <c r="D23" s="7" t="e">
        <f>#N/A</f>
        <v>#N/A</v>
      </c>
      <c r="E23" s="7" t="e">
        <f>#N/A</f>
        <v>#N/A</v>
      </c>
      <c r="F23" s="47" t="e">
        <f>#N/A</f>
        <v>#N/A</v>
      </c>
      <c r="G23" s="37" t="e">
        <f>#N/A</f>
        <v>#N/A</v>
      </c>
      <c r="H23" s="47" t="e">
        <f>#N/A</f>
        <v>#N/A</v>
      </c>
      <c r="I23" s="2">
        <v>0.41499999999999998</v>
      </c>
      <c r="J23" s="4"/>
      <c r="K23" s="4"/>
      <c r="L23" s="50">
        <v>0.125</v>
      </c>
      <c r="M23" s="2">
        <v>5.6710000000000003</v>
      </c>
      <c r="N23" s="49">
        <v>5.0650000000000004</v>
      </c>
      <c r="O23" s="51">
        <v>5.2492977284550024</v>
      </c>
      <c r="P23" s="51">
        <v>0.10870227154499738</v>
      </c>
      <c r="Q23" s="37">
        <v>0.75339322499999994</v>
      </c>
      <c r="R23" s="51">
        <v>3.359</v>
      </c>
      <c r="S23" s="2">
        <v>1.4550000000000001</v>
      </c>
      <c r="T23" s="37">
        <v>3</v>
      </c>
      <c r="U23" s="48">
        <v>2.4</v>
      </c>
      <c r="V23" s="18"/>
      <c r="W23" s="5"/>
      <c r="X23" s="5"/>
      <c r="Y23" s="5"/>
      <c r="Z23" s="5"/>
      <c r="AA23" s="5"/>
      <c r="AB23" s="49">
        <v>1.5098093705725808</v>
      </c>
      <c r="AC23" s="47" t="e">
        <f>#N/A</f>
        <v>#N/A</v>
      </c>
      <c r="AD23" s="37"/>
      <c r="AE23" s="48"/>
      <c r="AF23" s="18"/>
      <c r="AG23" s="18"/>
      <c r="AH23" s="18"/>
      <c r="AI23" s="18"/>
      <c r="AJ23" s="18"/>
      <c r="AK23" s="18"/>
      <c r="AL23" s="18"/>
      <c r="AM23" s="18"/>
      <c r="AN23" s="18"/>
      <c r="AO23" s="18"/>
      <c r="AP23" s="18"/>
      <c r="AQ23" s="8" t="e">
        <f>#N/A</f>
        <v>#N/A</v>
      </c>
      <c r="AR23" s="8" t="e">
        <f>#N/A</f>
        <v>#N/A</v>
      </c>
      <c r="AS23" s="60" t="e">
        <f>#N/A</f>
        <v>#N/A</v>
      </c>
      <c r="AT23" s="60" t="e">
        <f>#N/A</f>
        <v>#N/A</v>
      </c>
      <c r="AU23" s="60" t="e">
        <f>#N/A</f>
        <v>#N/A</v>
      </c>
    </row>
    <row r="24" spans="1:47" x14ac:dyDescent="0.2">
      <c r="A24" s="43">
        <v>0.01</v>
      </c>
      <c r="B24" s="43">
        <v>1.2275687915747069E-2</v>
      </c>
      <c r="C24" s="43">
        <v>0</v>
      </c>
      <c r="D24" s="7" t="e">
        <f>#N/A</f>
        <v>#N/A</v>
      </c>
      <c r="E24" s="7" t="e">
        <f>#N/A</f>
        <v>#N/A</v>
      </c>
      <c r="F24" s="47" t="e">
        <f>#N/A</f>
        <v>#N/A</v>
      </c>
      <c r="G24" s="37" t="e">
        <f>#N/A</f>
        <v>#N/A</v>
      </c>
      <c r="H24" s="47" t="e">
        <f>#N/A</f>
        <v>#N/A</v>
      </c>
      <c r="I24" s="2">
        <v>0.41499999999999998</v>
      </c>
      <c r="J24" s="4"/>
      <c r="K24" s="4"/>
      <c r="L24" s="50">
        <v>0.125</v>
      </c>
      <c r="M24" s="2">
        <v>5.6710000000000003</v>
      </c>
      <c r="N24" s="49">
        <v>5.0650000000000004</v>
      </c>
      <c r="O24" s="51">
        <v>5.2492977284550024</v>
      </c>
      <c r="P24" s="51">
        <v>0.10870227154499738</v>
      </c>
      <c r="Q24" s="37">
        <v>0.75339322499999994</v>
      </c>
      <c r="R24" s="51">
        <v>3.359</v>
      </c>
      <c r="S24" s="2">
        <v>1.4550000000000001</v>
      </c>
      <c r="T24" s="37">
        <v>3</v>
      </c>
      <c r="U24" s="48">
        <v>2.4</v>
      </c>
      <c r="V24" s="18"/>
      <c r="W24" s="5"/>
      <c r="X24" s="5"/>
      <c r="Y24" s="5"/>
      <c r="Z24" s="5"/>
      <c r="AA24" s="5"/>
      <c r="AB24" s="49">
        <v>1.5098093705725808</v>
      </c>
      <c r="AC24" s="47" t="e">
        <f>#N/A</f>
        <v>#N/A</v>
      </c>
      <c r="AD24" s="37"/>
      <c r="AE24" s="48"/>
      <c r="AF24" s="18"/>
      <c r="AG24" s="18"/>
      <c r="AH24" s="18"/>
      <c r="AI24" s="18"/>
      <c r="AJ24" s="18"/>
      <c r="AK24" s="18"/>
      <c r="AL24" s="18"/>
      <c r="AM24" s="18"/>
      <c r="AN24" s="18"/>
      <c r="AO24" s="18"/>
      <c r="AP24" s="18"/>
      <c r="AQ24" s="8" t="e">
        <f>#N/A</f>
        <v>#N/A</v>
      </c>
      <c r="AR24" s="8" t="e">
        <f>#N/A</f>
        <v>#N/A</v>
      </c>
      <c r="AS24" s="60" t="e">
        <f>#N/A</f>
        <v>#N/A</v>
      </c>
      <c r="AT24" s="60" t="e">
        <f>#N/A</f>
        <v>#N/A</v>
      </c>
      <c r="AU24" s="60" t="e">
        <f>#N/A</f>
        <v>#N/A</v>
      </c>
    </row>
    <row r="25" spans="1:47" x14ac:dyDescent="0.2">
      <c r="A25" s="43">
        <v>0.01</v>
      </c>
      <c r="B25" s="43">
        <v>1.2275687915747069E-2</v>
      </c>
      <c r="C25" s="43">
        <v>0</v>
      </c>
      <c r="D25" s="7" t="e">
        <f>#N/A</f>
        <v>#N/A</v>
      </c>
      <c r="E25" s="7" t="e">
        <f>#N/A</f>
        <v>#N/A</v>
      </c>
      <c r="F25" s="47" t="e">
        <f>#N/A</f>
        <v>#N/A</v>
      </c>
      <c r="G25" s="37" t="e">
        <f>#N/A</f>
        <v>#N/A</v>
      </c>
      <c r="H25" s="47" t="e">
        <f>#N/A</f>
        <v>#N/A</v>
      </c>
      <c r="I25" s="2">
        <v>0.41499999999999998</v>
      </c>
      <c r="J25" s="4"/>
      <c r="K25" s="4"/>
      <c r="L25" s="50">
        <v>0.125</v>
      </c>
      <c r="M25" s="2">
        <v>5.6710000000000003</v>
      </c>
      <c r="N25" s="49">
        <v>5.0650000000000004</v>
      </c>
      <c r="O25" s="51">
        <v>5.2492977284550024</v>
      </c>
      <c r="P25" s="51">
        <v>0.10870227154499738</v>
      </c>
      <c r="Q25" s="37">
        <v>0.75339322499999994</v>
      </c>
      <c r="R25" s="51">
        <v>3.359</v>
      </c>
      <c r="S25" s="2">
        <v>1.4550000000000001</v>
      </c>
      <c r="T25" s="37">
        <v>3</v>
      </c>
      <c r="U25" s="48">
        <v>2.4</v>
      </c>
      <c r="V25" s="18"/>
      <c r="W25" s="5"/>
      <c r="X25" s="5"/>
      <c r="Y25" s="5"/>
      <c r="Z25" s="5"/>
      <c r="AA25" s="5"/>
      <c r="AB25" s="49">
        <v>1.5098093705725808</v>
      </c>
      <c r="AC25" s="47" t="e">
        <f>#N/A</f>
        <v>#N/A</v>
      </c>
      <c r="AD25" s="37"/>
      <c r="AE25" s="48"/>
      <c r="AF25" s="18"/>
      <c r="AG25" s="18"/>
      <c r="AH25" s="18"/>
      <c r="AI25" s="18"/>
      <c r="AJ25" s="18"/>
      <c r="AK25" s="18"/>
      <c r="AL25" s="18"/>
      <c r="AM25" s="18"/>
      <c r="AN25" s="18"/>
      <c r="AO25" s="18"/>
      <c r="AP25" s="18"/>
      <c r="AQ25" s="8" t="e">
        <f>#N/A</f>
        <v>#N/A</v>
      </c>
      <c r="AR25" s="8" t="e">
        <f>#N/A</f>
        <v>#N/A</v>
      </c>
      <c r="AS25" s="60" t="e">
        <f>#N/A</f>
        <v>#N/A</v>
      </c>
      <c r="AT25" s="60" t="e">
        <f>#N/A</f>
        <v>#N/A</v>
      </c>
      <c r="AU25" s="60" t="e">
        <f>#N/A</f>
        <v>#N/A</v>
      </c>
    </row>
    <row r="26" spans="1:47" x14ac:dyDescent="0.2">
      <c r="A26" s="43">
        <v>0.01</v>
      </c>
      <c r="B26" s="43">
        <v>1.2275687915747069E-2</v>
      </c>
      <c r="C26" s="43">
        <v>0</v>
      </c>
      <c r="D26" s="7" t="e">
        <f>#N/A</f>
        <v>#N/A</v>
      </c>
      <c r="E26" s="7" t="e">
        <f>#N/A</f>
        <v>#N/A</v>
      </c>
      <c r="F26" s="47" t="e">
        <f>#N/A</f>
        <v>#N/A</v>
      </c>
      <c r="G26" s="37" t="e">
        <f>#N/A</f>
        <v>#N/A</v>
      </c>
      <c r="H26" s="47" t="e">
        <f>#N/A</f>
        <v>#N/A</v>
      </c>
      <c r="I26" s="2">
        <v>0.41499999999999998</v>
      </c>
      <c r="J26" s="4"/>
      <c r="K26" s="4"/>
      <c r="L26" s="50">
        <v>0.125</v>
      </c>
      <c r="M26" s="2">
        <v>5.6710000000000003</v>
      </c>
      <c r="N26" s="49">
        <v>5.0650000000000004</v>
      </c>
      <c r="O26" s="51">
        <v>5.2492977284550024</v>
      </c>
      <c r="P26" s="51">
        <v>0.10870227154499738</v>
      </c>
      <c r="Q26" s="37">
        <v>1.4829096800999997</v>
      </c>
      <c r="R26" s="51">
        <v>3.359</v>
      </c>
      <c r="S26" s="2">
        <v>1.4550000000000001</v>
      </c>
      <c r="T26" s="37">
        <v>3</v>
      </c>
      <c r="U26" s="48">
        <v>2.4</v>
      </c>
      <c r="V26" s="18"/>
      <c r="W26" s="5"/>
      <c r="X26" s="5"/>
      <c r="Y26" s="5"/>
      <c r="Z26" s="5"/>
      <c r="AA26" s="5"/>
      <c r="AB26" s="49">
        <v>1.5098093705725808</v>
      </c>
      <c r="AC26" s="47" t="e">
        <f>#N/A</f>
        <v>#N/A</v>
      </c>
      <c r="AD26" s="37"/>
      <c r="AE26" s="48"/>
      <c r="AF26" s="18"/>
      <c r="AG26" s="18"/>
      <c r="AH26" s="18"/>
      <c r="AI26" s="18"/>
      <c r="AJ26" s="18"/>
      <c r="AK26" s="18"/>
      <c r="AL26" s="18"/>
      <c r="AM26" s="18"/>
      <c r="AN26" s="18"/>
      <c r="AO26" s="18"/>
      <c r="AP26" s="18"/>
      <c r="AQ26" s="8" t="e">
        <f>#N/A</f>
        <v>#N/A</v>
      </c>
      <c r="AR26" s="8" t="e">
        <f>#N/A</f>
        <v>#N/A</v>
      </c>
      <c r="AS26" s="60" t="e">
        <f>#N/A</f>
        <v>#N/A</v>
      </c>
      <c r="AT26" s="60" t="e">
        <f>#N/A</f>
        <v>#N/A</v>
      </c>
      <c r="AU26" s="60" t="e">
        <f>#N/A</f>
        <v>#N/A</v>
      </c>
    </row>
    <row r="27" spans="1:47" x14ac:dyDescent="0.2">
      <c r="A27" s="43">
        <v>0.01</v>
      </c>
      <c r="B27" s="43">
        <v>1.2275687915747069E-2</v>
      </c>
      <c r="C27" s="43">
        <v>0</v>
      </c>
      <c r="D27" s="7" t="e">
        <f>#N/A</f>
        <v>#N/A</v>
      </c>
      <c r="E27" s="7" t="e">
        <f>#N/A</f>
        <v>#N/A</v>
      </c>
      <c r="F27" s="47" t="e">
        <f>#N/A</f>
        <v>#N/A</v>
      </c>
      <c r="G27" s="37" t="e">
        <f>#N/A</f>
        <v>#N/A</v>
      </c>
      <c r="H27" s="47" t="e">
        <f>#N/A</f>
        <v>#N/A</v>
      </c>
      <c r="I27" s="2">
        <v>0.41499999999999998</v>
      </c>
      <c r="J27" s="4"/>
      <c r="K27" s="4"/>
      <c r="L27" s="50">
        <v>0.125</v>
      </c>
      <c r="M27" s="2">
        <v>5.6710000000000003</v>
      </c>
      <c r="N27" s="49">
        <v>5.0650000000000004</v>
      </c>
      <c r="O27" s="51">
        <v>5.2492977284550024</v>
      </c>
      <c r="P27" s="51">
        <v>0.10870227154499738</v>
      </c>
      <c r="Q27" s="37">
        <v>1.4829096800999997</v>
      </c>
      <c r="R27" s="51">
        <v>3.359</v>
      </c>
      <c r="S27" s="2">
        <v>1.4550000000000001</v>
      </c>
      <c r="T27" s="37">
        <v>3</v>
      </c>
      <c r="U27" s="48">
        <v>2.4</v>
      </c>
      <c r="V27" s="18"/>
      <c r="W27" s="5"/>
      <c r="X27" s="5"/>
      <c r="Y27" s="5"/>
      <c r="Z27" s="5"/>
      <c r="AA27" s="5"/>
      <c r="AB27" s="49">
        <v>1.5098093705725808</v>
      </c>
      <c r="AC27" s="47" t="e">
        <f>#N/A</f>
        <v>#N/A</v>
      </c>
      <c r="AD27" s="37"/>
      <c r="AE27" s="48"/>
      <c r="AF27" s="18"/>
      <c r="AG27" s="18"/>
      <c r="AH27" s="18"/>
      <c r="AI27" s="18"/>
      <c r="AJ27" s="18"/>
      <c r="AK27" s="18"/>
      <c r="AL27" s="18"/>
      <c r="AM27" s="18"/>
      <c r="AN27" s="18"/>
      <c r="AO27" s="18"/>
      <c r="AP27" s="18"/>
      <c r="AQ27" s="8" t="e">
        <f>#N/A</f>
        <v>#N/A</v>
      </c>
      <c r="AR27" s="8" t="e">
        <f>#N/A</f>
        <v>#N/A</v>
      </c>
      <c r="AS27" s="60" t="e">
        <f>#N/A</f>
        <v>#N/A</v>
      </c>
      <c r="AT27" s="60" t="e">
        <f>#N/A</f>
        <v>#N/A</v>
      </c>
      <c r="AU27" s="60" t="e">
        <f>#N/A</f>
        <v>#N/A</v>
      </c>
    </row>
    <row r="28" spans="1:47" x14ac:dyDescent="0.2">
      <c r="A28" s="43">
        <v>0.01</v>
      </c>
      <c r="B28" s="43">
        <v>1.2275687915747069E-2</v>
      </c>
      <c r="C28" s="43">
        <v>0</v>
      </c>
      <c r="D28" s="7" t="e">
        <f>#N/A</f>
        <v>#N/A</v>
      </c>
      <c r="E28" s="7" t="e">
        <f>#N/A</f>
        <v>#N/A</v>
      </c>
      <c r="F28" s="47" t="e">
        <f>#N/A</f>
        <v>#N/A</v>
      </c>
      <c r="G28" s="37" t="e">
        <f>#N/A</f>
        <v>#N/A</v>
      </c>
      <c r="H28" s="47" t="e">
        <f>#N/A</f>
        <v>#N/A</v>
      </c>
      <c r="I28" s="2">
        <v>0.41499999999999998</v>
      </c>
      <c r="J28" s="4"/>
      <c r="K28" s="4"/>
      <c r="L28" s="50">
        <v>0.125</v>
      </c>
      <c r="M28" s="2">
        <v>5.6710000000000003</v>
      </c>
      <c r="N28" s="49">
        <v>5.0650000000000004</v>
      </c>
      <c r="O28" s="51">
        <v>5.2492977284550024</v>
      </c>
      <c r="P28" s="51">
        <v>0.10870227154499738</v>
      </c>
      <c r="Q28" s="37">
        <v>1.4829096800999997</v>
      </c>
      <c r="R28" s="51">
        <v>3.359</v>
      </c>
      <c r="S28" s="2">
        <v>1.4550000000000001</v>
      </c>
      <c r="T28" s="37">
        <v>3</v>
      </c>
      <c r="U28" s="48">
        <v>2.4</v>
      </c>
      <c r="V28" s="18"/>
      <c r="W28" s="5"/>
      <c r="X28" s="5"/>
      <c r="Y28" s="5"/>
      <c r="Z28" s="5"/>
      <c r="AA28" s="5"/>
      <c r="AB28" s="49">
        <v>1.5098093705725808</v>
      </c>
      <c r="AC28" s="47" t="e">
        <f>#N/A</f>
        <v>#N/A</v>
      </c>
      <c r="AD28" s="37"/>
      <c r="AE28" s="48"/>
      <c r="AF28" s="18"/>
      <c r="AG28" s="18"/>
      <c r="AH28" s="18"/>
      <c r="AI28" s="18"/>
      <c r="AJ28" s="18"/>
      <c r="AK28" s="18"/>
      <c r="AL28" s="18"/>
      <c r="AM28" s="18"/>
      <c r="AN28" s="18"/>
      <c r="AO28" s="18"/>
      <c r="AP28" s="18"/>
      <c r="AQ28" s="8" t="e">
        <f>#N/A</f>
        <v>#N/A</v>
      </c>
      <c r="AR28" s="8" t="e">
        <f>#N/A</f>
        <v>#N/A</v>
      </c>
      <c r="AS28" s="60" t="e">
        <f>#N/A</f>
        <v>#N/A</v>
      </c>
      <c r="AT28" s="60" t="e">
        <f>#N/A</f>
        <v>#N/A</v>
      </c>
      <c r="AU28" s="60" t="e">
        <f>#N/A</f>
        <v>#N/A</v>
      </c>
    </row>
    <row r="29" spans="1:47" x14ac:dyDescent="0.2">
      <c r="A29" s="43">
        <v>0.01</v>
      </c>
      <c r="B29" s="43">
        <v>2.153066917971791E-2</v>
      </c>
      <c r="C29" s="43">
        <v>0</v>
      </c>
      <c r="D29" s="7" t="e">
        <f>#N/A</f>
        <v>#N/A</v>
      </c>
      <c r="E29" s="7" t="e">
        <f>#N/A</f>
        <v>#N/A</v>
      </c>
      <c r="F29" s="47" t="e">
        <f>#N/A</f>
        <v>#N/A</v>
      </c>
      <c r="G29" s="37" t="e">
        <f>#N/A</f>
        <v>#N/A</v>
      </c>
      <c r="H29" s="47" t="e">
        <f>#N/A</f>
        <v>#N/A</v>
      </c>
      <c r="I29" s="2">
        <v>0.41499999999999998</v>
      </c>
      <c r="J29" s="4"/>
      <c r="K29" s="4"/>
      <c r="L29" s="50">
        <v>0.125</v>
      </c>
      <c r="M29" s="2">
        <v>5.6710000000000003</v>
      </c>
      <c r="N29" s="49">
        <v>5.0650000000000004</v>
      </c>
      <c r="O29" s="51">
        <v>5.2492977284550024</v>
      </c>
      <c r="P29" s="51">
        <v>0.10870227154499738</v>
      </c>
      <c r="Q29" s="37">
        <v>1.4829096800999997</v>
      </c>
      <c r="R29" s="51">
        <v>3.359</v>
      </c>
      <c r="S29" s="2">
        <v>1.4550000000000001</v>
      </c>
      <c r="T29" s="37">
        <v>4.25</v>
      </c>
      <c r="U29" s="48"/>
      <c r="V29" s="18"/>
      <c r="W29" s="5"/>
      <c r="X29" s="5"/>
      <c r="Y29" s="5"/>
      <c r="Z29" s="5"/>
      <c r="AA29" s="5"/>
      <c r="AB29" s="49">
        <v>2.0468391205725807</v>
      </c>
      <c r="AC29" s="47" t="e">
        <f>#N/A</f>
        <v>#N/A</v>
      </c>
      <c r="AD29" s="37"/>
      <c r="AE29" s="48"/>
      <c r="AF29" s="18"/>
      <c r="AG29" s="18"/>
      <c r="AH29" s="18"/>
      <c r="AI29" s="18"/>
      <c r="AJ29" s="18"/>
      <c r="AK29" s="18"/>
      <c r="AL29" s="18"/>
      <c r="AM29" s="18"/>
      <c r="AN29" s="18"/>
      <c r="AO29" s="18"/>
      <c r="AP29" s="18"/>
      <c r="AQ29" s="8" t="e">
        <f>#N/A</f>
        <v>#N/A</v>
      </c>
      <c r="AR29" s="8" t="e">
        <f>#N/A</f>
        <v>#N/A</v>
      </c>
      <c r="AS29" s="60" t="e">
        <f>#N/A</f>
        <v>#N/A</v>
      </c>
      <c r="AT29" s="60" t="e">
        <f>#N/A</f>
        <v>#N/A</v>
      </c>
      <c r="AU29" s="60" t="e">
        <f>#N/A</f>
        <v>#N/A</v>
      </c>
    </row>
    <row r="30" spans="1:47" x14ac:dyDescent="0.2">
      <c r="A30" s="43">
        <v>0.01</v>
      </c>
      <c r="B30" s="43">
        <v>2.153066917971791E-2</v>
      </c>
      <c r="C30" s="43">
        <v>0</v>
      </c>
      <c r="D30" s="7" t="e">
        <f>#N/A</f>
        <v>#N/A</v>
      </c>
      <c r="E30" s="7" t="e">
        <f>#N/A</f>
        <v>#N/A</v>
      </c>
      <c r="F30" s="47" t="e">
        <f>#N/A</f>
        <v>#N/A</v>
      </c>
      <c r="G30" s="37" t="e">
        <f>#N/A</f>
        <v>#N/A</v>
      </c>
      <c r="H30" s="47" t="e">
        <f>#N/A</f>
        <v>#N/A</v>
      </c>
      <c r="I30" s="2">
        <v>0.41499999999999998</v>
      </c>
      <c r="J30" s="4"/>
      <c r="K30" s="4"/>
      <c r="L30" s="50">
        <v>0.125</v>
      </c>
      <c r="M30" s="2">
        <v>5.6710000000000003</v>
      </c>
      <c r="N30" s="49">
        <v>5.0650000000000004</v>
      </c>
      <c r="O30" s="51">
        <v>5.2492977284550024</v>
      </c>
      <c r="P30" s="51">
        <v>0.10870227154499738</v>
      </c>
      <c r="Q30" s="37">
        <v>1.4829096800999997</v>
      </c>
      <c r="R30" s="51">
        <v>3.359</v>
      </c>
      <c r="S30" s="2">
        <v>1.4550000000000001</v>
      </c>
      <c r="T30" s="37">
        <v>4.25</v>
      </c>
      <c r="U30" s="48"/>
      <c r="V30" s="18"/>
      <c r="W30" s="5"/>
      <c r="X30" s="5"/>
      <c r="Y30" s="5"/>
      <c r="Z30" s="5"/>
      <c r="AA30" s="5"/>
      <c r="AB30" s="49">
        <v>2.0468391205725807</v>
      </c>
      <c r="AC30" s="47" t="e">
        <f>#N/A</f>
        <v>#N/A</v>
      </c>
      <c r="AD30" s="37"/>
      <c r="AE30" s="48"/>
      <c r="AF30" s="18"/>
      <c r="AG30" s="18"/>
      <c r="AH30" s="18"/>
      <c r="AI30" s="18"/>
      <c r="AJ30" s="18"/>
      <c r="AK30" s="18"/>
      <c r="AL30" s="18"/>
      <c r="AM30" s="18"/>
      <c r="AN30" s="18"/>
      <c r="AO30" s="18"/>
      <c r="AP30" s="18"/>
      <c r="AQ30" s="8" t="e">
        <f>#N/A</f>
        <v>#N/A</v>
      </c>
      <c r="AR30" s="8" t="e">
        <f>#N/A</f>
        <v>#N/A</v>
      </c>
      <c r="AS30" s="60" t="e">
        <f>#N/A</f>
        <v>#N/A</v>
      </c>
      <c r="AT30" s="60" t="e">
        <f>#N/A</f>
        <v>#N/A</v>
      </c>
      <c r="AU30" s="60" t="e">
        <f>#N/A</f>
        <v>#N/A</v>
      </c>
    </row>
    <row r="31" spans="1:47" x14ac:dyDescent="0.2">
      <c r="A31" s="43">
        <v>0.01</v>
      </c>
      <c r="B31" s="43">
        <v>2.153066917971791E-2</v>
      </c>
      <c r="C31" s="43">
        <v>0</v>
      </c>
      <c r="D31" s="7" t="e">
        <f>#N/A</f>
        <v>#N/A</v>
      </c>
      <c r="E31" s="7" t="e">
        <f>#N/A</f>
        <v>#N/A</v>
      </c>
      <c r="F31" s="47" t="e">
        <f>#N/A</f>
        <v>#N/A</v>
      </c>
      <c r="G31" s="37" t="e">
        <f>#N/A</f>
        <v>#N/A</v>
      </c>
      <c r="H31" s="47" t="e">
        <f>#N/A</f>
        <v>#N/A</v>
      </c>
      <c r="I31" s="2">
        <v>0.41499999999999998</v>
      </c>
      <c r="J31" s="4"/>
      <c r="K31" s="4"/>
      <c r="L31" s="50">
        <v>0.125</v>
      </c>
      <c r="M31" s="2">
        <v>5.6710000000000003</v>
      </c>
      <c r="N31" s="49">
        <v>5.0650000000000004</v>
      </c>
      <c r="O31" s="51">
        <v>5.2492977284550024</v>
      </c>
      <c r="P31" s="51">
        <v>0.10870227154499738</v>
      </c>
      <c r="Q31" s="37">
        <v>1.4829096800999997</v>
      </c>
      <c r="R31" s="51">
        <v>3.359</v>
      </c>
      <c r="S31" s="2">
        <v>1.4550000000000001</v>
      </c>
      <c r="T31" s="37">
        <v>4.25</v>
      </c>
      <c r="U31" s="48"/>
      <c r="V31" s="18"/>
      <c r="W31" s="5"/>
      <c r="X31" s="5"/>
      <c r="Y31" s="5"/>
      <c r="Z31" s="5"/>
      <c r="AA31" s="5"/>
      <c r="AB31" s="49">
        <v>2.0468391205725807</v>
      </c>
      <c r="AC31" s="47" t="e">
        <f>#N/A</f>
        <v>#N/A</v>
      </c>
      <c r="AD31" s="37"/>
      <c r="AE31" s="48"/>
      <c r="AF31" s="18"/>
      <c r="AG31" s="18"/>
      <c r="AH31" s="18"/>
      <c r="AI31" s="18"/>
      <c r="AJ31" s="18"/>
      <c r="AK31" s="18"/>
      <c r="AL31" s="18"/>
      <c r="AM31" s="18"/>
      <c r="AN31" s="18"/>
      <c r="AO31" s="18"/>
      <c r="AP31" s="18"/>
      <c r="AQ31" s="8" t="e">
        <f>#N/A</f>
        <v>#N/A</v>
      </c>
      <c r="AR31" s="8" t="e">
        <f>#N/A</f>
        <v>#N/A</v>
      </c>
      <c r="AS31" s="60" t="e">
        <f>#N/A</f>
        <v>#N/A</v>
      </c>
      <c r="AT31" s="60" t="e">
        <f>#N/A</f>
        <v>#N/A</v>
      </c>
      <c r="AU31" s="60" t="e">
        <f>#N/A</f>
        <v>#N/A</v>
      </c>
    </row>
    <row r="32" spans="1:47" x14ac:dyDescent="0.2">
      <c r="A32" s="43">
        <v>0.01</v>
      </c>
      <c r="B32" s="43">
        <v>2.153066917971791E-2</v>
      </c>
      <c r="C32" s="43">
        <v>0</v>
      </c>
      <c r="D32" s="7" t="e">
        <f>#N/A</f>
        <v>#N/A</v>
      </c>
      <c r="E32" s="7" t="e">
        <f>#N/A</f>
        <v>#N/A</v>
      </c>
      <c r="F32" s="47" t="e">
        <f>#N/A</f>
        <v>#N/A</v>
      </c>
      <c r="G32" s="37" t="e">
        <f>#N/A</f>
        <v>#N/A</v>
      </c>
      <c r="H32" s="47" t="e">
        <f>#N/A</f>
        <v>#N/A</v>
      </c>
      <c r="I32" s="2">
        <v>0.41499999999999998</v>
      </c>
      <c r="J32" s="4"/>
      <c r="K32" s="4"/>
      <c r="L32" s="50">
        <v>0.125</v>
      </c>
      <c r="M32" s="2">
        <v>5.6710000000000003</v>
      </c>
      <c r="N32" s="49">
        <v>5.0650000000000004</v>
      </c>
      <c r="O32" s="51">
        <v>5.2492977284550024</v>
      </c>
      <c r="P32" s="51">
        <v>0.10870227154499738</v>
      </c>
      <c r="Q32" s="37">
        <v>1.4829096800999997</v>
      </c>
      <c r="R32" s="51">
        <v>3.359</v>
      </c>
      <c r="S32" s="2">
        <v>1.4550000000000001</v>
      </c>
      <c r="T32" s="37">
        <v>4.25</v>
      </c>
      <c r="U32" s="48"/>
      <c r="V32" s="18"/>
      <c r="W32" s="5"/>
      <c r="X32" s="5"/>
      <c r="Y32" s="5"/>
      <c r="Z32" s="5"/>
      <c r="AA32" s="5"/>
      <c r="AB32" s="49">
        <v>2.0468391205725807</v>
      </c>
      <c r="AC32" s="47" t="e">
        <f>#N/A</f>
        <v>#N/A</v>
      </c>
      <c r="AD32" s="37"/>
      <c r="AE32" s="48"/>
      <c r="AF32" s="18"/>
      <c r="AG32" s="18"/>
      <c r="AH32" s="18"/>
      <c r="AI32" s="18"/>
      <c r="AJ32" s="18"/>
      <c r="AK32" s="18"/>
      <c r="AL32" s="18"/>
      <c r="AM32" s="18"/>
      <c r="AN32" s="18"/>
      <c r="AO32" s="18"/>
      <c r="AP32" s="18"/>
      <c r="AQ32" s="8" t="e">
        <f>#N/A</f>
        <v>#N/A</v>
      </c>
      <c r="AR32" s="8" t="e">
        <f>#N/A</f>
        <v>#N/A</v>
      </c>
      <c r="AS32" s="60" t="e">
        <f>#N/A</f>
        <v>#N/A</v>
      </c>
      <c r="AT32" s="60" t="e">
        <f>#N/A</f>
        <v>#N/A</v>
      </c>
      <c r="AU32" s="60" t="e">
        <f>#N/A</f>
        <v>#N/A</v>
      </c>
    </row>
    <row r="33" spans="1:47" x14ac:dyDescent="0.2">
      <c r="A33" s="43">
        <v>0.01</v>
      </c>
      <c r="B33" s="43">
        <v>2.153066917971791E-2</v>
      </c>
      <c r="C33" s="43">
        <v>0</v>
      </c>
      <c r="D33" s="7" t="e">
        <f>#N/A</f>
        <v>#N/A</v>
      </c>
      <c r="E33" s="7" t="e">
        <f>#N/A</f>
        <v>#N/A</v>
      </c>
      <c r="F33" s="47" t="e">
        <f>#N/A</f>
        <v>#N/A</v>
      </c>
      <c r="G33" s="37" t="e">
        <f>#N/A</f>
        <v>#N/A</v>
      </c>
      <c r="H33" s="47" t="e">
        <f>#N/A</f>
        <v>#N/A</v>
      </c>
      <c r="I33" s="2">
        <v>0.41499999999999998</v>
      </c>
      <c r="J33" s="4"/>
      <c r="K33" s="4"/>
      <c r="L33" s="50">
        <v>0.125</v>
      </c>
      <c r="M33" s="2">
        <v>5.6710000000000003</v>
      </c>
      <c r="N33" s="49">
        <v>5.0650000000000004</v>
      </c>
      <c r="O33" s="51">
        <v>5.2492977284550024</v>
      </c>
      <c r="P33" s="51">
        <v>0.10870227154499738</v>
      </c>
      <c r="Q33" s="37">
        <v>1.4829096800999997</v>
      </c>
      <c r="R33" s="51">
        <v>3.359</v>
      </c>
      <c r="S33" s="2">
        <v>1.4550000000000001</v>
      </c>
      <c r="T33" s="37">
        <v>4.25</v>
      </c>
      <c r="U33" s="48"/>
      <c r="V33" s="18"/>
      <c r="W33" s="5"/>
      <c r="X33" s="5"/>
      <c r="Y33" s="5"/>
      <c r="Z33" s="5"/>
      <c r="AA33" s="5"/>
      <c r="AB33" s="49">
        <v>2.0468391205725807</v>
      </c>
      <c r="AC33" s="47" t="e">
        <f>#N/A</f>
        <v>#N/A</v>
      </c>
      <c r="AD33" s="37"/>
      <c r="AE33" s="48"/>
      <c r="AF33" s="18"/>
      <c r="AG33" s="18"/>
      <c r="AH33" s="18"/>
      <c r="AI33" s="18"/>
      <c r="AJ33" s="18"/>
      <c r="AK33" s="18"/>
      <c r="AL33" s="18"/>
      <c r="AM33" s="18"/>
      <c r="AN33" s="18"/>
      <c r="AO33" s="18"/>
      <c r="AP33" s="18"/>
      <c r="AQ33" s="8" t="e">
        <f>#N/A</f>
        <v>#N/A</v>
      </c>
      <c r="AR33" s="8" t="e">
        <f>#N/A</f>
        <v>#N/A</v>
      </c>
      <c r="AS33" s="60" t="e">
        <f>#N/A</f>
        <v>#N/A</v>
      </c>
      <c r="AT33" s="60" t="e">
        <f>#N/A</f>
        <v>#N/A</v>
      </c>
      <c r="AU33" s="60" t="e">
        <f>#N/A</f>
        <v>#N/A</v>
      </c>
    </row>
    <row r="34" spans="1:47" x14ac:dyDescent="0.2">
      <c r="A34" s="43">
        <v>0.01</v>
      </c>
      <c r="B34" s="43">
        <v>2.153066917971791E-2</v>
      </c>
      <c r="C34" s="43">
        <v>0</v>
      </c>
      <c r="D34" s="7" t="e">
        <f>#N/A</f>
        <v>#N/A</v>
      </c>
      <c r="E34" s="7" t="e">
        <f>#N/A</f>
        <v>#N/A</v>
      </c>
      <c r="F34" s="47" t="e">
        <f>#N/A</f>
        <v>#N/A</v>
      </c>
      <c r="G34" s="37" t="e">
        <f>#N/A</f>
        <v>#N/A</v>
      </c>
      <c r="H34" s="47" t="e">
        <f>#N/A</f>
        <v>#N/A</v>
      </c>
      <c r="I34" s="2">
        <v>0.41499999999999998</v>
      </c>
      <c r="J34" s="4"/>
      <c r="K34" s="4"/>
      <c r="L34" s="50">
        <v>0.125</v>
      </c>
      <c r="M34" s="2">
        <v>5.6710000000000003</v>
      </c>
      <c r="N34" s="49">
        <v>5.0650000000000004</v>
      </c>
      <c r="O34" s="51">
        <v>5.2492977284550024</v>
      </c>
      <c r="P34" s="51">
        <v>0.10870227154499738</v>
      </c>
      <c r="Q34" s="37">
        <v>0.79535143229999994</v>
      </c>
      <c r="R34" s="51">
        <v>3.359</v>
      </c>
      <c r="S34" s="2">
        <v>1.4550000000000001</v>
      </c>
      <c r="T34" s="37">
        <v>2.5</v>
      </c>
      <c r="U34" s="48">
        <v>1.5238095238095237</v>
      </c>
      <c r="V34" s="18"/>
      <c r="W34" s="5"/>
      <c r="X34" s="5"/>
      <c r="Y34" s="5"/>
      <c r="Z34" s="5"/>
      <c r="AA34" s="5"/>
      <c r="AB34" s="49">
        <v>2.22553605498871</v>
      </c>
      <c r="AC34" s="47" t="e">
        <f>#N/A</f>
        <v>#N/A</v>
      </c>
      <c r="AD34" s="37"/>
      <c r="AE34" s="48"/>
      <c r="AF34" s="18"/>
      <c r="AG34" s="18"/>
      <c r="AH34" s="18"/>
      <c r="AI34" s="18"/>
      <c r="AJ34" s="18"/>
      <c r="AK34" s="18"/>
      <c r="AL34" s="18"/>
      <c r="AM34" s="18"/>
      <c r="AN34" s="18"/>
      <c r="AO34" s="18"/>
      <c r="AP34" s="18"/>
      <c r="AQ34" s="8" t="e">
        <f>#N/A</f>
        <v>#N/A</v>
      </c>
      <c r="AR34" s="8" t="e">
        <f>#N/A</f>
        <v>#N/A</v>
      </c>
      <c r="AS34" s="60" t="e">
        <f>#N/A</f>
        <v>#N/A</v>
      </c>
      <c r="AT34" s="60" t="e">
        <f>#N/A</f>
        <v>#N/A</v>
      </c>
      <c r="AU34" s="60" t="e">
        <f>#N/A</f>
        <v>#N/A</v>
      </c>
    </row>
    <row r="35" spans="1:47" x14ac:dyDescent="0.2">
      <c r="A35" s="43">
        <v>0.01</v>
      </c>
      <c r="B35" s="43">
        <v>2.153066917971791E-2</v>
      </c>
      <c r="C35" s="43">
        <v>0</v>
      </c>
      <c r="D35" s="7" t="e">
        <f>#N/A</f>
        <v>#N/A</v>
      </c>
      <c r="E35" s="7" t="e">
        <f>#N/A</f>
        <v>#N/A</v>
      </c>
      <c r="F35" s="47" t="e">
        <f>#N/A</f>
        <v>#N/A</v>
      </c>
      <c r="G35" s="37" t="e">
        <f>#N/A</f>
        <v>#N/A</v>
      </c>
      <c r="H35" s="47" t="e">
        <f>#N/A</f>
        <v>#N/A</v>
      </c>
      <c r="I35" s="2">
        <v>0.41499999999999998</v>
      </c>
      <c r="J35" s="4"/>
      <c r="K35" s="4"/>
      <c r="L35" s="50">
        <v>0.125</v>
      </c>
      <c r="M35" s="2">
        <v>5.6710000000000003</v>
      </c>
      <c r="N35" s="49">
        <v>5.0650000000000004</v>
      </c>
      <c r="O35" s="51">
        <v>5.2492977284550024</v>
      </c>
      <c r="P35" s="51">
        <v>0.10870227154499738</v>
      </c>
      <c r="Q35" s="37">
        <v>0.79535143229999994</v>
      </c>
      <c r="R35" s="51">
        <v>3.359</v>
      </c>
      <c r="S35" s="2">
        <v>1.4550000000000001</v>
      </c>
      <c r="T35" s="37">
        <v>2.5</v>
      </c>
      <c r="U35" s="48">
        <v>1.5238095238095237</v>
      </c>
      <c r="V35" s="18"/>
      <c r="W35" s="5"/>
      <c r="X35" s="5"/>
      <c r="Y35" s="5"/>
      <c r="Z35" s="5"/>
      <c r="AA35" s="5"/>
      <c r="AB35" s="49">
        <v>2.22553605498871</v>
      </c>
      <c r="AC35" s="47" t="e">
        <f>#N/A</f>
        <v>#N/A</v>
      </c>
      <c r="AD35" s="37"/>
      <c r="AE35" s="48"/>
      <c r="AF35" s="18"/>
      <c r="AG35" s="18"/>
      <c r="AH35" s="18"/>
      <c r="AI35" s="18"/>
      <c r="AJ35" s="18"/>
      <c r="AK35" s="18"/>
      <c r="AL35" s="18"/>
      <c r="AM35" s="18"/>
      <c r="AN35" s="18"/>
      <c r="AO35" s="18"/>
      <c r="AP35" s="18"/>
      <c r="AQ35" s="8" t="e">
        <f>#N/A</f>
        <v>#N/A</v>
      </c>
      <c r="AR35" s="8" t="e">
        <f>#N/A</f>
        <v>#N/A</v>
      </c>
      <c r="AS35" s="60" t="e">
        <f>#N/A</f>
        <v>#N/A</v>
      </c>
      <c r="AT35" s="60" t="e">
        <f>#N/A</f>
        <v>#N/A</v>
      </c>
      <c r="AU35" s="60" t="e">
        <f>#N/A</f>
        <v>#N/A</v>
      </c>
    </row>
    <row r="36" spans="1:47" x14ac:dyDescent="0.2">
      <c r="A36" s="43">
        <v>0.01</v>
      </c>
      <c r="B36" s="43">
        <v>2.153066917971791E-2</v>
      </c>
      <c r="C36" s="43">
        <v>0</v>
      </c>
      <c r="D36" s="7" t="e">
        <f>#N/A</f>
        <v>#N/A</v>
      </c>
      <c r="E36" s="7" t="e">
        <f>#N/A</f>
        <v>#N/A</v>
      </c>
      <c r="F36" s="47" t="e">
        <f>#N/A</f>
        <v>#N/A</v>
      </c>
      <c r="G36" s="37" t="e">
        <f>#N/A</f>
        <v>#N/A</v>
      </c>
      <c r="H36" s="47" t="e">
        <f>#N/A</f>
        <v>#N/A</v>
      </c>
      <c r="I36" s="2">
        <v>0.41499999999999998</v>
      </c>
      <c r="J36" s="4"/>
      <c r="K36" s="4"/>
      <c r="L36" s="50">
        <v>0.125</v>
      </c>
      <c r="M36" s="2">
        <v>5.6710000000000003</v>
      </c>
      <c r="N36" s="49">
        <v>5.0650000000000004</v>
      </c>
      <c r="O36" s="51">
        <v>5.2492977284550024</v>
      </c>
      <c r="P36" s="51">
        <v>0.10870227154499738</v>
      </c>
      <c r="Q36" s="37">
        <v>0.79535143229999994</v>
      </c>
      <c r="R36" s="51">
        <v>3.359</v>
      </c>
      <c r="S36" s="2">
        <v>1.4550000000000001</v>
      </c>
      <c r="T36" s="37">
        <v>2.5</v>
      </c>
      <c r="U36" s="48">
        <v>1.5238095238095237</v>
      </c>
      <c r="V36" s="18"/>
      <c r="W36" s="5"/>
      <c r="X36" s="5"/>
      <c r="Y36" s="5"/>
      <c r="Z36" s="5"/>
      <c r="AA36" s="5"/>
      <c r="AB36" s="49">
        <v>2.22553605498871</v>
      </c>
      <c r="AC36" s="47" t="e">
        <f>#N/A</f>
        <v>#N/A</v>
      </c>
      <c r="AD36" s="37"/>
      <c r="AE36" s="48"/>
      <c r="AF36" s="18"/>
      <c r="AG36" s="18"/>
      <c r="AH36" s="18"/>
      <c r="AI36" s="18"/>
      <c r="AJ36" s="18"/>
      <c r="AK36" s="18"/>
      <c r="AL36" s="18"/>
      <c r="AM36" s="18"/>
      <c r="AN36" s="18"/>
      <c r="AO36" s="18"/>
      <c r="AP36" s="18"/>
      <c r="AQ36" s="8" t="e">
        <f>#N/A</f>
        <v>#N/A</v>
      </c>
      <c r="AR36" s="8" t="e">
        <f>#N/A</f>
        <v>#N/A</v>
      </c>
      <c r="AS36" s="60" t="e">
        <f>#N/A</f>
        <v>#N/A</v>
      </c>
      <c r="AT36" s="60" t="e">
        <f>#N/A</f>
        <v>#N/A</v>
      </c>
      <c r="AU36" s="60" t="e">
        <f>#N/A</f>
        <v>#N/A</v>
      </c>
    </row>
    <row r="37" spans="1:47" x14ac:dyDescent="0.2">
      <c r="A37" s="43">
        <v>0.01</v>
      </c>
      <c r="B37" s="43">
        <v>2.153066917971791E-2</v>
      </c>
      <c r="C37" s="43">
        <v>0</v>
      </c>
      <c r="D37" s="7" t="e">
        <f>#N/A</f>
        <v>#N/A</v>
      </c>
      <c r="E37" s="7" t="e">
        <f>#N/A</f>
        <v>#N/A</v>
      </c>
      <c r="F37" s="47" t="e">
        <f>#N/A</f>
        <v>#N/A</v>
      </c>
      <c r="G37" s="37" t="e">
        <f>#N/A</f>
        <v>#N/A</v>
      </c>
      <c r="H37" s="47" t="e">
        <f>#N/A</f>
        <v>#N/A</v>
      </c>
      <c r="I37" s="2">
        <v>0.41499999999999998</v>
      </c>
      <c r="J37" s="4"/>
      <c r="K37" s="4"/>
      <c r="L37" s="50">
        <v>0.125</v>
      </c>
      <c r="M37" s="2">
        <v>5.6710000000000003</v>
      </c>
      <c r="N37" s="49">
        <v>5.0650000000000004</v>
      </c>
      <c r="O37" s="51">
        <v>5.2492977284550024</v>
      </c>
      <c r="P37" s="51">
        <v>0.10870227154499738</v>
      </c>
      <c r="Q37" s="37">
        <v>0.79535143229999994</v>
      </c>
      <c r="R37" s="51">
        <v>3.359</v>
      </c>
      <c r="S37" s="2">
        <v>1.4550000000000001</v>
      </c>
      <c r="T37" s="37">
        <v>2.5</v>
      </c>
      <c r="U37" s="48">
        <v>1.5238095238095237</v>
      </c>
      <c r="V37" s="18"/>
      <c r="W37" s="5"/>
      <c r="X37" s="5"/>
      <c r="Y37" s="5"/>
      <c r="Z37" s="5"/>
      <c r="AA37" s="5"/>
      <c r="AB37" s="49">
        <v>2.22553605498871</v>
      </c>
      <c r="AC37" s="47" t="e">
        <f>#N/A</f>
        <v>#N/A</v>
      </c>
      <c r="AD37" s="37"/>
      <c r="AE37" s="48"/>
      <c r="AF37" s="18"/>
      <c r="AG37" s="18"/>
      <c r="AH37" s="18"/>
      <c r="AI37" s="18"/>
      <c r="AJ37" s="18"/>
      <c r="AK37" s="18"/>
      <c r="AL37" s="18"/>
      <c r="AM37" s="18"/>
      <c r="AN37" s="18"/>
      <c r="AO37" s="18"/>
      <c r="AP37" s="18"/>
      <c r="AQ37" s="8" t="e">
        <f>#N/A</f>
        <v>#N/A</v>
      </c>
      <c r="AR37" s="8" t="e">
        <f>#N/A</f>
        <v>#N/A</v>
      </c>
      <c r="AS37" s="60" t="e">
        <f>#N/A</f>
        <v>#N/A</v>
      </c>
      <c r="AT37" s="60" t="e">
        <f>#N/A</f>
        <v>#N/A</v>
      </c>
      <c r="AU37" s="60" t="e">
        <f>#N/A</f>
        <v>#N/A</v>
      </c>
    </row>
    <row r="38" spans="1:47" x14ac:dyDescent="0.2">
      <c r="A38" s="43">
        <v>0.01</v>
      </c>
      <c r="B38" s="43">
        <v>2.153066917971791E-2</v>
      </c>
      <c r="C38" s="43">
        <v>0</v>
      </c>
      <c r="D38" s="7" t="e">
        <f>#N/A</f>
        <v>#N/A</v>
      </c>
      <c r="E38" s="7" t="e">
        <f>#N/A</f>
        <v>#N/A</v>
      </c>
      <c r="F38" s="47" t="e">
        <f>#N/A</f>
        <v>#N/A</v>
      </c>
      <c r="G38" s="37" t="e">
        <f>#N/A</f>
        <v>#N/A</v>
      </c>
      <c r="H38" s="47" t="e">
        <f>#N/A</f>
        <v>#N/A</v>
      </c>
      <c r="I38" s="2">
        <v>0.41499999999999998</v>
      </c>
      <c r="J38" s="4"/>
      <c r="K38" s="4"/>
      <c r="L38" s="50">
        <v>0.125</v>
      </c>
      <c r="M38" s="2">
        <v>5.6710000000000003</v>
      </c>
      <c r="N38" s="49">
        <v>5.0650000000000004</v>
      </c>
      <c r="O38" s="51">
        <v>5.2492977284550024</v>
      </c>
      <c r="P38" s="51">
        <v>0.10870227154499738</v>
      </c>
      <c r="Q38" s="37">
        <v>1.4843778309999998</v>
      </c>
      <c r="R38" s="51">
        <v>3.359</v>
      </c>
      <c r="S38" s="2">
        <v>1.4550000000000001</v>
      </c>
      <c r="T38" s="37">
        <v>4.25</v>
      </c>
      <c r="U38" s="48">
        <v>2.7521269841269835</v>
      </c>
      <c r="V38" s="18"/>
      <c r="W38" s="5"/>
      <c r="X38" s="5"/>
      <c r="Y38" s="5"/>
      <c r="Z38" s="5"/>
      <c r="AA38" s="5"/>
      <c r="AB38" s="49">
        <v>2.22553605498871</v>
      </c>
      <c r="AC38" s="47" t="e">
        <f>#N/A</f>
        <v>#N/A</v>
      </c>
      <c r="AD38" s="37"/>
      <c r="AE38" s="48"/>
      <c r="AF38" s="18"/>
      <c r="AG38" s="18"/>
      <c r="AH38" s="18"/>
      <c r="AI38" s="18"/>
      <c r="AJ38" s="18"/>
      <c r="AK38" s="18"/>
      <c r="AL38" s="18"/>
      <c r="AM38" s="18"/>
      <c r="AN38" s="18"/>
      <c r="AO38" s="18"/>
      <c r="AP38" s="18"/>
      <c r="AQ38" s="8" t="e">
        <f>#N/A</f>
        <v>#N/A</v>
      </c>
      <c r="AR38" s="8" t="e">
        <f>#N/A</f>
        <v>#N/A</v>
      </c>
      <c r="AS38" s="60" t="e">
        <f>#N/A</f>
        <v>#N/A</v>
      </c>
      <c r="AT38" s="60" t="e">
        <f>#N/A</f>
        <v>#N/A</v>
      </c>
      <c r="AU38" s="60" t="e">
        <f>#N/A</f>
        <v>#N/A</v>
      </c>
    </row>
    <row r="39" spans="1:47" x14ac:dyDescent="0.2">
      <c r="A39" s="43">
        <v>0.01</v>
      </c>
      <c r="B39" s="43">
        <v>2.153066917971791E-2</v>
      </c>
      <c r="C39" s="43">
        <v>0</v>
      </c>
      <c r="D39" s="7" t="e">
        <f>#N/A</f>
        <v>#N/A</v>
      </c>
      <c r="E39" s="7" t="e">
        <f>#N/A</f>
        <v>#N/A</v>
      </c>
      <c r="F39" s="47" t="e">
        <f>#N/A</f>
        <v>#N/A</v>
      </c>
      <c r="G39" s="37" t="e">
        <f>#N/A</f>
        <v>#N/A</v>
      </c>
      <c r="H39" s="47" t="e">
        <f>#N/A</f>
        <v>#N/A</v>
      </c>
      <c r="I39" s="2">
        <v>0.41499999999999998</v>
      </c>
      <c r="J39" s="4"/>
      <c r="K39" s="4"/>
      <c r="L39" s="50">
        <v>0.125</v>
      </c>
      <c r="M39" s="2">
        <v>5.6710000000000003</v>
      </c>
      <c r="N39" s="49">
        <v>5.0650000000000004</v>
      </c>
      <c r="O39" s="51">
        <v>5.2492977284550024</v>
      </c>
      <c r="P39" s="51">
        <v>0.10870227154499738</v>
      </c>
      <c r="Q39" s="37">
        <v>1.4843778309999998</v>
      </c>
      <c r="R39" s="51">
        <v>3.359</v>
      </c>
      <c r="S39" s="2">
        <v>1.4550000000000001</v>
      </c>
      <c r="T39" s="37">
        <v>4.25</v>
      </c>
      <c r="U39" s="48">
        <v>2.7521269841269835</v>
      </c>
      <c r="V39" s="18"/>
      <c r="W39" s="5"/>
      <c r="X39" s="5"/>
      <c r="Y39" s="5"/>
      <c r="Z39" s="5"/>
      <c r="AA39" s="5"/>
      <c r="AB39" s="49">
        <v>2.22553605498871</v>
      </c>
      <c r="AC39" s="47" t="e">
        <f>#N/A</f>
        <v>#N/A</v>
      </c>
      <c r="AD39" s="37"/>
      <c r="AE39" s="48"/>
      <c r="AF39" s="18"/>
      <c r="AG39" s="18"/>
      <c r="AH39" s="18"/>
      <c r="AI39" s="18"/>
      <c r="AJ39" s="18"/>
      <c r="AK39" s="18"/>
      <c r="AL39" s="18"/>
      <c r="AM39" s="18"/>
      <c r="AN39" s="18"/>
      <c r="AO39" s="18"/>
      <c r="AP39" s="18"/>
      <c r="AQ39" s="8" t="e">
        <f>#N/A</f>
        <v>#N/A</v>
      </c>
      <c r="AR39" s="8" t="e">
        <f>#N/A</f>
        <v>#N/A</v>
      </c>
      <c r="AS39" s="60" t="e">
        <f>#N/A</f>
        <v>#N/A</v>
      </c>
      <c r="AT39" s="60" t="e">
        <f>#N/A</f>
        <v>#N/A</v>
      </c>
      <c r="AU39" s="60" t="e">
        <f>#N/A</f>
        <v>#N/A</v>
      </c>
    </row>
    <row r="40" spans="1:47" x14ac:dyDescent="0.2">
      <c r="A40" s="43">
        <v>0.01</v>
      </c>
      <c r="B40" s="43">
        <v>2.153066917971791E-2</v>
      </c>
      <c r="C40" s="43">
        <v>0</v>
      </c>
      <c r="D40" s="7" t="e">
        <f>#N/A</f>
        <v>#N/A</v>
      </c>
      <c r="E40" s="7" t="e">
        <f>#N/A</f>
        <v>#N/A</v>
      </c>
      <c r="F40" s="47" t="e">
        <f>#N/A</f>
        <v>#N/A</v>
      </c>
      <c r="G40" s="37" t="e">
        <f>#N/A</f>
        <v>#N/A</v>
      </c>
      <c r="H40" s="47" t="e">
        <f>#N/A</f>
        <v>#N/A</v>
      </c>
      <c r="I40" s="2">
        <v>0.41499999999999998</v>
      </c>
      <c r="J40" s="4"/>
      <c r="K40" s="4"/>
      <c r="L40" s="50">
        <v>0.125</v>
      </c>
      <c r="M40" s="2">
        <v>5.6710000000000003</v>
      </c>
      <c r="N40" s="49">
        <v>5.0650000000000004</v>
      </c>
      <c r="O40" s="51">
        <v>5.2492977284550024</v>
      </c>
      <c r="P40" s="51">
        <v>0.10870227154499738</v>
      </c>
      <c r="Q40" s="37">
        <v>1.4843778309999998</v>
      </c>
      <c r="R40" s="51">
        <v>3.359</v>
      </c>
      <c r="S40" s="2">
        <v>1.4550000000000001</v>
      </c>
      <c r="T40" s="37">
        <v>4.25</v>
      </c>
      <c r="U40" s="48">
        <v>2.7521269841269835</v>
      </c>
      <c r="V40" s="18"/>
      <c r="W40" s="5"/>
      <c r="X40" s="5"/>
      <c r="Y40" s="5"/>
      <c r="Z40" s="5"/>
      <c r="AA40" s="5"/>
      <c r="AB40" s="49">
        <v>2.22553605498871</v>
      </c>
      <c r="AC40" s="47" t="e">
        <f>#N/A</f>
        <v>#N/A</v>
      </c>
      <c r="AD40" s="37"/>
      <c r="AE40" s="48"/>
      <c r="AF40" s="18"/>
      <c r="AG40" s="18"/>
      <c r="AH40" s="18"/>
      <c r="AI40" s="18"/>
      <c r="AJ40" s="18"/>
      <c r="AK40" s="18"/>
      <c r="AL40" s="18"/>
      <c r="AM40" s="18"/>
      <c r="AN40" s="18"/>
      <c r="AO40" s="18"/>
      <c r="AP40" s="18"/>
      <c r="AQ40" s="8" t="e">
        <f>#N/A</f>
        <v>#N/A</v>
      </c>
      <c r="AR40" s="8" t="e">
        <f>#N/A</f>
        <v>#N/A</v>
      </c>
      <c r="AS40" s="60" t="e">
        <f>#N/A</f>
        <v>#N/A</v>
      </c>
      <c r="AT40" s="60" t="e">
        <f>#N/A</f>
        <v>#N/A</v>
      </c>
      <c r="AU40" s="60" t="e">
        <f>#N/A</f>
        <v>#N/A</v>
      </c>
    </row>
    <row r="41" spans="1:47" x14ac:dyDescent="0.2">
      <c r="A41" s="43">
        <v>0.01</v>
      </c>
      <c r="B41" s="43">
        <v>-1.6100962096696203E-2</v>
      </c>
      <c r="C41" s="43">
        <v>0</v>
      </c>
      <c r="D41" s="7" t="e">
        <f>#N/A</f>
        <v>#N/A</v>
      </c>
      <c r="E41" s="7" t="e">
        <f>#N/A</f>
        <v>#N/A</v>
      </c>
      <c r="F41" s="47" t="e">
        <f>#N/A</f>
        <v>#N/A</v>
      </c>
      <c r="G41" s="37" t="e">
        <f>#N/A</f>
        <v>#N/A</v>
      </c>
      <c r="H41" s="47" t="e">
        <f>#N/A</f>
        <v>#N/A</v>
      </c>
      <c r="I41" s="2">
        <v>0.41499999999999998</v>
      </c>
      <c r="J41" s="4"/>
      <c r="K41" s="4"/>
      <c r="L41" s="50">
        <v>0.125</v>
      </c>
      <c r="M41" s="2">
        <v>5.6710000000000003</v>
      </c>
      <c r="N41" s="49">
        <v>5.0650000000000004</v>
      </c>
      <c r="O41" s="51">
        <v>5.2492977284550024</v>
      </c>
      <c r="P41" s="51">
        <v>0.10870227154499738</v>
      </c>
      <c r="Q41" s="37">
        <v>1.4843778309999998</v>
      </c>
      <c r="R41" s="51">
        <v>3.359</v>
      </c>
      <c r="S41" s="2">
        <v>1.4550000000000001</v>
      </c>
      <c r="T41" s="37">
        <v>4.25</v>
      </c>
      <c r="U41" s="48">
        <v>2.7521269841269835</v>
      </c>
      <c r="V41" s="50">
        <f>+$AF$2*$AF$3</f>
        <v>9.75</v>
      </c>
      <c r="W41" s="5"/>
      <c r="X41" s="5"/>
      <c r="Y41" s="4"/>
      <c r="Z41" s="5"/>
      <c r="AA41" s="5"/>
      <c r="AB41" s="49">
        <v>3.0707769049887101</v>
      </c>
      <c r="AC41" s="47" t="e">
        <f>#N/A</f>
        <v>#N/A</v>
      </c>
      <c r="AD41" s="37"/>
      <c r="AE41" s="48"/>
      <c r="AF41" s="50"/>
      <c r="AG41" s="18"/>
      <c r="AH41" s="18"/>
      <c r="AI41" s="18"/>
      <c r="AJ41" s="18"/>
      <c r="AK41" s="18"/>
      <c r="AL41" s="18"/>
      <c r="AM41" s="18"/>
      <c r="AN41" s="18"/>
      <c r="AO41" s="18"/>
      <c r="AP41" s="18"/>
      <c r="AQ41" s="8" t="e">
        <f>#N/A</f>
        <v>#N/A</v>
      </c>
      <c r="AR41" s="8" t="e">
        <f>#N/A</f>
        <v>#N/A</v>
      </c>
      <c r="AS41" s="60" t="e">
        <f>#N/A</f>
        <v>#N/A</v>
      </c>
      <c r="AT41" s="60" t="e">
        <f>#N/A</f>
        <v>#N/A</v>
      </c>
      <c r="AU41" s="60" t="e">
        <f>#N/A</f>
        <v>#N/A</v>
      </c>
    </row>
    <row r="42" spans="1:47" x14ac:dyDescent="0.2">
      <c r="A42" s="43">
        <v>0.01</v>
      </c>
      <c r="B42" s="43">
        <v>-1.6100962096696203E-2</v>
      </c>
      <c r="C42" s="43">
        <v>0</v>
      </c>
      <c r="D42" s="7" t="e">
        <f>#N/A</f>
        <v>#N/A</v>
      </c>
      <c r="E42" s="7" t="e">
        <f>#N/A</f>
        <v>#N/A</v>
      </c>
      <c r="F42" s="47" t="e">
        <f>#N/A</f>
        <v>#N/A</v>
      </c>
      <c r="G42" s="37" t="e">
        <f>#N/A</f>
        <v>#N/A</v>
      </c>
      <c r="H42" s="47" t="e">
        <f>#N/A</f>
        <v>#N/A</v>
      </c>
      <c r="I42" s="2">
        <v>0.41499999999999998</v>
      </c>
      <c r="J42" s="4"/>
      <c r="K42" s="4"/>
      <c r="L42" s="50">
        <v>0.125</v>
      </c>
      <c r="M42" s="2">
        <v>5.6710000000000003</v>
      </c>
      <c r="N42" s="49">
        <v>5.0650000000000004</v>
      </c>
      <c r="O42" s="51">
        <v>5.2492977284550024</v>
      </c>
      <c r="P42" s="51">
        <v>0.10870227154499738</v>
      </c>
      <c r="Q42" s="37">
        <v>1.4843778309999998</v>
      </c>
      <c r="R42" s="51">
        <v>3.359</v>
      </c>
      <c r="S42" s="2">
        <v>1.4550000000000001</v>
      </c>
      <c r="T42" s="37">
        <v>4.25</v>
      </c>
      <c r="U42" s="48">
        <v>2.7521269841269835</v>
      </c>
      <c r="V42" s="50" t="e">
        <f>#N/A</f>
        <v>#N/A</v>
      </c>
      <c r="W42" s="5"/>
      <c r="X42" s="5"/>
      <c r="Y42" s="4"/>
      <c r="Z42" s="5"/>
      <c r="AA42" s="5"/>
      <c r="AB42" s="49">
        <v>3.0707769049887101</v>
      </c>
      <c r="AC42" s="47" t="e">
        <f>#N/A</f>
        <v>#N/A</v>
      </c>
      <c r="AD42" s="37"/>
      <c r="AE42" s="48"/>
      <c r="AF42" s="50"/>
      <c r="AG42" s="18"/>
      <c r="AH42" s="18"/>
      <c r="AI42" s="18"/>
      <c r="AJ42" s="18"/>
      <c r="AK42" s="18"/>
      <c r="AL42" s="18"/>
      <c r="AM42" s="18"/>
      <c r="AN42" s="18"/>
      <c r="AO42" s="18"/>
      <c r="AP42" s="18"/>
      <c r="AQ42" s="8" t="e">
        <f>#N/A</f>
        <v>#N/A</v>
      </c>
      <c r="AR42" s="8" t="e">
        <f>#N/A</f>
        <v>#N/A</v>
      </c>
      <c r="AS42" s="60" t="e">
        <f>#N/A</f>
        <v>#N/A</v>
      </c>
      <c r="AT42" s="60" t="e">
        <f>#N/A</f>
        <v>#N/A</v>
      </c>
      <c r="AU42" s="60" t="e">
        <f>#N/A</f>
        <v>#N/A</v>
      </c>
    </row>
    <row r="43" spans="1:47" x14ac:dyDescent="0.2">
      <c r="A43" s="43">
        <v>0.01</v>
      </c>
      <c r="B43" s="43">
        <v>-1.6100962096696203E-2</v>
      </c>
      <c r="C43" s="43">
        <v>0</v>
      </c>
      <c r="D43" s="7" t="e">
        <f>#N/A</f>
        <v>#N/A</v>
      </c>
      <c r="E43" s="7" t="e">
        <f>#N/A</f>
        <v>#N/A</v>
      </c>
      <c r="F43" s="47" t="e">
        <f>#N/A</f>
        <v>#N/A</v>
      </c>
      <c r="G43" s="37" t="e">
        <f>#N/A</f>
        <v>#N/A</v>
      </c>
      <c r="H43" s="47" t="e">
        <f>#N/A</f>
        <v>#N/A</v>
      </c>
      <c r="I43" s="2">
        <v>0.41499999999999998</v>
      </c>
      <c r="J43" s="4"/>
      <c r="K43" s="4"/>
      <c r="L43" s="50">
        <v>0.125</v>
      </c>
      <c r="M43" s="2">
        <v>5.6710000000000003</v>
      </c>
      <c r="N43" s="49">
        <v>5.0650000000000004</v>
      </c>
      <c r="O43" s="51">
        <v>5.2492977284550024</v>
      </c>
      <c r="P43" s="51">
        <v>0.10870227154499738</v>
      </c>
      <c r="Q43" s="37">
        <v>1.4843778309999998</v>
      </c>
      <c r="R43" s="51">
        <v>3.359</v>
      </c>
      <c r="S43" s="2">
        <v>1.4550000000000001</v>
      </c>
      <c r="T43" s="37">
        <v>4.25</v>
      </c>
      <c r="U43" s="48">
        <v>2.7521269841269835</v>
      </c>
      <c r="V43" s="50" t="e">
        <f>#N/A</f>
        <v>#N/A</v>
      </c>
      <c r="W43" s="5"/>
      <c r="X43" s="5"/>
      <c r="Y43" s="4"/>
      <c r="Z43" s="5"/>
      <c r="AA43" s="5"/>
      <c r="AB43" s="49">
        <v>3.0707769049887101</v>
      </c>
      <c r="AC43" s="47" t="e">
        <f>#N/A</f>
        <v>#N/A</v>
      </c>
      <c r="AD43" s="37"/>
      <c r="AE43" s="48"/>
      <c r="AF43" s="50"/>
      <c r="AG43" s="18"/>
      <c r="AH43" s="18"/>
      <c r="AI43" s="18"/>
      <c r="AJ43" s="18"/>
      <c r="AK43" s="18"/>
      <c r="AL43" s="18"/>
      <c r="AM43" s="18"/>
      <c r="AN43" s="18"/>
      <c r="AO43" s="18"/>
      <c r="AP43" s="18"/>
      <c r="AQ43" s="8" t="e">
        <f>#N/A</f>
        <v>#N/A</v>
      </c>
      <c r="AR43" s="8" t="e">
        <f>#N/A</f>
        <v>#N/A</v>
      </c>
      <c r="AS43" s="60" t="e">
        <f>#N/A</f>
        <v>#N/A</v>
      </c>
      <c r="AT43" s="60" t="e">
        <f>#N/A</f>
        <v>#N/A</v>
      </c>
      <c r="AU43" s="60" t="e">
        <f>#N/A</f>
        <v>#N/A</v>
      </c>
    </row>
    <row r="44" spans="1:47" x14ac:dyDescent="0.2">
      <c r="A44" s="43">
        <v>0.01</v>
      </c>
      <c r="B44" s="43">
        <v>-1.6100962096696203E-2</v>
      </c>
      <c r="C44" s="43">
        <v>0</v>
      </c>
      <c r="D44" s="7" t="e">
        <f>#N/A</f>
        <v>#N/A</v>
      </c>
      <c r="E44" s="7" t="e">
        <f>#N/A</f>
        <v>#N/A</v>
      </c>
      <c r="F44" s="47" t="e">
        <f>#N/A</f>
        <v>#N/A</v>
      </c>
      <c r="G44" s="37" t="e">
        <f>#N/A</f>
        <v>#N/A</v>
      </c>
      <c r="H44" s="47" t="e">
        <f>#N/A</f>
        <v>#N/A</v>
      </c>
      <c r="I44" s="2">
        <v>0.41499999999999998</v>
      </c>
      <c r="J44" s="4"/>
      <c r="K44" s="4"/>
      <c r="L44" s="50">
        <v>0.125</v>
      </c>
      <c r="M44" s="2">
        <v>5.6710000000000003</v>
      </c>
      <c r="N44" s="49">
        <v>5.0650000000000004</v>
      </c>
      <c r="O44" s="51">
        <v>5.2492977284550024</v>
      </c>
      <c r="P44" s="51">
        <v>0.10870227154499738</v>
      </c>
      <c r="Q44" s="37">
        <v>1.4843778309999998</v>
      </c>
      <c r="R44" s="51">
        <v>3.359</v>
      </c>
      <c r="S44" s="2">
        <v>1.4550000000000001</v>
      </c>
      <c r="T44" s="37">
        <v>4.25</v>
      </c>
      <c r="U44" s="48">
        <v>2.7521269841269835</v>
      </c>
      <c r="V44" s="50" t="e">
        <f>#N/A</f>
        <v>#N/A</v>
      </c>
      <c r="W44" s="5"/>
      <c r="X44" s="5"/>
      <c r="Y44" s="4"/>
      <c r="Z44" s="5"/>
      <c r="AA44" s="5"/>
      <c r="AB44" s="49">
        <v>3.0707769049887101</v>
      </c>
      <c r="AC44" s="47" t="e">
        <f>#N/A</f>
        <v>#N/A</v>
      </c>
      <c r="AD44" s="37"/>
      <c r="AE44" s="48"/>
      <c r="AF44" s="50"/>
      <c r="AG44" s="18"/>
      <c r="AH44" s="18"/>
      <c r="AI44" s="18"/>
      <c r="AJ44" s="18"/>
      <c r="AK44" s="18"/>
      <c r="AL44" s="18"/>
      <c r="AM44" s="18"/>
      <c r="AN44" s="18"/>
      <c r="AO44" s="18"/>
      <c r="AP44" s="18"/>
      <c r="AQ44" s="8" t="e">
        <f>#N/A</f>
        <v>#N/A</v>
      </c>
      <c r="AR44" s="8" t="e">
        <f>#N/A</f>
        <v>#N/A</v>
      </c>
      <c r="AS44" s="60" t="e">
        <f>#N/A</f>
        <v>#N/A</v>
      </c>
      <c r="AT44" s="60" t="e">
        <f>#N/A</f>
        <v>#N/A</v>
      </c>
      <c r="AU44" s="60" t="e">
        <f>#N/A</f>
        <v>#N/A</v>
      </c>
    </row>
    <row r="45" spans="1:47" x14ac:dyDescent="0.2">
      <c r="A45" s="43">
        <v>0.01</v>
      </c>
      <c r="B45" s="43">
        <v>-1.6100962096696203E-2</v>
      </c>
      <c r="C45" s="43">
        <v>0</v>
      </c>
      <c r="D45" s="7" t="e">
        <f>#N/A</f>
        <v>#N/A</v>
      </c>
      <c r="E45" s="7" t="e">
        <f>#N/A</f>
        <v>#N/A</v>
      </c>
      <c r="F45" s="47" t="e">
        <f>#N/A</f>
        <v>#N/A</v>
      </c>
      <c r="G45" s="37" t="e">
        <f>#N/A</f>
        <v>#N/A</v>
      </c>
      <c r="H45" s="47" t="e">
        <f>#N/A</f>
        <v>#N/A</v>
      </c>
      <c r="I45" s="2">
        <v>0.41499999999999998</v>
      </c>
      <c r="J45" s="4"/>
      <c r="K45" s="4"/>
      <c r="L45" s="50">
        <v>0.125</v>
      </c>
      <c r="M45" s="2">
        <v>5.6710000000000003</v>
      </c>
      <c r="N45" s="49">
        <v>5.0650000000000004</v>
      </c>
      <c r="O45" s="51">
        <v>5.2492977284550024</v>
      </c>
      <c r="P45" s="51">
        <v>0.10870227154499738</v>
      </c>
      <c r="Q45" s="37">
        <v>1.4843778309999998</v>
      </c>
      <c r="R45" s="51">
        <v>3.359</v>
      </c>
      <c r="S45" s="2">
        <v>1.4550000000000001</v>
      </c>
      <c r="T45" s="37">
        <v>4.25</v>
      </c>
      <c r="U45" s="48">
        <v>2.7521269841269835</v>
      </c>
      <c r="V45" s="50" t="e">
        <f>#N/A</f>
        <v>#N/A</v>
      </c>
      <c r="W45" s="5"/>
      <c r="X45" s="5"/>
      <c r="Y45" s="4"/>
      <c r="Z45" s="5"/>
      <c r="AA45" s="5"/>
      <c r="AB45" s="49">
        <v>3.0707769049887101</v>
      </c>
      <c r="AC45" s="47" t="e">
        <f>#N/A</f>
        <v>#N/A</v>
      </c>
      <c r="AD45" s="37"/>
      <c r="AE45" s="48"/>
      <c r="AF45" s="50"/>
      <c r="AG45" s="18"/>
      <c r="AH45" s="18"/>
      <c r="AI45" s="18"/>
      <c r="AJ45" s="18"/>
      <c r="AK45" s="18"/>
      <c r="AL45" s="18"/>
      <c r="AM45" s="18"/>
      <c r="AN45" s="18"/>
      <c r="AO45" s="18"/>
      <c r="AP45" s="18"/>
      <c r="AQ45" s="8" t="e">
        <f>#N/A</f>
        <v>#N/A</v>
      </c>
      <c r="AR45" s="8" t="e">
        <f>#N/A</f>
        <v>#N/A</v>
      </c>
      <c r="AS45" s="60" t="e">
        <f>#N/A</f>
        <v>#N/A</v>
      </c>
      <c r="AT45" s="60" t="e">
        <f>#N/A</f>
        <v>#N/A</v>
      </c>
      <c r="AU45" s="60" t="e">
        <f>#N/A</f>
        <v>#N/A</v>
      </c>
    </row>
    <row r="46" spans="1:47" x14ac:dyDescent="0.2">
      <c r="A46" s="43">
        <v>0.01</v>
      </c>
      <c r="B46" s="43">
        <v>-1.6100962096696203E-2</v>
      </c>
      <c r="C46" s="43">
        <v>0</v>
      </c>
      <c r="D46" s="7" t="e">
        <f>#N/A</f>
        <v>#N/A</v>
      </c>
      <c r="E46" s="7" t="e">
        <f>#N/A</f>
        <v>#N/A</v>
      </c>
      <c r="F46" s="47" t="e">
        <f>#N/A</f>
        <v>#N/A</v>
      </c>
      <c r="G46" s="37" t="e">
        <f>#N/A</f>
        <v>#N/A</v>
      </c>
      <c r="H46" s="47" t="e">
        <f>#N/A</f>
        <v>#N/A</v>
      </c>
      <c r="I46" s="2">
        <v>0.41499999999999998</v>
      </c>
      <c r="J46" s="4"/>
      <c r="K46" s="4"/>
      <c r="L46" s="50">
        <v>0.125</v>
      </c>
      <c r="M46" s="2">
        <v>5.6710000000000003</v>
      </c>
      <c r="N46" s="49">
        <v>5.0650000000000004</v>
      </c>
      <c r="O46" s="51">
        <v>5.2492977284550024</v>
      </c>
      <c r="P46" s="51">
        <v>0.10870227154499738</v>
      </c>
      <c r="Q46" s="37">
        <v>0.79535143229999994</v>
      </c>
      <c r="R46" s="51">
        <v>3.359</v>
      </c>
      <c r="S46" s="2">
        <v>1.4550000000000001</v>
      </c>
      <c r="T46" s="37">
        <v>2.5</v>
      </c>
      <c r="U46" s="48">
        <v>1.5238095238095237</v>
      </c>
      <c r="V46" s="50" t="e">
        <f>#N/A</f>
        <v>#N/A</v>
      </c>
      <c r="W46" s="5"/>
      <c r="X46" s="5"/>
      <c r="Y46" s="4"/>
      <c r="Z46" s="5"/>
      <c r="AA46" s="5"/>
      <c r="AB46" s="49">
        <v>2.22553605498871</v>
      </c>
      <c r="AC46" s="47" t="e">
        <f>#N/A</f>
        <v>#N/A</v>
      </c>
      <c r="AD46" s="37"/>
      <c r="AE46" s="48"/>
      <c r="AF46" s="50"/>
      <c r="AG46" s="18"/>
      <c r="AH46" s="18"/>
      <c r="AI46" s="18"/>
      <c r="AJ46" s="18"/>
      <c r="AK46" s="18"/>
      <c r="AL46" s="18"/>
      <c r="AM46" s="18"/>
      <c r="AN46" s="18"/>
      <c r="AO46" s="18"/>
      <c r="AP46" s="18"/>
      <c r="AQ46" s="8" t="e">
        <f>#N/A</f>
        <v>#N/A</v>
      </c>
      <c r="AR46" s="8" t="e">
        <f>#N/A</f>
        <v>#N/A</v>
      </c>
      <c r="AS46" s="60" t="e">
        <f>#N/A</f>
        <v>#N/A</v>
      </c>
      <c r="AT46" s="60" t="e">
        <f>#N/A</f>
        <v>#N/A</v>
      </c>
      <c r="AU46" s="60" t="e">
        <f>#N/A</f>
        <v>#N/A</v>
      </c>
    </row>
    <row r="47" spans="1:47" x14ac:dyDescent="0.2">
      <c r="A47" s="43">
        <v>0.01</v>
      </c>
      <c r="B47" s="43">
        <v>-1.6100962096696203E-2</v>
      </c>
      <c r="C47" s="43">
        <v>0</v>
      </c>
      <c r="D47" s="7" t="e">
        <f>#N/A</f>
        <v>#N/A</v>
      </c>
      <c r="E47" s="7" t="e">
        <f>#N/A</f>
        <v>#N/A</v>
      </c>
      <c r="F47" s="47" t="e">
        <f>#N/A</f>
        <v>#N/A</v>
      </c>
      <c r="G47" s="37" t="e">
        <f>#N/A</f>
        <v>#N/A</v>
      </c>
      <c r="H47" s="47" t="e">
        <f>#N/A</f>
        <v>#N/A</v>
      </c>
      <c r="I47" s="2">
        <v>0.41499999999999998</v>
      </c>
      <c r="J47" s="4"/>
      <c r="K47" s="4"/>
      <c r="L47" s="50">
        <v>0.125</v>
      </c>
      <c r="M47" s="2">
        <v>5.6710000000000003</v>
      </c>
      <c r="N47" s="49">
        <v>5.0650000000000004</v>
      </c>
      <c r="O47" s="51">
        <v>5.2492977284550024</v>
      </c>
      <c r="P47" s="51">
        <v>0.10870227154499738</v>
      </c>
      <c r="Q47" s="37">
        <v>0.79535143229999994</v>
      </c>
      <c r="R47" s="51">
        <v>3.359</v>
      </c>
      <c r="S47" s="2">
        <v>1.4550000000000001</v>
      </c>
      <c r="T47" s="37">
        <v>2.5</v>
      </c>
      <c r="U47" s="48">
        <v>1.5238095238095237</v>
      </c>
      <c r="V47" s="50" t="e">
        <f>#N/A</f>
        <v>#N/A</v>
      </c>
      <c r="W47" s="5"/>
      <c r="X47" s="5"/>
      <c r="Y47" s="4"/>
      <c r="Z47" s="5"/>
      <c r="AA47" s="5"/>
      <c r="AB47" s="49">
        <v>2.22553605498871</v>
      </c>
      <c r="AC47" s="47" t="e">
        <f>#N/A</f>
        <v>#N/A</v>
      </c>
      <c r="AD47" s="37"/>
      <c r="AE47" s="48"/>
      <c r="AF47" s="50"/>
      <c r="AG47" s="18"/>
      <c r="AH47" s="18"/>
      <c r="AI47" s="18"/>
      <c r="AJ47" s="18"/>
      <c r="AK47" s="18"/>
      <c r="AL47" s="18"/>
      <c r="AM47" s="18"/>
      <c r="AN47" s="18"/>
      <c r="AO47" s="18"/>
      <c r="AP47" s="18"/>
      <c r="AQ47" s="8" t="e">
        <f>#N/A</f>
        <v>#N/A</v>
      </c>
      <c r="AR47" s="8" t="e">
        <f>#N/A</f>
        <v>#N/A</v>
      </c>
      <c r="AS47" s="60" t="e">
        <f>#N/A</f>
        <v>#N/A</v>
      </c>
      <c r="AT47" s="60" t="e">
        <f>#N/A</f>
        <v>#N/A</v>
      </c>
      <c r="AU47" s="60" t="e">
        <f>#N/A</f>
        <v>#N/A</v>
      </c>
    </row>
    <row r="48" spans="1:47" x14ac:dyDescent="0.2">
      <c r="A48" s="43">
        <v>0.01</v>
      </c>
      <c r="B48" s="43">
        <v>-1.6100962096696203E-2</v>
      </c>
      <c r="C48" s="43">
        <v>0</v>
      </c>
      <c r="D48" s="7" t="e">
        <f>#N/A</f>
        <v>#N/A</v>
      </c>
      <c r="E48" s="7" t="e">
        <f>#N/A</f>
        <v>#N/A</v>
      </c>
      <c r="F48" s="47" t="e">
        <f>#N/A</f>
        <v>#N/A</v>
      </c>
      <c r="G48" s="37" t="e">
        <f>#N/A</f>
        <v>#N/A</v>
      </c>
      <c r="H48" s="47" t="e">
        <f>#N/A</f>
        <v>#N/A</v>
      </c>
      <c r="I48" s="2">
        <v>0.41499999999999998</v>
      </c>
      <c r="J48" s="4"/>
      <c r="K48" s="4"/>
      <c r="L48" s="50">
        <v>0.125</v>
      </c>
      <c r="M48" s="2">
        <v>5.6710000000000003</v>
      </c>
      <c r="N48" s="49">
        <v>5.0650000000000004</v>
      </c>
      <c r="O48" s="51">
        <v>5.2492977284550024</v>
      </c>
      <c r="P48" s="51">
        <v>0.10870227154499738</v>
      </c>
      <c r="Q48" s="37">
        <v>0.79535143229999994</v>
      </c>
      <c r="R48" s="51">
        <v>3.359</v>
      </c>
      <c r="S48" s="2">
        <v>1.4550000000000001</v>
      </c>
      <c r="T48" s="37">
        <v>2.5</v>
      </c>
      <c r="U48" s="48">
        <v>1.5238095238095237</v>
      </c>
      <c r="V48" s="50" t="e">
        <f>#N/A</f>
        <v>#N/A</v>
      </c>
      <c r="W48" s="5"/>
      <c r="X48" s="5"/>
      <c r="Y48" s="4"/>
      <c r="Z48" s="5"/>
      <c r="AA48" s="5"/>
      <c r="AB48" s="49">
        <v>2.22553605498871</v>
      </c>
      <c r="AC48" s="47" t="e">
        <f>#N/A</f>
        <v>#N/A</v>
      </c>
      <c r="AD48" s="37"/>
      <c r="AE48" s="48"/>
      <c r="AF48" s="50"/>
      <c r="AG48" s="18"/>
      <c r="AH48" s="18"/>
      <c r="AI48" s="18"/>
      <c r="AJ48" s="18"/>
      <c r="AK48" s="18"/>
      <c r="AL48" s="18"/>
      <c r="AM48" s="18"/>
      <c r="AN48" s="18"/>
      <c r="AO48" s="18"/>
      <c r="AP48" s="18"/>
      <c r="AQ48" s="8" t="e">
        <f>#N/A</f>
        <v>#N/A</v>
      </c>
      <c r="AR48" s="8" t="e">
        <f>#N/A</f>
        <v>#N/A</v>
      </c>
      <c r="AS48" s="60" t="e">
        <f>#N/A</f>
        <v>#N/A</v>
      </c>
      <c r="AT48" s="60" t="e">
        <f>#N/A</f>
        <v>#N/A</v>
      </c>
      <c r="AU48" s="60" t="e">
        <f>#N/A</f>
        <v>#N/A</v>
      </c>
    </row>
    <row r="49" spans="1:47" x14ac:dyDescent="0.2">
      <c r="A49" s="43">
        <v>0.01</v>
      </c>
      <c r="B49" s="43">
        <v>-1.6100962096696203E-2</v>
      </c>
      <c r="C49" s="43">
        <v>0</v>
      </c>
      <c r="D49" s="7" t="e">
        <f>#N/A</f>
        <v>#N/A</v>
      </c>
      <c r="E49" s="7" t="e">
        <f>#N/A</f>
        <v>#N/A</v>
      </c>
      <c r="F49" s="47" t="e">
        <f>#N/A</f>
        <v>#N/A</v>
      </c>
      <c r="G49" s="37" t="e">
        <f>#N/A</f>
        <v>#N/A</v>
      </c>
      <c r="H49" s="47" t="e">
        <f>#N/A</f>
        <v>#N/A</v>
      </c>
      <c r="I49" s="2">
        <v>0.41499999999999998</v>
      </c>
      <c r="J49" s="4"/>
      <c r="K49" s="4"/>
      <c r="L49" s="50">
        <v>0.125</v>
      </c>
      <c r="M49" s="2">
        <v>5.6710000000000003</v>
      </c>
      <c r="N49" s="49">
        <v>5.0650000000000004</v>
      </c>
      <c r="O49" s="51">
        <v>5.2492977284550024</v>
      </c>
      <c r="P49" s="51">
        <v>0.10870227154499738</v>
      </c>
      <c r="Q49" s="37">
        <v>0.79535143229999994</v>
      </c>
      <c r="R49" s="51">
        <v>3.359</v>
      </c>
      <c r="S49" s="2">
        <v>1.4550000000000001</v>
      </c>
      <c r="T49" s="37">
        <v>2.5</v>
      </c>
      <c r="U49" s="48">
        <v>1.5238095238095237</v>
      </c>
      <c r="V49" s="50" t="e">
        <f>#N/A</f>
        <v>#N/A</v>
      </c>
      <c r="W49" s="5"/>
      <c r="X49" s="5"/>
      <c r="Y49" s="4"/>
      <c r="Z49" s="5"/>
      <c r="AA49" s="5"/>
      <c r="AB49" s="49">
        <v>2.22553605498871</v>
      </c>
      <c r="AC49" s="47" t="e">
        <f>#N/A</f>
        <v>#N/A</v>
      </c>
      <c r="AD49" s="37"/>
      <c r="AE49" s="48"/>
      <c r="AF49" s="50"/>
      <c r="AG49" s="18"/>
      <c r="AH49" s="18"/>
      <c r="AI49" s="18"/>
      <c r="AJ49" s="18"/>
      <c r="AK49" s="18"/>
      <c r="AL49" s="18"/>
      <c r="AM49" s="18"/>
      <c r="AN49" s="18"/>
      <c r="AO49" s="18"/>
      <c r="AP49" s="18"/>
      <c r="AQ49" s="8" t="e">
        <f>#N/A</f>
        <v>#N/A</v>
      </c>
      <c r="AR49" s="8" t="e">
        <f>#N/A</f>
        <v>#N/A</v>
      </c>
      <c r="AS49" s="60" t="e">
        <f>#N/A</f>
        <v>#N/A</v>
      </c>
      <c r="AT49" s="60" t="e">
        <f>#N/A</f>
        <v>#N/A</v>
      </c>
      <c r="AU49" s="60" t="e">
        <f>#N/A</f>
        <v>#N/A</v>
      </c>
    </row>
    <row r="50" spans="1:47" x14ac:dyDescent="0.2">
      <c r="A50" s="43">
        <v>0.01</v>
      </c>
      <c r="B50" s="43">
        <v>-1.6100962096696203E-2</v>
      </c>
      <c r="C50" s="43">
        <v>0</v>
      </c>
      <c r="D50" s="7" t="e">
        <f>#N/A</f>
        <v>#N/A</v>
      </c>
      <c r="E50" s="7" t="e">
        <f>#N/A</f>
        <v>#N/A</v>
      </c>
      <c r="F50" s="47" t="e">
        <f>#N/A</f>
        <v>#N/A</v>
      </c>
      <c r="G50" s="37" t="e">
        <f>#N/A</f>
        <v>#N/A</v>
      </c>
      <c r="H50" s="47" t="e">
        <f>#N/A</f>
        <v>#N/A</v>
      </c>
      <c r="I50" s="2">
        <v>0.41499999999999998</v>
      </c>
      <c r="J50" s="4"/>
      <c r="K50" s="4"/>
      <c r="L50" s="50">
        <v>0.125</v>
      </c>
      <c r="M50" s="2">
        <v>5.6710000000000003</v>
      </c>
      <c r="N50" s="49">
        <v>5.0650000000000004</v>
      </c>
      <c r="O50" s="51">
        <v>5.2492977284550024</v>
      </c>
      <c r="P50" s="51">
        <v>0.10870227154499738</v>
      </c>
      <c r="Q50" s="37">
        <v>1.4843778309999998</v>
      </c>
      <c r="R50" s="51">
        <v>3.359</v>
      </c>
      <c r="S50" s="2">
        <v>1.4550000000000001</v>
      </c>
      <c r="T50" s="37">
        <v>4.25</v>
      </c>
      <c r="U50" s="48">
        <v>2.7521269841269835</v>
      </c>
      <c r="V50" s="50" t="e">
        <f>#N/A</f>
        <v>#N/A</v>
      </c>
      <c r="W50" s="5"/>
      <c r="X50" s="5"/>
      <c r="Y50" s="4"/>
      <c r="Z50" s="5"/>
      <c r="AA50" s="5"/>
      <c r="AB50" s="49">
        <v>2.22553605498871</v>
      </c>
      <c r="AC50" s="47" t="e">
        <f>#N/A</f>
        <v>#N/A</v>
      </c>
      <c r="AD50" s="37"/>
      <c r="AE50" s="48"/>
      <c r="AF50" s="50"/>
      <c r="AG50" s="18"/>
      <c r="AH50" s="18"/>
      <c r="AI50" s="18"/>
      <c r="AJ50" s="18"/>
      <c r="AK50" s="18"/>
      <c r="AL50" s="18"/>
      <c r="AM50" s="18"/>
      <c r="AN50" s="18"/>
      <c r="AO50" s="18"/>
      <c r="AP50" s="18"/>
      <c r="AQ50" s="8" t="e">
        <f>#N/A</f>
        <v>#N/A</v>
      </c>
      <c r="AR50" s="8" t="e">
        <f>#N/A</f>
        <v>#N/A</v>
      </c>
      <c r="AS50" s="60" t="e">
        <f>#N/A</f>
        <v>#N/A</v>
      </c>
      <c r="AT50" s="60" t="e">
        <f>#N/A</f>
        <v>#N/A</v>
      </c>
      <c r="AU50" s="60" t="e">
        <f>#N/A</f>
        <v>#N/A</v>
      </c>
    </row>
    <row r="51" spans="1:47" x14ac:dyDescent="0.2">
      <c r="A51" s="43">
        <v>0.01</v>
      </c>
      <c r="B51" s="43">
        <v>-1.6100962096696203E-2</v>
      </c>
      <c r="C51" s="43">
        <v>0</v>
      </c>
      <c r="D51" s="7" t="e">
        <f>#N/A</f>
        <v>#N/A</v>
      </c>
      <c r="E51" s="7" t="e">
        <f>#N/A</f>
        <v>#N/A</v>
      </c>
      <c r="F51" s="47" t="e">
        <f>#N/A</f>
        <v>#N/A</v>
      </c>
      <c r="G51" s="37" t="e">
        <f>#N/A</f>
        <v>#N/A</v>
      </c>
      <c r="H51" s="47" t="e">
        <f>#N/A</f>
        <v>#N/A</v>
      </c>
      <c r="I51" s="4">
        <v>0</v>
      </c>
      <c r="J51" s="4"/>
      <c r="K51" s="4"/>
      <c r="L51" s="4">
        <v>0</v>
      </c>
      <c r="M51" s="2">
        <v>5.6710000000000003</v>
      </c>
      <c r="N51" s="49">
        <v>5.0650000000000004</v>
      </c>
      <c r="O51" s="51">
        <v>5.2492977284550024</v>
      </c>
      <c r="P51" s="51">
        <v>0.10870227154499738</v>
      </c>
      <c r="Q51" s="37">
        <v>1.4843778309999998</v>
      </c>
      <c r="R51" s="51">
        <v>3.359</v>
      </c>
      <c r="S51" s="2">
        <v>1.4550000000000001</v>
      </c>
      <c r="T51" s="37">
        <v>4.25</v>
      </c>
      <c r="U51" s="48">
        <v>2.7521269841269835</v>
      </c>
      <c r="V51" s="50" t="e">
        <f>#N/A</f>
        <v>#N/A</v>
      </c>
      <c r="W51" s="5"/>
      <c r="X51" s="5"/>
      <c r="Y51" s="4"/>
      <c r="Z51" s="5"/>
      <c r="AA51" s="5"/>
      <c r="AB51" s="49">
        <v>2.22553605498871</v>
      </c>
      <c r="AC51" s="47" t="e">
        <f>#N/A</f>
        <v>#N/A</v>
      </c>
      <c r="AD51" s="37"/>
      <c r="AE51" s="48"/>
      <c r="AF51" s="50"/>
      <c r="AG51" s="18"/>
      <c r="AH51" s="18"/>
      <c r="AI51" s="18"/>
      <c r="AJ51" s="18"/>
      <c r="AK51" s="18"/>
      <c r="AL51" s="18"/>
      <c r="AM51" s="18"/>
      <c r="AN51" s="18"/>
      <c r="AO51" s="18"/>
      <c r="AP51" s="18"/>
      <c r="AQ51" s="8" t="e">
        <f>#N/A</f>
        <v>#N/A</v>
      </c>
      <c r="AR51" s="8" t="e">
        <f>#N/A</f>
        <v>#N/A</v>
      </c>
      <c r="AS51" s="60" t="e">
        <f>#N/A</f>
        <v>#N/A</v>
      </c>
      <c r="AT51" s="60" t="e">
        <f>#N/A</f>
        <v>#N/A</v>
      </c>
      <c r="AU51" s="60" t="e">
        <f>#N/A</f>
        <v>#N/A</v>
      </c>
    </row>
    <row r="52" spans="1:47" x14ac:dyDescent="0.2">
      <c r="A52" s="43">
        <v>0.01</v>
      </c>
      <c r="B52" s="43">
        <v>-1.6100962096696203E-2</v>
      </c>
      <c r="C52" s="43">
        <v>0</v>
      </c>
      <c r="D52" s="7" t="e">
        <f>#N/A</f>
        <v>#N/A</v>
      </c>
      <c r="E52" s="7" t="e">
        <f>#N/A</f>
        <v>#N/A</v>
      </c>
      <c r="F52" s="47" t="e">
        <f>#N/A</f>
        <v>#N/A</v>
      </c>
      <c r="G52" s="37" t="e">
        <f>#N/A</f>
        <v>#N/A</v>
      </c>
      <c r="H52" s="47" t="e">
        <f>#N/A</f>
        <v>#N/A</v>
      </c>
      <c r="I52" s="4">
        <v>0</v>
      </c>
      <c r="J52" s="4"/>
      <c r="K52" s="4"/>
      <c r="L52" s="4">
        <v>0</v>
      </c>
      <c r="M52" s="2">
        <v>5.6710000000000003</v>
      </c>
      <c r="N52" s="49">
        <v>5.0650000000000004</v>
      </c>
      <c r="O52" s="51">
        <v>5.2492977284550024</v>
      </c>
      <c r="P52" s="51">
        <v>0.10870227154499738</v>
      </c>
      <c r="Q52" s="37">
        <v>1.4843778309999998</v>
      </c>
      <c r="R52" s="51">
        <v>3.359</v>
      </c>
      <c r="S52" s="2">
        <v>1.4550000000000001</v>
      </c>
      <c r="T52" s="37">
        <v>4.25</v>
      </c>
      <c r="U52" s="48">
        <v>2.7521269841269835</v>
      </c>
      <c r="V52" s="50" t="e">
        <f>#N/A</f>
        <v>#N/A</v>
      </c>
      <c r="W52" s="5"/>
      <c r="X52" s="5"/>
      <c r="Y52" s="4"/>
      <c r="Z52" s="5"/>
      <c r="AA52" s="5"/>
      <c r="AB52" s="49">
        <v>2.22553605498871</v>
      </c>
      <c r="AC52" s="47" t="e">
        <f>#N/A</f>
        <v>#N/A</v>
      </c>
      <c r="AD52" s="37"/>
      <c r="AE52" s="48"/>
      <c r="AF52" s="50"/>
      <c r="AG52" s="18"/>
      <c r="AH52" s="18"/>
      <c r="AI52" s="18"/>
      <c r="AJ52" s="18"/>
      <c r="AK52" s="18"/>
      <c r="AL52" s="18"/>
      <c r="AM52" s="18"/>
      <c r="AN52" s="18"/>
      <c r="AO52" s="18"/>
      <c r="AP52" s="18"/>
      <c r="AQ52" s="8" t="e">
        <f>#N/A</f>
        <v>#N/A</v>
      </c>
      <c r="AR52" s="8" t="e">
        <f>#N/A</f>
        <v>#N/A</v>
      </c>
      <c r="AS52" s="60" t="e">
        <f>#N/A</f>
        <v>#N/A</v>
      </c>
      <c r="AT52" s="60" t="e">
        <f>#N/A</f>
        <v>#N/A</v>
      </c>
      <c r="AU52" s="60" t="e">
        <f>#N/A</f>
        <v>#N/A</v>
      </c>
    </row>
    <row r="53" spans="1:47" x14ac:dyDescent="0.2">
      <c r="A53" s="43">
        <v>0.01</v>
      </c>
      <c r="B53" s="43">
        <v>-6.4236114744675721E-3</v>
      </c>
      <c r="C53" s="43">
        <v>0</v>
      </c>
      <c r="D53" s="7" t="e">
        <f>#N/A</f>
        <v>#N/A</v>
      </c>
      <c r="E53" s="7" t="e">
        <f>#N/A</f>
        <v>#N/A</v>
      </c>
      <c r="F53" s="47" t="e">
        <f>#N/A</f>
        <v>#N/A</v>
      </c>
      <c r="G53" s="37" t="e">
        <f>#N/A</f>
        <v>#N/A</v>
      </c>
      <c r="H53" s="47" t="e">
        <f>#N/A</f>
        <v>#N/A</v>
      </c>
      <c r="I53" s="4"/>
      <c r="J53" s="4"/>
      <c r="K53" s="4"/>
      <c r="L53" s="4"/>
      <c r="M53" s="2">
        <v>5.6710000000000003</v>
      </c>
      <c r="N53" s="49">
        <v>5.0650000000000004</v>
      </c>
      <c r="O53" s="51">
        <v>5.2492977284550024</v>
      </c>
      <c r="P53" s="51">
        <v>0.10870227154499738</v>
      </c>
      <c r="Q53" s="37">
        <v>1.4843778309999998</v>
      </c>
      <c r="R53" s="51">
        <v>3.359</v>
      </c>
      <c r="S53" s="2">
        <v>1.4550000000000001</v>
      </c>
      <c r="T53" s="37">
        <v>4.25</v>
      </c>
      <c r="U53" s="48">
        <v>2.7521269841269835</v>
      </c>
      <c r="V53" s="50" t="e">
        <f>#N/A</f>
        <v>#N/A</v>
      </c>
      <c r="W53" s="5"/>
      <c r="X53" s="5"/>
      <c r="Y53" s="4"/>
      <c r="Z53" s="5"/>
      <c r="AA53" s="5"/>
      <c r="AB53" s="49">
        <v>2.22553605498871</v>
      </c>
      <c r="AC53" s="47" t="e">
        <f>#N/A</f>
        <v>#N/A</v>
      </c>
      <c r="AD53" s="37"/>
      <c r="AE53" s="48"/>
      <c r="AF53" s="50"/>
      <c r="AG53" s="18"/>
      <c r="AH53" s="18"/>
      <c r="AI53" s="18"/>
      <c r="AJ53" s="18"/>
      <c r="AK53" s="18"/>
      <c r="AL53" s="18"/>
      <c r="AM53" s="18"/>
      <c r="AN53" s="18"/>
      <c r="AO53" s="18"/>
      <c r="AP53" s="18"/>
      <c r="AQ53" s="8" t="e">
        <f>#N/A</f>
        <v>#N/A</v>
      </c>
      <c r="AR53" s="8" t="e">
        <f>#N/A</f>
        <v>#N/A</v>
      </c>
      <c r="AS53" s="60" t="e">
        <f>#N/A</f>
        <v>#N/A</v>
      </c>
      <c r="AT53" s="60" t="e">
        <f>#N/A</f>
        <v>#N/A</v>
      </c>
      <c r="AU53" s="60" t="e">
        <f>#N/A</f>
        <v>#N/A</v>
      </c>
    </row>
    <row r="54" spans="1:47" x14ac:dyDescent="0.2">
      <c r="A54" s="43">
        <v>0.01</v>
      </c>
      <c r="B54" s="43">
        <v>-6.4236114744675721E-3</v>
      </c>
      <c r="C54" s="43">
        <v>0</v>
      </c>
      <c r="D54" s="7" t="e">
        <f>#N/A</f>
        <v>#N/A</v>
      </c>
      <c r="E54" s="7" t="e">
        <f>#N/A</f>
        <v>#N/A</v>
      </c>
      <c r="F54" s="47" t="e">
        <f>#N/A</f>
        <v>#N/A</v>
      </c>
      <c r="G54" s="37" t="e">
        <f>#N/A</f>
        <v>#N/A</v>
      </c>
      <c r="H54" s="47" t="e">
        <f>#N/A</f>
        <v>#N/A</v>
      </c>
      <c r="I54" s="4"/>
      <c r="J54" s="4"/>
      <c r="K54" s="4"/>
      <c r="L54" s="4"/>
      <c r="M54" s="2">
        <v>5.6710000000000003</v>
      </c>
      <c r="N54" s="49">
        <v>5.0650000000000004</v>
      </c>
      <c r="O54" s="51">
        <v>5.2492977284550024</v>
      </c>
      <c r="P54" s="51">
        <v>0.10870227154499738</v>
      </c>
      <c r="Q54" s="37">
        <v>1.4843778309999998</v>
      </c>
      <c r="R54" s="51">
        <v>3.359</v>
      </c>
      <c r="S54" s="2">
        <v>1.4550000000000001</v>
      </c>
      <c r="T54" s="37">
        <v>4.25</v>
      </c>
      <c r="U54" s="48">
        <v>2.7521269841269835</v>
      </c>
      <c r="V54" s="50" t="e">
        <f>#N/A</f>
        <v>#N/A</v>
      </c>
      <c r="W54" s="5"/>
      <c r="X54" s="5"/>
      <c r="Y54" s="4"/>
      <c r="Z54" s="5"/>
      <c r="AA54" s="5"/>
      <c r="AB54" s="49">
        <v>2.22553605498871</v>
      </c>
      <c r="AC54" s="47" t="e">
        <f>#N/A</f>
        <v>#N/A</v>
      </c>
      <c r="AD54" s="37"/>
      <c r="AE54" s="48"/>
      <c r="AF54" s="50"/>
      <c r="AG54" s="18"/>
      <c r="AH54" s="18"/>
      <c r="AI54" s="18"/>
      <c r="AJ54" s="18"/>
      <c r="AK54" s="18"/>
      <c r="AL54" s="18"/>
      <c r="AM54" s="18"/>
      <c r="AN54" s="18"/>
      <c r="AO54" s="18"/>
      <c r="AP54" s="18"/>
      <c r="AQ54" s="8" t="e">
        <f>#N/A</f>
        <v>#N/A</v>
      </c>
      <c r="AR54" s="8" t="e">
        <f>#N/A</f>
        <v>#N/A</v>
      </c>
      <c r="AS54" s="60" t="e">
        <f>#N/A</f>
        <v>#N/A</v>
      </c>
      <c r="AT54" s="60" t="e">
        <f>#N/A</f>
        <v>#N/A</v>
      </c>
      <c r="AU54" s="60" t="e">
        <f>#N/A</f>
        <v>#N/A</v>
      </c>
    </row>
    <row r="55" spans="1:47" x14ac:dyDescent="0.2">
      <c r="A55" s="43">
        <v>0.01</v>
      </c>
      <c r="B55" s="43">
        <v>-6.4236114744675721E-3</v>
      </c>
      <c r="C55" s="43">
        <v>0</v>
      </c>
      <c r="D55" s="7" t="e">
        <f>#N/A</f>
        <v>#N/A</v>
      </c>
      <c r="E55" s="7" t="e">
        <f>#N/A</f>
        <v>#N/A</v>
      </c>
      <c r="F55" s="47" t="e">
        <f>#N/A</f>
        <v>#N/A</v>
      </c>
      <c r="G55" s="37" t="e">
        <f>#N/A</f>
        <v>#N/A</v>
      </c>
      <c r="H55" s="47" t="e">
        <f>#N/A</f>
        <v>#N/A</v>
      </c>
      <c r="I55" s="4"/>
      <c r="J55" s="4"/>
      <c r="K55" s="4"/>
      <c r="L55" s="4"/>
      <c r="M55" s="2">
        <v>5.6710000000000003</v>
      </c>
      <c r="N55" s="49">
        <v>5.0650000000000004</v>
      </c>
      <c r="O55" s="51">
        <v>5.2492977284550024</v>
      </c>
      <c r="P55" s="51">
        <v>0.10870227154499738</v>
      </c>
      <c r="Q55" s="37">
        <v>1.4843778309999998</v>
      </c>
      <c r="R55" s="51">
        <v>3.359</v>
      </c>
      <c r="S55" s="2">
        <v>1.4550000000000001</v>
      </c>
      <c r="T55" s="37">
        <v>4.25</v>
      </c>
      <c r="U55" s="48">
        <v>2.7521269841269835</v>
      </c>
      <c r="V55" s="50" t="e">
        <f>#N/A</f>
        <v>#N/A</v>
      </c>
      <c r="W55" s="5"/>
      <c r="X55" s="5"/>
      <c r="Y55" s="4"/>
      <c r="Z55" s="5"/>
      <c r="AA55" s="5"/>
      <c r="AB55" s="49">
        <v>2.22553605498871</v>
      </c>
      <c r="AC55" s="47" t="e">
        <f>#N/A</f>
        <v>#N/A</v>
      </c>
      <c r="AD55" s="37"/>
      <c r="AE55" s="48"/>
      <c r="AF55" s="50"/>
      <c r="AG55" s="18"/>
      <c r="AH55" s="18"/>
      <c r="AI55" s="18"/>
      <c r="AJ55" s="18"/>
      <c r="AK55" s="18"/>
      <c r="AL55" s="18"/>
      <c r="AM55" s="18"/>
      <c r="AN55" s="18"/>
      <c r="AO55" s="18"/>
      <c r="AP55" s="18"/>
      <c r="AQ55" s="8" t="e">
        <f>#N/A</f>
        <v>#N/A</v>
      </c>
      <c r="AR55" s="8" t="e">
        <f>#N/A</f>
        <v>#N/A</v>
      </c>
      <c r="AS55" s="60" t="e">
        <f>#N/A</f>
        <v>#N/A</v>
      </c>
      <c r="AT55" s="60" t="e">
        <f>#N/A</f>
        <v>#N/A</v>
      </c>
      <c r="AU55" s="60" t="e">
        <f>#N/A</f>
        <v>#N/A</v>
      </c>
    </row>
    <row r="56" spans="1:47" x14ac:dyDescent="0.2">
      <c r="A56" s="43">
        <v>0.01</v>
      </c>
      <c r="B56" s="43">
        <v>-6.4236114744675721E-3</v>
      </c>
      <c r="C56" s="43">
        <v>0</v>
      </c>
      <c r="D56" s="7" t="e">
        <f>#N/A</f>
        <v>#N/A</v>
      </c>
      <c r="E56" s="7" t="e">
        <f>#N/A</f>
        <v>#N/A</v>
      </c>
      <c r="F56" s="47" t="e">
        <f>#N/A</f>
        <v>#N/A</v>
      </c>
      <c r="G56" s="37" t="e">
        <f>#N/A</f>
        <v>#N/A</v>
      </c>
      <c r="H56" s="47" t="e">
        <f>#N/A</f>
        <v>#N/A</v>
      </c>
      <c r="I56" s="4"/>
      <c r="J56" s="4"/>
      <c r="K56" s="4"/>
      <c r="L56" s="4"/>
      <c r="M56" s="2">
        <v>5.6710000000000003</v>
      </c>
      <c r="N56" s="49">
        <v>5.0650000000000004</v>
      </c>
      <c r="O56" s="51">
        <v>5.2492977284550024</v>
      </c>
      <c r="P56" s="51">
        <v>0.10870227154499738</v>
      </c>
      <c r="Q56" s="37">
        <v>1.4843778309999998</v>
      </c>
      <c r="R56" s="51">
        <v>3.359</v>
      </c>
      <c r="S56" s="2">
        <v>1.4550000000000001</v>
      </c>
      <c r="T56" s="37">
        <v>4.25</v>
      </c>
      <c r="U56" s="48">
        <v>2.7521269841269835</v>
      </c>
      <c r="V56" s="50" t="e">
        <f>#N/A</f>
        <v>#N/A</v>
      </c>
      <c r="W56" s="5"/>
      <c r="X56" s="5"/>
      <c r="Y56" s="4"/>
      <c r="Z56" s="5"/>
      <c r="AA56" s="5"/>
      <c r="AB56" s="49">
        <v>2.22553605498871</v>
      </c>
      <c r="AC56" s="47" t="e">
        <f>#N/A</f>
        <v>#N/A</v>
      </c>
      <c r="AD56" s="37"/>
      <c r="AE56" s="48"/>
      <c r="AF56" s="50"/>
      <c r="AG56" s="18"/>
      <c r="AH56" s="18"/>
      <c r="AI56" s="18"/>
      <c r="AJ56" s="18"/>
      <c r="AK56" s="18"/>
      <c r="AL56" s="18"/>
      <c r="AM56" s="18"/>
      <c r="AN56" s="18"/>
      <c r="AO56" s="18"/>
      <c r="AP56" s="18"/>
      <c r="AQ56" s="8" t="e">
        <f>#N/A</f>
        <v>#N/A</v>
      </c>
      <c r="AR56" s="8" t="e">
        <f>#N/A</f>
        <v>#N/A</v>
      </c>
      <c r="AS56" s="60" t="e">
        <f>#N/A</f>
        <v>#N/A</v>
      </c>
      <c r="AT56" s="60" t="e">
        <f>#N/A</f>
        <v>#N/A</v>
      </c>
      <c r="AU56" s="60" t="e">
        <f>#N/A</f>
        <v>#N/A</v>
      </c>
    </row>
    <row r="57" spans="1:47" x14ac:dyDescent="0.2">
      <c r="A57" s="43">
        <v>0.01</v>
      </c>
      <c r="B57" s="43">
        <v>-6.4236114744675721E-3</v>
      </c>
      <c r="C57" s="43">
        <v>0</v>
      </c>
      <c r="D57" s="7" t="e">
        <f>#N/A</f>
        <v>#N/A</v>
      </c>
      <c r="E57" s="7" t="e">
        <f>#N/A</f>
        <v>#N/A</v>
      </c>
      <c r="F57" s="47" t="e">
        <f>#N/A</f>
        <v>#N/A</v>
      </c>
      <c r="G57" s="37" t="e">
        <f>#N/A</f>
        <v>#N/A</v>
      </c>
      <c r="H57" s="47" t="e">
        <f>#N/A</f>
        <v>#N/A</v>
      </c>
      <c r="I57" s="4"/>
      <c r="J57" s="4"/>
      <c r="K57" s="4"/>
      <c r="L57" s="4"/>
      <c r="M57" s="2">
        <v>5.6710000000000003</v>
      </c>
      <c r="N57" s="49">
        <v>5.0650000000000004</v>
      </c>
      <c r="O57" s="51">
        <v>5.2492977284550024</v>
      </c>
      <c r="P57" s="51">
        <v>0.10870227154499738</v>
      </c>
      <c r="Q57" s="37">
        <v>1.4843778309999998</v>
      </c>
      <c r="R57" s="51">
        <v>3.359</v>
      </c>
      <c r="S57" s="2">
        <v>1.4550000000000001</v>
      </c>
      <c r="T57" s="37">
        <v>4.25</v>
      </c>
      <c r="U57" s="48">
        <v>2.7521269841269835</v>
      </c>
      <c r="V57" s="50" t="e">
        <f>#N/A</f>
        <v>#N/A</v>
      </c>
      <c r="W57" s="5"/>
      <c r="X57" s="5"/>
      <c r="Y57" s="4"/>
      <c r="Z57" s="5"/>
      <c r="AA57" s="5"/>
      <c r="AB57" s="49">
        <v>2.22553605498871</v>
      </c>
      <c r="AC57" s="47" t="e">
        <f>#N/A</f>
        <v>#N/A</v>
      </c>
      <c r="AD57" s="37"/>
      <c r="AE57" s="48"/>
      <c r="AF57" s="50"/>
      <c r="AG57" s="18"/>
      <c r="AH57" s="18"/>
      <c r="AI57" s="18"/>
      <c r="AJ57" s="18"/>
      <c r="AK57" s="18"/>
      <c r="AL57" s="18"/>
      <c r="AM57" s="18"/>
      <c r="AN57" s="18"/>
      <c r="AO57" s="18"/>
      <c r="AP57" s="18"/>
      <c r="AQ57" s="8" t="e">
        <f>#N/A</f>
        <v>#N/A</v>
      </c>
      <c r="AR57" s="8" t="e">
        <f>#N/A</f>
        <v>#N/A</v>
      </c>
      <c r="AS57" s="60" t="e">
        <f>#N/A</f>
        <v>#N/A</v>
      </c>
      <c r="AT57" s="60" t="e">
        <f>#N/A</f>
        <v>#N/A</v>
      </c>
      <c r="AU57" s="60" t="e">
        <f>#N/A</f>
        <v>#N/A</v>
      </c>
    </row>
    <row r="58" spans="1:47" x14ac:dyDescent="0.2">
      <c r="A58" s="43">
        <v>0.01</v>
      </c>
      <c r="B58" s="43">
        <v>-6.4236114744675721E-3</v>
      </c>
      <c r="C58" s="43">
        <v>0</v>
      </c>
      <c r="D58" s="7" t="e">
        <f>#N/A</f>
        <v>#N/A</v>
      </c>
      <c r="E58" s="7" t="e">
        <f>#N/A</f>
        <v>#N/A</v>
      </c>
      <c r="F58" s="47" t="e">
        <f>#N/A</f>
        <v>#N/A</v>
      </c>
      <c r="G58" s="37" t="e">
        <f>#N/A</f>
        <v>#N/A</v>
      </c>
      <c r="H58" s="47" t="e">
        <f>#N/A</f>
        <v>#N/A</v>
      </c>
      <c r="I58" s="4"/>
      <c r="J58" s="4"/>
      <c r="K58" s="4"/>
      <c r="L58" s="4"/>
      <c r="M58" s="2">
        <v>5.6710000000000003</v>
      </c>
      <c r="N58" s="49">
        <v>5.0650000000000004</v>
      </c>
      <c r="O58" s="51">
        <v>5.2492977284550024</v>
      </c>
      <c r="P58" s="51">
        <v>0.10870227154499738</v>
      </c>
      <c r="Q58" s="37">
        <v>0.79535143229999994</v>
      </c>
      <c r="R58" s="51">
        <v>3.359</v>
      </c>
      <c r="S58" s="2">
        <v>1.4550000000000001</v>
      </c>
      <c r="T58" s="37">
        <v>2.5</v>
      </c>
      <c r="U58" s="48">
        <v>1.5238095238095237</v>
      </c>
      <c r="V58" s="50" t="e">
        <f>#N/A</f>
        <v>#N/A</v>
      </c>
      <c r="W58" s="5"/>
      <c r="X58" s="5"/>
      <c r="Y58" s="4"/>
      <c r="Z58" s="5"/>
      <c r="AA58" s="5"/>
      <c r="AB58" s="49">
        <v>2.22553605498871</v>
      </c>
      <c r="AC58" s="47" t="e">
        <f>#N/A</f>
        <v>#N/A</v>
      </c>
      <c r="AD58" s="37"/>
      <c r="AE58" s="48"/>
      <c r="AF58" s="50"/>
      <c r="AG58" s="18"/>
      <c r="AH58" s="18"/>
      <c r="AI58" s="18"/>
      <c r="AJ58" s="18"/>
      <c r="AK58" s="18"/>
      <c r="AL58" s="18"/>
      <c r="AM58" s="18"/>
      <c r="AN58" s="18"/>
      <c r="AO58" s="18"/>
      <c r="AP58" s="18"/>
      <c r="AQ58" s="8" t="e">
        <f>#N/A</f>
        <v>#N/A</v>
      </c>
      <c r="AR58" s="8" t="e">
        <f>#N/A</f>
        <v>#N/A</v>
      </c>
      <c r="AS58" s="60" t="e">
        <f>#N/A</f>
        <v>#N/A</v>
      </c>
      <c r="AT58" s="60" t="e">
        <f>#N/A</f>
        <v>#N/A</v>
      </c>
      <c r="AU58" s="60" t="e">
        <f>#N/A</f>
        <v>#N/A</v>
      </c>
    </row>
    <row r="59" spans="1:47" x14ac:dyDescent="0.2">
      <c r="A59" s="43">
        <v>0.01</v>
      </c>
      <c r="B59" s="43">
        <v>-6.4236114744675721E-3</v>
      </c>
      <c r="C59" s="43">
        <v>0</v>
      </c>
      <c r="D59" s="7" t="e">
        <f>#N/A</f>
        <v>#N/A</v>
      </c>
      <c r="E59" s="7" t="e">
        <f>#N/A</f>
        <v>#N/A</v>
      </c>
      <c r="F59" s="47" t="e">
        <f>#N/A</f>
        <v>#N/A</v>
      </c>
      <c r="G59" s="37" t="e">
        <f>#N/A</f>
        <v>#N/A</v>
      </c>
      <c r="H59" s="47" t="e">
        <f>#N/A</f>
        <v>#N/A</v>
      </c>
      <c r="I59" s="4"/>
      <c r="J59" s="4"/>
      <c r="K59" s="4"/>
      <c r="L59" s="4"/>
      <c r="M59" s="2">
        <v>5.6710000000000003</v>
      </c>
      <c r="N59" s="49">
        <v>5.0650000000000004</v>
      </c>
      <c r="O59" s="51">
        <v>5.2492977284550024</v>
      </c>
      <c r="P59" s="51">
        <v>0.10870227154499738</v>
      </c>
      <c r="Q59" s="37">
        <v>0.79535143229999994</v>
      </c>
      <c r="R59" s="51">
        <v>3.359</v>
      </c>
      <c r="S59" s="2">
        <v>1.4550000000000001</v>
      </c>
      <c r="T59" s="37">
        <v>2.5</v>
      </c>
      <c r="U59" s="48">
        <v>1.5238095238095237</v>
      </c>
      <c r="V59" s="50" t="e">
        <f>#N/A</f>
        <v>#N/A</v>
      </c>
      <c r="W59" s="5"/>
      <c r="X59" s="5"/>
      <c r="Y59" s="4"/>
      <c r="Z59" s="5"/>
      <c r="AA59" s="5"/>
      <c r="AB59" s="49">
        <v>2.22553605498871</v>
      </c>
      <c r="AC59" s="47" t="e">
        <f>#N/A</f>
        <v>#N/A</v>
      </c>
      <c r="AD59" s="37"/>
      <c r="AE59" s="48"/>
      <c r="AF59" s="50"/>
      <c r="AG59" s="18"/>
      <c r="AH59" s="18"/>
      <c r="AI59" s="18"/>
      <c r="AJ59" s="18"/>
      <c r="AK59" s="18"/>
      <c r="AL59" s="18"/>
      <c r="AM59" s="18"/>
      <c r="AN59" s="18"/>
      <c r="AO59" s="18"/>
      <c r="AP59" s="18"/>
      <c r="AQ59" s="8" t="e">
        <f>#N/A</f>
        <v>#N/A</v>
      </c>
      <c r="AR59" s="8" t="e">
        <f>#N/A</f>
        <v>#N/A</v>
      </c>
      <c r="AS59" s="60" t="e">
        <f>#N/A</f>
        <v>#N/A</v>
      </c>
      <c r="AT59" s="60" t="e">
        <f>#N/A</f>
        <v>#N/A</v>
      </c>
      <c r="AU59" s="60" t="e">
        <f>#N/A</f>
        <v>#N/A</v>
      </c>
    </row>
    <row r="60" spans="1:47" x14ac:dyDescent="0.2">
      <c r="A60" s="43">
        <v>0.01</v>
      </c>
      <c r="B60" s="43">
        <v>-6.4236114744675721E-3</v>
      </c>
      <c r="C60" s="43">
        <v>0</v>
      </c>
      <c r="D60" s="7" t="e">
        <f>#N/A</f>
        <v>#N/A</v>
      </c>
      <c r="E60" s="7" t="e">
        <f>#N/A</f>
        <v>#N/A</v>
      </c>
      <c r="F60" s="47" t="e">
        <f>#N/A</f>
        <v>#N/A</v>
      </c>
      <c r="G60" s="37" t="e">
        <f>#N/A</f>
        <v>#N/A</v>
      </c>
      <c r="H60" s="47" t="e">
        <f>#N/A</f>
        <v>#N/A</v>
      </c>
      <c r="I60" s="4"/>
      <c r="J60" s="4"/>
      <c r="K60" s="4"/>
      <c r="L60" s="4"/>
      <c r="M60" s="2">
        <v>5.6710000000000003</v>
      </c>
      <c r="N60" s="49">
        <v>5.0650000000000004</v>
      </c>
      <c r="O60" s="51">
        <v>5.2492977284550024</v>
      </c>
      <c r="P60" s="51">
        <v>0.10870227154499738</v>
      </c>
      <c r="Q60" s="37">
        <v>0.79535143229999994</v>
      </c>
      <c r="R60" s="51">
        <v>3.359</v>
      </c>
      <c r="S60" s="2">
        <v>1.4550000000000001</v>
      </c>
      <c r="T60" s="37">
        <v>2.5</v>
      </c>
      <c r="U60" s="48">
        <v>1.5238095238095237</v>
      </c>
      <c r="V60" s="50" t="e">
        <f>#N/A</f>
        <v>#N/A</v>
      </c>
      <c r="W60" s="5"/>
      <c r="X60" s="5"/>
      <c r="Y60" s="4"/>
      <c r="Z60" s="5"/>
      <c r="AA60" s="5"/>
      <c r="AB60" s="49">
        <v>2.22553605498871</v>
      </c>
      <c r="AC60" s="47" t="e">
        <f>#N/A</f>
        <v>#N/A</v>
      </c>
      <c r="AD60" s="37"/>
      <c r="AE60" s="48"/>
      <c r="AF60" s="50"/>
      <c r="AG60" s="18"/>
      <c r="AH60" s="18"/>
      <c r="AI60" s="18"/>
      <c r="AJ60" s="18"/>
      <c r="AK60" s="18"/>
      <c r="AL60" s="18"/>
      <c r="AM60" s="18"/>
      <c r="AN60" s="18"/>
      <c r="AO60" s="18"/>
      <c r="AP60" s="18"/>
      <c r="AQ60" s="8" t="e">
        <f>#N/A</f>
        <v>#N/A</v>
      </c>
      <c r="AR60" s="8" t="e">
        <f>#N/A</f>
        <v>#N/A</v>
      </c>
      <c r="AS60" s="60" t="e">
        <f>#N/A</f>
        <v>#N/A</v>
      </c>
      <c r="AT60" s="60" t="e">
        <f>#N/A</f>
        <v>#N/A</v>
      </c>
      <c r="AU60" s="60" t="e">
        <f>#N/A</f>
        <v>#N/A</v>
      </c>
    </row>
    <row r="61" spans="1:47" x14ac:dyDescent="0.2">
      <c r="A61" s="43">
        <v>0.01</v>
      </c>
      <c r="B61" s="43">
        <v>-6.4236114744675721E-3</v>
      </c>
      <c r="C61" s="43">
        <v>0</v>
      </c>
      <c r="D61" s="7" t="e">
        <f>#N/A</f>
        <v>#N/A</v>
      </c>
      <c r="E61" s="7" t="e">
        <f>#N/A</f>
        <v>#N/A</v>
      </c>
      <c r="F61" s="47" t="e">
        <f>#N/A</f>
        <v>#N/A</v>
      </c>
      <c r="G61" s="37" t="e">
        <f>#N/A</f>
        <v>#N/A</v>
      </c>
      <c r="H61" s="47" t="e">
        <f>#N/A</f>
        <v>#N/A</v>
      </c>
      <c r="I61" s="4"/>
      <c r="J61" s="4"/>
      <c r="K61" s="4"/>
      <c r="L61" s="4"/>
      <c r="M61" s="2">
        <v>5.6710000000000003</v>
      </c>
      <c r="N61" s="49">
        <v>5.0650000000000004</v>
      </c>
      <c r="O61" s="51">
        <v>5.2492977284550024</v>
      </c>
      <c r="P61" s="51">
        <v>0.10870227154499738</v>
      </c>
      <c r="Q61" s="37">
        <v>0.79535143229999994</v>
      </c>
      <c r="R61" s="51">
        <v>3.359</v>
      </c>
      <c r="S61" s="2">
        <v>1.4550000000000001</v>
      </c>
      <c r="T61" s="37">
        <v>2.5</v>
      </c>
      <c r="U61" s="48">
        <v>1.5238095238095237</v>
      </c>
      <c r="V61" s="50" t="e">
        <f>#N/A</f>
        <v>#N/A</v>
      </c>
      <c r="W61" s="5"/>
      <c r="X61" s="5"/>
      <c r="Y61" s="4"/>
      <c r="Z61" s="5"/>
      <c r="AA61" s="5"/>
      <c r="AB61" s="49">
        <v>2.22553605498871</v>
      </c>
      <c r="AC61" s="47" t="e">
        <f>#N/A</f>
        <v>#N/A</v>
      </c>
      <c r="AD61" s="37"/>
      <c r="AE61" s="48"/>
      <c r="AF61" s="50"/>
      <c r="AG61" s="18"/>
      <c r="AH61" s="18"/>
      <c r="AI61" s="18"/>
      <c r="AJ61" s="18"/>
      <c r="AK61" s="18"/>
      <c r="AL61" s="18"/>
      <c r="AM61" s="18"/>
      <c r="AN61" s="18"/>
      <c r="AO61" s="18"/>
      <c r="AP61" s="18"/>
      <c r="AQ61" s="8" t="e">
        <f>#N/A</f>
        <v>#N/A</v>
      </c>
      <c r="AR61" s="8" t="e">
        <f>#N/A</f>
        <v>#N/A</v>
      </c>
      <c r="AS61" s="60" t="e">
        <f>#N/A</f>
        <v>#N/A</v>
      </c>
      <c r="AT61" s="60" t="e">
        <f>#N/A</f>
        <v>#N/A</v>
      </c>
      <c r="AU61" s="60" t="e">
        <f>#N/A</f>
        <v>#N/A</v>
      </c>
    </row>
    <row r="62" spans="1:47" x14ac:dyDescent="0.2">
      <c r="A62" s="43">
        <v>0.01</v>
      </c>
      <c r="B62" s="43">
        <v>-6.4236114744675721E-3</v>
      </c>
      <c r="C62" s="43">
        <v>0</v>
      </c>
      <c r="D62" s="7" t="e">
        <f>#N/A</f>
        <v>#N/A</v>
      </c>
      <c r="E62" s="7" t="e">
        <f>#N/A</f>
        <v>#N/A</v>
      </c>
      <c r="F62" s="47" t="e">
        <f>#N/A</f>
        <v>#N/A</v>
      </c>
      <c r="G62" s="37" t="e">
        <f>#N/A</f>
        <v>#N/A</v>
      </c>
      <c r="H62" s="47" t="e">
        <f>#N/A</f>
        <v>#N/A</v>
      </c>
      <c r="I62" s="4"/>
      <c r="J62" s="4"/>
      <c r="K62" s="4"/>
      <c r="L62" s="4"/>
      <c r="M62" s="2">
        <v>5.6710000000000003</v>
      </c>
      <c r="N62" s="49">
        <v>5.0650000000000004</v>
      </c>
      <c r="O62" s="51">
        <v>5.2492977284550024</v>
      </c>
      <c r="P62" s="51">
        <v>0.10870227154499738</v>
      </c>
      <c r="Q62" s="37">
        <v>1.4843778309999998</v>
      </c>
      <c r="R62" s="51">
        <v>3.359</v>
      </c>
      <c r="S62" s="2">
        <v>1.4550000000000001</v>
      </c>
      <c r="T62" s="37">
        <v>4.25</v>
      </c>
      <c r="U62" s="48">
        <v>2.7521269841269835</v>
      </c>
      <c r="V62" s="50" t="e">
        <f>#N/A</f>
        <v>#N/A</v>
      </c>
      <c r="W62" s="5"/>
      <c r="X62" s="5"/>
      <c r="Y62" s="4"/>
      <c r="Z62" s="5"/>
      <c r="AA62" s="5"/>
      <c r="AB62" s="49">
        <v>2.22553605498871</v>
      </c>
      <c r="AC62" s="47" t="e">
        <f>#N/A</f>
        <v>#N/A</v>
      </c>
      <c r="AD62" s="37"/>
      <c r="AE62" s="48"/>
      <c r="AF62" s="50"/>
      <c r="AG62" s="18"/>
      <c r="AH62" s="18"/>
      <c r="AI62" s="18"/>
      <c r="AJ62" s="18"/>
      <c r="AK62" s="18"/>
      <c r="AL62" s="18"/>
      <c r="AM62" s="18"/>
      <c r="AN62" s="18"/>
      <c r="AO62" s="18"/>
      <c r="AP62" s="18"/>
      <c r="AQ62" s="8" t="e">
        <f>#N/A</f>
        <v>#N/A</v>
      </c>
      <c r="AR62" s="8" t="e">
        <f>#N/A</f>
        <v>#N/A</v>
      </c>
      <c r="AS62" s="60" t="e">
        <f>#N/A</f>
        <v>#N/A</v>
      </c>
      <c r="AT62" s="60" t="e">
        <f>#N/A</f>
        <v>#N/A</v>
      </c>
      <c r="AU62" s="60" t="e">
        <f>#N/A</f>
        <v>#N/A</v>
      </c>
    </row>
    <row r="63" spans="1:47" x14ac:dyDescent="0.2">
      <c r="A63" s="43">
        <v>0.01</v>
      </c>
      <c r="B63" s="43">
        <v>-6.4236114744675721E-3</v>
      </c>
      <c r="C63" s="43">
        <v>0</v>
      </c>
      <c r="D63" s="7" t="e">
        <f>#N/A</f>
        <v>#N/A</v>
      </c>
      <c r="E63" s="7" t="e">
        <f>#N/A</f>
        <v>#N/A</v>
      </c>
      <c r="F63" s="47" t="e">
        <f>#N/A</f>
        <v>#N/A</v>
      </c>
      <c r="G63" s="37" t="e">
        <f>#N/A</f>
        <v>#N/A</v>
      </c>
      <c r="H63" s="47" t="e">
        <f>#N/A</f>
        <v>#N/A</v>
      </c>
      <c r="I63" s="4"/>
      <c r="J63" s="4"/>
      <c r="K63" s="4"/>
      <c r="L63" s="4"/>
      <c r="M63" s="2">
        <v>5.6710000000000003</v>
      </c>
      <c r="N63" s="49">
        <v>5.0650000000000004</v>
      </c>
      <c r="O63" s="51">
        <v>5.2492977284550024</v>
      </c>
      <c r="P63" s="51">
        <v>0.10870227154499738</v>
      </c>
      <c r="Q63" s="37">
        <v>1.4786597695999997</v>
      </c>
      <c r="R63" s="51">
        <v>3.359</v>
      </c>
      <c r="S63" s="2">
        <v>1.4550000000000001</v>
      </c>
      <c r="T63" s="37">
        <v>4.25</v>
      </c>
      <c r="U63" s="48">
        <v>2.7521269841269835</v>
      </c>
      <c r="V63" s="50" t="e">
        <f>#N/A</f>
        <v>#N/A</v>
      </c>
      <c r="W63" s="5"/>
      <c r="X63" s="5"/>
      <c r="Y63" s="4"/>
      <c r="Z63" s="5"/>
      <c r="AA63" s="5"/>
      <c r="AB63" s="49">
        <v>2.22553605498871</v>
      </c>
      <c r="AC63" s="47" t="e">
        <f>#N/A</f>
        <v>#N/A</v>
      </c>
      <c r="AD63" s="37"/>
      <c r="AE63" s="48"/>
      <c r="AF63" s="50"/>
      <c r="AG63" s="18"/>
      <c r="AH63" s="18"/>
      <c r="AI63" s="18"/>
      <c r="AJ63" s="18"/>
      <c r="AK63" s="18"/>
      <c r="AL63" s="18"/>
      <c r="AM63" s="18"/>
      <c r="AN63" s="18"/>
      <c r="AO63" s="18"/>
      <c r="AP63" s="18"/>
      <c r="AQ63" s="8" t="e">
        <f>#N/A</f>
        <v>#N/A</v>
      </c>
      <c r="AR63" s="8" t="e">
        <f>#N/A</f>
        <v>#N/A</v>
      </c>
      <c r="AS63" s="60" t="e">
        <f>#N/A</f>
        <v>#N/A</v>
      </c>
      <c r="AT63" s="60" t="e">
        <f>#N/A</f>
        <v>#N/A</v>
      </c>
      <c r="AU63" s="60" t="e">
        <f>#N/A</f>
        <v>#N/A</v>
      </c>
    </row>
    <row r="64" spans="1:47" x14ac:dyDescent="0.2">
      <c r="A64" s="43">
        <v>0.01</v>
      </c>
      <c r="B64" s="43">
        <v>-6.4236114744675721E-3</v>
      </c>
      <c r="C64" s="43">
        <v>0</v>
      </c>
      <c r="D64" s="7" t="e">
        <f>#N/A</f>
        <v>#N/A</v>
      </c>
      <c r="E64" s="7" t="e">
        <f>#N/A</f>
        <v>#N/A</v>
      </c>
      <c r="F64" s="47" t="e">
        <f>#N/A</f>
        <v>#N/A</v>
      </c>
      <c r="G64" s="37" t="e">
        <f>#N/A</f>
        <v>#N/A</v>
      </c>
      <c r="H64" s="47" t="e">
        <f>#N/A</f>
        <v>#N/A</v>
      </c>
      <c r="I64" s="4"/>
      <c r="J64" s="4"/>
      <c r="K64" s="4"/>
      <c r="L64" s="4"/>
      <c r="M64" s="2">
        <v>5.6710000000000003</v>
      </c>
      <c r="N64" s="49">
        <v>5.0650000000000004</v>
      </c>
      <c r="O64" s="51">
        <v>5.2492977284550024</v>
      </c>
      <c r="P64" s="51">
        <v>0.10870227154499738</v>
      </c>
      <c r="Q64" s="37">
        <v>1.4786597695999997</v>
      </c>
      <c r="R64" s="51">
        <v>3.359</v>
      </c>
      <c r="S64" s="2">
        <v>1.4550000000000001</v>
      </c>
      <c r="T64" s="37">
        <v>4.25</v>
      </c>
      <c r="U64" s="48">
        <v>2.7521269841269835</v>
      </c>
      <c r="V64" s="50" t="e">
        <f>#N/A</f>
        <v>#N/A</v>
      </c>
      <c r="W64" s="5"/>
      <c r="X64" s="5"/>
      <c r="Y64" s="4"/>
      <c r="Z64" s="5"/>
      <c r="AA64" s="5"/>
      <c r="AB64" s="49">
        <v>2.22553605498871</v>
      </c>
      <c r="AC64" s="47" t="e">
        <f>#N/A</f>
        <v>#N/A</v>
      </c>
      <c r="AD64" s="37"/>
      <c r="AE64" s="48"/>
      <c r="AF64" s="50"/>
      <c r="AG64" s="18"/>
      <c r="AH64" s="18"/>
      <c r="AI64" s="18"/>
      <c r="AJ64" s="18"/>
      <c r="AK64" s="18"/>
      <c r="AL64" s="18"/>
      <c r="AM64" s="18"/>
      <c r="AN64" s="18"/>
      <c r="AO64" s="18"/>
      <c r="AP64" s="18"/>
      <c r="AQ64" s="8" t="e">
        <f>#N/A</f>
        <v>#N/A</v>
      </c>
      <c r="AR64" s="8" t="e">
        <f>#N/A</f>
        <v>#N/A</v>
      </c>
      <c r="AS64" s="60" t="e">
        <f>#N/A</f>
        <v>#N/A</v>
      </c>
      <c r="AT64" s="60" t="e">
        <f>#N/A</f>
        <v>#N/A</v>
      </c>
      <c r="AU64" s="60" t="e">
        <f>#N/A</f>
        <v>#N/A</v>
      </c>
    </row>
    <row r="65" spans="1:47" x14ac:dyDescent="0.2">
      <c r="A65" s="43">
        <v>0.01</v>
      </c>
      <c r="B65" s="43">
        <v>-2.842024330632742E-3</v>
      </c>
      <c r="C65" s="43">
        <v>0</v>
      </c>
      <c r="D65" s="7" t="e">
        <f>#N/A</f>
        <v>#N/A</v>
      </c>
      <c r="E65" s="7" t="e">
        <f>#N/A</f>
        <v>#N/A</v>
      </c>
      <c r="F65" s="47" t="e">
        <f>#N/A</f>
        <v>#N/A</v>
      </c>
      <c r="G65" s="37" t="e">
        <f>#N/A</f>
        <v>#N/A</v>
      </c>
      <c r="H65" s="47" t="e">
        <f>#N/A</f>
        <v>#N/A</v>
      </c>
      <c r="I65" s="4"/>
      <c r="J65" s="4"/>
      <c r="K65" s="4"/>
      <c r="L65" s="4"/>
      <c r="M65" s="2">
        <v>5.6710000000000003</v>
      </c>
      <c r="N65" s="49">
        <v>5.0650000000000004</v>
      </c>
      <c r="O65" s="51">
        <v>5.2492977284550024</v>
      </c>
      <c r="P65" s="51">
        <v>0.10870227154499738</v>
      </c>
      <c r="Q65" s="37">
        <v>1.4419559970999998</v>
      </c>
      <c r="R65" s="51">
        <v>3.359</v>
      </c>
      <c r="S65" s="2">
        <v>1.4550000000000001</v>
      </c>
      <c r="T65" s="37">
        <v>4.25</v>
      </c>
      <c r="U65" s="48">
        <v>2.7521269841269835</v>
      </c>
      <c r="V65" s="50" t="e">
        <f>#N/A</f>
        <v>#N/A</v>
      </c>
      <c r="W65" s="5"/>
      <c r="X65" s="5"/>
      <c r="Y65" s="5"/>
      <c r="Z65" s="5"/>
      <c r="AA65" s="5"/>
      <c r="AB65" s="49">
        <v>2.22553605498871</v>
      </c>
      <c r="AC65" s="47" t="e">
        <f>#N/A</f>
        <v>#N/A</v>
      </c>
      <c r="AD65" s="37">
        <v>0</v>
      </c>
      <c r="AE65" s="37">
        <v>0</v>
      </c>
      <c r="AF65" s="37">
        <v>0</v>
      </c>
      <c r="AG65" s="18"/>
      <c r="AH65" s="18"/>
      <c r="AI65" s="18"/>
      <c r="AJ65" s="18"/>
      <c r="AK65" s="18"/>
      <c r="AL65" s="18"/>
      <c r="AM65" s="18"/>
      <c r="AN65" s="18"/>
      <c r="AO65" s="18"/>
      <c r="AP65" s="18"/>
      <c r="AQ65" s="8" t="e">
        <f>#N/A</f>
        <v>#N/A</v>
      </c>
      <c r="AR65" s="8" t="e">
        <f>#N/A</f>
        <v>#N/A</v>
      </c>
      <c r="AS65" s="60" t="e">
        <f>#N/A</f>
        <v>#N/A</v>
      </c>
      <c r="AT65" s="60" t="e">
        <f>#N/A</f>
        <v>#N/A</v>
      </c>
      <c r="AU65" s="60" t="e">
        <f>#N/A</f>
        <v>#N/A</v>
      </c>
    </row>
    <row r="66" spans="1:47" x14ac:dyDescent="0.2">
      <c r="A66" s="43">
        <v>0.01</v>
      </c>
      <c r="B66" s="43">
        <v>-2.842024330632742E-3</v>
      </c>
      <c r="C66" s="43">
        <v>0</v>
      </c>
      <c r="D66" s="7" t="e">
        <f>#N/A</f>
        <v>#N/A</v>
      </c>
      <c r="E66" s="7" t="e">
        <f>#N/A</f>
        <v>#N/A</v>
      </c>
      <c r="F66" s="47" t="e">
        <f>#N/A</f>
        <v>#N/A</v>
      </c>
      <c r="G66" s="37" t="e">
        <f>#N/A</f>
        <v>#N/A</v>
      </c>
      <c r="H66" s="47" t="e">
        <f>#N/A</f>
        <v>#N/A</v>
      </c>
      <c r="I66" s="4"/>
      <c r="J66" s="4"/>
      <c r="K66" s="4"/>
      <c r="L66" s="4"/>
      <c r="M66" s="2">
        <v>5.6710000000000003</v>
      </c>
      <c r="N66" s="49">
        <v>5.0650000000000004</v>
      </c>
      <c r="O66" s="51">
        <v>5.2492977284550024</v>
      </c>
      <c r="P66" s="51">
        <v>0.10870227154499738</v>
      </c>
      <c r="Q66" s="37">
        <v>1.3762755620999998</v>
      </c>
      <c r="R66" s="51">
        <v>3.359</v>
      </c>
      <c r="S66" s="2">
        <v>1.4550000000000001</v>
      </c>
      <c r="T66" s="37">
        <v>4.25</v>
      </c>
      <c r="U66" s="48">
        <v>2.7521269841269835</v>
      </c>
      <c r="V66" s="50" t="e">
        <f>#N/A</f>
        <v>#N/A</v>
      </c>
      <c r="W66" s="5"/>
      <c r="X66" s="5"/>
      <c r="Y66" s="5"/>
      <c r="Z66" s="5"/>
      <c r="AA66" s="5"/>
      <c r="AB66" s="49">
        <v>2.22553605498871</v>
      </c>
      <c r="AC66" s="47" t="e">
        <f>#N/A</f>
        <v>#N/A</v>
      </c>
      <c r="AD66" s="37">
        <v>0</v>
      </c>
      <c r="AE66" s="37">
        <v>0</v>
      </c>
      <c r="AF66" s="37">
        <v>0</v>
      </c>
      <c r="AG66" s="18"/>
      <c r="AH66" s="18"/>
      <c r="AI66" s="18"/>
      <c r="AJ66" s="18"/>
      <c r="AK66" s="18"/>
      <c r="AL66" s="18"/>
      <c r="AM66" s="18"/>
      <c r="AN66" s="18"/>
      <c r="AO66" s="18"/>
      <c r="AP66" s="18"/>
      <c r="AQ66" s="8" t="e">
        <f>#N/A</f>
        <v>#N/A</v>
      </c>
      <c r="AR66" s="8" t="e">
        <f>#N/A</f>
        <v>#N/A</v>
      </c>
      <c r="AS66" s="60" t="e">
        <f>#N/A</f>
        <v>#N/A</v>
      </c>
      <c r="AT66" s="60" t="e">
        <f>#N/A</f>
        <v>#N/A</v>
      </c>
      <c r="AU66" s="60" t="e">
        <f>#N/A</f>
        <v>#N/A</v>
      </c>
    </row>
    <row r="67" spans="1:47" x14ac:dyDescent="0.2">
      <c r="A67" s="43">
        <v>0.01</v>
      </c>
      <c r="B67" s="43">
        <v>-2.842024330632742E-3</v>
      </c>
      <c r="C67" s="43">
        <v>0</v>
      </c>
      <c r="D67" s="7" t="e">
        <f>#N/A</f>
        <v>#N/A</v>
      </c>
      <c r="E67" s="7" t="e">
        <f>#N/A</f>
        <v>#N/A</v>
      </c>
      <c r="F67" s="47" t="e">
        <f>#N/A</f>
        <v>#N/A</v>
      </c>
      <c r="G67" s="37" t="e">
        <f>#N/A</f>
        <v>#N/A</v>
      </c>
      <c r="H67" s="47" t="e">
        <f>#N/A</f>
        <v>#N/A</v>
      </c>
      <c r="I67" s="4"/>
      <c r="J67" s="4"/>
      <c r="K67" s="4"/>
      <c r="L67" s="4"/>
      <c r="M67" s="2">
        <v>5.6710000000000003</v>
      </c>
      <c r="N67" s="49">
        <v>5.0650000000000004</v>
      </c>
      <c r="O67" s="51">
        <v>5.2492977284550024</v>
      </c>
      <c r="P67" s="51">
        <v>0.10870227154499738</v>
      </c>
      <c r="Q67" s="37">
        <v>1.3762755620999998</v>
      </c>
      <c r="R67" s="51">
        <v>3.359</v>
      </c>
      <c r="S67" s="2">
        <v>1.4550000000000001</v>
      </c>
      <c r="T67" s="37">
        <v>4.25</v>
      </c>
      <c r="U67" s="48">
        <v>2.7521269841269835</v>
      </c>
      <c r="V67" s="50" t="e">
        <f>#N/A</f>
        <v>#N/A</v>
      </c>
      <c r="W67" s="5"/>
      <c r="X67" s="5"/>
      <c r="Y67" s="5"/>
      <c r="Z67" s="5"/>
      <c r="AA67" s="5"/>
      <c r="AB67" s="49">
        <v>2.22553605498871</v>
      </c>
      <c r="AC67" s="47" t="e">
        <f>#N/A</f>
        <v>#N/A</v>
      </c>
      <c r="AD67" s="37">
        <v>0</v>
      </c>
      <c r="AE67" s="37">
        <v>0</v>
      </c>
      <c r="AF67" s="37">
        <v>0</v>
      </c>
      <c r="AG67" s="18"/>
      <c r="AH67" s="18"/>
      <c r="AI67" s="18"/>
      <c r="AJ67" s="18"/>
      <c r="AK67" s="18"/>
      <c r="AL67" s="18"/>
      <c r="AM67" s="18"/>
      <c r="AN67" s="18"/>
      <c r="AO67" s="18"/>
      <c r="AP67" s="18"/>
      <c r="AQ67" s="8" t="e">
        <f>#N/A</f>
        <v>#N/A</v>
      </c>
      <c r="AR67" s="8" t="e">
        <f>#N/A</f>
        <v>#N/A</v>
      </c>
      <c r="AS67" s="60" t="e">
        <f>#N/A</f>
        <v>#N/A</v>
      </c>
      <c r="AT67" s="60" t="e">
        <f>#N/A</f>
        <v>#N/A</v>
      </c>
      <c r="AU67" s="60" t="e">
        <f>#N/A</f>
        <v>#N/A</v>
      </c>
    </row>
    <row r="68" spans="1:47" x14ac:dyDescent="0.2">
      <c r="A68" s="43">
        <v>0.01</v>
      </c>
      <c r="B68" s="43">
        <v>-2.842024330632742E-3</v>
      </c>
      <c r="C68" s="43">
        <v>0</v>
      </c>
      <c r="D68" s="7" t="e">
        <f>#N/A</f>
        <v>#N/A</v>
      </c>
      <c r="E68" s="7" t="e">
        <f>#N/A</f>
        <v>#N/A</v>
      </c>
      <c r="F68" s="47" t="e">
        <f>#N/A</f>
        <v>#N/A</v>
      </c>
      <c r="G68" s="37" t="e">
        <f>#N/A</f>
        <v>#N/A</v>
      </c>
      <c r="H68" s="47" t="e">
        <f>#N/A</f>
        <v>#N/A</v>
      </c>
      <c r="I68" s="4"/>
      <c r="J68" s="4"/>
      <c r="K68" s="4"/>
      <c r="L68" s="4"/>
      <c r="M68" s="2">
        <v>5.6710000000000003</v>
      </c>
      <c r="N68" s="49">
        <v>5.0650000000000004</v>
      </c>
      <c r="O68" s="51">
        <v>5.2492977284550024</v>
      </c>
      <c r="P68" s="51">
        <v>0.10870227154499738</v>
      </c>
      <c r="Q68" s="37">
        <v>1.3622894929999998</v>
      </c>
      <c r="R68" s="51">
        <v>3.359</v>
      </c>
      <c r="S68" s="2">
        <v>1.4550000000000001</v>
      </c>
      <c r="T68" s="37">
        <v>4.25</v>
      </c>
      <c r="U68" s="48">
        <v>2.7521269841269835</v>
      </c>
      <c r="V68" s="50" t="e">
        <f>#N/A</f>
        <v>#N/A</v>
      </c>
      <c r="W68" s="5"/>
      <c r="X68" s="5"/>
      <c r="Y68" s="5"/>
      <c r="Z68" s="5"/>
      <c r="AA68" s="5"/>
      <c r="AB68" s="49">
        <v>2.22553605498871</v>
      </c>
      <c r="AC68" s="47" t="e">
        <f>#N/A</f>
        <v>#N/A</v>
      </c>
      <c r="AD68" s="37">
        <v>0</v>
      </c>
      <c r="AE68" s="37">
        <v>0</v>
      </c>
      <c r="AF68" s="37">
        <v>0</v>
      </c>
      <c r="AG68" s="18"/>
      <c r="AH68" s="18"/>
      <c r="AI68" s="18"/>
      <c r="AJ68" s="18"/>
      <c r="AK68" s="18"/>
      <c r="AL68" s="18"/>
      <c r="AM68" s="18"/>
      <c r="AN68" s="18"/>
      <c r="AO68" s="18"/>
      <c r="AP68" s="18"/>
      <c r="AQ68" s="8" t="e">
        <f>#N/A</f>
        <v>#N/A</v>
      </c>
      <c r="AR68" s="8" t="e">
        <f>#N/A</f>
        <v>#N/A</v>
      </c>
      <c r="AS68" s="60" t="e">
        <f>#N/A</f>
        <v>#N/A</v>
      </c>
      <c r="AT68" s="60" t="e">
        <f>#N/A</f>
        <v>#N/A</v>
      </c>
      <c r="AU68" s="60" t="e">
        <f>#N/A</f>
        <v>#N/A</v>
      </c>
    </row>
    <row r="69" spans="1:47" x14ac:dyDescent="0.2">
      <c r="A69" s="43">
        <v>0.01</v>
      </c>
      <c r="B69" s="43">
        <v>-2.842024330632742E-3</v>
      </c>
      <c r="C69" s="43">
        <v>0</v>
      </c>
      <c r="D69" s="7" t="e">
        <f>#N/A</f>
        <v>#N/A</v>
      </c>
      <c r="E69" s="7" t="e">
        <f>#N/A</f>
        <v>#N/A</v>
      </c>
      <c r="F69" s="47" t="e">
        <f>#N/A</f>
        <v>#N/A</v>
      </c>
      <c r="G69" s="37" t="e">
        <f>#N/A</f>
        <v>#N/A</v>
      </c>
      <c r="H69" s="47" t="e">
        <f>#N/A</f>
        <v>#N/A</v>
      </c>
      <c r="I69" s="4"/>
      <c r="J69" s="4"/>
      <c r="K69" s="4"/>
      <c r="L69" s="4"/>
      <c r="M69" s="2">
        <v>5.6710000000000003</v>
      </c>
      <c r="N69" s="49">
        <v>5.0650000000000004</v>
      </c>
      <c r="O69" s="51">
        <v>5.2492977284550024</v>
      </c>
      <c r="P69" s="51">
        <v>0.10870227154499738</v>
      </c>
      <c r="Q69" s="37">
        <v>1.3622894929999998</v>
      </c>
      <c r="R69" s="51">
        <v>3.359</v>
      </c>
      <c r="S69" s="2">
        <v>1.4550000000000001</v>
      </c>
      <c r="T69" s="37">
        <v>4.25</v>
      </c>
      <c r="U69" s="48">
        <v>2.7521269841269835</v>
      </c>
      <c r="V69" s="50" t="e">
        <f>#N/A</f>
        <v>#N/A</v>
      </c>
      <c r="W69" s="5"/>
      <c r="X69" s="5"/>
      <c r="Y69" s="5"/>
      <c r="Z69" s="5"/>
      <c r="AA69" s="5"/>
      <c r="AB69" s="49">
        <v>2.22553605498871</v>
      </c>
      <c r="AC69" s="47" t="e">
        <f>#N/A</f>
        <v>#N/A</v>
      </c>
      <c r="AD69" s="37">
        <v>10</v>
      </c>
      <c r="AE69" s="37">
        <v>5</v>
      </c>
      <c r="AF69" s="37">
        <v>5</v>
      </c>
      <c r="AG69" s="18"/>
      <c r="AH69" s="18"/>
      <c r="AI69" s="18"/>
      <c r="AJ69" s="18"/>
      <c r="AK69" s="18"/>
      <c r="AL69" s="18"/>
      <c r="AM69" s="18"/>
      <c r="AN69" s="18"/>
      <c r="AO69" s="18"/>
      <c r="AP69" s="18"/>
      <c r="AQ69" s="8" t="e">
        <f>#N/A</f>
        <v>#N/A</v>
      </c>
      <c r="AR69" s="8" t="e">
        <f>#N/A</f>
        <v>#N/A</v>
      </c>
      <c r="AS69" s="60" t="e">
        <f>#N/A</f>
        <v>#N/A</v>
      </c>
      <c r="AT69" s="60" t="e">
        <f>#N/A</f>
        <v>#N/A</v>
      </c>
      <c r="AU69" s="60" t="e">
        <f>#N/A</f>
        <v>#N/A</v>
      </c>
    </row>
    <row r="70" spans="1:47" x14ac:dyDescent="0.2">
      <c r="A70" s="43">
        <v>0.01</v>
      </c>
      <c r="B70" s="43">
        <v>-2.842024330632742E-3</v>
      </c>
      <c r="C70" s="43">
        <v>0</v>
      </c>
      <c r="D70" s="7" t="e">
        <f>#N/A</f>
        <v>#N/A</v>
      </c>
      <c r="E70" s="7" t="e">
        <f>#N/A</f>
        <v>#N/A</v>
      </c>
      <c r="F70" s="47" t="e">
        <f>#N/A</f>
        <v>#N/A</v>
      </c>
      <c r="G70" s="37" t="e">
        <f>#N/A</f>
        <v>#N/A</v>
      </c>
      <c r="H70" s="47" t="e">
        <f>#N/A</f>
        <v>#N/A</v>
      </c>
      <c r="I70" s="4"/>
      <c r="J70" s="4"/>
      <c r="K70" s="4"/>
      <c r="L70" s="4"/>
      <c r="M70" s="2">
        <v>5.6710000000000003</v>
      </c>
      <c r="N70" s="49">
        <v>5.0650000000000004</v>
      </c>
      <c r="O70" s="51">
        <v>5.2492977284550024</v>
      </c>
      <c r="P70" s="51">
        <v>0.10870227154499738</v>
      </c>
      <c r="Q70" s="37">
        <v>0.73917534259999995</v>
      </c>
      <c r="R70" s="51">
        <v>3.359</v>
      </c>
      <c r="S70" s="2">
        <v>1.4550000000000001</v>
      </c>
      <c r="T70" s="37">
        <v>2.5</v>
      </c>
      <c r="U70" s="48">
        <v>1.5238095238095237</v>
      </c>
      <c r="V70" s="50" t="e">
        <f>#N/A</f>
        <v>#N/A</v>
      </c>
      <c r="W70" s="5"/>
      <c r="X70" s="5"/>
      <c r="Y70" s="5"/>
      <c r="Z70" s="5"/>
      <c r="AA70" s="5"/>
      <c r="AB70" s="49">
        <v>2.22553605498871</v>
      </c>
      <c r="AC70" s="47" t="e">
        <f>#N/A</f>
        <v>#N/A</v>
      </c>
      <c r="AD70" s="37">
        <v>10</v>
      </c>
      <c r="AE70" s="37">
        <v>5</v>
      </c>
      <c r="AF70" s="37">
        <v>5</v>
      </c>
      <c r="AG70" s="18"/>
      <c r="AH70" s="18"/>
      <c r="AI70" s="18"/>
      <c r="AJ70" s="18"/>
      <c r="AK70" s="18"/>
      <c r="AL70" s="18"/>
      <c r="AM70" s="18"/>
      <c r="AN70" s="18"/>
      <c r="AO70" s="18"/>
      <c r="AP70" s="18"/>
      <c r="AQ70" s="8" t="e">
        <f>#N/A</f>
        <v>#N/A</v>
      </c>
      <c r="AR70" s="8" t="e">
        <f>#N/A</f>
        <v>#N/A</v>
      </c>
      <c r="AS70" s="60" t="e">
        <f>#N/A</f>
        <v>#N/A</v>
      </c>
      <c r="AT70" s="60" t="e">
        <f>#N/A</f>
        <v>#N/A</v>
      </c>
      <c r="AU70" s="60" t="e">
        <f>#N/A</f>
        <v>#N/A</v>
      </c>
    </row>
    <row r="71" spans="1:47" x14ac:dyDescent="0.2">
      <c r="A71" s="43">
        <v>0.01</v>
      </c>
      <c r="B71" s="43">
        <v>-2.842024330632742E-3</v>
      </c>
      <c r="C71" s="43">
        <v>0</v>
      </c>
      <c r="D71" s="7" t="e">
        <f>#N/A</f>
        <v>#N/A</v>
      </c>
      <c r="E71" s="7" t="e">
        <f>#N/A</f>
        <v>#N/A</v>
      </c>
      <c r="F71" s="47" t="e">
        <f>#N/A</f>
        <v>#N/A</v>
      </c>
      <c r="G71" s="37" t="e">
        <f>#N/A</f>
        <v>#N/A</v>
      </c>
      <c r="H71" s="47" t="e">
        <f>#N/A</f>
        <v>#N/A</v>
      </c>
      <c r="I71" s="4"/>
      <c r="J71" s="4"/>
      <c r="K71" s="4"/>
      <c r="L71" s="4"/>
      <c r="M71" s="2">
        <v>5.6710000000000003</v>
      </c>
      <c r="N71" s="49">
        <v>5.0650000000000004</v>
      </c>
      <c r="O71" s="51">
        <v>5.2492977284550024</v>
      </c>
      <c r="P71" s="51">
        <v>0.10870227154499738</v>
      </c>
      <c r="Q71" s="37">
        <v>0.73917534259999995</v>
      </c>
      <c r="R71" s="51">
        <v>3.359</v>
      </c>
      <c r="S71" s="2">
        <v>1.4550000000000001</v>
      </c>
      <c r="T71" s="37">
        <v>2.5</v>
      </c>
      <c r="U71" s="48">
        <v>1.5238095238095237</v>
      </c>
      <c r="V71" s="50" t="e">
        <f>#N/A</f>
        <v>#N/A</v>
      </c>
      <c r="W71" s="5"/>
      <c r="X71" s="5"/>
      <c r="Y71" s="5"/>
      <c r="Z71" s="5"/>
      <c r="AA71" s="5"/>
      <c r="AB71" s="49">
        <v>2.22553605498871</v>
      </c>
      <c r="AC71" s="47" t="e">
        <f>#N/A</f>
        <v>#N/A</v>
      </c>
      <c r="AD71" s="37">
        <v>10</v>
      </c>
      <c r="AE71" s="37">
        <v>5</v>
      </c>
      <c r="AF71" s="37">
        <v>5</v>
      </c>
      <c r="AG71" s="18"/>
      <c r="AH71" s="18"/>
      <c r="AI71" s="18"/>
      <c r="AJ71" s="18"/>
      <c r="AK71" s="18"/>
      <c r="AL71" s="18"/>
      <c r="AM71" s="18"/>
      <c r="AN71" s="18"/>
      <c r="AO71" s="18"/>
      <c r="AP71" s="18"/>
      <c r="AQ71" s="8" t="e">
        <f>#N/A</f>
        <v>#N/A</v>
      </c>
      <c r="AR71" s="8" t="e">
        <f>#N/A</f>
        <v>#N/A</v>
      </c>
      <c r="AS71" s="60" t="e">
        <f>#N/A</f>
        <v>#N/A</v>
      </c>
      <c r="AT71" s="60" t="e">
        <f>#N/A</f>
        <v>#N/A</v>
      </c>
      <c r="AU71" s="60" t="e">
        <f>#N/A</f>
        <v>#N/A</v>
      </c>
    </row>
    <row r="72" spans="1:47" x14ac:dyDescent="0.2">
      <c r="A72" s="43">
        <v>0.01</v>
      </c>
      <c r="B72" s="43">
        <v>-2.842024330632742E-3</v>
      </c>
      <c r="C72" s="43">
        <v>0</v>
      </c>
      <c r="D72" s="7" t="e">
        <f>#N/A</f>
        <v>#N/A</v>
      </c>
      <c r="E72" s="7" t="e">
        <f>#N/A</f>
        <v>#N/A</v>
      </c>
      <c r="F72" s="47" t="e">
        <f>#N/A</f>
        <v>#N/A</v>
      </c>
      <c r="G72" s="37" t="e">
        <f>#N/A</f>
        <v>#N/A</v>
      </c>
      <c r="H72" s="47" t="e">
        <f>#N/A</f>
        <v>#N/A</v>
      </c>
      <c r="I72" s="4"/>
      <c r="J72" s="4"/>
      <c r="K72" s="4"/>
      <c r="L72" s="4"/>
      <c r="M72" s="2">
        <v>5.6710000000000003</v>
      </c>
      <c r="N72" s="49">
        <v>5.0650000000000004</v>
      </c>
      <c r="O72" s="51">
        <v>5.2492977284550024</v>
      </c>
      <c r="P72" s="51">
        <v>0.10870227154499738</v>
      </c>
      <c r="Q72" s="37">
        <v>0.73917534259999995</v>
      </c>
      <c r="R72" s="51">
        <v>3.359</v>
      </c>
      <c r="S72" s="2">
        <v>1.4550000000000001</v>
      </c>
      <c r="T72" s="37">
        <v>2.5</v>
      </c>
      <c r="U72" s="48">
        <v>1.5238095238095237</v>
      </c>
      <c r="V72" s="50" t="e">
        <f>#N/A</f>
        <v>#N/A</v>
      </c>
      <c r="W72" s="5"/>
      <c r="X72" s="5"/>
      <c r="Y72" s="5"/>
      <c r="Z72" s="5"/>
      <c r="AA72" s="5"/>
      <c r="AB72" s="49">
        <v>2.22553605498871</v>
      </c>
      <c r="AC72" s="47" t="e">
        <f>#N/A</f>
        <v>#N/A</v>
      </c>
      <c r="AD72" s="37">
        <v>10</v>
      </c>
      <c r="AE72" s="37">
        <v>5</v>
      </c>
      <c r="AF72" s="37">
        <v>5</v>
      </c>
      <c r="AG72" s="18"/>
      <c r="AH72" s="18"/>
      <c r="AI72" s="18"/>
      <c r="AJ72" s="18"/>
      <c r="AK72" s="18"/>
      <c r="AL72" s="18"/>
      <c r="AM72" s="18"/>
      <c r="AN72" s="18"/>
      <c r="AO72" s="18"/>
      <c r="AP72" s="18"/>
      <c r="AQ72" s="8" t="e">
        <f>#N/A</f>
        <v>#N/A</v>
      </c>
      <c r="AR72" s="8" t="e">
        <f>#N/A</f>
        <v>#N/A</v>
      </c>
      <c r="AS72" s="60" t="e">
        <f>#N/A</f>
        <v>#N/A</v>
      </c>
      <c r="AT72" s="60" t="e">
        <f>#N/A</f>
        <v>#N/A</v>
      </c>
      <c r="AU72" s="60" t="e">
        <f>#N/A</f>
        <v>#N/A</v>
      </c>
    </row>
    <row r="73" spans="1:47" x14ac:dyDescent="0.2">
      <c r="A73" s="43">
        <v>0.01</v>
      </c>
      <c r="B73" s="43">
        <v>-2.842024330632742E-3</v>
      </c>
      <c r="C73" s="43">
        <v>0</v>
      </c>
      <c r="D73" s="7" t="e">
        <f>#N/A</f>
        <v>#N/A</v>
      </c>
      <c r="E73" s="7" t="e">
        <f>#N/A</f>
        <v>#N/A</v>
      </c>
      <c r="F73" s="47" t="e">
        <f>#N/A</f>
        <v>#N/A</v>
      </c>
      <c r="G73" s="37" t="e">
        <f>#N/A</f>
        <v>#N/A</v>
      </c>
      <c r="H73" s="47" t="e">
        <f>#N/A</f>
        <v>#N/A</v>
      </c>
      <c r="I73" s="4"/>
      <c r="J73" s="4"/>
      <c r="K73" s="4"/>
      <c r="L73" s="4"/>
      <c r="M73" s="2">
        <v>5.6710000000000003</v>
      </c>
      <c r="N73" s="49">
        <v>5.0650000000000004</v>
      </c>
      <c r="O73" s="51">
        <v>5.2492977284550024</v>
      </c>
      <c r="P73" s="51">
        <v>0.10870227154499738</v>
      </c>
      <c r="Q73" s="37">
        <v>0.73917534259999995</v>
      </c>
      <c r="R73" s="51">
        <v>3.359</v>
      </c>
      <c r="S73" s="2">
        <v>1.4550000000000001</v>
      </c>
      <c r="T73" s="37">
        <v>2.5</v>
      </c>
      <c r="U73" s="48">
        <v>1.5238095238095237</v>
      </c>
      <c r="V73" s="50" t="e">
        <f>#N/A</f>
        <v>#N/A</v>
      </c>
      <c r="W73" s="5"/>
      <c r="X73" s="5"/>
      <c r="Y73" s="5"/>
      <c r="Z73" s="5"/>
      <c r="AA73" s="5"/>
      <c r="AB73" s="49">
        <v>2.22553605498871</v>
      </c>
      <c r="AC73" s="47" t="e">
        <f>#N/A</f>
        <v>#N/A</v>
      </c>
      <c r="AD73" s="37">
        <v>10</v>
      </c>
      <c r="AE73" s="37">
        <v>5</v>
      </c>
      <c r="AF73" s="37">
        <v>5</v>
      </c>
      <c r="AG73" s="18"/>
      <c r="AH73" s="18"/>
      <c r="AI73" s="18"/>
      <c r="AJ73" s="18"/>
      <c r="AK73" s="18"/>
      <c r="AL73" s="18"/>
      <c r="AM73" s="18"/>
      <c r="AN73" s="18"/>
      <c r="AO73" s="18"/>
      <c r="AP73" s="18"/>
      <c r="AQ73" s="8" t="e">
        <f>#N/A</f>
        <v>#N/A</v>
      </c>
      <c r="AR73" s="8" t="e">
        <f>#N/A</f>
        <v>#N/A</v>
      </c>
      <c r="AS73" s="60" t="e">
        <f>#N/A</f>
        <v>#N/A</v>
      </c>
      <c r="AT73" s="60" t="e">
        <f>#N/A</f>
        <v>#N/A</v>
      </c>
      <c r="AU73" s="60" t="e">
        <f>#N/A</f>
        <v>#N/A</v>
      </c>
    </row>
    <row r="74" spans="1:47" x14ac:dyDescent="0.2">
      <c r="A74" s="43">
        <v>0.01</v>
      </c>
      <c r="B74" s="43">
        <v>-2.842024330632742E-3</v>
      </c>
      <c r="C74" s="43">
        <v>0</v>
      </c>
      <c r="D74" s="7" t="e">
        <f>#N/A</f>
        <v>#N/A</v>
      </c>
      <c r="E74" s="7" t="e">
        <f>#N/A</f>
        <v>#N/A</v>
      </c>
      <c r="F74" s="47" t="e">
        <f>#N/A</f>
        <v>#N/A</v>
      </c>
      <c r="G74" s="37" t="e">
        <f>#N/A</f>
        <v>#N/A</v>
      </c>
      <c r="H74" s="47" t="e">
        <f>#N/A</f>
        <v>#N/A</v>
      </c>
      <c r="I74" s="4"/>
      <c r="J74" s="4"/>
      <c r="K74" s="4"/>
      <c r="L74" s="4"/>
      <c r="M74" s="2">
        <v>5.6710000000000003</v>
      </c>
      <c r="N74" s="49">
        <v>5.0650000000000004</v>
      </c>
      <c r="O74" s="51">
        <v>5.2492977284550024</v>
      </c>
      <c r="P74" s="51">
        <v>0.10870227154499738</v>
      </c>
      <c r="Q74" s="37">
        <v>1.3596622755999999</v>
      </c>
      <c r="R74" s="51">
        <v>3.359</v>
      </c>
      <c r="S74" s="2">
        <v>1.4550000000000001</v>
      </c>
      <c r="T74" s="37">
        <v>4.25</v>
      </c>
      <c r="U74" s="48">
        <v>2.7521269841269835</v>
      </c>
      <c r="V74" s="50" t="e">
        <f>#N/A</f>
        <v>#N/A</v>
      </c>
      <c r="W74" s="5"/>
      <c r="X74" s="5"/>
      <c r="Y74" s="5"/>
      <c r="Z74" s="5"/>
      <c r="AA74" s="5"/>
      <c r="AB74" s="49">
        <v>2.22553605498871</v>
      </c>
      <c r="AC74" s="47" t="e">
        <f>#N/A</f>
        <v>#N/A</v>
      </c>
      <c r="AD74" s="37">
        <v>10</v>
      </c>
      <c r="AE74" s="37">
        <v>5</v>
      </c>
      <c r="AF74" s="37">
        <v>5</v>
      </c>
      <c r="AG74" s="18"/>
      <c r="AH74" s="18"/>
      <c r="AI74" s="18"/>
      <c r="AJ74" s="18"/>
      <c r="AK74" s="18"/>
      <c r="AL74" s="18"/>
      <c r="AM74" s="18"/>
      <c r="AN74" s="18"/>
      <c r="AO74" s="18"/>
      <c r="AP74" s="18"/>
      <c r="AQ74" s="8" t="e">
        <f>#N/A</f>
        <v>#N/A</v>
      </c>
      <c r="AR74" s="8" t="e">
        <f>#N/A</f>
        <v>#N/A</v>
      </c>
      <c r="AS74" s="60" t="e">
        <f>#N/A</f>
        <v>#N/A</v>
      </c>
      <c r="AT74" s="60" t="e">
        <f>#N/A</f>
        <v>#N/A</v>
      </c>
      <c r="AU74" s="60" t="e">
        <f>#N/A</f>
        <v>#N/A</v>
      </c>
    </row>
    <row r="75" spans="1:47" x14ac:dyDescent="0.2">
      <c r="A75" s="43">
        <v>0.01</v>
      </c>
      <c r="B75" s="43">
        <v>-2.842024330632742E-3</v>
      </c>
      <c r="C75" s="43">
        <v>0</v>
      </c>
      <c r="D75" s="7" t="e">
        <f>#N/A</f>
        <v>#N/A</v>
      </c>
      <c r="E75" s="7" t="e">
        <f>#N/A</f>
        <v>#N/A</v>
      </c>
      <c r="F75" s="47" t="e">
        <f>#N/A</f>
        <v>#N/A</v>
      </c>
      <c r="G75" s="37" t="e">
        <f>#N/A</f>
        <v>#N/A</v>
      </c>
      <c r="H75" s="47" t="e">
        <f>#N/A</f>
        <v>#N/A</v>
      </c>
      <c r="I75" s="4"/>
      <c r="J75" s="4"/>
      <c r="K75" s="4"/>
      <c r="L75" s="4"/>
      <c r="M75" s="2">
        <v>5.6710000000000003</v>
      </c>
      <c r="N75" s="49">
        <v>5.0650000000000004</v>
      </c>
      <c r="O75" s="51">
        <v>5.2492977284550024</v>
      </c>
      <c r="P75" s="51">
        <v>0.10870227154499738</v>
      </c>
      <c r="Q75" s="37">
        <v>1.3559532627999997</v>
      </c>
      <c r="R75" s="51">
        <v>3.359</v>
      </c>
      <c r="S75" s="2">
        <v>1.4550000000000001</v>
      </c>
      <c r="T75" s="37">
        <v>4.25</v>
      </c>
      <c r="U75" s="48">
        <v>2.7521269841269835</v>
      </c>
      <c r="V75" s="50" t="e">
        <f>#N/A</f>
        <v>#N/A</v>
      </c>
      <c r="W75" s="5"/>
      <c r="X75" s="5"/>
      <c r="Y75" s="5"/>
      <c r="Z75" s="5"/>
      <c r="AA75" s="5"/>
      <c r="AB75" s="49">
        <v>2.22553605498871</v>
      </c>
      <c r="AC75" s="47" t="e">
        <f>#N/A</f>
        <v>#N/A</v>
      </c>
      <c r="AD75" s="37">
        <v>10</v>
      </c>
      <c r="AE75" s="37">
        <v>5</v>
      </c>
      <c r="AF75" s="37">
        <v>5</v>
      </c>
      <c r="AG75" s="18"/>
      <c r="AH75" s="18"/>
      <c r="AI75" s="18"/>
      <c r="AJ75" s="18"/>
      <c r="AK75" s="18"/>
      <c r="AL75" s="18"/>
      <c r="AM75" s="18"/>
      <c r="AN75" s="18"/>
      <c r="AO75" s="18"/>
      <c r="AP75" s="18"/>
      <c r="AQ75" s="8" t="e">
        <f>#N/A</f>
        <v>#N/A</v>
      </c>
      <c r="AR75" s="8" t="e">
        <f>#N/A</f>
        <v>#N/A</v>
      </c>
      <c r="AS75" s="60" t="e">
        <f>#N/A</f>
        <v>#N/A</v>
      </c>
      <c r="AT75" s="60" t="e">
        <f>#N/A</f>
        <v>#N/A</v>
      </c>
      <c r="AU75" s="60" t="e">
        <f>#N/A</f>
        <v>#N/A</v>
      </c>
    </row>
    <row r="76" spans="1:47" x14ac:dyDescent="0.2">
      <c r="A76" s="43">
        <v>0.01</v>
      </c>
      <c r="B76" s="43">
        <v>-2.842024330632742E-3</v>
      </c>
      <c r="C76" s="43">
        <v>0</v>
      </c>
      <c r="D76" s="7" t="e">
        <f>#N/A</f>
        <v>#N/A</v>
      </c>
      <c r="E76" s="7" t="e">
        <f>#N/A</f>
        <v>#N/A</v>
      </c>
      <c r="F76" s="47" t="e">
        <f>#N/A</f>
        <v>#N/A</v>
      </c>
      <c r="G76" s="37" t="e">
        <f>#N/A</f>
        <v>#N/A</v>
      </c>
      <c r="H76" s="47" t="e">
        <f>#N/A</f>
        <v>#N/A</v>
      </c>
      <c r="I76" s="4"/>
      <c r="J76" s="4"/>
      <c r="K76" s="4"/>
      <c r="L76" s="4"/>
      <c r="M76" s="2">
        <v>5.6710000000000003</v>
      </c>
      <c r="N76" s="49">
        <v>5.0650000000000004</v>
      </c>
      <c r="O76" s="51">
        <v>5.2492977284550024</v>
      </c>
      <c r="P76" s="51">
        <v>0.10870227154499738</v>
      </c>
      <c r="Q76" s="37">
        <v>1.3559532627999997</v>
      </c>
      <c r="R76" s="51">
        <v>3.359</v>
      </c>
      <c r="S76" s="2">
        <v>1.4550000000000001</v>
      </c>
      <c r="T76" s="37">
        <v>4.25</v>
      </c>
      <c r="U76" s="48">
        <v>2.7521269841269835</v>
      </c>
      <c r="V76" s="50" t="e">
        <f>#N/A</f>
        <v>#N/A</v>
      </c>
      <c r="W76" s="5"/>
      <c r="X76" s="5"/>
      <c r="Y76" s="5"/>
      <c r="Z76" s="5"/>
      <c r="AA76" s="5"/>
      <c r="AB76" s="49">
        <v>2.22553605498871</v>
      </c>
      <c r="AC76" s="47" t="e">
        <f>#N/A</f>
        <v>#N/A</v>
      </c>
      <c r="AD76" s="37">
        <v>10</v>
      </c>
      <c r="AE76" s="37">
        <v>5</v>
      </c>
      <c r="AF76" s="37">
        <v>5</v>
      </c>
      <c r="AG76" s="18"/>
      <c r="AH76" s="18"/>
      <c r="AI76" s="18"/>
      <c r="AJ76" s="18"/>
      <c r="AK76" s="18"/>
      <c r="AL76" s="18"/>
      <c r="AM76" s="18"/>
      <c r="AN76" s="18"/>
      <c r="AO76" s="18"/>
      <c r="AP76" s="18"/>
      <c r="AQ76" s="8" t="e">
        <f>#N/A</f>
        <v>#N/A</v>
      </c>
      <c r="AR76" s="8" t="e">
        <f>#N/A</f>
        <v>#N/A</v>
      </c>
      <c r="AS76" s="60" t="e">
        <f>#N/A</f>
        <v>#N/A</v>
      </c>
      <c r="AT76" s="60" t="e">
        <f>#N/A</f>
        <v>#N/A</v>
      </c>
      <c r="AU76" s="60" t="e">
        <f>#N/A</f>
        <v>#N/A</v>
      </c>
    </row>
    <row r="77" spans="1:47" x14ac:dyDescent="0.2">
      <c r="A77" s="43">
        <v>0.01</v>
      </c>
      <c r="B77" s="43">
        <v>-4.9042668798763289E-3</v>
      </c>
      <c r="C77" s="43">
        <v>0</v>
      </c>
      <c r="D77" s="7" t="e">
        <f>#N/A</f>
        <v>#N/A</v>
      </c>
      <c r="E77" s="7" t="e">
        <f>#N/A</f>
        <v>#N/A</v>
      </c>
      <c r="F77" s="47" t="e">
        <f>#N/A</f>
        <v>#N/A</v>
      </c>
      <c r="G77" s="37" t="e">
        <f>#N/A</f>
        <v>#N/A</v>
      </c>
      <c r="H77" s="47" t="e">
        <f>#N/A</f>
        <v>#N/A</v>
      </c>
      <c r="I77" s="4"/>
      <c r="J77" s="4"/>
      <c r="K77" s="4"/>
      <c r="L77" s="4"/>
      <c r="M77" s="2">
        <v>5.6710000000000003</v>
      </c>
      <c r="N77" s="49">
        <v>5.0650000000000004</v>
      </c>
      <c r="O77" s="51">
        <v>5.2492977284550024</v>
      </c>
      <c r="P77" s="51">
        <v>0.10870227154499738</v>
      </c>
      <c r="Q77" s="37">
        <v>1.3559532627999997</v>
      </c>
      <c r="R77" s="51">
        <v>3.359</v>
      </c>
      <c r="S77" s="2">
        <v>1.4550000000000001</v>
      </c>
      <c r="T77" s="37">
        <v>4.25</v>
      </c>
      <c r="U77" s="48">
        <v>2.7521269841269835</v>
      </c>
      <c r="V77" s="50" t="e">
        <f>#N/A</f>
        <v>#N/A</v>
      </c>
      <c r="W77" s="5"/>
      <c r="X77" s="5"/>
      <c r="Y77" s="5"/>
      <c r="Z77" s="5"/>
      <c r="AA77" s="5"/>
      <c r="AB77" s="49">
        <v>2.22553605498871</v>
      </c>
      <c r="AC77" s="47" t="e">
        <f>#N/A</f>
        <v>#N/A</v>
      </c>
      <c r="AD77" s="37">
        <v>10</v>
      </c>
      <c r="AE77" s="37">
        <v>5</v>
      </c>
      <c r="AF77" s="37">
        <v>5</v>
      </c>
      <c r="AG77" s="18"/>
      <c r="AH77" s="18"/>
      <c r="AI77" s="18"/>
      <c r="AJ77" s="18"/>
      <c r="AK77" s="18"/>
      <c r="AL77" s="18"/>
      <c r="AM77" s="18"/>
      <c r="AN77" s="18"/>
      <c r="AO77" s="18"/>
      <c r="AP77" s="18"/>
      <c r="AQ77" s="8" t="e">
        <f>#N/A</f>
        <v>#N/A</v>
      </c>
      <c r="AR77" s="8" t="e">
        <f>#N/A</f>
        <v>#N/A</v>
      </c>
      <c r="AS77" s="60" t="e">
        <f>#N/A</f>
        <v>#N/A</v>
      </c>
      <c r="AT77" s="60" t="e">
        <f>#N/A</f>
        <v>#N/A</v>
      </c>
      <c r="AU77" s="60" t="e">
        <f>#N/A</f>
        <v>#N/A</v>
      </c>
    </row>
    <row r="78" spans="1:47" x14ac:dyDescent="0.2">
      <c r="A78" s="43">
        <v>0.01</v>
      </c>
      <c r="B78" s="43">
        <v>-4.9042668798763289E-3</v>
      </c>
      <c r="C78" s="43">
        <v>0</v>
      </c>
      <c r="D78" s="7" t="e">
        <f>#N/A</f>
        <v>#N/A</v>
      </c>
      <c r="E78" s="7" t="e">
        <f>#N/A</f>
        <v>#N/A</v>
      </c>
      <c r="F78" s="47" t="e">
        <f>#N/A</f>
        <v>#N/A</v>
      </c>
      <c r="G78" s="37" t="e">
        <f>#N/A</f>
        <v>#N/A</v>
      </c>
      <c r="H78" s="47" t="e">
        <f>#N/A</f>
        <v>#N/A</v>
      </c>
      <c r="I78" s="4"/>
      <c r="J78" s="4"/>
      <c r="K78" s="4"/>
      <c r="L78" s="4"/>
      <c r="M78" s="2">
        <v>5.6710000000000003</v>
      </c>
      <c r="N78" s="49">
        <v>5.0650000000000004</v>
      </c>
      <c r="O78" s="51">
        <v>5.2492977284550024</v>
      </c>
      <c r="P78" s="51">
        <v>0.10870227154499738</v>
      </c>
      <c r="Q78" s="37">
        <v>1.3559532627999997</v>
      </c>
      <c r="R78" s="51">
        <v>3.359</v>
      </c>
      <c r="S78" s="2">
        <v>1.4550000000000001</v>
      </c>
      <c r="T78" s="37">
        <v>4.25</v>
      </c>
      <c r="U78" s="48">
        <v>2.7521269841269835</v>
      </c>
      <c r="V78" s="50" t="e">
        <f>#N/A</f>
        <v>#N/A</v>
      </c>
      <c r="W78" s="5"/>
      <c r="X78" s="5"/>
      <c r="Y78" s="5"/>
      <c r="Z78" s="5"/>
      <c r="AA78" s="5"/>
      <c r="AB78" s="49">
        <v>2.22553605498871</v>
      </c>
      <c r="AC78" s="47" t="e">
        <f>#N/A</f>
        <v>#N/A</v>
      </c>
      <c r="AD78" s="37">
        <v>10</v>
      </c>
      <c r="AE78" s="37">
        <v>5</v>
      </c>
      <c r="AF78" s="37">
        <v>5</v>
      </c>
      <c r="AG78" s="18"/>
      <c r="AH78" s="18"/>
      <c r="AI78" s="18"/>
      <c r="AJ78" s="18"/>
      <c r="AK78" s="18"/>
      <c r="AL78" s="18"/>
      <c r="AM78" s="18"/>
      <c r="AN78" s="18"/>
      <c r="AO78" s="18"/>
      <c r="AP78" s="18"/>
      <c r="AQ78" s="8" t="e">
        <f>#N/A</f>
        <v>#N/A</v>
      </c>
      <c r="AR78" s="8" t="e">
        <f>#N/A</f>
        <v>#N/A</v>
      </c>
      <c r="AS78" s="60" t="e">
        <f>#N/A</f>
        <v>#N/A</v>
      </c>
      <c r="AT78" s="60" t="e">
        <f>#N/A</f>
        <v>#N/A</v>
      </c>
      <c r="AU78" s="60" t="e">
        <f>#N/A</f>
        <v>#N/A</v>
      </c>
    </row>
    <row r="79" spans="1:47" x14ac:dyDescent="0.2">
      <c r="A79" s="43">
        <v>0.01</v>
      </c>
      <c r="B79" s="43">
        <v>-4.9042668798763289E-3</v>
      </c>
      <c r="C79" s="43">
        <v>0</v>
      </c>
      <c r="D79" s="7" t="e">
        <f>#N/A</f>
        <v>#N/A</v>
      </c>
      <c r="E79" s="7" t="e">
        <f>#N/A</f>
        <v>#N/A</v>
      </c>
      <c r="F79" s="47" t="e">
        <f>#N/A</f>
        <v>#N/A</v>
      </c>
      <c r="G79" s="37" t="e">
        <f>#N/A</f>
        <v>#N/A</v>
      </c>
      <c r="H79" s="47" t="e">
        <f>#N/A</f>
        <v>#N/A</v>
      </c>
      <c r="I79" s="4"/>
      <c r="J79" s="4"/>
      <c r="K79" s="4"/>
      <c r="L79" s="4"/>
      <c r="M79" s="2">
        <v>5.6710000000000003</v>
      </c>
      <c r="N79" s="49">
        <v>5.0650000000000004</v>
      </c>
      <c r="O79" s="51">
        <v>5.2492977284550024</v>
      </c>
      <c r="P79" s="51">
        <v>0.10870227154499738</v>
      </c>
      <c r="Q79" s="37">
        <v>1.3559532627999997</v>
      </c>
      <c r="R79" s="51">
        <v>3.359</v>
      </c>
      <c r="S79" s="2">
        <v>1.4550000000000001</v>
      </c>
      <c r="T79" s="37">
        <v>4.25</v>
      </c>
      <c r="U79" s="48">
        <v>2.7521269841269835</v>
      </c>
      <c r="V79" s="50" t="e">
        <f>#N/A</f>
        <v>#N/A</v>
      </c>
      <c r="W79" s="5"/>
      <c r="X79" s="5"/>
      <c r="Y79" s="5"/>
      <c r="Z79" s="5"/>
      <c r="AA79" s="5"/>
      <c r="AB79" s="49">
        <v>2.22553605498871</v>
      </c>
      <c r="AC79" s="47" t="e">
        <f>#N/A</f>
        <v>#N/A</v>
      </c>
      <c r="AD79" s="37">
        <v>10</v>
      </c>
      <c r="AE79" s="37">
        <v>5</v>
      </c>
      <c r="AF79" s="37">
        <v>5</v>
      </c>
      <c r="AG79" s="18"/>
      <c r="AH79" s="18"/>
      <c r="AI79" s="18"/>
      <c r="AJ79" s="18"/>
      <c r="AK79" s="18"/>
      <c r="AL79" s="18"/>
      <c r="AM79" s="18"/>
      <c r="AN79" s="18"/>
      <c r="AO79" s="18"/>
      <c r="AP79" s="18"/>
      <c r="AQ79" s="8" t="e">
        <f>#N/A</f>
        <v>#N/A</v>
      </c>
      <c r="AR79" s="8" t="e">
        <f>#N/A</f>
        <v>#N/A</v>
      </c>
      <c r="AS79" s="60" t="e">
        <f>#N/A</f>
        <v>#N/A</v>
      </c>
      <c r="AT79" s="60" t="e">
        <f>#N/A</f>
        <v>#N/A</v>
      </c>
      <c r="AU79" s="60" t="e">
        <f>#N/A</f>
        <v>#N/A</v>
      </c>
    </row>
    <row r="80" spans="1:47" x14ac:dyDescent="0.2">
      <c r="A80" s="43">
        <v>0.01</v>
      </c>
      <c r="B80" s="43">
        <v>-4.9042668798763289E-3</v>
      </c>
      <c r="C80" s="43">
        <v>0</v>
      </c>
      <c r="D80" s="7" t="e">
        <f>#N/A</f>
        <v>#N/A</v>
      </c>
      <c r="E80" s="7" t="e">
        <f>#N/A</f>
        <v>#N/A</v>
      </c>
      <c r="F80" s="47" t="e">
        <f>#N/A</f>
        <v>#N/A</v>
      </c>
      <c r="G80" s="37" t="e">
        <f>#N/A</f>
        <v>#N/A</v>
      </c>
      <c r="H80" s="47" t="e">
        <f>#N/A</f>
        <v>#N/A</v>
      </c>
      <c r="I80" s="4"/>
      <c r="J80" s="4"/>
      <c r="K80" s="4"/>
      <c r="L80" s="4"/>
      <c r="M80" s="2">
        <v>5.6710000000000003</v>
      </c>
      <c r="N80" s="49">
        <v>5.0650000000000004</v>
      </c>
      <c r="O80" s="51">
        <v>5.2492977284550024</v>
      </c>
      <c r="P80" s="51">
        <v>0.10870227154499738</v>
      </c>
      <c r="Q80" s="37">
        <v>0.51331191729999992</v>
      </c>
      <c r="R80" s="51">
        <v>3.359</v>
      </c>
      <c r="S80" s="2">
        <v>1.4550000000000001</v>
      </c>
      <c r="T80" s="37">
        <v>4.25</v>
      </c>
      <c r="U80" s="48">
        <v>2.7521269841269835</v>
      </c>
      <c r="V80" s="50" t="e">
        <f>#N/A</f>
        <v>#N/A</v>
      </c>
      <c r="W80" s="5"/>
      <c r="X80" s="5"/>
      <c r="Y80" s="5"/>
      <c r="Z80" s="5"/>
      <c r="AA80" s="5"/>
      <c r="AB80" s="49">
        <v>2.22553605498871</v>
      </c>
      <c r="AC80" s="47" t="e">
        <f>#N/A</f>
        <v>#N/A</v>
      </c>
      <c r="AD80" s="37">
        <v>10</v>
      </c>
      <c r="AE80" s="37">
        <v>5</v>
      </c>
      <c r="AF80" s="37">
        <v>5</v>
      </c>
      <c r="AG80" s="18"/>
      <c r="AH80" s="18"/>
      <c r="AI80" s="18"/>
      <c r="AJ80" s="18"/>
      <c r="AK80" s="18"/>
      <c r="AL80" s="18"/>
      <c r="AM80" s="18"/>
      <c r="AN80" s="18"/>
      <c r="AO80" s="18"/>
      <c r="AP80" s="18"/>
      <c r="AQ80" s="8" t="e">
        <f>#N/A</f>
        <v>#N/A</v>
      </c>
      <c r="AR80" s="8" t="e">
        <f>#N/A</f>
        <v>#N/A</v>
      </c>
      <c r="AS80" s="60" t="e">
        <f>#N/A</f>
        <v>#N/A</v>
      </c>
      <c r="AT80" s="60" t="e">
        <f>#N/A</f>
        <v>#N/A</v>
      </c>
      <c r="AU80" s="60" t="e">
        <f>#N/A</f>
        <v>#N/A</v>
      </c>
    </row>
    <row r="81" spans="1:47" x14ac:dyDescent="0.2">
      <c r="A81" s="43">
        <v>0.01</v>
      </c>
      <c r="B81" s="43">
        <v>-4.9042668798763289E-3</v>
      </c>
      <c r="C81" s="43">
        <v>0</v>
      </c>
      <c r="D81" s="7" t="e">
        <f>#N/A</f>
        <v>#N/A</v>
      </c>
      <c r="E81" s="7" t="e">
        <f>#N/A</f>
        <v>#N/A</v>
      </c>
      <c r="F81" s="47" t="e">
        <f>#N/A</f>
        <v>#N/A</v>
      </c>
      <c r="G81" s="37" t="e">
        <f>#N/A</f>
        <v>#N/A</v>
      </c>
      <c r="H81" s="47" t="e">
        <f>#N/A</f>
        <v>#N/A</v>
      </c>
      <c r="I81" s="4"/>
      <c r="J81" s="4"/>
      <c r="K81" s="4"/>
      <c r="L81" s="4"/>
      <c r="M81" s="2">
        <v>5.6710000000000003</v>
      </c>
      <c r="N81" s="49">
        <v>5.0650000000000004</v>
      </c>
      <c r="O81" s="51">
        <v>5.2492977284550024</v>
      </c>
      <c r="P81" s="51">
        <v>0.10870227154499738</v>
      </c>
      <c r="Q81" s="37">
        <v>0.505352994</v>
      </c>
      <c r="R81" s="51">
        <v>3.359</v>
      </c>
      <c r="S81" s="2">
        <v>1.4550000000000001</v>
      </c>
      <c r="T81" s="37">
        <v>4.25</v>
      </c>
      <c r="U81" s="48">
        <v>2.7521269841269835</v>
      </c>
      <c r="V81" s="50" t="e">
        <f>#N/A</f>
        <v>#N/A</v>
      </c>
      <c r="W81" s="5"/>
      <c r="X81" s="5"/>
      <c r="Y81" s="5"/>
      <c r="Z81" s="5"/>
      <c r="AA81" s="5"/>
      <c r="AB81" s="49">
        <v>2.22553605498871</v>
      </c>
      <c r="AC81" s="47" t="e">
        <f>#N/A</f>
        <v>#N/A</v>
      </c>
      <c r="AD81" s="37">
        <v>10</v>
      </c>
      <c r="AE81" s="37">
        <v>5</v>
      </c>
      <c r="AF81" s="37">
        <v>5</v>
      </c>
      <c r="AG81" s="18"/>
      <c r="AH81" s="18"/>
      <c r="AI81" s="18"/>
      <c r="AJ81" s="18"/>
      <c r="AK81" s="18"/>
      <c r="AL81" s="18"/>
      <c r="AM81" s="18"/>
      <c r="AN81" s="18"/>
      <c r="AO81" s="18"/>
      <c r="AP81" s="18"/>
      <c r="AQ81" s="8" t="e">
        <f>#N/A</f>
        <v>#N/A</v>
      </c>
      <c r="AR81" s="8" t="e">
        <f>#N/A</f>
        <v>#N/A</v>
      </c>
      <c r="AS81" s="60" t="e">
        <f>#N/A</f>
        <v>#N/A</v>
      </c>
      <c r="AT81" s="60" t="e">
        <f>#N/A</f>
        <v>#N/A</v>
      </c>
      <c r="AU81" s="60" t="e">
        <f>#N/A</f>
        <v>#N/A</v>
      </c>
    </row>
    <row r="82" spans="1:47" x14ac:dyDescent="0.2">
      <c r="A82" s="43">
        <v>0.01</v>
      </c>
      <c r="B82" s="43">
        <v>-4.9042668798763289E-3</v>
      </c>
      <c r="C82" s="43">
        <v>0</v>
      </c>
      <c r="D82" s="7" t="e">
        <f>#N/A</f>
        <v>#N/A</v>
      </c>
      <c r="E82" s="7" t="e">
        <f>#N/A</f>
        <v>#N/A</v>
      </c>
      <c r="F82" s="47" t="e">
        <f>#N/A</f>
        <v>#N/A</v>
      </c>
      <c r="G82" s="37" t="e">
        <f>#N/A</f>
        <v>#N/A</v>
      </c>
      <c r="H82" s="47" t="e">
        <f>#N/A</f>
        <v>#N/A</v>
      </c>
      <c r="I82" s="4"/>
      <c r="J82" s="4"/>
      <c r="K82" s="4"/>
      <c r="L82" s="4"/>
      <c r="M82" s="2">
        <v>5.6710000000000003</v>
      </c>
      <c r="N82" s="49">
        <v>5.0650000000000004</v>
      </c>
      <c r="O82" s="51">
        <v>5.2492977284550024</v>
      </c>
      <c r="P82" s="51">
        <v>0.10870227154499738</v>
      </c>
      <c r="Q82" s="37">
        <v>0.3964780141</v>
      </c>
      <c r="R82" s="51">
        <v>3.359</v>
      </c>
      <c r="S82" s="2">
        <v>1.4550000000000001</v>
      </c>
      <c r="T82" s="37">
        <v>2.5</v>
      </c>
      <c r="U82" s="48">
        <v>1.5238095238095237</v>
      </c>
      <c r="V82" s="50" t="e">
        <f>#N/A</f>
        <v>#N/A</v>
      </c>
      <c r="W82" s="5"/>
      <c r="X82" s="5"/>
      <c r="Y82" s="5"/>
      <c r="Z82" s="5"/>
      <c r="AA82" s="5"/>
      <c r="AB82" s="49">
        <v>2.22553605498871</v>
      </c>
      <c r="AC82" s="47" t="e">
        <f>#N/A</f>
        <v>#N/A</v>
      </c>
      <c r="AD82" s="37">
        <v>10</v>
      </c>
      <c r="AE82" s="37">
        <v>5</v>
      </c>
      <c r="AF82" s="37">
        <v>5</v>
      </c>
      <c r="AG82" s="18"/>
      <c r="AH82" s="18"/>
      <c r="AI82" s="18"/>
      <c r="AJ82" s="18"/>
      <c r="AK82" s="18"/>
      <c r="AL82" s="18"/>
      <c r="AM82" s="18"/>
      <c r="AN82" s="18"/>
      <c r="AO82" s="18"/>
      <c r="AP82" s="18"/>
      <c r="AQ82" s="8" t="e">
        <f>#N/A</f>
        <v>#N/A</v>
      </c>
      <c r="AR82" s="8" t="e">
        <f>#N/A</f>
        <v>#N/A</v>
      </c>
      <c r="AS82" s="60" t="e">
        <f>#N/A</f>
        <v>#N/A</v>
      </c>
      <c r="AT82" s="60" t="e">
        <f>#N/A</f>
        <v>#N/A</v>
      </c>
      <c r="AU82" s="60" t="e">
        <f>#N/A</f>
        <v>#N/A</v>
      </c>
    </row>
    <row r="83" spans="1:47" x14ac:dyDescent="0.2">
      <c r="A83" s="43">
        <v>0.01</v>
      </c>
      <c r="B83" s="43">
        <v>-4.9042668798763289E-3</v>
      </c>
      <c r="C83" s="43">
        <v>0</v>
      </c>
      <c r="D83" s="7" t="e">
        <f>#N/A</f>
        <v>#N/A</v>
      </c>
      <c r="E83" s="7" t="e">
        <f>#N/A</f>
        <v>#N/A</v>
      </c>
      <c r="F83" s="47" t="e">
        <f>#N/A</f>
        <v>#N/A</v>
      </c>
      <c r="G83" s="37" t="e">
        <f>#N/A</f>
        <v>#N/A</v>
      </c>
      <c r="H83" s="47" t="e">
        <f>#N/A</f>
        <v>#N/A</v>
      </c>
      <c r="I83" s="4"/>
      <c r="J83" s="4"/>
      <c r="K83" s="4"/>
      <c r="L83" s="4"/>
      <c r="M83" s="2">
        <v>5.6710000000000003</v>
      </c>
      <c r="N83" s="49">
        <v>5.0650000000000004</v>
      </c>
      <c r="O83" s="51">
        <v>5.2492977284550024</v>
      </c>
      <c r="P83" s="51">
        <v>0.10870227154499738</v>
      </c>
      <c r="Q83" s="37">
        <v>0.3964780141</v>
      </c>
      <c r="R83" s="51">
        <v>3.359</v>
      </c>
      <c r="S83" s="2">
        <v>1.4550000000000001</v>
      </c>
      <c r="T83" s="37">
        <v>2.5</v>
      </c>
      <c r="U83" s="48">
        <v>1.5238095238095237</v>
      </c>
      <c r="V83" s="50" t="e">
        <f>#N/A</f>
        <v>#N/A</v>
      </c>
      <c r="W83" s="5"/>
      <c r="X83" s="5"/>
      <c r="Y83" s="5"/>
      <c r="Z83" s="5"/>
      <c r="AA83" s="5"/>
      <c r="AB83" s="49">
        <v>2.22553605498871</v>
      </c>
      <c r="AC83" s="47" t="e">
        <f>#N/A</f>
        <v>#N/A</v>
      </c>
      <c r="AD83" s="37">
        <v>10</v>
      </c>
      <c r="AE83" s="37">
        <v>5</v>
      </c>
      <c r="AF83" s="37">
        <v>5</v>
      </c>
      <c r="AG83" s="18"/>
      <c r="AH83" s="18"/>
      <c r="AI83" s="18"/>
      <c r="AJ83" s="18"/>
      <c r="AK83" s="18"/>
      <c r="AL83" s="18"/>
      <c r="AM83" s="18"/>
      <c r="AN83" s="18"/>
      <c r="AO83" s="18"/>
      <c r="AP83" s="18"/>
      <c r="AQ83" s="8" t="e">
        <f>#N/A</f>
        <v>#N/A</v>
      </c>
      <c r="AR83" s="8" t="e">
        <f>#N/A</f>
        <v>#N/A</v>
      </c>
      <c r="AS83" s="60" t="e">
        <f>#N/A</f>
        <v>#N/A</v>
      </c>
      <c r="AT83" s="60" t="e">
        <f>#N/A</f>
        <v>#N/A</v>
      </c>
      <c r="AU83" s="60" t="e">
        <f>#N/A</f>
        <v>#N/A</v>
      </c>
    </row>
    <row r="84" spans="1:47" x14ac:dyDescent="0.2">
      <c r="A84" s="43">
        <v>0.01</v>
      </c>
      <c r="B84" s="43">
        <v>-4.9042668798763289E-3</v>
      </c>
      <c r="C84" s="43">
        <v>0</v>
      </c>
      <c r="D84" s="7" t="e">
        <f>#N/A</f>
        <v>#N/A</v>
      </c>
      <c r="E84" s="7" t="e">
        <f>#N/A</f>
        <v>#N/A</v>
      </c>
      <c r="F84" s="47" t="e">
        <f>#N/A</f>
        <v>#N/A</v>
      </c>
      <c r="G84" s="37" t="e">
        <f>#N/A</f>
        <v>#N/A</v>
      </c>
      <c r="H84" s="47" t="e">
        <f>#N/A</f>
        <v>#N/A</v>
      </c>
      <c r="I84" s="4"/>
      <c r="J84" s="4"/>
      <c r="K84" s="4"/>
      <c r="L84" s="4"/>
      <c r="M84" s="2">
        <v>5.6710000000000003</v>
      </c>
      <c r="N84" s="49">
        <v>5.0650000000000004</v>
      </c>
      <c r="O84" s="51">
        <v>5.2492977284550024</v>
      </c>
      <c r="P84" s="51">
        <v>0.10870227154499738</v>
      </c>
      <c r="Q84" s="37">
        <v>0.3964780141</v>
      </c>
      <c r="R84" s="51">
        <v>3.359</v>
      </c>
      <c r="S84" s="2">
        <v>1.4550000000000001</v>
      </c>
      <c r="T84" s="37">
        <v>2.5</v>
      </c>
      <c r="U84" s="48">
        <v>1.5238095238095237</v>
      </c>
      <c r="V84" s="50" t="e">
        <f>#N/A</f>
        <v>#N/A</v>
      </c>
      <c r="W84" s="5"/>
      <c r="X84" s="5"/>
      <c r="Y84" s="5"/>
      <c r="Z84" s="5"/>
      <c r="AA84" s="5"/>
      <c r="AB84" s="49">
        <v>2.22553605498871</v>
      </c>
      <c r="AC84" s="47" t="e">
        <f>#N/A</f>
        <v>#N/A</v>
      </c>
      <c r="AD84" s="37">
        <v>10</v>
      </c>
      <c r="AE84" s="37">
        <v>5</v>
      </c>
      <c r="AF84" s="37">
        <v>5</v>
      </c>
      <c r="AG84" s="18"/>
      <c r="AH84" s="18"/>
      <c r="AI84" s="18"/>
      <c r="AJ84" s="18"/>
      <c r="AK84" s="18"/>
      <c r="AL84" s="18"/>
      <c r="AM84" s="18"/>
      <c r="AN84" s="18"/>
      <c r="AO84" s="18"/>
      <c r="AP84" s="18"/>
      <c r="AQ84" s="8" t="e">
        <f>#N/A</f>
        <v>#N/A</v>
      </c>
      <c r="AR84" s="8" t="e">
        <f>#N/A</f>
        <v>#N/A</v>
      </c>
      <c r="AS84" s="60" t="e">
        <f>#N/A</f>
        <v>#N/A</v>
      </c>
      <c r="AT84" s="60" t="e">
        <f>#N/A</f>
        <v>#N/A</v>
      </c>
      <c r="AU84" s="60" t="e">
        <f>#N/A</f>
        <v>#N/A</v>
      </c>
    </row>
    <row r="85" spans="1:47" x14ac:dyDescent="0.2">
      <c r="A85" s="43">
        <v>0.01</v>
      </c>
      <c r="B85" s="43">
        <v>-4.9042668798763289E-3</v>
      </c>
      <c r="C85" s="43">
        <v>0</v>
      </c>
      <c r="D85" s="7" t="e">
        <f>#N/A</f>
        <v>#N/A</v>
      </c>
      <c r="E85" s="7" t="e">
        <f>#N/A</f>
        <v>#N/A</v>
      </c>
      <c r="F85" s="47" t="e">
        <f>#N/A</f>
        <v>#N/A</v>
      </c>
      <c r="G85" s="37" t="e">
        <f>#N/A</f>
        <v>#N/A</v>
      </c>
      <c r="H85" s="47" t="e">
        <f>#N/A</f>
        <v>#N/A</v>
      </c>
      <c r="I85" s="4"/>
      <c r="J85" s="4"/>
      <c r="K85" s="4"/>
      <c r="L85" s="4"/>
      <c r="M85" s="2">
        <v>5.6710000000000003</v>
      </c>
      <c r="N85" s="49">
        <v>5.0650000000000004</v>
      </c>
      <c r="O85" s="51">
        <v>5.2492977284550024</v>
      </c>
      <c r="P85" s="51">
        <v>0.10870227154499738</v>
      </c>
      <c r="Q85" s="37">
        <v>0.3501926252</v>
      </c>
      <c r="R85" s="51">
        <v>3.359</v>
      </c>
      <c r="S85" s="2">
        <v>1.4550000000000001</v>
      </c>
      <c r="T85" s="37">
        <v>2.5</v>
      </c>
      <c r="U85" s="48">
        <v>1.5238095238095237</v>
      </c>
      <c r="V85" s="50" t="e">
        <f>#N/A</f>
        <v>#N/A</v>
      </c>
      <c r="W85" s="5"/>
      <c r="X85" s="5"/>
      <c r="Y85" s="5"/>
      <c r="Z85" s="5"/>
      <c r="AA85" s="5"/>
      <c r="AB85" s="49">
        <v>2.22553605498871</v>
      </c>
      <c r="AC85" s="47" t="e">
        <f>#N/A</f>
        <v>#N/A</v>
      </c>
      <c r="AD85" s="37">
        <v>10</v>
      </c>
      <c r="AE85" s="37">
        <v>5</v>
      </c>
      <c r="AF85" s="37">
        <v>5</v>
      </c>
      <c r="AG85" s="18"/>
      <c r="AH85" s="18"/>
      <c r="AI85" s="18"/>
      <c r="AJ85" s="18"/>
      <c r="AK85" s="18"/>
      <c r="AL85" s="18"/>
      <c r="AM85" s="18"/>
      <c r="AN85" s="18"/>
      <c r="AO85" s="18"/>
      <c r="AP85" s="18"/>
      <c r="AQ85" s="8" t="e">
        <f>#N/A</f>
        <v>#N/A</v>
      </c>
      <c r="AR85" s="8" t="e">
        <f>#N/A</f>
        <v>#N/A</v>
      </c>
      <c r="AS85" s="60" t="e">
        <f>#N/A</f>
        <v>#N/A</v>
      </c>
      <c r="AT85" s="60" t="e">
        <f>#N/A</f>
        <v>#N/A</v>
      </c>
      <c r="AU85" s="60" t="e">
        <f>#N/A</f>
        <v>#N/A</v>
      </c>
    </row>
    <row r="86" spans="1:47" x14ac:dyDescent="0.2">
      <c r="A86" s="43">
        <v>0.01</v>
      </c>
      <c r="B86" s="43">
        <v>-4.9042668798763289E-3</v>
      </c>
      <c r="C86" s="43">
        <v>0</v>
      </c>
      <c r="D86" s="7" t="e">
        <f>#N/A</f>
        <v>#N/A</v>
      </c>
      <c r="E86" s="7" t="e">
        <f>#N/A</f>
        <v>#N/A</v>
      </c>
      <c r="F86" s="47" t="e">
        <f>#N/A</f>
        <v>#N/A</v>
      </c>
      <c r="G86" s="37" t="e">
        <f>#N/A</f>
        <v>#N/A</v>
      </c>
      <c r="H86" s="47" t="e">
        <f>#N/A</f>
        <v>#N/A</v>
      </c>
      <c r="I86" s="4"/>
      <c r="J86" s="4"/>
      <c r="K86" s="4"/>
      <c r="L86" s="4"/>
      <c r="M86" s="2">
        <v>5.6710000000000003</v>
      </c>
      <c r="N86" s="49">
        <v>5.0650000000000004</v>
      </c>
      <c r="O86" s="51">
        <v>5.2492977284550024</v>
      </c>
      <c r="P86" s="51">
        <v>0.10870227154499738</v>
      </c>
      <c r="Q86" s="37">
        <v>0.42220929039999999</v>
      </c>
      <c r="R86" s="51">
        <v>3.359</v>
      </c>
      <c r="S86" s="2">
        <v>1.4550000000000001</v>
      </c>
      <c r="T86" s="37">
        <v>4.25</v>
      </c>
      <c r="U86" s="48">
        <v>2.7521269841269835</v>
      </c>
      <c r="V86" s="50" t="e">
        <f>#N/A</f>
        <v>#N/A</v>
      </c>
      <c r="W86" s="5"/>
      <c r="X86" s="5"/>
      <c r="Y86" s="5"/>
      <c r="Z86" s="5"/>
      <c r="AA86" s="5"/>
      <c r="AB86" s="49">
        <v>2.22553605498871</v>
      </c>
      <c r="AC86" s="47" t="e">
        <f>#N/A</f>
        <v>#N/A</v>
      </c>
      <c r="AD86" s="37">
        <v>10</v>
      </c>
      <c r="AE86" s="37">
        <v>5</v>
      </c>
      <c r="AF86" s="37">
        <v>5</v>
      </c>
      <c r="AG86" s="18"/>
      <c r="AH86" s="18"/>
      <c r="AI86" s="18"/>
      <c r="AJ86" s="18"/>
      <c r="AK86" s="18"/>
      <c r="AL86" s="18"/>
      <c r="AM86" s="18"/>
      <c r="AN86" s="18"/>
      <c r="AO86" s="18"/>
      <c r="AP86" s="18"/>
      <c r="AQ86" s="8" t="e">
        <f>#N/A</f>
        <v>#N/A</v>
      </c>
      <c r="AR86" s="8" t="e">
        <f>#N/A</f>
        <v>#N/A</v>
      </c>
      <c r="AS86" s="60" t="e">
        <f>#N/A</f>
        <v>#N/A</v>
      </c>
      <c r="AT86" s="60" t="e">
        <f>#N/A</f>
        <v>#N/A</v>
      </c>
      <c r="AU86" s="60" t="e">
        <f>#N/A</f>
        <v>#N/A</v>
      </c>
    </row>
    <row r="87" spans="1:47" x14ac:dyDescent="0.2">
      <c r="A87" s="43">
        <v>0.01</v>
      </c>
      <c r="B87" s="43">
        <v>-4.9042668798763289E-3</v>
      </c>
      <c r="C87" s="43">
        <v>0</v>
      </c>
      <c r="D87" s="7" t="e">
        <f>#N/A</f>
        <v>#N/A</v>
      </c>
      <c r="E87" s="7" t="e">
        <f>#N/A</f>
        <v>#N/A</v>
      </c>
      <c r="F87" s="47" t="e">
        <f>#N/A</f>
        <v>#N/A</v>
      </c>
      <c r="G87" s="37" t="e">
        <f>#N/A</f>
        <v>#N/A</v>
      </c>
      <c r="H87" s="47" t="e">
        <f>#N/A</f>
        <v>#N/A</v>
      </c>
      <c r="I87" s="4"/>
      <c r="J87" s="4"/>
      <c r="K87" s="4"/>
      <c r="L87" s="4"/>
      <c r="M87" s="2">
        <v>5.6710000000000003</v>
      </c>
      <c r="N87" s="49">
        <v>5.0650000000000004</v>
      </c>
      <c r="O87" s="51">
        <v>5.2492977284550024</v>
      </c>
      <c r="P87" s="51">
        <v>0.10870227154499738</v>
      </c>
      <c r="Q87" s="37">
        <v>0.38179650509999996</v>
      </c>
      <c r="R87" s="51">
        <v>3.359</v>
      </c>
      <c r="S87" s="2">
        <v>1.4550000000000001</v>
      </c>
      <c r="T87" s="37">
        <v>4.25</v>
      </c>
      <c r="U87" s="48">
        <v>2.7521269841269835</v>
      </c>
      <c r="V87" s="50" t="e">
        <f>#N/A</f>
        <v>#N/A</v>
      </c>
      <c r="W87" s="5"/>
      <c r="X87" s="5"/>
      <c r="Y87" s="5"/>
      <c r="Z87" s="5"/>
      <c r="AA87" s="5"/>
      <c r="AB87" s="49">
        <v>2.22553605498871</v>
      </c>
      <c r="AC87" s="47" t="e">
        <f>#N/A</f>
        <v>#N/A</v>
      </c>
      <c r="AD87" s="37">
        <v>10</v>
      </c>
      <c r="AE87" s="37">
        <v>5</v>
      </c>
      <c r="AF87" s="37">
        <v>5</v>
      </c>
      <c r="AG87" s="18"/>
      <c r="AH87" s="18"/>
      <c r="AI87" s="18"/>
      <c r="AJ87" s="18"/>
      <c r="AK87" s="18"/>
      <c r="AL87" s="18"/>
      <c r="AM87" s="18"/>
      <c r="AN87" s="18"/>
      <c r="AO87" s="18"/>
      <c r="AP87" s="18"/>
      <c r="AQ87" s="8" t="e">
        <f>#N/A</f>
        <v>#N/A</v>
      </c>
      <c r="AR87" s="8" t="e">
        <f>#N/A</f>
        <v>#N/A</v>
      </c>
      <c r="AS87" s="60" t="e">
        <f>#N/A</f>
        <v>#N/A</v>
      </c>
      <c r="AT87" s="60" t="e">
        <f>#N/A</f>
        <v>#N/A</v>
      </c>
      <c r="AU87" s="60" t="e">
        <f>#N/A</f>
        <v>#N/A</v>
      </c>
    </row>
    <row r="88" spans="1:47" x14ac:dyDescent="0.2">
      <c r="A88" s="43">
        <v>0.01</v>
      </c>
      <c r="B88" s="43">
        <v>-4.9042668798763289E-3</v>
      </c>
      <c r="C88" s="43">
        <v>0</v>
      </c>
      <c r="D88" s="7" t="e">
        <f>#N/A</f>
        <v>#N/A</v>
      </c>
      <c r="E88" s="7" t="e">
        <f>#N/A</f>
        <v>#N/A</v>
      </c>
      <c r="F88" s="47" t="e">
        <f>#N/A</f>
        <v>#N/A</v>
      </c>
      <c r="G88" s="37" t="e">
        <f>#N/A</f>
        <v>#N/A</v>
      </c>
      <c r="H88" s="47" t="e">
        <f>#N/A</f>
        <v>#N/A</v>
      </c>
      <c r="I88" s="4"/>
      <c r="J88" s="4"/>
      <c r="K88" s="4"/>
      <c r="L88" s="4"/>
      <c r="M88" s="2">
        <v>5.6710000000000003</v>
      </c>
      <c r="N88" s="49">
        <v>5.0650000000000004</v>
      </c>
      <c r="O88" s="51">
        <v>5.2492977284550024</v>
      </c>
      <c r="P88" s="51">
        <v>0.10870227154499738</v>
      </c>
      <c r="Q88" s="37">
        <v>0.38179650509999996</v>
      </c>
      <c r="R88" s="51">
        <v>3.359</v>
      </c>
      <c r="S88" s="2">
        <v>1.4550000000000001</v>
      </c>
      <c r="T88" s="37">
        <v>4.25</v>
      </c>
      <c r="U88" s="48">
        <v>2.7521269841269835</v>
      </c>
      <c r="V88" s="50" t="e">
        <f>#N/A</f>
        <v>#N/A</v>
      </c>
      <c r="W88" s="5"/>
      <c r="X88" s="5"/>
      <c r="Y88" s="5"/>
      <c r="Z88" s="5"/>
      <c r="AA88" s="5"/>
      <c r="AB88" s="49">
        <v>2.22553605498871</v>
      </c>
      <c r="AC88" s="47" t="e">
        <f>#N/A</f>
        <v>#N/A</v>
      </c>
      <c r="AD88" s="37">
        <v>10</v>
      </c>
      <c r="AE88" s="37">
        <v>5</v>
      </c>
      <c r="AF88" s="37">
        <v>5</v>
      </c>
      <c r="AG88" s="18"/>
      <c r="AH88" s="18"/>
      <c r="AI88" s="18"/>
      <c r="AJ88" s="18"/>
      <c r="AK88" s="18"/>
      <c r="AL88" s="18"/>
      <c r="AM88" s="18"/>
      <c r="AN88" s="18"/>
      <c r="AO88" s="18"/>
      <c r="AP88" s="18"/>
      <c r="AQ88" s="8" t="e">
        <f>#N/A</f>
        <v>#N/A</v>
      </c>
      <c r="AR88" s="8" t="e">
        <f>#N/A</f>
        <v>#N/A</v>
      </c>
      <c r="AS88" s="60" t="e">
        <f>#N/A</f>
        <v>#N/A</v>
      </c>
      <c r="AT88" s="60" t="e">
        <f>#N/A</f>
        <v>#N/A</v>
      </c>
      <c r="AU88" s="60" t="e">
        <f>#N/A</f>
        <v>#N/A</v>
      </c>
    </row>
    <row r="89" spans="1:47" x14ac:dyDescent="0.2">
      <c r="A89" s="43">
        <v>0.01</v>
      </c>
      <c r="B89" s="43">
        <v>-3.2068335136610226E-3</v>
      </c>
      <c r="C89" s="43">
        <v>0</v>
      </c>
      <c r="D89" s="7" t="e">
        <f>#N/A</f>
        <v>#N/A</v>
      </c>
      <c r="E89" s="7" t="e">
        <f>#N/A</f>
        <v>#N/A</v>
      </c>
      <c r="F89" s="47" t="e">
        <f>#N/A</f>
        <v>#N/A</v>
      </c>
      <c r="G89" s="37" t="e">
        <f>#N/A</f>
        <v>#N/A</v>
      </c>
      <c r="H89" s="47" t="e">
        <f>#N/A</f>
        <v>#N/A</v>
      </c>
      <c r="I89" s="4"/>
      <c r="J89" s="4"/>
      <c r="K89" s="4"/>
      <c r="L89" s="4"/>
      <c r="M89" s="2">
        <v>5.6710000000000003</v>
      </c>
      <c r="N89" s="49">
        <v>5.0650000000000004</v>
      </c>
      <c r="O89" s="51">
        <v>5.2492977284550024</v>
      </c>
      <c r="P89" s="51">
        <v>0.10870227154499738</v>
      </c>
      <c r="Q89" s="37">
        <v>0.35050170959999999</v>
      </c>
      <c r="R89" s="51">
        <v>3.359</v>
      </c>
      <c r="S89" s="2">
        <v>1.4550000000000001</v>
      </c>
      <c r="T89" s="37">
        <v>4.25</v>
      </c>
      <c r="U89" s="48">
        <v>2.7521269841269835</v>
      </c>
      <c r="V89" s="50" t="e">
        <f>#N/A</f>
        <v>#N/A</v>
      </c>
      <c r="W89" s="5"/>
      <c r="X89" s="5"/>
      <c r="Y89" s="5"/>
      <c r="Z89" s="5"/>
      <c r="AA89" s="5"/>
      <c r="AB89" s="49">
        <v>2.22553605498871</v>
      </c>
      <c r="AC89" s="47" t="e">
        <f>#N/A</f>
        <v>#N/A</v>
      </c>
      <c r="AD89" s="37">
        <v>10</v>
      </c>
      <c r="AE89" s="37">
        <v>5</v>
      </c>
      <c r="AF89" s="37">
        <v>5</v>
      </c>
      <c r="AG89" s="18"/>
      <c r="AH89" s="18"/>
      <c r="AI89" s="18"/>
      <c r="AJ89" s="18"/>
      <c r="AK89" s="18"/>
      <c r="AL89" s="18"/>
      <c r="AM89" s="18"/>
      <c r="AN89" s="18"/>
      <c r="AO89" s="18"/>
      <c r="AP89" s="18"/>
      <c r="AQ89" s="8" t="e">
        <f>#N/A</f>
        <v>#N/A</v>
      </c>
      <c r="AR89" s="8" t="e">
        <f>#N/A</f>
        <v>#N/A</v>
      </c>
      <c r="AS89" s="60" t="e">
        <f>#N/A</f>
        <v>#N/A</v>
      </c>
      <c r="AT89" s="60" t="e">
        <f>#N/A</f>
        <v>#N/A</v>
      </c>
      <c r="AU89" s="60" t="e">
        <f>#N/A</f>
        <v>#N/A</v>
      </c>
    </row>
    <row r="90" spans="1:47" x14ac:dyDescent="0.2">
      <c r="A90" s="43">
        <v>0.01</v>
      </c>
      <c r="B90" s="43">
        <v>-3.2068335136610226E-3</v>
      </c>
      <c r="C90" s="43">
        <v>0</v>
      </c>
      <c r="D90" s="7" t="e">
        <f>#N/A</f>
        <v>#N/A</v>
      </c>
      <c r="E90" s="7" t="e">
        <f>#N/A</f>
        <v>#N/A</v>
      </c>
      <c r="F90" s="47" t="e">
        <f>#N/A</f>
        <v>#N/A</v>
      </c>
      <c r="G90" s="37" t="e">
        <f>#N/A</f>
        <v>#N/A</v>
      </c>
      <c r="H90" s="47" t="e">
        <f>#N/A</f>
        <v>#N/A</v>
      </c>
      <c r="I90" s="4"/>
      <c r="J90" s="4"/>
      <c r="K90" s="4"/>
      <c r="L90" s="4"/>
      <c r="M90" s="2">
        <v>5.6710000000000003</v>
      </c>
      <c r="N90" s="49">
        <v>5.0650000000000004</v>
      </c>
      <c r="O90" s="51">
        <v>5.2492977284550024</v>
      </c>
      <c r="P90" s="51">
        <v>0.10870227154499738</v>
      </c>
      <c r="Q90" s="37">
        <v>0.35050170959999999</v>
      </c>
      <c r="R90" s="51">
        <v>3.359</v>
      </c>
      <c r="S90" s="2">
        <v>1.4550000000000001</v>
      </c>
      <c r="T90" s="37">
        <v>4.25</v>
      </c>
      <c r="U90" s="48">
        <v>2.7521269841269835</v>
      </c>
      <c r="V90" s="50" t="e">
        <f>#N/A</f>
        <v>#N/A</v>
      </c>
      <c r="W90" s="5"/>
      <c r="X90" s="5"/>
      <c r="Y90" s="5"/>
      <c r="Z90" s="5"/>
      <c r="AA90" s="5"/>
      <c r="AB90" s="49">
        <v>2.22553605498871</v>
      </c>
      <c r="AC90" s="47" t="e">
        <f>#N/A</f>
        <v>#N/A</v>
      </c>
      <c r="AD90" s="37">
        <v>10</v>
      </c>
      <c r="AE90" s="37">
        <v>5</v>
      </c>
      <c r="AF90" s="37">
        <v>5</v>
      </c>
      <c r="AG90" s="18"/>
      <c r="AH90" s="18"/>
      <c r="AI90" s="18"/>
      <c r="AJ90" s="18"/>
      <c r="AK90" s="18"/>
      <c r="AL90" s="18"/>
      <c r="AM90" s="18"/>
      <c r="AN90" s="18"/>
      <c r="AO90" s="18"/>
      <c r="AP90" s="18"/>
      <c r="AQ90" s="8" t="e">
        <f>#N/A</f>
        <v>#N/A</v>
      </c>
      <c r="AR90" s="8" t="e">
        <f>#N/A</f>
        <v>#N/A</v>
      </c>
      <c r="AS90" s="60" t="e">
        <f>#N/A</f>
        <v>#N/A</v>
      </c>
      <c r="AT90" s="60" t="e">
        <f>#N/A</f>
        <v>#N/A</v>
      </c>
      <c r="AU90" s="60" t="e">
        <f>#N/A</f>
        <v>#N/A</v>
      </c>
    </row>
    <row r="91" spans="1:47" x14ac:dyDescent="0.2">
      <c r="A91" s="43">
        <v>0.01</v>
      </c>
      <c r="B91" s="43">
        <v>-3.2068335136610226E-3</v>
      </c>
      <c r="C91" s="43">
        <v>0</v>
      </c>
      <c r="D91" s="7" t="e">
        <f>#N/A</f>
        <v>#N/A</v>
      </c>
      <c r="E91" s="7" t="e">
        <f>#N/A</f>
        <v>#N/A</v>
      </c>
      <c r="F91" s="47" t="e">
        <f>#N/A</f>
        <v>#N/A</v>
      </c>
      <c r="G91" s="37" t="e">
        <f>#N/A</f>
        <v>#N/A</v>
      </c>
      <c r="H91" s="47" t="e">
        <f>#N/A</f>
        <v>#N/A</v>
      </c>
      <c r="I91" s="4"/>
      <c r="J91" s="4"/>
      <c r="K91" s="4"/>
      <c r="L91" s="4"/>
      <c r="M91" s="2">
        <v>5.6710000000000003</v>
      </c>
      <c r="N91" s="49">
        <v>5.0650000000000004</v>
      </c>
      <c r="O91" s="51">
        <v>5.2492977284550024</v>
      </c>
      <c r="P91" s="51">
        <v>0.10870227154499738</v>
      </c>
      <c r="Q91" s="37">
        <v>0.35050170959999999</v>
      </c>
      <c r="R91" s="51">
        <v>3.359</v>
      </c>
      <c r="S91" s="2">
        <v>1.4550000000000001</v>
      </c>
      <c r="T91" s="37">
        <v>4.25</v>
      </c>
      <c r="U91" s="48">
        <v>2.7521269841269835</v>
      </c>
      <c r="V91" s="50" t="e">
        <f>#N/A</f>
        <v>#N/A</v>
      </c>
      <c r="W91" s="5"/>
      <c r="X91" s="5"/>
      <c r="Y91" s="5"/>
      <c r="Z91" s="5"/>
      <c r="AA91" s="5"/>
      <c r="AB91" s="49">
        <v>2.22553605498871</v>
      </c>
      <c r="AC91" s="47" t="e">
        <f>#N/A</f>
        <v>#N/A</v>
      </c>
      <c r="AD91" s="37">
        <v>10</v>
      </c>
      <c r="AE91" s="37">
        <v>5</v>
      </c>
      <c r="AF91" s="37">
        <v>5</v>
      </c>
      <c r="AG91" s="18"/>
      <c r="AH91" s="18"/>
      <c r="AI91" s="18"/>
      <c r="AJ91" s="18"/>
      <c r="AK91" s="18"/>
      <c r="AL91" s="18"/>
      <c r="AM91" s="18"/>
      <c r="AN91" s="18"/>
      <c r="AO91" s="18"/>
      <c r="AP91" s="18"/>
      <c r="AQ91" s="8" t="e">
        <f>#N/A</f>
        <v>#N/A</v>
      </c>
      <c r="AR91" s="8" t="e">
        <f>#N/A</f>
        <v>#N/A</v>
      </c>
      <c r="AS91" s="60" t="e">
        <f>#N/A</f>
        <v>#N/A</v>
      </c>
      <c r="AT91" s="60" t="e">
        <f>#N/A</f>
        <v>#N/A</v>
      </c>
      <c r="AU91" s="60" t="e">
        <f>#N/A</f>
        <v>#N/A</v>
      </c>
    </row>
    <row r="92" spans="1:47" x14ac:dyDescent="0.2">
      <c r="A92" s="43">
        <v>0.01</v>
      </c>
      <c r="B92" s="43">
        <v>-3.2068335136610226E-3</v>
      </c>
      <c r="C92" s="43">
        <v>0</v>
      </c>
      <c r="D92" s="7" t="e">
        <f>#N/A</f>
        <v>#N/A</v>
      </c>
      <c r="E92" s="7" t="e">
        <f>#N/A</f>
        <v>#N/A</v>
      </c>
      <c r="F92" s="47" t="e">
        <f>#N/A</f>
        <v>#N/A</v>
      </c>
      <c r="G92" s="37" t="e">
        <f>#N/A</f>
        <v>#N/A</v>
      </c>
      <c r="H92" s="47" t="e">
        <f>#N/A</f>
        <v>#N/A</v>
      </c>
      <c r="I92" s="4"/>
      <c r="J92" s="4"/>
      <c r="K92" s="4"/>
      <c r="L92" s="4"/>
      <c r="M92" s="2">
        <v>5.6710000000000003</v>
      </c>
      <c r="N92" s="49">
        <v>5.0650000000000004</v>
      </c>
      <c r="O92" s="51">
        <v>5.2492977284550024</v>
      </c>
      <c r="P92" s="51">
        <v>0.10870227154499738</v>
      </c>
      <c r="Q92" s="37">
        <v>0.35050170959999999</v>
      </c>
      <c r="R92" s="51">
        <v>3.359</v>
      </c>
      <c r="S92" s="2">
        <v>1.4550000000000001</v>
      </c>
      <c r="T92" s="37">
        <v>4.25</v>
      </c>
      <c r="U92" s="48">
        <v>2.7521269841269835</v>
      </c>
      <c r="V92" s="50" t="e">
        <f>#N/A</f>
        <v>#N/A</v>
      </c>
      <c r="W92" s="5"/>
      <c r="X92" s="5"/>
      <c r="Y92" s="5"/>
      <c r="Z92" s="5"/>
      <c r="AA92" s="5"/>
      <c r="AB92" s="49">
        <v>2.22553605498871</v>
      </c>
      <c r="AC92" s="47" t="e">
        <f>#N/A</f>
        <v>#N/A</v>
      </c>
      <c r="AD92" s="37">
        <v>10</v>
      </c>
      <c r="AE92" s="37">
        <v>5</v>
      </c>
      <c r="AF92" s="37">
        <v>5</v>
      </c>
      <c r="AG92" s="18"/>
      <c r="AH92" s="18"/>
      <c r="AI92" s="18"/>
      <c r="AJ92" s="18"/>
      <c r="AK92" s="18"/>
      <c r="AL92" s="18"/>
      <c r="AM92" s="18"/>
      <c r="AN92" s="18"/>
      <c r="AO92" s="18"/>
      <c r="AP92" s="18"/>
      <c r="AQ92" s="8" t="e">
        <f>#N/A</f>
        <v>#N/A</v>
      </c>
      <c r="AR92" s="8" t="e">
        <f>#N/A</f>
        <v>#N/A</v>
      </c>
      <c r="AS92" s="60" t="e">
        <f>#N/A</f>
        <v>#N/A</v>
      </c>
      <c r="AT92" s="60" t="e">
        <f>#N/A</f>
        <v>#N/A</v>
      </c>
      <c r="AU92" s="60" t="e">
        <f>#N/A</f>
        <v>#N/A</v>
      </c>
    </row>
    <row r="93" spans="1:47" x14ac:dyDescent="0.2">
      <c r="A93" s="43">
        <v>0.01</v>
      </c>
      <c r="B93" s="43">
        <v>-3.2068335136610226E-3</v>
      </c>
      <c r="C93" s="43">
        <v>0</v>
      </c>
      <c r="D93" s="7" t="e">
        <f>#N/A</f>
        <v>#N/A</v>
      </c>
      <c r="E93" s="7" t="e">
        <f>#N/A</f>
        <v>#N/A</v>
      </c>
      <c r="F93" s="47" t="e">
        <f>#N/A</f>
        <v>#N/A</v>
      </c>
      <c r="G93" s="37" t="e">
        <f>#N/A</f>
        <v>#N/A</v>
      </c>
      <c r="H93" s="47" t="e">
        <f>#N/A</f>
        <v>#N/A</v>
      </c>
      <c r="I93" s="4"/>
      <c r="J93" s="4"/>
      <c r="K93" s="4"/>
      <c r="L93" s="4"/>
      <c r="M93" s="2">
        <v>5.6710000000000003</v>
      </c>
      <c r="N93" s="49">
        <v>5.0650000000000004</v>
      </c>
      <c r="O93" s="51">
        <v>5.2492977284550024</v>
      </c>
      <c r="P93" s="51">
        <v>0.10870227154499738</v>
      </c>
      <c r="Q93" s="37">
        <v>0.35050170959999999</v>
      </c>
      <c r="R93" s="51">
        <v>3.359</v>
      </c>
      <c r="S93" s="2">
        <v>1.4550000000000001</v>
      </c>
      <c r="T93" s="37">
        <v>4.25</v>
      </c>
      <c r="U93" s="48">
        <v>2.7521269841269835</v>
      </c>
      <c r="V93" s="50" t="e">
        <f>#N/A</f>
        <v>#N/A</v>
      </c>
      <c r="W93" s="5"/>
      <c r="X93" s="5"/>
      <c r="Y93" s="5"/>
      <c r="Z93" s="5"/>
      <c r="AA93" s="5"/>
      <c r="AB93" s="49">
        <v>2.22553605498871</v>
      </c>
      <c r="AC93" s="47" t="e">
        <f>#N/A</f>
        <v>#N/A</v>
      </c>
      <c r="AD93" s="37">
        <v>10</v>
      </c>
      <c r="AE93" s="37">
        <v>5</v>
      </c>
      <c r="AF93" s="37">
        <v>5</v>
      </c>
      <c r="AG93" s="18"/>
      <c r="AH93" s="18"/>
      <c r="AI93" s="18"/>
      <c r="AJ93" s="18"/>
      <c r="AK93" s="18"/>
      <c r="AL93" s="18"/>
      <c r="AM93" s="18"/>
      <c r="AN93" s="18"/>
      <c r="AO93" s="18"/>
      <c r="AP93" s="18"/>
      <c r="AQ93" s="8" t="e">
        <f>#N/A</f>
        <v>#N/A</v>
      </c>
      <c r="AR93" s="8" t="e">
        <f>#N/A</f>
        <v>#N/A</v>
      </c>
      <c r="AS93" s="60" t="e">
        <f>#N/A</f>
        <v>#N/A</v>
      </c>
      <c r="AT93" s="60" t="e">
        <f>#N/A</f>
        <v>#N/A</v>
      </c>
      <c r="AU93" s="60" t="e">
        <f>#N/A</f>
        <v>#N/A</v>
      </c>
    </row>
    <row r="94" spans="1:47" x14ac:dyDescent="0.2">
      <c r="A94" s="43">
        <v>0.01</v>
      </c>
      <c r="B94" s="43">
        <v>-3.2068335136610226E-3</v>
      </c>
      <c r="C94" s="43">
        <v>0</v>
      </c>
      <c r="D94" s="7" t="e">
        <f>#N/A</f>
        <v>#N/A</v>
      </c>
      <c r="E94" s="7" t="e">
        <f>#N/A</f>
        <v>#N/A</v>
      </c>
      <c r="F94" s="47" t="e">
        <f>#N/A</f>
        <v>#N/A</v>
      </c>
      <c r="G94" s="37" t="e">
        <f>#N/A</f>
        <v>#N/A</v>
      </c>
      <c r="H94" s="47" t="e">
        <f>#N/A</f>
        <v>#N/A</v>
      </c>
      <c r="I94" s="4"/>
      <c r="J94" s="4"/>
      <c r="K94" s="4"/>
      <c r="L94" s="4"/>
      <c r="M94" s="2">
        <v>5.6710000000000003</v>
      </c>
      <c r="N94" s="49">
        <v>5.0650000000000004</v>
      </c>
      <c r="O94" s="51">
        <v>5.2492977284550024</v>
      </c>
      <c r="P94" s="51">
        <v>0.10870227154499738</v>
      </c>
      <c r="Q94" s="37">
        <v>0.32052052280000004</v>
      </c>
      <c r="R94" s="51">
        <v>3.359</v>
      </c>
      <c r="S94" s="2">
        <v>1.4550000000000001</v>
      </c>
      <c r="T94" s="37">
        <v>2.5</v>
      </c>
      <c r="U94" s="48">
        <v>1.5238095238095237</v>
      </c>
      <c r="V94" s="50" t="e">
        <f>#N/A</f>
        <v>#N/A</v>
      </c>
      <c r="W94" s="5"/>
      <c r="X94" s="5"/>
      <c r="Y94" s="5"/>
      <c r="Z94" s="5"/>
      <c r="AA94" s="5"/>
      <c r="AB94" s="49">
        <v>2.22553605498871</v>
      </c>
      <c r="AC94" s="47" t="e">
        <f>#N/A</f>
        <v>#N/A</v>
      </c>
      <c r="AD94" s="37">
        <v>10</v>
      </c>
      <c r="AE94" s="37">
        <v>5</v>
      </c>
      <c r="AF94" s="37">
        <v>0</v>
      </c>
      <c r="AG94" s="18"/>
      <c r="AH94" s="18"/>
      <c r="AI94" s="18"/>
      <c r="AJ94" s="18"/>
      <c r="AK94" s="18"/>
      <c r="AL94" s="18"/>
      <c r="AM94" s="18"/>
      <c r="AN94" s="18"/>
      <c r="AO94" s="18"/>
      <c r="AP94" s="18"/>
      <c r="AQ94" s="8" t="e">
        <f>#N/A</f>
        <v>#N/A</v>
      </c>
      <c r="AR94" s="8" t="e">
        <f>#N/A</f>
        <v>#N/A</v>
      </c>
      <c r="AS94" s="60" t="e">
        <f>#N/A</f>
        <v>#N/A</v>
      </c>
      <c r="AT94" s="60" t="e">
        <f>#N/A</f>
        <v>#N/A</v>
      </c>
      <c r="AU94" s="60" t="e">
        <f>#N/A</f>
        <v>#N/A</v>
      </c>
    </row>
    <row r="95" spans="1:47" x14ac:dyDescent="0.2">
      <c r="A95" s="43">
        <v>0.01</v>
      </c>
      <c r="B95" s="43">
        <v>-3.2068335136610226E-3</v>
      </c>
      <c r="C95" s="43">
        <v>0</v>
      </c>
      <c r="D95" s="7" t="e">
        <f>#N/A</f>
        <v>#N/A</v>
      </c>
      <c r="E95" s="7" t="e">
        <f>#N/A</f>
        <v>#N/A</v>
      </c>
      <c r="F95" s="47" t="e">
        <f>#N/A</f>
        <v>#N/A</v>
      </c>
      <c r="G95" s="37" t="e">
        <f>#N/A</f>
        <v>#N/A</v>
      </c>
      <c r="H95" s="47" t="e">
        <f>#N/A</f>
        <v>#N/A</v>
      </c>
      <c r="I95" s="4"/>
      <c r="J95" s="4"/>
      <c r="K95" s="4"/>
      <c r="L95" s="4"/>
      <c r="M95" s="2">
        <v>5.6710000000000003</v>
      </c>
      <c r="N95" s="49">
        <v>5.0650000000000004</v>
      </c>
      <c r="O95" s="51">
        <v>5.2492977284550024</v>
      </c>
      <c r="P95" s="51">
        <v>0.10870227154499738</v>
      </c>
      <c r="Q95" s="37">
        <v>0.32052052280000004</v>
      </c>
      <c r="R95" s="51">
        <v>3.359</v>
      </c>
      <c r="S95" s="2">
        <v>1.4550000000000001</v>
      </c>
      <c r="T95" s="37">
        <v>2.5</v>
      </c>
      <c r="U95" s="48">
        <v>1.5238095238095237</v>
      </c>
      <c r="V95" s="50" t="e">
        <f>#N/A</f>
        <v>#N/A</v>
      </c>
      <c r="W95" s="5"/>
      <c r="X95" s="5"/>
      <c r="Y95" s="5"/>
      <c r="Z95" s="5"/>
      <c r="AA95" s="5"/>
      <c r="AB95" s="49">
        <v>2.22553605498871</v>
      </c>
      <c r="AC95" s="47" t="e">
        <f>#N/A</f>
        <v>#N/A</v>
      </c>
      <c r="AD95" s="37">
        <v>10</v>
      </c>
      <c r="AE95" s="37">
        <v>5</v>
      </c>
      <c r="AF95" s="37">
        <v>0</v>
      </c>
      <c r="AG95" s="18"/>
      <c r="AH95" s="18"/>
      <c r="AI95" s="18"/>
      <c r="AJ95" s="18"/>
      <c r="AK95" s="18"/>
      <c r="AL95" s="18"/>
      <c r="AM95" s="18"/>
      <c r="AN95" s="18"/>
      <c r="AO95" s="18"/>
      <c r="AP95" s="18"/>
      <c r="AQ95" s="8" t="e">
        <f>#N/A</f>
        <v>#N/A</v>
      </c>
      <c r="AR95" s="8" t="e">
        <f>#N/A</f>
        <v>#N/A</v>
      </c>
      <c r="AS95" s="60" t="e">
        <f>#N/A</f>
        <v>#N/A</v>
      </c>
      <c r="AT95" s="60" t="e">
        <f>#N/A</f>
        <v>#N/A</v>
      </c>
      <c r="AU95" s="60" t="e">
        <f>#N/A</f>
        <v>#N/A</v>
      </c>
    </row>
    <row r="96" spans="1:47" x14ac:dyDescent="0.2">
      <c r="A96" s="43">
        <v>0.01</v>
      </c>
      <c r="B96" s="43">
        <v>-3.2068335136610226E-3</v>
      </c>
      <c r="C96" s="43">
        <v>0</v>
      </c>
      <c r="D96" s="7" t="e">
        <f>#N/A</f>
        <v>#N/A</v>
      </c>
      <c r="E96" s="7" t="e">
        <f>#N/A</f>
        <v>#N/A</v>
      </c>
      <c r="F96" s="47" t="e">
        <f>#N/A</f>
        <v>#N/A</v>
      </c>
      <c r="G96" s="37" t="e">
        <f>#N/A</f>
        <v>#N/A</v>
      </c>
      <c r="H96" s="47" t="e">
        <f>#N/A</f>
        <v>#N/A</v>
      </c>
      <c r="I96" s="4"/>
      <c r="J96" s="4"/>
      <c r="K96" s="4"/>
      <c r="L96" s="4"/>
      <c r="M96" s="2">
        <v>5.6710000000000003</v>
      </c>
      <c r="N96" s="49">
        <v>5.0650000000000004</v>
      </c>
      <c r="O96" s="51">
        <v>5.2492977284550024</v>
      </c>
      <c r="P96" s="51">
        <v>0.10870227154499738</v>
      </c>
      <c r="Q96" s="37">
        <v>0.32052052280000004</v>
      </c>
      <c r="R96" s="51">
        <v>3.359</v>
      </c>
      <c r="S96" s="2">
        <v>1.4550000000000001</v>
      </c>
      <c r="T96" s="37">
        <v>2.5</v>
      </c>
      <c r="U96" s="48">
        <v>1.5238095238095237</v>
      </c>
      <c r="V96" s="50" t="e">
        <f>#N/A</f>
        <v>#N/A</v>
      </c>
      <c r="W96" s="5"/>
      <c r="X96" s="5"/>
      <c r="Y96" s="5"/>
      <c r="Z96" s="5"/>
      <c r="AA96" s="5"/>
      <c r="AB96" s="49">
        <v>2.22553605498871</v>
      </c>
      <c r="AC96" s="47" t="e">
        <f>#N/A</f>
        <v>#N/A</v>
      </c>
      <c r="AD96" s="37">
        <v>10</v>
      </c>
      <c r="AE96" s="37">
        <v>5</v>
      </c>
      <c r="AF96" s="37">
        <v>0</v>
      </c>
      <c r="AG96" s="18"/>
      <c r="AH96" s="18"/>
      <c r="AI96" s="18"/>
      <c r="AJ96" s="18"/>
      <c r="AK96" s="18"/>
      <c r="AL96" s="18"/>
      <c r="AM96" s="18"/>
      <c r="AN96" s="18"/>
      <c r="AO96" s="18"/>
      <c r="AP96" s="18"/>
      <c r="AQ96" s="8" t="e">
        <f>#N/A</f>
        <v>#N/A</v>
      </c>
      <c r="AR96" s="8" t="e">
        <f>#N/A</f>
        <v>#N/A</v>
      </c>
      <c r="AS96" s="60" t="e">
        <f>#N/A</f>
        <v>#N/A</v>
      </c>
      <c r="AT96" s="60" t="e">
        <f>#N/A</f>
        <v>#N/A</v>
      </c>
      <c r="AU96" s="60" t="e">
        <f>#N/A</f>
        <v>#N/A</v>
      </c>
    </row>
    <row r="97" spans="1:47" x14ac:dyDescent="0.2">
      <c r="A97" s="43">
        <v>0.01</v>
      </c>
      <c r="B97" s="43">
        <v>-3.2068335136610226E-3</v>
      </c>
      <c r="C97" s="43">
        <v>0</v>
      </c>
      <c r="D97" s="7" t="e">
        <f>#N/A</f>
        <v>#N/A</v>
      </c>
      <c r="E97" s="7" t="e">
        <f>#N/A</f>
        <v>#N/A</v>
      </c>
      <c r="F97" s="47" t="e">
        <f>#N/A</f>
        <v>#N/A</v>
      </c>
      <c r="G97" s="37" t="e">
        <f>#N/A</f>
        <v>#N/A</v>
      </c>
      <c r="H97" s="47" t="e">
        <f>#N/A</f>
        <v>#N/A</v>
      </c>
      <c r="I97" s="4"/>
      <c r="J97" s="4"/>
      <c r="K97" s="4"/>
      <c r="L97" s="4"/>
      <c r="M97" s="2">
        <v>5.6710000000000003</v>
      </c>
      <c r="N97" s="49">
        <v>5.0650000000000004</v>
      </c>
      <c r="O97" s="51">
        <v>5.2492977284550024</v>
      </c>
      <c r="P97" s="51">
        <v>0.10870227154499738</v>
      </c>
      <c r="Q97" s="37">
        <v>0.32052052280000004</v>
      </c>
      <c r="R97" s="51">
        <v>3.359</v>
      </c>
      <c r="S97" s="2">
        <v>1.4550000000000001</v>
      </c>
      <c r="T97" s="37">
        <v>2.5</v>
      </c>
      <c r="U97" s="48">
        <v>1.5238095238095237</v>
      </c>
      <c r="V97" s="50" t="e">
        <f>#N/A</f>
        <v>#N/A</v>
      </c>
      <c r="W97" s="5"/>
      <c r="X97" s="5"/>
      <c r="Y97" s="5"/>
      <c r="Z97" s="5"/>
      <c r="AA97" s="5"/>
      <c r="AB97" s="49">
        <v>2.22553605498871</v>
      </c>
      <c r="AC97" s="47" t="e">
        <f>#N/A</f>
        <v>#N/A</v>
      </c>
      <c r="AD97" s="37">
        <v>10</v>
      </c>
      <c r="AE97" s="37">
        <v>5</v>
      </c>
      <c r="AF97" s="37">
        <v>0</v>
      </c>
      <c r="AG97" s="18"/>
      <c r="AH97" s="18"/>
      <c r="AI97" s="18"/>
      <c r="AJ97" s="18"/>
      <c r="AK97" s="18"/>
      <c r="AL97" s="18"/>
      <c r="AM97" s="18"/>
      <c r="AN97" s="18"/>
      <c r="AO97" s="18"/>
      <c r="AP97" s="18"/>
      <c r="AQ97" s="8" t="e">
        <f>#N/A</f>
        <v>#N/A</v>
      </c>
      <c r="AR97" s="8" t="e">
        <f>#N/A</f>
        <v>#N/A</v>
      </c>
      <c r="AS97" s="60" t="e">
        <f>#N/A</f>
        <v>#N/A</v>
      </c>
      <c r="AT97" s="60" t="e">
        <f>#N/A</f>
        <v>#N/A</v>
      </c>
      <c r="AU97" s="60" t="e">
        <f>#N/A</f>
        <v>#N/A</v>
      </c>
    </row>
    <row r="98" spans="1:47" x14ac:dyDescent="0.2">
      <c r="A98" s="43">
        <v>0.01</v>
      </c>
      <c r="B98" s="43">
        <v>-3.2068335136610226E-3</v>
      </c>
      <c r="C98" s="43">
        <v>0</v>
      </c>
      <c r="D98" s="7" t="e">
        <f>#N/A</f>
        <v>#N/A</v>
      </c>
      <c r="E98" s="7" t="e">
        <f>#N/A</f>
        <v>#N/A</v>
      </c>
      <c r="F98" s="47" t="e">
        <f>#N/A</f>
        <v>#N/A</v>
      </c>
      <c r="G98" s="37" t="e">
        <f>#N/A</f>
        <v>#N/A</v>
      </c>
      <c r="H98" s="47" t="e">
        <f>#N/A</f>
        <v>#N/A</v>
      </c>
      <c r="I98" s="4"/>
      <c r="J98" s="4"/>
      <c r="K98" s="4"/>
      <c r="L98" s="4"/>
      <c r="M98" s="2">
        <v>5.6710000000000003</v>
      </c>
      <c r="N98" s="49">
        <v>5.0650000000000004</v>
      </c>
      <c r="O98" s="51">
        <v>5.2492977284550024</v>
      </c>
      <c r="P98" s="51">
        <v>0.10870227154499738</v>
      </c>
      <c r="Q98" s="37">
        <v>0.35050170959999999</v>
      </c>
      <c r="R98" s="51">
        <v>3.359</v>
      </c>
      <c r="S98" s="2">
        <v>1.4550000000000001</v>
      </c>
      <c r="T98" s="37">
        <v>4.25</v>
      </c>
      <c r="U98" s="48">
        <v>2.7521269841269835</v>
      </c>
      <c r="V98" s="50" t="e">
        <f>#N/A</f>
        <v>#N/A</v>
      </c>
      <c r="W98" s="5"/>
      <c r="X98" s="5"/>
      <c r="Y98" s="5"/>
      <c r="Z98" s="5"/>
      <c r="AA98" s="5"/>
      <c r="AB98" s="49">
        <v>2.22553605498871</v>
      </c>
      <c r="AC98" s="47" t="e">
        <f>#N/A</f>
        <v>#N/A</v>
      </c>
      <c r="AD98" s="37">
        <v>10</v>
      </c>
      <c r="AE98" s="37">
        <v>5</v>
      </c>
      <c r="AF98" s="37">
        <v>0</v>
      </c>
      <c r="AG98" s="18"/>
      <c r="AH98" s="18"/>
      <c r="AI98" s="18"/>
      <c r="AJ98" s="18"/>
      <c r="AK98" s="18"/>
      <c r="AL98" s="18"/>
      <c r="AM98" s="18"/>
      <c r="AN98" s="18"/>
      <c r="AO98" s="18"/>
      <c r="AP98" s="18"/>
      <c r="AQ98" s="8" t="e">
        <f>#N/A</f>
        <v>#N/A</v>
      </c>
      <c r="AR98" s="8" t="e">
        <f>#N/A</f>
        <v>#N/A</v>
      </c>
      <c r="AS98" s="60" t="e">
        <f>#N/A</f>
        <v>#N/A</v>
      </c>
      <c r="AT98" s="60" t="e">
        <f>#N/A</f>
        <v>#N/A</v>
      </c>
      <c r="AU98" s="60" t="e">
        <f>#N/A</f>
        <v>#N/A</v>
      </c>
    </row>
    <row r="99" spans="1:47" x14ac:dyDescent="0.2">
      <c r="A99" s="43">
        <v>0.01</v>
      </c>
      <c r="B99" s="43">
        <v>-3.2068335136610226E-3</v>
      </c>
      <c r="C99" s="43">
        <v>0</v>
      </c>
      <c r="D99" s="7" t="e">
        <f>#N/A</f>
        <v>#N/A</v>
      </c>
      <c r="E99" s="7" t="e">
        <f>#N/A</f>
        <v>#N/A</v>
      </c>
      <c r="F99" s="47" t="e">
        <f>#N/A</f>
        <v>#N/A</v>
      </c>
      <c r="G99" s="37" t="e">
        <f>#N/A</f>
        <v>#N/A</v>
      </c>
      <c r="H99" s="47" t="e">
        <f>#N/A</f>
        <v>#N/A</v>
      </c>
      <c r="I99" s="4"/>
      <c r="J99" s="4"/>
      <c r="K99" s="4"/>
      <c r="L99" s="4"/>
      <c r="M99" s="2">
        <v>5.6710000000000003</v>
      </c>
      <c r="N99" s="49">
        <v>5.0650000000000004</v>
      </c>
      <c r="O99" s="51">
        <v>5.2492977284550024</v>
      </c>
      <c r="P99" s="51">
        <v>0.10870227154499738</v>
      </c>
      <c r="Q99" s="37">
        <v>0.35050170959999999</v>
      </c>
      <c r="R99" s="51">
        <v>3.359</v>
      </c>
      <c r="S99" s="2">
        <v>1.4550000000000001</v>
      </c>
      <c r="T99" s="37">
        <v>4.25</v>
      </c>
      <c r="U99" s="48">
        <v>2.7521269841269835</v>
      </c>
      <c r="V99" s="50" t="e">
        <f>#N/A</f>
        <v>#N/A</v>
      </c>
      <c r="W99" s="5"/>
      <c r="X99" s="5"/>
      <c r="Y99" s="5"/>
      <c r="Z99" s="5"/>
      <c r="AA99" s="5"/>
      <c r="AB99" s="49">
        <v>2.22553605498871</v>
      </c>
      <c r="AC99" s="47" t="e">
        <f>#N/A</f>
        <v>#N/A</v>
      </c>
      <c r="AD99" s="37">
        <v>10</v>
      </c>
      <c r="AE99" s="37">
        <v>5</v>
      </c>
      <c r="AF99" s="37">
        <v>0</v>
      </c>
      <c r="AG99" s="18"/>
      <c r="AH99" s="18"/>
      <c r="AI99" s="18"/>
      <c r="AJ99" s="18"/>
      <c r="AK99" s="18"/>
      <c r="AL99" s="18"/>
      <c r="AM99" s="18"/>
      <c r="AN99" s="18"/>
      <c r="AO99" s="18"/>
      <c r="AP99" s="18"/>
      <c r="AQ99" s="8" t="e">
        <f>#N/A</f>
        <v>#N/A</v>
      </c>
      <c r="AR99" s="8" t="e">
        <f>#N/A</f>
        <v>#N/A</v>
      </c>
      <c r="AS99" s="60" t="e">
        <f>#N/A</f>
        <v>#N/A</v>
      </c>
      <c r="AT99" s="60" t="e">
        <f>#N/A</f>
        <v>#N/A</v>
      </c>
      <c r="AU99" s="60" t="e">
        <f>#N/A</f>
        <v>#N/A</v>
      </c>
    </row>
    <row r="100" spans="1:47" x14ac:dyDescent="0.2">
      <c r="A100" s="43">
        <v>0.01</v>
      </c>
      <c r="B100" s="43">
        <v>-3.2068335136610226E-3</v>
      </c>
      <c r="C100" s="43">
        <v>0</v>
      </c>
      <c r="D100" s="7" t="e">
        <f>#N/A</f>
        <v>#N/A</v>
      </c>
      <c r="E100" s="7" t="e">
        <f>#N/A</f>
        <v>#N/A</v>
      </c>
      <c r="F100" s="47" t="e">
        <f>#N/A</f>
        <v>#N/A</v>
      </c>
      <c r="G100" s="37" t="e">
        <f>#N/A</f>
        <v>#N/A</v>
      </c>
      <c r="H100" s="47" t="e">
        <f>#N/A</f>
        <v>#N/A</v>
      </c>
      <c r="I100" s="4"/>
      <c r="J100" s="4"/>
      <c r="K100" s="4"/>
      <c r="L100" s="4"/>
      <c r="M100" s="2">
        <v>5.6710000000000003</v>
      </c>
      <c r="N100" s="49">
        <v>5.0650000000000004</v>
      </c>
      <c r="O100" s="51">
        <v>5.2492977284550024</v>
      </c>
      <c r="P100" s="51">
        <v>0.10870227154499738</v>
      </c>
      <c r="Q100" s="37">
        <v>0.35050170959999999</v>
      </c>
      <c r="R100" s="51">
        <v>3.359</v>
      </c>
      <c r="S100" s="2">
        <v>1.4550000000000001</v>
      </c>
      <c r="T100" s="37">
        <v>4.25</v>
      </c>
      <c r="U100" s="48">
        <v>2.7521269841269835</v>
      </c>
      <c r="V100" s="50" t="e">
        <f>#N/A</f>
        <v>#N/A</v>
      </c>
      <c r="W100" s="5"/>
      <c r="X100" s="5"/>
      <c r="Y100" s="5"/>
      <c r="Z100" s="5"/>
      <c r="AA100" s="5"/>
      <c r="AB100" s="49">
        <v>2.22553605498871</v>
      </c>
      <c r="AC100" s="47" t="e">
        <f>#N/A</f>
        <v>#N/A</v>
      </c>
      <c r="AD100" s="37">
        <v>10</v>
      </c>
      <c r="AE100" s="37">
        <v>5</v>
      </c>
      <c r="AF100" s="37">
        <v>0</v>
      </c>
      <c r="AG100" s="18"/>
      <c r="AH100" s="18"/>
      <c r="AI100" s="18"/>
      <c r="AJ100" s="18"/>
      <c r="AK100" s="18"/>
      <c r="AL100" s="18"/>
      <c r="AM100" s="18"/>
      <c r="AN100" s="18"/>
      <c r="AO100" s="18"/>
      <c r="AP100" s="18"/>
      <c r="AQ100" s="8" t="e">
        <f>#N/A</f>
        <v>#N/A</v>
      </c>
      <c r="AR100" s="8" t="e">
        <f>#N/A</f>
        <v>#N/A</v>
      </c>
      <c r="AS100" s="60" t="e">
        <f>#N/A</f>
        <v>#N/A</v>
      </c>
      <c r="AT100" s="60" t="e">
        <f>#N/A</f>
        <v>#N/A</v>
      </c>
      <c r="AU100" s="60" t="e">
        <f>#N/A</f>
        <v>#N/A</v>
      </c>
    </row>
    <row r="101" spans="1:47" x14ac:dyDescent="0.2">
      <c r="A101" s="43">
        <v>0.01</v>
      </c>
      <c r="B101" s="43">
        <v>2.0308527172725466E-3</v>
      </c>
      <c r="C101" s="43">
        <v>0</v>
      </c>
      <c r="D101" s="7" t="e">
        <f>#N/A</f>
        <v>#N/A</v>
      </c>
      <c r="E101" s="7" t="e">
        <f>#N/A</f>
        <v>#N/A</v>
      </c>
      <c r="F101" s="47" t="e">
        <f>#N/A</f>
        <v>#N/A</v>
      </c>
      <c r="G101" s="37" t="e">
        <f>#N/A</f>
        <v>#N/A</v>
      </c>
      <c r="H101" s="47" t="e">
        <f>#N/A</f>
        <v>#N/A</v>
      </c>
      <c r="I101" s="4"/>
      <c r="J101" s="4"/>
      <c r="K101" s="4"/>
      <c r="L101" s="4"/>
      <c r="M101" s="2">
        <v>5.6710000000000003</v>
      </c>
      <c r="N101" s="49">
        <v>5.0650000000000004</v>
      </c>
      <c r="O101" s="51">
        <v>5.2492977284550024</v>
      </c>
      <c r="P101" s="51">
        <v>0.10870227154499738</v>
      </c>
      <c r="Q101" s="37">
        <v>0.35050170959999999</v>
      </c>
      <c r="R101" s="51">
        <v>3.359</v>
      </c>
      <c r="S101" s="2">
        <v>1.4550000000000001</v>
      </c>
      <c r="T101" s="37">
        <v>4.25</v>
      </c>
      <c r="U101" s="48">
        <v>2.7521269841269835</v>
      </c>
      <c r="V101" s="50" t="e">
        <f>#N/A</f>
        <v>#N/A</v>
      </c>
      <c r="W101" s="5"/>
      <c r="X101" s="5"/>
      <c r="Y101" s="5"/>
      <c r="Z101" s="5"/>
      <c r="AA101" s="5"/>
      <c r="AB101" s="49">
        <v>2.22553605498871</v>
      </c>
      <c r="AC101" s="47" t="e">
        <f>#N/A</f>
        <v>#N/A</v>
      </c>
      <c r="AD101" s="37">
        <v>10</v>
      </c>
      <c r="AE101" s="37">
        <v>5</v>
      </c>
      <c r="AF101" s="50"/>
      <c r="AG101" s="18"/>
      <c r="AH101" s="18"/>
      <c r="AI101" s="18"/>
      <c r="AJ101" s="18"/>
      <c r="AK101" s="18"/>
      <c r="AL101" s="18"/>
      <c r="AM101" s="18"/>
      <c r="AN101" s="18"/>
      <c r="AO101" s="18"/>
      <c r="AP101" s="18"/>
      <c r="AQ101" s="8" t="e">
        <f>#N/A</f>
        <v>#N/A</v>
      </c>
      <c r="AR101" s="8" t="e">
        <f>#N/A</f>
        <v>#N/A</v>
      </c>
      <c r="AS101" s="60" t="e">
        <f>#N/A</f>
        <v>#N/A</v>
      </c>
      <c r="AT101" s="60" t="e">
        <f>#N/A</f>
        <v>#N/A</v>
      </c>
      <c r="AU101" s="60" t="e">
        <f>#N/A</f>
        <v>#N/A</v>
      </c>
    </row>
    <row r="102" spans="1:47" x14ac:dyDescent="0.2">
      <c r="A102" s="43">
        <v>0.01</v>
      </c>
      <c r="B102" s="43">
        <v>2.0308527172725466E-3</v>
      </c>
      <c r="C102" s="43">
        <v>0</v>
      </c>
      <c r="D102" s="7" t="e">
        <f>#N/A</f>
        <v>#N/A</v>
      </c>
      <c r="E102" s="7" t="e">
        <f>#N/A</f>
        <v>#N/A</v>
      </c>
      <c r="F102" s="47" t="e">
        <f>#N/A</f>
        <v>#N/A</v>
      </c>
      <c r="G102" s="37" t="e">
        <f>#N/A</f>
        <v>#N/A</v>
      </c>
      <c r="H102" s="47" t="e">
        <f>#N/A</f>
        <v>#N/A</v>
      </c>
      <c r="I102" s="4"/>
      <c r="J102" s="4"/>
      <c r="K102" s="4"/>
      <c r="L102" s="4"/>
      <c r="M102" s="2">
        <v>5.6710000000000003</v>
      </c>
      <c r="N102" s="49">
        <v>5.0650000000000004</v>
      </c>
      <c r="O102" s="51">
        <v>5.2492977284550024</v>
      </c>
      <c r="P102" s="51">
        <v>0.10870227154499738</v>
      </c>
      <c r="Q102" s="37">
        <v>0.35050170959999999</v>
      </c>
      <c r="R102" s="51">
        <v>3.359</v>
      </c>
      <c r="S102" s="2">
        <v>1.4550000000000001</v>
      </c>
      <c r="T102" s="37">
        <v>4.25</v>
      </c>
      <c r="U102" s="48">
        <v>2.7521269841269835</v>
      </c>
      <c r="V102" s="50" t="e">
        <f>#N/A</f>
        <v>#N/A</v>
      </c>
      <c r="W102" s="5"/>
      <c r="X102" s="5"/>
      <c r="Y102" s="5"/>
      <c r="Z102" s="5"/>
      <c r="AA102" s="5"/>
      <c r="AB102" s="49">
        <v>2.22553605498871</v>
      </c>
      <c r="AC102" s="47" t="e">
        <f>#N/A</f>
        <v>#N/A</v>
      </c>
      <c r="AD102" s="37">
        <v>10</v>
      </c>
      <c r="AE102" s="37">
        <v>5</v>
      </c>
      <c r="AF102" s="50"/>
      <c r="AG102" s="18"/>
      <c r="AH102" s="18"/>
      <c r="AI102" s="18"/>
      <c r="AJ102" s="18"/>
      <c r="AK102" s="18"/>
      <c r="AL102" s="18"/>
      <c r="AM102" s="18"/>
      <c r="AN102" s="18"/>
      <c r="AO102" s="18"/>
      <c r="AP102" s="18"/>
      <c r="AQ102" s="8" t="e">
        <f>#N/A</f>
        <v>#N/A</v>
      </c>
      <c r="AR102" s="8" t="e">
        <f>#N/A</f>
        <v>#N/A</v>
      </c>
      <c r="AS102" s="60" t="e">
        <f>#N/A</f>
        <v>#N/A</v>
      </c>
      <c r="AT102" s="60" t="e">
        <f>#N/A</f>
        <v>#N/A</v>
      </c>
      <c r="AU102" s="60" t="e">
        <f>#N/A</f>
        <v>#N/A</v>
      </c>
    </row>
    <row r="103" spans="1:47" x14ac:dyDescent="0.2">
      <c r="A103" s="43">
        <v>0.01</v>
      </c>
      <c r="B103" s="43">
        <v>2.0308527172725466E-3</v>
      </c>
      <c r="C103" s="43">
        <v>0</v>
      </c>
      <c r="D103" s="7" t="e">
        <f>#N/A</f>
        <v>#N/A</v>
      </c>
      <c r="E103" s="7" t="e">
        <f>#N/A</f>
        <v>#N/A</v>
      </c>
      <c r="F103" s="47" t="e">
        <f>#N/A</f>
        <v>#N/A</v>
      </c>
      <c r="G103" s="37" t="e">
        <f>#N/A</f>
        <v>#N/A</v>
      </c>
      <c r="H103" s="47" t="e">
        <f>#N/A</f>
        <v>#N/A</v>
      </c>
      <c r="I103" s="4"/>
      <c r="J103" s="4"/>
      <c r="K103" s="4"/>
      <c r="L103" s="4"/>
      <c r="M103" s="2">
        <v>5.6710000000000003</v>
      </c>
      <c r="N103" s="49">
        <v>5.0650000000000004</v>
      </c>
      <c r="O103" s="51">
        <v>5.2492977284550024</v>
      </c>
      <c r="P103" s="51">
        <v>0.10870227154499738</v>
      </c>
      <c r="Q103" s="37">
        <v>0.33226572999999998</v>
      </c>
      <c r="R103" s="51">
        <v>3.359</v>
      </c>
      <c r="S103" s="2">
        <v>1.4550000000000001</v>
      </c>
      <c r="T103" s="37">
        <v>4.25</v>
      </c>
      <c r="U103" s="48">
        <v>2.7521269841269835</v>
      </c>
      <c r="V103" s="50" t="e">
        <f>#N/A</f>
        <v>#N/A</v>
      </c>
      <c r="W103" s="5"/>
      <c r="X103" s="5"/>
      <c r="Y103" s="5"/>
      <c r="Z103" s="5"/>
      <c r="AA103" s="5"/>
      <c r="AB103" s="49">
        <v>2.22553605498871</v>
      </c>
      <c r="AC103" s="47" t="e">
        <f>#N/A</f>
        <v>#N/A</v>
      </c>
      <c r="AD103" s="37">
        <v>10</v>
      </c>
      <c r="AE103" s="37">
        <v>5</v>
      </c>
      <c r="AF103" s="50"/>
      <c r="AG103" s="18"/>
      <c r="AH103" s="18"/>
      <c r="AI103" s="18"/>
      <c r="AJ103" s="18"/>
      <c r="AK103" s="18"/>
      <c r="AL103" s="18"/>
      <c r="AM103" s="18"/>
      <c r="AN103" s="18"/>
      <c r="AO103" s="18"/>
      <c r="AP103" s="18"/>
      <c r="AQ103" s="8" t="e">
        <f>#N/A</f>
        <v>#N/A</v>
      </c>
      <c r="AR103" s="8" t="e">
        <f>#N/A</f>
        <v>#N/A</v>
      </c>
      <c r="AS103" s="60" t="e">
        <f>#N/A</f>
        <v>#N/A</v>
      </c>
      <c r="AT103" s="60" t="e">
        <f>#N/A</f>
        <v>#N/A</v>
      </c>
      <c r="AU103" s="60" t="e">
        <f>#N/A</f>
        <v>#N/A</v>
      </c>
    </row>
    <row r="104" spans="1:47" x14ac:dyDescent="0.2">
      <c r="A104" s="43">
        <v>0.01</v>
      </c>
      <c r="B104" s="43">
        <v>2.0308527172725466E-3</v>
      </c>
      <c r="C104" s="43">
        <v>0</v>
      </c>
      <c r="D104" s="7" t="e">
        <f>#N/A</f>
        <v>#N/A</v>
      </c>
      <c r="E104" s="7" t="e">
        <f>#N/A</f>
        <v>#N/A</v>
      </c>
      <c r="F104" s="47" t="e">
        <f>#N/A</f>
        <v>#N/A</v>
      </c>
      <c r="G104" s="37" t="e">
        <f>#N/A</f>
        <v>#N/A</v>
      </c>
      <c r="H104" s="47" t="e">
        <f>#N/A</f>
        <v>#N/A</v>
      </c>
      <c r="I104" s="4"/>
      <c r="J104" s="4"/>
      <c r="K104" s="4"/>
      <c r="L104" s="4"/>
      <c r="M104" s="2">
        <v>5.6710000000000003</v>
      </c>
      <c r="N104" s="49">
        <v>5.0650000000000004</v>
      </c>
      <c r="O104" s="51">
        <v>5.2492977284550024</v>
      </c>
      <c r="P104" s="51">
        <v>0.10870227154499738</v>
      </c>
      <c r="Q104" s="37">
        <v>0.33226572999999998</v>
      </c>
      <c r="R104" s="51">
        <v>3.359</v>
      </c>
      <c r="S104" s="2">
        <v>1.4550000000000001</v>
      </c>
      <c r="T104" s="37">
        <v>4.25</v>
      </c>
      <c r="U104" s="48">
        <v>2.7521269841269835</v>
      </c>
      <c r="V104" s="50" t="e">
        <f>#N/A</f>
        <v>#N/A</v>
      </c>
      <c r="W104" s="5"/>
      <c r="X104" s="5"/>
      <c r="Y104" s="5"/>
      <c r="Z104" s="5"/>
      <c r="AA104" s="5"/>
      <c r="AB104" s="49">
        <v>2.22553605498871</v>
      </c>
      <c r="AC104" s="47" t="e">
        <f>#N/A</f>
        <v>#N/A</v>
      </c>
      <c r="AD104" s="37">
        <v>10</v>
      </c>
      <c r="AE104" s="37">
        <v>5</v>
      </c>
      <c r="AF104" s="50"/>
      <c r="AG104" s="18"/>
      <c r="AH104" s="18"/>
      <c r="AI104" s="18"/>
      <c r="AJ104" s="18"/>
      <c r="AK104" s="18"/>
      <c r="AL104" s="18"/>
      <c r="AM104" s="18"/>
      <c r="AN104" s="18"/>
      <c r="AO104" s="18"/>
      <c r="AP104" s="18"/>
      <c r="AQ104" s="8" t="e">
        <f>#N/A</f>
        <v>#N/A</v>
      </c>
      <c r="AR104" s="8" t="e">
        <f>#N/A</f>
        <v>#N/A</v>
      </c>
      <c r="AS104" s="60" t="e">
        <f>#N/A</f>
        <v>#N/A</v>
      </c>
      <c r="AT104" s="60" t="e">
        <f>#N/A</f>
        <v>#N/A</v>
      </c>
      <c r="AU104" s="60" t="e">
        <f>#N/A</f>
        <v>#N/A</v>
      </c>
    </row>
    <row r="105" spans="1:47" x14ac:dyDescent="0.2">
      <c r="A105" s="43">
        <v>0.01</v>
      </c>
      <c r="B105" s="43">
        <v>2.0308527172725466E-3</v>
      </c>
      <c r="C105" s="43">
        <v>0</v>
      </c>
      <c r="D105" s="7" t="e">
        <f>#N/A</f>
        <v>#N/A</v>
      </c>
      <c r="E105" s="7" t="e">
        <f>#N/A</f>
        <v>#N/A</v>
      </c>
      <c r="F105" s="47" t="e">
        <f>#N/A</f>
        <v>#N/A</v>
      </c>
      <c r="G105" s="37" t="e">
        <f>#N/A</f>
        <v>#N/A</v>
      </c>
      <c r="H105" s="47" t="e">
        <f>#N/A</f>
        <v>#N/A</v>
      </c>
      <c r="I105" s="4"/>
      <c r="J105" s="4"/>
      <c r="K105" s="4"/>
      <c r="L105" s="4"/>
      <c r="M105" s="2">
        <v>5.6710000000000003</v>
      </c>
      <c r="N105" s="49">
        <v>5.0650000000000004</v>
      </c>
      <c r="O105" s="51">
        <v>5.2492977284550024</v>
      </c>
      <c r="P105" s="51">
        <v>0.10870227154499738</v>
      </c>
      <c r="Q105" s="52">
        <v>0.33226572999999998</v>
      </c>
      <c r="R105" s="51">
        <v>3.359</v>
      </c>
      <c r="S105" s="2">
        <v>1.4550000000000001</v>
      </c>
      <c r="T105" s="37">
        <v>4.25</v>
      </c>
      <c r="U105" s="48">
        <v>2.7521269841269835</v>
      </c>
      <c r="V105" s="50" t="e">
        <f>#N/A</f>
        <v>#N/A</v>
      </c>
      <c r="W105" s="5"/>
      <c r="X105" s="5"/>
      <c r="Y105" s="5"/>
      <c r="Z105" s="5"/>
      <c r="AA105" s="5"/>
      <c r="AB105" s="49">
        <v>2.22553605498871</v>
      </c>
      <c r="AC105" s="47" t="e">
        <f>#N/A</f>
        <v>#N/A</v>
      </c>
      <c r="AD105" s="37">
        <v>10</v>
      </c>
      <c r="AE105" s="37">
        <v>5</v>
      </c>
      <c r="AF105" s="50"/>
      <c r="AG105" s="18"/>
      <c r="AH105" s="18"/>
      <c r="AI105" s="18"/>
      <c r="AJ105" s="18"/>
      <c r="AK105" s="18"/>
      <c r="AL105" s="18"/>
      <c r="AM105" s="18"/>
      <c r="AN105" s="18"/>
      <c r="AO105" s="18"/>
      <c r="AP105" s="18"/>
      <c r="AQ105" s="8" t="e">
        <f>#N/A</f>
        <v>#N/A</v>
      </c>
      <c r="AR105" s="8" t="e">
        <f>#N/A</f>
        <v>#N/A</v>
      </c>
      <c r="AS105" s="60" t="e">
        <f>#N/A</f>
        <v>#N/A</v>
      </c>
      <c r="AT105" s="60" t="e">
        <f>#N/A</f>
        <v>#N/A</v>
      </c>
      <c r="AU105" s="60" t="e">
        <f>#N/A</f>
        <v>#N/A</v>
      </c>
    </row>
    <row r="106" spans="1:47" x14ac:dyDescent="0.2">
      <c r="A106" s="43">
        <v>0.01</v>
      </c>
      <c r="B106" s="43">
        <v>2.0308527172725466E-3</v>
      </c>
      <c r="C106" s="43">
        <v>0</v>
      </c>
      <c r="D106" s="7" t="e">
        <f>#N/A</f>
        <v>#N/A</v>
      </c>
      <c r="E106" s="7" t="e">
        <f>#N/A</f>
        <v>#N/A</v>
      </c>
      <c r="F106" s="47" t="e">
        <f>#N/A</f>
        <v>#N/A</v>
      </c>
      <c r="G106" s="37" t="e">
        <f>#N/A</f>
        <v>#N/A</v>
      </c>
      <c r="H106" s="47" t="e">
        <f>#N/A</f>
        <v>#N/A</v>
      </c>
      <c r="I106" s="4"/>
      <c r="J106" s="4"/>
      <c r="K106" s="4"/>
      <c r="L106" s="4"/>
      <c r="M106" s="2">
        <v>5.6710000000000003</v>
      </c>
      <c r="N106" s="49">
        <v>5.0650000000000004</v>
      </c>
      <c r="O106" s="51">
        <v>5.2492977284550024</v>
      </c>
      <c r="P106" s="51">
        <v>0.10870227154499738</v>
      </c>
      <c r="Q106" s="52">
        <v>0.3128706839</v>
      </c>
      <c r="R106" s="51">
        <v>3.359</v>
      </c>
      <c r="S106" s="2">
        <v>1.4550000000000001</v>
      </c>
      <c r="T106" s="37">
        <v>2.5</v>
      </c>
      <c r="U106" s="48">
        <v>1.5238095238095237</v>
      </c>
      <c r="V106" s="50" t="e">
        <f>#N/A</f>
        <v>#N/A</v>
      </c>
      <c r="W106" s="5"/>
      <c r="X106" s="5"/>
      <c r="Y106" s="5"/>
      <c r="Z106" s="5"/>
      <c r="AA106" s="5"/>
      <c r="AB106" s="49">
        <v>2.22553605498871</v>
      </c>
      <c r="AC106" s="47" t="e">
        <f>#N/A</f>
        <v>#N/A</v>
      </c>
      <c r="AD106" s="37">
        <v>10</v>
      </c>
      <c r="AE106" s="37">
        <v>5</v>
      </c>
      <c r="AF106" s="50"/>
      <c r="AG106" s="18"/>
      <c r="AH106" s="18"/>
      <c r="AI106" s="18"/>
      <c r="AJ106" s="18"/>
      <c r="AK106" s="18"/>
      <c r="AL106" s="18"/>
      <c r="AM106" s="18"/>
      <c r="AN106" s="18"/>
      <c r="AO106" s="18"/>
      <c r="AP106" s="18"/>
      <c r="AQ106" s="8" t="e">
        <f>#N/A</f>
        <v>#N/A</v>
      </c>
      <c r="AR106" s="8" t="e">
        <f>#N/A</f>
        <v>#N/A</v>
      </c>
      <c r="AS106" s="60" t="e">
        <f>#N/A</f>
        <v>#N/A</v>
      </c>
      <c r="AT106" s="60" t="e">
        <f>#N/A</f>
        <v>#N/A</v>
      </c>
      <c r="AU106" s="60" t="e">
        <f>#N/A</f>
        <v>#N/A</v>
      </c>
    </row>
    <row r="107" spans="1:47" x14ac:dyDescent="0.2">
      <c r="A107" s="43">
        <v>0.01</v>
      </c>
      <c r="B107" s="43">
        <v>2.0308527172725466E-3</v>
      </c>
      <c r="C107" s="43">
        <v>0</v>
      </c>
      <c r="D107" s="7" t="e">
        <f>#N/A</f>
        <v>#N/A</v>
      </c>
      <c r="E107" s="7" t="e">
        <f>#N/A</f>
        <v>#N/A</v>
      </c>
      <c r="F107" s="47" t="e">
        <f>#N/A</f>
        <v>#N/A</v>
      </c>
      <c r="G107" s="37" t="e">
        <f>#N/A</f>
        <v>#N/A</v>
      </c>
      <c r="H107" s="47" t="e">
        <f>#N/A</f>
        <v>#N/A</v>
      </c>
      <c r="I107" s="4"/>
      <c r="J107" s="4"/>
      <c r="K107" s="4"/>
      <c r="L107" s="4"/>
      <c r="M107" s="2">
        <v>5.6710000000000003</v>
      </c>
      <c r="N107" s="49">
        <v>5.0650000000000004</v>
      </c>
      <c r="O107" s="51">
        <v>5.2492977284550024</v>
      </c>
      <c r="P107" s="51">
        <v>0.10870227154499738</v>
      </c>
      <c r="Q107" s="52">
        <v>0.3128706839</v>
      </c>
      <c r="R107" s="51">
        <v>3.359</v>
      </c>
      <c r="S107" s="2">
        <v>1.4550000000000001</v>
      </c>
      <c r="T107" s="37">
        <v>2.5</v>
      </c>
      <c r="U107" s="48">
        <v>1.5238095238095237</v>
      </c>
      <c r="V107" s="50" t="e">
        <f>#N/A</f>
        <v>#N/A</v>
      </c>
      <c r="W107" s="5"/>
      <c r="X107" s="5"/>
      <c r="Y107" s="5"/>
      <c r="Z107" s="5"/>
      <c r="AA107" s="5"/>
      <c r="AB107" s="49">
        <v>2.22553605498871</v>
      </c>
      <c r="AC107" s="47" t="e">
        <f>#N/A</f>
        <v>#N/A</v>
      </c>
      <c r="AD107" s="37">
        <v>10</v>
      </c>
      <c r="AE107" s="37">
        <v>5</v>
      </c>
      <c r="AF107" s="50"/>
      <c r="AG107" s="18"/>
      <c r="AH107" s="18"/>
      <c r="AI107" s="18"/>
      <c r="AJ107" s="18"/>
      <c r="AK107" s="18"/>
      <c r="AL107" s="18"/>
      <c r="AM107" s="18"/>
      <c r="AN107" s="18"/>
      <c r="AO107" s="18"/>
      <c r="AP107" s="18"/>
      <c r="AQ107" s="8" t="e">
        <f>#N/A</f>
        <v>#N/A</v>
      </c>
      <c r="AR107" s="8" t="e">
        <f>#N/A</f>
        <v>#N/A</v>
      </c>
      <c r="AS107" s="60" t="e">
        <f>#N/A</f>
        <v>#N/A</v>
      </c>
      <c r="AT107" s="60" t="e">
        <f>#N/A</f>
        <v>#N/A</v>
      </c>
      <c r="AU107" s="60" t="e">
        <f>#N/A</f>
        <v>#N/A</v>
      </c>
    </row>
    <row r="108" spans="1:47" x14ac:dyDescent="0.2">
      <c r="A108" s="43">
        <v>0.01</v>
      </c>
      <c r="B108" s="43">
        <v>2.0308527172725466E-3</v>
      </c>
      <c r="C108" s="43">
        <v>0</v>
      </c>
      <c r="D108" s="7" t="e">
        <f>#N/A</f>
        <v>#N/A</v>
      </c>
      <c r="E108" s="7" t="e">
        <f>#N/A</f>
        <v>#N/A</v>
      </c>
      <c r="F108" s="47" t="e">
        <f>#N/A</f>
        <v>#N/A</v>
      </c>
      <c r="G108" s="37" t="e">
        <f>#N/A</f>
        <v>#N/A</v>
      </c>
      <c r="H108" s="47" t="e">
        <f>#N/A</f>
        <v>#N/A</v>
      </c>
      <c r="I108" s="4"/>
      <c r="J108" s="4"/>
      <c r="K108" s="4"/>
      <c r="L108" s="4"/>
      <c r="M108" s="2">
        <v>5.6710000000000003</v>
      </c>
      <c r="N108" s="49">
        <v>5.0650000000000004</v>
      </c>
      <c r="O108" s="51">
        <v>5.2492977284550024</v>
      </c>
      <c r="P108" s="51">
        <v>0.10870227154499738</v>
      </c>
      <c r="Q108" s="52">
        <v>0.3128706839</v>
      </c>
      <c r="R108" s="51">
        <v>3.359</v>
      </c>
      <c r="S108" s="2">
        <v>1.4550000000000001</v>
      </c>
      <c r="T108" s="37">
        <v>2.5</v>
      </c>
      <c r="U108" s="48">
        <v>1.5238095238095237</v>
      </c>
      <c r="V108" s="50" t="e">
        <f>#N/A</f>
        <v>#N/A</v>
      </c>
      <c r="W108" s="5"/>
      <c r="X108" s="5"/>
      <c r="Y108" s="5"/>
      <c r="Z108" s="5"/>
      <c r="AA108" s="5"/>
      <c r="AB108" s="49">
        <v>2.22553605498871</v>
      </c>
      <c r="AC108" s="47" t="e">
        <f>#N/A</f>
        <v>#N/A</v>
      </c>
      <c r="AD108" s="37">
        <v>10</v>
      </c>
      <c r="AE108" s="37">
        <v>5</v>
      </c>
      <c r="AF108" s="50"/>
      <c r="AG108" s="18"/>
      <c r="AH108" s="18"/>
      <c r="AI108" s="18"/>
      <c r="AJ108" s="18"/>
      <c r="AK108" s="18"/>
      <c r="AL108" s="18"/>
      <c r="AM108" s="18"/>
      <c r="AN108" s="18"/>
      <c r="AO108" s="18"/>
      <c r="AP108" s="18"/>
      <c r="AQ108" s="8" t="e">
        <f>#N/A</f>
        <v>#N/A</v>
      </c>
      <c r="AR108" s="8" t="e">
        <f>#N/A</f>
        <v>#N/A</v>
      </c>
      <c r="AS108" s="60" t="e">
        <f>#N/A</f>
        <v>#N/A</v>
      </c>
      <c r="AT108" s="60" t="e">
        <f>#N/A</f>
        <v>#N/A</v>
      </c>
      <c r="AU108" s="60" t="e">
        <f>#N/A</f>
        <v>#N/A</v>
      </c>
    </row>
    <row r="109" spans="1:47" x14ac:dyDescent="0.2">
      <c r="A109" s="43">
        <v>0.01</v>
      </c>
      <c r="B109" s="43">
        <v>2.0308527172725466E-3</v>
      </c>
      <c r="C109" s="43">
        <v>0</v>
      </c>
      <c r="D109" s="7" t="e">
        <f>#N/A</f>
        <v>#N/A</v>
      </c>
      <c r="E109" s="7" t="e">
        <f>#N/A</f>
        <v>#N/A</v>
      </c>
      <c r="F109" s="47" t="e">
        <f>#N/A</f>
        <v>#N/A</v>
      </c>
      <c r="G109" s="37" t="e">
        <f>#N/A</f>
        <v>#N/A</v>
      </c>
      <c r="H109" s="47" t="e">
        <f>#N/A</f>
        <v>#N/A</v>
      </c>
      <c r="I109" s="4"/>
      <c r="J109" s="4"/>
      <c r="K109" s="4"/>
      <c r="L109" s="4"/>
      <c r="M109" s="2">
        <v>5.6710000000000003</v>
      </c>
      <c r="N109" s="49">
        <v>5.0650000000000004</v>
      </c>
      <c r="O109" s="51">
        <v>5.2492977284550024</v>
      </c>
      <c r="P109" s="51">
        <v>0.10870227154499738</v>
      </c>
      <c r="Q109" s="52">
        <v>0.3128706839</v>
      </c>
      <c r="R109" s="51">
        <v>3.359</v>
      </c>
      <c r="S109" s="2">
        <v>1.4550000000000001</v>
      </c>
      <c r="T109" s="37">
        <v>2.5</v>
      </c>
      <c r="U109" s="48">
        <v>1.5238095238095237</v>
      </c>
      <c r="V109" s="50" t="e">
        <f>#N/A</f>
        <v>#N/A</v>
      </c>
      <c r="W109" s="5"/>
      <c r="X109" s="5"/>
      <c r="Y109" s="5"/>
      <c r="Z109" s="5"/>
      <c r="AA109" s="5"/>
      <c r="AB109" s="49">
        <v>2.22553605498871</v>
      </c>
      <c r="AC109" s="47" t="e">
        <f>#N/A</f>
        <v>#N/A</v>
      </c>
      <c r="AD109" s="37">
        <v>10</v>
      </c>
      <c r="AE109" s="37">
        <v>5</v>
      </c>
      <c r="AF109" s="50"/>
      <c r="AG109" s="18"/>
      <c r="AH109" s="18"/>
      <c r="AI109" s="18"/>
      <c r="AJ109" s="18"/>
      <c r="AK109" s="18"/>
      <c r="AL109" s="18"/>
      <c r="AM109" s="18"/>
      <c r="AN109" s="18"/>
      <c r="AO109" s="18"/>
      <c r="AP109" s="18"/>
      <c r="AQ109" s="8" t="e">
        <f>#N/A</f>
        <v>#N/A</v>
      </c>
      <c r="AR109" s="8" t="e">
        <f>#N/A</f>
        <v>#N/A</v>
      </c>
      <c r="AS109" s="60" t="e">
        <f>#N/A</f>
        <v>#N/A</v>
      </c>
      <c r="AT109" s="60" t="e">
        <f>#N/A</f>
        <v>#N/A</v>
      </c>
      <c r="AU109" s="60" t="e">
        <f>#N/A</f>
        <v>#N/A</v>
      </c>
    </row>
    <row r="110" spans="1:47" x14ac:dyDescent="0.2">
      <c r="A110" s="43">
        <v>0.01</v>
      </c>
      <c r="B110" s="43">
        <v>2.0308527172725466E-3</v>
      </c>
      <c r="C110" s="43">
        <v>0</v>
      </c>
      <c r="D110" s="7" t="e">
        <f>#N/A</f>
        <v>#N/A</v>
      </c>
      <c r="E110" s="7" t="e">
        <f>#N/A</f>
        <v>#N/A</v>
      </c>
      <c r="F110" s="47" t="e">
        <f>#N/A</f>
        <v>#N/A</v>
      </c>
      <c r="G110" s="37" t="e">
        <f>#N/A</f>
        <v>#N/A</v>
      </c>
      <c r="H110" s="47" t="e">
        <f>#N/A</f>
        <v>#N/A</v>
      </c>
      <c r="I110" s="4"/>
      <c r="J110" s="4"/>
      <c r="K110" s="4"/>
      <c r="L110" s="4"/>
      <c r="M110" s="2">
        <v>5.6710000000000003</v>
      </c>
      <c r="N110" s="49">
        <v>5.0650000000000004</v>
      </c>
      <c r="O110" s="51">
        <v>5.2492977284550024</v>
      </c>
      <c r="P110" s="51">
        <v>0.10870227154499738</v>
      </c>
      <c r="Q110" s="52">
        <v>0.33226572999999998</v>
      </c>
      <c r="R110" s="51">
        <v>3.359</v>
      </c>
      <c r="S110" s="2">
        <v>1.4550000000000001</v>
      </c>
      <c r="T110" s="37">
        <v>4.25</v>
      </c>
      <c r="U110" s="48">
        <v>2.7521269841269835</v>
      </c>
      <c r="V110" s="50" t="e">
        <f>#N/A</f>
        <v>#N/A</v>
      </c>
      <c r="W110" s="5"/>
      <c r="X110" s="5"/>
      <c r="Y110" s="5"/>
      <c r="Z110" s="5"/>
      <c r="AA110" s="5"/>
      <c r="AB110" s="49">
        <v>2.22553605498871</v>
      </c>
      <c r="AC110" s="47" t="e">
        <f>#N/A</f>
        <v>#N/A</v>
      </c>
      <c r="AD110" s="37">
        <v>10</v>
      </c>
      <c r="AE110" s="37">
        <v>5</v>
      </c>
      <c r="AF110" s="50"/>
      <c r="AG110" s="18"/>
      <c r="AH110" s="18"/>
      <c r="AI110" s="18"/>
      <c r="AJ110" s="18"/>
      <c r="AK110" s="18"/>
      <c r="AL110" s="18"/>
      <c r="AM110" s="18"/>
      <c r="AN110" s="18"/>
      <c r="AO110" s="18"/>
      <c r="AP110" s="18"/>
      <c r="AQ110" s="8" t="e">
        <f>#N/A</f>
        <v>#N/A</v>
      </c>
      <c r="AR110" s="8" t="e">
        <f>#N/A</f>
        <v>#N/A</v>
      </c>
      <c r="AS110" s="60" t="e">
        <f>#N/A</f>
        <v>#N/A</v>
      </c>
      <c r="AT110" s="60" t="e">
        <f>#N/A</f>
        <v>#N/A</v>
      </c>
      <c r="AU110" s="60" t="e">
        <f>#N/A</f>
        <v>#N/A</v>
      </c>
    </row>
    <row r="111" spans="1:47" x14ac:dyDescent="0.2">
      <c r="A111" s="43">
        <v>0.01</v>
      </c>
      <c r="B111" s="43">
        <v>2.0308527172725466E-3</v>
      </c>
      <c r="C111" s="43">
        <v>0</v>
      </c>
      <c r="D111" s="7" t="e">
        <f>#N/A</f>
        <v>#N/A</v>
      </c>
      <c r="E111" s="7" t="e">
        <f>#N/A</f>
        <v>#N/A</v>
      </c>
      <c r="F111" s="47" t="e">
        <f>#N/A</f>
        <v>#N/A</v>
      </c>
      <c r="G111" s="37" t="e">
        <f>#N/A</f>
        <v>#N/A</v>
      </c>
      <c r="H111" s="47" t="e">
        <f>#N/A</f>
        <v>#N/A</v>
      </c>
      <c r="I111" s="4"/>
      <c r="J111" s="4"/>
      <c r="K111" s="4"/>
      <c r="L111" s="4"/>
      <c r="M111" s="4"/>
      <c r="N111" s="49">
        <v>5.0650000000000004</v>
      </c>
      <c r="O111" s="51">
        <v>5.2492977284550024</v>
      </c>
      <c r="P111" s="51">
        <v>0.10870227154499738</v>
      </c>
      <c r="Q111" s="52">
        <v>0.33226572999999998</v>
      </c>
      <c r="R111" s="51">
        <v>3.359</v>
      </c>
      <c r="S111" s="2">
        <v>1.4550000000000001</v>
      </c>
      <c r="T111" s="37">
        <v>4.25</v>
      </c>
      <c r="U111" s="48">
        <v>2.7521269841269835</v>
      </c>
      <c r="V111" s="50" t="e">
        <f>#N/A</f>
        <v>#N/A</v>
      </c>
      <c r="W111" s="5"/>
      <c r="X111" s="5"/>
      <c r="Y111" s="5"/>
      <c r="Z111" s="5"/>
      <c r="AA111" s="5"/>
      <c r="AB111" s="49">
        <v>2.22553605498871</v>
      </c>
      <c r="AC111" s="47" t="e">
        <f>#N/A</f>
        <v>#N/A</v>
      </c>
      <c r="AD111" s="37">
        <v>10</v>
      </c>
      <c r="AE111" s="37">
        <v>5</v>
      </c>
      <c r="AF111" s="50"/>
      <c r="AG111" s="18"/>
      <c r="AH111" s="18"/>
      <c r="AI111" s="18"/>
      <c r="AJ111" s="18"/>
      <c r="AK111" s="18"/>
      <c r="AL111" s="18"/>
      <c r="AM111" s="18"/>
      <c r="AN111" s="18"/>
      <c r="AO111" s="18"/>
      <c r="AP111" s="18"/>
      <c r="AQ111" s="8" t="e">
        <f>#N/A</f>
        <v>#N/A</v>
      </c>
      <c r="AR111" s="8" t="e">
        <f>#N/A</f>
        <v>#N/A</v>
      </c>
      <c r="AS111" s="60" t="e">
        <f>#N/A</f>
        <v>#N/A</v>
      </c>
      <c r="AT111" s="60" t="e">
        <f>#N/A</f>
        <v>#N/A</v>
      </c>
      <c r="AU111" s="60" t="e">
        <f>#N/A</f>
        <v>#N/A</v>
      </c>
    </row>
    <row r="112" spans="1:47" x14ac:dyDescent="0.2">
      <c r="A112" s="43">
        <v>0.01</v>
      </c>
      <c r="B112" s="43">
        <v>2.0308527172725466E-3</v>
      </c>
      <c r="C112" s="43">
        <v>0</v>
      </c>
      <c r="D112" s="7" t="e">
        <f>#N/A</f>
        <v>#N/A</v>
      </c>
      <c r="E112" s="7" t="e">
        <f>#N/A</f>
        <v>#N/A</v>
      </c>
      <c r="F112" s="47" t="e">
        <f>#N/A</f>
        <v>#N/A</v>
      </c>
      <c r="G112" s="37" t="e">
        <f>#N/A</f>
        <v>#N/A</v>
      </c>
      <c r="H112" s="47" t="e">
        <f>#N/A</f>
        <v>#N/A</v>
      </c>
      <c r="I112" s="4"/>
      <c r="J112" s="4"/>
      <c r="K112" s="4"/>
      <c r="L112" s="4"/>
      <c r="M112" s="4"/>
      <c r="N112" s="49">
        <v>5.0650000000000004</v>
      </c>
      <c r="O112" s="51">
        <v>5.2492977284550024</v>
      </c>
      <c r="P112" s="51">
        <v>0.10870227154499738</v>
      </c>
      <c r="Q112" s="52">
        <v>0.33226572999999998</v>
      </c>
      <c r="R112" s="51">
        <v>3.359</v>
      </c>
      <c r="S112" s="2">
        <v>1.4550000000000001</v>
      </c>
      <c r="T112" s="37">
        <v>4.25</v>
      </c>
      <c r="U112" s="48">
        <v>2.7521269841269835</v>
      </c>
      <c r="V112" s="50" t="e">
        <f>#N/A</f>
        <v>#N/A</v>
      </c>
      <c r="W112" s="5"/>
      <c r="X112" s="5"/>
      <c r="Y112" s="5"/>
      <c r="Z112" s="5"/>
      <c r="AA112" s="5"/>
      <c r="AB112" s="49">
        <v>2.22553605498871</v>
      </c>
      <c r="AC112" s="47" t="e">
        <f>#N/A</f>
        <v>#N/A</v>
      </c>
      <c r="AD112" s="37">
        <v>10</v>
      </c>
      <c r="AE112" s="37">
        <v>5</v>
      </c>
      <c r="AF112" s="50"/>
      <c r="AG112" s="18"/>
      <c r="AH112" s="18"/>
      <c r="AI112" s="18"/>
      <c r="AJ112" s="18"/>
      <c r="AK112" s="18"/>
      <c r="AL112" s="18"/>
      <c r="AM112" s="18"/>
      <c r="AN112" s="18"/>
      <c r="AO112" s="18"/>
      <c r="AP112" s="18"/>
      <c r="AQ112" s="8" t="e">
        <f>#N/A</f>
        <v>#N/A</v>
      </c>
      <c r="AR112" s="8" t="e">
        <f>#N/A</f>
        <v>#N/A</v>
      </c>
      <c r="AS112" s="60" t="e">
        <f>#N/A</f>
        <v>#N/A</v>
      </c>
      <c r="AT112" s="60" t="e">
        <f>#N/A</f>
        <v>#N/A</v>
      </c>
      <c r="AU112" s="60" t="e">
        <f>#N/A</f>
        <v>#N/A</v>
      </c>
    </row>
    <row r="113" spans="1:47" x14ac:dyDescent="0.2">
      <c r="A113" s="43">
        <v>0.01</v>
      </c>
      <c r="B113" s="43">
        <v>5.5365906263005193E-4</v>
      </c>
      <c r="C113" s="43">
        <v>0</v>
      </c>
      <c r="D113" s="7" t="e">
        <f>#N/A</f>
        <v>#N/A</v>
      </c>
      <c r="E113" s="7" t="e">
        <f>#N/A</f>
        <v>#N/A</v>
      </c>
      <c r="F113" s="47" t="e">
        <f>#N/A</f>
        <v>#N/A</v>
      </c>
      <c r="G113" s="37" t="e">
        <f>#N/A</f>
        <v>#N/A</v>
      </c>
      <c r="H113" s="47" t="e">
        <f>#N/A</f>
        <v>#N/A</v>
      </c>
      <c r="I113" s="4"/>
      <c r="J113" s="4"/>
      <c r="K113" s="4"/>
      <c r="L113" s="4"/>
      <c r="M113" s="4"/>
      <c r="N113" s="49">
        <v>5.0650000000000004</v>
      </c>
      <c r="O113" s="51">
        <v>5.2492977284550024</v>
      </c>
      <c r="P113" s="51">
        <v>0.10870227154499738</v>
      </c>
      <c r="Q113" s="5"/>
      <c r="R113" s="51">
        <v>3.359</v>
      </c>
      <c r="S113" s="2">
        <v>1.4550000000000001</v>
      </c>
      <c r="T113" s="37">
        <v>4.25</v>
      </c>
      <c r="U113" s="48">
        <v>2.7521269841269835</v>
      </c>
      <c r="V113" s="50" t="e">
        <f>#N/A</f>
        <v>#N/A</v>
      </c>
      <c r="W113" s="5"/>
      <c r="X113" s="5"/>
      <c r="Y113" s="5"/>
      <c r="Z113" s="5"/>
      <c r="AA113" s="5"/>
      <c r="AB113" s="49">
        <v>2.22553605498871</v>
      </c>
      <c r="AC113" s="47" t="e">
        <f>#N/A</f>
        <v>#N/A</v>
      </c>
      <c r="AD113" s="37">
        <v>10</v>
      </c>
      <c r="AE113" s="37">
        <v>5</v>
      </c>
      <c r="AF113" s="50"/>
      <c r="AG113" s="18"/>
      <c r="AH113" s="18"/>
      <c r="AI113" s="18"/>
      <c r="AJ113" s="18"/>
      <c r="AK113" s="18"/>
      <c r="AL113" s="18"/>
      <c r="AM113" s="18"/>
      <c r="AN113" s="18"/>
      <c r="AO113" s="18"/>
      <c r="AP113" s="18"/>
      <c r="AQ113" s="8" t="e">
        <f>#N/A</f>
        <v>#N/A</v>
      </c>
      <c r="AR113" s="8" t="e">
        <f>#N/A</f>
        <v>#N/A</v>
      </c>
      <c r="AS113" s="60" t="e">
        <f>#N/A</f>
        <v>#N/A</v>
      </c>
      <c r="AT113" s="60" t="e">
        <f>#N/A</f>
        <v>#N/A</v>
      </c>
      <c r="AU113" s="60" t="e">
        <f>#N/A</f>
        <v>#N/A</v>
      </c>
    </row>
    <row r="114" spans="1:47" x14ac:dyDescent="0.2">
      <c r="A114" s="43">
        <v>0.01</v>
      </c>
      <c r="B114" s="43">
        <v>5.5365906263005193E-4</v>
      </c>
      <c r="C114" s="43">
        <v>0</v>
      </c>
      <c r="D114" s="7" t="e">
        <f>#N/A</f>
        <v>#N/A</v>
      </c>
      <c r="E114" s="7" t="e">
        <f>#N/A</f>
        <v>#N/A</v>
      </c>
      <c r="F114" s="47" t="e">
        <f>#N/A</f>
        <v>#N/A</v>
      </c>
      <c r="G114" s="37" t="e">
        <f>#N/A</f>
        <v>#N/A</v>
      </c>
      <c r="H114" s="47" t="e">
        <f>#N/A</f>
        <v>#N/A</v>
      </c>
      <c r="I114" s="4"/>
      <c r="J114" s="4"/>
      <c r="K114" s="4"/>
      <c r="L114" s="4"/>
      <c r="M114" s="4"/>
      <c r="N114" s="49">
        <v>5.0650000000000004</v>
      </c>
      <c r="O114" s="51">
        <v>5.2492977284550024</v>
      </c>
      <c r="P114" s="51">
        <v>0.10870227154499738</v>
      </c>
      <c r="Q114" s="5"/>
      <c r="R114" s="51">
        <v>3.359</v>
      </c>
      <c r="S114" s="2">
        <v>1.4550000000000001</v>
      </c>
      <c r="T114" s="37">
        <v>4.25</v>
      </c>
      <c r="U114" s="48">
        <v>2.7521269841269835</v>
      </c>
      <c r="V114" s="50" t="e">
        <f>#N/A</f>
        <v>#N/A</v>
      </c>
      <c r="W114" s="5"/>
      <c r="X114" s="5"/>
      <c r="Y114" s="5"/>
      <c r="Z114" s="5"/>
      <c r="AA114" s="5"/>
      <c r="AB114" s="49">
        <v>2.22553605498871</v>
      </c>
      <c r="AC114" s="47" t="e">
        <f>#N/A</f>
        <v>#N/A</v>
      </c>
      <c r="AD114" s="37">
        <v>10</v>
      </c>
      <c r="AE114" s="37">
        <v>5</v>
      </c>
      <c r="AF114" s="50"/>
      <c r="AG114" s="18"/>
      <c r="AH114" s="18"/>
      <c r="AI114" s="18"/>
      <c r="AJ114" s="18"/>
      <c r="AK114" s="18"/>
      <c r="AL114" s="18"/>
      <c r="AM114" s="18"/>
      <c r="AN114" s="18"/>
      <c r="AO114" s="18"/>
      <c r="AP114" s="18"/>
      <c r="AQ114" s="8" t="e">
        <f>#N/A</f>
        <v>#N/A</v>
      </c>
      <c r="AR114" s="8" t="e">
        <f>#N/A</f>
        <v>#N/A</v>
      </c>
      <c r="AS114" s="60" t="e">
        <f>#N/A</f>
        <v>#N/A</v>
      </c>
      <c r="AT114" s="60" t="e">
        <f>#N/A</f>
        <v>#N/A</v>
      </c>
      <c r="AU114" s="60" t="e">
        <f>#N/A</f>
        <v>#N/A</v>
      </c>
    </row>
    <row r="115" spans="1:47" x14ac:dyDescent="0.2">
      <c r="A115" s="43">
        <v>0.01</v>
      </c>
      <c r="B115" s="43">
        <v>5.5365906263005193E-4</v>
      </c>
      <c r="C115" s="43">
        <v>0</v>
      </c>
      <c r="D115" s="7" t="e">
        <f>#N/A</f>
        <v>#N/A</v>
      </c>
      <c r="E115" s="7" t="e">
        <f>#N/A</f>
        <v>#N/A</v>
      </c>
      <c r="F115" s="47" t="e">
        <f>#N/A</f>
        <v>#N/A</v>
      </c>
      <c r="G115" s="37" t="e">
        <f>#N/A</f>
        <v>#N/A</v>
      </c>
      <c r="H115" s="47" t="e">
        <f>#N/A</f>
        <v>#N/A</v>
      </c>
      <c r="I115" s="4"/>
      <c r="J115" s="4"/>
      <c r="K115" s="4"/>
      <c r="L115" s="4"/>
      <c r="M115" s="4"/>
      <c r="N115" s="49">
        <v>5.0650000000000004</v>
      </c>
      <c r="O115" s="51">
        <v>5.2492977284550024</v>
      </c>
      <c r="P115" s="51">
        <v>0.10870227154499738</v>
      </c>
      <c r="Q115" s="5"/>
      <c r="R115" s="51">
        <v>3.359</v>
      </c>
      <c r="S115" s="2">
        <v>1.4550000000000001</v>
      </c>
      <c r="T115" s="37">
        <v>4.25</v>
      </c>
      <c r="U115" s="48">
        <v>2.7521269841269835</v>
      </c>
      <c r="V115" s="50" t="e">
        <f>#N/A</f>
        <v>#N/A</v>
      </c>
      <c r="W115" s="5"/>
      <c r="X115" s="5"/>
      <c r="Y115" s="5"/>
      <c r="Z115" s="5"/>
      <c r="AA115" s="5"/>
      <c r="AB115" s="49">
        <v>2.22553605498871</v>
      </c>
      <c r="AC115" s="47" t="e">
        <f>#N/A</f>
        <v>#N/A</v>
      </c>
      <c r="AD115" s="37">
        <v>10</v>
      </c>
      <c r="AE115" s="37">
        <v>5</v>
      </c>
      <c r="AF115" s="50"/>
      <c r="AG115" s="18"/>
      <c r="AH115" s="18"/>
      <c r="AI115" s="18"/>
      <c r="AJ115" s="18"/>
      <c r="AK115" s="18"/>
      <c r="AL115" s="18"/>
      <c r="AM115" s="18"/>
      <c r="AN115" s="18"/>
      <c r="AO115" s="18"/>
      <c r="AP115" s="18"/>
      <c r="AQ115" s="8" t="e">
        <f>#N/A</f>
        <v>#N/A</v>
      </c>
      <c r="AR115" s="8" t="e">
        <f>#N/A</f>
        <v>#N/A</v>
      </c>
      <c r="AS115" s="60" t="e">
        <f>#N/A</f>
        <v>#N/A</v>
      </c>
      <c r="AT115" s="60" t="e">
        <f>#N/A</f>
        <v>#N/A</v>
      </c>
      <c r="AU115" s="60" t="e">
        <f>#N/A</f>
        <v>#N/A</v>
      </c>
    </row>
    <row r="116" spans="1:47" x14ac:dyDescent="0.2">
      <c r="A116" s="43">
        <v>0.01</v>
      </c>
      <c r="B116" s="43">
        <v>5.5365906263005193E-4</v>
      </c>
      <c r="C116" s="43">
        <v>0</v>
      </c>
      <c r="D116" s="7" t="e">
        <f>#N/A</f>
        <v>#N/A</v>
      </c>
      <c r="E116" s="7" t="e">
        <f>#N/A</f>
        <v>#N/A</v>
      </c>
      <c r="F116" s="47" t="e">
        <f>#N/A</f>
        <v>#N/A</v>
      </c>
      <c r="G116" s="37" t="e">
        <f>#N/A</f>
        <v>#N/A</v>
      </c>
      <c r="H116" s="47" t="e">
        <f>#N/A</f>
        <v>#N/A</v>
      </c>
      <c r="I116" s="4"/>
      <c r="J116" s="4"/>
      <c r="K116" s="4"/>
      <c r="L116" s="4"/>
      <c r="M116" s="4"/>
      <c r="N116" s="49">
        <v>5.0650000000000004</v>
      </c>
      <c r="O116" s="51">
        <v>5.2492977284550024</v>
      </c>
      <c r="P116" s="51">
        <v>0.10870227154499738</v>
      </c>
      <c r="Q116" s="5"/>
      <c r="R116" s="51">
        <v>3.359</v>
      </c>
      <c r="S116" s="2">
        <v>1.4550000000000001</v>
      </c>
      <c r="T116" s="37">
        <v>4.25</v>
      </c>
      <c r="U116" s="48">
        <v>2.7521269841269835</v>
      </c>
      <c r="V116" s="50" t="e">
        <f>#N/A</f>
        <v>#N/A</v>
      </c>
      <c r="W116" s="5"/>
      <c r="X116" s="5"/>
      <c r="Y116" s="5"/>
      <c r="Z116" s="5"/>
      <c r="AA116" s="5"/>
      <c r="AB116" s="49">
        <v>2.22553605498871</v>
      </c>
      <c r="AC116" s="47" t="e">
        <f>#N/A</f>
        <v>#N/A</v>
      </c>
      <c r="AD116" s="37">
        <v>10</v>
      </c>
      <c r="AE116" s="37">
        <v>5</v>
      </c>
      <c r="AF116" s="50"/>
      <c r="AG116" s="18"/>
      <c r="AH116" s="18"/>
      <c r="AI116" s="18"/>
      <c r="AJ116" s="18"/>
      <c r="AK116" s="18"/>
      <c r="AL116" s="18"/>
      <c r="AM116" s="18"/>
      <c r="AN116" s="18"/>
      <c r="AO116" s="18"/>
      <c r="AP116" s="18"/>
      <c r="AQ116" s="8" t="e">
        <f>#N/A</f>
        <v>#N/A</v>
      </c>
      <c r="AR116" s="8" t="e">
        <f>#N/A</f>
        <v>#N/A</v>
      </c>
      <c r="AS116" s="60" t="e">
        <f>#N/A</f>
        <v>#N/A</v>
      </c>
      <c r="AT116" s="60" t="e">
        <f>#N/A</f>
        <v>#N/A</v>
      </c>
      <c r="AU116" s="60" t="e">
        <f>#N/A</f>
        <v>#N/A</v>
      </c>
    </row>
    <row r="117" spans="1:47" x14ac:dyDescent="0.2">
      <c r="A117" s="43">
        <v>0.01</v>
      </c>
      <c r="B117" s="43">
        <v>5.5365906263005193E-4</v>
      </c>
      <c r="C117" s="43">
        <v>0</v>
      </c>
      <c r="D117" s="7" t="e">
        <f>#N/A</f>
        <v>#N/A</v>
      </c>
      <c r="E117" s="7" t="e">
        <f>#N/A</f>
        <v>#N/A</v>
      </c>
      <c r="F117" s="47" t="e">
        <f>#N/A</f>
        <v>#N/A</v>
      </c>
      <c r="G117" s="37" t="e">
        <f>#N/A</f>
        <v>#N/A</v>
      </c>
      <c r="H117" s="47" t="e">
        <f>#N/A</f>
        <v>#N/A</v>
      </c>
      <c r="I117" s="4"/>
      <c r="J117" s="4"/>
      <c r="K117" s="4"/>
      <c r="L117" s="4"/>
      <c r="M117" s="4"/>
      <c r="N117" s="49">
        <v>5.0650000000000004</v>
      </c>
      <c r="O117" s="51">
        <v>5.2492977284550024</v>
      </c>
      <c r="P117" s="51">
        <v>0.10870227154499738</v>
      </c>
      <c r="Q117" s="5"/>
      <c r="R117" s="51">
        <v>3.359</v>
      </c>
      <c r="S117" s="2">
        <v>1.4550000000000001</v>
      </c>
      <c r="T117" s="37">
        <v>4.25</v>
      </c>
      <c r="U117" s="48">
        <v>2.7521269841269835</v>
      </c>
      <c r="V117" s="50" t="e">
        <f>#N/A</f>
        <v>#N/A</v>
      </c>
      <c r="W117" s="5"/>
      <c r="X117" s="5"/>
      <c r="Y117" s="5"/>
      <c r="Z117" s="5"/>
      <c r="AA117" s="5"/>
      <c r="AB117" s="49">
        <v>2.22553605498871</v>
      </c>
      <c r="AC117" s="47" t="e">
        <f>#N/A</f>
        <v>#N/A</v>
      </c>
      <c r="AD117" s="37">
        <v>10</v>
      </c>
      <c r="AE117" s="37">
        <v>5</v>
      </c>
      <c r="AF117" s="50"/>
      <c r="AG117" s="18"/>
      <c r="AH117" s="18"/>
      <c r="AI117" s="18"/>
      <c r="AJ117" s="18"/>
      <c r="AK117" s="18"/>
      <c r="AL117" s="18"/>
      <c r="AM117" s="18"/>
      <c r="AN117" s="18"/>
      <c r="AO117" s="18"/>
      <c r="AP117" s="18"/>
      <c r="AQ117" s="8" t="e">
        <f>#N/A</f>
        <v>#N/A</v>
      </c>
      <c r="AR117" s="8" t="e">
        <f>#N/A</f>
        <v>#N/A</v>
      </c>
      <c r="AS117" s="60" t="e">
        <f>#N/A</f>
        <v>#N/A</v>
      </c>
      <c r="AT117" s="60" t="e">
        <f>#N/A</f>
        <v>#N/A</v>
      </c>
      <c r="AU117" s="60" t="e">
        <f>#N/A</f>
        <v>#N/A</v>
      </c>
    </row>
    <row r="118" spans="1:47" x14ac:dyDescent="0.2">
      <c r="A118" s="43">
        <v>0.01</v>
      </c>
      <c r="B118" s="43">
        <v>5.5365906263005193E-4</v>
      </c>
      <c r="C118" s="43">
        <v>0</v>
      </c>
      <c r="D118" s="7" t="e">
        <f>#N/A</f>
        <v>#N/A</v>
      </c>
      <c r="E118" s="7" t="e">
        <f>#N/A</f>
        <v>#N/A</v>
      </c>
      <c r="F118" s="47" t="e">
        <f>#N/A</f>
        <v>#N/A</v>
      </c>
      <c r="G118" s="37" t="e">
        <f>#N/A</f>
        <v>#N/A</v>
      </c>
      <c r="H118" s="47" t="e">
        <f>#N/A</f>
        <v>#N/A</v>
      </c>
      <c r="I118" s="4"/>
      <c r="J118" s="4"/>
      <c r="K118" s="4"/>
      <c r="L118" s="4"/>
      <c r="M118" s="4"/>
      <c r="N118" s="49">
        <v>5.0650000000000004</v>
      </c>
      <c r="O118" s="51">
        <v>5.2492977284550024</v>
      </c>
      <c r="P118" s="51">
        <v>0.10870227154499738</v>
      </c>
      <c r="Q118" s="5"/>
      <c r="R118" s="51">
        <v>3.359</v>
      </c>
      <c r="S118" s="2">
        <v>1.4550000000000001</v>
      </c>
      <c r="T118" s="37">
        <v>2.5</v>
      </c>
      <c r="U118" s="48">
        <v>1.5238095238095237</v>
      </c>
      <c r="V118" s="50" t="e">
        <f>#N/A</f>
        <v>#N/A</v>
      </c>
      <c r="W118" s="5"/>
      <c r="X118" s="5"/>
      <c r="Y118" s="5"/>
      <c r="Z118" s="5"/>
      <c r="AA118" s="5"/>
      <c r="AB118" s="49">
        <v>2.22553605498871</v>
      </c>
      <c r="AC118" s="47" t="e">
        <f>#N/A</f>
        <v>#N/A</v>
      </c>
      <c r="AD118" s="37">
        <v>10</v>
      </c>
      <c r="AE118" s="37">
        <v>5</v>
      </c>
      <c r="AF118" s="50"/>
      <c r="AG118" s="18"/>
      <c r="AH118" s="18"/>
      <c r="AI118" s="18"/>
      <c r="AJ118" s="18"/>
      <c r="AK118" s="18"/>
      <c r="AL118" s="18"/>
      <c r="AM118" s="18"/>
      <c r="AN118" s="18"/>
      <c r="AO118" s="18"/>
      <c r="AP118" s="18"/>
      <c r="AQ118" s="8" t="e">
        <f>#N/A</f>
        <v>#N/A</v>
      </c>
      <c r="AR118" s="8" t="e">
        <f>#N/A</f>
        <v>#N/A</v>
      </c>
      <c r="AS118" s="60" t="e">
        <f>#N/A</f>
        <v>#N/A</v>
      </c>
      <c r="AT118" s="60" t="e">
        <f>#N/A</f>
        <v>#N/A</v>
      </c>
      <c r="AU118" s="60" t="e">
        <f>#N/A</f>
        <v>#N/A</v>
      </c>
    </row>
    <row r="119" spans="1:47" x14ac:dyDescent="0.2">
      <c r="A119" s="43">
        <v>0.01</v>
      </c>
      <c r="B119" s="43">
        <v>5.5365906263005193E-4</v>
      </c>
      <c r="C119" s="43">
        <v>0</v>
      </c>
      <c r="D119" s="7" t="e">
        <f>#N/A</f>
        <v>#N/A</v>
      </c>
      <c r="E119" s="7" t="e">
        <f>#N/A</f>
        <v>#N/A</v>
      </c>
      <c r="F119" s="47" t="e">
        <f>#N/A</f>
        <v>#N/A</v>
      </c>
      <c r="G119" s="37" t="e">
        <f>#N/A</f>
        <v>#N/A</v>
      </c>
      <c r="H119" s="47" t="e">
        <f>#N/A</f>
        <v>#N/A</v>
      </c>
      <c r="I119" s="4"/>
      <c r="J119" s="4"/>
      <c r="K119" s="4"/>
      <c r="L119" s="4"/>
      <c r="M119" s="4"/>
      <c r="N119" s="49">
        <v>5.0650000000000004</v>
      </c>
      <c r="O119" s="51">
        <v>5.2492977284550024</v>
      </c>
      <c r="P119" s="51">
        <v>0.10870227154499738</v>
      </c>
      <c r="Q119" s="5"/>
      <c r="R119" s="51">
        <v>3.359</v>
      </c>
      <c r="S119" s="2">
        <v>1.4550000000000001</v>
      </c>
      <c r="T119" s="37">
        <v>2.5</v>
      </c>
      <c r="U119" s="48">
        <v>1.5238095238095237</v>
      </c>
      <c r="V119" s="50" t="e">
        <f>#N/A</f>
        <v>#N/A</v>
      </c>
      <c r="W119" s="5"/>
      <c r="X119" s="5"/>
      <c r="Y119" s="5"/>
      <c r="Z119" s="5"/>
      <c r="AA119" s="5"/>
      <c r="AB119" s="49">
        <v>2.22553605498871</v>
      </c>
      <c r="AC119" s="47" t="e">
        <f>#N/A</f>
        <v>#N/A</v>
      </c>
      <c r="AD119" s="37">
        <v>10</v>
      </c>
      <c r="AE119" s="37">
        <v>5</v>
      </c>
      <c r="AF119" s="50"/>
      <c r="AG119" s="18"/>
      <c r="AH119" s="18"/>
      <c r="AI119" s="18"/>
      <c r="AJ119" s="18"/>
      <c r="AK119" s="18"/>
      <c r="AL119" s="18"/>
      <c r="AM119" s="18"/>
      <c r="AN119" s="18"/>
      <c r="AO119" s="18"/>
      <c r="AP119" s="18"/>
      <c r="AQ119" s="8" t="e">
        <f>#N/A</f>
        <v>#N/A</v>
      </c>
      <c r="AR119" s="8" t="e">
        <f>#N/A</f>
        <v>#N/A</v>
      </c>
      <c r="AS119" s="60" t="e">
        <f>#N/A</f>
        <v>#N/A</v>
      </c>
      <c r="AT119" s="60" t="e">
        <f>#N/A</f>
        <v>#N/A</v>
      </c>
      <c r="AU119" s="60" t="e">
        <f>#N/A</f>
        <v>#N/A</v>
      </c>
    </row>
    <row r="120" spans="1:47" x14ac:dyDescent="0.2">
      <c r="A120" s="43">
        <v>0.01</v>
      </c>
      <c r="B120" s="43">
        <v>5.5365906263005193E-4</v>
      </c>
      <c r="C120" s="43">
        <v>0</v>
      </c>
      <c r="D120" s="7" t="e">
        <f>#N/A</f>
        <v>#N/A</v>
      </c>
      <c r="E120" s="7" t="e">
        <f>#N/A</f>
        <v>#N/A</v>
      </c>
      <c r="F120" s="47" t="e">
        <f>#N/A</f>
        <v>#N/A</v>
      </c>
      <c r="G120" s="37" t="e">
        <f>#N/A</f>
        <v>#N/A</v>
      </c>
      <c r="H120" s="47" t="e">
        <f>#N/A</f>
        <v>#N/A</v>
      </c>
      <c r="I120" s="4"/>
      <c r="J120" s="4"/>
      <c r="K120" s="4"/>
      <c r="L120" s="4"/>
      <c r="M120" s="4"/>
      <c r="N120" s="49">
        <v>5.0650000000000004</v>
      </c>
      <c r="O120" s="51">
        <v>5.2492977284550024</v>
      </c>
      <c r="P120" s="51">
        <v>0.10870227154499738</v>
      </c>
      <c r="Q120" s="5"/>
      <c r="R120" s="51">
        <v>3.359</v>
      </c>
      <c r="S120" s="2">
        <v>1.4550000000000001</v>
      </c>
      <c r="T120" s="37">
        <v>2.5</v>
      </c>
      <c r="U120" s="48">
        <v>1.5238095238095237</v>
      </c>
      <c r="V120" s="50" t="e">
        <f>#N/A</f>
        <v>#N/A</v>
      </c>
      <c r="W120" s="5"/>
      <c r="X120" s="5"/>
      <c r="Y120" s="5"/>
      <c r="Z120" s="5"/>
      <c r="AA120" s="5"/>
      <c r="AB120" s="49">
        <v>2.22553605498871</v>
      </c>
      <c r="AC120" s="47" t="e">
        <f>#N/A</f>
        <v>#N/A</v>
      </c>
      <c r="AD120" s="37">
        <v>10</v>
      </c>
      <c r="AE120" s="37">
        <v>5</v>
      </c>
      <c r="AF120" s="50"/>
      <c r="AG120" s="18"/>
      <c r="AH120" s="18"/>
      <c r="AI120" s="18"/>
      <c r="AJ120" s="18"/>
      <c r="AK120" s="18"/>
      <c r="AL120" s="18"/>
      <c r="AM120" s="18"/>
      <c r="AN120" s="18"/>
      <c r="AO120" s="18"/>
      <c r="AP120" s="18"/>
      <c r="AQ120" s="8" t="e">
        <f>#N/A</f>
        <v>#N/A</v>
      </c>
      <c r="AR120" s="8" t="e">
        <f>#N/A</f>
        <v>#N/A</v>
      </c>
      <c r="AS120" s="60" t="e">
        <f>#N/A</f>
        <v>#N/A</v>
      </c>
      <c r="AT120" s="60" t="e">
        <f>#N/A</f>
        <v>#N/A</v>
      </c>
      <c r="AU120" s="60" t="e">
        <f>#N/A</f>
        <v>#N/A</v>
      </c>
    </row>
    <row r="121" spans="1:47" x14ac:dyDescent="0.2">
      <c r="A121" s="43">
        <v>0.01</v>
      </c>
      <c r="B121" s="43">
        <v>5.5365906263005193E-4</v>
      </c>
      <c r="C121" s="43">
        <v>0</v>
      </c>
      <c r="D121" s="7" t="e">
        <f>#N/A</f>
        <v>#N/A</v>
      </c>
      <c r="E121" s="7" t="e">
        <f>#N/A</f>
        <v>#N/A</v>
      </c>
      <c r="F121" s="47" t="e">
        <f>#N/A</f>
        <v>#N/A</v>
      </c>
      <c r="G121" s="37" t="e">
        <f>#N/A</f>
        <v>#N/A</v>
      </c>
      <c r="H121" s="47" t="e">
        <f>#N/A</f>
        <v>#N/A</v>
      </c>
      <c r="I121" s="4"/>
      <c r="J121" s="4"/>
      <c r="K121" s="4"/>
      <c r="L121" s="4"/>
      <c r="M121" s="4"/>
      <c r="N121" s="49">
        <v>5.0650000000000004</v>
      </c>
      <c r="O121" s="51">
        <v>5.2492977284550024</v>
      </c>
      <c r="P121" s="51">
        <v>0.10870227154499738</v>
      </c>
      <c r="Q121" s="5"/>
      <c r="R121" s="51">
        <v>3.359</v>
      </c>
      <c r="S121" s="2">
        <v>1.4550000000000001</v>
      </c>
      <c r="T121" s="37">
        <v>2.5</v>
      </c>
      <c r="U121" s="48">
        <v>1.5238095238095237</v>
      </c>
      <c r="V121" s="50" t="e">
        <f>#N/A</f>
        <v>#N/A</v>
      </c>
      <c r="W121" s="5"/>
      <c r="X121" s="5"/>
      <c r="Y121" s="5"/>
      <c r="Z121" s="5"/>
      <c r="AA121" s="5"/>
      <c r="AB121" s="49">
        <v>2.22553605498871</v>
      </c>
      <c r="AC121" s="47" t="e">
        <f>#N/A</f>
        <v>#N/A</v>
      </c>
      <c r="AD121" s="37">
        <v>10</v>
      </c>
      <c r="AE121" s="37">
        <v>5</v>
      </c>
      <c r="AF121" s="50"/>
      <c r="AG121" s="18"/>
      <c r="AH121" s="18"/>
      <c r="AI121" s="18"/>
      <c r="AJ121" s="18"/>
      <c r="AK121" s="18"/>
      <c r="AL121" s="18"/>
      <c r="AM121" s="18"/>
      <c r="AN121" s="18"/>
      <c r="AO121" s="18"/>
      <c r="AP121" s="18"/>
      <c r="AQ121" s="8" t="e">
        <f>#N/A</f>
        <v>#N/A</v>
      </c>
      <c r="AR121" s="8" t="e">
        <f>#N/A</f>
        <v>#N/A</v>
      </c>
      <c r="AS121" s="60" t="e">
        <f>#N/A</f>
        <v>#N/A</v>
      </c>
      <c r="AT121" s="60" t="e">
        <f>#N/A</f>
        <v>#N/A</v>
      </c>
      <c r="AU121" s="60" t="e">
        <f>#N/A</f>
        <v>#N/A</v>
      </c>
    </row>
    <row r="122" spans="1:47" x14ac:dyDescent="0.2">
      <c r="A122" s="43">
        <v>0.01</v>
      </c>
      <c r="B122" s="43">
        <v>5.5365906263005193E-4</v>
      </c>
      <c r="C122" s="43">
        <v>0</v>
      </c>
      <c r="D122" s="7" t="e">
        <f>#N/A</f>
        <v>#N/A</v>
      </c>
      <c r="E122" s="7" t="e">
        <f>#N/A</f>
        <v>#N/A</v>
      </c>
      <c r="F122" s="47" t="e">
        <f>#N/A</f>
        <v>#N/A</v>
      </c>
      <c r="G122" s="37" t="e">
        <f>#N/A</f>
        <v>#N/A</v>
      </c>
      <c r="H122" s="47" t="e">
        <f>#N/A</f>
        <v>#N/A</v>
      </c>
      <c r="I122" s="4"/>
      <c r="J122" s="4"/>
      <c r="K122" s="4"/>
      <c r="L122" s="4"/>
      <c r="M122" s="4"/>
      <c r="N122" s="49">
        <v>5.0650000000000004</v>
      </c>
      <c r="O122" s="51">
        <v>5.2492977284550024</v>
      </c>
      <c r="P122" s="51">
        <v>0.10870227154499738</v>
      </c>
      <c r="Q122" s="5"/>
      <c r="R122" s="51">
        <v>3.359</v>
      </c>
      <c r="S122" s="2">
        <v>1.4550000000000001</v>
      </c>
      <c r="T122" s="37"/>
      <c r="U122" s="48">
        <v>2.7521269841269835</v>
      </c>
      <c r="V122" s="50" t="e">
        <f>#N/A</f>
        <v>#N/A</v>
      </c>
      <c r="W122" s="5"/>
      <c r="X122" s="5"/>
      <c r="Y122" s="5"/>
      <c r="Z122" s="5"/>
      <c r="AA122" s="5"/>
      <c r="AB122" s="49">
        <v>2.22553605498871</v>
      </c>
      <c r="AC122" s="47" t="e">
        <f>#N/A</f>
        <v>#N/A</v>
      </c>
      <c r="AD122" s="37">
        <v>10</v>
      </c>
      <c r="AE122" s="37">
        <v>5</v>
      </c>
      <c r="AF122" s="50"/>
      <c r="AG122" s="18"/>
      <c r="AH122" s="18"/>
      <c r="AI122" s="18"/>
      <c r="AJ122" s="18"/>
      <c r="AK122" s="18"/>
      <c r="AL122" s="18"/>
      <c r="AM122" s="18"/>
      <c r="AN122" s="18"/>
      <c r="AO122" s="18"/>
      <c r="AP122" s="18"/>
      <c r="AQ122" s="8" t="e">
        <f>#N/A</f>
        <v>#N/A</v>
      </c>
      <c r="AR122" s="8" t="e">
        <f>#N/A</f>
        <v>#N/A</v>
      </c>
      <c r="AS122" s="60" t="e">
        <f>#N/A</f>
        <v>#N/A</v>
      </c>
      <c r="AT122" s="60" t="e">
        <f>#N/A</f>
        <v>#N/A</v>
      </c>
      <c r="AU122" s="60" t="e">
        <f>#N/A</f>
        <v>#N/A</v>
      </c>
    </row>
    <row r="123" spans="1:47" x14ac:dyDescent="0.2">
      <c r="A123" s="43">
        <v>0.01</v>
      </c>
      <c r="B123" s="43">
        <v>5.5365906263005193E-4</v>
      </c>
      <c r="C123" s="43">
        <v>0</v>
      </c>
      <c r="D123" s="7" t="e">
        <f>#N/A</f>
        <v>#N/A</v>
      </c>
      <c r="E123" s="7" t="e">
        <f>#N/A</f>
        <v>#N/A</v>
      </c>
      <c r="F123" s="47" t="e">
        <f>#N/A</f>
        <v>#N/A</v>
      </c>
      <c r="G123" s="37" t="e">
        <f>#N/A</f>
        <v>#N/A</v>
      </c>
      <c r="H123" s="47" t="e">
        <f>#N/A</f>
        <v>#N/A</v>
      </c>
      <c r="I123" s="4"/>
      <c r="J123" s="4"/>
      <c r="K123" s="4"/>
      <c r="L123" s="4"/>
      <c r="M123" s="4"/>
      <c r="N123" s="49">
        <v>5.0650000000000004</v>
      </c>
      <c r="O123" s="51">
        <v>5.2492977284550024</v>
      </c>
      <c r="P123" s="51">
        <v>0.10870227154499738</v>
      </c>
      <c r="Q123" s="5"/>
      <c r="R123" s="51">
        <v>3.359</v>
      </c>
      <c r="S123" s="2">
        <v>1.4550000000000001</v>
      </c>
      <c r="T123" s="52"/>
      <c r="U123" s="48">
        <v>2.7521269841269835</v>
      </c>
      <c r="V123" s="50" t="e">
        <f>#N/A</f>
        <v>#N/A</v>
      </c>
      <c r="W123" s="5"/>
      <c r="X123" s="5"/>
      <c r="Y123" s="5"/>
      <c r="Z123" s="5"/>
      <c r="AA123" s="5"/>
      <c r="AB123" s="49">
        <v>2.22553605498871</v>
      </c>
      <c r="AC123" s="47" t="e">
        <f>#N/A</f>
        <v>#N/A</v>
      </c>
      <c r="AD123" s="37">
        <v>10</v>
      </c>
      <c r="AE123" s="37">
        <v>5</v>
      </c>
      <c r="AF123" s="50"/>
      <c r="AG123" s="18"/>
      <c r="AH123" s="18"/>
      <c r="AI123" s="18"/>
      <c r="AJ123" s="18"/>
      <c r="AK123" s="18"/>
      <c r="AL123" s="18"/>
      <c r="AM123" s="18"/>
      <c r="AN123" s="18"/>
      <c r="AO123" s="18"/>
      <c r="AP123" s="18"/>
      <c r="AQ123" s="8" t="e">
        <f>#N/A</f>
        <v>#N/A</v>
      </c>
      <c r="AR123" s="8" t="e">
        <f>#N/A</f>
        <v>#N/A</v>
      </c>
      <c r="AS123" s="60" t="e">
        <f>#N/A</f>
        <v>#N/A</v>
      </c>
      <c r="AT123" s="60" t="e">
        <f>#N/A</f>
        <v>#N/A</v>
      </c>
      <c r="AU123" s="60" t="e">
        <f>#N/A</f>
        <v>#N/A</v>
      </c>
    </row>
    <row r="124" spans="1:47" x14ac:dyDescent="0.2">
      <c r="A124" s="43">
        <v>0.01</v>
      </c>
      <c r="B124" s="43">
        <v>5.5365906263005193E-4</v>
      </c>
      <c r="C124" s="43">
        <v>0</v>
      </c>
      <c r="D124" s="7" t="e">
        <f>#N/A</f>
        <v>#N/A</v>
      </c>
      <c r="E124" s="7" t="e">
        <f>#N/A</f>
        <v>#N/A</v>
      </c>
      <c r="F124" s="47" t="e">
        <f>#N/A</f>
        <v>#N/A</v>
      </c>
      <c r="G124" s="37" t="e">
        <f>#N/A</f>
        <v>#N/A</v>
      </c>
      <c r="H124" s="47" t="e">
        <f>#N/A</f>
        <v>#N/A</v>
      </c>
      <c r="I124" s="4"/>
      <c r="J124" s="4"/>
      <c r="K124" s="4"/>
      <c r="L124" s="4"/>
      <c r="M124" s="4"/>
      <c r="N124" s="49">
        <v>5.0650000000000004</v>
      </c>
      <c r="O124" s="51">
        <v>5.2492977284550024</v>
      </c>
      <c r="P124" s="51">
        <v>0.10870227154499738</v>
      </c>
      <c r="Q124" s="5"/>
      <c r="R124" s="51">
        <v>3.359</v>
      </c>
      <c r="S124" s="2">
        <v>1.4550000000000001</v>
      </c>
      <c r="T124" s="52"/>
      <c r="U124" s="48">
        <v>2.7521269841269835</v>
      </c>
      <c r="V124" s="50" t="e">
        <f>#N/A</f>
        <v>#N/A</v>
      </c>
      <c r="W124" s="5"/>
      <c r="X124" s="5"/>
      <c r="Y124" s="5"/>
      <c r="Z124" s="5"/>
      <c r="AA124" s="5"/>
      <c r="AB124" s="49">
        <v>2.22553605498871</v>
      </c>
      <c r="AC124" s="47" t="e">
        <f>#N/A</f>
        <v>#N/A</v>
      </c>
      <c r="AD124" s="37">
        <v>10</v>
      </c>
      <c r="AE124" s="37">
        <v>5</v>
      </c>
      <c r="AF124" s="50"/>
      <c r="AG124" s="18"/>
      <c r="AH124" s="18"/>
      <c r="AI124" s="18"/>
      <c r="AJ124" s="18"/>
      <c r="AK124" s="18"/>
      <c r="AL124" s="18"/>
      <c r="AM124" s="18"/>
      <c r="AN124" s="18"/>
      <c r="AO124" s="18"/>
      <c r="AP124" s="18"/>
      <c r="AQ124" s="8" t="e">
        <f>#N/A</f>
        <v>#N/A</v>
      </c>
      <c r="AR124" s="8" t="e">
        <f>#N/A</f>
        <v>#N/A</v>
      </c>
      <c r="AS124" s="60" t="e">
        <f>#N/A</f>
        <v>#N/A</v>
      </c>
      <c r="AT124" s="60" t="e">
        <f>#N/A</f>
        <v>#N/A</v>
      </c>
      <c r="AU124" s="60" t="e">
        <f>#N/A</f>
        <v>#N/A</v>
      </c>
    </row>
    <row r="125" spans="1:47" x14ac:dyDescent="0.2">
      <c r="A125" s="43">
        <v>0.01</v>
      </c>
      <c r="B125" s="43">
        <v>9.5848493589674177E-3</v>
      </c>
      <c r="C125" s="43">
        <v>0</v>
      </c>
      <c r="D125" s="7" t="e">
        <f>#N/A</f>
        <v>#N/A</v>
      </c>
      <c r="E125" s="7" t="e">
        <f>#N/A</f>
        <v>#N/A</v>
      </c>
      <c r="F125" s="47" t="e">
        <f>#N/A</f>
        <v>#N/A</v>
      </c>
      <c r="G125" s="37" t="e">
        <f>#N/A</f>
        <v>#N/A</v>
      </c>
      <c r="H125" s="47" t="e">
        <f>#N/A</f>
        <v>#N/A</v>
      </c>
      <c r="I125" s="4"/>
      <c r="J125" s="4"/>
      <c r="K125" s="4"/>
      <c r="L125" s="4"/>
      <c r="M125" s="4"/>
      <c r="N125" s="49">
        <v>5.0650000000000004</v>
      </c>
      <c r="O125" s="51">
        <v>5.2492977284550024</v>
      </c>
      <c r="P125" s="51">
        <v>0.10870227154499738</v>
      </c>
      <c r="Q125" s="5"/>
      <c r="R125" s="51">
        <v>3.359</v>
      </c>
      <c r="S125" s="2">
        <v>1.4550000000000001</v>
      </c>
      <c r="T125" s="52"/>
      <c r="U125" s="48">
        <v>2.7521269841269835</v>
      </c>
      <c r="V125" s="50" t="e">
        <f>#N/A</f>
        <v>#N/A</v>
      </c>
      <c r="W125" s="5"/>
      <c r="X125" s="5"/>
      <c r="Y125" s="5"/>
      <c r="Z125" s="5"/>
      <c r="AA125" s="5"/>
      <c r="AB125" s="49">
        <v>3.0707769049887101</v>
      </c>
      <c r="AC125" s="47" t="e">
        <f>#N/A</f>
        <v>#N/A</v>
      </c>
      <c r="AD125" s="37">
        <v>10</v>
      </c>
      <c r="AE125" s="37">
        <v>5</v>
      </c>
      <c r="AF125" s="50"/>
      <c r="AG125" s="18"/>
      <c r="AH125" s="18"/>
      <c r="AI125" s="18"/>
      <c r="AJ125" s="18"/>
      <c r="AK125" s="18"/>
      <c r="AL125" s="18"/>
      <c r="AM125" s="18"/>
      <c r="AN125" s="18"/>
      <c r="AO125" s="18"/>
      <c r="AP125" s="18"/>
      <c r="AQ125" s="8" t="e">
        <f>#N/A</f>
        <v>#N/A</v>
      </c>
      <c r="AR125" s="8" t="e">
        <f>#N/A</f>
        <v>#N/A</v>
      </c>
      <c r="AS125" s="60" t="e">
        <f>#N/A</f>
        <v>#N/A</v>
      </c>
      <c r="AT125" s="60" t="e">
        <f>#N/A</f>
        <v>#N/A</v>
      </c>
      <c r="AU125" s="60" t="e">
        <f>#N/A</f>
        <v>#N/A</v>
      </c>
    </row>
    <row r="126" spans="1:47" x14ac:dyDescent="0.2">
      <c r="A126" s="43">
        <v>0.01</v>
      </c>
      <c r="B126" s="43">
        <v>9.5848493589674177E-3</v>
      </c>
      <c r="C126" s="43">
        <v>0</v>
      </c>
      <c r="D126" s="7" t="e">
        <f>#N/A</f>
        <v>#N/A</v>
      </c>
      <c r="E126" s="7" t="e">
        <f>#N/A</f>
        <v>#N/A</v>
      </c>
      <c r="F126" s="47" t="e">
        <f>#N/A</f>
        <v>#N/A</v>
      </c>
      <c r="G126" s="37" t="e">
        <f>#N/A</f>
        <v>#N/A</v>
      </c>
      <c r="H126" s="47" t="e">
        <f>#N/A</f>
        <v>#N/A</v>
      </c>
      <c r="I126" s="4"/>
      <c r="J126" s="4"/>
      <c r="K126" s="4"/>
      <c r="L126" s="4"/>
      <c r="M126" s="4"/>
      <c r="N126" s="49">
        <v>5.0650000000000004</v>
      </c>
      <c r="O126" s="51">
        <v>5.2492977284550024</v>
      </c>
      <c r="P126" s="51">
        <v>0.10870227154499738</v>
      </c>
      <c r="Q126" s="5"/>
      <c r="R126" s="51">
        <v>3.359</v>
      </c>
      <c r="S126" s="2">
        <v>1.4550000000000001</v>
      </c>
      <c r="T126" s="52"/>
      <c r="U126" s="48">
        <v>2.7521269841269835</v>
      </c>
      <c r="V126" s="50" t="e">
        <f>#N/A</f>
        <v>#N/A</v>
      </c>
      <c r="W126" s="5"/>
      <c r="X126" s="5"/>
      <c r="Y126" s="5"/>
      <c r="Z126" s="5"/>
      <c r="AA126" s="5"/>
      <c r="AB126" s="49">
        <v>3.0707769049887101</v>
      </c>
      <c r="AC126" s="47" t="e">
        <f>#N/A</f>
        <v>#N/A</v>
      </c>
      <c r="AD126" s="37">
        <v>10</v>
      </c>
      <c r="AE126" s="37">
        <v>5</v>
      </c>
      <c r="AF126" s="50"/>
      <c r="AG126" s="18"/>
      <c r="AH126" s="18"/>
      <c r="AI126" s="18"/>
      <c r="AJ126" s="18"/>
      <c r="AK126" s="18"/>
      <c r="AL126" s="18"/>
      <c r="AM126" s="18"/>
      <c r="AN126" s="18"/>
      <c r="AO126" s="18"/>
      <c r="AP126" s="18"/>
      <c r="AQ126" s="8" t="e">
        <f>#N/A</f>
        <v>#N/A</v>
      </c>
      <c r="AR126" s="8" t="e">
        <f>#N/A</f>
        <v>#N/A</v>
      </c>
      <c r="AS126" s="60" t="e">
        <f>#N/A</f>
        <v>#N/A</v>
      </c>
      <c r="AT126" s="60" t="e">
        <f>#N/A</f>
        <v>#N/A</v>
      </c>
      <c r="AU126" s="60" t="e">
        <f>#N/A</f>
        <v>#N/A</v>
      </c>
    </row>
    <row r="127" spans="1:47" x14ac:dyDescent="0.2">
      <c r="A127" s="43">
        <v>0.01</v>
      </c>
      <c r="B127" s="43">
        <v>9.5848493589674177E-3</v>
      </c>
      <c r="C127" s="43">
        <v>0</v>
      </c>
      <c r="D127" s="7" t="e">
        <f>#N/A</f>
        <v>#N/A</v>
      </c>
      <c r="E127" s="7" t="e">
        <f>#N/A</f>
        <v>#N/A</v>
      </c>
      <c r="F127" s="47" t="e">
        <f>#N/A</f>
        <v>#N/A</v>
      </c>
      <c r="G127" s="37" t="e">
        <f>#N/A</f>
        <v>#N/A</v>
      </c>
      <c r="H127" s="47" t="e">
        <f>#N/A</f>
        <v>#N/A</v>
      </c>
      <c r="I127" s="4"/>
      <c r="J127" s="4"/>
      <c r="K127" s="4"/>
      <c r="L127" s="4"/>
      <c r="M127" s="4"/>
      <c r="N127" s="49">
        <v>5.0650000000000004</v>
      </c>
      <c r="O127" s="51">
        <v>5.2492977284550024</v>
      </c>
      <c r="P127" s="51">
        <v>0.10870227154499738</v>
      </c>
      <c r="Q127" s="5"/>
      <c r="R127" s="51">
        <v>3.359</v>
      </c>
      <c r="S127" s="2">
        <v>1.4550000000000001</v>
      </c>
      <c r="T127" s="52"/>
      <c r="U127" s="48">
        <v>2.7521269841269835</v>
      </c>
      <c r="V127" s="50" t="e">
        <f>#N/A</f>
        <v>#N/A</v>
      </c>
      <c r="W127" s="5"/>
      <c r="X127" s="5"/>
      <c r="Y127" s="5"/>
      <c r="Z127" s="5"/>
      <c r="AA127" s="5"/>
      <c r="AB127" s="49">
        <v>3.0707769049887101</v>
      </c>
      <c r="AC127" s="47" t="e">
        <f>#N/A</f>
        <v>#N/A</v>
      </c>
      <c r="AD127" s="37">
        <v>10</v>
      </c>
      <c r="AE127" s="37">
        <v>5</v>
      </c>
      <c r="AF127" s="50"/>
      <c r="AG127" s="18"/>
      <c r="AH127" s="18"/>
      <c r="AI127" s="18"/>
      <c r="AJ127" s="18"/>
      <c r="AK127" s="18"/>
      <c r="AL127" s="18"/>
      <c r="AM127" s="18"/>
      <c r="AN127" s="18"/>
      <c r="AO127" s="18"/>
      <c r="AP127" s="18"/>
      <c r="AQ127" s="8" t="e">
        <f>#N/A</f>
        <v>#N/A</v>
      </c>
      <c r="AR127" s="8" t="e">
        <f>#N/A</f>
        <v>#N/A</v>
      </c>
      <c r="AS127" s="60" t="e">
        <f>#N/A</f>
        <v>#N/A</v>
      </c>
      <c r="AT127" s="60" t="e">
        <f>#N/A</f>
        <v>#N/A</v>
      </c>
      <c r="AU127" s="60" t="e">
        <f>#N/A</f>
        <v>#N/A</v>
      </c>
    </row>
    <row r="128" spans="1:47" x14ac:dyDescent="0.2">
      <c r="A128" s="43">
        <v>0.01</v>
      </c>
      <c r="B128" s="43">
        <v>9.5848493589674177E-3</v>
      </c>
      <c r="C128" s="43">
        <v>0</v>
      </c>
      <c r="D128" s="7" t="e">
        <f>#N/A</f>
        <v>#N/A</v>
      </c>
      <c r="E128" s="7" t="e">
        <f>#N/A</f>
        <v>#N/A</v>
      </c>
      <c r="F128" s="47" t="e">
        <f>#N/A</f>
        <v>#N/A</v>
      </c>
      <c r="G128" s="37" t="e">
        <f>#N/A</f>
        <v>#N/A</v>
      </c>
      <c r="H128" s="47" t="e">
        <f>#N/A</f>
        <v>#N/A</v>
      </c>
      <c r="I128" s="4"/>
      <c r="J128" s="4"/>
      <c r="K128" s="4"/>
      <c r="L128" s="4"/>
      <c r="M128" s="4"/>
      <c r="N128" s="49">
        <v>5.0650000000000004</v>
      </c>
      <c r="O128" s="51">
        <v>5.2492977284550024</v>
      </c>
      <c r="P128" s="51">
        <v>0.10870227154499738</v>
      </c>
      <c r="Q128" s="5"/>
      <c r="R128" s="51">
        <v>3.359</v>
      </c>
      <c r="S128" s="2">
        <v>1.4550000000000001</v>
      </c>
      <c r="T128" s="52"/>
      <c r="U128" s="48">
        <v>2.7521269841269835</v>
      </c>
      <c r="V128" s="50" t="e">
        <f>#N/A</f>
        <v>#N/A</v>
      </c>
      <c r="W128" s="5"/>
      <c r="X128" s="5"/>
      <c r="Y128" s="5"/>
      <c r="Z128" s="5"/>
      <c r="AA128" s="5"/>
      <c r="AB128" s="49">
        <v>3.0707769049887101</v>
      </c>
      <c r="AC128" s="47" t="e">
        <f>#N/A</f>
        <v>#N/A</v>
      </c>
      <c r="AD128" s="37">
        <v>10</v>
      </c>
      <c r="AE128" s="37">
        <v>5</v>
      </c>
      <c r="AF128" s="50"/>
      <c r="AG128" s="18"/>
      <c r="AH128" s="18"/>
      <c r="AI128" s="18"/>
      <c r="AJ128" s="18"/>
      <c r="AK128" s="18"/>
      <c r="AL128" s="18"/>
      <c r="AM128" s="18"/>
      <c r="AN128" s="18"/>
      <c r="AO128" s="18"/>
      <c r="AP128" s="18"/>
      <c r="AQ128" s="8" t="e">
        <f>#N/A</f>
        <v>#N/A</v>
      </c>
      <c r="AR128" s="8" t="e">
        <f>#N/A</f>
        <v>#N/A</v>
      </c>
      <c r="AS128" s="60" t="e">
        <f>#N/A</f>
        <v>#N/A</v>
      </c>
      <c r="AT128" s="60" t="e">
        <f>#N/A</f>
        <v>#N/A</v>
      </c>
      <c r="AU128" s="60" t="e">
        <f>#N/A</f>
        <v>#N/A</v>
      </c>
    </row>
    <row r="129" spans="1:47" x14ac:dyDescent="0.2">
      <c r="A129" s="43">
        <v>0.01</v>
      </c>
      <c r="B129" s="43">
        <v>9.5848493589674177E-3</v>
      </c>
      <c r="C129" s="43">
        <v>0</v>
      </c>
      <c r="D129" s="7" t="e">
        <f>#N/A</f>
        <v>#N/A</v>
      </c>
      <c r="E129" s="7" t="e">
        <f>#N/A</f>
        <v>#N/A</v>
      </c>
      <c r="F129" s="47" t="e">
        <f>#N/A</f>
        <v>#N/A</v>
      </c>
      <c r="G129" s="37" t="e">
        <f>#N/A</f>
        <v>#N/A</v>
      </c>
      <c r="H129" s="47" t="e">
        <f>#N/A</f>
        <v>#N/A</v>
      </c>
      <c r="I129" s="4"/>
      <c r="J129" s="4"/>
      <c r="K129" s="4"/>
      <c r="L129" s="4"/>
      <c r="M129" s="4"/>
      <c r="N129" s="49">
        <v>5.0650000000000004</v>
      </c>
      <c r="O129" s="51">
        <v>5.2492977284550024</v>
      </c>
      <c r="P129" s="51">
        <v>0.10870227154499738</v>
      </c>
      <c r="Q129" s="5"/>
      <c r="R129" s="51">
        <v>3.359</v>
      </c>
      <c r="S129" s="2">
        <v>1.4550000000000001</v>
      </c>
      <c r="T129" s="52"/>
      <c r="U129" s="48">
        <v>2.7521269841269835</v>
      </c>
      <c r="V129" s="50" t="e">
        <f>#N/A</f>
        <v>#N/A</v>
      </c>
      <c r="W129" s="5"/>
      <c r="X129" s="5"/>
      <c r="Y129" s="5"/>
      <c r="Z129" s="5"/>
      <c r="AA129" s="5"/>
      <c r="AB129" s="49">
        <v>3.0707769049887101</v>
      </c>
      <c r="AC129" s="47" t="e">
        <f>#N/A</f>
        <v>#N/A</v>
      </c>
      <c r="AD129" s="37">
        <v>10</v>
      </c>
      <c r="AE129" s="37">
        <v>5</v>
      </c>
      <c r="AF129" s="50"/>
      <c r="AG129" s="18"/>
      <c r="AH129" s="18"/>
      <c r="AI129" s="18"/>
      <c r="AJ129" s="18"/>
      <c r="AK129" s="18"/>
      <c r="AL129" s="18"/>
      <c r="AM129" s="18"/>
      <c r="AN129" s="18"/>
      <c r="AO129" s="18"/>
      <c r="AP129" s="18"/>
      <c r="AQ129" s="8" t="e">
        <f>#N/A</f>
        <v>#N/A</v>
      </c>
      <c r="AR129" s="8" t="e">
        <f>#N/A</f>
        <v>#N/A</v>
      </c>
      <c r="AS129" s="60" t="e">
        <f>#N/A</f>
        <v>#N/A</v>
      </c>
      <c r="AT129" s="60" t="e">
        <f>#N/A</f>
        <v>#N/A</v>
      </c>
      <c r="AU129" s="60" t="e">
        <f>#N/A</f>
        <v>#N/A</v>
      </c>
    </row>
    <row r="130" spans="1:47" x14ac:dyDescent="0.2">
      <c r="A130" s="43">
        <v>0.01</v>
      </c>
      <c r="B130" s="43">
        <v>9.5848493589674177E-3</v>
      </c>
      <c r="C130" s="43">
        <v>0</v>
      </c>
      <c r="D130" s="7" t="e">
        <f>#N/A</f>
        <v>#N/A</v>
      </c>
      <c r="E130" s="7" t="e">
        <f>#N/A</f>
        <v>#N/A</v>
      </c>
      <c r="F130" s="47" t="e">
        <f>#N/A</f>
        <v>#N/A</v>
      </c>
      <c r="G130" s="37" t="e">
        <f>#N/A</f>
        <v>#N/A</v>
      </c>
      <c r="H130" s="47" t="e">
        <f>#N/A</f>
        <v>#N/A</v>
      </c>
      <c r="I130" s="4"/>
      <c r="J130" s="4"/>
      <c r="K130" s="4"/>
      <c r="L130" s="4"/>
      <c r="M130" s="4"/>
      <c r="N130" s="49">
        <v>5.0650000000000004</v>
      </c>
      <c r="O130" s="51">
        <v>5.2492977284550024</v>
      </c>
      <c r="P130" s="51">
        <v>0.10870227154499738</v>
      </c>
      <c r="Q130" s="5"/>
      <c r="R130" s="51">
        <v>3.359</v>
      </c>
      <c r="S130" s="2">
        <v>1.4550000000000001</v>
      </c>
      <c r="T130" s="52"/>
      <c r="U130" s="48">
        <f>+U118</f>
        <v>1.5238095238095237</v>
      </c>
      <c r="V130" s="50" t="e">
        <f>#N/A</f>
        <v>#N/A</v>
      </c>
      <c r="W130" s="5"/>
      <c r="X130" s="5"/>
      <c r="Y130" s="5"/>
      <c r="Z130" s="5"/>
      <c r="AA130" s="5"/>
      <c r="AB130" s="49">
        <v>2.22553605498871</v>
      </c>
      <c r="AC130" s="47" t="e">
        <f>#N/A</f>
        <v>#N/A</v>
      </c>
      <c r="AD130" s="37">
        <v>0</v>
      </c>
      <c r="AE130" s="37">
        <v>0</v>
      </c>
      <c r="AF130" s="50"/>
      <c r="AG130" s="18"/>
      <c r="AH130" s="18"/>
      <c r="AI130" s="18"/>
      <c r="AJ130" s="18"/>
      <c r="AK130" s="18"/>
      <c r="AL130" s="18"/>
      <c r="AM130" s="18"/>
      <c r="AN130" s="18"/>
      <c r="AO130" s="18"/>
      <c r="AP130" s="18"/>
      <c r="AQ130" s="8" t="e">
        <f>#N/A</f>
        <v>#N/A</v>
      </c>
      <c r="AR130" s="8" t="e">
        <f>#N/A</f>
        <v>#N/A</v>
      </c>
      <c r="AS130" s="60" t="e">
        <f>#N/A</f>
        <v>#N/A</v>
      </c>
      <c r="AT130" s="60" t="e">
        <f>#N/A</f>
        <v>#N/A</v>
      </c>
      <c r="AU130" s="60" t="e">
        <f>#N/A</f>
        <v>#N/A</v>
      </c>
    </row>
    <row r="131" spans="1:47" x14ac:dyDescent="0.2">
      <c r="A131" s="43">
        <v>0.01</v>
      </c>
      <c r="B131" s="43">
        <v>9.5848493589674177E-3</v>
      </c>
      <c r="C131" s="43">
        <v>0</v>
      </c>
      <c r="D131" s="7" t="e">
        <f>#N/A</f>
        <v>#N/A</v>
      </c>
      <c r="E131" s="7" t="e">
        <f>#N/A</f>
        <v>#N/A</v>
      </c>
      <c r="F131" s="47" t="e">
        <f>#N/A</f>
        <v>#N/A</v>
      </c>
      <c r="G131" s="37" t="e">
        <f>#N/A</f>
        <v>#N/A</v>
      </c>
      <c r="H131" s="47" t="e">
        <f>#N/A</f>
        <v>#N/A</v>
      </c>
      <c r="I131" s="4"/>
      <c r="J131" s="4"/>
      <c r="K131" s="4"/>
      <c r="L131" s="4"/>
      <c r="M131" s="4"/>
      <c r="N131" s="49">
        <v>5.0650000000000004</v>
      </c>
      <c r="O131" s="51">
        <v>5.2492977284550024</v>
      </c>
      <c r="P131" s="51">
        <v>0.10870227154499738</v>
      </c>
      <c r="Q131" s="5"/>
      <c r="R131" s="51">
        <v>3.359</v>
      </c>
      <c r="S131" s="2">
        <v>1.4550000000000001</v>
      </c>
      <c r="T131" s="52"/>
      <c r="U131" s="48" t="e">
        <f>#N/A</f>
        <v>#N/A</v>
      </c>
      <c r="V131" s="50" t="e">
        <f>#N/A</f>
        <v>#N/A</v>
      </c>
      <c r="W131" s="5"/>
      <c r="X131" s="5"/>
      <c r="Y131" s="5"/>
      <c r="Z131" s="5"/>
      <c r="AA131" s="5"/>
      <c r="AB131" s="49">
        <v>2.22553605498871</v>
      </c>
      <c r="AC131" s="47" t="e">
        <f>#N/A</f>
        <v>#N/A</v>
      </c>
      <c r="AD131" s="37">
        <v>0</v>
      </c>
      <c r="AE131" s="37">
        <v>0</v>
      </c>
      <c r="AF131" s="50"/>
      <c r="AG131" s="18"/>
      <c r="AH131" s="18"/>
      <c r="AI131" s="18"/>
      <c r="AJ131" s="18"/>
      <c r="AK131" s="18"/>
      <c r="AL131" s="18"/>
      <c r="AM131" s="18"/>
      <c r="AN131" s="18"/>
      <c r="AO131" s="18"/>
      <c r="AP131" s="18"/>
      <c r="AQ131" s="8" t="e">
        <f>#N/A</f>
        <v>#N/A</v>
      </c>
      <c r="AR131" s="8" t="e">
        <f>#N/A</f>
        <v>#N/A</v>
      </c>
      <c r="AS131" s="60" t="e">
        <f>#N/A</f>
        <v>#N/A</v>
      </c>
      <c r="AT131" s="60" t="e">
        <f>#N/A</f>
        <v>#N/A</v>
      </c>
      <c r="AU131" s="60" t="e">
        <f>#N/A</f>
        <v>#N/A</v>
      </c>
    </row>
    <row r="132" spans="1:47" x14ac:dyDescent="0.2">
      <c r="A132" s="43">
        <v>0.01</v>
      </c>
      <c r="B132" s="43">
        <v>9.5848493589674177E-3</v>
      </c>
      <c r="C132" s="43">
        <v>0</v>
      </c>
      <c r="D132" s="7" t="e">
        <f>#N/A</f>
        <v>#N/A</v>
      </c>
      <c r="E132" s="7" t="e">
        <f>#N/A</f>
        <v>#N/A</v>
      </c>
      <c r="F132" s="47" t="e">
        <f>#N/A</f>
        <v>#N/A</v>
      </c>
      <c r="G132" s="37" t="e">
        <f>#N/A</f>
        <v>#N/A</v>
      </c>
      <c r="H132" s="47" t="e">
        <f>#N/A</f>
        <v>#N/A</v>
      </c>
      <c r="I132" s="4"/>
      <c r="J132" s="4"/>
      <c r="K132" s="4"/>
      <c r="L132" s="4"/>
      <c r="M132" s="4"/>
      <c r="N132" s="49">
        <v>5.0650000000000004</v>
      </c>
      <c r="O132" s="51">
        <v>5.2492977284550024</v>
      </c>
      <c r="P132" s="51">
        <v>0.10870227154499738</v>
      </c>
      <c r="Q132" s="5"/>
      <c r="R132" s="51">
        <v>3.359</v>
      </c>
      <c r="S132" s="2">
        <v>1.4550000000000001</v>
      </c>
      <c r="T132" s="52"/>
      <c r="U132" s="48" t="e">
        <f>#N/A</f>
        <v>#N/A</v>
      </c>
      <c r="V132" s="50" t="e">
        <f>#N/A</f>
        <v>#N/A</v>
      </c>
      <c r="W132" s="5"/>
      <c r="X132" s="5"/>
      <c r="Y132" s="5"/>
      <c r="Z132" s="5"/>
      <c r="AA132" s="5"/>
      <c r="AB132" s="49">
        <v>2.22553605498871</v>
      </c>
      <c r="AC132" s="47" t="e">
        <f>#N/A</f>
        <v>#N/A</v>
      </c>
      <c r="AD132" s="37">
        <v>0</v>
      </c>
      <c r="AE132" s="37">
        <v>0</v>
      </c>
      <c r="AF132" s="50"/>
      <c r="AG132" s="18"/>
      <c r="AH132" s="18"/>
      <c r="AI132" s="18"/>
      <c r="AJ132" s="18"/>
      <c r="AK132" s="18"/>
      <c r="AL132" s="18"/>
      <c r="AM132" s="18"/>
      <c r="AN132" s="18"/>
      <c r="AO132" s="18"/>
      <c r="AP132" s="18"/>
      <c r="AQ132" s="8" t="e">
        <f>#N/A</f>
        <v>#N/A</v>
      </c>
      <c r="AR132" s="8" t="e">
        <f>#N/A</f>
        <v>#N/A</v>
      </c>
      <c r="AS132" s="60" t="e">
        <f>#N/A</f>
        <v>#N/A</v>
      </c>
      <c r="AT132" s="60" t="e">
        <f>#N/A</f>
        <v>#N/A</v>
      </c>
      <c r="AU132" s="60" t="e">
        <f>#N/A</f>
        <v>#N/A</v>
      </c>
    </row>
    <row r="133" spans="1:47" x14ac:dyDescent="0.2">
      <c r="A133" s="43">
        <v>0.01</v>
      </c>
      <c r="B133" s="43">
        <v>9.5848493589674177E-3</v>
      </c>
      <c r="C133" s="43">
        <v>0</v>
      </c>
      <c r="D133" s="7" t="e">
        <f>#N/A</f>
        <v>#N/A</v>
      </c>
      <c r="E133" s="7" t="e">
        <f>#N/A</f>
        <v>#N/A</v>
      </c>
      <c r="F133" s="47" t="e">
        <f>#N/A</f>
        <v>#N/A</v>
      </c>
      <c r="G133" s="37" t="e">
        <f>#N/A</f>
        <v>#N/A</v>
      </c>
      <c r="H133" s="47" t="e">
        <f>#N/A</f>
        <v>#N/A</v>
      </c>
      <c r="I133" s="4"/>
      <c r="J133" s="4"/>
      <c r="K133" s="4"/>
      <c r="L133" s="4"/>
      <c r="M133" s="4"/>
      <c r="N133" s="49">
        <v>5.0650000000000004</v>
      </c>
      <c r="O133" s="51">
        <v>5.2492977284550024</v>
      </c>
      <c r="P133" s="51">
        <v>0.10870227154499738</v>
      </c>
      <c r="Q133" s="5"/>
      <c r="R133" s="51">
        <v>3.359</v>
      </c>
      <c r="S133" s="2">
        <v>1.4550000000000001</v>
      </c>
      <c r="T133" s="52"/>
      <c r="U133" s="48" t="e">
        <f>#N/A</f>
        <v>#N/A</v>
      </c>
      <c r="V133" s="50" t="e">
        <f>#N/A</f>
        <v>#N/A</v>
      </c>
      <c r="W133" s="5"/>
      <c r="X133" s="5"/>
      <c r="Y133" s="5"/>
      <c r="Z133" s="5"/>
      <c r="AA133" s="5"/>
      <c r="AB133" s="49">
        <v>2.22553605498871</v>
      </c>
      <c r="AC133" s="47" t="e">
        <f>#N/A</f>
        <v>#N/A</v>
      </c>
      <c r="AD133" s="37">
        <v>0</v>
      </c>
      <c r="AE133" s="37">
        <v>0</v>
      </c>
      <c r="AF133" s="50"/>
      <c r="AG133" s="18"/>
      <c r="AH133" s="18"/>
      <c r="AI133" s="18"/>
      <c r="AJ133" s="18"/>
      <c r="AK133" s="18"/>
      <c r="AL133" s="18"/>
      <c r="AM133" s="18"/>
      <c r="AN133" s="18"/>
      <c r="AO133" s="18"/>
      <c r="AP133" s="18"/>
      <c r="AQ133" s="8" t="e">
        <f>#N/A</f>
        <v>#N/A</v>
      </c>
      <c r="AR133" s="8" t="e">
        <f>#N/A</f>
        <v>#N/A</v>
      </c>
      <c r="AS133" s="60" t="e">
        <f>#N/A</f>
        <v>#N/A</v>
      </c>
      <c r="AT133" s="60" t="e">
        <f>#N/A</f>
        <v>#N/A</v>
      </c>
      <c r="AU133" s="60" t="e">
        <f>#N/A</f>
        <v>#N/A</v>
      </c>
    </row>
    <row r="134" spans="1:47" x14ac:dyDescent="0.2">
      <c r="A134" s="43">
        <v>0.01</v>
      </c>
      <c r="B134" s="43">
        <v>9.5848493589674177E-3</v>
      </c>
      <c r="C134" s="43">
        <v>0</v>
      </c>
      <c r="D134" s="7" t="e">
        <f>#N/A</f>
        <v>#N/A</v>
      </c>
      <c r="E134" s="7" t="e">
        <f>#N/A</f>
        <v>#N/A</v>
      </c>
      <c r="F134" s="47" t="e">
        <f>#N/A</f>
        <v>#N/A</v>
      </c>
      <c r="G134" s="37" t="e">
        <f>#N/A</f>
        <v>#N/A</v>
      </c>
      <c r="H134" s="47" t="e">
        <f>#N/A</f>
        <v>#N/A</v>
      </c>
      <c r="I134" s="4"/>
      <c r="J134" s="4"/>
      <c r="K134" s="4"/>
      <c r="L134" s="4"/>
      <c r="M134" s="4"/>
      <c r="N134" s="49">
        <v>5.0650000000000004</v>
      </c>
      <c r="O134" s="51">
        <v>5.2492977284550024</v>
      </c>
      <c r="P134" s="51">
        <v>0.10870227154499738</v>
      </c>
      <c r="Q134" s="5"/>
      <c r="R134" s="51">
        <v>3.359</v>
      </c>
      <c r="S134" s="2">
        <v>1.4550000000000001</v>
      </c>
      <c r="T134" s="52"/>
      <c r="U134" s="48" t="e">
        <f>#N/A</f>
        <v>#N/A</v>
      </c>
      <c r="V134" s="50" t="e">
        <f>#N/A</f>
        <v>#N/A</v>
      </c>
      <c r="W134" s="5"/>
      <c r="X134" s="5"/>
      <c r="Y134" s="5"/>
      <c r="Z134" s="5"/>
      <c r="AA134" s="5"/>
      <c r="AB134" s="49">
        <v>2.22553605498871</v>
      </c>
      <c r="AC134" s="47" t="e">
        <f>#N/A</f>
        <v>#N/A</v>
      </c>
      <c r="AD134" s="37">
        <v>0</v>
      </c>
      <c r="AE134" s="37">
        <v>0</v>
      </c>
      <c r="AF134" s="50"/>
      <c r="AG134" s="18"/>
      <c r="AH134" s="18"/>
      <c r="AI134" s="18"/>
      <c r="AJ134" s="18"/>
      <c r="AK134" s="18"/>
      <c r="AL134" s="18"/>
      <c r="AM134" s="18"/>
      <c r="AN134" s="18"/>
      <c r="AO134" s="18"/>
      <c r="AP134" s="18"/>
      <c r="AQ134" s="8" t="e">
        <f>#N/A</f>
        <v>#N/A</v>
      </c>
      <c r="AR134" s="8" t="e">
        <f>#N/A</f>
        <v>#N/A</v>
      </c>
      <c r="AS134" s="60" t="e">
        <f>#N/A</f>
        <v>#N/A</v>
      </c>
      <c r="AT134" s="60" t="e">
        <f>#N/A</f>
        <v>#N/A</v>
      </c>
      <c r="AU134" s="60" t="e">
        <f>#N/A</f>
        <v>#N/A</v>
      </c>
    </row>
    <row r="135" spans="1:47" x14ac:dyDescent="0.2">
      <c r="A135" s="43">
        <v>0.01</v>
      </c>
      <c r="B135" s="43">
        <v>9.5848493589674177E-3</v>
      </c>
      <c r="C135" s="43">
        <v>0</v>
      </c>
      <c r="D135" s="7" t="e">
        <f>#N/A</f>
        <v>#N/A</v>
      </c>
      <c r="E135" s="7" t="e">
        <f>#N/A</f>
        <v>#N/A</v>
      </c>
      <c r="F135" s="47" t="e">
        <f>#N/A</f>
        <v>#N/A</v>
      </c>
      <c r="G135" s="37" t="e">
        <f>#N/A</f>
        <v>#N/A</v>
      </c>
      <c r="H135" s="47" t="e">
        <f>#N/A</f>
        <v>#N/A</v>
      </c>
      <c r="I135" s="4"/>
      <c r="J135" s="4"/>
      <c r="K135" s="4"/>
      <c r="L135" s="4"/>
      <c r="M135" s="4"/>
      <c r="N135" s="49">
        <v>5.0650000000000004</v>
      </c>
      <c r="O135" s="51">
        <v>5.2492977284550024</v>
      </c>
      <c r="P135" s="51">
        <v>0.10870227154499738</v>
      </c>
      <c r="Q135" s="5"/>
      <c r="R135" s="51">
        <v>3.359</v>
      </c>
      <c r="S135" s="2">
        <v>1.4550000000000001</v>
      </c>
      <c r="T135" s="52"/>
      <c r="U135" s="48" t="e">
        <f>#N/A</f>
        <v>#N/A</v>
      </c>
      <c r="V135" s="50" t="e">
        <f>#N/A</f>
        <v>#N/A</v>
      </c>
      <c r="W135" s="5"/>
      <c r="X135" s="5"/>
      <c r="Y135" s="5"/>
      <c r="Z135" s="5"/>
      <c r="AA135" s="5"/>
      <c r="AB135" s="49">
        <v>2.22553605498871</v>
      </c>
      <c r="AC135" s="47" t="e">
        <f>#N/A</f>
        <v>#N/A</v>
      </c>
      <c r="AD135" s="37">
        <v>0</v>
      </c>
      <c r="AE135" s="37">
        <v>0</v>
      </c>
      <c r="AF135" s="50"/>
      <c r="AG135" s="18"/>
      <c r="AH135" s="18"/>
      <c r="AI135" s="18"/>
      <c r="AJ135" s="18"/>
      <c r="AK135" s="18"/>
      <c r="AL135" s="18"/>
      <c r="AM135" s="18"/>
      <c r="AN135" s="18"/>
      <c r="AO135" s="18"/>
      <c r="AP135" s="18"/>
      <c r="AQ135" s="8" t="e">
        <f>#N/A</f>
        <v>#N/A</v>
      </c>
      <c r="AR135" s="8" t="e">
        <f>#N/A</f>
        <v>#N/A</v>
      </c>
      <c r="AS135" s="60" t="e">
        <f>#N/A</f>
        <v>#N/A</v>
      </c>
      <c r="AT135" s="60" t="e">
        <f>#N/A</f>
        <v>#N/A</v>
      </c>
      <c r="AU135" s="60" t="e">
        <f>#N/A</f>
        <v>#N/A</v>
      </c>
    </row>
    <row r="136" spans="1:47" x14ac:dyDescent="0.2">
      <c r="A136" s="43">
        <v>0.01</v>
      </c>
      <c r="B136" s="43">
        <v>9.5848493589674177E-3</v>
      </c>
      <c r="C136" s="43">
        <v>0</v>
      </c>
      <c r="D136" s="7" t="e">
        <f>#N/A</f>
        <v>#N/A</v>
      </c>
      <c r="E136" s="7" t="e">
        <f>#N/A</f>
        <v>#N/A</v>
      </c>
      <c r="F136" s="47" t="e">
        <f>#N/A</f>
        <v>#N/A</v>
      </c>
      <c r="G136" s="37" t="e">
        <f>#N/A</f>
        <v>#N/A</v>
      </c>
      <c r="H136" s="47" t="e">
        <f>#N/A</f>
        <v>#N/A</v>
      </c>
      <c r="I136" s="4"/>
      <c r="J136" s="4"/>
      <c r="K136" s="4"/>
      <c r="L136" s="4"/>
      <c r="M136" s="4"/>
      <c r="N136" s="49">
        <v>5.0650000000000004</v>
      </c>
      <c r="O136" s="51">
        <v>5.2492977284550024</v>
      </c>
      <c r="P136" s="51">
        <v>0.10870227154499738</v>
      </c>
      <c r="Q136" s="5"/>
      <c r="R136" s="51">
        <v>3.359</v>
      </c>
      <c r="S136" s="2">
        <v>1.4550000000000001</v>
      </c>
      <c r="T136" s="52"/>
      <c r="U136" s="48" t="e">
        <f>#N/A</f>
        <v>#N/A</v>
      </c>
      <c r="V136" s="50" t="e">
        <f>#N/A</f>
        <v>#N/A</v>
      </c>
      <c r="W136" s="5"/>
      <c r="X136" s="5"/>
      <c r="Y136" s="5"/>
      <c r="Z136" s="5"/>
      <c r="AA136" s="5"/>
      <c r="AB136" s="49">
        <v>2.22553605498871</v>
      </c>
      <c r="AC136" s="47" t="e">
        <f>#N/A</f>
        <v>#N/A</v>
      </c>
      <c r="AD136" s="37">
        <v>0</v>
      </c>
      <c r="AE136" s="37">
        <v>0</v>
      </c>
      <c r="AF136" s="50"/>
      <c r="AG136" s="18"/>
      <c r="AH136" s="18"/>
      <c r="AI136" s="18"/>
      <c r="AJ136" s="18"/>
      <c r="AK136" s="18"/>
      <c r="AL136" s="18"/>
      <c r="AM136" s="18"/>
      <c r="AN136" s="18"/>
      <c r="AO136" s="18"/>
      <c r="AP136" s="18"/>
      <c r="AQ136" s="8" t="e">
        <f>#N/A</f>
        <v>#N/A</v>
      </c>
      <c r="AR136" s="8" t="e">
        <f>#N/A</f>
        <v>#N/A</v>
      </c>
      <c r="AS136" s="60" t="e">
        <f>#N/A</f>
        <v>#N/A</v>
      </c>
      <c r="AT136" s="60" t="e">
        <f>#N/A</f>
        <v>#N/A</v>
      </c>
      <c r="AU136" s="60" t="e">
        <f>#N/A</f>
        <v>#N/A</v>
      </c>
    </row>
    <row r="137" spans="1:47" x14ac:dyDescent="0.2">
      <c r="A137" s="43">
        <v>0.01</v>
      </c>
      <c r="B137" s="43">
        <v>3.1822735002311475E-3</v>
      </c>
      <c r="C137" s="43">
        <v>0</v>
      </c>
      <c r="D137" s="7" t="e">
        <f>#N/A</f>
        <v>#N/A</v>
      </c>
      <c r="E137" s="7" t="e">
        <f>#N/A</f>
        <v>#N/A</v>
      </c>
      <c r="F137" s="47" t="e">
        <f>#N/A</f>
        <v>#N/A</v>
      </c>
      <c r="G137" s="37" t="e">
        <f>#N/A</f>
        <v>#N/A</v>
      </c>
      <c r="H137" s="47" t="e">
        <f>#N/A</f>
        <v>#N/A</v>
      </c>
      <c r="I137" s="4"/>
      <c r="J137" s="4"/>
      <c r="K137" s="4"/>
      <c r="L137" s="4"/>
      <c r="M137" s="4"/>
      <c r="N137" s="49">
        <v>5.0650000000000004</v>
      </c>
      <c r="O137" s="51">
        <v>5.2492977284550024</v>
      </c>
      <c r="P137" s="51">
        <v>0.10870227154499738</v>
      </c>
      <c r="Q137" s="5"/>
      <c r="R137" s="51">
        <v>3.359</v>
      </c>
      <c r="S137" s="2">
        <v>1.4550000000000001</v>
      </c>
      <c r="T137" s="52"/>
      <c r="U137" s="48" t="e">
        <f>#N/A</f>
        <v>#N/A</v>
      </c>
      <c r="V137" s="50" t="e">
        <f>#N/A</f>
        <v>#N/A</v>
      </c>
      <c r="W137" s="5"/>
      <c r="X137" s="5"/>
      <c r="Y137" s="5"/>
      <c r="Z137" s="5"/>
      <c r="AA137" s="5"/>
      <c r="AB137" s="49">
        <v>3.0707769049887101</v>
      </c>
      <c r="AC137" s="47" t="e">
        <f>#N/A</f>
        <v>#N/A</v>
      </c>
      <c r="AD137" s="52"/>
      <c r="AE137" s="48"/>
      <c r="AF137" s="50"/>
      <c r="AG137" s="18"/>
      <c r="AH137" s="18"/>
      <c r="AI137" s="18"/>
      <c r="AJ137" s="18"/>
      <c r="AK137" s="18"/>
      <c r="AL137" s="18"/>
      <c r="AM137" s="18"/>
      <c r="AN137" s="18"/>
      <c r="AO137" s="18"/>
      <c r="AP137" s="18"/>
      <c r="AQ137" s="8" t="e">
        <f>#N/A</f>
        <v>#N/A</v>
      </c>
      <c r="AR137" s="8" t="e">
        <f>#N/A</f>
        <v>#N/A</v>
      </c>
      <c r="AS137" s="60" t="e">
        <f>#N/A</f>
        <v>#N/A</v>
      </c>
      <c r="AT137" s="60" t="e">
        <f>#N/A</f>
        <v>#N/A</v>
      </c>
      <c r="AU137" s="60" t="e">
        <f>#N/A</f>
        <v>#N/A</v>
      </c>
    </row>
    <row r="138" spans="1:47" x14ac:dyDescent="0.2">
      <c r="A138" s="43">
        <v>0.01</v>
      </c>
      <c r="B138" s="43">
        <v>3.1822735002311475E-3</v>
      </c>
      <c r="C138" s="43">
        <v>0</v>
      </c>
      <c r="D138" s="7" t="e">
        <f>#N/A</f>
        <v>#N/A</v>
      </c>
      <c r="E138" s="7" t="e">
        <f>#N/A</f>
        <v>#N/A</v>
      </c>
      <c r="F138" s="47" t="e">
        <f>#N/A</f>
        <v>#N/A</v>
      </c>
      <c r="G138" s="37" t="e">
        <f>#N/A</f>
        <v>#N/A</v>
      </c>
      <c r="H138" s="47" t="e">
        <f>#N/A</f>
        <v>#N/A</v>
      </c>
      <c r="I138" s="4"/>
      <c r="J138" s="4"/>
      <c r="K138" s="4"/>
      <c r="L138" s="4"/>
      <c r="M138" s="4"/>
      <c r="N138" s="49">
        <v>5.0650000000000004</v>
      </c>
      <c r="O138" s="51">
        <v>5.2492977284550024</v>
      </c>
      <c r="P138" s="51">
        <v>0.10870227154499738</v>
      </c>
      <c r="Q138" s="5"/>
      <c r="R138" s="51">
        <v>3.359</v>
      </c>
      <c r="S138" s="2">
        <v>1.4550000000000001</v>
      </c>
      <c r="T138" s="52"/>
      <c r="U138" s="48" t="e">
        <f>#N/A</f>
        <v>#N/A</v>
      </c>
      <c r="V138" s="50" t="e">
        <f>#N/A</f>
        <v>#N/A</v>
      </c>
      <c r="W138" s="5"/>
      <c r="X138" s="5"/>
      <c r="Y138" s="5"/>
      <c r="Z138" s="5"/>
      <c r="AA138" s="5"/>
      <c r="AB138" s="49">
        <v>3.0707769049887101</v>
      </c>
      <c r="AC138" s="47" t="e">
        <f>#N/A</f>
        <v>#N/A</v>
      </c>
      <c r="AD138" s="52"/>
      <c r="AE138" s="48"/>
      <c r="AF138" s="50"/>
      <c r="AG138" s="18"/>
      <c r="AH138" s="18"/>
      <c r="AI138" s="18"/>
      <c r="AJ138" s="18"/>
      <c r="AK138" s="18"/>
      <c r="AL138" s="18"/>
      <c r="AM138" s="18"/>
      <c r="AN138" s="18"/>
      <c r="AO138" s="18"/>
      <c r="AP138" s="18"/>
      <c r="AQ138" s="8" t="e">
        <f>#N/A</f>
        <v>#N/A</v>
      </c>
      <c r="AR138" s="8" t="e">
        <f>#N/A</f>
        <v>#N/A</v>
      </c>
      <c r="AS138" s="60" t="e">
        <f>#N/A</f>
        <v>#N/A</v>
      </c>
      <c r="AT138" s="60" t="e">
        <f>#N/A</f>
        <v>#N/A</v>
      </c>
      <c r="AU138" s="60" t="e">
        <f>#N/A</f>
        <v>#N/A</v>
      </c>
    </row>
    <row r="139" spans="1:47" x14ac:dyDescent="0.2">
      <c r="A139" s="43">
        <v>0.01</v>
      </c>
      <c r="B139" s="43">
        <v>3.1822735002311475E-3</v>
      </c>
      <c r="C139" s="43">
        <v>0</v>
      </c>
      <c r="D139" s="7" t="e">
        <f>#N/A</f>
        <v>#N/A</v>
      </c>
      <c r="E139" s="7" t="e">
        <f>#N/A</f>
        <v>#N/A</v>
      </c>
      <c r="F139" s="47" t="e">
        <f>#N/A</f>
        <v>#N/A</v>
      </c>
      <c r="G139" s="37" t="e">
        <f>#N/A</f>
        <v>#N/A</v>
      </c>
      <c r="H139" s="47" t="e">
        <f>#N/A</f>
        <v>#N/A</v>
      </c>
      <c r="I139" s="4"/>
      <c r="J139" s="4"/>
      <c r="K139" s="4"/>
      <c r="L139" s="4"/>
      <c r="M139" s="4"/>
      <c r="N139" s="49">
        <v>5.0650000000000004</v>
      </c>
      <c r="O139" s="51">
        <v>5.2492977284550024</v>
      </c>
      <c r="P139" s="51">
        <v>0.10870227154499738</v>
      </c>
      <c r="Q139" s="5"/>
      <c r="R139" s="51">
        <v>3.359</v>
      </c>
      <c r="S139" s="2">
        <v>1.4550000000000001</v>
      </c>
      <c r="T139" s="52"/>
      <c r="U139" s="48" t="e">
        <f>#N/A</f>
        <v>#N/A</v>
      </c>
      <c r="V139" s="50" t="e">
        <f>#N/A</f>
        <v>#N/A</v>
      </c>
      <c r="W139" s="5"/>
      <c r="X139" s="5"/>
      <c r="Y139" s="5"/>
      <c r="Z139" s="5"/>
      <c r="AA139" s="5"/>
      <c r="AB139" s="49">
        <v>3.0707769049887101</v>
      </c>
      <c r="AC139" s="47" t="e">
        <f>#N/A</f>
        <v>#N/A</v>
      </c>
      <c r="AD139" s="52"/>
      <c r="AE139" s="48"/>
      <c r="AF139" s="50"/>
      <c r="AG139" s="18"/>
      <c r="AH139" s="18"/>
      <c r="AI139" s="18"/>
      <c r="AJ139" s="18"/>
      <c r="AK139" s="18"/>
      <c r="AL139" s="18"/>
      <c r="AM139" s="18"/>
      <c r="AN139" s="18"/>
      <c r="AO139" s="18"/>
      <c r="AP139" s="18"/>
      <c r="AQ139" s="8" t="e">
        <f>#N/A</f>
        <v>#N/A</v>
      </c>
      <c r="AR139" s="8" t="e">
        <f>#N/A</f>
        <v>#N/A</v>
      </c>
      <c r="AS139" s="60" t="e">
        <f>#N/A</f>
        <v>#N/A</v>
      </c>
      <c r="AT139" s="60" t="e">
        <f>#N/A</f>
        <v>#N/A</v>
      </c>
      <c r="AU139" s="60" t="e">
        <f>#N/A</f>
        <v>#N/A</v>
      </c>
    </row>
    <row r="140" spans="1:47" x14ac:dyDescent="0.2">
      <c r="A140" s="43">
        <v>0.01</v>
      </c>
      <c r="B140" s="43">
        <v>3.1822735002311475E-3</v>
      </c>
      <c r="C140" s="43">
        <v>0</v>
      </c>
      <c r="D140" s="7" t="e">
        <f>#N/A</f>
        <v>#N/A</v>
      </c>
      <c r="E140" s="7" t="e">
        <f>#N/A</f>
        <v>#N/A</v>
      </c>
      <c r="F140" s="47" t="e">
        <f>#N/A</f>
        <v>#N/A</v>
      </c>
      <c r="G140" s="37" t="e">
        <f>#N/A</f>
        <v>#N/A</v>
      </c>
      <c r="H140" s="47" t="e">
        <f>#N/A</f>
        <v>#N/A</v>
      </c>
      <c r="I140" s="4"/>
      <c r="J140" s="4"/>
      <c r="K140" s="4"/>
      <c r="L140" s="4"/>
      <c r="M140" s="4"/>
      <c r="N140" s="49">
        <v>5.0650000000000004</v>
      </c>
      <c r="O140" s="51">
        <v>5.2492977284550024</v>
      </c>
      <c r="P140" s="51">
        <v>0.10870227154499738</v>
      </c>
      <c r="Q140" s="5"/>
      <c r="R140" s="51">
        <v>3.359</v>
      </c>
      <c r="S140" s="2">
        <v>1.4550000000000001</v>
      </c>
      <c r="T140" s="52"/>
      <c r="U140" s="48" t="e">
        <f>#N/A</f>
        <v>#N/A</v>
      </c>
      <c r="V140" s="50" t="e">
        <f>#N/A</f>
        <v>#N/A</v>
      </c>
      <c r="W140" s="5"/>
      <c r="X140" s="5"/>
      <c r="Y140" s="5"/>
      <c r="Z140" s="5"/>
      <c r="AA140" s="5"/>
      <c r="AB140" s="49">
        <v>3.0707769049887101</v>
      </c>
      <c r="AC140" s="47" t="e">
        <f>#N/A</f>
        <v>#N/A</v>
      </c>
      <c r="AD140" s="52"/>
      <c r="AE140" s="48"/>
      <c r="AF140" s="50"/>
      <c r="AG140" s="18"/>
      <c r="AH140" s="18"/>
      <c r="AI140" s="18"/>
      <c r="AJ140" s="18"/>
      <c r="AK140" s="18"/>
      <c r="AL140" s="18"/>
      <c r="AM140" s="18"/>
      <c r="AN140" s="18"/>
      <c r="AO140" s="18"/>
      <c r="AP140" s="18"/>
      <c r="AQ140" s="8" t="e">
        <f>#N/A</f>
        <v>#N/A</v>
      </c>
      <c r="AR140" s="8" t="e">
        <f>#N/A</f>
        <v>#N/A</v>
      </c>
      <c r="AS140" s="60" t="e">
        <f>#N/A</f>
        <v>#N/A</v>
      </c>
      <c r="AT140" s="60" t="e">
        <f>#N/A</f>
        <v>#N/A</v>
      </c>
      <c r="AU140" s="60" t="e">
        <f>#N/A</f>
        <v>#N/A</v>
      </c>
    </row>
    <row r="141" spans="1:47" x14ac:dyDescent="0.2">
      <c r="A141" s="43">
        <v>0.01</v>
      </c>
      <c r="B141" s="43">
        <v>3.1822735002311475E-3</v>
      </c>
      <c r="C141" s="43">
        <v>0</v>
      </c>
      <c r="D141" s="7" t="e">
        <f>#N/A</f>
        <v>#N/A</v>
      </c>
      <c r="E141" s="7" t="e">
        <f>#N/A</f>
        <v>#N/A</v>
      </c>
      <c r="F141" s="47" t="e">
        <f>#N/A</f>
        <v>#N/A</v>
      </c>
      <c r="G141" s="37" t="e">
        <f>#N/A</f>
        <v>#N/A</v>
      </c>
      <c r="H141" s="47" t="e">
        <f>#N/A</f>
        <v>#N/A</v>
      </c>
      <c r="I141" s="4"/>
      <c r="J141" s="4"/>
      <c r="K141" s="4"/>
      <c r="L141" s="4"/>
      <c r="M141" s="4"/>
      <c r="N141" s="49">
        <v>5.0650000000000004</v>
      </c>
      <c r="O141" s="51">
        <v>5.2492977284550024</v>
      </c>
      <c r="P141" s="51">
        <v>0.10870227154499738</v>
      </c>
      <c r="Q141" s="5"/>
      <c r="R141" s="51">
        <v>3.359</v>
      </c>
      <c r="S141" s="2">
        <v>1.4550000000000001</v>
      </c>
      <c r="T141" s="52"/>
      <c r="U141" s="48" t="e">
        <f>#N/A</f>
        <v>#N/A</v>
      </c>
      <c r="V141" s="50" t="e">
        <f>#N/A</f>
        <v>#N/A</v>
      </c>
      <c r="W141" s="5"/>
      <c r="X141" s="5"/>
      <c r="Y141" s="5"/>
      <c r="Z141" s="5"/>
      <c r="AA141" s="5"/>
      <c r="AB141" s="49">
        <v>3.0707769049887101</v>
      </c>
      <c r="AC141" s="47" t="e">
        <f>#N/A</f>
        <v>#N/A</v>
      </c>
      <c r="AD141" s="52"/>
      <c r="AE141" s="48"/>
      <c r="AF141" s="50"/>
      <c r="AG141" s="18"/>
      <c r="AH141" s="18"/>
      <c r="AI141" s="18"/>
      <c r="AJ141" s="18"/>
      <c r="AK141" s="18"/>
      <c r="AL141" s="18"/>
      <c r="AM141" s="18"/>
      <c r="AN141" s="18"/>
      <c r="AO141" s="18"/>
      <c r="AP141" s="18"/>
      <c r="AQ141" s="8" t="e">
        <f>#N/A</f>
        <v>#N/A</v>
      </c>
      <c r="AR141" s="8" t="e">
        <f>#N/A</f>
        <v>#N/A</v>
      </c>
      <c r="AS141" s="60" t="e">
        <f>#N/A</f>
        <v>#N/A</v>
      </c>
      <c r="AT141" s="60" t="e">
        <f>#N/A</f>
        <v>#N/A</v>
      </c>
      <c r="AU141" s="60" t="e">
        <f>#N/A</f>
        <v>#N/A</v>
      </c>
    </row>
    <row r="142" spans="1:47" x14ac:dyDescent="0.2">
      <c r="A142" s="43">
        <v>0.01</v>
      </c>
      <c r="B142" s="43">
        <v>3.1822735002311475E-3</v>
      </c>
      <c r="C142" s="43">
        <v>0</v>
      </c>
      <c r="D142" s="7" t="e">
        <f>#N/A</f>
        <v>#N/A</v>
      </c>
      <c r="E142" s="7" t="e">
        <f>#N/A</f>
        <v>#N/A</v>
      </c>
      <c r="F142" s="47" t="e">
        <f>#N/A</f>
        <v>#N/A</v>
      </c>
      <c r="G142" s="37" t="e">
        <f>#N/A</f>
        <v>#N/A</v>
      </c>
      <c r="H142" s="47" t="e">
        <f>#N/A</f>
        <v>#N/A</v>
      </c>
      <c r="I142" s="4"/>
      <c r="J142" s="4"/>
      <c r="K142" s="4"/>
      <c r="L142" s="4"/>
      <c r="M142" s="4"/>
      <c r="N142" s="49">
        <v>5.0650000000000004</v>
      </c>
      <c r="O142" s="51">
        <v>5.2492977284550024</v>
      </c>
      <c r="P142" s="51">
        <v>0.10870227154499738</v>
      </c>
      <c r="Q142" s="5"/>
      <c r="R142" s="51">
        <v>3.359</v>
      </c>
      <c r="S142" s="2">
        <v>1.4550000000000001</v>
      </c>
      <c r="T142" s="52"/>
      <c r="U142" s="48" t="e">
        <f>#N/A</f>
        <v>#N/A</v>
      </c>
      <c r="V142" s="50" t="e">
        <f>#N/A</f>
        <v>#N/A</v>
      </c>
      <c r="W142" s="5"/>
      <c r="X142" s="5"/>
      <c r="Y142" s="5"/>
      <c r="Z142" s="5"/>
      <c r="AA142" s="5"/>
      <c r="AB142" s="49">
        <v>2.22553605498871</v>
      </c>
      <c r="AC142" s="47" t="e">
        <f>#N/A</f>
        <v>#N/A</v>
      </c>
      <c r="AD142" s="52"/>
      <c r="AE142" s="48"/>
      <c r="AF142" s="50"/>
      <c r="AG142" s="18"/>
      <c r="AH142" s="18"/>
      <c r="AI142" s="18"/>
      <c r="AJ142" s="18"/>
      <c r="AK142" s="18"/>
      <c r="AL142" s="18"/>
      <c r="AM142" s="18"/>
      <c r="AN142" s="18"/>
      <c r="AO142" s="18"/>
      <c r="AP142" s="18"/>
      <c r="AQ142" s="8" t="e">
        <f>#N/A</f>
        <v>#N/A</v>
      </c>
      <c r="AR142" s="8" t="e">
        <f>#N/A</f>
        <v>#N/A</v>
      </c>
      <c r="AS142" s="60" t="e">
        <f>#N/A</f>
        <v>#N/A</v>
      </c>
      <c r="AT142" s="60" t="e">
        <f>#N/A</f>
        <v>#N/A</v>
      </c>
      <c r="AU142" s="60" t="e">
        <f>#N/A</f>
        <v>#N/A</v>
      </c>
    </row>
    <row r="143" spans="1:47" x14ac:dyDescent="0.2">
      <c r="A143" s="43">
        <v>0.01</v>
      </c>
      <c r="B143" s="43">
        <v>3.1822735002311475E-3</v>
      </c>
      <c r="C143" s="43">
        <v>0</v>
      </c>
      <c r="D143" s="7" t="e">
        <f>#N/A</f>
        <v>#N/A</v>
      </c>
      <c r="E143" s="7" t="e">
        <f>#N/A</f>
        <v>#N/A</v>
      </c>
      <c r="F143" s="47" t="e">
        <f>#N/A</f>
        <v>#N/A</v>
      </c>
      <c r="G143" s="37" t="e">
        <f>#N/A</f>
        <v>#N/A</v>
      </c>
      <c r="H143" s="47" t="e">
        <f>#N/A</f>
        <v>#N/A</v>
      </c>
      <c r="I143" s="4"/>
      <c r="J143" s="4"/>
      <c r="K143" s="4"/>
      <c r="L143" s="4"/>
      <c r="M143" s="4"/>
      <c r="N143" s="49">
        <v>5.0650000000000004</v>
      </c>
      <c r="O143" s="51">
        <v>5.2492977284550024</v>
      </c>
      <c r="P143" s="51">
        <v>0.10870227154499738</v>
      </c>
      <c r="Q143" s="5"/>
      <c r="R143" s="51">
        <v>3.359</v>
      </c>
      <c r="S143" s="2">
        <v>1.4550000000000001</v>
      </c>
      <c r="T143" s="52"/>
      <c r="U143" s="48" t="e">
        <f>#N/A</f>
        <v>#N/A</v>
      </c>
      <c r="V143" s="50" t="e">
        <f>#N/A</f>
        <v>#N/A</v>
      </c>
      <c r="W143" s="5"/>
      <c r="X143" s="5"/>
      <c r="Y143" s="5"/>
      <c r="Z143" s="5"/>
      <c r="AA143" s="5"/>
      <c r="AB143" s="49">
        <v>2.22553605498871</v>
      </c>
      <c r="AC143" s="47" t="e">
        <f>#N/A</f>
        <v>#N/A</v>
      </c>
      <c r="AD143" s="52"/>
      <c r="AE143" s="48"/>
      <c r="AF143" s="50"/>
      <c r="AG143" s="18"/>
      <c r="AH143" s="18"/>
      <c r="AI143" s="18"/>
      <c r="AJ143" s="18"/>
      <c r="AK143" s="18"/>
      <c r="AL143" s="18"/>
      <c r="AM143" s="18"/>
      <c r="AN143" s="18"/>
      <c r="AO143" s="18"/>
      <c r="AP143" s="18"/>
      <c r="AQ143" s="8" t="e">
        <f>#N/A</f>
        <v>#N/A</v>
      </c>
      <c r="AR143" s="8" t="e">
        <f>#N/A</f>
        <v>#N/A</v>
      </c>
      <c r="AS143" s="60" t="e">
        <f>#N/A</f>
        <v>#N/A</v>
      </c>
      <c r="AT143" s="60" t="e">
        <f>#N/A</f>
        <v>#N/A</v>
      </c>
      <c r="AU143" s="60" t="e">
        <f>#N/A</f>
        <v>#N/A</v>
      </c>
    </row>
    <row r="144" spans="1:47" x14ac:dyDescent="0.2">
      <c r="A144" s="43">
        <v>0.01</v>
      </c>
      <c r="B144" s="43">
        <v>3.1822735002311475E-3</v>
      </c>
      <c r="C144" s="43">
        <v>0</v>
      </c>
      <c r="D144" s="7" t="e">
        <f>#N/A</f>
        <v>#N/A</v>
      </c>
      <c r="E144" s="7" t="e">
        <f>#N/A</f>
        <v>#N/A</v>
      </c>
      <c r="F144" s="47" t="e">
        <f>#N/A</f>
        <v>#N/A</v>
      </c>
      <c r="G144" s="37" t="e">
        <f>#N/A</f>
        <v>#N/A</v>
      </c>
      <c r="H144" s="47" t="e">
        <f>#N/A</f>
        <v>#N/A</v>
      </c>
      <c r="I144" s="4"/>
      <c r="J144" s="4"/>
      <c r="K144" s="4"/>
      <c r="L144" s="4"/>
      <c r="M144" s="4"/>
      <c r="N144" s="49">
        <v>5.0650000000000004</v>
      </c>
      <c r="O144" s="51">
        <v>5.2492977284550024</v>
      </c>
      <c r="P144" s="51">
        <v>0.10870227154499738</v>
      </c>
      <c r="Q144" s="5"/>
      <c r="R144" s="51">
        <v>3.359</v>
      </c>
      <c r="S144" s="2">
        <v>1.4550000000000001</v>
      </c>
      <c r="T144" s="52"/>
      <c r="U144" s="48" t="e">
        <f>#N/A</f>
        <v>#N/A</v>
      </c>
      <c r="V144" s="50" t="e">
        <f>#N/A</f>
        <v>#N/A</v>
      </c>
      <c r="W144" s="5"/>
      <c r="X144" s="5"/>
      <c r="Y144" s="5"/>
      <c r="Z144" s="5"/>
      <c r="AA144" s="5"/>
      <c r="AB144" s="49">
        <v>2.22553605498871</v>
      </c>
      <c r="AC144" s="47" t="e">
        <f>#N/A</f>
        <v>#N/A</v>
      </c>
      <c r="AD144" s="52"/>
      <c r="AE144" s="48"/>
      <c r="AF144" s="50"/>
      <c r="AG144" s="18"/>
      <c r="AH144" s="18"/>
      <c r="AI144" s="18"/>
      <c r="AJ144" s="18"/>
      <c r="AK144" s="18"/>
      <c r="AL144" s="18"/>
      <c r="AM144" s="18"/>
      <c r="AN144" s="18"/>
      <c r="AO144" s="18"/>
      <c r="AP144" s="18"/>
      <c r="AQ144" s="8" t="e">
        <f>#N/A</f>
        <v>#N/A</v>
      </c>
      <c r="AR144" s="8" t="e">
        <f>#N/A</f>
        <v>#N/A</v>
      </c>
      <c r="AS144" s="60" t="e">
        <f>#N/A</f>
        <v>#N/A</v>
      </c>
      <c r="AT144" s="60" t="e">
        <f>#N/A</f>
        <v>#N/A</v>
      </c>
      <c r="AU144" s="60" t="e">
        <f>#N/A</f>
        <v>#N/A</v>
      </c>
    </row>
    <row r="145" spans="1:47" x14ac:dyDescent="0.2">
      <c r="A145" s="43">
        <v>0.01</v>
      </c>
      <c r="B145" s="43">
        <v>3.1822735002311475E-3</v>
      </c>
      <c r="C145" s="43">
        <v>0</v>
      </c>
      <c r="D145" s="7" t="e">
        <f>#N/A</f>
        <v>#N/A</v>
      </c>
      <c r="E145" s="7" t="e">
        <f>#N/A</f>
        <v>#N/A</v>
      </c>
      <c r="F145" s="47" t="e">
        <f>#N/A</f>
        <v>#N/A</v>
      </c>
      <c r="G145" s="37" t="e">
        <f>#N/A</f>
        <v>#N/A</v>
      </c>
      <c r="H145" s="47" t="e">
        <f>#N/A</f>
        <v>#N/A</v>
      </c>
      <c r="I145" s="4"/>
      <c r="J145" s="4"/>
      <c r="K145" s="4"/>
      <c r="L145" s="4"/>
      <c r="M145" s="4"/>
      <c r="N145" s="49">
        <v>5.0650000000000004</v>
      </c>
      <c r="O145" s="51">
        <v>5.2492977284550024</v>
      </c>
      <c r="P145" s="51">
        <v>0.10870227154499738</v>
      </c>
      <c r="Q145" s="5"/>
      <c r="R145" s="51">
        <v>3.359</v>
      </c>
      <c r="S145" s="2">
        <v>1.4550000000000001</v>
      </c>
      <c r="T145" s="52"/>
      <c r="U145" s="48" t="e">
        <f>#N/A</f>
        <v>#N/A</v>
      </c>
      <c r="V145" s="50" t="e">
        <f>#N/A</f>
        <v>#N/A</v>
      </c>
      <c r="W145" s="5"/>
      <c r="X145" s="5"/>
      <c r="Y145" s="5"/>
      <c r="Z145" s="5"/>
      <c r="AA145" s="5"/>
      <c r="AB145" s="49">
        <v>2.22553605498871</v>
      </c>
      <c r="AC145" s="47" t="e">
        <f>#N/A</f>
        <v>#N/A</v>
      </c>
      <c r="AD145" s="52"/>
      <c r="AE145" s="48"/>
      <c r="AF145" s="50"/>
      <c r="AG145" s="18"/>
      <c r="AH145" s="18"/>
      <c r="AI145" s="18"/>
      <c r="AJ145" s="18"/>
      <c r="AK145" s="18"/>
      <c r="AL145" s="18"/>
      <c r="AM145" s="18"/>
      <c r="AN145" s="18"/>
      <c r="AO145" s="18"/>
      <c r="AP145" s="18"/>
      <c r="AQ145" s="8" t="e">
        <f>#N/A</f>
        <v>#N/A</v>
      </c>
      <c r="AR145" s="8" t="e">
        <f>#N/A</f>
        <v>#N/A</v>
      </c>
      <c r="AS145" s="60" t="e">
        <f>#N/A</f>
        <v>#N/A</v>
      </c>
      <c r="AT145" s="60" t="e">
        <f>#N/A</f>
        <v>#N/A</v>
      </c>
      <c r="AU145" s="60" t="e">
        <f>#N/A</f>
        <v>#N/A</v>
      </c>
    </row>
    <row r="146" spans="1:47" x14ac:dyDescent="0.2">
      <c r="A146" s="43">
        <v>0.01</v>
      </c>
      <c r="B146" s="43">
        <v>3.1822735002311475E-3</v>
      </c>
      <c r="C146" s="43">
        <v>0</v>
      </c>
      <c r="D146" s="7" t="e">
        <f>#N/A</f>
        <v>#N/A</v>
      </c>
      <c r="E146" s="7" t="e">
        <f>#N/A</f>
        <v>#N/A</v>
      </c>
      <c r="F146" s="47" t="e">
        <f>#N/A</f>
        <v>#N/A</v>
      </c>
      <c r="G146" s="37" t="e">
        <f>#N/A</f>
        <v>#N/A</v>
      </c>
      <c r="H146" s="47" t="e">
        <f>#N/A</f>
        <v>#N/A</v>
      </c>
      <c r="I146" s="4"/>
      <c r="J146" s="4"/>
      <c r="K146" s="4"/>
      <c r="L146" s="4"/>
      <c r="M146" s="4"/>
      <c r="N146" s="49">
        <v>5.0650000000000004</v>
      </c>
      <c r="O146" s="51">
        <v>5.2492977284550024</v>
      </c>
      <c r="P146" s="51">
        <v>0.10870227154499738</v>
      </c>
      <c r="Q146" s="5"/>
      <c r="R146" s="51">
        <v>3.359</v>
      </c>
      <c r="S146" s="2">
        <v>1.4550000000000001</v>
      </c>
      <c r="T146" s="52"/>
      <c r="U146" s="48" t="e">
        <f>#N/A</f>
        <v>#N/A</v>
      </c>
      <c r="V146" s="50" t="e">
        <f>#N/A</f>
        <v>#N/A</v>
      </c>
      <c r="W146" s="5"/>
      <c r="X146" s="5"/>
      <c r="Y146" s="5"/>
      <c r="Z146" s="5"/>
      <c r="AA146" s="5"/>
      <c r="AB146" s="49">
        <v>2.22553605498871</v>
      </c>
      <c r="AC146" s="47" t="e">
        <f>#N/A</f>
        <v>#N/A</v>
      </c>
      <c r="AD146" s="52"/>
      <c r="AE146" s="48"/>
      <c r="AF146" s="50"/>
      <c r="AG146" s="18"/>
      <c r="AH146" s="18"/>
      <c r="AI146" s="18"/>
      <c r="AJ146" s="18"/>
      <c r="AK146" s="18"/>
      <c r="AL146" s="18"/>
      <c r="AM146" s="18"/>
      <c r="AN146" s="18"/>
      <c r="AO146" s="18"/>
      <c r="AP146" s="18"/>
      <c r="AQ146" s="8" t="e">
        <f>#N/A</f>
        <v>#N/A</v>
      </c>
      <c r="AR146" s="8" t="e">
        <f>#N/A</f>
        <v>#N/A</v>
      </c>
      <c r="AS146" s="60" t="e">
        <f>#N/A</f>
        <v>#N/A</v>
      </c>
      <c r="AT146" s="60" t="e">
        <f>#N/A</f>
        <v>#N/A</v>
      </c>
      <c r="AU146" s="60" t="e">
        <f>#N/A</f>
        <v>#N/A</v>
      </c>
    </row>
    <row r="147" spans="1:47" x14ac:dyDescent="0.2">
      <c r="A147" s="43">
        <v>0.01</v>
      </c>
      <c r="B147" s="43">
        <v>3.1822735002311475E-3</v>
      </c>
      <c r="C147" s="43">
        <v>0</v>
      </c>
      <c r="D147" s="7" t="e">
        <f>#N/A</f>
        <v>#N/A</v>
      </c>
      <c r="E147" s="7" t="e">
        <f>#N/A</f>
        <v>#N/A</v>
      </c>
      <c r="F147" s="47" t="e">
        <f>#N/A</f>
        <v>#N/A</v>
      </c>
      <c r="G147" s="37" t="e">
        <f>#N/A</f>
        <v>#N/A</v>
      </c>
      <c r="H147" s="47" t="e">
        <f>#N/A</f>
        <v>#N/A</v>
      </c>
      <c r="I147" s="4"/>
      <c r="J147" s="4"/>
      <c r="K147" s="4"/>
      <c r="L147" s="4"/>
      <c r="M147" s="4"/>
      <c r="N147" s="49">
        <v>5.0650000000000004</v>
      </c>
      <c r="O147" s="51">
        <v>5.2492977284550024</v>
      </c>
      <c r="P147" s="51">
        <v>0.10870227154499738</v>
      </c>
      <c r="Q147" s="5"/>
      <c r="R147" s="51">
        <v>3.359</v>
      </c>
      <c r="S147" s="2">
        <v>1.4550000000000001</v>
      </c>
      <c r="T147" s="52"/>
      <c r="U147" s="48" t="e">
        <f>#N/A</f>
        <v>#N/A</v>
      </c>
      <c r="V147" s="50" t="e">
        <f>#N/A</f>
        <v>#N/A</v>
      </c>
      <c r="W147" s="5"/>
      <c r="X147" s="5"/>
      <c r="Y147" s="5"/>
      <c r="Z147" s="5"/>
      <c r="AA147" s="5"/>
      <c r="AB147" s="49">
        <v>2.22553605498871</v>
      </c>
      <c r="AC147" s="47" t="e">
        <f>#N/A</f>
        <v>#N/A</v>
      </c>
      <c r="AD147" s="52"/>
      <c r="AE147" s="48"/>
      <c r="AF147" s="50"/>
      <c r="AG147" s="18"/>
      <c r="AH147" s="18"/>
      <c r="AI147" s="18"/>
      <c r="AJ147" s="18"/>
      <c r="AK147" s="18"/>
      <c r="AL147" s="18"/>
      <c r="AM147" s="18"/>
      <c r="AN147" s="18"/>
      <c r="AO147" s="18"/>
      <c r="AP147" s="18"/>
      <c r="AQ147" s="8" t="e">
        <f>#N/A</f>
        <v>#N/A</v>
      </c>
      <c r="AR147" s="8" t="e">
        <f>#N/A</f>
        <v>#N/A</v>
      </c>
      <c r="AS147" s="60" t="e">
        <f>#N/A</f>
        <v>#N/A</v>
      </c>
      <c r="AT147" s="60" t="e">
        <f>#N/A</f>
        <v>#N/A</v>
      </c>
      <c r="AU147" s="60" t="e">
        <f>#N/A</f>
        <v>#N/A</v>
      </c>
    </row>
    <row r="148" spans="1:47" x14ac:dyDescent="0.2">
      <c r="A148" s="43">
        <v>0.01</v>
      </c>
      <c r="B148" s="43">
        <v>3.1822735002311475E-3</v>
      </c>
      <c r="C148" s="43">
        <v>0</v>
      </c>
      <c r="D148" s="7" t="e">
        <f>#N/A</f>
        <v>#N/A</v>
      </c>
      <c r="E148" s="7" t="e">
        <f>#N/A</f>
        <v>#N/A</v>
      </c>
      <c r="F148" s="47" t="e">
        <f>#N/A</f>
        <v>#N/A</v>
      </c>
      <c r="G148" s="37" t="e">
        <f>#N/A</f>
        <v>#N/A</v>
      </c>
      <c r="H148" s="47" t="e">
        <f>#N/A</f>
        <v>#N/A</v>
      </c>
      <c r="I148" s="4"/>
      <c r="J148" s="4"/>
      <c r="K148" s="4"/>
      <c r="L148" s="4"/>
      <c r="M148" s="4"/>
      <c r="N148" s="49">
        <v>5.0650000000000004</v>
      </c>
      <c r="O148" s="51">
        <v>5.2492977284550024</v>
      </c>
      <c r="P148" s="51">
        <v>0.10870227154499738</v>
      </c>
      <c r="Q148" s="5"/>
      <c r="R148" s="51">
        <v>3.359</v>
      </c>
      <c r="S148" s="2">
        <v>1.4550000000000001</v>
      </c>
      <c r="T148" s="52"/>
      <c r="U148" s="48" t="e">
        <f>#N/A</f>
        <v>#N/A</v>
      </c>
      <c r="V148" s="50" t="e">
        <f>#N/A</f>
        <v>#N/A</v>
      </c>
      <c r="W148" s="5"/>
      <c r="X148" s="5"/>
      <c r="Y148" s="5"/>
      <c r="Z148" s="5"/>
      <c r="AA148" s="5"/>
      <c r="AB148" s="49">
        <v>2.22553605498871</v>
      </c>
      <c r="AC148" s="47" t="e">
        <f>#N/A</f>
        <v>#N/A</v>
      </c>
      <c r="AD148" s="52"/>
      <c r="AE148" s="48"/>
      <c r="AF148" s="50"/>
      <c r="AG148" s="18"/>
      <c r="AH148" s="18"/>
      <c r="AI148" s="18"/>
      <c r="AJ148" s="18"/>
      <c r="AK148" s="18"/>
      <c r="AL148" s="18"/>
      <c r="AM148" s="18"/>
      <c r="AN148" s="18"/>
      <c r="AO148" s="18"/>
      <c r="AP148" s="18"/>
      <c r="AQ148" s="8" t="e">
        <f>#N/A</f>
        <v>#N/A</v>
      </c>
      <c r="AR148" s="8" t="e">
        <f>#N/A</f>
        <v>#N/A</v>
      </c>
      <c r="AS148" s="60" t="e">
        <f>#N/A</f>
        <v>#N/A</v>
      </c>
      <c r="AT148" s="60" t="e">
        <f>#N/A</f>
        <v>#N/A</v>
      </c>
      <c r="AU148" s="60" t="e">
        <f>#N/A</f>
        <v>#N/A</v>
      </c>
    </row>
    <row r="149" spans="1:47" x14ac:dyDescent="0.2">
      <c r="A149" s="43">
        <v>0.01</v>
      </c>
      <c r="B149" s="43">
        <v>2.9140026283180909E-3</v>
      </c>
      <c r="C149" s="43">
        <v>0</v>
      </c>
      <c r="D149" s="7" t="e">
        <f>#N/A</f>
        <v>#N/A</v>
      </c>
      <c r="E149" s="7" t="e">
        <f>#N/A</f>
        <v>#N/A</v>
      </c>
      <c r="F149" s="47" t="e">
        <f>#N/A</f>
        <v>#N/A</v>
      </c>
      <c r="G149" s="37" t="e">
        <f>#N/A</f>
        <v>#N/A</v>
      </c>
      <c r="H149" s="47" t="e">
        <f>#N/A</f>
        <v>#N/A</v>
      </c>
      <c r="I149" s="4"/>
      <c r="J149" s="4"/>
      <c r="K149" s="4"/>
      <c r="L149" s="4"/>
      <c r="M149" s="4"/>
      <c r="N149" s="49">
        <v>5.0650000000000004</v>
      </c>
      <c r="O149" s="51">
        <v>5.2492977284550024</v>
      </c>
      <c r="P149" s="51">
        <v>0.10870227154499738</v>
      </c>
      <c r="Q149" s="5"/>
      <c r="R149" s="51">
        <v>3.359</v>
      </c>
      <c r="S149" s="2">
        <v>1.4550000000000001</v>
      </c>
      <c r="T149" s="52"/>
      <c r="U149" s="48" t="e">
        <f>#N/A</f>
        <v>#N/A</v>
      </c>
      <c r="V149" s="50" t="e">
        <f>#N/A</f>
        <v>#N/A</v>
      </c>
      <c r="W149" s="5"/>
      <c r="X149" s="5"/>
      <c r="Y149" s="5"/>
      <c r="Z149" s="5"/>
      <c r="AA149" s="5"/>
      <c r="AB149" s="49">
        <v>3.0707769049887101</v>
      </c>
      <c r="AC149" s="47" t="e">
        <f>#N/A</f>
        <v>#N/A</v>
      </c>
      <c r="AD149" s="52"/>
      <c r="AE149" s="48"/>
      <c r="AF149" s="50"/>
      <c r="AG149" s="18"/>
      <c r="AH149" s="18"/>
      <c r="AI149" s="18"/>
      <c r="AJ149" s="18"/>
      <c r="AK149" s="18"/>
      <c r="AL149" s="18"/>
      <c r="AM149" s="18"/>
      <c r="AN149" s="18"/>
      <c r="AO149" s="18"/>
      <c r="AP149" s="18"/>
      <c r="AQ149" s="8" t="e">
        <f>#N/A</f>
        <v>#N/A</v>
      </c>
      <c r="AR149" s="8" t="e">
        <f>#N/A</f>
        <v>#N/A</v>
      </c>
      <c r="AS149" s="60" t="e">
        <f>#N/A</f>
        <v>#N/A</v>
      </c>
      <c r="AT149" s="60" t="e">
        <f>#N/A</f>
        <v>#N/A</v>
      </c>
      <c r="AU149" s="60" t="e">
        <f>#N/A</f>
        <v>#N/A</v>
      </c>
    </row>
    <row r="150" spans="1:47" x14ac:dyDescent="0.2">
      <c r="A150" s="43">
        <v>0.01</v>
      </c>
      <c r="B150" s="43">
        <v>2.9140026283180909E-3</v>
      </c>
      <c r="C150" s="43">
        <v>0</v>
      </c>
      <c r="D150" s="7" t="e">
        <f>#N/A</f>
        <v>#N/A</v>
      </c>
      <c r="E150" s="7" t="e">
        <f>#N/A</f>
        <v>#N/A</v>
      </c>
      <c r="F150" s="47" t="e">
        <f>#N/A</f>
        <v>#N/A</v>
      </c>
      <c r="G150" s="37" t="e">
        <f>#N/A</f>
        <v>#N/A</v>
      </c>
      <c r="H150" s="47" t="e">
        <f>#N/A</f>
        <v>#N/A</v>
      </c>
      <c r="I150" s="4"/>
      <c r="J150" s="4"/>
      <c r="K150" s="4"/>
      <c r="L150" s="4"/>
      <c r="M150" s="4"/>
      <c r="N150" s="49">
        <v>5.0650000000000004</v>
      </c>
      <c r="O150" s="51">
        <v>5.2492977284550024</v>
      </c>
      <c r="P150" s="51">
        <v>0.10870227154499738</v>
      </c>
      <c r="Q150" s="5"/>
      <c r="R150" s="51">
        <v>3.359</v>
      </c>
      <c r="S150" s="2">
        <v>1.4550000000000001</v>
      </c>
      <c r="T150" s="52"/>
      <c r="U150" s="48" t="e">
        <f>#N/A</f>
        <v>#N/A</v>
      </c>
      <c r="V150" s="50" t="e">
        <f>#N/A</f>
        <v>#N/A</v>
      </c>
      <c r="W150" s="5"/>
      <c r="X150" s="5"/>
      <c r="Y150" s="5"/>
      <c r="Z150" s="5"/>
      <c r="AA150" s="5"/>
      <c r="AB150" s="49">
        <v>3.0707769049887101</v>
      </c>
      <c r="AC150" s="47" t="e">
        <f>#N/A</f>
        <v>#N/A</v>
      </c>
      <c r="AD150" s="52"/>
      <c r="AE150" s="48"/>
      <c r="AF150" s="50"/>
      <c r="AG150" s="18"/>
      <c r="AH150" s="18"/>
      <c r="AI150" s="18"/>
      <c r="AJ150" s="18"/>
      <c r="AK150" s="18"/>
      <c r="AL150" s="18"/>
      <c r="AM150" s="18"/>
      <c r="AN150" s="18"/>
      <c r="AO150" s="18"/>
      <c r="AP150" s="18"/>
      <c r="AQ150" s="8" t="e">
        <f>#N/A</f>
        <v>#N/A</v>
      </c>
      <c r="AR150" s="8" t="e">
        <f>#N/A</f>
        <v>#N/A</v>
      </c>
      <c r="AS150" s="60" t="e">
        <f>#N/A</f>
        <v>#N/A</v>
      </c>
      <c r="AT150" s="60" t="e">
        <f>#N/A</f>
        <v>#N/A</v>
      </c>
      <c r="AU150" s="60" t="e">
        <f>#N/A</f>
        <v>#N/A</v>
      </c>
    </row>
    <row r="151" spans="1:47" x14ac:dyDescent="0.2">
      <c r="A151" s="43">
        <v>0.01</v>
      </c>
      <c r="B151" s="43">
        <v>2.9140026283180909E-3</v>
      </c>
      <c r="C151" s="43">
        <v>0</v>
      </c>
      <c r="D151" s="7" t="e">
        <f>#N/A</f>
        <v>#N/A</v>
      </c>
      <c r="E151" s="7" t="e">
        <f>#N/A</f>
        <v>#N/A</v>
      </c>
      <c r="F151" s="47" t="e">
        <f>#N/A</f>
        <v>#N/A</v>
      </c>
      <c r="G151" s="37" t="e">
        <f>#N/A</f>
        <v>#N/A</v>
      </c>
      <c r="H151" s="47" t="e">
        <f>#N/A</f>
        <v>#N/A</v>
      </c>
      <c r="I151" s="4"/>
      <c r="J151" s="4"/>
      <c r="K151" s="4"/>
      <c r="L151" s="4"/>
      <c r="M151" s="4"/>
      <c r="N151" s="49">
        <v>5.0650000000000004</v>
      </c>
      <c r="O151" s="51">
        <v>5.2492977284550024</v>
      </c>
      <c r="P151" s="51">
        <v>0.10870227154499738</v>
      </c>
      <c r="Q151" s="5"/>
      <c r="R151" s="51">
        <v>3.359</v>
      </c>
      <c r="S151" s="2">
        <v>1.4550000000000001</v>
      </c>
      <c r="T151" s="52"/>
      <c r="U151" s="48" t="e">
        <f>#N/A</f>
        <v>#N/A</v>
      </c>
      <c r="V151" s="50" t="e">
        <f>#N/A</f>
        <v>#N/A</v>
      </c>
      <c r="W151" s="5"/>
      <c r="X151" s="5"/>
      <c r="Y151" s="5"/>
      <c r="Z151" s="5"/>
      <c r="AA151" s="5"/>
      <c r="AB151" s="49">
        <v>3.0707769049887101</v>
      </c>
      <c r="AC151" s="47" t="e">
        <f>#N/A</f>
        <v>#N/A</v>
      </c>
      <c r="AD151" s="52"/>
      <c r="AE151" s="48"/>
      <c r="AF151" s="50"/>
      <c r="AG151" s="18"/>
      <c r="AH151" s="18"/>
      <c r="AI151" s="18"/>
      <c r="AJ151" s="18"/>
      <c r="AK151" s="18"/>
      <c r="AL151" s="18"/>
      <c r="AM151" s="18"/>
      <c r="AN151" s="18"/>
      <c r="AO151" s="18"/>
      <c r="AP151" s="18"/>
      <c r="AQ151" s="8" t="e">
        <f>#N/A</f>
        <v>#N/A</v>
      </c>
      <c r="AR151" s="8" t="e">
        <f>#N/A</f>
        <v>#N/A</v>
      </c>
      <c r="AS151" s="60" t="e">
        <f>#N/A</f>
        <v>#N/A</v>
      </c>
      <c r="AT151" s="60" t="e">
        <f>#N/A</f>
        <v>#N/A</v>
      </c>
      <c r="AU151" s="60" t="e">
        <f>#N/A</f>
        <v>#N/A</v>
      </c>
    </row>
    <row r="152" spans="1:47" x14ac:dyDescent="0.2">
      <c r="A152" s="43">
        <v>0.01</v>
      </c>
      <c r="B152" s="43">
        <v>2.9140026283180909E-3</v>
      </c>
      <c r="C152" s="43">
        <v>0</v>
      </c>
      <c r="D152" s="7" t="e">
        <f>#N/A</f>
        <v>#N/A</v>
      </c>
      <c r="E152" s="7" t="e">
        <f>#N/A</f>
        <v>#N/A</v>
      </c>
      <c r="F152" s="47" t="e">
        <f>#N/A</f>
        <v>#N/A</v>
      </c>
      <c r="G152" s="37" t="e">
        <f>#N/A</f>
        <v>#N/A</v>
      </c>
      <c r="H152" s="47" t="e">
        <f>#N/A</f>
        <v>#N/A</v>
      </c>
      <c r="I152" s="4"/>
      <c r="J152" s="4"/>
      <c r="K152" s="4"/>
      <c r="L152" s="4"/>
      <c r="M152" s="4"/>
      <c r="N152" s="49">
        <v>5.0650000000000004</v>
      </c>
      <c r="O152" s="51">
        <v>5.2492977284550024</v>
      </c>
      <c r="P152" s="51">
        <v>0.10870227154499738</v>
      </c>
      <c r="Q152" s="5"/>
      <c r="R152" s="51">
        <v>3.359</v>
      </c>
      <c r="S152" s="2">
        <v>1.4550000000000001</v>
      </c>
      <c r="T152" s="52"/>
      <c r="U152" s="48" t="e">
        <f>#N/A</f>
        <v>#N/A</v>
      </c>
      <c r="V152" s="50" t="e">
        <f>#N/A</f>
        <v>#N/A</v>
      </c>
      <c r="W152" s="5"/>
      <c r="X152" s="5"/>
      <c r="Y152" s="5"/>
      <c r="Z152" s="5"/>
      <c r="AA152" s="5"/>
      <c r="AB152" s="49">
        <v>3.0707769049887101</v>
      </c>
      <c r="AC152" s="47" t="e">
        <f>#N/A</f>
        <v>#N/A</v>
      </c>
      <c r="AD152" s="52"/>
      <c r="AE152" s="48"/>
      <c r="AF152" s="50"/>
      <c r="AG152" s="18"/>
      <c r="AH152" s="18"/>
      <c r="AI152" s="18"/>
      <c r="AJ152" s="18"/>
      <c r="AK152" s="18"/>
      <c r="AL152" s="18"/>
      <c r="AM152" s="18"/>
      <c r="AN152" s="18"/>
      <c r="AO152" s="18"/>
      <c r="AP152" s="18"/>
      <c r="AQ152" s="8" t="e">
        <f>#N/A</f>
        <v>#N/A</v>
      </c>
      <c r="AR152" s="8" t="e">
        <f>#N/A</f>
        <v>#N/A</v>
      </c>
      <c r="AS152" s="60" t="e">
        <f>#N/A</f>
        <v>#N/A</v>
      </c>
      <c r="AT152" s="60" t="e">
        <f>#N/A</f>
        <v>#N/A</v>
      </c>
      <c r="AU152" s="60" t="e">
        <f>#N/A</f>
        <v>#N/A</v>
      </c>
    </row>
    <row r="153" spans="1:47" x14ac:dyDescent="0.2">
      <c r="A153" s="43">
        <v>0.01</v>
      </c>
      <c r="B153" s="43">
        <v>2.9140026283180909E-3</v>
      </c>
      <c r="C153" s="43">
        <v>0</v>
      </c>
      <c r="D153" s="7" t="e">
        <f>#N/A</f>
        <v>#N/A</v>
      </c>
      <c r="E153" s="7" t="e">
        <f>#N/A</f>
        <v>#N/A</v>
      </c>
      <c r="F153" s="47" t="e">
        <f>#N/A</f>
        <v>#N/A</v>
      </c>
      <c r="G153" s="37" t="e">
        <f>#N/A</f>
        <v>#N/A</v>
      </c>
      <c r="H153" s="47" t="e">
        <f>#N/A</f>
        <v>#N/A</v>
      </c>
      <c r="I153" s="4"/>
      <c r="J153" s="4"/>
      <c r="K153" s="4"/>
      <c r="L153" s="4"/>
      <c r="M153" s="4"/>
      <c r="N153" s="49">
        <v>5.0650000000000004</v>
      </c>
      <c r="O153" s="51">
        <v>5.2492977284550024</v>
      </c>
      <c r="P153" s="51">
        <v>0.10870227154499738</v>
      </c>
      <c r="Q153" s="5"/>
      <c r="R153" s="51">
        <v>3.359</v>
      </c>
      <c r="S153" s="2">
        <v>1.4550000000000001</v>
      </c>
      <c r="T153" s="52"/>
      <c r="U153" s="48" t="e">
        <f>#N/A</f>
        <v>#N/A</v>
      </c>
      <c r="V153" s="50" t="e">
        <f>#N/A</f>
        <v>#N/A</v>
      </c>
      <c r="W153" s="5"/>
      <c r="X153" s="5"/>
      <c r="Y153" s="5"/>
      <c r="Z153" s="5"/>
      <c r="AA153" s="5"/>
      <c r="AB153" s="49">
        <v>3.0707769049887101</v>
      </c>
      <c r="AC153" s="47" t="e">
        <f>#N/A</f>
        <v>#N/A</v>
      </c>
      <c r="AD153" s="52"/>
      <c r="AE153" s="48"/>
      <c r="AF153" s="50"/>
      <c r="AG153" s="18"/>
      <c r="AH153" s="18"/>
      <c r="AI153" s="18"/>
      <c r="AJ153" s="18"/>
      <c r="AK153" s="18"/>
      <c r="AL153" s="18"/>
      <c r="AM153" s="18"/>
      <c r="AN153" s="18"/>
      <c r="AO153" s="18"/>
      <c r="AP153" s="18"/>
      <c r="AQ153" s="8" t="e">
        <f>#N/A</f>
        <v>#N/A</v>
      </c>
      <c r="AR153" s="8" t="e">
        <f>#N/A</f>
        <v>#N/A</v>
      </c>
      <c r="AS153" s="60" t="e">
        <f>#N/A</f>
        <v>#N/A</v>
      </c>
      <c r="AT153" s="60" t="e">
        <f>#N/A</f>
        <v>#N/A</v>
      </c>
      <c r="AU153" s="60" t="e">
        <f>#N/A</f>
        <v>#N/A</v>
      </c>
    </row>
    <row r="154" spans="1:47" x14ac:dyDescent="0.2">
      <c r="A154" s="43">
        <v>0.01</v>
      </c>
      <c r="B154" s="43">
        <v>2.9140026283180909E-3</v>
      </c>
      <c r="C154" s="43">
        <v>0</v>
      </c>
      <c r="D154" s="7" t="e">
        <f>#N/A</f>
        <v>#N/A</v>
      </c>
      <c r="E154" s="7" t="e">
        <f>#N/A</f>
        <v>#N/A</v>
      </c>
      <c r="F154" s="47" t="e">
        <f>#N/A</f>
        <v>#N/A</v>
      </c>
      <c r="G154" s="37" t="e">
        <f>#N/A</f>
        <v>#N/A</v>
      </c>
      <c r="H154" s="47" t="e">
        <f>#N/A</f>
        <v>#N/A</v>
      </c>
      <c r="I154" s="4"/>
      <c r="J154" s="4"/>
      <c r="K154" s="4"/>
      <c r="L154" s="4"/>
      <c r="M154" s="4"/>
      <c r="N154" s="49">
        <v>5.0650000000000004</v>
      </c>
      <c r="O154" s="51">
        <v>5.2492977284550024</v>
      </c>
      <c r="P154" s="51">
        <v>0.10870227154499738</v>
      </c>
      <c r="Q154" s="5"/>
      <c r="R154" s="51">
        <v>3.359</v>
      </c>
      <c r="S154" s="2">
        <v>1.4550000000000001</v>
      </c>
      <c r="T154" s="52"/>
      <c r="U154" s="48" t="e">
        <f>#N/A</f>
        <v>#N/A</v>
      </c>
      <c r="V154" s="50" t="e">
        <f>#N/A</f>
        <v>#N/A</v>
      </c>
      <c r="W154" s="5"/>
      <c r="X154" s="5"/>
      <c r="Y154" s="5"/>
      <c r="Z154" s="5"/>
      <c r="AA154" s="5"/>
      <c r="AB154" s="49">
        <v>2.22553605498871</v>
      </c>
      <c r="AC154" s="47" t="e">
        <f>#N/A</f>
        <v>#N/A</v>
      </c>
      <c r="AD154" s="52"/>
      <c r="AE154" s="48"/>
      <c r="AF154" s="50"/>
      <c r="AG154" s="18"/>
      <c r="AH154" s="18"/>
      <c r="AI154" s="18"/>
      <c r="AJ154" s="18"/>
      <c r="AK154" s="18"/>
      <c r="AL154" s="18"/>
      <c r="AM154" s="18"/>
      <c r="AN154" s="18"/>
      <c r="AO154" s="18"/>
      <c r="AP154" s="18"/>
      <c r="AQ154" s="8" t="e">
        <f>#N/A</f>
        <v>#N/A</v>
      </c>
      <c r="AR154" s="8" t="e">
        <f>#N/A</f>
        <v>#N/A</v>
      </c>
      <c r="AS154" s="60" t="e">
        <f>#N/A</f>
        <v>#N/A</v>
      </c>
      <c r="AT154" s="60" t="e">
        <f>#N/A</f>
        <v>#N/A</v>
      </c>
      <c r="AU154" s="60" t="e">
        <f>#N/A</f>
        <v>#N/A</v>
      </c>
    </row>
    <row r="155" spans="1:47" x14ac:dyDescent="0.2">
      <c r="A155" s="43">
        <v>0.01</v>
      </c>
      <c r="B155" s="43">
        <v>2.9140026283180909E-3</v>
      </c>
      <c r="C155" s="43">
        <v>0</v>
      </c>
      <c r="D155" s="7" t="e">
        <f>#N/A</f>
        <v>#N/A</v>
      </c>
      <c r="E155" s="7" t="e">
        <f>#N/A</f>
        <v>#N/A</v>
      </c>
      <c r="F155" s="47" t="e">
        <f>#N/A</f>
        <v>#N/A</v>
      </c>
      <c r="G155" s="37" t="e">
        <f>#N/A</f>
        <v>#N/A</v>
      </c>
      <c r="H155" s="47" t="e">
        <f>#N/A</f>
        <v>#N/A</v>
      </c>
      <c r="I155" s="4"/>
      <c r="J155" s="4"/>
      <c r="K155" s="4"/>
      <c r="L155" s="4"/>
      <c r="M155" s="4"/>
      <c r="N155" s="49">
        <v>5.0650000000000004</v>
      </c>
      <c r="O155" s="51">
        <v>5.2492977284550024</v>
      </c>
      <c r="P155" s="51">
        <v>0.10870227154499738</v>
      </c>
      <c r="Q155" s="5"/>
      <c r="R155" s="51">
        <v>3.359</v>
      </c>
      <c r="S155" s="2">
        <v>1.4550000000000001</v>
      </c>
      <c r="T155" s="52"/>
      <c r="U155" s="48" t="e">
        <f>#N/A</f>
        <v>#N/A</v>
      </c>
      <c r="V155" s="50" t="e">
        <f>#N/A</f>
        <v>#N/A</v>
      </c>
      <c r="W155" s="5"/>
      <c r="X155" s="5"/>
      <c r="Y155" s="5"/>
      <c r="Z155" s="5"/>
      <c r="AA155" s="5"/>
      <c r="AB155" s="49">
        <v>2.22553605498871</v>
      </c>
      <c r="AC155" s="47" t="e">
        <f>#N/A</f>
        <v>#N/A</v>
      </c>
      <c r="AD155" s="52"/>
      <c r="AE155" s="48"/>
      <c r="AF155" s="50"/>
      <c r="AG155" s="18"/>
      <c r="AH155" s="18"/>
      <c r="AI155" s="18"/>
      <c r="AJ155" s="18"/>
      <c r="AK155" s="18"/>
      <c r="AL155" s="18"/>
      <c r="AM155" s="18"/>
      <c r="AN155" s="18"/>
      <c r="AO155" s="18"/>
      <c r="AP155" s="18"/>
      <c r="AQ155" s="8" t="e">
        <f>#N/A</f>
        <v>#N/A</v>
      </c>
      <c r="AR155" s="8" t="e">
        <f>#N/A</f>
        <v>#N/A</v>
      </c>
      <c r="AS155" s="60" t="e">
        <f>#N/A</f>
        <v>#N/A</v>
      </c>
      <c r="AT155" s="60" t="e">
        <f>#N/A</f>
        <v>#N/A</v>
      </c>
      <c r="AU155" s="60" t="e">
        <f>#N/A</f>
        <v>#N/A</v>
      </c>
    </row>
    <row r="156" spans="1:47" x14ac:dyDescent="0.2">
      <c r="A156" s="43">
        <v>0.01</v>
      </c>
      <c r="B156" s="43">
        <v>2.9140026283180909E-3</v>
      </c>
      <c r="C156" s="43">
        <v>0</v>
      </c>
      <c r="D156" s="7" t="e">
        <f>#N/A</f>
        <v>#N/A</v>
      </c>
      <c r="E156" s="7" t="e">
        <f>#N/A</f>
        <v>#N/A</v>
      </c>
      <c r="F156" s="47" t="e">
        <f>#N/A</f>
        <v>#N/A</v>
      </c>
      <c r="G156" s="37" t="e">
        <f>#N/A</f>
        <v>#N/A</v>
      </c>
      <c r="H156" s="47" t="e">
        <f>#N/A</f>
        <v>#N/A</v>
      </c>
      <c r="I156" s="4"/>
      <c r="J156" s="4"/>
      <c r="K156" s="4"/>
      <c r="L156" s="4"/>
      <c r="M156" s="4"/>
      <c r="N156" s="49">
        <v>5.0650000000000004</v>
      </c>
      <c r="O156" s="51">
        <v>5.2492977284550024</v>
      </c>
      <c r="P156" s="51">
        <v>0.10870227154499738</v>
      </c>
      <c r="Q156" s="5"/>
      <c r="R156" s="51">
        <v>3.359</v>
      </c>
      <c r="S156" s="2">
        <v>1.4550000000000001</v>
      </c>
      <c r="T156" s="52"/>
      <c r="U156" s="48" t="e">
        <f>#N/A</f>
        <v>#N/A</v>
      </c>
      <c r="V156" s="50" t="e">
        <f>#N/A</f>
        <v>#N/A</v>
      </c>
      <c r="W156" s="5"/>
      <c r="X156" s="5"/>
      <c r="Y156" s="5"/>
      <c r="Z156" s="5"/>
      <c r="AA156" s="5"/>
      <c r="AB156" s="49">
        <v>2.22553605498871</v>
      </c>
      <c r="AC156" s="47" t="e">
        <f>#N/A</f>
        <v>#N/A</v>
      </c>
      <c r="AD156" s="52"/>
      <c r="AE156" s="48"/>
      <c r="AF156" s="50"/>
      <c r="AG156" s="18"/>
      <c r="AH156" s="18"/>
      <c r="AI156" s="18"/>
      <c r="AJ156" s="18"/>
      <c r="AK156" s="18"/>
      <c r="AL156" s="18"/>
      <c r="AM156" s="18"/>
      <c r="AN156" s="18"/>
      <c r="AO156" s="18"/>
      <c r="AP156" s="18"/>
      <c r="AQ156" s="8" t="e">
        <f>#N/A</f>
        <v>#N/A</v>
      </c>
      <c r="AR156" s="8" t="e">
        <f>#N/A</f>
        <v>#N/A</v>
      </c>
      <c r="AS156" s="60" t="e">
        <f>#N/A</f>
        <v>#N/A</v>
      </c>
      <c r="AT156" s="60" t="e">
        <f>#N/A</f>
        <v>#N/A</v>
      </c>
      <c r="AU156" s="60" t="e">
        <f>#N/A</f>
        <v>#N/A</v>
      </c>
    </row>
    <row r="157" spans="1:47" x14ac:dyDescent="0.2">
      <c r="A157" s="43">
        <v>0.01</v>
      </c>
      <c r="B157" s="43">
        <v>2.9140026283180909E-3</v>
      </c>
      <c r="C157" s="43">
        <v>0</v>
      </c>
      <c r="D157" s="7" t="e">
        <f>#N/A</f>
        <v>#N/A</v>
      </c>
      <c r="E157" s="7" t="e">
        <f>#N/A</f>
        <v>#N/A</v>
      </c>
      <c r="F157" s="47" t="e">
        <f>#N/A</f>
        <v>#N/A</v>
      </c>
      <c r="G157" s="37" t="e">
        <f>#N/A</f>
        <v>#N/A</v>
      </c>
      <c r="H157" s="47" t="e">
        <f>#N/A</f>
        <v>#N/A</v>
      </c>
      <c r="I157" s="4"/>
      <c r="J157" s="4"/>
      <c r="K157" s="4"/>
      <c r="L157" s="4"/>
      <c r="M157" s="4"/>
      <c r="N157" s="49">
        <v>5.0650000000000004</v>
      </c>
      <c r="O157" s="51">
        <v>5.2492977284550024</v>
      </c>
      <c r="P157" s="51">
        <v>0.10870227154499738</v>
      </c>
      <c r="Q157" s="5"/>
      <c r="R157" s="51">
        <v>3.359</v>
      </c>
      <c r="S157" s="2">
        <v>1.4550000000000001</v>
      </c>
      <c r="T157" s="52"/>
      <c r="U157" s="48" t="e">
        <f>#N/A</f>
        <v>#N/A</v>
      </c>
      <c r="V157" s="50" t="e">
        <f>#N/A</f>
        <v>#N/A</v>
      </c>
      <c r="W157" s="5"/>
      <c r="X157" s="5"/>
      <c r="Y157" s="5"/>
      <c r="Z157" s="5"/>
      <c r="AA157" s="5"/>
      <c r="AB157" s="49">
        <v>2.22553605498871</v>
      </c>
      <c r="AC157" s="47" t="e">
        <f>#N/A</f>
        <v>#N/A</v>
      </c>
      <c r="AD157" s="52"/>
      <c r="AE157" s="48"/>
      <c r="AF157" s="50"/>
      <c r="AG157" s="18"/>
      <c r="AH157" s="18"/>
      <c r="AI157" s="18"/>
      <c r="AJ157" s="18"/>
      <c r="AK157" s="18"/>
      <c r="AL157" s="18"/>
      <c r="AM157" s="18"/>
      <c r="AN157" s="18"/>
      <c r="AO157" s="18"/>
      <c r="AP157" s="18"/>
      <c r="AQ157" s="8" t="e">
        <f>#N/A</f>
        <v>#N/A</v>
      </c>
      <c r="AR157" s="8" t="e">
        <f>#N/A</f>
        <v>#N/A</v>
      </c>
      <c r="AS157" s="60" t="e">
        <f>#N/A</f>
        <v>#N/A</v>
      </c>
      <c r="AT157" s="60" t="e">
        <f>#N/A</f>
        <v>#N/A</v>
      </c>
      <c r="AU157" s="60" t="e">
        <f>#N/A</f>
        <v>#N/A</v>
      </c>
    </row>
    <row r="158" spans="1:47" x14ac:dyDescent="0.2">
      <c r="A158" s="43">
        <v>0.01</v>
      </c>
      <c r="B158" s="43">
        <v>2.9140026283180909E-3</v>
      </c>
      <c r="C158" s="43">
        <v>0</v>
      </c>
      <c r="D158" s="7" t="e">
        <f>#N/A</f>
        <v>#N/A</v>
      </c>
      <c r="E158" s="7" t="e">
        <f>#N/A</f>
        <v>#N/A</v>
      </c>
      <c r="F158" s="47" t="e">
        <f>#N/A</f>
        <v>#N/A</v>
      </c>
      <c r="G158" s="37" t="e">
        <f>#N/A</f>
        <v>#N/A</v>
      </c>
      <c r="H158" s="47" t="e">
        <f>#N/A</f>
        <v>#N/A</v>
      </c>
      <c r="I158" s="4"/>
      <c r="J158" s="4"/>
      <c r="K158" s="4"/>
      <c r="L158" s="4"/>
      <c r="M158" s="4"/>
      <c r="N158" s="49">
        <v>5.0650000000000004</v>
      </c>
      <c r="O158" s="51">
        <v>5.2492977284550024</v>
      </c>
      <c r="P158" s="51">
        <v>0.10870227154499738</v>
      </c>
      <c r="Q158" s="5"/>
      <c r="R158" s="51">
        <v>3.359</v>
      </c>
      <c r="S158" s="2">
        <v>1.4550000000000001</v>
      </c>
      <c r="T158" s="52"/>
      <c r="U158" s="48" t="e">
        <f>#N/A</f>
        <v>#N/A</v>
      </c>
      <c r="V158" s="50" t="e">
        <f>#N/A</f>
        <v>#N/A</v>
      </c>
      <c r="W158" s="5"/>
      <c r="X158" s="5"/>
      <c r="Y158" s="5"/>
      <c r="Z158" s="5"/>
      <c r="AA158" s="5"/>
      <c r="AB158" s="49">
        <v>2.22553605498871</v>
      </c>
      <c r="AC158" s="47" t="e">
        <f>#N/A</f>
        <v>#N/A</v>
      </c>
      <c r="AD158" s="52"/>
      <c r="AE158" s="48"/>
      <c r="AF158" s="50"/>
      <c r="AG158" s="18"/>
      <c r="AH158" s="18"/>
      <c r="AI158" s="18"/>
      <c r="AJ158" s="18"/>
      <c r="AK158" s="18"/>
      <c r="AL158" s="18"/>
      <c r="AM158" s="18"/>
      <c r="AN158" s="18"/>
      <c r="AO158" s="18"/>
      <c r="AP158" s="18"/>
      <c r="AQ158" s="8" t="e">
        <f>#N/A</f>
        <v>#N/A</v>
      </c>
      <c r="AR158" s="8" t="e">
        <f>#N/A</f>
        <v>#N/A</v>
      </c>
      <c r="AS158" s="60" t="e">
        <f>#N/A</f>
        <v>#N/A</v>
      </c>
      <c r="AT158" s="60" t="e">
        <f>#N/A</f>
        <v>#N/A</v>
      </c>
      <c r="AU158" s="60" t="e">
        <f>#N/A</f>
        <v>#N/A</v>
      </c>
    </row>
    <row r="159" spans="1:47" x14ac:dyDescent="0.2">
      <c r="A159" s="43">
        <v>0.01</v>
      </c>
      <c r="B159" s="43">
        <v>2.9140026283180909E-3</v>
      </c>
      <c r="C159" s="43">
        <v>0</v>
      </c>
      <c r="D159" s="7" t="e">
        <f>#N/A</f>
        <v>#N/A</v>
      </c>
      <c r="E159" s="7" t="e">
        <f>#N/A</f>
        <v>#N/A</v>
      </c>
      <c r="F159" s="47" t="e">
        <f>#N/A</f>
        <v>#N/A</v>
      </c>
      <c r="G159" s="37" t="e">
        <f>#N/A</f>
        <v>#N/A</v>
      </c>
      <c r="H159" s="47" t="e">
        <f>#N/A</f>
        <v>#N/A</v>
      </c>
      <c r="I159" s="4"/>
      <c r="J159" s="4"/>
      <c r="K159" s="4"/>
      <c r="L159" s="4"/>
      <c r="M159" s="4"/>
      <c r="N159" s="49">
        <v>5.0650000000000004</v>
      </c>
      <c r="O159" s="51">
        <v>5.2492977284550024</v>
      </c>
      <c r="P159" s="51">
        <v>0.10870227154499738</v>
      </c>
      <c r="Q159" s="5"/>
      <c r="R159" s="51">
        <v>3.359</v>
      </c>
      <c r="S159" s="2">
        <v>1.4550000000000001</v>
      </c>
      <c r="T159" s="52"/>
      <c r="U159" s="48" t="e">
        <f>#N/A</f>
        <v>#N/A</v>
      </c>
      <c r="V159" s="50" t="e">
        <f>#N/A</f>
        <v>#N/A</v>
      </c>
      <c r="W159" s="5"/>
      <c r="X159" s="5"/>
      <c r="Y159" s="5"/>
      <c r="Z159" s="5"/>
      <c r="AA159" s="5"/>
      <c r="AB159" s="49">
        <v>2.22553605498871</v>
      </c>
      <c r="AC159" s="47" t="e">
        <f>#N/A</f>
        <v>#N/A</v>
      </c>
      <c r="AD159" s="52"/>
      <c r="AE159" s="48"/>
      <c r="AF159" s="50"/>
      <c r="AG159" s="18"/>
      <c r="AH159" s="18"/>
      <c r="AI159" s="18"/>
      <c r="AJ159" s="18"/>
      <c r="AK159" s="18"/>
      <c r="AL159" s="18"/>
      <c r="AM159" s="18"/>
      <c r="AN159" s="18"/>
      <c r="AO159" s="18"/>
      <c r="AP159" s="18"/>
      <c r="AQ159" s="8" t="e">
        <f>#N/A</f>
        <v>#N/A</v>
      </c>
      <c r="AR159" s="8" t="e">
        <f>#N/A</f>
        <v>#N/A</v>
      </c>
      <c r="AS159" s="60" t="e">
        <f>#N/A</f>
        <v>#N/A</v>
      </c>
      <c r="AT159" s="60" t="e">
        <f>#N/A</f>
        <v>#N/A</v>
      </c>
      <c r="AU159" s="60" t="e">
        <f>#N/A</f>
        <v>#N/A</v>
      </c>
    </row>
    <row r="160" spans="1:47" x14ac:dyDescent="0.2">
      <c r="A160" s="43">
        <v>0.01</v>
      </c>
      <c r="B160" s="43">
        <v>2.9140026283180909E-3</v>
      </c>
      <c r="C160" s="43">
        <v>0</v>
      </c>
      <c r="D160" s="7" t="e">
        <f>#N/A</f>
        <v>#N/A</v>
      </c>
      <c r="E160" s="7" t="e">
        <f>#N/A</f>
        <v>#N/A</v>
      </c>
      <c r="F160" s="47" t="e">
        <f>#N/A</f>
        <v>#N/A</v>
      </c>
      <c r="G160" s="37" t="e">
        <f>#N/A</f>
        <v>#N/A</v>
      </c>
      <c r="H160" s="47" t="e">
        <f>#N/A</f>
        <v>#N/A</v>
      </c>
      <c r="I160" s="4"/>
      <c r="J160" s="4"/>
      <c r="K160" s="4"/>
      <c r="L160" s="4"/>
      <c r="M160" s="4"/>
      <c r="N160" s="49">
        <v>5.0650000000000004</v>
      </c>
      <c r="O160" s="51">
        <v>5.2492977284550024</v>
      </c>
      <c r="P160" s="51">
        <v>0.10870227154499738</v>
      </c>
      <c r="Q160" s="5"/>
      <c r="R160" s="51">
        <v>3.359</v>
      </c>
      <c r="S160" s="2">
        <v>1.4550000000000001</v>
      </c>
      <c r="T160" s="52"/>
      <c r="U160" s="48" t="e">
        <f>#N/A</f>
        <v>#N/A</v>
      </c>
      <c r="V160" s="50" t="e">
        <f>#N/A</f>
        <v>#N/A</v>
      </c>
      <c r="W160" s="5"/>
      <c r="X160" s="5"/>
      <c r="Y160" s="5"/>
      <c r="Z160" s="5"/>
      <c r="AA160" s="5"/>
      <c r="AB160" s="49">
        <v>2.22553605498871</v>
      </c>
      <c r="AC160" s="47" t="e">
        <f>#N/A</f>
        <v>#N/A</v>
      </c>
      <c r="AD160" s="52"/>
      <c r="AE160" s="48"/>
      <c r="AF160" s="50"/>
      <c r="AG160" s="18"/>
      <c r="AH160" s="18"/>
      <c r="AI160" s="18"/>
      <c r="AJ160" s="18"/>
      <c r="AK160" s="18"/>
      <c r="AL160" s="18"/>
      <c r="AM160" s="18"/>
      <c r="AN160" s="18"/>
      <c r="AO160" s="18"/>
      <c r="AP160" s="18"/>
      <c r="AQ160" s="8" t="e">
        <f>#N/A</f>
        <v>#N/A</v>
      </c>
      <c r="AR160" s="8" t="e">
        <f>#N/A</f>
        <v>#N/A</v>
      </c>
      <c r="AS160" s="60" t="e">
        <f>#N/A</f>
        <v>#N/A</v>
      </c>
      <c r="AT160" s="60" t="e">
        <f>#N/A</f>
        <v>#N/A</v>
      </c>
      <c r="AU160" s="60" t="e">
        <f>#N/A</f>
        <v>#N/A</v>
      </c>
    </row>
    <row r="161" spans="1:47" x14ac:dyDescent="0.2">
      <c r="A161" s="43">
        <v>0.01</v>
      </c>
      <c r="B161" s="43">
        <v>2.648109897610107E-3</v>
      </c>
      <c r="C161" s="43">
        <v>0</v>
      </c>
      <c r="D161" s="7" t="e">
        <f>#N/A</f>
        <v>#N/A</v>
      </c>
      <c r="E161" s="7" t="e">
        <f>#N/A</f>
        <v>#N/A</v>
      </c>
      <c r="F161" s="47" t="e">
        <f>#N/A</f>
        <v>#N/A</v>
      </c>
      <c r="G161" s="37" t="e">
        <f>#N/A</f>
        <v>#N/A</v>
      </c>
      <c r="H161" s="47" t="e">
        <f>#N/A</f>
        <v>#N/A</v>
      </c>
      <c r="I161" s="4"/>
      <c r="J161" s="4"/>
      <c r="K161" s="4"/>
      <c r="L161" s="4"/>
      <c r="M161" s="4"/>
      <c r="N161" s="49">
        <v>5.0650000000000004</v>
      </c>
      <c r="O161" s="51">
        <v>5.2492977284550024</v>
      </c>
      <c r="P161" s="51">
        <v>0.10870227154499738</v>
      </c>
      <c r="Q161" s="5"/>
      <c r="R161" s="51">
        <v>3.359</v>
      </c>
      <c r="S161" s="2">
        <v>1.4550000000000001</v>
      </c>
      <c r="T161" s="52"/>
      <c r="U161" s="48" t="e">
        <f>#N/A</f>
        <v>#N/A</v>
      </c>
      <c r="V161" s="50" t="e">
        <f>#N/A</f>
        <v>#N/A</v>
      </c>
      <c r="W161" s="5"/>
      <c r="X161" s="5"/>
      <c r="Y161" s="5"/>
      <c r="Z161" s="5"/>
      <c r="AA161" s="5"/>
      <c r="AB161" s="49">
        <v>2.22553605498871</v>
      </c>
      <c r="AC161" s="47" t="e">
        <f>#N/A</f>
        <v>#N/A</v>
      </c>
      <c r="AD161" s="52"/>
      <c r="AE161" s="48"/>
      <c r="AF161" s="50"/>
      <c r="AG161" s="18"/>
      <c r="AH161" s="18"/>
      <c r="AI161" s="18"/>
      <c r="AJ161" s="18"/>
      <c r="AK161" s="18"/>
      <c r="AL161" s="18"/>
      <c r="AM161" s="18"/>
      <c r="AN161" s="18"/>
      <c r="AO161" s="18"/>
      <c r="AP161" s="18"/>
      <c r="AQ161" s="8" t="e">
        <f>#N/A</f>
        <v>#N/A</v>
      </c>
      <c r="AR161" s="8" t="e">
        <f>#N/A</f>
        <v>#N/A</v>
      </c>
      <c r="AS161" s="60" t="e">
        <f>#N/A</f>
        <v>#N/A</v>
      </c>
      <c r="AT161" s="60" t="e">
        <f>#N/A</f>
        <v>#N/A</v>
      </c>
      <c r="AU161" s="60" t="e">
        <f>#N/A</f>
        <v>#N/A</v>
      </c>
    </row>
    <row r="162" spans="1:47" x14ac:dyDescent="0.2">
      <c r="A162" s="43">
        <v>0.01</v>
      </c>
      <c r="B162" s="43">
        <v>2.648109897610107E-3</v>
      </c>
      <c r="C162" s="43">
        <v>0</v>
      </c>
      <c r="D162" s="7" t="e">
        <f>#N/A</f>
        <v>#N/A</v>
      </c>
      <c r="E162" s="7" t="e">
        <f>#N/A</f>
        <v>#N/A</v>
      </c>
      <c r="F162" s="47" t="e">
        <f>#N/A</f>
        <v>#N/A</v>
      </c>
      <c r="G162" s="37" t="e">
        <f>#N/A</f>
        <v>#N/A</v>
      </c>
      <c r="H162" s="47" t="e">
        <f>#N/A</f>
        <v>#N/A</v>
      </c>
      <c r="I162" s="4"/>
      <c r="J162" s="4"/>
      <c r="K162" s="4"/>
      <c r="L162" s="4"/>
      <c r="M162" s="4"/>
      <c r="N162" s="49">
        <v>5.0650000000000004</v>
      </c>
      <c r="O162" s="51">
        <v>5.2492977284550024</v>
      </c>
      <c r="P162" s="51">
        <v>0.10870227154499738</v>
      </c>
      <c r="Q162" s="5"/>
      <c r="R162" s="51">
        <v>3.359</v>
      </c>
      <c r="S162" s="2">
        <v>1.4550000000000001</v>
      </c>
      <c r="T162" s="52"/>
      <c r="U162" s="48" t="e">
        <f>#N/A</f>
        <v>#N/A</v>
      </c>
      <c r="V162" s="50" t="e">
        <f>#N/A</f>
        <v>#N/A</v>
      </c>
      <c r="W162" s="5"/>
      <c r="X162" s="5"/>
      <c r="Y162" s="5"/>
      <c r="Z162" s="5"/>
      <c r="AA162" s="5"/>
      <c r="AB162" s="49">
        <v>2.22553605498871</v>
      </c>
      <c r="AC162" s="47" t="e">
        <f>#N/A</f>
        <v>#N/A</v>
      </c>
      <c r="AD162" s="52"/>
      <c r="AE162" s="48"/>
      <c r="AF162" s="50"/>
      <c r="AG162" s="18"/>
      <c r="AH162" s="18"/>
      <c r="AI162" s="18"/>
      <c r="AJ162" s="18"/>
      <c r="AK162" s="18"/>
      <c r="AL162" s="18"/>
      <c r="AM162" s="18"/>
      <c r="AN162" s="18"/>
      <c r="AO162" s="18"/>
      <c r="AP162" s="18"/>
      <c r="AQ162" s="8" t="e">
        <f>#N/A</f>
        <v>#N/A</v>
      </c>
      <c r="AR162" s="8" t="e">
        <f>#N/A</f>
        <v>#N/A</v>
      </c>
      <c r="AS162" s="60" t="e">
        <f>#N/A</f>
        <v>#N/A</v>
      </c>
      <c r="AT162" s="60" t="e">
        <f>#N/A</f>
        <v>#N/A</v>
      </c>
      <c r="AU162" s="60" t="e">
        <f>#N/A</f>
        <v>#N/A</v>
      </c>
    </row>
    <row r="163" spans="1:47" x14ac:dyDescent="0.2">
      <c r="A163" s="43">
        <v>0.01</v>
      </c>
      <c r="B163" s="43">
        <v>2.648109897610107E-3</v>
      </c>
      <c r="C163" s="43">
        <v>0</v>
      </c>
      <c r="D163" s="7" t="e">
        <f>#N/A</f>
        <v>#N/A</v>
      </c>
      <c r="E163" s="7" t="e">
        <f>#N/A</f>
        <v>#N/A</v>
      </c>
      <c r="F163" s="47" t="e">
        <f>#N/A</f>
        <v>#N/A</v>
      </c>
      <c r="G163" s="37" t="e">
        <f>#N/A</f>
        <v>#N/A</v>
      </c>
      <c r="H163" s="47" t="e">
        <f>#N/A</f>
        <v>#N/A</v>
      </c>
      <c r="I163" s="4"/>
      <c r="J163" s="4"/>
      <c r="K163" s="4"/>
      <c r="L163" s="4"/>
      <c r="M163" s="4"/>
      <c r="N163" s="49">
        <v>5.0650000000000004</v>
      </c>
      <c r="O163" s="51">
        <v>5.2492977284550024</v>
      </c>
      <c r="P163" s="51">
        <v>0.10870227154499738</v>
      </c>
      <c r="Q163" s="5"/>
      <c r="R163" s="51">
        <v>3.359</v>
      </c>
      <c r="S163" s="2">
        <v>1.4550000000000001</v>
      </c>
      <c r="T163" s="52"/>
      <c r="U163" s="48" t="e">
        <f>#N/A</f>
        <v>#N/A</v>
      </c>
      <c r="V163" s="50" t="e">
        <f>#N/A</f>
        <v>#N/A</v>
      </c>
      <c r="W163" s="5"/>
      <c r="X163" s="5"/>
      <c r="Y163" s="5"/>
      <c r="Z163" s="5"/>
      <c r="AA163" s="5"/>
      <c r="AB163" s="49">
        <v>2.22553605498871</v>
      </c>
      <c r="AC163" s="47" t="e">
        <f>#N/A</f>
        <v>#N/A</v>
      </c>
      <c r="AD163" s="52"/>
      <c r="AE163" s="48"/>
      <c r="AF163" s="50"/>
      <c r="AG163" s="18"/>
      <c r="AH163" s="18"/>
      <c r="AI163" s="18"/>
      <c r="AJ163" s="18"/>
      <c r="AK163" s="18"/>
      <c r="AL163" s="18"/>
      <c r="AM163" s="18"/>
      <c r="AN163" s="18"/>
      <c r="AO163" s="18"/>
      <c r="AP163" s="18"/>
      <c r="AQ163" s="8" t="e">
        <f>#N/A</f>
        <v>#N/A</v>
      </c>
      <c r="AR163" s="8" t="e">
        <f>#N/A</f>
        <v>#N/A</v>
      </c>
      <c r="AS163" s="60" t="e">
        <f>#N/A</f>
        <v>#N/A</v>
      </c>
      <c r="AT163" s="60" t="e">
        <f>#N/A</f>
        <v>#N/A</v>
      </c>
      <c r="AU163" s="60" t="e">
        <f>#N/A</f>
        <v>#N/A</v>
      </c>
    </row>
    <row r="164" spans="1:47" x14ac:dyDescent="0.2">
      <c r="A164" s="43">
        <v>0.01</v>
      </c>
      <c r="B164" s="43">
        <v>2.648109897610107E-3</v>
      </c>
      <c r="C164" s="43">
        <v>0</v>
      </c>
      <c r="D164" s="7" t="e">
        <f>#N/A</f>
        <v>#N/A</v>
      </c>
      <c r="E164" s="7" t="e">
        <f>#N/A</f>
        <v>#N/A</v>
      </c>
      <c r="F164" s="47" t="e">
        <f>#N/A</f>
        <v>#N/A</v>
      </c>
      <c r="G164" s="37" t="e">
        <f>#N/A</f>
        <v>#N/A</v>
      </c>
      <c r="H164" s="47" t="e">
        <f>#N/A</f>
        <v>#N/A</v>
      </c>
      <c r="I164" s="4"/>
      <c r="J164" s="4"/>
      <c r="K164" s="4"/>
      <c r="L164" s="4"/>
      <c r="M164" s="4"/>
      <c r="N164" s="49">
        <v>5.0650000000000004</v>
      </c>
      <c r="O164" s="51">
        <v>5.2492977284550024</v>
      </c>
      <c r="P164" s="51">
        <v>0.10870227154499738</v>
      </c>
      <c r="Q164" s="5"/>
      <c r="R164" s="51">
        <v>3.359</v>
      </c>
      <c r="S164" s="2">
        <v>1.4550000000000001</v>
      </c>
      <c r="T164" s="52"/>
      <c r="U164" s="48" t="e">
        <f>#N/A</f>
        <v>#N/A</v>
      </c>
      <c r="V164" s="50" t="e">
        <f>#N/A</f>
        <v>#N/A</v>
      </c>
      <c r="W164" s="5"/>
      <c r="X164" s="5"/>
      <c r="Y164" s="5"/>
      <c r="Z164" s="5"/>
      <c r="AA164" s="5"/>
      <c r="AB164" s="49">
        <v>2.22553605498871</v>
      </c>
      <c r="AC164" s="47" t="e">
        <f>#N/A</f>
        <v>#N/A</v>
      </c>
      <c r="AD164" s="52"/>
      <c r="AE164" s="48"/>
      <c r="AF164" s="50"/>
      <c r="AG164" s="18"/>
      <c r="AH164" s="18"/>
      <c r="AI164" s="18"/>
      <c r="AJ164" s="18"/>
      <c r="AK164" s="18"/>
      <c r="AL164" s="18"/>
      <c r="AM164" s="18"/>
      <c r="AN164" s="18"/>
      <c r="AO164" s="18"/>
      <c r="AP164" s="18"/>
      <c r="AQ164" s="8" t="e">
        <f>#N/A</f>
        <v>#N/A</v>
      </c>
      <c r="AR164" s="8" t="e">
        <f>#N/A</f>
        <v>#N/A</v>
      </c>
      <c r="AS164" s="60" t="e">
        <f>#N/A</f>
        <v>#N/A</v>
      </c>
      <c r="AT164" s="60" t="e">
        <f>#N/A</f>
        <v>#N/A</v>
      </c>
      <c r="AU164" s="60" t="e">
        <f>#N/A</f>
        <v>#N/A</v>
      </c>
    </row>
    <row r="165" spans="1:47" x14ac:dyDescent="0.2">
      <c r="A165" s="43">
        <v>0.01</v>
      </c>
      <c r="B165" s="43">
        <v>2.648109897610107E-3</v>
      </c>
      <c r="C165" s="43">
        <v>0</v>
      </c>
      <c r="D165" s="7" t="e">
        <f>#N/A</f>
        <v>#N/A</v>
      </c>
      <c r="E165" s="7" t="e">
        <f>#N/A</f>
        <v>#N/A</v>
      </c>
      <c r="F165" s="47" t="e">
        <f>#N/A</f>
        <v>#N/A</v>
      </c>
      <c r="G165" s="37" t="e">
        <f>#N/A</f>
        <v>#N/A</v>
      </c>
      <c r="H165" s="47" t="e">
        <f>#N/A</f>
        <v>#N/A</v>
      </c>
      <c r="I165" s="4"/>
      <c r="J165" s="4"/>
      <c r="K165" s="4"/>
      <c r="L165" s="4"/>
      <c r="M165" s="4"/>
      <c r="N165" s="49">
        <v>5.0650000000000004</v>
      </c>
      <c r="O165" s="51">
        <v>5.2492977284550024</v>
      </c>
      <c r="P165" s="51">
        <v>0.10870227154499738</v>
      </c>
      <c r="Q165" s="5"/>
      <c r="R165" s="51">
        <v>3.359</v>
      </c>
      <c r="S165" s="2">
        <v>1.4550000000000001</v>
      </c>
      <c r="T165" s="52"/>
      <c r="U165" s="48" t="e">
        <f>#N/A</f>
        <v>#N/A</v>
      </c>
      <c r="V165" s="50" t="e">
        <f>#N/A</f>
        <v>#N/A</v>
      </c>
      <c r="W165" s="5"/>
      <c r="X165" s="5"/>
      <c r="Y165" s="5"/>
      <c r="Z165" s="5"/>
      <c r="AA165" s="5"/>
      <c r="AB165" s="49">
        <v>2.22553605498871</v>
      </c>
      <c r="AC165" s="47" t="e">
        <f>#N/A</f>
        <v>#N/A</v>
      </c>
      <c r="AD165" s="52"/>
      <c r="AE165" s="48"/>
      <c r="AF165" s="50"/>
      <c r="AG165" s="18"/>
      <c r="AH165" s="18"/>
      <c r="AI165" s="18"/>
      <c r="AJ165" s="18"/>
      <c r="AK165" s="18"/>
      <c r="AL165" s="18"/>
      <c r="AM165" s="18"/>
      <c r="AN165" s="18"/>
      <c r="AO165" s="18"/>
      <c r="AP165" s="18"/>
      <c r="AQ165" s="8" t="e">
        <f>#N/A</f>
        <v>#N/A</v>
      </c>
      <c r="AR165" s="8" t="e">
        <f>#N/A</f>
        <v>#N/A</v>
      </c>
      <c r="AS165" s="60" t="e">
        <f>#N/A</f>
        <v>#N/A</v>
      </c>
      <c r="AT165" s="60" t="e">
        <f>#N/A</f>
        <v>#N/A</v>
      </c>
      <c r="AU165" s="60" t="e">
        <f>#N/A</f>
        <v>#N/A</v>
      </c>
    </row>
    <row r="166" spans="1:47" x14ac:dyDescent="0.2">
      <c r="A166" s="43">
        <v>0.01</v>
      </c>
      <c r="B166" s="43">
        <v>2.648109897610107E-3</v>
      </c>
      <c r="C166" s="43">
        <v>0</v>
      </c>
      <c r="D166" s="7" t="e">
        <f>#N/A</f>
        <v>#N/A</v>
      </c>
      <c r="E166" s="7" t="e">
        <f>#N/A</f>
        <v>#N/A</v>
      </c>
      <c r="F166" s="47" t="e">
        <f>#N/A</f>
        <v>#N/A</v>
      </c>
      <c r="G166" s="37" t="e">
        <f>#N/A</f>
        <v>#N/A</v>
      </c>
      <c r="H166" s="47" t="e">
        <f>#N/A</f>
        <v>#N/A</v>
      </c>
      <c r="I166" s="4"/>
      <c r="J166" s="4"/>
      <c r="K166" s="4"/>
      <c r="L166" s="4"/>
      <c r="M166" s="4"/>
      <c r="N166" s="49">
        <v>5.0650000000000004</v>
      </c>
      <c r="O166" s="51">
        <v>5.2492977284550024</v>
      </c>
      <c r="P166" s="51">
        <v>0.10870227154499738</v>
      </c>
      <c r="Q166" s="5"/>
      <c r="R166" s="51">
        <v>3.359</v>
      </c>
      <c r="S166" s="2">
        <v>1.4550000000000001</v>
      </c>
      <c r="T166" s="52"/>
      <c r="U166" s="48" t="e">
        <f>#N/A</f>
        <v>#N/A</v>
      </c>
      <c r="V166" s="50" t="e">
        <f>#N/A</f>
        <v>#N/A</v>
      </c>
      <c r="W166" s="5"/>
      <c r="X166" s="5"/>
      <c r="Y166" s="5"/>
      <c r="Z166" s="5"/>
      <c r="AA166" s="5"/>
      <c r="AB166" s="49">
        <v>2.22553605498871</v>
      </c>
      <c r="AC166" s="47" t="e">
        <f>#N/A</f>
        <v>#N/A</v>
      </c>
      <c r="AD166" s="52"/>
      <c r="AE166" s="48"/>
      <c r="AF166" s="50"/>
      <c r="AG166" s="18"/>
      <c r="AH166" s="18"/>
      <c r="AI166" s="18"/>
      <c r="AJ166" s="18"/>
      <c r="AK166" s="18"/>
      <c r="AL166" s="18"/>
      <c r="AM166" s="18"/>
      <c r="AN166" s="18"/>
      <c r="AO166" s="18"/>
      <c r="AP166" s="18"/>
      <c r="AQ166" s="8" t="e">
        <f>#N/A</f>
        <v>#N/A</v>
      </c>
      <c r="AR166" s="8" t="e">
        <f>#N/A</f>
        <v>#N/A</v>
      </c>
      <c r="AS166" s="60" t="e">
        <f>#N/A</f>
        <v>#N/A</v>
      </c>
      <c r="AT166" s="60" t="e">
        <f>#N/A</f>
        <v>#N/A</v>
      </c>
      <c r="AU166" s="60" t="e">
        <f>#N/A</f>
        <v>#N/A</v>
      </c>
    </row>
    <row r="167" spans="1:47" x14ac:dyDescent="0.2">
      <c r="A167" s="43">
        <v>0.01</v>
      </c>
      <c r="B167" s="43">
        <v>2.648109897610107E-3</v>
      </c>
      <c r="C167" s="43">
        <v>0</v>
      </c>
      <c r="D167" s="7" t="e">
        <f>#N/A</f>
        <v>#N/A</v>
      </c>
      <c r="E167" s="7" t="e">
        <f>#N/A</f>
        <v>#N/A</v>
      </c>
      <c r="F167" s="47" t="e">
        <f>#N/A</f>
        <v>#N/A</v>
      </c>
      <c r="G167" s="37" t="e">
        <f>#N/A</f>
        <v>#N/A</v>
      </c>
      <c r="H167" s="47" t="e">
        <f>#N/A</f>
        <v>#N/A</v>
      </c>
      <c r="I167" s="4"/>
      <c r="J167" s="4"/>
      <c r="K167" s="4"/>
      <c r="L167" s="4"/>
      <c r="M167" s="4"/>
      <c r="N167" s="49">
        <v>5.0650000000000004</v>
      </c>
      <c r="O167" s="51">
        <v>5.2492977284550024</v>
      </c>
      <c r="P167" s="51">
        <v>0.10870227154499738</v>
      </c>
      <c r="Q167" s="5"/>
      <c r="R167" s="51">
        <v>3.359</v>
      </c>
      <c r="S167" s="2">
        <v>1.4550000000000001</v>
      </c>
      <c r="T167" s="52"/>
      <c r="U167" s="48" t="e">
        <f>#N/A</f>
        <v>#N/A</v>
      </c>
      <c r="V167" s="50" t="e">
        <f>#N/A</f>
        <v>#N/A</v>
      </c>
      <c r="W167" s="5"/>
      <c r="X167" s="5"/>
      <c r="Y167" s="5"/>
      <c r="Z167" s="5"/>
      <c r="AA167" s="5"/>
      <c r="AB167" s="49">
        <v>2.22553605498871</v>
      </c>
      <c r="AC167" s="47" t="e">
        <f>#N/A</f>
        <v>#N/A</v>
      </c>
      <c r="AD167" s="52"/>
      <c r="AE167" s="48"/>
      <c r="AF167" s="50"/>
      <c r="AG167" s="18"/>
      <c r="AH167" s="18"/>
      <c r="AI167" s="18"/>
      <c r="AJ167" s="18"/>
      <c r="AK167" s="18"/>
      <c r="AL167" s="18"/>
      <c r="AM167" s="18"/>
      <c r="AN167" s="18"/>
      <c r="AO167" s="18"/>
      <c r="AP167" s="18"/>
      <c r="AQ167" s="8" t="e">
        <f>#N/A</f>
        <v>#N/A</v>
      </c>
      <c r="AR167" s="8" t="e">
        <f>#N/A</f>
        <v>#N/A</v>
      </c>
      <c r="AS167" s="60" t="e">
        <f>#N/A</f>
        <v>#N/A</v>
      </c>
      <c r="AT167" s="60" t="e">
        <f>#N/A</f>
        <v>#N/A</v>
      </c>
      <c r="AU167" s="60" t="e">
        <f>#N/A</f>
        <v>#N/A</v>
      </c>
    </row>
    <row r="168" spans="1:47" x14ac:dyDescent="0.2">
      <c r="A168" s="43">
        <v>0.01</v>
      </c>
      <c r="B168" s="43">
        <v>2.648109897610107E-3</v>
      </c>
      <c r="C168" s="43">
        <v>0</v>
      </c>
      <c r="D168" s="7" t="e">
        <f>#N/A</f>
        <v>#N/A</v>
      </c>
      <c r="E168" s="7" t="e">
        <f>#N/A</f>
        <v>#N/A</v>
      </c>
      <c r="F168" s="47" t="e">
        <f>#N/A</f>
        <v>#N/A</v>
      </c>
      <c r="G168" s="37" t="e">
        <f>#N/A</f>
        <v>#N/A</v>
      </c>
      <c r="H168" s="47" t="e">
        <f>#N/A</f>
        <v>#N/A</v>
      </c>
      <c r="I168" s="4"/>
      <c r="J168" s="4"/>
      <c r="K168" s="4"/>
      <c r="L168" s="4"/>
      <c r="M168" s="4"/>
      <c r="N168" s="49">
        <v>5.0650000000000004</v>
      </c>
      <c r="O168" s="51">
        <v>5.2492977284550024</v>
      </c>
      <c r="P168" s="51">
        <v>0.10870227154499738</v>
      </c>
      <c r="Q168" s="5"/>
      <c r="R168" s="51">
        <v>3.359</v>
      </c>
      <c r="S168" s="2">
        <v>1.4550000000000001</v>
      </c>
      <c r="T168" s="52"/>
      <c r="U168" s="48" t="e">
        <f>#N/A</f>
        <v>#N/A</v>
      </c>
      <c r="V168" s="50" t="e">
        <f>#N/A</f>
        <v>#N/A</v>
      </c>
      <c r="W168" s="5"/>
      <c r="X168" s="5"/>
      <c r="Y168" s="5"/>
      <c r="Z168" s="5"/>
      <c r="AA168" s="5"/>
      <c r="AB168" s="49">
        <v>2.22553605498871</v>
      </c>
      <c r="AC168" s="47" t="e">
        <f>#N/A</f>
        <v>#N/A</v>
      </c>
      <c r="AD168" s="52"/>
      <c r="AE168" s="48"/>
      <c r="AF168" s="50"/>
      <c r="AG168" s="18"/>
      <c r="AH168" s="18"/>
      <c r="AI168" s="18"/>
      <c r="AJ168" s="18"/>
      <c r="AK168" s="18"/>
      <c r="AL168" s="18"/>
      <c r="AM168" s="18"/>
      <c r="AN168" s="18"/>
      <c r="AO168" s="18"/>
      <c r="AP168" s="18"/>
      <c r="AQ168" s="8" t="e">
        <f>#N/A</f>
        <v>#N/A</v>
      </c>
      <c r="AR168" s="8" t="e">
        <f>#N/A</f>
        <v>#N/A</v>
      </c>
      <c r="AS168" s="60" t="e">
        <f>#N/A</f>
        <v>#N/A</v>
      </c>
      <c r="AT168" s="60" t="e">
        <f>#N/A</f>
        <v>#N/A</v>
      </c>
      <c r="AU168" s="60" t="e">
        <f>#N/A</f>
        <v>#N/A</v>
      </c>
    </row>
    <row r="169" spans="1:47" x14ac:dyDescent="0.2">
      <c r="A169" s="43">
        <v>0.01</v>
      </c>
      <c r="B169" s="43">
        <v>2.648109897610107E-3</v>
      </c>
      <c r="C169" s="43">
        <v>0</v>
      </c>
      <c r="D169" s="7" t="e">
        <f>#N/A</f>
        <v>#N/A</v>
      </c>
      <c r="E169" s="7" t="e">
        <f>#N/A</f>
        <v>#N/A</v>
      </c>
      <c r="F169" s="47" t="e">
        <f>#N/A</f>
        <v>#N/A</v>
      </c>
      <c r="G169" s="37" t="e">
        <f>#N/A</f>
        <v>#N/A</v>
      </c>
      <c r="H169" s="47" t="e">
        <f>#N/A</f>
        <v>#N/A</v>
      </c>
      <c r="I169" s="4"/>
      <c r="J169" s="4"/>
      <c r="K169" s="4"/>
      <c r="L169" s="4"/>
      <c r="M169" s="4"/>
      <c r="N169" s="49">
        <v>5.0650000000000004</v>
      </c>
      <c r="O169" s="51">
        <v>5.2492977284550024</v>
      </c>
      <c r="P169" s="51">
        <v>0.10870227154499738</v>
      </c>
      <c r="Q169" s="5"/>
      <c r="R169" s="51">
        <v>3.359</v>
      </c>
      <c r="S169" s="2">
        <v>1.4550000000000001</v>
      </c>
      <c r="T169" s="52"/>
      <c r="U169" s="48" t="e">
        <f>#N/A</f>
        <v>#N/A</v>
      </c>
      <c r="V169" s="50" t="e">
        <f>#N/A</f>
        <v>#N/A</v>
      </c>
      <c r="W169" s="5"/>
      <c r="X169" s="5"/>
      <c r="Y169" s="5"/>
      <c r="Z169" s="5"/>
      <c r="AA169" s="5"/>
      <c r="AB169" s="49">
        <v>2.22553605498871</v>
      </c>
      <c r="AC169" s="47" t="e">
        <f>#N/A</f>
        <v>#N/A</v>
      </c>
      <c r="AD169" s="52"/>
      <c r="AE169" s="48"/>
      <c r="AF169" s="50"/>
      <c r="AG169" s="18"/>
      <c r="AH169" s="18"/>
      <c r="AI169" s="18"/>
      <c r="AJ169" s="18"/>
      <c r="AK169" s="18"/>
      <c r="AL169" s="18"/>
      <c r="AM169" s="18"/>
      <c r="AN169" s="18"/>
      <c r="AO169" s="18"/>
      <c r="AP169" s="18"/>
      <c r="AQ169" s="8" t="e">
        <f>#N/A</f>
        <v>#N/A</v>
      </c>
      <c r="AR169" s="8" t="e">
        <f>#N/A</f>
        <v>#N/A</v>
      </c>
      <c r="AS169" s="60" t="e">
        <f>#N/A</f>
        <v>#N/A</v>
      </c>
      <c r="AT169" s="60" t="e">
        <f>#N/A</f>
        <v>#N/A</v>
      </c>
      <c r="AU169" s="60" t="e">
        <f>#N/A</f>
        <v>#N/A</v>
      </c>
    </row>
    <row r="170" spans="1:47" x14ac:dyDescent="0.2">
      <c r="A170" s="43">
        <v>0.01</v>
      </c>
      <c r="B170" s="43">
        <v>2.648109897610107E-3</v>
      </c>
      <c r="C170" s="43">
        <v>0</v>
      </c>
      <c r="D170" s="7" t="e">
        <f>#N/A</f>
        <v>#N/A</v>
      </c>
      <c r="E170" s="7" t="e">
        <f>#N/A</f>
        <v>#N/A</v>
      </c>
      <c r="F170" s="47" t="e">
        <f>#N/A</f>
        <v>#N/A</v>
      </c>
      <c r="G170" s="37" t="e">
        <f>#N/A</f>
        <v>#N/A</v>
      </c>
      <c r="H170" s="47" t="e">
        <f>#N/A</f>
        <v>#N/A</v>
      </c>
      <c r="I170" s="4"/>
      <c r="J170" s="4"/>
      <c r="K170" s="4"/>
      <c r="L170" s="4"/>
      <c r="M170" s="4"/>
      <c r="N170" s="49">
        <v>5.0650000000000004</v>
      </c>
      <c r="O170" s="51">
        <v>5.2492977284550024</v>
      </c>
      <c r="P170" s="51">
        <v>0.10870227154499738</v>
      </c>
      <c r="Q170" s="5"/>
      <c r="R170" s="51">
        <v>3.359</v>
      </c>
      <c r="S170" s="2">
        <v>1.4550000000000001</v>
      </c>
      <c r="T170" s="52"/>
      <c r="U170" s="48" t="e">
        <f>#N/A</f>
        <v>#N/A</v>
      </c>
      <c r="V170" s="50" t="e">
        <f>#N/A</f>
        <v>#N/A</v>
      </c>
      <c r="W170" s="5"/>
      <c r="X170" s="5"/>
      <c r="Y170" s="5"/>
      <c r="Z170" s="5"/>
      <c r="AA170" s="5"/>
      <c r="AB170" s="49">
        <v>2.22553605498871</v>
      </c>
      <c r="AC170" s="47" t="e">
        <f>#N/A</f>
        <v>#N/A</v>
      </c>
      <c r="AD170" s="52"/>
      <c r="AE170" s="48"/>
      <c r="AF170" s="50"/>
      <c r="AG170" s="18"/>
      <c r="AH170" s="18"/>
      <c r="AI170" s="18"/>
      <c r="AJ170" s="18"/>
      <c r="AK170" s="18"/>
      <c r="AL170" s="18"/>
      <c r="AM170" s="18"/>
      <c r="AN170" s="18"/>
      <c r="AO170" s="18"/>
      <c r="AP170" s="18"/>
      <c r="AQ170" s="8" t="e">
        <f>#N/A</f>
        <v>#N/A</v>
      </c>
      <c r="AR170" s="8" t="e">
        <f>#N/A</f>
        <v>#N/A</v>
      </c>
      <c r="AS170" s="60" t="e">
        <f>#N/A</f>
        <v>#N/A</v>
      </c>
      <c r="AT170" s="60" t="e">
        <f>#N/A</f>
        <v>#N/A</v>
      </c>
      <c r="AU170" s="60" t="e">
        <f>#N/A</f>
        <v>#N/A</v>
      </c>
    </row>
    <row r="171" spans="1:47" x14ac:dyDescent="0.2">
      <c r="A171" s="43">
        <v>0.01</v>
      </c>
      <c r="B171" s="43">
        <v>2.648109897610107E-3</v>
      </c>
      <c r="C171" s="43">
        <v>0</v>
      </c>
      <c r="D171" s="7" t="e">
        <f>#N/A</f>
        <v>#N/A</v>
      </c>
      <c r="E171" s="7" t="e">
        <f>#N/A</f>
        <v>#N/A</v>
      </c>
      <c r="F171" s="47" t="e">
        <f>#N/A</f>
        <v>#N/A</v>
      </c>
      <c r="G171" s="37" t="e">
        <f>#N/A</f>
        <v>#N/A</v>
      </c>
      <c r="H171" s="47" t="e">
        <f>#N/A</f>
        <v>#N/A</v>
      </c>
      <c r="I171" s="4"/>
      <c r="J171" s="4"/>
      <c r="K171" s="4"/>
      <c r="L171" s="4"/>
      <c r="M171" s="4"/>
      <c r="N171" s="49">
        <v>5.0650000000000004</v>
      </c>
      <c r="O171" s="51">
        <v>5.2492977284550024</v>
      </c>
      <c r="P171" s="51">
        <v>0.10870227154499738</v>
      </c>
      <c r="Q171" s="5"/>
      <c r="R171" s="51">
        <v>3.359</v>
      </c>
      <c r="S171" s="2">
        <v>1.4550000000000001</v>
      </c>
      <c r="T171" s="52"/>
      <c r="U171" s="48" t="e">
        <f>#N/A</f>
        <v>#N/A</v>
      </c>
      <c r="V171" s="50" t="e">
        <f>#N/A</f>
        <v>#N/A</v>
      </c>
      <c r="W171" s="5"/>
      <c r="X171" s="5"/>
      <c r="Y171" s="5"/>
      <c r="Z171" s="5"/>
      <c r="AA171" s="5"/>
      <c r="AB171" s="49">
        <v>2.22553605498871</v>
      </c>
      <c r="AC171" s="47" t="e">
        <f>#N/A</f>
        <v>#N/A</v>
      </c>
      <c r="AD171" s="52"/>
      <c r="AE171" s="48"/>
      <c r="AF171" s="50"/>
      <c r="AG171" s="18"/>
      <c r="AH171" s="18"/>
      <c r="AI171" s="18"/>
      <c r="AJ171" s="18"/>
      <c r="AK171" s="18"/>
      <c r="AL171" s="18"/>
      <c r="AM171" s="18"/>
      <c r="AN171" s="18"/>
      <c r="AO171" s="18"/>
      <c r="AP171" s="18"/>
      <c r="AQ171" s="8" t="e">
        <f>#N/A</f>
        <v>#N/A</v>
      </c>
      <c r="AR171" s="8" t="e">
        <f>#N/A</f>
        <v>#N/A</v>
      </c>
      <c r="AS171" s="60" t="e">
        <f>#N/A</f>
        <v>#N/A</v>
      </c>
      <c r="AT171" s="60" t="e">
        <f>#N/A</f>
        <v>#N/A</v>
      </c>
      <c r="AU171" s="60" t="e">
        <f>#N/A</f>
        <v>#N/A</v>
      </c>
    </row>
    <row r="172" spans="1:47" x14ac:dyDescent="0.2">
      <c r="A172" s="43">
        <v>0.01</v>
      </c>
      <c r="B172" s="43">
        <v>2.648109897610107E-3</v>
      </c>
      <c r="C172" s="43">
        <v>0</v>
      </c>
      <c r="D172" s="7" t="e">
        <f>#N/A</f>
        <v>#N/A</v>
      </c>
      <c r="E172" s="7" t="e">
        <f>#N/A</f>
        <v>#N/A</v>
      </c>
      <c r="F172" s="47" t="e">
        <f>#N/A</f>
        <v>#N/A</v>
      </c>
      <c r="G172" s="37" t="e">
        <f>#N/A</f>
        <v>#N/A</v>
      </c>
      <c r="H172" s="47" t="e">
        <f>#N/A</f>
        <v>#N/A</v>
      </c>
      <c r="I172" s="4"/>
      <c r="J172" s="4"/>
      <c r="K172" s="4"/>
      <c r="L172" s="4"/>
      <c r="M172" s="4"/>
      <c r="N172" s="49">
        <v>5.0650000000000004</v>
      </c>
      <c r="O172" s="51">
        <v>5.2492977284550024</v>
      </c>
      <c r="P172" s="51">
        <v>0.10870227154499738</v>
      </c>
      <c r="Q172" s="5"/>
      <c r="R172" s="51">
        <v>3.359</v>
      </c>
      <c r="S172" s="2">
        <v>1.4550000000000001</v>
      </c>
      <c r="T172" s="52"/>
      <c r="U172" s="48" t="e">
        <f>#N/A</f>
        <v>#N/A</v>
      </c>
      <c r="V172" s="50" t="e">
        <f>#N/A</f>
        <v>#N/A</v>
      </c>
      <c r="W172" s="5"/>
      <c r="X172" s="5"/>
      <c r="Y172" s="5"/>
      <c r="Z172" s="5"/>
      <c r="AA172" s="5"/>
      <c r="AB172" s="49">
        <v>2.22553605498871</v>
      </c>
      <c r="AC172" s="47" t="e">
        <f>#N/A</f>
        <v>#N/A</v>
      </c>
      <c r="AD172" s="52"/>
      <c r="AE172" s="48"/>
      <c r="AF172" s="50"/>
      <c r="AG172" s="18"/>
      <c r="AH172" s="18"/>
      <c r="AI172" s="18"/>
      <c r="AJ172" s="18"/>
      <c r="AK172" s="18"/>
      <c r="AL172" s="18"/>
      <c r="AM172" s="18"/>
      <c r="AN172" s="18"/>
      <c r="AO172" s="18"/>
      <c r="AP172" s="18"/>
      <c r="AQ172" s="8" t="e">
        <f>#N/A</f>
        <v>#N/A</v>
      </c>
      <c r="AR172" s="8" t="e">
        <f>#N/A</f>
        <v>#N/A</v>
      </c>
      <c r="AS172" s="60" t="e">
        <f>#N/A</f>
        <v>#N/A</v>
      </c>
      <c r="AT172" s="60" t="e">
        <f>#N/A</f>
        <v>#N/A</v>
      </c>
      <c r="AU172" s="60" t="e">
        <f>#N/A</f>
        <v>#N/A</v>
      </c>
    </row>
    <row r="173" spans="1:47" x14ac:dyDescent="0.2">
      <c r="A173" s="43">
        <v>0.01</v>
      </c>
      <c r="B173" s="43">
        <v>2.3843698327730145E-3</v>
      </c>
      <c r="C173" s="43">
        <v>0</v>
      </c>
      <c r="D173" s="7" t="e">
        <f>#N/A</f>
        <v>#N/A</v>
      </c>
      <c r="E173" s="7" t="e">
        <f>#N/A</f>
        <v>#N/A</v>
      </c>
      <c r="F173" s="47" t="e">
        <f>#N/A</f>
        <v>#N/A</v>
      </c>
      <c r="G173" s="37" t="e">
        <f>#N/A</f>
        <v>#N/A</v>
      </c>
      <c r="H173" s="47" t="e">
        <f>#N/A</f>
        <v>#N/A</v>
      </c>
      <c r="I173" s="4"/>
      <c r="J173" s="4"/>
      <c r="K173" s="4"/>
      <c r="L173" s="4"/>
      <c r="M173" s="4"/>
      <c r="N173" s="49">
        <v>5.0650000000000004</v>
      </c>
      <c r="O173" s="51">
        <v>5.2492977284550024</v>
      </c>
      <c r="P173" s="51">
        <v>0.10870227154499738</v>
      </c>
      <c r="Q173" s="5"/>
      <c r="R173" s="51">
        <v>3.359</v>
      </c>
      <c r="S173" s="2">
        <v>1.4550000000000001</v>
      </c>
      <c r="T173" s="52"/>
      <c r="U173" s="48" t="e">
        <f>#N/A</f>
        <v>#N/A</v>
      </c>
      <c r="V173" s="50" t="e">
        <f>#N/A</f>
        <v>#N/A</v>
      </c>
      <c r="W173" s="5"/>
      <c r="X173" s="5"/>
      <c r="Y173" s="5"/>
      <c r="Z173" s="5"/>
      <c r="AA173" s="5"/>
      <c r="AB173" s="49">
        <v>2.22553605498871</v>
      </c>
      <c r="AC173" s="47" t="e">
        <f>#N/A</f>
        <v>#N/A</v>
      </c>
      <c r="AD173" s="52"/>
      <c r="AE173" s="48"/>
      <c r="AF173" s="50"/>
      <c r="AG173" s="18"/>
      <c r="AH173" s="18"/>
      <c r="AI173" s="18"/>
      <c r="AJ173" s="18"/>
      <c r="AK173" s="18"/>
      <c r="AL173" s="18"/>
      <c r="AM173" s="18"/>
      <c r="AN173" s="18"/>
      <c r="AO173" s="18"/>
      <c r="AP173" s="18"/>
      <c r="AQ173" s="8" t="e">
        <f>#N/A</f>
        <v>#N/A</v>
      </c>
      <c r="AR173" s="8" t="e">
        <f>#N/A</f>
        <v>#N/A</v>
      </c>
      <c r="AS173" s="60" t="e">
        <f>#N/A</f>
        <v>#N/A</v>
      </c>
      <c r="AT173" s="60" t="e">
        <f>#N/A</f>
        <v>#N/A</v>
      </c>
      <c r="AU173" s="60" t="e">
        <f>#N/A</f>
        <v>#N/A</v>
      </c>
    </row>
    <row r="174" spans="1:47" x14ac:dyDescent="0.2">
      <c r="A174" s="43">
        <v>0.01</v>
      </c>
      <c r="B174" s="43">
        <v>2.3843698327730145E-3</v>
      </c>
      <c r="C174" s="43">
        <v>0</v>
      </c>
      <c r="D174" s="7" t="e">
        <f>#N/A</f>
        <v>#N/A</v>
      </c>
      <c r="E174" s="7" t="e">
        <f>#N/A</f>
        <v>#N/A</v>
      </c>
      <c r="F174" s="47" t="e">
        <f>#N/A</f>
        <v>#N/A</v>
      </c>
      <c r="G174" s="37" t="e">
        <f>#N/A</f>
        <v>#N/A</v>
      </c>
      <c r="H174" s="47" t="e">
        <f>#N/A</f>
        <v>#N/A</v>
      </c>
      <c r="I174" s="4"/>
      <c r="J174" s="4"/>
      <c r="K174" s="4"/>
      <c r="L174" s="4"/>
      <c r="M174" s="4"/>
      <c r="N174" s="49">
        <v>5.0650000000000004</v>
      </c>
      <c r="O174" s="51">
        <v>5.2492977284550024</v>
      </c>
      <c r="P174" s="51">
        <v>0.10870227154499738</v>
      </c>
      <c r="Q174" s="5"/>
      <c r="R174" s="51">
        <v>3.359</v>
      </c>
      <c r="S174" s="2">
        <v>1.4550000000000001</v>
      </c>
      <c r="T174" s="52"/>
      <c r="U174" s="48" t="e">
        <f>#N/A</f>
        <v>#N/A</v>
      </c>
      <c r="V174" s="50" t="e">
        <f>#N/A</f>
        <v>#N/A</v>
      </c>
      <c r="W174" s="5"/>
      <c r="X174" s="5"/>
      <c r="Y174" s="5"/>
      <c r="Z174" s="5"/>
      <c r="AA174" s="5"/>
      <c r="AB174" s="49">
        <v>2.22553605498871</v>
      </c>
      <c r="AC174" s="47" t="e">
        <f>#N/A</f>
        <v>#N/A</v>
      </c>
      <c r="AD174" s="52"/>
      <c r="AE174" s="48"/>
      <c r="AF174" s="50"/>
      <c r="AG174" s="18"/>
      <c r="AH174" s="18"/>
      <c r="AI174" s="18"/>
      <c r="AJ174" s="18"/>
      <c r="AK174" s="18"/>
      <c r="AL174" s="18"/>
      <c r="AM174" s="18"/>
      <c r="AN174" s="18"/>
      <c r="AO174" s="18"/>
      <c r="AP174" s="18"/>
      <c r="AQ174" s="8" t="e">
        <f>#N/A</f>
        <v>#N/A</v>
      </c>
      <c r="AR174" s="8" t="e">
        <f>#N/A</f>
        <v>#N/A</v>
      </c>
      <c r="AS174" s="60" t="e">
        <f>#N/A</f>
        <v>#N/A</v>
      </c>
      <c r="AT174" s="60" t="e">
        <f>#N/A</f>
        <v>#N/A</v>
      </c>
      <c r="AU174" s="60" t="e">
        <f>#N/A</f>
        <v>#N/A</v>
      </c>
    </row>
    <row r="175" spans="1:47" x14ac:dyDescent="0.2">
      <c r="A175" s="43">
        <v>0.01</v>
      </c>
      <c r="B175" s="43">
        <v>2.3843698327730145E-3</v>
      </c>
      <c r="C175" s="43">
        <v>0</v>
      </c>
      <c r="D175" s="7" t="e">
        <f>#N/A</f>
        <v>#N/A</v>
      </c>
      <c r="E175" s="7" t="e">
        <f>#N/A</f>
        <v>#N/A</v>
      </c>
      <c r="F175" s="47" t="e">
        <f>#N/A</f>
        <v>#N/A</v>
      </c>
      <c r="G175" s="37" t="e">
        <f>#N/A</f>
        <v>#N/A</v>
      </c>
      <c r="H175" s="47" t="e">
        <f>#N/A</f>
        <v>#N/A</v>
      </c>
      <c r="I175" s="4"/>
      <c r="J175" s="4"/>
      <c r="K175" s="4"/>
      <c r="L175" s="4"/>
      <c r="M175" s="4"/>
      <c r="N175" s="49">
        <v>5.0650000000000004</v>
      </c>
      <c r="O175" s="51">
        <v>5.2492977284550024</v>
      </c>
      <c r="P175" s="51">
        <v>0.10870227154499738</v>
      </c>
      <c r="Q175" s="5"/>
      <c r="R175" s="51">
        <v>3.359</v>
      </c>
      <c r="S175" s="2">
        <v>1.4550000000000001</v>
      </c>
      <c r="T175" s="52"/>
      <c r="U175" s="48" t="e">
        <f>#N/A</f>
        <v>#N/A</v>
      </c>
      <c r="V175" s="50" t="e">
        <f>#N/A</f>
        <v>#N/A</v>
      </c>
      <c r="W175" s="5"/>
      <c r="X175" s="5"/>
      <c r="Y175" s="5"/>
      <c r="Z175" s="5"/>
      <c r="AA175" s="5"/>
      <c r="AB175" s="49">
        <v>2.22553605498871</v>
      </c>
      <c r="AC175" s="47" t="e">
        <f>#N/A</f>
        <v>#N/A</v>
      </c>
      <c r="AD175" s="52"/>
      <c r="AE175" s="48"/>
      <c r="AF175" s="50"/>
      <c r="AG175" s="18"/>
      <c r="AH175" s="18"/>
      <c r="AI175" s="18"/>
      <c r="AJ175" s="18"/>
      <c r="AK175" s="18"/>
      <c r="AL175" s="18"/>
      <c r="AM175" s="18"/>
      <c r="AN175" s="18"/>
      <c r="AO175" s="18"/>
      <c r="AP175" s="18"/>
      <c r="AQ175" s="8" t="e">
        <f>#N/A</f>
        <v>#N/A</v>
      </c>
      <c r="AR175" s="8" t="e">
        <f>#N/A</f>
        <v>#N/A</v>
      </c>
      <c r="AS175" s="60" t="e">
        <f>#N/A</f>
        <v>#N/A</v>
      </c>
      <c r="AT175" s="60" t="e">
        <f>#N/A</f>
        <v>#N/A</v>
      </c>
      <c r="AU175" s="60" t="e">
        <f>#N/A</f>
        <v>#N/A</v>
      </c>
    </row>
    <row r="176" spans="1:47" x14ac:dyDescent="0.2">
      <c r="A176" s="43">
        <v>0.01</v>
      </c>
      <c r="B176" s="43">
        <v>2.3843698327730145E-3</v>
      </c>
      <c r="C176" s="43">
        <v>0</v>
      </c>
      <c r="D176" s="7" t="e">
        <f>#N/A</f>
        <v>#N/A</v>
      </c>
      <c r="E176" s="7" t="e">
        <f>#N/A</f>
        <v>#N/A</v>
      </c>
      <c r="F176" s="47" t="e">
        <f>#N/A</f>
        <v>#N/A</v>
      </c>
      <c r="G176" s="37" t="e">
        <f>#N/A</f>
        <v>#N/A</v>
      </c>
      <c r="H176" s="47" t="e">
        <f>#N/A</f>
        <v>#N/A</v>
      </c>
      <c r="I176" s="4"/>
      <c r="J176" s="4"/>
      <c r="K176" s="4"/>
      <c r="L176" s="4"/>
      <c r="M176" s="4"/>
      <c r="N176" s="49">
        <v>5.0650000000000004</v>
      </c>
      <c r="O176" s="51">
        <v>5.2492977284550024</v>
      </c>
      <c r="P176" s="51">
        <v>0.10870227154499738</v>
      </c>
      <c r="Q176" s="5"/>
      <c r="R176" s="51">
        <v>3.359</v>
      </c>
      <c r="S176" s="2">
        <v>1.4550000000000001</v>
      </c>
      <c r="T176" s="52"/>
      <c r="U176" s="48" t="e">
        <f>#N/A</f>
        <v>#N/A</v>
      </c>
      <c r="V176" s="50" t="e">
        <f>#N/A</f>
        <v>#N/A</v>
      </c>
      <c r="W176" s="5"/>
      <c r="X176" s="5"/>
      <c r="Y176" s="5"/>
      <c r="Z176" s="5"/>
      <c r="AA176" s="5"/>
      <c r="AB176" s="49">
        <v>2.22553605498871</v>
      </c>
      <c r="AC176" s="47" t="e">
        <f>#N/A</f>
        <v>#N/A</v>
      </c>
      <c r="AD176" s="52"/>
      <c r="AE176" s="48"/>
      <c r="AF176" s="50"/>
      <c r="AG176" s="18"/>
      <c r="AH176" s="18"/>
      <c r="AI176" s="18"/>
      <c r="AJ176" s="18"/>
      <c r="AK176" s="18"/>
      <c r="AL176" s="18"/>
      <c r="AM176" s="18"/>
      <c r="AN176" s="18"/>
      <c r="AO176" s="18"/>
      <c r="AP176" s="18"/>
      <c r="AQ176" s="8" t="e">
        <f>#N/A</f>
        <v>#N/A</v>
      </c>
      <c r="AR176" s="8" t="e">
        <f>#N/A</f>
        <v>#N/A</v>
      </c>
      <c r="AS176" s="60" t="e">
        <f>#N/A</f>
        <v>#N/A</v>
      </c>
      <c r="AT176" s="60" t="e">
        <f>#N/A</f>
        <v>#N/A</v>
      </c>
      <c r="AU176" s="60" t="e">
        <f>#N/A</f>
        <v>#N/A</v>
      </c>
    </row>
    <row r="177" spans="1:47" x14ac:dyDescent="0.2">
      <c r="A177" s="43">
        <v>0.01</v>
      </c>
      <c r="B177" s="43">
        <v>2.3843698327730145E-3</v>
      </c>
      <c r="C177" s="43">
        <v>0</v>
      </c>
      <c r="D177" s="7" t="e">
        <f>#N/A</f>
        <v>#N/A</v>
      </c>
      <c r="E177" s="7" t="e">
        <f>#N/A</f>
        <v>#N/A</v>
      </c>
      <c r="F177" s="47" t="e">
        <f>#N/A</f>
        <v>#N/A</v>
      </c>
      <c r="G177" s="37" t="e">
        <f>#N/A</f>
        <v>#N/A</v>
      </c>
      <c r="H177" s="47" t="e">
        <f>#N/A</f>
        <v>#N/A</v>
      </c>
      <c r="I177" s="4"/>
      <c r="J177" s="4"/>
      <c r="K177" s="4"/>
      <c r="L177" s="4"/>
      <c r="M177" s="4"/>
      <c r="N177" s="49">
        <v>5.0650000000000004</v>
      </c>
      <c r="O177" s="51">
        <v>5.2492977284550024</v>
      </c>
      <c r="P177" s="51">
        <v>0.10870227154499738</v>
      </c>
      <c r="Q177" s="5"/>
      <c r="R177" s="51">
        <v>3.359</v>
      </c>
      <c r="S177" s="2">
        <v>1.4550000000000001</v>
      </c>
      <c r="T177" s="52"/>
      <c r="U177" s="48" t="e">
        <f>#N/A</f>
        <v>#N/A</v>
      </c>
      <c r="V177" s="50" t="e">
        <f>#N/A</f>
        <v>#N/A</v>
      </c>
      <c r="W177" s="5"/>
      <c r="X177" s="5"/>
      <c r="Y177" s="5"/>
      <c r="Z177" s="5"/>
      <c r="AA177" s="5"/>
      <c r="AB177" s="49">
        <v>2.22553605498871</v>
      </c>
      <c r="AC177" s="47" t="e">
        <f>#N/A</f>
        <v>#N/A</v>
      </c>
      <c r="AD177" s="52"/>
      <c r="AE177" s="48"/>
      <c r="AF177" s="50"/>
      <c r="AG177" s="18"/>
      <c r="AH177" s="18"/>
      <c r="AI177" s="18"/>
      <c r="AJ177" s="18"/>
      <c r="AK177" s="18"/>
      <c r="AL177" s="18"/>
      <c r="AM177" s="18"/>
      <c r="AN177" s="18"/>
      <c r="AO177" s="18"/>
      <c r="AP177" s="18"/>
      <c r="AQ177" s="8" t="e">
        <f>#N/A</f>
        <v>#N/A</v>
      </c>
      <c r="AR177" s="8" t="e">
        <f>#N/A</f>
        <v>#N/A</v>
      </c>
      <c r="AS177" s="60" t="e">
        <f>#N/A</f>
        <v>#N/A</v>
      </c>
      <c r="AT177" s="60" t="e">
        <f>#N/A</f>
        <v>#N/A</v>
      </c>
      <c r="AU177" s="60" t="e">
        <f>#N/A</f>
        <v>#N/A</v>
      </c>
    </row>
    <row r="178" spans="1:47" x14ac:dyDescent="0.2">
      <c r="A178" s="43">
        <v>0.01</v>
      </c>
      <c r="B178" s="43">
        <v>2.3843698327730145E-3</v>
      </c>
      <c r="C178" s="43">
        <v>0</v>
      </c>
      <c r="D178" s="7" t="e">
        <f>#N/A</f>
        <v>#N/A</v>
      </c>
      <c r="E178" s="7" t="e">
        <f>#N/A</f>
        <v>#N/A</v>
      </c>
      <c r="F178" s="47" t="e">
        <f>#N/A</f>
        <v>#N/A</v>
      </c>
      <c r="G178" s="37" t="e">
        <f>#N/A</f>
        <v>#N/A</v>
      </c>
      <c r="H178" s="47" t="e">
        <f>#N/A</f>
        <v>#N/A</v>
      </c>
      <c r="I178" s="4"/>
      <c r="J178" s="4"/>
      <c r="K178" s="4"/>
      <c r="L178" s="4"/>
      <c r="M178" s="4"/>
      <c r="N178" s="49">
        <v>5.0650000000000004</v>
      </c>
      <c r="O178" s="51">
        <v>5.2492977284550024</v>
      </c>
      <c r="P178" s="51">
        <v>0.10870227154499738</v>
      </c>
      <c r="Q178" s="5"/>
      <c r="R178" s="51">
        <v>3.359</v>
      </c>
      <c r="S178" s="2">
        <v>1.4550000000000001</v>
      </c>
      <c r="T178" s="52"/>
      <c r="U178" s="48" t="e">
        <f>#N/A</f>
        <v>#N/A</v>
      </c>
      <c r="V178" s="50" t="e">
        <f>#N/A</f>
        <v>#N/A</v>
      </c>
      <c r="W178" s="5"/>
      <c r="X178" s="5"/>
      <c r="Y178" s="5"/>
      <c r="Z178" s="5"/>
      <c r="AA178" s="5"/>
      <c r="AB178" s="49">
        <v>2.22553605498871</v>
      </c>
      <c r="AC178" s="47" t="e">
        <f>#N/A</f>
        <v>#N/A</v>
      </c>
      <c r="AD178" s="52"/>
      <c r="AE178" s="48"/>
      <c r="AF178" s="50"/>
      <c r="AG178" s="18"/>
      <c r="AH178" s="18"/>
      <c r="AI178" s="18"/>
      <c r="AJ178" s="18"/>
      <c r="AK178" s="18"/>
      <c r="AL178" s="18"/>
      <c r="AM178" s="18"/>
      <c r="AN178" s="18"/>
      <c r="AO178" s="18"/>
      <c r="AP178" s="18"/>
      <c r="AQ178" s="8" t="e">
        <f>#N/A</f>
        <v>#N/A</v>
      </c>
      <c r="AR178" s="8" t="e">
        <f>#N/A</f>
        <v>#N/A</v>
      </c>
      <c r="AS178" s="60" t="e">
        <f>#N/A</f>
        <v>#N/A</v>
      </c>
      <c r="AT178" s="60" t="e">
        <f>#N/A</f>
        <v>#N/A</v>
      </c>
      <c r="AU178" s="60" t="e">
        <f>#N/A</f>
        <v>#N/A</v>
      </c>
    </row>
    <row r="179" spans="1:47" x14ac:dyDescent="0.2">
      <c r="A179" s="43">
        <v>0.01</v>
      </c>
      <c r="B179" s="43">
        <v>2.3843698327730145E-3</v>
      </c>
      <c r="C179" s="43">
        <v>0</v>
      </c>
      <c r="D179" s="7" t="e">
        <f>#N/A</f>
        <v>#N/A</v>
      </c>
      <c r="E179" s="7" t="e">
        <f>#N/A</f>
        <v>#N/A</v>
      </c>
      <c r="F179" s="47" t="e">
        <f>#N/A</f>
        <v>#N/A</v>
      </c>
      <c r="G179" s="37" t="e">
        <f>#N/A</f>
        <v>#N/A</v>
      </c>
      <c r="H179" s="47" t="e">
        <f>#N/A</f>
        <v>#N/A</v>
      </c>
      <c r="I179" s="4"/>
      <c r="J179" s="4"/>
      <c r="K179" s="4"/>
      <c r="L179" s="4"/>
      <c r="M179" s="4"/>
      <c r="N179" s="49">
        <v>5.0650000000000004</v>
      </c>
      <c r="O179" s="51">
        <v>5.2492977284550024</v>
      </c>
      <c r="P179" s="51">
        <v>0.10870227154499738</v>
      </c>
      <c r="Q179" s="5"/>
      <c r="R179" s="51">
        <v>3.359</v>
      </c>
      <c r="S179" s="2">
        <v>1.4550000000000001</v>
      </c>
      <c r="T179" s="52"/>
      <c r="U179" s="48" t="e">
        <f>#N/A</f>
        <v>#N/A</v>
      </c>
      <c r="V179" s="50" t="e">
        <f>#N/A</f>
        <v>#N/A</v>
      </c>
      <c r="W179" s="5"/>
      <c r="X179" s="5"/>
      <c r="Y179" s="5"/>
      <c r="Z179" s="5"/>
      <c r="AA179" s="5"/>
      <c r="AB179" s="49">
        <v>2.22553605498871</v>
      </c>
      <c r="AC179" s="47" t="e">
        <f>#N/A</f>
        <v>#N/A</v>
      </c>
      <c r="AD179" s="52"/>
      <c r="AE179" s="48"/>
      <c r="AF179" s="50"/>
      <c r="AG179" s="18"/>
      <c r="AH179" s="18"/>
      <c r="AI179" s="18"/>
      <c r="AJ179" s="18"/>
      <c r="AK179" s="18"/>
      <c r="AL179" s="18"/>
      <c r="AM179" s="18"/>
      <c r="AN179" s="18"/>
      <c r="AO179" s="18"/>
      <c r="AP179" s="18"/>
      <c r="AQ179" s="8" t="e">
        <f>#N/A</f>
        <v>#N/A</v>
      </c>
      <c r="AR179" s="8" t="e">
        <f>#N/A</f>
        <v>#N/A</v>
      </c>
      <c r="AS179" s="60" t="e">
        <f>#N/A</f>
        <v>#N/A</v>
      </c>
      <c r="AT179" s="60" t="e">
        <f>#N/A</f>
        <v>#N/A</v>
      </c>
      <c r="AU179" s="60" t="e">
        <f>#N/A</f>
        <v>#N/A</v>
      </c>
    </row>
    <row r="180" spans="1:47" x14ac:dyDescent="0.2">
      <c r="A180" s="43">
        <v>0.01</v>
      </c>
      <c r="B180" s="43">
        <v>2.3843698327730145E-3</v>
      </c>
      <c r="C180" s="43">
        <v>0</v>
      </c>
      <c r="D180" s="7" t="e">
        <f>#N/A</f>
        <v>#N/A</v>
      </c>
      <c r="E180" s="7" t="e">
        <f>#N/A</f>
        <v>#N/A</v>
      </c>
      <c r="F180" s="47" t="e">
        <f>#N/A</f>
        <v>#N/A</v>
      </c>
      <c r="G180" s="37" t="e">
        <f>#N/A</f>
        <v>#N/A</v>
      </c>
      <c r="H180" s="47" t="e">
        <f>#N/A</f>
        <v>#N/A</v>
      </c>
      <c r="I180" s="4"/>
      <c r="J180" s="4"/>
      <c r="K180" s="4"/>
      <c r="L180" s="4"/>
      <c r="M180" s="4"/>
      <c r="N180" s="49">
        <v>5.0650000000000004</v>
      </c>
      <c r="O180" s="51">
        <v>5.2492977284550024</v>
      </c>
      <c r="P180" s="51">
        <v>0.10870227154499738</v>
      </c>
      <c r="Q180" s="5"/>
      <c r="R180" s="51">
        <v>3.359</v>
      </c>
      <c r="S180" s="2">
        <v>1.4550000000000001</v>
      </c>
      <c r="T180" s="52"/>
      <c r="U180" s="48" t="e">
        <f>#N/A</f>
        <v>#N/A</v>
      </c>
      <c r="V180" s="50" t="e">
        <f>#N/A</f>
        <v>#N/A</v>
      </c>
      <c r="W180" s="5"/>
      <c r="X180" s="5"/>
      <c r="Y180" s="5"/>
      <c r="Z180" s="5"/>
      <c r="AA180" s="5"/>
      <c r="AB180" s="49">
        <v>2.22553605498871</v>
      </c>
      <c r="AC180" s="47" t="e">
        <f>#N/A</f>
        <v>#N/A</v>
      </c>
      <c r="AD180" s="52"/>
      <c r="AE180" s="48"/>
      <c r="AF180" s="50"/>
      <c r="AG180" s="18"/>
      <c r="AH180" s="18"/>
      <c r="AI180" s="18"/>
      <c r="AJ180" s="18"/>
      <c r="AK180" s="18"/>
      <c r="AL180" s="18"/>
      <c r="AM180" s="18"/>
      <c r="AN180" s="18"/>
      <c r="AO180" s="18"/>
      <c r="AP180" s="18"/>
      <c r="AQ180" s="8" t="e">
        <f>#N/A</f>
        <v>#N/A</v>
      </c>
      <c r="AR180" s="8" t="e">
        <f>#N/A</f>
        <v>#N/A</v>
      </c>
      <c r="AS180" s="60" t="e">
        <f>#N/A</f>
        <v>#N/A</v>
      </c>
      <c r="AT180" s="60" t="e">
        <f>#N/A</f>
        <v>#N/A</v>
      </c>
      <c r="AU180" s="60" t="e">
        <f>#N/A</f>
        <v>#N/A</v>
      </c>
    </row>
    <row r="181" spans="1:47" x14ac:dyDescent="0.2">
      <c r="A181" s="43">
        <v>0.01</v>
      </c>
      <c r="B181" s="43">
        <v>2.3843698327730145E-3</v>
      </c>
      <c r="C181" s="43">
        <v>0</v>
      </c>
      <c r="D181" s="7" t="e">
        <f>#N/A</f>
        <v>#N/A</v>
      </c>
      <c r="E181" s="7" t="e">
        <f>#N/A</f>
        <v>#N/A</v>
      </c>
      <c r="F181" s="47" t="e">
        <f>#N/A</f>
        <v>#N/A</v>
      </c>
      <c r="G181" s="37" t="e">
        <f>#N/A</f>
        <v>#N/A</v>
      </c>
      <c r="H181" s="47" t="e">
        <f>#N/A</f>
        <v>#N/A</v>
      </c>
      <c r="I181" s="4"/>
      <c r="J181" s="4"/>
      <c r="K181" s="4"/>
      <c r="L181" s="4"/>
      <c r="M181" s="4"/>
      <c r="N181" s="49">
        <v>5.0650000000000004</v>
      </c>
      <c r="O181" s="51">
        <v>5.2492977284550024</v>
      </c>
      <c r="P181" s="51">
        <v>0.10870227154499738</v>
      </c>
      <c r="Q181" s="5"/>
      <c r="R181" s="51">
        <v>3.359</v>
      </c>
      <c r="S181" s="2">
        <v>1.4550000000000001</v>
      </c>
      <c r="T181" s="52"/>
      <c r="U181" s="48" t="e">
        <f>#N/A</f>
        <v>#N/A</v>
      </c>
      <c r="V181" s="50" t="e">
        <f>#N/A</f>
        <v>#N/A</v>
      </c>
      <c r="W181" s="5"/>
      <c r="X181" s="5"/>
      <c r="Y181" s="5"/>
      <c r="Z181" s="5"/>
      <c r="AA181" s="5"/>
      <c r="AB181" s="49">
        <v>2.22553605498871</v>
      </c>
      <c r="AC181" s="47" t="e">
        <f>#N/A</f>
        <v>#N/A</v>
      </c>
      <c r="AD181" s="52"/>
      <c r="AE181" s="48"/>
      <c r="AF181" s="50"/>
      <c r="AG181" s="18"/>
      <c r="AH181" s="18"/>
      <c r="AI181" s="18"/>
      <c r="AJ181" s="18"/>
      <c r="AK181" s="18"/>
      <c r="AL181" s="18"/>
      <c r="AM181" s="18"/>
      <c r="AN181" s="18"/>
      <c r="AO181" s="18"/>
      <c r="AP181" s="18"/>
      <c r="AQ181" s="8" t="e">
        <f>#N/A</f>
        <v>#N/A</v>
      </c>
      <c r="AR181" s="8" t="e">
        <f>#N/A</f>
        <v>#N/A</v>
      </c>
      <c r="AS181" s="60" t="e">
        <f>#N/A</f>
        <v>#N/A</v>
      </c>
      <c r="AT181" s="60" t="e">
        <f>#N/A</f>
        <v>#N/A</v>
      </c>
      <c r="AU181" s="60" t="e">
        <f>#N/A</f>
        <v>#N/A</v>
      </c>
    </row>
    <row r="182" spans="1:47" x14ac:dyDescent="0.2">
      <c r="A182" s="43">
        <v>0.01</v>
      </c>
      <c r="B182" s="43">
        <v>2.3843698327730145E-3</v>
      </c>
      <c r="C182" s="43">
        <v>0</v>
      </c>
      <c r="D182" s="7" t="e">
        <f>#N/A</f>
        <v>#N/A</v>
      </c>
      <c r="E182" s="7" t="e">
        <f>#N/A</f>
        <v>#N/A</v>
      </c>
      <c r="F182" s="47" t="e">
        <f>#N/A</f>
        <v>#N/A</v>
      </c>
      <c r="G182" s="37" t="e">
        <f>#N/A</f>
        <v>#N/A</v>
      </c>
      <c r="H182" s="47" t="e">
        <f>#N/A</f>
        <v>#N/A</v>
      </c>
      <c r="I182" s="4"/>
      <c r="J182" s="4"/>
      <c r="K182" s="4"/>
      <c r="L182" s="4"/>
      <c r="M182" s="4"/>
      <c r="N182" s="49">
        <v>5.0650000000000004</v>
      </c>
      <c r="O182" s="51">
        <v>5.2492977284550024</v>
      </c>
      <c r="P182" s="51">
        <v>0.10870227154499738</v>
      </c>
      <c r="Q182" s="5"/>
      <c r="R182" s="51">
        <v>3.359</v>
      </c>
      <c r="S182" s="2">
        <v>1.4550000000000001</v>
      </c>
      <c r="T182" s="52"/>
      <c r="U182" s="48" t="e">
        <f>#N/A</f>
        <v>#N/A</v>
      </c>
      <c r="V182" s="50" t="e">
        <f>#N/A</f>
        <v>#N/A</v>
      </c>
      <c r="W182" s="5"/>
      <c r="X182" s="5"/>
      <c r="Y182" s="5"/>
      <c r="Z182" s="5"/>
      <c r="AA182" s="5"/>
      <c r="AB182" s="49">
        <v>2.22553605498871</v>
      </c>
      <c r="AC182" s="47" t="e">
        <f>#N/A</f>
        <v>#N/A</v>
      </c>
      <c r="AD182" s="52"/>
      <c r="AE182" s="48"/>
      <c r="AF182" s="50"/>
      <c r="AG182" s="18"/>
      <c r="AH182" s="18"/>
      <c r="AI182" s="18"/>
      <c r="AJ182" s="18"/>
      <c r="AK182" s="18"/>
      <c r="AL182" s="18"/>
      <c r="AM182" s="18"/>
      <c r="AN182" s="18"/>
      <c r="AO182" s="18"/>
      <c r="AP182" s="18"/>
      <c r="AQ182" s="8" t="e">
        <f>#N/A</f>
        <v>#N/A</v>
      </c>
      <c r="AR182" s="8" t="e">
        <f>#N/A</f>
        <v>#N/A</v>
      </c>
      <c r="AS182" s="60" t="e">
        <f>#N/A</f>
        <v>#N/A</v>
      </c>
      <c r="AT182" s="60" t="e">
        <f>#N/A</f>
        <v>#N/A</v>
      </c>
      <c r="AU182" s="60" t="e">
        <f>#N/A</f>
        <v>#N/A</v>
      </c>
    </row>
    <row r="183" spans="1:47" x14ac:dyDescent="0.2">
      <c r="A183" s="43">
        <v>0.01</v>
      </c>
      <c r="B183" s="43">
        <v>2.3843698327730145E-3</v>
      </c>
      <c r="C183" s="43">
        <v>0</v>
      </c>
      <c r="D183" s="7" t="e">
        <f>#N/A</f>
        <v>#N/A</v>
      </c>
      <c r="E183" s="7" t="e">
        <f>#N/A</f>
        <v>#N/A</v>
      </c>
      <c r="F183" s="47" t="e">
        <f>#N/A</f>
        <v>#N/A</v>
      </c>
      <c r="G183" s="37" t="e">
        <f>#N/A</f>
        <v>#N/A</v>
      </c>
      <c r="H183" s="47" t="e">
        <f>#N/A</f>
        <v>#N/A</v>
      </c>
      <c r="I183" s="4"/>
      <c r="J183" s="4"/>
      <c r="K183" s="4"/>
      <c r="L183" s="4"/>
      <c r="M183" s="4"/>
      <c r="N183" s="49">
        <v>5.0650000000000004</v>
      </c>
      <c r="O183" s="51">
        <v>5.2492977284550024</v>
      </c>
      <c r="P183" s="51">
        <v>0.10870227154499738</v>
      </c>
      <c r="Q183" s="5"/>
      <c r="R183" s="51">
        <v>3.359</v>
      </c>
      <c r="S183" s="2">
        <v>1.4550000000000001</v>
      </c>
      <c r="T183" s="52"/>
      <c r="U183" s="48" t="e">
        <f>#N/A</f>
        <v>#N/A</v>
      </c>
      <c r="V183" s="50" t="e">
        <f>#N/A</f>
        <v>#N/A</v>
      </c>
      <c r="W183" s="5"/>
      <c r="X183" s="5"/>
      <c r="Y183" s="5"/>
      <c r="Z183" s="5"/>
      <c r="AA183" s="5"/>
      <c r="AB183" s="49">
        <v>2.22553605498871</v>
      </c>
      <c r="AC183" s="47" t="e">
        <f>#N/A</f>
        <v>#N/A</v>
      </c>
      <c r="AD183" s="52"/>
      <c r="AE183" s="48"/>
      <c r="AF183" s="50"/>
      <c r="AG183" s="18"/>
      <c r="AH183" s="18"/>
      <c r="AI183" s="18"/>
      <c r="AJ183" s="18"/>
      <c r="AK183" s="18"/>
      <c r="AL183" s="18"/>
      <c r="AM183" s="18"/>
      <c r="AN183" s="18"/>
      <c r="AO183" s="18"/>
      <c r="AP183" s="18"/>
      <c r="AQ183" s="8" t="e">
        <f>#N/A</f>
        <v>#N/A</v>
      </c>
      <c r="AR183" s="8" t="e">
        <f>#N/A</f>
        <v>#N/A</v>
      </c>
      <c r="AS183" s="60" t="e">
        <f>#N/A</f>
        <v>#N/A</v>
      </c>
      <c r="AT183" s="60" t="e">
        <f>#N/A</f>
        <v>#N/A</v>
      </c>
      <c r="AU183" s="60" t="e">
        <f>#N/A</f>
        <v>#N/A</v>
      </c>
    </row>
    <row r="184" spans="1:47" x14ac:dyDescent="0.2">
      <c r="A184" s="43">
        <v>0.01</v>
      </c>
      <c r="B184" s="43">
        <v>2.3843698327730145E-3</v>
      </c>
      <c r="C184" s="43">
        <v>0</v>
      </c>
      <c r="D184" s="7" t="e">
        <f>#N/A</f>
        <v>#N/A</v>
      </c>
      <c r="E184" s="7" t="e">
        <f>#N/A</f>
        <v>#N/A</v>
      </c>
      <c r="F184" s="47" t="e">
        <f>#N/A</f>
        <v>#N/A</v>
      </c>
      <c r="G184" s="37" t="e">
        <f>#N/A</f>
        <v>#N/A</v>
      </c>
      <c r="H184" s="47" t="e">
        <f>#N/A</f>
        <v>#N/A</v>
      </c>
      <c r="I184" s="4"/>
      <c r="J184" s="4"/>
      <c r="K184" s="4"/>
      <c r="L184" s="4"/>
      <c r="M184" s="4"/>
      <c r="N184" s="49">
        <v>5.0650000000000004</v>
      </c>
      <c r="O184" s="51">
        <v>5.2492977284550024</v>
      </c>
      <c r="P184" s="51">
        <v>0.10870227154499738</v>
      </c>
      <c r="Q184" s="5"/>
      <c r="R184" s="51">
        <v>3.359</v>
      </c>
      <c r="S184" s="2">
        <v>1.4550000000000001</v>
      </c>
      <c r="T184" s="52"/>
      <c r="U184" s="48" t="e">
        <f>#N/A</f>
        <v>#N/A</v>
      </c>
      <c r="V184" s="50" t="e">
        <f>#N/A</f>
        <v>#N/A</v>
      </c>
      <c r="W184" s="5"/>
      <c r="X184" s="5"/>
      <c r="Y184" s="5"/>
      <c r="Z184" s="5"/>
      <c r="AA184" s="5"/>
      <c r="AB184" s="49">
        <v>2.22553605498871</v>
      </c>
      <c r="AC184" s="47" t="e">
        <f>#N/A</f>
        <v>#N/A</v>
      </c>
      <c r="AD184" s="52"/>
      <c r="AE184" s="48"/>
      <c r="AF184" s="50"/>
      <c r="AG184" s="18"/>
      <c r="AH184" s="18"/>
      <c r="AI184" s="18"/>
      <c r="AJ184" s="18"/>
      <c r="AK184" s="18"/>
      <c r="AL184" s="18"/>
      <c r="AM184" s="18"/>
      <c r="AN184" s="18"/>
      <c r="AO184" s="18"/>
      <c r="AP184" s="18"/>
      <c r="AQ184" s="8" t="e">
        <f>#N/A</f>
        <v>#N/A</v>
      </c>
      <c r="AR184" s="8" t="e">
        <f>#N/A</f>
        <v>#N/A</v>
      </c>
      <c r="AS184" s="60" t="e">
        <f>#N/A</f>
        <v>#N/A</v>
      </c>
      <c r="AT184" s="60" t="e">
        <f>#N/A</f>
        <v>#N/A</v>
      </c>
      <c r="AU184" s="60" t="e">
        <f>#N/A</f>
        <v>#N/A</v>
      </c>
    </row>
    <row r="185" spans="1:47" x14ac:dyDescent="0.2">
      <c r="A185" s="43">
        <v>0.01</v>
      </c>
      <c r="B185" s="43">
        <v>2.2506304476208605E-3</v>
      </c>
      <c r="C185" s="43">
        <v>0</v>
      </c>
      <c r="D185" s="7" t="e">
        <f>#N/A</f>
        <v>#N/A</v>
      </c>
      <c r="E185" s="7" t="e">
        <f>#N/A</f>
        <v>#N/A</v>
      </c>
      <c r="F185" s="47" t="e">
        <f>#N/A</f>
        <v>#N/A</v>
      </c>
      <c r="G185" s="37" t="e">
        <f>#N/A</f>
        <v>#N/A</v>
      </c>
      <c r="H185" s="47" t="e">
        <f>#N/A</f>
        <v>#N/A</v>
      </c>
      <c r="I185" s="4"/>
      <c r="J185" s="4"/>
      <c r="K185" s="4"/>
      <c r="L185" s="4"/>
      <c r="M185" s="4"/>
      <c r="N185" s="49">
        <v>5.0650000000000004</v>
      </c>
      <c r="O185" s="51">
        <v>5.2492977284550024</v>
      </c>
      <c r="P185" s="51">
        <v>0.10870227154499738</v>
      </c>
      <c r="Q185" s="5"/>
      <c r="R185" s="51">
        <v>3.359</v>
      </c>
      <c r="S185" s="2">
        <v>1.4550000000000001</v>
      </c>
      <c r="T185" s="52"/>
      <c r="U185" s="48" t="e">
        <f>#N/A</f>
        <v>#N/A</v>
      </c>
      <c r="V185" s="50" t="e">
        <f>#N/A</f>
        <v>#N/A</v>
      </c>
      <c r="W185" s="5"/>
      <c r="X185" s="5"/>
      <c r="Y185" s="5"/>
      <c r="Z185" s="5"/>
      <c r="AA185" s="5"/>
      <c r="AB185" s="49">
        <v>2.22553605498871</v>
      </c>
      <c r="AC185" s="47" t="e">
        <f>#N/A</f>
        <v>#N/A</v>
      </c>
      <c r="AD185" s="52"/>
      <c r="AE185" s="48"/>
      <c r="AF185" s="50"/>
      <c r="AG185" s="18"/>
      <c r="AH185" s="18"/>
      <c r="AI185" s="18"/>
      <c r="AJ185" s="18"/>
      <c r="AK185" s="18"/>
      <c r="AL185" s="18"/>
      <c r="AM185" s="18"/>
      <c r="AN185" s="18"/>
      <c r="AO185" s="5"/>
      <c r="AP185" s="5"/>
      <c r="AQ185" s="8" t="e">
        <f>#N/A</f>
        <v>#N/A</v>
      </c>
      <c r="AR185" s="8" t="e">
        <f>#N/A</f>
        <v>#N/A</v>
      </c>
      <c r="AS185" s="60" t="e">
        <f>#N/A</f>
        <v>#N/A</v>
      </c>
      <c r="AT185" s="60" t="e">
        <f>#N/A</f>
        <v>#N/A</v>
      </c>
      <c r="AU185" s="60" t="e">
        <f>#N/A</f>
        <v>#N/A</v>
      </c>
    </row>
    <row r="186" spans="1:47" x14ac:dyDescent="0.2">
      <c r="A186" s="43">
        <v>0.01</v>
      </c>
      <c r="B186" s="43">
        <v>2.2506304476208605E-3</v>
      </c>
      <c r="C186" s="43">
        <v>0</v>
      </c>
      <c r="D186" s="7" t="e">
        <f>#N/A</f>
        <v>#N/A</v>
      </c>
      <c r="E186" s="7" t="e">
        <f>#N/A</f>
        <v>#N/A</v>
      </c>
      <c r="F186" s="47" t="e">
        <f>#N/A</f>
        <v>#N/A</v>
      </c>
      <c r="G186" s="37" t="e">
        <f>#N/A</f>
        <v>#N/A</v>
      </c>
      <c r="H186" s="47" t="e">
        <f>#N/A</f>
        <v>#N/A</v>
      </c>
      <c r="I186" s="4"/>
      <c r="J186" s="4"/>
      <c r="K186" s="4"/>
      <c r="L186" s="4"/>
      <c r="M186" s="4"/>
      <c r="N186" s="49">
        <v>5.0650000000000004</v>
      </c>
      <c r="O186" s="51">
        <v>5.2492977284550024</v>
      </c>
      <c r="P186" s="51">
        <v>0.10870227154499738</v>
      </c>
      <c r="Q186" s="5"/>
      <c r="R186" s="51">
        <v>3.359</v>
      </c>
      <c r="S186" s="2">
        <v>1.4550000000000001</v>
      </c>
      <c r="T186" s="52"/>
      <c r="U186" s="48" t="e">
        <f>#N/A</f>
        <v>#N/A</v>
      </c>
      <c r="V186" s="50" t="e">
        <f>#N/A</f>
        <v>#N/A</v>
      </c>
      <c r="W186" s="5"/>
      <c r="X186" s="5"/>
      <c r="Y186" s="5"/>
      <c r="Z186" s="5"/>
      <c r="AA186" s="5"/>
      <c r="AB186" s="49">
        <v>2.22553605498871</v>
      </c>
      <c r="AC186" s="47" t="e">
        <f>#N/A</f>
        <v>#N/A</v>
      </c>
      <c r="AD186" s="52"/>
      <c r="AE186" s="48"/>
      <c r="AF186" s="50"/>
      <c r="AG186" s="18"/>
      <c r="AH186" s="18"/>
      <c r="AI186" s="18"/>
      <c r="AJ186" s="18"/>
      <c r="AK186" s="18"/>
      <c r="AL186" s="18"/>
      <c r="AM186" s="18"/>
      <c r="AN186" s="18"/>
      <c r="AO186" s="5"/>
      <c r="AP186" s="5"/>
      <c r="AQ186" s="8" t="e">
        <f>#N/A</f>
        <v>#N/A</v>
      </c>
      <c r="AR186" s="8" t="e">
        <f>#N/A</f>
        <v>#N/A</v>
      </c>
      <c r="AS186" s="60" t="e">
        <f>#N/A</f>
        <v>#N/A</v>
      </c>
      <c r="AT186" s="60" t="e">
        <f>#N/A</f>
        <v>#N/A</v>
      </c>
      <c r="AU186" s="60" t="e">
        <f>#N/A</f>
        <v>#N/A</v>
      </c>
    </row>
    <row r="187" spans="1:47" x14ac:dyDescent="0.2">
      <c r="A187" s="43">
        <v>0.01</v>
      </c>
      <c r="B187" s="43">
        <v>2.2506304476208605E-3</v>
      </c>
      <c r="C187" s="43">
        <v>0</v>
      </c>
      <c r="D187" s="7" t="e">
        <f>#N/A</f>
        <v>#N/A</v>
      </c>
      <c r="E187" s="7" t="e">
        <f>#N/A</f>
        <v>#N/A</v>
      </c>
      <c r="F187" s="47" t="e">
        <f>#N/A</f>
        <v>#N/A</v>
      </c>
      <c r="G187" s="37" t="e">
        <f>#N/A</f>
        <v>#N/A</v>
      </c>
      <c r="H187" s="47" t="e">
        <f>#N/A</f>
        <v>#N/A</v>
      </c>
      <c r="I187" s="4"/>
      <c r="J187" s="4"/>
      <c r="K187" s="4"/>
      <c r="L187" s="4"/>
      <c r="M187" s="4"/>
      <c r="N187" s="49">
        <v>5.0650000000000004</v>
      </c>
      <c r="O187" s="51">
        <v>5.2492977284550024</v>
      </c>
      <c r="P187" s="51">
        <v>0.10870227154499738</v>
      </c>
      <c r="Q187" s="5"/>
      <c r="R187" s="51">
        <v>3.359</v>
      </c>
      <c r="S187" s="2">
        <v>1.4550000000000001</v>
      </c>
      <c r="T187" s="52"/>
      <c r="U187" s="48" t="e">
        <f>#N/A</f>
        <v>#N/A</v>
      </c>
      <c r="V187" s="50" t="e">
        <f>#N/A</f>
        <v>#N/A</v>
      </c>
      <c r="W187" s="5"/>
      <c r="X187" s="5"/>
      <c r="Y187" s="5"/>
      <c r="Z187" s="5"/>
      <c r="AA187" s="5"/>
      <c r="AB187" s="49">
        <v>2.22553605498871</v>
      </c>
      <c r="AC187" s="47" t="e">
        <f>#N/A</f>
        <v>#N/A</v>
      </c>
      <c r="AD187" s="52"/>
      <c r="AE187" s="48"/>
      <c r="AF187" s="50"/>
      <c r="AG187" s="18"/>
      <c r="AH187" s="18"/>
      <c r="AI187" s="18"/>
      <c r="AJ187" s="18"/>
      <c r="AK187" s="18"/>
      <c r="AL187" s="18"/>
      <c r="AM187" s="18"/>
      <c r="AN187" s="18"/>
      <c r="AO187" s="5"/>
      <c r="AP187" s="5"/>
      <c r="AQ187" s="8" t="e">
        <f>#N/A</f>
        <v>#N/A</v>
      </c>
      <c r="AR187" s="8" t="e">
        <f>#N/A</f>
        <v>#N/A</v>
      </c>
      <c r="AS187" s="60" t="e">
        <f>#N/A</f>
        <v>#N/A</v>
      </c>
      <c r="AT187" s="60" t="e">
        <f>#N/A</f>
        <v>#N/A</v>
      </c>
      <c r="AU187" s="60" t="e">
        <f>#N/A</f>
        <v>#N/A</v>
      </c>
    </row>
    <row r="188" spans="1:47" x14ac:dyDescent="0.2">
      <c r="A188" s="43">
        <v>0.01</v>
      </c>
      <c r="B188" s="43">
        <v>2.2506304476208605E-3</v>
      </c>
      <c r="C188" s="43">
        <v>0</v>
      </c>
      <c r="D188" s="7" t="e">
        <f>#N/A</f>
        <v>#N/A</v>
      </c>
      <c r="E188" s="7" t="e">
        <f>#N/A</f>
        <v>#N/A</v>
      </c>
      <c r="F188" s="47" t="e">
        <f>#N/A</f>
        <v>#N/A</v>
      </c>
      <c r="G188" s="37" t="e">
        <f>#N/A</f>
        <v>#N/A</v>
      </c>
      <c r="H188" s="47" t="e">
        <f>#N/A</f>
        <v>#N/A</v>
      </c>
      <c r="I188" s="4"/>
      <c r="J188" s="4"/>
      <c r="K188" s="4"/>
      <c r="L188" s="4"/>
      <c r="M188" s="4"/>
      <c r="N188" s="49">
        <v>5.0650000000000004</v>
      </c>
      <c r="O188" s="51">
        <v>5.2492977284550024</v>
      </c>
      <c r="P188" s="51">
        <v>0.10870227154499738</v>
      </c>
      <c r="Q188" s="5"/>
      <c r="R188" s="51">
        <v>3.359</v>
      </c>
      <c r="S188" s="2">
        <v>1.4550000000000001</v>
      </c>
      <c r="T188" s="52"/>
      <c r="U188" s="48" t="e">
        <f>#N/A</f>
        <v>#N/A</v>
      </c>
      <c r="V188" s="50" t="e">
        <f>#N/A</f>
        <v>#N/A</v>
      </c>
      <c r="W188" s="5"/>
      <c r="X188" s="5"/>
      <c r="Y188" s="5"/>
      <c r="Z188" s="5"/>
      <c r="AA188" s="5"/>
      <c r="AB188" s="49">
        <v>2.22553605498871</v>
      </c>
      <c r="AC188" s="47" t="e">
        <f>#N/A</f>
        <v>#N/A</v>
      </c>
      <c r="AD188" s="52"/>
      <c r="AE188" s="48"/>
      <c r="AF188" s="50"/>
      <c r="AG188" s="18"/>
      <c r="AH188" s="18"/>
      <c r="AI188" s="18"/>
      <c r="AJ188" s="18"/>
      <c r="AK188" s="18"/>
      <c r="AL188" s="18"/>
      <c r="AM188" s="18"/>
      <c r="AN188" s="18"/>
      <c r="AO188" s="5"/>
      <c r="AP188" s="5"/>
      <c r="AQ188" s="8" t="e">
        <f>#N/A</f>
        <v>#N/A</v>
      </c>
      <c r="AR188" s="8" t="e">
        <f>#N/A</f>
        <v>#N/A</v>
      </c>
      <c r="AS188" s="60" t="e">
        <f>#N/A</f>
        <v>#N/A</v>
      </c>
      <c r="AT188" s="60" t="e">
        <f>#N/A</f>
        <v>#N/A</v>
      </c>
      <c r="AU188" s="60" t="e">
        <f>#N/A</f>
        <v>#N/A</v>
      </c>
    </row>
    <row r="189" spans="1:47" x14ac:dyDescent="0.2">
      <c r="A189" s="43">
        <v>0.01</v>
      </c>
      <c r="B189" s="43">
        <v>2.2506304476208605E-3</v>
      </c>
      <c r="C189" s="43">
        <v>0</v>
      </c>
      <c r="D189" s="7" t="e">
        <f>#N/A</f>
        <v>#N/A</v>
      </c>
      <c r="E189" s="7" t="e">
        <f>#N/A</f>
        <v>#N/A</v>
      </c>
      <c r="F189" s="47" t="e">
        <f>#N/A</f>
        <v>#N/A</v>
      </c>
      <c r="G189" s="37" t="e">
        <f>#N/A</f>
        <v>#N/A</v>
      </c>
      <c r="H189" s="47" t="e">
        <f>#N/A</f>
        <v>#N/A</v>
      </c>
      <c r="I189" s="4"/>
      <c r="J189" s="4"/>
      <c r="K189" s="4"/>
      <c r="L189" s="4"/>
      <c r="M189" s="4"/>
      <c r="N189" s="49">
        <v>5.0650000000000004</v>
      </c>
      <c r="O189" s="51">
        <v>5.2492977284550024</v>
      </c>
      <c r="P189" s="51">
        <v>0.10870227154499738</v>
      </c>
      <c r="Q189" s="5"/>
      <c r="R189" s="51">
        <v>3.359</v>
      </c>
      <c r="S189" s="2">
        <v>1.4550000000000001</v>
      </c>
      <c r="T189" s="52"/>
      <c r="U189" s="48" t="e">
        <f>#N/A</f>
        <v>#N/A</v>
      </c>
      <c r="V189" s="50" t="e">
        <f>#N/A</f>
        <v>#N/A</v>
      </c>
      <c r="W189" s="5"/>
      <c r="X189" s="5"/>
      <c r="Y189" s="5"/>
      <c r="Z189" s="5"/>
      <c r="AA189" s="5"/>
      <c r="AB189" s="49">
        <v>2.22553605498871</v>
      </c>
      <c r="AC189" s="47" t="e">
        <f>#N/A</f>
        <v>#N/A</v>
      </c>
      <c r="AD189" s="52"/>
      <c r="AE189" s="48"/>
      <c r="AF189" s="50"/>
      <c r="AG189" s="18"/>
      <c r="AH189" s="18"/>
      <c r="AI189" s="18"/>
      <c r="AJ189" s="18"/>
      <c r="AK189" s="18"/>
      <c r="AL189" s="18"/>
      <c r="AM189" s="18"/>
      <c r="AN189" s="18"/>
      <c r="AO189" s="5"/>
      <c r="AP189" s="5"/>
      <c r="AQ189" s="8" t="e">
        <f>#N/A</f>
        <v>#N/A</v>
      </c>
      <c r="AR189" s="8" t="e">
        <f>#N/A</f>
        <v>#N/A</v>
      </c>
      <c r="AS189" s="60" t="e">
        <f>#N/A</f>
        <v>#N/A</v>
      </c>
      <c r="AT189" s="60" t="e">
        <f>#N/A</f>
        <v>#N/A</v>
      </c>
      <c r="AU189" s="60" t="e">
        <f>#N/A</f>
        <v>#N/A</v>
      </c>
    </row>
    <row r="190" spans="1:47" x14ac:dyDescent="0.2">
      <c r="A190" s="43">
        <v>0.01</v>
      </c>
      <c r="B190" s="43">
        <v>2.2506304476208605E-3</v>
      </c>
      <c r="C190" s="43">
        <v>0</v>
      </c>
      <c r="D190" s="7" t="e">
        <f>#N/A</f>
        <v>#N/A</v>
      </c>
      <c r="E190" s="7" t="e">
        <f>#N/A</f>
        <v>#N/A</v>
      </c>
      <c r="F190" s="47" t="e">
        <f>#N/A</f>
        <v>#N/A</v>
      </c>
      <c r="G190" s="37" t="e">
        <f>#N/A</f>
        <v>#N/A</v>
      </c>
      <c r="H190" s="47" t="e">
        <f>#N/A</f>
        <v>#N/A</v>
      </c>
      <c r="I190" s="4"/>
      <c r="J190" s="4"/>
      <c r="K190" s="4"/>
      <c r="L190" s="4"/>
      <c r="M190" s="4"/>
      <c r="N190" s="49">
        <v>5.0650000000000004</v>
      </c>
      <c r="O190" s="51">
        <v>5.2492977284550024</v>
      </c>
      <c r="P190" s="51">
        <v>0.10870227154499738</v>
      </c>
      <c r="Q190" s="5"/>
      <c r="R190" s="51">
        <v>3.359</v>
      </c>
      <c r="S190" s="2">
        <v>1.4550000000000001</v>
      </c>
      <c r="T190" s="52"/>
      <c r="U190" s="48" t="e">
        <f>#N/A</f>
        <v>#N/A</v>
      </c>
      <c r="V190" s="50" t="e">
        <f>#N/A</f>
        <v>#N/A</v>
      </c>
      <c r="W190" s="5"/>
      <c r="X190" s="5"/>
      <c r="Y190" s="5"/>
      <c r="Z190" s="5"/>
      <c r="AA190" s="5"/>
      <c r="AB190" s="49">
        <v>2.22553605498871</v>
      </c>
      <c r="AC190" s="47" t="e">
        <f>#N/A</f>
        <v>#N/A</v>
      </c>
      <c r="AD190" s="52"/>
      <c r="AE190" s="48"/>
      <c r="AF190" s="50"/>
      <c r="AG190" s="18"/>
      <c r="AH190" s="18"/>
      <c r="AI190" s="18"/>
      <c r="AJ190" s="18"/>
      <c r="AK190" s="18"/>
      <c r="AL190" s="18"/>
      <c r="AM190" s="18"/>
      <c r="AN190" s="18"/>
      <c r="AO190" s="5"/>
      <c r="AP190" s="5"/>
      <c r="AQ190" s="8" t="e">
        <f>#N/A</f>
        <v>#N/A</v>
      </c>
      <c r="AR190" s="8" t="e">
        <f>#N/A</f>
        <v>#N/A</v>
      </c>
      <c r="AS190" s="60" t="e">
        <f>#N/A</f>
        <v>#N/A</v>
      </c>
      <c r="AT190" s="60" t="e">
        <f>#N/A</f>
        <v>#N/A</v>
      </c>
      <c r="AU190" s="60" t="e">
        <f>#N/A</f>
        <v>#N/A</v>
      </c>
    </row>
    <row r="191" spans="1:47" x14ac:dyDescent="0.2">
      <c r="A191" s="43">
        <v>0.01</v>
      </c>
      <c r="B191" s="43">
        <v>2.2506304476208605E-3</v>
      </c>
      <c r="C191" s="43">
        <v>0</v>
      </c>
      <c r="D191" s="7" t="e">
        <f>#N/A</f>
        <v>#N/A</v>
      </c>
      <c r="E191" s="7" t="e">
        <f>#N/A</f>
        <v>#N/A</v>
      </c>
      <c r="F191" s="47" t="e">
        <f>#N/A</f>
        <v>#N/A</v>
      </c>
      <c r="G191" s="37" t="e">
        <f>#N/A</f>
        <v>#N/A</v>
      </c>
      <c r="H191" s="47" t="e">
        <f>#N/A</f>
        <v>#N/A</v>
      </c>
      <c r="I191" s="4"/>
      <c r="J191" s="4"/>
      <c r="K191" s="4"/>
      <c r="L191" s="4"/>
      <c r="M191" s="4"/>
      <c r="N191" s="49">
        <v>5.0650000000000004</v>
      </c>
      <c r="O191" s="51">
        <v>5.2492977284550024</v>
      </c>
      <c r="P191" s="51">
        <v>0.10870227154499738</v>
      </c>
      <c r="Q191" s="5"/>
      <c r="R191" s="51">
        <v>3.359</v>
      </c>
      <c r="S191" s="2">
        <v>1.4550000000000001</v>
      </c>
      <c r="T191" s="52"/>
      <c r="U191" s="48" t="e">
        <f>#N/A</f>
        <v>#N/A</v>
      </c>
      <c r="V191" s="50" t="e">
        <f>#N/A</f>
        <v>#N/A</v>
      </c>
      <c r="W191" s="5"/>
      <c r="X191" s="5"/>
      <c r="Y191" s="5"/>
      <c r="Z191" s="5"/>
      <c r="AA191" s="5"/>
      <c r="AB191" s="49">
        <v>2.22553605498871</v>
      </c>
      <c r="AC191" s="47" t="e">
        <f>#N/A</f>
        <v>#N/A</v>
      </c>
      <c r="AD191" s="52"/>
      <c r="AE191" s="48"/>
      <c r="AF191" s="50"/>
      <c r="AG191" s="18"/>
      <c r="AH191" s="18"/>
      <c r="AI191" s="18"/>
      <c r="AJ191" s="18"/>
      <c r="AK191" s="18"/>
      <c r="AL191" s="18"/>
      <c r="AM191" s="18"/>
      <c r="AN191" s="18"/>
      <c r="AO191" s="5"/>
      <c r="AP191" s="5"/>
      <c r="AQ191" s="8" t="e">
        <f>#N/A</f>
        <v>#N/A</v>
      </c>
      <c r="AR191" s="8" t="e">
        <f>#N/A</f>
        <v>#N/A</v>
      </c>
      <c r="AS191" s="60" t="e">
        <f>#N/A</f>
        <v>#N/A</v>
      </c>
      <c r="AT191" s="60" t="e">
        <f>#N/A</f>
        <v>#N/A</v>
      </c>
      <c r="AU191" s="60" t="e">
        <f>#N/A</f>
        <v>#N/A</v>
      </c>
    </row>
    <row r="192" spans="1:47" x14ac:dyDescent="0.2">
      <c r="A192" s="43">
        <v>0.01</v>
      </c>
      <c r="B192" s="43">
        <v>2.2506304476208605E-3</v>
      </c>
      <c r="C192" s="43">
        <v>0</v>
      </c>
      <c r="D192" s="7" t="e">
        <f>#N/A</f>
        <v>#N/A</v>
      </c>
      <c r="E192" s="7" t="e">
        <f>#N/A</f>
        <v>#N/A</v>
      </c>
      <c r="F192" s="47" t="e">
        <f>#N/A</f>
        <v>#N/A</v>
      </c>
      <c r="G192" s="37" t="e">
        <f>#N/A</f>
        <v>#N/A</v>
      </c>
      <c r="H192" s="47" t="e">
        <f>#N/A</f>
        <v>#N/A</v>
      </c>
      <c r="I192" s="4"/>
      <c r="J192" s="4"/>
      <c r="K192" s="4"/>
      <c r="L192" s="4"/>
      <c r="M192" s="4"/>
      <c r="N192" s="49">
        <v>5.0650000000000004</v>
      </c>
      <c r="O192" s="51">
        <v>5.2492977284550024</v>
      </c>
      <c r="P192" s="51">
        <v>0.10870227154499738</v>
      </c>
      <c r="Q192" s="5"/>
      <c r="R192" s="51">
        <v>3.359</v>
      </c>
      <c r="S192" s="2">
        <v>1.4550000000000001</v>
      </c>
      <c r="T192" s="52"/>
      <c r="U192" s="48" t="e">
        <f>#N/A</f>
        <v>#N/A</v>
      </c>
      <c r="V192" s="50" t="e">
        <f>#N/A</f>
        <v>#N/A</v>
      </c>
      <c r="W192" s="5"/>
      <c r="X192" s="5"/>
      <c r="Y192" s="5"/>
      <c r="Z192" s="5"/>
      <c r="AA192" s="5"/>
      <c r="AB192" s="49">
        <v>2.22553605498871</v>
      </c>
      <c r="AC192" s="47" t="e">
        <f>#N/A</f>
        <v>#N/A</v>
      </c>
      <c r="AD192" s="52"/>
      <c r="AE192" s="48"/>
      <c r="AF192" s="50"/>
      <c r="AG192" s="18"/>
      <c r="AH192" s="18"/>
      <c r="AI192" s="18"/>
      <c r="AJ192" s="18"/>
      <c r="AK192" s="18"/>
      <c r="AL192" s="18"/>
      <c r="AM192" s="18"/>
      <c r="AN192" s="18"/>
      <c r="AO192" s="5"/>
      <c r="AP192" s="5"/>
      <c r="AQ192" s="8" t="e">
        <f>#N/A</f>
        <v>#N/A</v>
      </c>
      <c r="AR192" s="8" t="e">
        <f>#N/A</f>
        <v>#N/A</v>
      </c>
      <c r="AS192" s="60" t="e">
        <f>#N/A</f>
        <v>#N/A</v>
      </c>
      <c r="AT192" s="60" t="e">
        <f>#N/A</f>
        <v>#N/A</v>
      </c>
      <c r="AU192" s="60" t="e">
        <f>#N/A</f>
        <v>#N/A</v>
      </c>
    </row>
    <row r="193" spans="1:47" x14ac:dyDescent="0.2">
      <c r="A193" s="43">
        <v>0.01</v>
      </c>
      <c r="B193" s="43">
        <v>2.2506304476208605E-3</v>
      </c>
      <c r="C193" s="43">
        <v>0</v>
      </c>
      <c r="D193" s="7" t="e">
        <f>#N/A</f>
        <v>#N/A</v>
      </c>
      <c r="E193" s="7" t="e">
        <f>#N/A</f>
        <v>#N/A</v>
      </c>
      <c r="F193" s="47" t="e">
        <f>#N/A</f>
        <v>#N/A</v>
      </c>
      <c r="G193" s="37" t="e">
        <f>#N/A</f>
        <v>#N/A</v>
      </c>
      <c r="H193" s="47" t="e">
        <f>#N/A</f>
        <v>#N/A</v>
      </c>
      <c r="I193" s="4"/>
      <c r="J193" s="4"/>
      <c r="K193" s="4"/>
      <c r="L193" s="4"/>
      <c r="M193" s="4"/>
      <c r="N193" s="49">
        <v>5.0650000000000004</v>
      </c>
      <c r="O193" s="51">
        <v>5.2492977284550024</v>
      </c>
      <c r="P193" s="51">
        <v>0.10870227154499738</v>
      </c>
      <c r="Q193" s="5"/>
      <c r="R193" s="51">
        <v>3.359</v>
      </c>
      <c r="S193" s="2">
        <v>1.4550000000000001</v>
      </c>
      <c r="T193" s="52"/>
      <c r="U193" s="48" t="e">
        <f>#N/A</f>
        <v>#N/A</v>
      </c>
      <c r="V193" s="50" t="e">
        <f>#N/A</f>
        <v>#N/A</v>
      </c>
      <c r="W193" s="5"/>
      <c r="X193" s="5"/>
      <c r="Y193" s="5"/>
      <c r="Z193" s="5"/>
      <c r="AA193" s="5"/>
      <c r="AB193" s="49">
        <v>2.22553605498871</v>
      </c>
      <c r="AC193" s="47" t="e">
        <f>#N/A</f>
        <v>#N/A</v>
      </c>
      <c r="AD193" s="52"/>
      <c r="AE193" s="48"/>
      <c r="AF193" s="50"/>
      <c r="AG193" s="18"/>
      <c r="AH193" s="18"/>
      <c r="AI193" s="18"/>
      <c r="AJ193" s="18"/>
      <c r="AK193" s="18"/>
      <c r="AL193" s="18"/>
      <c r="AM193" s="18"/>
      <c r="AN193" s="18"/>
      <c r="AO193" s="5"/>
      <c r="AP193" s="5"/>
      <c r="AQ193" s="8" t="e">
        <f>#N/A</f>
        <v>#N/A</v>
      </c>
      <c r="AR193" s="8" t="e">
        <f>#N/A</f>
        <v>#N/A</v>
      </c>
      <c r="AS193" s="60" t="e">
        <f>#N/A</f>
        <v>#N/A</v>
      </c>
      <c r="AT193" s="60" t="e">
        <f>#N/A</f>
        <v>#N/A</v>
      </c>
      <c r="AU193" s="60" t="e">
        <f>#N/A</f>
        <v>#N/A</v>
      </c>
    </row>
    <row r="194" spans="1:47" x14ac:dyDescent="0.2">
      <c r="A194" s="43">
        <v>0.01</v>
      </c>
      <c r="B194" s="43">
        <v>2.2506304476208605E-3</v>
      </c>
      <c r="C194" s="43">
        <v>0</v>
      </c>
      <c r="D194" s="7" t="e">
        <f>#N/A</f>
        <v>#N/A</v>
      </c>
      <c r="E194" s="7" t="e">
        <f>#N/A</f>
        <v>#N/A</v>
      </c>
      <c r="F194" s="47" t="e">
        <f>#N/A</f>
        <v>#N/A</v>
      </c>
      <c r="G194" s="37" t="e">
        <f>#N/A</f>
        <v>#N/A</v>
      </c>
      <c r="H194" s="47" t="e">
        <f>#N/A</f>
        <v>#N/A</v>
      </c>
      <c r="I194" s="4"/>
      <c r="J194" s="4"/>
      <c r="K194" s="4"/>
      <c r="L194" s="4"/>
      <c r="M194" s="4"/>
      <c r="N194" s="49">
        <v>5.0650000000000004</v>
      </c>
      <c r="O194" s="51">
        <v>5.2492977284550024</v>
      </c>
      <c r="P194" s="51">
        <v>0.10870227154499738</v>
      </c>
      <c r="Q194" s="5"/>
      <c r="R194" s="51">
        <v>3.359</v>
      </c>
      <c r="S194" s="2">
        <v>1.4550000000000001</v>
      </c>
      <c r="T194" s="52"/>
      <c r="U194" s="48" t="e">
        <f>#N/A</f>
        <v>#N/A</v>
      </c>
      <c r="V194" s="50" t="e">
        <f>#N/A</f>
        <v>#N/A</v>
      </c>
      <c r="W194" s="5"/>
      <c r="X194" s="5"/>
      <c r="Y194" s="5"/>
      <c r="Z194" s="5"/>
      <c r="AA194" s="5"/>
      <c r="AB194" s="49">
        <v>2.22553605498871</v>
      </c>
      <c r="AC194" s="47" t="e">
        <f>#N/A</f>
        <v>#N/A</v>
      </c>
      <c r="AD194" s="52"/>
      <c r="AE194" s="48"/>
      <c r="AF194" s="50"/>
      <c r="AG194" s="18"/>
      <c r="AH194" s="18"/>
      <c r="AI194" s="18"/>
      <c r="AJ194" s="18"/>
      <c r="AK194" s="18"/>
      <c r="AL194" s="18"/>
      <c r="AM194" s="18"/>
      <c r="AN194" s="18"/>
      <c r="AO194" s="5"/>
      <c r="AP194" s="5"/>
      <c r="AQ194" s="8" t="e">
        <f>#N/A</f>
        <v>#N/A</v>
      </c>
      <c r="AR194" s="8" t="e">
        <f>#N/A</f>
        <v>#N/A</v>
      </c>
      <c r="AS194" s="60" t="e">
        <f>#N/A</f>
        <v>#N/A</v>
      </c>
      <c r="AT194" s="60" t="e">
        <f>#N/A</f>
        <v>#N/A</v>
      </c>
      <c r="AU194" s="60" t="e">
        <f>#N/A</f>
        <v>#N/A</v>
      </c>
    </row>
    <row r="195" spans="1:47" x14ac:dyDescent="0.2">
      <c r="A195" s="43">
        <v>0.01</v>
      </c>
      <c r="B195" s="43">
        <v>2.2506304476208605E-3</v>
      </c>
      <c r="C195" s="43">
        <v>0</v>
      </c>
      <c r="D195" s="7" t="e">
        <f>#N/A</f>
        <v>#N/A</v>
      </c>
      <c r="E195" s="7" t="e">
        <f>#N/A</f>
        <v>#N/A</v>
      </c>
      <c r="F195" s="47" t="e">
        <f>#N/A</f>
        <v>#N/A</v>
      </c>
      <c r="G195" s="37" t="e">
        <f>#N/A</f>
        <v>#N/A</v>
      </c>
      <c r="H195" s="47" t="e">
        <f>#N/A</f>
        <v>#N/A</v>
      </c>
      <c r="I195" s="4"/>
      <c r="J195" s="4"/>
      <c r="K195" s="4"/>
      <c r="L195" s="4"/>
      <c r="M195" s="4"/>
      <c r="N195" s="49">
        <v>5.0650000000000004</v>
      </c>
      <c r="O195" s="51">
        <v>5.2492977284550024</v>
      </c>
      <c r="P195" s="51">
        <v>0.10870227154499738</v>
      </c>
      <c r="Q195" s="5"/>
      <c r="R195" s="51">
        <v>3.359</v>
      </c>
      <c r="S195" s="2">
        <v>1.4550000000000001</v>
      </c>
      <c r="T195" s="52"/>
      <c r="U195" s="48" t="e">
        <f>#N/A</f>
        <v>#N/A</v>
      </c>
      <c r="V195" s="50" t="e">
        <f>#N/A</f>
        <v>#N/A</v>
      </c>
      <c r="W195" s="5"/>
      <c r="X195" s="5"/>
      <c r="Y195" s="5"/>
      <c r="Z195" s="5"/>
      <c r="AA195" s="5"/>
      <c r="AB195" s="49">
        <v>2.22553605498871</v>
      </c>
      <c r="AC195" s="47" t="e">
        <f>#N/A</f>
        <v>#N/A</v>
      </c>
      <c r="AD195" s="52"/>
      <c r="AE195" s="48"/>
      <c r="AF195" s="50"/>
      <c r="AG195" s="18"/>
      <c r="AH195" s="18"/>
      <c r="AI195" s="18"/>
      <c r="AJ195" s="18"/>
      <c r="AK195" s="18"/>
      <c r="AL195" s="18"/>
      <c r="AM195" s="18"/>
      <c r="AN195" s="18"/>
      <c r="AO195" s="5"/>
      <c r="AP195" s="5"/>
      <c r="AQ195" s="8" t="e">
        <f>#N/A</f>
        <v>#N/A</v>
      </c>
      <c r="AR195" s="8" t="e">
        <f>#N/A</f>
        <v>#N/A</v>
      </c>
      <c r="AS195" s="60" t="e">
        <f>#N/A</f>
        <v>#N/A</v>
      </c>
      <c r="AT195" s="60" t="e">
        <f>#N/A</f>
        <v>#N/A</v>
      </c>
      <c r="AU195" s="60" t="e">
        <f>#N/A</f>
        <v>#N/A</v>
      </c>
    </row>
    <row r="196" spans="1:47" x14ac:dyDescent="0.2">
      <c r="A196" s="43">
        <v>0.01</v>
      </c>
      <c r="B196" s="43">
        <v>2.2506304476208605E-3</v>
      </c>
      <c r="C196" s="43">
        <v>0</v>
      </c>
      <c r="D196" s="7" t="e">
        <f>#N/A</f>
        <v>#N/A</v>
      </c>
      <c r="E196" s="7" t="e">
        <f>#N/A</f>
        <v>#N/A</v>
      </c>
      <c r="F196" s="47" t="e">
        <f>#N/A</f>
        <v>#N/A</v>
      </c>
      <c r="G196" s="37" t="e">
        <f>#N/A</f>
        <v>#N/A</v>
      </c>
      <c r="H196" s="47" t="e">
        <f>#N/A</f>
        <v>#N/A</v>
      </c>
      <c r="I196" s="4"/>
      <c r="J196" s="4"/>
      <c r="K196" s="4"/>
      <c r="L196" s="4"/>
      <c r="M196" s="4"/>
      <c r="N196" s="49">
        <v>5.0650000000000004</v>
      </c>
      <c r="O196" s="51">
        <v>5.2492977284550024</v>
      </c>
      <c r="P196" s="51">
        <v>0.10870227154499738</v>
      </c>
      <c r="Q196" s="5"/>
      <c r="R196" s="51">
        <v>3.359</v>
      </c>
      <c r="S196" s="2">
        <v>1.4550000000000001</v>
      </c>
      <c r="T196" s="52"/>
      <c r="U196" s="48" t="e">
        <f>#N/A</f>
        <v>#N/A</v>
      </c>
      <c r="V196" s="50" t="e">
        <f>#N/A</f>
        <v>#N/A</v>
      </c>
      <c r="W196" s="5"/>
      <c r="X196" s="5"/>
      <c r="Y196" s="5"/>
      <c r="Z196" s="5"/>
      <c r="AA196" s="5"/>
      <c r="AB196" s="49">
        <v>2.22553605498871</v>
      </c>
      <c r="AC196" s="47" t="e">
        <f>#N/A</f>
        <v>#N/A</v>
      </c>
      <c r="AD196" s="52"/>
      <c r="AE196" s="48"/>
      <c r="AF196" s="50"/>
      <c r="AG196" s="18"/>
      <c r="AH196" s="18"/>
      <c r="AI196" s="18"/>
      <c r="AJ196" s="18"/>
      <c r="AK196" s="18"/>
      <c r="AL196" s="18"/>
      <c r="AM196" s="18"/>
      <c r="AN196" s="18"/>
      <c r="AO196" s="5"/>
      <c r="AP196" s="5"/>
      <c r="AQ196" s="8" t="e">
        <f>#N/A</f>
        <v>#N/A</v>
      </c>
      <c r="AR196" s="8" t="e">
        <f>#N/A</f>
        <v>#N/A</v>
      </c>
      <c r="AS196" s="60" t="e">
        <f>#N/A</f>
        <v>#N/A</v>
      </c>
      <c r="AT196" s="60" t="e">
        <f>#N/A</f>
        <v>#N/A</v>
      </c>
      <c r="AU196" s="60" t="e">
        <f>#N/A</f>
        <v>#N/A</v>
      </c>
    </row>
    <row r="197" spans="1:47" x14ac:dyDescent="0.2">
      <c r="A197" s="43">
        <v>0.01</v>
      </c>
      <c r="B197" s="43">
        <v>2.1177963815348644E-3</v>
      </c>
      <c r="C197" s="43">
        <v>0</v>
      </c>
      <c r="D197" s="7" t="e">
        <f>#N/A</f>
        <v>#N/A</v>
      </c>
      <c r="E197" s="7" t="e">
        <f>#N/A</f>
        <v>#N/A</v>
      </c>
      <c r="F197" s="47" t="e">
        <f>#N/A</f>
        <v>#N/A</v>
      </c>
      <c r="G197" s="37" t="e">
        <f>#N/A</f>
        <v>#N/A</v>
      </c>
      <c r="H197" s="47" t="e">
        <f>#N/A</f>
        <v>#N/A</v>
      </c>
      <c r="I197" s="4"/>
      <c r="J197" s="4"/>
      <c r="K197" s="4"/>
      <c r="L197" s="4"/>
      <c r="M197" s="4"/>
      <c r="N197" s="49">
        <v>5.0650000000000004</v>
      </c>
      <c r="O197" s="51">
        <v>5.2492977284550024</v>
      </c>
      <c r="P197" s="51">
        <v>0.10870227154499738</v>
      </c>
      <c r="Q197" s="5"/>
      <c r="R197" s="51">
        <v>3.359</v>
      </c>
      <c r="S197" s="2">
        <v>1.4550000000000001</v>
      </c>
      <c r="T197" s="52"/>
      <c r="U197" s="48" t="e">
        <f>#N/A</f>
        <v>#N/A</v>
      </c>
      <c r="V197" s="50" t="e">
        <f>#N/A</f>
        <v>#N/A</v>
      </c>
      <c r="W197" s="5"/>
      <c r="X197" s="5"/>
      <c r="Y197" s="5"/>
      <c r="Z197" s="5"/>
      <c r="AA197" s="5"/>
      <c r="AB197" s="49">
        <v>2.22553605498871</v>
      </c>
      <c r="AC197" s="47" t="e">
        <f>#N/A</f>
        <v>#N/A</v>
      </c>
      <c r="AD197" s="52"/>
      <c r="AE197" s="48"/>
      <c r="AF197" s="50"/>
      <c r="AG197" s="18"/>
      <c r="AH197" s="18"/>
      <c r="AI197" s="18"/>
      <c r="AJ197" s="18"/>
      <c r="AK197" s="18"/>
      <c r="AL197" s="18"/>
      <c r="AM197" s="18"/>
      <c r="AN197" s="18"/>
      <c r="AO197" s="5"/>
      <c r="AP197" s="5"/>
      <c r="AQ197" s="8" t="e">
        <f>#N/A</f>
        <v>#N/A</v>
      </c>
      <c r="AR197" s="8" t="e">
        <f>#N/A</f>
        <v>#N/A</v>
      </c>
      <c r="AS197" s="60" t="e">
        <f>#N/A</f>
        <v>#N/A</v>
      </c>
      <c r="AT197" s="60" t="e">
        <f>#N/A</f>
        <v>#N/A</v>
      </c>
      <c r="AU197" s="60" t="e">
        <f>#N/A</f>
        <v>#N/A</v>
      </c>
    </row>
    <row r="198" spans="1:47" x14ac:dyDescent="0.2">
      <c r="A198" s="43">
        <v>0.01</v>
      </c>
      <c r="B198" s="43">
        <v>2.1177963815348644E-3</v>
      </c>
      <c r="C198" s="43">
        <v>0</v>
      </c>
      <c r="D198" s="7" t="e">
        <f>#N/A</f>
        <v>#N/A</v>
      </c>
      <c r="E198" s="7" t="e">
        <f>#N/A</f>
        <v>#N/A</v>
      </c>
      <c r="F198" s="47" t="e">
        <f>#N/A</f>
        <v>#N/A</v>
      </c>
      <c r="G198" s="37" t="e">
        <f>#N/A</f>
        <v>#N/A</v>
      </c>
      <c r="H198" s="47" t="e">
        <f>#N/A</f>
        <v>#N/A</v>
      </c>
      <c r="I198" s="4"/>
      <c r="J198" s="4"/>
      <c r="K198" s="4"/>
      <c r="L198" s="4"/>
      <c r="M198" s="4"/>
      <c r="N198" s="49">
        <v>5.0650000000000004</v>
      </c>
      <c r="O198" s="51">
        <v>5.2492977284550024</v>
      </c>
      <c r="P198" s="51">
        <v>0.10870227154499738</v>
      </c>
      <c r="Q198" s="5"/>
      <c r="R198" s="51">
        <v>3.359</v>
      </c>
      <c r="S198" s="2">
        <v>1.4550000000000001</v>
      </c>
      <c r="T198" s="52"/>
      <c r="U198" s="48" t="e">
        <f>#N/A</f>
        <v>#N/A</v>
      </c>
      <c r="V198" s="50" t="e">
        <f>#N/A</f>
        <v>#N/A</v>
      </c>
      <c r="W198" s="5"/>
      <c r="X198" s="5"/>
      <c r="Y198" s="5"/>
      <c r="Z198" s="5"/>
      <c r="AA198" s="5"/>
      <c r="AB198" s="49">
        <v>2.22553605498871</v>
      </c>
      <c r="AC198" s="47" t="e">
        <f>#N/A</f>
        <v>#N/A</v>
      </c>
      <c r="AD198" s="52"/>
      <c r="AE198" s="48"/>
      <c r="AF198" s="50"/>
      <c r="AG198" s="18"/>
      <c r="AH198" s="18"/>
      <c r="AI198" s="18"/>
      <c r="AJ198" s="18"/>
      <c r="AK198" s="18"/>
      <c r="AL198" s="18"/>
      <c r="AM198" s="18"/>
      <c r="AN198" s="18"/>
      <c r="AO198" s="5"/>
      <c r="AP198" s="5"/>
      <c r="AQ198" s="8" t="e">
        <f>#N/A</f>
        <v>#N/A</v>
      </c>
      <c r="AR198" s="8" t="e">
        <f>#N/A</f>
        <v>#N/A</v>
      </c>
      <c r="AS198" s="60" t="e">
        <f>#N/A</f>
        <v>#N/A</v>
      </c>
      <c r="AT198" s="60" t="e">
        <f>#N/A</f>
        <v>#N/A</v>
      </c>
      <c r="AU198" s="60" t="e">
        <f>#N/A</f>
        <v>#N/A</v>
      </c>
    </row>
    <row r="199" spans="1:47" x14ac:dyDescent="0.2">
      <c r="A199" s="43">
        <v>0.01</v>
      </c>
      <c r="B199" s="43">
        <v>2.1177963815348644E-3</v>
      </c>
      <c r="C199" s="43">
        <v>0</v>
      </c>
      <c r="D199" s="7" t="e">
        <f>#N/A</f>
        <v>#N/A</v>
      </c>
      <c r="E199" s="7" t="e">
        <f>#N/A</f>
        <v>#N/A</v>
      </c>
      <c r="F199" s="47" t="e">
        <f>#N/A</f>
        <v>#N/A</v>
      </c>
      <c r="G199" s="37" t="e">
        <f>#N/A</f>
        <v>#N/A</v>
      </c>
      <c r="H199" s="47" t="e">
        <f>#N/A</f>
        <v>#N/A</v>
      </c>
      <c r="I199" s="4"/>
      <c r="J199" s="4"/>
      <c r="K199" s="4"/>
      <c r="L199" s="4"/>
      <c r="M199" s="4"/>
      <c r="N199" s="49">
        <v>5.0650000000000004</v>
      </c>
      <c r="O199" s="51">
        <v>5.2492977284550024</v>
      </c>
      <c r="P199" s="51">
        <v>0.10870227154499738</v>
      </c>
      <c r="Q199" s="5"/>
      <c r="R199" s="51">
        <v>3.359</v>
      </c>
      <c r="S199" s="2">
        <v>1.4550000000000001</v>
      </c>
      <c r="T199" s="52"/>
      <c r="U199" s="48" t="e">
        <f>#N/A</f>
        <v>#N/A</v>
      </c>
      <c r="V199" s="50" t="e">
        <f>#N/A</f>
        <v>#N/A</v>
      </c>
      <c r="W199" s="5"/>
      <c r="X199" s="5"/>
      <c r="Y199" s="5"/>
      <c r="Z199" s="5"/>
      <c r="AA199" s="5"/>
      <c r="AB199" s="49">
        <v>2.22553605498871</v>
      </c>
      <c r="AC199" s="47" t="e">
        <f>#N/A</f>
        <v>#N/A</v>
      </c>
      <c r="AD199" s="52"/>
      <c r="AE199" s="48"/>
      <c r="AF199" s="50"/>
      <c r="AG199" s="18"/>
      <c r="AH199" s="18"/>
      <c r="AI199" s="18"/>
      <c r="AJ199" s="18"/>
      <c r="AK199" s="18"/>
      <c r="AL199" s="18"/>
      <c r="AM199" s="18"/>
      <c r="AN199" s="18"/>
      <c r="AO199" s="5"/>
      <c r="AP199" s="5"/>
      <c r="AQ199" s="8" t="e">
        <f>#N/A</f>
        <v>#N/A</v>
      </c>
      <c r="AR199" s="8" t="e">
        <f>#N/A</f>
        <v>#N/A</v>
      </c>
      <c r="AS199" s="60" t="e">
        <f>#N/A</f>
        <v>#N/A</v>
      </c>
      <c r="AT199" s="60" t="e">
        <f>#N/A</f>
        <v>#N/A</v>
      </c>
      <c r="AU199" s="60" t="e">
        <f>#N/A</f>
        <v>#N/A</v>
      </c>
    </row>
    <row r="200" spans="1:47" x14ac:dyDescent="0.2">
      <c r="A200" s="43">
        <v>0.01</v>
      </c>
      <c r="B200" s="43">
        <v>2.1177963815348644E-3</v>
      </c>
      <c r="C200" s="43">
        <v>0</v>
      </c>
      <c r="D200" s="7" t="e">
        <f>#N/A</f>
        <v>#N/A</v>
      </c>
      <c r="E200" s="7" t="e">
        <f>#N/A</f>
        <v>#N/A</v>
      </c>
      <c r="F200" s="47" t="e">
        <f>#N/A</f>
        <v>#N/A</v>
      </c>
      <c r="G200" s="37" t="e">
        <f>#N/A</f>
        <v>#N/A</v>
      </c>
      <c r="H200" s="47" t="e">
        <f>#N/A</f>
        <v>#N/A</v>
      </c>
      <c r="I200" s="4"/>
      <c r="J200" s="4"/>
      <c r="K200" s="4"/>
      <c r="L200" s="4"/>
      <c r="M200" s="4"/>
      <c r="N200" s="49">
        <v>5.0650000000000004</v>
      </c>
      <c r="O200" s="51">
        <v>5.2492977284550024</v>
      </c>
      <c r="P200" s="51">
        <v>0.10870227154499738</v>
      </c>
      <c r="Q200" s="5"/>
      <c r="R200" s="51">
        <v>3.359</v>
      </c>
      <c r="S200" s="2">
        <v>1.4550000000000001</v>
      </c>
      <c r="T200" s="52"/>
      <c r="U200" s="48" t="e">
        <f>#N/A</f>
        <v>#N/A</v>
      </c>
      <c r="V200" s="50" t="e">
        <f>#N/A</f>
        <v>#N/A</v>
      </c>
      <c r="W200" s="5"/>
      <c r="X200" s="5"/>
      <c r="Y200" s="5"/>
      <c r="Z200" s="5"/>
      <c r="AA200" s="5"/>
      <c r="AB200" s="49">
        <v>2.22553605498871</v>
      </c>
      <c r="AC200" s="47" t="e">
        <f>#N/A</f>
        <v>#N/A</v>
      </c>
      <c r="AD200" s="52"/>
      <c r="AE200" s="48"/>
      <c r="AF200" s="50"/>
      <c r="AG200" s="18"/>
      <c r="AH200" s="18"/>
      <c r="AI200" s="18"/>
      <c r="AJ200" s="18"/>
      <c r="AK200" s="18"/>
      <c r="AL200" s="18"/>
      <c r="AM200" s="18"/>
      <c r="AN200" s="18"/>
      <c r="AO200" s="5"/>
      <c r="AP200" s="5"/>
      <c r="AQ200" s="8" t="e">
        <f>#N/A</f>
        <v>#N/A</v>
      </c>
      <c r="AR200" s="8" t="e">
        <f>#N/A</f>
        <v>#N/A</v>
      </c>
      <c r="AS200" s="60" t="e">
        <f>#N/A</f>
        <v>#N/A</v>
      </c>
      <c r="AT200" s="60" t="e">
        <f>#N/A</f>
        <v>#N/A</v>
      </c>
      <c r="AU200" s="60" t="e">
        <f>#N/A</f>
        <v>#N/A</v>
      </c>
    </row>
    <row r="201" spans="1:47" x14ac:dyDescent="0.2">
      <c r="A201" s="43">
        <v>0.01</v>
      </c>
      <c r="B201" s="43">
        <v>2.1177963815348644E-3</v>
      </c>
      <c r="C201" s="43">
        <v>0</v>
      </c>
      <c r="D201" s="7" t="e">
        <f>#N/A</f>
        <v>#N/A</v>
      </c>
      <c r="E201" s="7" t="e">
        <f>#N/A</f>
        <v>#N/A</v>
      </c>
      <c r="F201" s="47" t="e">
        <f>#N/A</f>
        <v>#N/A</v>
      </c>
      <c r="G201" s="37" t="e">
        <f>#N/A</f>
        <v>#N/A</v>
      </c>
      <c r="H201" s="47" t="e">
        <f>#N/A</f>
        <v>#N/A</v>
      </c>
      <c r="I201" s="4"/>
      <c r="J201" s="4"/>
      <c r="K201" s="4"/>
      <c r="L201" s="4"/>
      <c r="M201" s="4"/>
      <c r="N201" s="49">
        <v>5.0650000000000004</v>
      </c>
      <c r="O201" s="51">
        <v>5.2492977284550024</v>
      </c>
      <c r="P201" s="51">
        <v>0.10870227154499738</v>
      </c>
      <c r="Q201" s="5"/>
      <c r="R201" s="51">
        <v>3.359</v>
      </c>
      <c r="S201" s="2">
        <v>1.4550000000000001</v>
      </c>
      <c r="T201" s="52"/>
      <c r="U201" s="48" t="e">
        <f>#N/A</f>
        <v>#N/A</v>
      </c>
      <c r="V201" s="50" t="e">
        <f>#N/A</f>
        <v>#N/A</v>
      </c>
      <c r="W201" s="5"/>
      <c r="X201" s="5"/>
      <c r="Y201" s="5"/>
      <c r="Z201" s="5"/>
      <c r="AA201" s="5"/>
      <c r="AB201" s="49">
        <v>2.22553605498871</v>
      </c>
      <c r="AC201" s="47" t="e">
        <f>#N/A</f>
        <v>#N/A</v>
      </c>
      <c r="AD201" s="52"/>
      <c r="AE201" s="48"/>
      <c r="AF201" s="50"/>
      <c r="AG201" s="18"/>
      <c r="AH201" s="18"/>
      <c r="AI201" s="18"/>
      <c r="AJ201" s="18"/>
      <c r="AK201" s="18"/>
      <c r="AL201" s="18"/>
      <c r="AM201" s="18"/>
      <c r="AN201" s="18"/>
      <c r="AO201" s="5"/>
      <c r="AP201" s="5"/>
      <c r="AQ201" s="8" t="e">
        <f>#N/A</f>
        <v>#N/A</v>
      </c>
      <c r="AR201" s="8" t="e">
        <f>#N/A</f>
        <v>#N/A</v>
      </c>
      <c r="AS201" s="60" t="e">
        <f>#N/A</f>
        <v>#N/A</v>
      </c>
      <c r="AT201" s="60" t="e">
        <f>#N/A</f>
        <v>#N/A</v>
      </c>
      <c r="AU201" s="60" t="e">
        <f>#N/A</f>
        <v>#N/A</v>
      </c>
    </row>
    <row r="202" spans="1:47" x14ac:dyDescent="0.2">
      <c r="A202" s="43">
        <v>0.01</v>
      </c>
      <c r="B202" s="43">
        <v>2.1177963815348644E-3</v>
      </c>
      <c r="C202" s="43">
        <v>0</v>
      </c>
      <c r="D202" s="7" t="e">
        <f>#N/A</f>
        <v>#N/A</v>
      </c>
      <c r="E202" s="7" t="e">
        <f>#N/A</f>
        <v>#N/A</v>
      </c>
      <c r="F202" s="47" t="e">
        <f>#N/A</f>
        <v>#N/A</v>
      </c>
      <c r="G202" s="37" t="e">
        <f>#N/A</f>
        <v>#N/A</v>
      </c>
      <c r="H202" s="47" t="e">
        <f>#N/A</f>
        <v>#N/A</v>
      </c>
      <c r="I202" s="4"/>
      <c r="J202" s="4"/>
      <c r="K202" s="4"/>
      <c r="L202" s="4"/>
      <c r="M202" s="4"/>
      <c r="N202" s="49">
        <v>5.0650000000000004</v>
      </c>
      <c r="O202" s="51">
        <v>5.2492977284550024</v>
      </c>
      <c r="P202" s="51">
        <v>0.10870227154499738</v>
      </c>
      <c r="Q202" s="5"/>
      <c r="R202" s="51">
        <v>3.359</v>
      </c>
      <c r="S202" s="2">
        <v>1.4550000000000001</v>
      </c>
      <c r="T202" s="52"/>
      <c r="U202" s="48" t="e">
        <f>#N/A</f>
        <v>#N/A</v>
      </c>
      <c r="V202" s="50" t="e">
        <f>#N/A</f>
        <v>#N/A</v>
      </c>
      <c r="W202" s="5"/>
      <c r="X202" s="5"/>
      <c r="Y202" s="5"/>
      <c r="Z202" s="5"/>
      <c r="AA202" s="5"/>
      <c r="AB202" s="49">
        <v>2.22553605498871</v>
      </c>
      <c r="AC202" s="47" t="e">
        <f>#N/A</f>
        <v>#N/A</v>
      </c>
      <c r="AD202" s="52"/>
      <c r="AE202" s="48"/>
      <c r="AF202" s="50"/>
      <c r="AG202" s="18"/>
      <c r="AH202" s="18"/>
      <c r="AI202" s="18"/>
      <c r="AJ202" s="18"/>
      <c r="AK202" s="18"/>
      <c r="AL202" s="18"/>
      <c r="AM202" s="18"/>
      <c r="AN202" s="18"/>
      <c r="AO202" s="5"/>
      <c r="AP202" s="5"/>
      <c r="AQ202" s="8" t="e">
        <f>#N/A</f>
        <v>#N/A</v>
      </c>
      <c r="AR202" s="8" t="e">
        <f>#N/A</f>
        <v>#N/A</v>
      </c>
      <c r="AS202" s="60" t="e">
        <f>#N/A</f>
        <v>#N/A</v>
      </c>
      <c r="AT202" s="60" t="e">
        <f>#N/A</f>
        <v>#N/A</v>
      </c>
      <c r="AU202" s="60" t="e">
        <f>#N/A</f>
        <v>#N/A</v>
      </c>
    </row>
    <row r="203" spans="1:47" x14ac:dyDescent="0.2">
      <c r="A203" s="43">
        <v>0.01</v>
      </c>
      <c r="B203" s="43">
        <v>2.1177963815348644E-3</v>
      </c>
      <c r="C203" s="43">
        <v>0</v>
      </c>
      <c r="D203" s="7" t="e">
        <f>#N/A</f>
        <v>#N/A</v>
      </c>
      <c r="E203" s="7" t="e">
        <f>#N/A</f>
        <v>#N/A</v>
      </c>
      <c r="F203" s="47" t="e">
        <f>#N/A</f>
        <v>#N/A</v>
      </c>
      <c r="G203" s="37" t="e">
        <f>#N/A</f>
        <v>#N/A</v>
      </c>
      <c r="H203" s="47" t="e">
        <f>#N/A</f>
        <v>#N/A</v>
      </c>
      <c r="I203" s="4"/>
      <c r="J203" s="4"/>
      <c r="K203" s="4"/>
      <c r="L203" s="4"/>
      <c r="M203" s="4"/>
      <c r="N203" s="49">
        <v>5.0650000000000004</v>
      </c>
      <c r="O203" s="51">
        <v>5.2492977284550024</v>
      </c>
      <c r="P203" s="51">
        <v>0.10870227154499738</v>
      </c>
      <c r="Q203" s="5"/>
      <c r="R203" s="51">
        <v>3.359</v>
      </c>
      <c r="S203" s="2">
        <v>1.4550000000000001</v>
      </c>
      <c r="T203" s="52"/>
      <c r="U203" s="48" t="e">
        <f>#N/A</f>
        <v>#N/A</v>
      </c>
      <c r="V203" s="50" t="e">
        <f>#N/A</f>
        <v>#N/A</v>
      </c>
      <c r="W203" s="5"/>
      <c r="X203" s="5"/>
      <c r="Y203" s="5"/>
      <c r="Z203" s="5"/>
      <c r="AA203" s="5"/>
      <c r="AB203" s="49">
        <v>2.22553605498871</v>
      </c>
      <c r="AC203" s="47" t="e">
        <f>#N/A</f>
        <v>#N/A</v>
      </c>
      <c r="AD203" s="52"/>
      <c r="AE203" s="48"/>
      <c r="AF203" s="50"/>
      <c r="AG203" s="18"/>
      <c r="AH203" s="18"/>
      <c r="AI203" s="18"/>
      <c r="AJ203" s="18"/>
      <c r="AK203" s="18"/>
      <c r="AL203" s="18"/>
      <c r="AM203" s="18"/>
      <c r="AN203" s="18"/>
      <c r="AO203" s="5"/>
      <c r="AP203" s="5"/>
      <c r="AQ203" s="8" t="e">
        <f>#N/A</f>
        <v>#N/A</v>
      </c>
      <c r="AR203" s="8" t="e">
        <f>#N/A</f>
        <v>#N/A</v>
      </c>
      <c r="AS203" s="60" t="e">
        <f>#N/A</f>
        <v>#N/A</v>
      </c>
      <c r="AT203" s="60" t="e">
        <f>#N/A</f>
        <v>#N/A</v>
      </c>
      <c r="AU203" s="60" t="e">
        <f>#N/A</f>
        <v>#N/A</v>
      </c>
    </row>
    <row r="204" spans="1:47" x14ac:dyDescent="0.2">
      <c r="A204" s="43">
        <v>0.01</v>
      </c>
      <c r="B204" s="43">
        <v>2.1177963815348644E-3</v>
      </c>
      <c r="C204" s="43">
        <v>0</v>
      </c>
      <c r="D204" s="7" t="e">
        <f>#N/A</f>
        <v>#N/A</v>
      </c>
      <c r="E204" s="7" t="e">
        <f>#N/A</f>
        <v>#N/A</v>
      </c>
      <c r="F204" s="47" t="e">
        <f>#N/A</f>
        <v>#N/A</v>
      </c>
      <c r="G204" s="37" t="e">
        <f>#N/A</f>
        <v>#N/A</v>
      </c>
      <c r="H204" s="47" t="e">
        <f>#N/A</f>
        <v>#N/A</v>
      </c>
      <c r="I204" s="4"/>
      <c r="J204" s="4"/>
      <c r="K204" s="4"/>
      <c r="L204" s="4"/>
      <c r="M204" s="4"/>
      <c r="N204" s="49">
        <v>5.0650000000000004</v>
      </c>
      <c r="O204" s="51">
        <v>5.2492977284550024</v>
      </c>
      <c r="P204" s="51">
        <v>0.10870227154499738</v>
      </c>
      <c r="Q204" s="5"/>
      <c r="R204" s="51">
        <v>3.359</v>
      </c>
      <c r="S204" s="2">
        <v>1.4550000000000001</v>
      </c>
      <c r="T204" s="52"/>
      <c r="U204" s="48" t="e">
        <f>#N/A</f>
        <v>#N/A</v>
      </c>
      <c r="V204" s="50" t="e">
        <f>#N/A</f>
        <v>#N/A</v>
      </c>
      <c r="W204" s="5"/>
      <c r="X204" s="5"/>
      <c r="Y204" s="5"/>
      <c r="Z204" s="5"/>
      <c r="AA204" s="5"/>
      <c r="AB204" s="49">
        <v>2.22553605498871</v>
      </c>
      <c r="AC204" s="47" t="e">
        <f>#N/A</f>
        <v>#N/A</v>
      </c>
      <c r="AD204" s="52"/>
      <c r="AE204" s="48"/>
      <c r="AF204" s="50"/>
      <c r="AG204" s="18"/>
      <c r="AH204" s="18"/>
      <c r="AI204" s="18"/>
      <c r="AJ204" s="18"/>
      <c r="AK204" s="18"/>
      <c r="AL204" s="18"/>
      <c r="AM204" s="18"/>
      <c r="AN204" s="18"/>
      <c r="AO204" s="5"/>
      <c r="AP204" s="5"/>
      <c r="AQ204" s="8" t="e">
        <f>#N/A</f>
        <v>#N/A</v>
      </c>
      <c r="AR204" s="8" t="e">
        <f>#N/A</f>
        <v>#N/A</v>
      </c>
      <c r="AS204" s="60" t="e">
        <f>#N/A</f>
        <v>#N/A</v>
      </c>
      <c r="AT204" s="60" t="e">
        <f>#N/A</f>
        <v>#N/A</v>
      </c>
      <c r="AU204" s="60" t="e">
        <f>#N/A</f>
        <v>#N/A</v>
      </c>
    </row>
    <row r="205" spans="1:47" x14ac:dyDescent="0.2">
      <c r="A205" s="43">
        <v>0.01</v>
      </c>
      <c r="B205" s="43">
        <v>2.1177963815348644E-3</v>
      </c>
      <c r="C205" s="43">
        <v>0</v>
      </c>
      <c r="D205" s="7" t="e">
        <f>#N/A</f>
        <v>#N/A</v>
      </c>
      <c r="E205" s="7" t="e">
        <f>#N/A</f>
        <v>#N/A</v>
      </c>
      <c r="F205" s="47" t="e">
        <f>#N/A</f>
        <v>#N/A</v>
      </c>
      <c r="G205" s="37" t="e">
        <f>#N/A</f>
        <v>#N/A</v>
      </c>
      <c r="H205" s="47" t="e">
        <f>#N/A</f>
        <v>#N/A</v>
      </c>
      <c r="I205" s="4"/>
      <c r="J205" s="4"/>
      <c r="K205" s="4"/>
      <c r="L205" s="4"/>
      <c r="M205" s="4"/>
      <c r="N205" s="49">
        <v>5.0650000000000004</v>
      </c>
      <c r="O205" s="51">
        <v>5.2492977284550024</v>
      </c>
      <c r="P205" s="51">
        <v>0.10870227154499738</v>
      </c>
      <c r="Q205" s="5"/>
      <c r="R205" s="51">
        <v>3.359</v>
      </c>
      <c r="S205" s="2">
        <v>1.4550000000000001</v>
      </c>
      <c r="T205" s="52"/>
      <c r="U205" s="48" t="e">
        <f>#N/A</f>
        <v>#N/A</v>
      </c>
      <c r="V205" s="50" t="e">
        <f>#N/A</f>
        <v>#N/A</v>
      </c>
      <c r="W205" s="5"/>
      <c r="X205" s="5"/>
      <c r="Y205" s="5"/>
      <c r="Z205" s="5"/>
      <c r="AA205" s="5"/>
      <c r="AB205" s="49">
        <v>2.22553605498871</v>
      </c>
      <c r="AC205" s="47" t="e">
        <f>#N/A</f>
        <v>#N/A</v>
      </c>
      <c r="AD205" s="52"/>
      <c r="AE205" s="48"/>
      <c r="AF205" s="50"/>
      <c r="AG205" s="18"/>
      <c r="AH205" s="18"/>
      <c r="AI205" s="18"/>
      <c r="AJ205" s="18"/>
      <c r="AK205" s="18"/>
      <c r="AL205" s="18"/>
      <c r="AM205" s="18"/>
      <c r="AN205" s="18"/>
      <c r="AO205" s="5"/>
      <c r="AP205" s="5"/>
      <c r="AQ205" s="8" t="e">
        <f>#N/A</f>
        <v>#N/A</v>
      </c>
      <c r="AR205" s="8" t="e">
        <f>#N/A</f>
        <v>#N/A</v>
      </c>
      <c r="AS205" s="60" t="e">
        <f>#N/A</f>
        <v>#N/A</v>
      </c>
      <c r="AT205" s="60" t="e">
        <f>#N/A</f>
        <v>#N/A</v>
      </c>
      <c r="AU205" s="60" t="e">
        <f>#N/A</f>
        <v>#N/A</v>
      </c>
    </row>
    <row r="206" spans="1:47" x14ac:dyDescent="0.2">
      <c r="A206" s="43">
        <v>0.01</v>
      </c>
      <c r="B206" s="43">
        <v>2.1177963815348644E-3</v>
      </c>
      <c r="C206" s="43">
        <v>0</v>
      </c>
      <c r="D206" s="7" t="e">
        <f>#N/A</f>
        <v>#N/A</v>
      </c>
      <c r="E206" s="7" t="e">
        <f>#N/A</f>
        <v>#N/A</v>
      </c>
      <c r="F206" s="47" t="e">
        <f>#N/A</f>
        <v>#N/A</v>
      </c>
      <c r="G206" s="37" t="e">
        <f>#N/A</f>
        <v>#N/A</v>
      </c>
      <c r="H206" s="47" t="e">
        <f>#N/A</f>
        <v>#N/A</v>
      </c>
      <c r="I206" s="4"/>
      <c r="J206" s="4"/>
      <c r="K206" s="4"/>
      <c r="L206" s="4"/>
      <c r="M206" s="4"/>
      <c r="N206" s="49">
        <v>5.0650000000000004</v>
      </c>
      <c r="O206" s="51">
        <v>5.2492977284550024</v>
      </c>
      <c r="P206" s="51">
        <v>0.10870227154499738</v>
      </c>
      <c r="Q206" s="5"/>
      <c r="R206" s="51">
        <v>3.359</v>
      </c>
      <c r="S206" s="2">
        <v>1.4550000000000001</v>
      </c>
      <c r="T206" s="52"/>
      <c r="U206" s="48" t="e">
        <f>#N/A</f>
        <v>#N/A</v>
      </c>
      <c r="V206" s="50" t="e">
        <f>#N/A</f>
        <v>#N/A</v>
      </c>
      <c r="W206" s="5"/>
      <c r="X206" s="5"/>
      <c r="Y206" s="5"/>
      <c r="Z206" s="5"/>
      <c r="AA206" s="5"/>
      <c r="AB206" s="49">
        <v>2.22553605498871</v>
      </c>
      <c r="AC206" s="47" t="e">
        <f>#N/A</f>
        <v>#N/A</v>
      </c>
      <c r="AD206" s="52"/>
      <c r="AE206" s="48"/>
      <c r="AF206" s="50"/>
      <c r="AG206" s="18"/>
      <c r="AH206" s="18"/>
      <c r="AI206" s="18"/>
      <c r="AJ206" s="18"/>
      <c r="AK206" s="18"/>
      <c r="AL206" s="18"/>
      <c r="AM206" s="18"/>
      <c r="AN206" s="18"/>
      <c r="AO206" s="5"/>
      <c r="AP206" s="5"/>
      <c r="AQ206" s="8" t="e">
        <f>#N/A</f>
        <v>#N/A</v>
      </c>
      <c r="AR206" s="8" t="e">
        <f>#N/A</f>
        <v>#N/A</v>
      </c>
      <c r="AS206" s="60" t="e">
        <f>#N/A</f>
        <v>#N/A</v>
      </c>
      <c r="AT206" s="60" t="e">
        <f>#N/A</f>
        <v>#N/A</v>
      </c>
      <c r="AU206" s="60" t="e">
        <f>#N/A</f>
        <v>#N/A</v>
      </c>
    </row>
    <row r="207" spans="1:47" x14ac:dyDescent="0.2">
      <c r="A207" s="43">
        <v>0.01</v>
      </c>
      <c r="B207" s="43">
        <v>2.1177963815348644E-3</v>
      </c>
      <c r="C207" s="43">
        <v>0</v>
      </c>
      <c r="D207" s="7" t="e">
        <f>#N/A</f>
        <v>#N/A</v>
      </c>
      <c r="E207" s="7" t="e">
        <f>#N/A</f>
        <v>#N/A</v>
      </c>
      <c r="F207" s="47" t="e">
        <f>#N/A</f>
        <v>#N/A</v>
      </c>
      <c r="G207" s="37" t="e">
        <f>#N/A</f>
        <v>#N/A</v>
      </c>
      <c r="H207" s="47" t="e">
        <f>#N/A</f>
        <v>#N/A</v>
      </c>
      <c r="I207" s="4"/>
      <c r="J207" s="4"/>
      <c r="K207" s="4"/>
      <c r="L207" s="4"/>
      <c r="M207" s="4"/>
      <c r="N207" s="49">
        <v>5.0650000000000004</v>
      </c>
      <c r="O207" s="51">
        <v>5.2492977284550024</v>
      </c>
      <c r="P207" s="51">
        <v>0.10870227154499738</v>
      </c>
      <c r="Q207" s="5"/>
      <c r="R207" s="51">
        <v>3.359</v>
      </c>
      <c r="S207" s="2">
        <v>1.4550000000000001</v>
      </c>
      <c r="T207" s="52"/>
      <c r="U207" s="48" t="e">
        <f>#N/A</f>
        <v>#N/A</v>
      </c>
      <c r="V207" s="50" t="e">
        <f>#N/A</f>
        <v>#N/A</v>
      </c>
      <c r="W207" s="5"/>
      <c r="X207" s="5"/>
      <c r="Y207" s="5"/>
      <c r="Z207" s="5"/>
      <c r="AA207" s="5"/>
      <c r="AB207" s="49">
        <v>2.22553605498871</v>
      </c>
      <c r="AC207" s="47" t="e">
        <f>#N/A</f>
        <v>#N/A</v>
      </c>
      <c r="AD207" s="52"/>
      <c r="AE207" s="48"/>
      <c r="AF207" s="50"/>
      <c r="AG207" s="18"/>
      <c r="AH207" s="18"/>
      <c r="AI207" s="18"/>
      <c r="AJ207" s="18"/>
      <c r="AK207" s="18"/>
      <c r="AL207" s="18"/>
      <c r="AM207" s="18"/>
      <c r="AN207" s="18"/>
      <c r="AO207" s="5"/>
      <c r="AP207" s="5"/>
      <c r="AQ207" s="8" t="e">
        <f>#N/A</f>
        <v>#N/A</v>
      </c>
      <c r="AR207" s="8" t="e">
        <f>#N/A</f>
        <v>#N/A</v>
      </c>
      <c r="AS207" s="60" t="e">
        <f>#N/A</f>
        <v>#N/A</v>
      </c>
      <c r="AT207" s="60" t="e">
        <f>#N/A</f>
        <v>#N/A</v>
      </c>
      <c r="AU207" s="60" t="e">
        <f>#N/A</f>
        <v>#N/A</v>
      </c>
    </row>
    <row r="208" spans="1:47" x14ac:dyDescent="0.2">
      <c r="A208" s="43">
        <v>0.01</v>
      </c>
      <c r="B208" s="43">
        <v>2.1177963815348644E-3</v>
      </c>
      <c r="C208" s="43">
        <v>0</v>
      </c>
      <c r="D208" s="7" t="e">
        <f>#N/A</f>
        <v>#N/A</v>
      </c>
      <c r="E208" s="7" t="e">
        <f>#N/A</f>
        <v>#N/A</v>
      </c>
      <c r="F208" s="47" t="e">
        <f>#N/A</f>
        <v>#N/A</v>
      </c>
      <c r="G208" s="37" t="e">
        <f>#N/A</f>
        <v>#N/A</v>
      </c>
      <c r="H208" s="47" t="e">
        <f>#N/A</f>
        <v>#N/A</v>
      </c>
      <c r="I208" s="4"/>
      <c r="J208" s="4"/>
      <c r="K208" s="4"/>
      <c r="L208" s="4"/>
      <c r="M208" s="4"/>
      <c r="N208" s="49">
        <v>5.0650000000000004</v>
      </c>
      <c r="O208" s="51">
        <v>5.2492977284550024</v>
      </c>
      <c r="P208" s="51">
        <v>0.10870227154499738</v>
      </c>
      <c r="Q208" s="5"/>
      <c r="R208" s="51">
        <v>3.359</v>
      </c>
      <c r="S208" s="2">
        <v>1.4550000000000001</v>
      </c>
      <c r="T208" s="52"/>
      <c r="U208" s="48" t="e">
        <f>#N/A</f>
        <v>#N/A</v>
      </c>
      <c r="V208" s="50" t="e">
        <f>#N/A</f>
        <v>#N/A</v>
      </c>
      <c r="W208" s="5"/>
      <c r="X208" s="5"/>
      <c r="Y208" s="5"/>
      <c r="Z208" s="5"/>
      <c r="AA208" s="5"/>
      <c r="AB208" s="49">
        <v>2.22553605498871</v>
      </c>
      <c r="AC208" s="47" t="e">
        <f>#N/A</f>
        <v>#N/A</v>
      </c>
      <c r="AD208" s="52"/>
      <c r="AE208" s="48"/>
      <c r="AF208" s="50"/>
      <c r="AG208" s="18"/>
      <c r="AH208" s="18"/>
      <c r="AI208" s="18"/>
      <c r="AJ208" s="18"/>
      <c r="AK208" s="18"/>
      <c r="AL208" s="18"/>
      <c r="AM208" s="18"/>
      <c r="AN208" s="18"/>
      <c r="AO208" s="5"/>
      <c r="AP208" s="5"/>
      <c r="AQ208" s="8" t="e">
        <f>#N/A</f>
        <v>#N/A</v>
      </c>
      <c r="AR208" s="8" t="e">
        <f>#N/A</f>
        <v>#N/A</v>
      </c>
      <c r="AS208" s="60" t="e">
        <f>#N/A</f>
        <v>#N/A</v>
      </c>
      <c r="AT208" s="60" t="e">
        <f>#N/A</f>
        <v>#N/A</v>
      </c>
      <c r="AU208" s="60" t="e">
        <f>#N/A</f>
        <v>#N/A</v>
      </c>
    </row>
    <row r="209" spans="1:47" x14ac:dyDescent="0.2">
      <c r="A209" s="43">
        <v>0.01</v>
      </c>
      <c r="B209" s="43">
        <v>1.9858107354771004E-3</v>
      </c>
      <c r="C209" s="43">
        <v>0</v>
      </c>
      <c r="D209" s="7" t="e">
        <f>#N/A</f>
        <v>#N/A</v>
      </c>
      <c r="E209" s="7" t="e">
        <f>#N/A</f>
        <v>#N/A</v>
      </c>
      <c r="F209" s="47" t="e">
        <f>#N/A</f>
        <v>#N/A</v>
      </c>
      <c r="G209" s="37" t="e">
        <f>#N/A</f>
        <v>#N/A</v>
      </c>
      <c r="H209" s="47" t="e">
        <f>#N/A</f>
        <v>#N/A</v>
      </c>
      <c r="I209" s="4"/>
      <c r="J209" s="4"/>
      <c r="K209" s="4"/>
      <c r="L209" s="4"/>
      <c r="M209" s="4"/>
      <c r="N209" s="49">
        <v>5.0650000000000004</v>
      </c>
      <c r="O209" s="51">
        <v>5.2492977284550024</v>
      </c>
      <c r="P209" s="51">
        <v>0.10870227154499738</v>
      </c>
      <c r="Q209" s="5"/>
      <c r="R209" s="51">
        <v>3.359</v>
      </c>
      <c r="S209" s="2">
        <v>1.4550000000000001</v>
      </c>
      <c r="T209" s="52"/>
      <c r="U209" s="48" t="e">
        <f>#N/A</f>
        <v>#N/A</v>
      </c>
      <c r="V209" s="50" t="e">
        <f>#N/A</f>
        <v>#N/A</v>
      </c>
      <c r="W209" s="5"/>
      <c r="X209" s="5"/>
      <c r="Y209" s="5"/>
      <c r="Z209" s="5"/>
      <c r="AA209" s="5"/>
      <c r="AB209" s="49">
        <v>2.22553605498871</v>
      </c>
      <c r="AC209" s="47" t="e">
        <f>#N/A</f>
        <v>#N/A</v>
      </c>
      <c r="AD209" s="52"/>
      <c r="AE209" s="48"/>
      <c r="AF209" s="50"/>
      <c r="AG209" s="18"/>
      <c r="AH209" s="18"/>
      <c r="AI209" s="18"/>
      <c r="AJ209" s="18"/>
      <c r="AK209" s="18"/>
      <c r="AL209" s="18"/>
      <c r="AM209" s="18"/>
      <c r="AN209" s="18"/>
      <c r="AO209" s="5"/>
      <c r="AP209" s="5"/>
      <c r="AQ209" s="8" t="e">
        <f>#N/A</f>
        <v>#N/A</v>
      </c>
      <c r="AR209" s="8" t="e">
        <f>#N/A</f>
        <v>#N/A</v>
      </c>
      <c r="AS209" s="60" t="e">
        <f>#N/A</f>
        <v>#N/A</v>
      </c>
      <c r="AT209" s="60" t="e">
        <f>#N/A</f>
        <v>#N/A</v>
      </c>
      <c r="AU209" s="60" t="e">
        <f>#N/A</f>
        <v>#N/A</v>
      </c>
    </row>
    <row r="210" spans="1:47" x14ac:dyDescent="0.2">
      <c r="A210" s="43">
        <v>0.01</v>
      </c>
      <c r="B210" s="43">
        <v>1.9858107354771004E-3</v>
      </c>
      <c r="C210" s="43">
        <v>0</v>
      </c>
      <c r="D210" s="7" t="e">
        <f>#N/A</f>
        <v>#N/A</v>
      </c>
      <c r="E210" s="7" t="e">
        <f>#N/A</f>
        <v>#N/A</v>
      </c>
      <c r="F210" s="47" t="e">
        <f>#N/A</f>
        <v>#N/A</v>
      </c>
      <c r="G210" s="37" t="e">
        <f>#N/A</f>
        <v>#N/A</v>
      </c>
      <c r="H210" s="47" t="e">
        <f>#N/A</f>
        <v>#N/A</v>
      </c>
      <c r="I210" s="4"/>
      <c r="J210" s="4"/>
      <c r="K210" s="4"/>
      <c r="L210" s="4"/>
      <c r="M210" s="4"/>
      <c r="N210" s="49">
        <v>5.0650000000000004</v>
      </c>
      <c r="O210" s="51">
        <v>5.2492977284550024</v>
      </c>
      <c r="P210" s="51">
        <v>0.10870227154499738</v>
      </c>
      <c r="Q210" s="5"/>
      <c r="R210" s="51">
        <v>3.359</v>
      </c>
      <c r="S210" s="2">
        <v>1.4550000000000001</v>
      </c>
      <c r="T210" s="52"/>
      <c r="U210" s="48" t="e">
        <f>#N/A</f>
        <v>#N/A</v>
      </c>
      <c r="V210" s="50" t="e">
        <f>#N/A</f>
        <v>#N/A</v>
      </c>
      <c r="W210" s="5"/>
      <c r="X210" s="5"/>
      <c r="Y210" s="5"/>
      <c r="Z210" s="5"/>
      <c r="AA210" s="5"/>
      <c r="AB210" s="49">
        <v>2.22553605498871</v>
      </c>
      <c r="AC210" s="47" t="e">
        <f>#N/A</f>
        <v>#N/A</v>
      </c>
      <c r="AD210" s="52"/>
      <c r="AE210" s="48"/>
      <c r="AF210" s="50"/>
      <c r="AG210" s="18"/>
      <c r="AH210" s="18"/>
      <c r="AI210" s="18"/>
      <c r="AJ210" s="18"/>
      <c r="AK210" s="18"/>
      <c r="AL210" s="18"/>
      <c r="AM210" s="18"/>
      <c r="AN210" s="18"/>
      <c r="AO210" s="5"/>
      <c r="AP210" s="5"/>
      <c r="AQ210" s="8" t="e">
        <f>#N/A</f>
        <v>#N/A</v>
      </c>
      <c r="AR210" s="8" t="e">
        <f>#N/A</f>
        <v>#N/A</v>
      </c>
      <c r="AS210" s="60" t="e">
        <f>#N/A</f>
        <v>#N/A</v>
      </c>
      <c r="AT210" s="60" t="e">
        <f>#N/A</f>
        <v>#N/A</v>
      </c>
      <c r="AU210" s="60" t="e">
        <f>#N/A</f>
        <v>#N/A</v>
      </c>
    </row>
    <row r="211" spans="1:47" x14ac:dyDescent="0.2">
      <c r="A211" s="43">
        <v>0.01</v>
      </c>
      <c r="B211" s="43">
        <v>1.9858107354771004E-3</v>
      </c>
      <c r="C211" s="43">
        <v>0</v>
      </c>
      <c r="D211" s="7" t="e">
        <f>#N/A</f>
        <v>#N/A</v>
      </c>
      <c r="E211" s="7" t="e">
        <f>#N/A</f>
        <v>#N/A</v>
      </c>
      <c r="F211" s="47" t="e">
        <f>#N/A</f>
        <v>#N/A</v>
      </c>
      <c r="G211" s="37" t="e">
        <f>#N/A</f>
        <v>#N/A</v>
      </c>
      <c r="H211" s="47" t="e">
        <f>#N/A</f>
        <v>#N/A</v>
      </c>
      <c r="I211" s="4"/>
      <c r="J211" s="4"/>
      <c r="K211" s="4"/>
      <c r="L211" s="4"/>
      <c r="M211" s="4"/>
      <c r="N211" s="49">
        <v>5.0650000000000004</v>
      </c>
      <c r="O211" s="51">
        <v>5.2492977284550024</v>
      </c>
      <c r="P211" s="51">
        <v>0.10870227154499738</v>
      </c>
      <c r="Q211" s="5"/>
      <c r="R211" s="51">
        <v>3.359</v>
      </c>
      <c r="S211" s="2">
        <v>1.4550000000000001</v>
      </c>
      <c r="T211" s="52"/>
      <c r="U211" s="48" t="e">
        <f>#N/A</f>
        <v>#N/A</v>
      </c>
      <c r="V211" s="50" t="e">
        <f>#N/A</f>
        <v>#N/A</v>
      </c>
      <c r="W211" s="5"/>
      <c r="X211" s="5"/>
      <c r="Y211" s="5"/>
      <c r="Z211" s="5"/>
      <c r="AA211" s="5"/>
      <c r="AB211" s="49">
        <v>2.22553605498871</v>
      </c>
      <c r="AC211" s="47" t="e">
        <f>#N/A</f>
        <v>#N/A</v>
      </c>
      <c r="AD211" s="52"/>
      <c r="AE211" s="48"/>
      <c r="AF211" s="50"/>
      <c r="AG211" s="18"/>
      <c r="AH211" s="18"/>
      <c r="AI211" s="18"/>
      <c r="AJ211" s="18"/>
      <c r="AK211" s="18"/>
      <c r="AL211" s="18"/>
      <c r="AM211" s="18"/>
      <c r="AN211" s="18"/>
      <c r="AO211" s="5"/>
      <c r="AP211" s="5"/>
      <c r="AQ211" s="8" t="e">
        <f>#N/A</f>
        <v>#N/A</v>
      </c>
      <c r="AR211" s="8" t="e">
        <f>#N/A</f>
        <v>#N/A</v>
      </c>
      <c r="AS211" s="60" t="e">
        <f>#N/A</f>
        <v>#N/A</v>
      </c>
      <c r="AT211" s="60" t="e">
        <f>#N/A</f>
        <v>#N/A</v>
      </c>
      <c r="AU211" s="60" t="e">
        <f>#N/A</f>
        <v>#N/A</v>
      </c>
    </row>
    <row r="212" spans="1:47" x14ac:dyDescent="0.2">
      <c r="A212" s="43">
        <v>0.01</v>
      </c>
      <c r="B212" s="43">
        <v>1.9858107354771004E-3</v>
      </c>
      <c r="C212" s="43">
        <v>0</v>
      </c>
      <c r="D212" s="7" t="e">
        <f>#N/A</f>
        <v>#N/A</v>
      </c>
      <c r="E212" s="7" t="e">
        <f>#N/A</f>
        <v>#N/A</v>
      </c>
      <c r="F212" s="47" t="e">
        <f>#N/A</f>
        <v>#N/A</v>
      </c>
      <c r="G212" s="37" t="e">
        <f>#N/A</f>
        <v>#N/A</v>
      </c>
      <c r="H212" s="47" t="e">
        <f>#N/A</f>
        <v>#N/A</v>
      </c>
      <c r="I212" s="4"/>
      <c r="J212" s="4"/>
      <c r="K212" s="4"/>
      <c r="L212" s="4"/>
      <c r="M212" s="4"/>
      <c r="N212" s="49">
        <v>5.0650000000000004</v>
      </c>
      <c r="O212" s="51">
        <v>5.2492977284550024</v>
      </c>
      <c r="P212" s="51">
        <v>0.10870227154499738</v>
      </c>
      <c r="Q212" s="5"/>
      <c r="R212" s="51">
        <v>3.359</v>
      </c>
      <c r="S212" s="2">
        <v>1.4550000000000001</v>
      </c>
      <c r="T212" s="52"/>
      <c r="U212" s="48" t="e">
        <f>#N/A</f>
        <v>#N/A</v>
      </c>
      <c r="V212" s="50" t="e">
        <f>#N/A</f>
        <v>#N/A</v>
      </c>
      <c r="W212" s="5"/>
      <c r="X212" s="5"/>
      <c r="Y212" s="5"/>
      <c r="Z212" s="5"/>
      <c r="AA212" s="5"/>
      <c r="AB212" s="49">
        <v>2.22553605498871</v>
      </c>
      <c r="AC212" s="47" t="e">
        <f>#N/A</f>
        <v>#N/A</v>
      </c>
      <c r="AD212" s="52"/>
      <c r="AE212" s="48"/>
      <c r="AF212" s="50"/>
      <c r="AG212" s="18"/>
      <c r="AH212" s="18"/>
      <c r="AI212" s="18"/>
      <c r="AJ212" s="18"/>
      <c r="AK212" s="18"/>
      <c r="AL212" s="18"/>
      <c r="AM212" s="18"/>
      <c r="AN212" s="18"/>
      <c r="AO212" s="5"/>
      <c r="AP212" s="5"/>
      <c r="AQ212" s="8" t="e">
        <f>#N/A</f>
        <v>#N/A</v>
      </c>
      <c r="AR212" s="8" t="e">
        <f>#N/A</f>
        <v>#N/A</v>
      </c>
      <c r="AS212" s="60" t="e">
        <f>#N/A</f>
        <v>#N/A</v>
      </c>
      <c r="AT212" s="60" t="e">
        <f>#N/A</f>
        <v>#N/A</v>
      </c>
      <c r="AU212" s="60" t="e">
        <f>#N/A</f>
        <v>#N/A</v>
      </c>
    </row>
    <row r="213" spans="1:47" x14ac:dyDescent="0.2">
      <c r="A213" s="43">
        <v>0.01</v>
      </c>
      <c r="B213" s="43">
        <v>1.9858107354771004E-3</v>
      </c>
      <c r="C213" s="43">
        <v>0</v>
      </c>
      <c r="D213" s="7" t="e">
        <f>#N/A</f>
        <v>#N/A</v>
      </c>
      <c r="E213" s="7" t="e">
        <f>#N/A</f>
        <v>#N/A</v>
      </c>
      <c r="F213" s="47" t="e">
        <f>#N/A</f>
        <v>#N/A</v>
      </c>
      <c r="G213" s="37" t="e">
        <f>#N/A</f>
        <v>#N/A</v>
      </c>
      <c r="H213" s="47" t="e">
        <f>#N/A</f>
        <v>#N/A</v>
      </c>
      <c r="I213" s="4"/>
      <c r="J213" s="4"/>
      <c r="K213" s="4"/>
      <c r="L213" s="4"/>
      <c r="M213" s="4"/>
      <c r="N213" s="49">
        <v>5.0650000000000004</v>
      </c>
      <c r="O213" s="51">
        <v>5.2492977284550024</v>
      </c>
      <c r="P213" s="51">
        <v>0.10870227154499738</v>
      </c>
      <c r="Q213" s="5"/>
      <c r="R213" s="51">
        <v>3.359</v>
      </c>
      <c r="S213" s="2">
        <v>1.4550000000000001</v>
      </c>
      <c r="T213" s="52"/>
      <c r="U213" s="48" t="e">
        <f>#N/A</f>
        <v>#N/A</v>
      </c>
      <c r="V213" s="50" t="e">
        <f>#N/A</f>
        <v>#N/A</v>
      </c>
      <c r="W213" s="5"/>
      <c r="X213" s="5"/>
      <c r="Y213" s="5"/>
      <c r="Z213" s="5"/>
      <c r="AA213" s="5"/>
      <c r="AB213" s="49">
        <v>2.22553605498871</v>
      </c>
      <c r="AC213" s="47" t="e">
        <f>#N/A</f>
        <v>#N/A</v>
      </c>
      <c r="AD213" s="52"/>
      <c r="AE213" s="48"/>
      <c r="AF213" s="50"/>
      <c r="AG213" s="18"/>
      <c r="AH213" s="18"/>
      <c r="AI213" s="18"/>
      <c r="AJ213" s="18"/>
      <c r="AK213" s="18"/>
      <c r="AL213" s="18"/>
      <c r="AM213" s="18"/>
      <c r="AN213" s="18"/>
      <c r="AO213" s="5"/>
      <c r="AP213" s="5"/>
      <c r="AQ213" s="8" t="e">
        <f>#N/A</f>
        <v>#N/A</v>
      </c>
      <c r="AR213" s="8" t="e">
        <f>#N/A</f>
        <v>#N/A</v>
      </c>
      <c r="AS213" s="60" t="e">
        <f>#N/A</f>
        <v>#N/A</v>
      </c>
      <c r="AT213" s="60" t="e">
        <f>#N/A</f>
        <v>#N/A</v>
      </c>
      <c r="AU213" s="60" t="e">
        <f>#N/A</f>
        <v>#N/A</v>
      </c>
    </row>
    <row r="214" spans="1:47" x14ac:dyDescent="0.2">
      <c r="A214" s="43">
        <v>0.01</v>
      </c>
      <c r="B214" s="43">
        <v>1.9858107354771004E-3</v>
      </c>
      <c r="C214" s="43">
        <v>0</v>
      </c>
      <c r="D214" s="7" t="e">
        <f>#N/A</f>
        <v>#N/A</v>
      </c>
      <c r="E214" s="7" t="e">
        <f>#N/A</f>
        <v>#N/A</v>
      </c>
      <c r="F214" s="47" t="e">
        <f>#N/A</f>
        <v>#N/A</v>
      </c>
      <c r="G214" s="37" t="e">
        <f>#N/A</f>
        <v>#N/A</v>
      </c>
      <c r="H214" s="47" t="e">
        <f>#N/A</f>
        <v>#N/A</v>
      </c>
      <c r="I214" s="4"/>
      <c r="J214" s="4"/>
      <c r="K214" s="4"/>
      <c r="L214" s="4"/>
      <c r="M214" s="4"/>
      <c r="N214" s="49">
        <v>5.0650000000000004</v>
      </c>
      <c r="O214" s="51">
        <v>5.2492977284550024</v>
      </c>
      <c r="P214" s="51">
        <v>0.10870227154499738</v>
      </c>
      <c r="Q214" s="5"/>
      <c r="R214" s="51">
        <v>3.359</v>
      </c>
      <c r="S214" s="2">
        <v>1.4550000000000001</v>
      </c>
      <c r="T214" s="52"/>
      <c r="U214" s="48" t="e">
        <f>#N/A</f>
        <v>#N/A</v>
      </c>
      <c r="V214" s="50" t="e">
        <f>#N/A</f>
        <v>#N/A</v>
      </c>
      <c r="W214" s="5"/>
      <c r="X214" s="5"/>
      <c r="Y214" s="5"/>
      <c r="Z214" s="5"/>
      <c r="AA214" s="5"/>
      <c r="AB214" s="49">
        <v>2.22553605498871</v>
      </c>
      <c r="AC214" s="47" t="e">
        <f>#N/A</f>
        <v>#N/A</v>
      </c>
      <c r="AD214" s="52"/>
      <c r="AE214" s="48"/>
      <c r="AF214" s="50"/>
      <c r="AG214" s="18"/>
      <c r="AH214" s="18"/>
      <c r="AI214" s="18"/>
      <c r="AJ214" s="18"/>
      <c r="AK214" s="18"/>
      <c r="AL214" s="18"/>
      <c r="AM214" s="18"/>
      <c r="AN214" s="18"/>
      <c r="AO214" s="5"/>
      <c r="AP214" s="5"/>
      <c r="AQ214" s="8" t="e">
        <f>#N/A</f>
        <v>#N/A</v>
      </c>
      <c r="AR214" s="8" t="e">
        <f>#N/A</f>
        <v>#N/A</v>
      </c>
      <c r="AS214" s="60" t="e">
        <f>#N/A</f>
        <v>#N/A</v>
      </c>
      <c r="AT214" s="60" t="e">
        <f>#N/A</f>
        <v>#N/A</v>
      </c>
      <c r="AU214" s="60" t="e">
        <f>#N/A</f>
        <v>#N/A</v>
      </c>
    </row>
    <row r="215" spans="1:47" x14ac:dyDescent="0.2">
      <c r="A215" s="43">
        <v>0.01</v>
      </c>
      <c r="B215" s="43">
        <v>1.9858107354771004E-3</v>
      </c>
      <c r="C215" s="43">
        <v>0</v>
      </c>
      <c r="D215" s="7" t="e">
        <f>#N/A</f>
        <v>#N/A</v>
      </c>
      <c r="E215" s="7" t="e">
        <f>#N/A</f>
        <v>#N/A</v>
      </c>
      <c r="F215" s="47" t="e">
        <f>#N/A</f>
        <v>#N/A</v>
      </c>
      <c r="G215" s="37" t="e">
        <f>#N/A</f>
        <v>#N/A</v>
      </c>
      <c r="H215" s="47" t="e">
        <f>#N/A</f>
        <v>#N/A</v>
      </c>
      <c r="I215" s="4"/>
      <c r="J215" s="4"/>
      <c r="K215" s="4"/>
      <c r="L215" s="4"/>
      <c r="M215" s="4"/>
      <c r="N215" s="49">
        <v>5.0650000000000004</v>
      </c>
      <c r="O215" s="51">
        <v>5.2492977284550024</v>
      </c>
      <c r="P215" s="51">
        <v>0.10870227154499738</v>
      </c>
      <c r="Q215" s="5"/>
      <c r="R215" s="51">
        <v>3.359</v>
      </c>
      <c r="S215" s="2">
        <v>1.4550000000000001</v>
      </c>
      <c r="T215" s="52"/>
      <c r="U215" s="48" t="e">
        <f>#N/A</f>
        <v>#N/A</v>
      </c>
      <c r="V215" s="50" t="e">
        <f>#N/A</f>
        <v>#N/A</v>
      </c>
      <c r="W215" s="5"/>
      <c r="X215" s="5"/>
      <c r="Y215" s="5"/>
      <c r="Z215" s="5"/>
      <c r="AA215" s="5"/>
      <c r="AB215" s="49">
        <v>2.22553605498871</v>
      </c>
      <c r="AC215" s="47" t="e">
        <f>#N/A</f>
        <v>#N/A</v>
      </c>
      <c r="AD215" s="52"/>
      <c r="AE215" s="48"/>
      <c r="AF215" s="50"/>
      <c r="AG215" s="18"/>
      <c r="AH215" s="18"/>
      <c r="AI215" s="18"/>
      <c r="AJ215" s="18"/>
      <c r="AK215" s="18"/>
      <c r="AL215" s="18"/>
      <c r="AM215" s="18"/>
      <c r="AN215" s="18"/>
      <c r="AO215" s="5"/>
      <c r="AP215" s="5"/>
      <c r="AQ215" s="8" t="e">
        <f>#N/A</f>
        <v>#N/A</v>
      </c>
      <c r="AR215" s="8" t="e">
        <f>#N/A</f>
        <v>#N/A</v>
      </c>
      <c r="AS215" s="60" t="e">
        <f>#N/A</f>
        <v>#N/A</v>
      </c>
      <c r="AT215" s="60" t="e">
        <f>#N/A</f>
        <v>#N/A</v>
      </c>
      <c r="AU215" s="60" t="e">
        <f>#N/A</f>
        <v>#N/A</v>
      </c>
    </row>
    <row r="216" spans="1:47" x14ac:dyDescent="0.2">
      <c r="A216" s="43">
        <v>0.01</v>
      </c>
      <c r="B216" s="43">
        <v>1.9858107354771004E-3</v>
      </c>
      <c r="C216" s="43">
        <v>0</v>
      </c>
      <c r="D216" s="7" t="e">
        <f>#N/A</f>
        <v>#N/A</v>
      </c>
      <c r="E216" s="7" t="e">
        <f>#N/A</f>
        <v>#N/A</v>
      </c>
      <c r="F216" s="47" t="e">
        <f>#N/A</f>
        <v>#N/A</v>
      </c>
      <c r="G216" s="37" t="e">
        <f>#N/A</f>
        <v>#N/A</v>
      </c>
      <c r="H216" s="47" t="e">
        <f>#N/A</f>
        <v>#N/A</v>
      </c>
      <c r="I216" s="4"/>
      <c r="J216" s="4"/>
      <c r="K216" s="4"/>
      <c r="L216" s="4"/>
      <c r="M216" s="4"/>
      <c r="N216" s="49">
        <v>5.0650000000000004</v>
      </c>
      <c r="O216" s="51">
        <v>5.2492977284550024</v>
      </c>
      <c r="P216" s="51">
        <v>0.10870227154499738</v>
      </c>
      <c r="Q216" s="5"/>
      <c r="R216" s="51">
        <v>3.359</v>
      </c>
      <c r="S216" s="2">
        <v>1.4550000000000001</v>
      </c>
      <c r="T216" s="52"/>
      <c r="U216" s="48" t="e">
        <f>#N/A</f>
        <v>#N/A</v>
      </c>
      <c r="V216" s="50" t="e">
        <f>#N/A</f>
        <v>#N/A</v>
      </c>
      <c r="W216" s="5"/>
      <c r="X216" s="5"/>
      <c r="Y216" s="5"/>
      <c r="Z216" s="5"/>
      <c r="AA216" s="5"/>
      <c r="AB216" s="49">
        <v>2.22553605498871</v>
      </c>
      <c r="AC216" s="47" t="e">
        <f>#N/A</f>
        <v>#N/A</v>
      </c>
      <c r="AD216" s="52"/>
      <c r="AE216" s="48"/>
      <c r="AF216" s="50"/>
      <c r="AG216" s="18"/>
      <c r="AH216" s="18"/>
      <c r="AI216" s="18"/>
      <c r="AJ216" s="18"/>
      <c r="AK216" s="18"/>
      <c r="AL216" s="18"/>
      <c r="AM216" s="18"/>
      <c r="AN216" s="18"/>
      <c r="AO216" s="5"/>
      <c r="AP216" s="5"/>
      <c r="AQ216" s="8" t="e">
        <f>#N/A</f>
        <v>#N/A</v>
      </c>
      <c r="AR216" s="8" t="e">
        <f>#N/A</f>
        <v>#N/A</v>
      </c>
      <c r="AS216" s="60" t="e">
        <f>#N/A</f>
        <v>#N/A</v>
      </c>
      <c r="AT216" s="60" t="e">
        <f>#N/A</f>
        <v>#N/A</v>
      </c>
      <c r="AU216" s="60" t="e">
        <f>#N/A</f>
        <v>#N/A</v>
      </c>
    </row>
    <row r="217" spans="1:47" x14ac:dyDescent="0.2">
      <c r="A217" s="43">
        <v>0.01</v>
      </c>
      <c r="B217" s="43">
        <v>1.9858107354771004E-3</v>
      </c>
      <c r="C217" s="43">
        <v>0</v>
      </c>
      <c r="D217" s="7" t="e">
        <f>#N/A</f>
        <v>#N/A</v>
      </c>
      <c r="E217" s="7" t="e">
        <f>#N/A</f>
        <v>#N/A</v>
      </c>
      <c r="F217" s="47" t="e">
        <f>#N/A</f>
        <v>#N/A</v>
      </c>
      <c r="G217" s="37" t="e">
        <f>#N/A</f>
        <v>#N/A</v>
      </c>
      <c r="H217" s="47" t="e">
        <f>#N/A</f>
        <v>#N/A</v>
      </c>
      <c r="I217" s="4"/>
      <c r="J217" s="4"/>
      <c r="K217" s="4"/>
      <c r="L217" s="4"/>
      <c r="M217" s="4"/>
      <c r="N217" s="49">
        <v>5.0650000000000004</v>
      </c>
      <c r="O217" s="51">
        <v>5.2492977284550024</v>
      </c>
      <c r="P217" s="51">
        <v>0.10870227154499738</v>
      </c>
      <c r="Q217" s="5"/>
      <c r="R217" s="51">
        <v>3.359</v>
      </c>
      <c r="S217" s="2">
        <v>1.4550000000000001</v>
      </c>
      <c r="T217" s="52"/>
      <c r="U217" s="48" t="e">
        <f>#N/A</f>
        <v>#N/A</v>
      </c>
      <c r="V217" s="50" t="e">
        <f>#N/A</f>
        <v>#N/A</v>
      </c>
      <c r="W217" s="5"/>
      <c r="X217" s="5"/>
      <c r="Y217" s="5"/>
      <c r="Z217" s="5"/>
      <c r="AA217" s="5"/>
      <c r="AB217" s="49">
        <v>2.22553605498871</v>
      </c>
      <c r="AC217" s="47" t="e">
        <f>#N/A</f>
        <v>#N/A</v>
      </c>
      <c r="AD217" s="52"/>
      <c r="AE217" s="48"/>
      <c r="AF217" s="50"/>
      <c r="AG217" s="18"/>
      <c r="AH217" s="18"/>
      <c r="AI217" s="18"/>
      <c r="AJ217" s="18"/>
      <c r="AK217" s="18"/>
      <c r="AL217" s="18"/>
      <c r="AM217" s="18"/>
      <c r="AN217" s="18"/>
      <c r="AO217" s="5"/>
      <c r="AP217" s="5"/>
      <c r="AQ217" s="8" t="e">
        <f>#N/A</f>
        <v>#N/A</v>
      </c>
      <c r="AR217" s="8" t="e">
        <f>#N/A</f>
        <v>#N/A</v>
      </c>
      <c r="AS217" s="60" t="e">
        <f>#N/A</f>
        <v>#N/A</v>
      </c>
      <c r="AT217" s="60" t="e">
        <f>#N/A</f>
        <v>#N/A</v>
      </c>
      <c r="AU217" s="60" t="e">
        <f>#N/A</f>
        <v>#N/A</v>
      </c>
    </row>
    <row r="218" spans="1:47" x14ac:dyDescent="0.2">
      <c r="A218" s="43">
        <v>0.01</v>
      </c>
      <c r="B218" s="43">
        <v>1.9858107354771004E-3</v>
      </c>
      <c r="C218" s="43">
        <v>0</v>
      </c>
      <c r="D218" s="7" t="e">
        <f>#N/A</f>
        <v>#N/A</v>
      </c>
      <c r="E218" s="7" t="e">
        <f>#N/A</f>
        <v>#N/A</v>
      </c>
      <c r="F218" s="47" t="e">
        <f>#N/A</f>
        <v>#N/A</v>
      </c>
      <c r="G218" s="37" t="e">
        <f>#N/A</f>
        <v>#N/A</v>
      </c>
      <c r="H218" s="47" t="e">
        <f>#N/A</f>
        <v>#N/A</v>
      </c>
      <c r="I218" s="4"/>
      <c r="J218" s="4"/>
      <c r="K218" s="4"/>
      <c r="L218" s="4"/>
      <c r="M218" s="4"/>
      <c r="N218" s="49">
        <v>5.0650000000000004</v>
      </c>
      <c r="O218" s="51">
        <v>5.2492977284550024</v>
      </c>
      <c r="P218" s="51">
        <v>0.10870227154499738</v>
      </c>
      <c r="Q218" s="5"/>
      <c r="R218" s="51">
        <v>3.359</v>
      </c>
      <c r="S218" s="2">
        <v>1.4550000000000001</v>
      </c>
      <c r="T218" s="52"/>
      <c r="U218" s="48" t="e">
        <f>#N/A</f>
        <v>#N/A</v>
      </c>
      <c r="V218" s="50" t="e">
        <f>#N/A</f>
        <v>#N/A</v>
      </c>
      <c r="W218" s="5"/>
      <c r="X218" s="5"/>
      <c r="Y218" s="5"/>
      <c r="Z218" s="5"/>
      <c r="AA218" s="5"/>
      <c r="AB218" s="49">
        <v>2.22553605498871</v>
      </c>
      <c r="AC218" s="47" t="e">
        <f>#N/A</f>
        <v>#N/A</v>
      </c>
      <c r="AD218" s="52"/>
      <c r="AE218" s="48"/>
      <c r="AF218" s="50"/>
      <c r="AG218" s="18"/>
      <c r="AH218" s="18"/>
      <c r="AI218" s="18"/>
      <c r="AJ218" s="18"/>
      <c r="AK218" s="18"/>
      <c r="AL218" s="18"/>
      <c r="AM218" s="18"/>
      <c r="AN218" s="18"/>
      <c r="AO218" s="5"/>
      <c r="AP218" s="5"/>
      <c r="AQ218" s="8" t="e">
        <f>#N/A</f>
        <v>#N/A</v>
      </c>
      <c r="AR218" s="8" t="e">
        <f>#N/A</f>
        <v>#N/A</v>
      </c>
      <c r="AS218" s="60" t="e">
        <f>#N/A</f>
        <v>#N/A</v>
      </c>
      <c r="AT218" s="60" t="e">
        <f>#N/A</f>
        <v>#N/A</v>
      </c>
      <c r="AU218" s="60" t="e">
        <f>#N/A</f>
        <v>#N/A</v>
      </c>
    </row>
    <row r="219" spans="1:47" x14ac:dyDescent="0.2">
      <c r="A219" s="43">
        <v>0.01</v>
      </c>
      <c r="B219" s="43">
        <v>1.9858107354771004E-3</v>
      </c>
      <c r="C219" s="43">
        <v>0</v>
      </c>
      <c r="D219" s="7" t="e">
        <f>#N/A</f>
        <v>#N/A</v>
      </c>
      <c r="E219" s="7" t="e">
        <f>#N/A</f>
        <v>#N/A</v>
      </c>
      <c r="F219" s="47" t="e">
        <f>#N/A</f>
        <v>#N/A</v>
      </c>
      <c r="G219" s="37" t="e">
        <f>#N/A</f>
        <v>#N/A</v>
      </c>
      <c r="H219" s="47" t="e">
        <f>#N/A</f>
        <v>#N/A</v>
      </c>
      <c r="I219" s="4"/>
      <c r="J219" s="4"/>
      <c r="K219" s="4"/>
      <c r="L219" s="4"/>
      <c r="M219" s="4"/>
      <c r="N219" s="49">
        <v>5.0650000000000004</v>
      </c>
      <c r="O219" s="51">
        <v>5.2492977284550024</v>
      </c>
      <c r="P219" s="51">
        <v>0.10870227154499738</v>
      </c>
      <c r="Q219" s="5"/>
      <c r="R219" s="51">
        <v>3.359</v>
      </c>
      <c r="S219" s="2">
        <v>1.4550000000000001</v>
      </c>
      <c r="T219" s="52"/>
      <c r="U219" s="48" t="e">
        <f>#N/A</f>
        <v>#N/A</v>
      </c>
      <c r="V219" s="50" t="e">
        <f>#N/A</f>
        <v>#N/A</v>
      </c>
      <c r="W219" s="5"/>
      <c r="X219" s="5"/>
      <c r="Y219" s="5"/>
      <c r="Z219" s="5"/>
      <c r="AA219" s="5"/>
      <c r="AB219" s="49">
        <v>2.22553605498871</v>
      </c>
      <c r="AC219" s="47" t="e">
        <f>#N/A</f>
        <v>#N/A</v>
      </c>
      <c r="AD219" s="52"/>
      <c r="AE219" s="48"/>
      <c r="AF219" s="50"/>
      <c r="AG219" s="18"/>
      <c r="AH219" s="18"/>
      <c r="AI219" s="18"/>
      <c r="AJ219" s="18"/>
      <c r="AK219" s="18"/>
      <c r="AL219" s="18"/>
      <c r="AM219" s="18"/>
      <c r="AN219" s="18"/>
      <c r="AO219" s="5"/>
      <c r="AP219" s="5"/>
      <c r="AQ219" s="8" t="e">
        <f>#N/A</f>
        <v>#N/A</v>
      </c>
      <c r="AR219" s="8" t="e">
        <f>#N/A</f>
        <v>#N/A</v>
      </c>
      <c r="AS219" s="60" t="e">
        <f>#N/A</f>
        <v>#N/A</v>
      </c>
      <c r="AT219" s="60" t="e">
        <f>#N/A</f>
        <v>#N/A</v>
      </c>
      <c r="AU219" s="60" t="e">
        <f>#N/A</f>
        <v>#N/A</v>
      </c>
    </row>
    <row r="220" spans="1:47" x14ac:dyDescent="0.2">
      <c r="A220" s="43">
        <v>0.01</v>
      </c>
      <c r="B220" s="43">
        <v>1.9858107354771004E-3</v>
      </c>
      <c r="C220" s="43">
        <v>0</v>
      </c>
      <c r="D220" s="7" t="e">
        <f>#N/A</f>
        <v>#N/A</v>
      </c>
      <c r="E220" s="7" t="e">
        <f>#N/A</f>
        <v>#N/A</v>
      </c>
      <c r="F220" s="47" t="e">
        <f>#N/A</f>
        <v>#N/A</v>
      </c>
      <c r="G220" s="37" t="e">
        <f>#N/A</f>
        <v>#N/A</v>
      </c>
      <c r="H220" s="47" t="e">
        <f>#N/A</f>
        <v>#N/A</v>
      </c>
      <c r="I220" s="4"/>
      <c r="J220" s="4"/>
      <c r="K220" s="4"/>
      <c r="L220" s="4"/>
      <c r="M220" s="4"/>
      <c r="N220" s="49">
        <v>5.0650000000000004</v>
      </c>
      <c r="O220" s="51">
        <v>5.2492977284550024</v>
      </c>
      <c r="P220" s="51">
        <v>0.10870227154499738</v>
      </c>
      <c r="Q220" s="5"/>
      <c r="R220" s="51">
        <v>3.359</v>
      </c>
      <c r="S220" s="2">
        <v>1.4550000000000001</v>
      </c>
      <c r="T220" s="52"/>
      <c r="U220" s="48" t="e">
        <f>#N/A</f>
        <v>#N/A</v>
      </c>
      <c r="V220" s="50" t="e">
        <f>#N/A</f>
        <v>#N/A</v>
      </c>
      <c r="W220" s="5"/>
      <c r="X220" s="5"/>
      <c r="Y220" s="5"/>
      <c r="Z220" s="5"/>
      <c r="AA220" s="5"/>
      <c r="AB220" s="49">
        <v>2.22553605498871</v>
      </c>
      <c r="AC220" s="47" t="e">
        <f>#N/A</f>
        <v>#N/A</v>
      </c>
      <c r="AD220" s="52"/>
      <c r="AE220" s="48"/>
      <c r="AF220" s="50"/>
      <c r="AG220" s="18"/>
      <c r="AH220" s="18"/>
      <c r="AI220" s="18"/>
      <c r="AJ220" s="18"/>
      <c r="AK220" s="18"/>
      <c r="AL220" s="18"/>
      <c r="AM220" s="18"/>
      <c r="AN220" s="18"/>
      <c r="AO220" s="5"/>
      <c r="AP220" s="5"/>
      <c r="AQ220" s="8" t="e">
        <f>#N/A</f>
        <v>#N/A</v>
      </c>
      <c r="AR220" s="8" t="e">
        <f>#N/A</f>
        <v>#N/A</v>
      </c>
      <c r="AS220" s="60" t="e">
        <f>#N/A</f>
        <v>#N/A</v>
      </c>
      <c r="AT220" s="60" t="e">
        <f>#N/A</f>
        <v>#N/A</v>
      </c>
      <c r="AU220" s="60" t="e">
        <f>#N/A</f>
        <v>#N/A</v>
      </c>
    </row>
    <row r="221" spans="1:47" x14ac:dyDescent="0.2">
      <c r="A221" s="43">
        <v>0.01</v>
      </c>
      <c r="B221" s="43">
        <v>1.8546177526996832E-3</v>
      </c>
      <c r="C221" s="43">
        <v>0</v>
      </c>
      <c r="D221" s="7" t="e">
        <f>#N/A</f>
        <v>#N/A</v>
      </c>
      <c r="E221" s="7" t="e">
        <f>#N/A</f>
        <v>#N/A</v>
      </c>
      <c r="F221" s="47" t="e">
        <f>#N/A</f>
        <v>#N/A</v>
      </c>
      <c r="G221" s="37" t="e">
        <f>#N/A</f>
        <v>#N/A</v>
      </c>
      <c r="H221" s="47" t="e">
        <f>#N/A</f>
        <v>#N/A</v>
      </c>
      <c r="I221" s="4"/>
      <c r="J221" s="4"/>
      <c r="K221" s="4"/>
      <c r="L221" s="4"/>
      <c r="M221" s="4"/>
      <c r="N221" s="49">
        <v>5.0650000000000004</v>
      </c>
      <c r="O221" s="51">
        <v>5.2492977284550024</v>
      </c>
      <c r="P221" s="51">
        <v>0.10870227154499738</v>
      </c>
      <c r="Q221" s="5"/>
      <c r="R221" s="51">
        <v>3.359</v>
      </c>
      <c r="S221" s="2">
        <v>1.4550000000000001</v>
      </c>
      <c r="T221" s="52"/>
      <c r="U221" s="48" t="e">
        <f>#N/A</f>
        <v>#N/A</v>
      </c>
      <c r="V221" s="50" t="e">
        <f>#N/A</f>
        <v>#N/A</v>
      </c>
      <c r="W221" s="5"/>
      <c r="X221" s="5"/>
      <c r="Y221" s="5"/>
      <c r="Z221" s="5"/>
      <c r="AA221" s="5"/>
      <c r="AB221" s="49">
        <v>2.22553605498871</v>
      </c>
      <c r="AC221" s="47" t="e">
        <f>#N/A</f>
        <v>#N/A</v>
      </c>
      <c r="AD221" s="52"/>
      <c r="AE221" s="48"/>
      <c r="AF221" s="50"/>
      <c r="AG221" s="18"/>
      <c r="AH221" s="18"/>
      <c r="AI221" s="18"/>
      <c r="AJ221" s="18"/>
      <c r="AK221" s="18"/>
      <c r="AL221" s="18"/>
      <c r="AM221" s="18"/>
      <c r="AN221" s="18"/>
      <c r="AO221" s="5"/>
      <c r="AP221" s="5"/>
      <c r="AQ221" s="8" t="e">
        <f>#N/A</f>
        <v>#N/A</v>
      </c>
      <c r="AR221" s="8" t="e">
        <f>#N/A</f>
        <v>#N/A</v>
      </c>
      <c r="AS221" s="60" t="e">
        <f>#N/A</f>
        <v>#N/A</v>
      </c>
      <c r="AT221" s="60" t="e">
        <f>#N/A</f>
        <v>#N/A</v>
      </c>
      <c r="AU221" s="60" t="e">
        <f>#N/A</f>
        <v>#N/A</v>
      </c>
    </row>
    <row r="222" spans="1:47" x14ac:dyDescent="0.2">
      <c r="A222" s="43">
        <v>0.01</v>
      </c>
      <c r="B222" s="43">
        <v>1.8546177526996832E-3</v>
      </c>
      <c r="C222" s="43">
        <v>0</v>
      </c>
      <c r="D222" s="7" t="e">
        <f>#N/A</f>
        <v>#N/A</v>
      </c>
      <c r="E222" s="7" t="e">
        <f>#N/A</f>
        <v>#N/A</v>
      </c>
      <c r="F222" s="47" t="e">
        <f>#N/A</f>
        <v>#N/A</v>
      </c>
      <c r="G222" s="37" t="e">
        <f>#N/A</f>
        <v>#N/A</v>
      </c>
      <c r="H222" s="47" t="e">
        <f>#N/A</f>
        <v>#N/A</v>
      </c>
      <c r="I222" s="4"/>
      <c r="J222" s="4"/>
      <c r="K222" s="4"/>
      <c r="L222" s="4"/>
      <c r="M222" s="4"/>
      <c r="N222" s="49">
        <v>5.0650000000000004</v>
      </c>
      <c r="O222" s="51">
        <v>5.2492977284550024</v>
      </c>
      <c r="P222" s="51">
        <v>0.10870227154499738</v>
      </c>
      <c r="Q222" s="5"/>
      <c r="R222" s="51">
        <v>3.359</v>
      </c>
      <c r="S222" s="2">
        <v>1.4550000000000001</v>
      </c>
      <c r="T222" s="52"/>
      <c r="U222" s="48" t="e">
        <f>#N/A</f>
        <v>#N/A</v>
      </c>
      <c r="V222" s="50" t="e">
        <f>#N/A</f>
        <v>#N/A</v>
      </c>
      <c r="W222" s="5"/>
      <c r="X222" s="5"/>
      <c r="Y222" s="5"/>
      <c r="Z222" s="5"/>
      <c r="AA222" s="5"/>
      <c r="AB222" s="49">
        <v>2.22553605498871</v>
      </c>
      <c r="AC222" s="47" t="e">
        <f>#N/A</f>
        <v>#N/A</v>
      </c>
      <c r="AD222" s="52"/>
      <c r="AE222" s="48"/>
      <c r="AF222" s="50"/>
      <c r="AG222" s="18"/>
      <c r="AH222" s="18"/>
      <c r="AI222" s="18"/>
      <c r="AJ222" s="18"/>
      <c r="AK222" s="18"/>
      <c r="AL222" s="18"/>
      <c r="AM222" s="18"/>
      <c r="AN222" s="18"/>
      <c r="AO222" s="5"/>
      <c r="AP222" s="5"/>
      <c r="AQ222" s="8" t="e">
        <f>#N/A</f>
        <v>#N/A</v>
      </c>
      <c r="AR222" s="8" t="e">
        <f>#N/A</f>
        <v>#N/A</v>
      </c>
      <c r="AS222" s="60" t="e">
        <f>#N/A</f>
        <v>#N/A</v>
      </c>
      <c r="AT222" s="60" t="e">
        <f>#N/A</f>
        <v>#N/A</v>
      </c>
      <c r="AU222" s="60" t="e">
        <f>#N/A</f>
        <v>#N/A</v>
      </c>
    </row>
    <row r="223" spans="1:47" x14ac:dyDescent="0.2">
      <c r="A223" s="43">
        <v>0.01</v>
      </c>
      <c r="B223" s="43">
        <v>1.8546177526996832E-3</v>
      </c>
      <c r="C223" s="43">
        <v>0</v>
      </c>
      <c r="D223" s="7" t="e">
        <f>#N/A</f>
        <v>#N/A</v>
      </c>
      <c r="E223" s="7" t="e">
        <f>#N/A</f>
        <v>#N/A</v>
      </c>
      <c r="F223" s="47" t="e">
        <f>#N/A</f>
        <v>#N/A</v>
      </c>
      <c r="G223" s="37" t="e">
        <f>#N/A</f>
        <v>#N/A</v>
      </c>
      <c r="H223" s="47" t="e">
        <f>#N/A</f>
        <v>#N/A</v>
      </c>
      <c r="I223" s="4"/>
      <c r="J223" s="4"/>
      <c r="K223" s="4"/>
      <c r="L223" s="4"/>
      <c r="M223" s="4"/>
      <c r="N223" s="49">
        <v>5.0650000000000004</v>
      </c>
      <c r="O223" s="51">
        <v>5.2492977284550024</v>
      </c>
      <c r="P223" s="51">
        <v>0.10870227154499738</v>
      </c>
      <c r="Q223" s="5"/>
      <c r="R223" s="51">
        <v>3.359</v>
      </c>
      <c r="S223" s="2">
        <v>1.4550000000000001</v>
      </c>
      <c r="T223" s="52"/>
      <c r="U223" s="48" t="e">
        <f>#N/A</f>
        <v>#N/A</v>
      </c>
      <c r="V223" s="50" t="e">
        <f>#N/A</f>
        <v>#N/A</v>
      </c>
      <c r="W223" s="5"/>
      <c r="X223" s="5"/>
      <c r="Y223" s="5"/>
      <c r="Z223" s="5"/>
      <c r="AA223" s="5"/>
      <c r="AB223" s="49">
        <v>2.22553605498871</v>
      </c>
      <c r="AC223" s="47" t="e">
        <f>#N/A</f>
        <v>#N/A</v>
      </c>
      <c r="AD223" s="52"/>
      <c r="AE223" s="48"/>
      <c r="AF223" s="50"/>
      <c r="AG223" s="18"/>
      <c r="AH223" s="18"/>
      <c r="AI223" s="18"/>
      <c r="AJ223" s="18"/>
      <c r="AK223" s="18"/>
      <c r="AL223" s="18"/>
      <c r="AM223" s="18"/>
      <c r="AN223" s="18"/>
      <c r="AO223" s="5"/>
      <c r="AP223" s="5"/>
      <c r="AQ223" s="8" t="e">
        <f>#N/A</f>
        <v>#N/A</v>
      </c>
      <c r="AR223" s="8" t="e">
        <f>#N/A</f>
        <v>#N/A</v>
      </c>
      <c r="AS223" s="60" t="e">
        <f>#N/A</f>
        <v>#N/A</v>
      </c>
      <c r="AT223" s="60" t="e">
        <f>#N/A</f>
        <v>#N/A</v>
      </c>
      <c r="AU223" s="60" t="e">
        <f>#N/A</f>
        <v>#N/A</v>
      </c>
    </row>
    <row r="224" spans="1:47" x14ac:dyDescent="0.2">
      <c r="A224" s="43">
        <v>0.01</v>
      </c>
      <c r="B224" s="43">
        <v>1.8546177526996832E-3</v>
      </c>
      <c r="C224" s="43">
        <v>0</v>
      </c>
      <c r="D224" s="7" t="e">
        <f>#N/A</f>
        <v>#N/A</v>
      </c>
      <c r="E224" s="7" t="e">
        <f>#N/A</f>
        <v>#N/A</v>
      </c>
      <c r="F224" s="47" t="e">
        <f>#N/A</f>
        <v>#N/A</v>
      </c>
      <c r="G224" s="37" t="e">
        <f>#N/A</f>
        <v>#N/A</v>
      </c>
      <c r="H224" s="47" t="e">
        <f>#N/A</f>
        <v>#N/A</v>
      </c>
      <c r="I224" s="4"/>
      <c r="J224" s="4"/>
      <c r="K224" s="4"/>
      <c r="L224" s="4"/>
      <c r="M224" s="4"/>
      <c r="N224" s="49">
        <v>5.0650000000000004</v>
      </c>
      <c r="O224" s="51">
        <v>5.2492977284550024</v>
      </c>
      <c r="P224" s="51">
        <v>0.10870227154499738</v>
      </c>
      <c r="Q224" s="5"/>
      <c r="R224" s="51">
        <v>3.359</v>
      </c>
      <c r="S224" s="2">
        <v>1.4550000000000001</v>
      </c>
      <c r="T224" s="52"/>
      <c r="U224" s="48" t="e">
        <f>#N/A</f>
        <v>#N/A</v>
      </c>
      <c r="V224" s="50" t="e">
        <f>#N/A</f>
        <v>#N/A</v>
      </c>
      <c r="W224" s="5"/>
      <c r="X224" s="5"/>
      <c r="Y224" s="5"/>
      <c r="Z224" s="5"/>
      <c r="AA224" s="5"/>
      <c r="AB224" s="49">
        <v>2.22553605498871</v>
      </c>
      <c r="AC224" s="47" t="e">
        <f>#N/A</f>
        <v>#N/A</v>
      </c>
      <c r="AD224" s="52"/>
      <c r="AE224" s="48"/>
      <c r="AF224" s="50"/>
      <c r="AG224" s="18"/>
      <c r="AH224" s="18"/>
      <c r="AI224" s="18"/>
      <c r="AJ224" s="18"/>
      <c r="AK224" s="18"/>
      <c r="AL224" s="18"/>
      <c r="AM224" s="18"/>
      <c r="AN224" s="18"/>
      <c r="AO224" s="5"/>
      <c r="AP224" s="5"/>
      <c r="AQ224" s="8" t="e">
        <f>#N/A</f>
        <v>#N/A</v>
      </c>
      <c r="AR224" s="8" t="e">
        <f>#N/A</f>
        <v>#N/A</v>
      </c>
      <c r="AS224" s="60" t="e">
        <f>#N/A</f>
        <v>#N/A</v>
      </c>
      <c r="AT224" s="60" t="e">
        <f>#N/A</f>
        <v>#N/A</v>
      </c>
      <c r="AU224" s="60" t="e">
        <f>#N/A</f>
        <v>#N/A</v>
      </c>
    </row>
    <row r="225" spans="1:47" x14ac:dyDescent="0.2">
      <c r="A225" s="43">
        <v>0.01</v>
      </c>
      <c r="B225" s="43">
        <v>1.8546177526996832E-3</v>
      </c>
      <c r="C225" s="43">
        <v>0</v>
      </c>
      <c r="D225" s="7" t="e">
        <f>#N/A</f>
        <v>#N/A</v>
      </c>
      <c r="E225" s="7" t="e">
        <f>#N/A</f>
        <v>#N/A</v>
      </c>
      <c r="F225" s="47" t="e">
        <f>#N/A</f>
        <v>#N/A</v>
      </c>
      <c r="G225" s="37" t="e">
        <f>#N/A</f>
        <v>#N/A</v>
      </c>
      <c r="H225" s="47" t="e">
        <f>#N/A</f>
        <v>#N/A</v>
      </c>
      <c r="I225" s="4"/>
      <c r="J225" s="4"/>
      <c r="K225" s="4"/>
      <c r="L225" s="4"/>
      <c r="M225" s="4"/>
      <c r="N225" s="49">
        <v>5.0650000000000004</v>
      </c>
      <c r="O225" s="51">
        <v>5.2492977284550024</v>
      </c>
      <c r="P225" s="51">
        <v>0.10870227154499738</v>
      </c>
      <c r="Q225" s="5"/>
      <c r="R225" s="51">
        <v>3.359</v>
      </c>
      <c r="S225" s="2">
        <v>1.4550000000000001</v>
      </c>
      <c r="T225" s="52"/>
      <c r="U225" s="48" t="e">
        <f>#N/A</f>
        <v>#N/A</v>
      </c>
      <c r="V225" s="50" t="e">
        <f>#N/A</f>
        <v>#N/A</v>
      </c>
      <c r="W225" s="5"/>
      <c r="X225" s="5"/>
      <c r="Y225" s="5"/>
      <c r="Z225" s="5"/>
      <c r="AA225" s="5"/>
      <c r="AB225" s="49">
        <v>2.22553605498871</v>
      </c>
      <c r="AC225" s="47" t="e">
        <f>#N/A</f>
        <v>#N/A</v>
      </c>
      <c r="AD225" s="52"/>
      <c r="AE225" s="48"/>
      <c r="AF225" s="50"/>
      <c r="AG225" s="18"/>
      <c r="AH225" s="18"/>
      <c r="AI225" s="18"/>
      <c r="AJ225" s="18"/>
      <c r="AK225" s="18"/>
      <c r="AL225" s="18"/>
      <c r="AM225" s="18"/>
      <c r="AN225" s="18"/>
      <c r="AO225" s="5"/>
      <c r="AP225" s="5"/>
      <c r="AQ225" s="8" t="e">
        <f>#N/A</f>
        <v>#N/A</v>
      </c>
      <c r="AR225" s="8" t="e">
        <f>#N/A</f>
        <v>#N/A</v>
      </c>
      <c r="AS225" s="60" t="e">
        <f>#N/A</f>
        <v>#N/A</v>
      </c>
      <c r="AT225" s="60" t="e">
        <f>#N/A</f>
        <v>#N/A</v>
      </c>
      <c r="AU225" s="60" t="e">
        <f>#N/A</f>
        <v>#N/A</v>
      </c>
    </row>
    <row r="226" spans="1:47" x14ac:dyDescent="0.2">
      <c r="A226" s="43">
        <v>0.01</v>
      </c>
      <c r="B226" s="43">
        <v>1.8546177526996832E-3</v>
      </c>
      <c r="C226" s="43">
        <v>0</v>
      </c>
      <c r="D226" s="7" t="e">
        <f>#N/A</f>
        <v>#N/A</v>
      </c>
      <c r="E226" s="7" t="e">
        <f>#N/A</f>
        <v>#N/A</v>
      </c>
      <c r="F226" s="47" t="e">
        <f>#N/A</f>
        <v>#N/A</v>
      </c>
      <c r="G226" s="37" t="e">
        <f>#N/A</f>
        <v>#N/A</v>
      </c>
      <c r="H226" s="47" t="e">
        <f>#N/A</f>
        <v>#N/A</v>
      </c>
      <c r="I226" s="4"/>
      <c r="J226" s="4"/>
      <c r="K226" s="4"/>
      <c r="L226" s="4"/>
      <c r="M226" s="4"/>
      <c r="N226" s="49">
        <v>5.0650000000000004</v>
      </c>
      <c r="O226" s="51">
        <v>5.2492977284550024</v>
      </c>
      <c r="P226" s="51">
        <v>0.10870227154499738</v>
      </c>
      <c r="Q226" s="5"/>
      <c r="R226" s="51">
        <v>3.359</v>
      </c>
      <c r="S226" s="2">
        <v>1.4550000000000001</v>
      </c>
      <c r="T226" s="52"/>
      <c r="U226" s="48" t="e">
        <f>#N/A</f>
        <v>#N/A</v>
      </c>
      <c r="V226" s="50" t="e">
        <f>#N/A</f>
        <v>#N/A</v>
      </c>
      <c r="W226" s="5"/>
      <c r="X226" s="5"/>
      <c r="Y226" s="5"/>
      <c r="Z226" s="5"/>
      <c r="AA226" s="5"/>
      <c r="AB226" s="49">
        <v>2.22553605498871</v>
      </c>
      <c r="AC226" s="47" t="e">
        <f>#N/A</f>
        <v>#N/A</v>
      </c>
      <c r="AD226" s="52"/>
      <c r="AE226" s="48"/>
      <c r="AF226" s="50"/>
      <c r="AG226" s="18"/>
      <c r="AH226" s="18"/>
      <c r="AI226" s="18"/>
      <c r="AJ226" s="18"/>
      <c r="AK226" s="18"/>
      <c r="AL226" s="18"/>
      <c r="AM226" s="18"/>
      <c r="AN226" s="18"/>
      <c r="AO226" s="5"/>
      <c r="AP226" s="5"/>
      <c r="AQ226" s="8" t="e">
        <f>#N/A</f>
        <v>#N/A</v>
      </c>
      <c r="AR226" s="8" t="e">
        <f>#N/A</f>
        <v>#N/A</v>
      </c>
      <c r="AS226" s="60" t="e">
        <f>#N/A</f>
        <v>#N/A</v>
      </c>
      <c r="AT226" s="60" t="e">
        <f>#N/A</f>
        <v>#N/A</v>
      </c>
      <c r="AU226" s="60" t="e">
        <f>#N/A</f>
        <v>#N/A</v>
      </c>
    </row>
    <row r="227" spans="1:47" x14ac:dyDescent="0.2">
      <c r="A227" s="43">
        <v>0.01</v>
      </c>
      <c r="B227" s="43">
        <v>1.8546177526996832E-3</v>
      </c>
      <c r="C227" s="43">
        <v>0</v>
      </c>
      <c r="D227" s="7" t="e">
        <f>#N/A</f>
        <v>#N/A</v>
      </c>
      <c r="E227" s="7" t="e">
        <f>#N/A</f>
        <v>#N/A</v>
      </c>
      <c r="F227" s="47" t="e">
        <f>#N/A</f>
        <v>#N/A</v>
      </c>
      <c r="G227" s="37" t="e">
        <f>#N/A</f>
        <v>#N/A</v>
      </c>
      <c r="H227" s="47" t="e">
        <f>#N/A</f>
        <v>#N/A</v>
      </c>
      <c r="I227" s="4"/>
      <c r="J227" s="4"/>
      <c r="K227" s="4"/>
      <c r="L227" s="4"/>
      <c r="M227" s="4"/>
      <c r="N227" s="49">
        <v>5.0650000000000004</v>
      </c>
      <c r="O227" s="51">
        <v>5.2492977284550024</v>
      </c>
      <c r="P227" s="51">
        <v>0.10870227154499738</v>
      </c>
      <c r="Q227" s="5"/>
      <c r="R227" s="51">
        <v>3.359</v>
      </c>
      <c r="S227" s="2">
        <v>1.4550000000000001</v>
      </c>
      <c r="T227" s="52"/>
      <c r="U227" s="48" t="e">
        <f>#N/A</f>
        <v>#N/A</v>
      </c>
      <c r="V227" s="50" t="e">
        <f>#N/A</f>
        <v>#N/A</v>
      </c>
      <c r="W227" s="5"/>
      <c r="X227" s="5"/>
      <c r="Y227" s="5"/>
      <c r="Z227" s="5"/>
      <c r="AA227" s="5"/>
      <c r="AB227" s="49">
        <v>2.22553605498871</v>
      </c>
      <c r="AC227" s="47" t="e">
        <f>#N/A</f>
        <v>#N/A</v>
      </c>
      <c r="AD227" s="52"/>
      <c r="AE227" s="48"/>
      <c r="AF227" s="50"/>
      <c r="AG227" s="18"/>
      <c r="AH227" s="18"/>
      <c r="AI227" s="18"/>
      <c r="AJ227" s="18"/>
      <c r="AK227" s="18"/>
      <c r="AL227" s="18"/>
      <c r="AM227" s="18"/>
      <c r="AN227" s="18"/>
      <c r="AO227" s="5"/>
      <c r="AP227" s="5"/>
      <c r="AQ227" s="8" t="e">
        <f>#N/A</f>
        <v>#N/A</v>
      </c>
      <c r="AR227" s="8" t="e">
        <f>#N/A</f>
        <v>#N/A</v>
      </c>
      <c r="AS227" s="60" t="e">
        <f>#N/A</f>
        <v>#N/A</v>
      </c>
      <c r="AT227" s="60" t="e">
        <f>#N/A</f>
        <v>#N/A</v>
      </c>
      <c r="AU227" s="60" t="e">
        <f>#N/A</f>
        <v>#N/A</v>
      </c>
    </row>
    <row r="228" spans="1:47" x14ac:dyDescent="0.2">
      <c r="A228" s="43">
        <v>0.01</v>
      </c>
      <c r="B228" s="43">
        <v>1.8546177526996832E-3</v>
      </c>
      <c r="C228" s="43">
        <v>0</v>
      </c>
      <c r="D228" s="7" t="e">
        <f>#N/A</f>
        <v>#N/A</v>
      </c>
      <c r="E228" s="7" t="e">
        <f>#N/A</f>
        <v>#N/A</v>
      </c>
      <c r="F228" s="47" t="e">
        <f>#N/A</f>
        <v>#N/A</v>
      </c>
      <c r="G228" s="37" t="e">
        <f>#N/A</f>
        <v>#N/A</v>
      </c>
      <c r="H228" s="47" t="e">
        <f>#N/A</f>
        <v>#N/A</v>
      </c>
      <c r="I228" s="4"/>
      <c r="J228" s="4"/>
      <c r="K228" s="4"/>
      <c r="L228" s="4"/>
      <c r="M228" s="4"/>
      <c r="N228" s="49">
        <v>5.0650000000000004</v>
      </c>
      <c r="O228" s="51">
        <v>5.2492977284550024</v>
      </c>
      <c r="P228" s="51">
        <v>0.10870227154499738</v>
      </c>
      <c r="Q228" s="5"/>
      <c r="R228" s="51">
        <v>3.359</v>
      </c>
      <c r="S228" s="2">
        <v>1.4550000000000001</v>
      </c>
      <c r="T228" s="52"/>
      <c r="U228" s="48" t="e">
        <f>#N/A</f>
        <v>#N/A</v>
      </c>
      <c r="V228" s="50" t="e">
        <f>#N/A</f>
        <v>#N/A</v>
      </c>
      <c r="W228" s="5"/>
      <c r="X228" s="5"/>
      <c r="Y228" s="5"/>
      <c r="Z228" s="5"/>
      <c r="AA228" s="5"/>
      <c r="AB228" s="49">
        <v>2.22553605498871</v>
      </c>
      <c r="AC228" s="47" t="e">
        <f>#N/A</f>
        <v>#N/A</v>
      </c>
      <c r="AD228" s="52"/>
      <c r="AE228" s="48"/>
      <c r="AF228" s="50"/>
      <c r="AG228" s="18"/>
      <c r="AH228" s="18"/>
      <c r="AI228" s="18"/>
      <c r="AJ228" s="18"/>
      <c r="AK228" s="18"/>
      <c r="AL228" s="18"/>
      <c r="AM228" s="18"/>
      <c r="AN228" s="18"/>
      <c r="AO228" s="5"/>
      <c r="AP228" s="5"/>
      <c r="AQ228" s="8" t="e">
        <f>#N/A</f>
        <v>#N/A</v>
      </c>
      <c r="AR228" s="8" t="e">
        <f>#N/A</f>
        <v>#N/A</v>
      </c>
      <c r="AS228" s="60" t="e">
        <f>#N/A</f>
        <v>#N/A</v>
      </c>
      <c r="AT228" s="60" t="e">
        <f>#N/A</f>
        <v>#N/A</v>
      </c>
      <c r="AU228" s="60" t="e">
        <f>#N/A</f>
        <v>#N/A</v>
      </c>
    </row>
    <row r="229" spans="1:47" x14ac:dyDescent="0.2">
      <c r="A229" s="43">
        <v>0.01</v>
      </c>
      <c r="B229" s="43">
        <v>1.8546177526996832E-3</v>
      </c>
      <c r="C229" s="43">
        <v>0</v>
      </c>
      <c r="D229" s="7" t="e">
        <f>#N/A</f>
        <v>#N/A</v>
      </c>
      <c r="E229" s="7" t="e">
        <f>#N/A</f>
        <v>#N/A</v>
      </c>
      <c r="F229" s="47" t="e">
        <f>#N/A</f>
        <v>#N/A</v>
      </c>
      <c r="G229" s="37" t="e">
        <f>#N/A</f>
        <v>#N/A</v>
      </c>
      <c r="H229" s="47" t="e">
        <f>#N/A</f>
        <v>#N/A</v>
      </c>
      <c r="I229" s="4"/>
      <c r="J229" s="4"/>
      <c r="K229" s="4"/>
      <c r="L229" s="4"/>
      <c r="M229" s="4"/>
      <c r="N229" s="49">
        <v>5.0650000000000004</v>
      </c>
      <c r="O229" s="51">
        <v>5.2492977284550024</v>
      </c>
      <c r="P229" s="51">
        <v>0.10870227154499738</v>
      </c>
      <c r="Q229" s="5"/>
      <c r="R229" s="51">
        <v>3.359</v>
      </c>
      <c r="S229" s="2">
        <v>1.4550000000000001</v>
      </c>
      <c r="T229" s="52"/>
      <c r="U229" s="48" t="e">
        <f>#N/A</f>
        <v>#N/A</v>
      </c>
      <c r="V229" s="50" t="e">
        <f>#N/A</f>
        <v>#N/A</v>
      </c>
      <c r="W229" s="5"/>
      <c r="X229" s="5"/>
      <c r="Y229" s="5"/>
      <c r="Z229" s="5"/>
      <c r="AA229" s="5"/>
      <c r="AB229" s="49">
        <v>2.22553605498871</v>
      </c>
      <c r="AC229" s="47" t="e">
        <f>#N/A</f>
        <v>#N/A</v>
      </c>
      <c r="AD229" s="52"/>
      <c r="AE229" s="48"/>
      <c r="AF229" s="50"/>
      <c r="AG229" s="18"/>
      <c r="AH229" s="18"/>
      <c r="AI229" s="18"/>
      <c r="AJ229" s="18"/>
      <c r="AK229" s="18"/>
      <c r="AL229" s="18"/>
      <c r="AM229" s="18"/>
      <c r="AN229" s="18"/>
      <c r="AO229" s="5"/>
      <c r="AP229" s="5"/>
      <c r="AQ229" s="8" t="e">
        <f>#N/A</f>
        <v>#N/A</v>
      </c>
      <c r="AR229" s="8" t="e">
        <f>#N/A</f>
        <v>#N/A</v>
      </c>
      <c r="AS229" s="60" t="e">
        <f>#N/A</f>
        <v>#N/A</v>
      </c>
      <c r="AT229" s="60" t="e">
        <f>#N/A</f>
        <v>#N/A</v>
      </c>
      <c r="AU229" s="60" t="e">
        <f>#N/A</f>
        <v>#N/A</v>
      </c>
    </row>
    <row r="230" spans="1:47" x14ac:dyDescent="0.2">
      <c r="A230" s="43">
        <v>0.01</v>
      </c>
      <c r="B230" s="43">
        <v>1.8546177526996832E-3</v>
      </c>
      <c r="C230" s="43">
        <v>0</v>
      </c>
      <c r="D230" s="7" t="e">
        <f>#N/A</f>
        <v>#N/A</v>
      </c>
      <c r="E230" s="7" t="e">
        <f>#N/A</f>
        <v>#N/A</v>
      </c>
      <c r="F230" s="47" t="e">
        <f>#N/A</f>
        <v>#N/A</v>
      </c>
      <c r="G230" s="37" t="e">
        <f>#N/A</f>
        <v>#N/A</v>
      </c>
      <c r="H230" s="47" t="e">
        <f>#N/A</f>
        <v>#N/A</v>
      </c>
      <c r="I230" s="4"/>
      <c r="J230" s="4"/>
      <c r="K230" s="4"/>
      <c r="L230" s="4"/>
      <c r="M230" s="4"/>
      <c r="N230" s="49">
        <v>5.0650000000000004</v>
      </c>
      <c r="O230" s="51">
        <v>5.2492977284550024</v>
      </c>
      <c r="P230" s="51">
        <v>0.10870227154499738</v>
      </c>
      <c r="Q230" s="5"/>
      <c r="R230" s="51">
        <v>3.359</v>
      </c>
      <c r="S230" s="2">
        <v>1.4550000000000001</v>
      </c>
      <c r="T230" s="52"/>
      <c r="U230" s="48" t="e">
        <f>#N/A</f>
        <v>#N/A</v>
      </c>
      <c r="V230" s="50" t="e">
        <f>#N/A</f>
        <v>#N/A</v>
      </c>
      <c r="W230" s="5"/>
      <c r="X230" s="5"/>
      <c r="Y230" s="5"/>
      <c r="Z230" s="5"/>
      <c r="AA230" s="5"/>
      <c r="AB230" s="49">
        <v>2.22553605498871</v>
      </c>
      <c r="AC230" s="47" t="e">
        <f>#N/A</f>
        <v>#N/A</v>
      </c>
      <c r="AD230" s="52"/>
      <c r="AE230" s="48"/>
      <c r="AF230" s="50"/>
      <c r="AG230" s="18"/>
      <c r="AH230" s="18"/>
      <c r="AI230" s="18"/>
      <c r="AJ230" s="18"/>
      <c r="AK230" s="18"/>
      <c r="AL230" s="18"/>
      <c r="AM230" s="18"/>
      <c r="AN230" s="18"/>
      <c r="AO230" s="5"/>
      <c r="AP230" s="5"/>
      <c r="AQ230" s="8" t="e">
        <f>#N/A</f>
        <v>#N/A</v>
      </c>
      <c r="AR230" s="8" t="e">
        <f>#N/A</f>
        <v>#N/A</v>
      </c>
      <c r="AS230" s="60" t="e">
        <f>#N/A</f>
        <v>#N/A</v>
      </c>
      <c r="AT230" s="60" t="e">
        <f>#N/A</f>
        <v>#N/A</v>
      </c>
      <c r="AU230" s="60" t="e">
        <f>#N/A</f>
        <v>#N/A</v>
      </c>
    </row>
    <row r="231" spans="1:47" x14ac:dyDescent="0.2">
      <c r="A231" s="43">
        <v>0.01</v>
      </c>
      <c r="B231" s="43">
        <v>1.8546177526996832E-3</v>
      </c>
      <c r="C231" s="43">
        <v>0</v>
      </c>
      <c r="D231" s="7" t="e">
        <f>#N/A</f>
        <v>#N/A</v>
      </c>
      <c r="E231" s="7" t="e">
        <f>#N/A</f>
        <v>#N/A</v>
      </c>
      <c r="F231" s="47" t="e">
        <f>#N/A</f>
        <v>#N/A</v>
      </c>
      <c r="G231" s="37" t="e">
        <f>#N/A</f>
        <v>#N/A</v>
      </c>
      <c r="H231" s="47" t="e">
        <f>#N/A</f>
        <v>#N/A</v>
      </c>
      <c r="I231" s="4"/>
      <c r="J231" s="4"/>
      <c r="K231" s="4"/>
      <c r="L231" s="4"/>
      <c r="M231" s="4"/>
      <c r="N231" s="49">
        <v>5.0650000000000004</v>
      </c>
      <c r="O231" s="51">
        <v>5.2492977284550024</v>
      </c>
      <c r="P231" s="51">
        <v>0.10870227154499738</v>
      </c>
      <c r="Q231" s="5"/>
      <c r="R231" s="51">
        <v>3.359</v>
      </c>
      <c r="S231" s="2">
        <v>1.4550000000000001</v>
      </c>
      <c r="T231" s="52"/>
      <c r="U231" s="48" t="e">
        <f>#N/A</f>
        <v>#N/A</v>
      </c>
      <c r="V231" s="50" t="e">
        <f>#N/A</f>
        <v>#N/A</v>
      </c>
      <c r="W231" s="5"/>
      <c r="X231" s="5"/>
      <c r="Y231" s="5"/>
      <c r="Z231" s="5"/>
      <c r="AA231" s="5"/>
      <c r="AB231" s="49">
        <v>2.22553605498871</v>
      </c>
      <c r="AC231" s="47" t="e">
        <f>#N/A</f>
        <v>#N/A</v>
      </c>
      <c r="AD231" s="52"/>
      <c r="AE231" s="48"/>
      <c r="AF231" s="50"/>
      <c r="AG231" s="18"/>
      <c r="AH231" s="18"/>
      <c r="AI231" s="18"/>
      <c r="AJ231" s="18"/>
      <c r="AK231" s="18"/>
      <c r="AL231" s="18"/>
      <c r="AM231" s="18"/>
      <c r="AN231" s="18"/>
      <c r="AO231" s="5"/>
      <c r="AP231" s="5"/>
      <c r="AQ231" s="8" t="e">
        <f>#N/A</f>
        <v>#N/A</v>
      </c>
      <c r="AR231" s="8" t="e">
        <f>#N/A</f>
        <v>#N/A</v>
      </c>
      <c r="AS231" s="60" t="e">
        <f>#N/A</f>
        <v>#N/A</v>
      </c>
      <c r="AT231" s="60" t="e">
        <f>#N/A</f>
        <v>#N/A</v>
      </c>
      <c r="AU231" s="60" t="e">
        <f>#N/A</f>
        <v>#N/A</v>
      </c>
    </row>
    <row r="232" spans="1:47" x14ac:dyDescent="0.2">
      <c r="A232" s="43">
        <v>0.01</v>
      </c>
      <c r="B232" s="43">
        <v>1.8546177526996832E-3</v>
      </c>
      <c r="C232" s="43">
        <v>0</v>
      </c>
      <c r="D232" s="7" t="e">
        <f>#N/A</f>
        <v>#N/A</v>
      </c>
      <c r="E232" s="7" t="e">
        <f>#N/A</f>
        <v>#N/A</v>
      </c>
      <c r="F232" s="47" t="e">
        <f>#N/A</f>
        <v>#N/A</v>
      </c>
      <c r="G232" s="37" t="e">
        <f>#N/A</f>
        <v>#N/A</v>
      </c>
      <c r="H232" s="47" t="e">
        <f>#N/A</f>
        <v>#N/A</v>
      </c>
      <c r="I232" s="4"/>
      <c r="J232" s="4"/>
      <c r="K232" s="4"/>
      <c r="L232" s="4"/>
      <c r="M232" s="4"/>
      <c r="N232" s="49">
        <v>5.0650000000000004</v>
      </c>
      <c r="O232" s="51">
        <v>5.2492977284550024</v>
      </c>
      <c r="P232" s="51">
        <v>0.10870227154499738</v>
      </c>
      <c r="Q232" s="5"/>
      <c r="R232" s="51">
        <v>3.359</v>
      </c>
      <c r="S232" s="2">
        <v>1.4550000000000001</v>
      </c>
      <c r="T232" s="52"/>
      <c r="U232" s="48" t="e">
        <f>#N/A</f>
        <v>#N/A</v>
      </c>
      <c r="V232" s="50" t="e">
        <f>#N/A</f>
        <v>#N/A</v>
      </c>
      <c r="W232" s="5"/>
      <c r="X232" s="5"/>
      <c r="Y232" s="5"/>
      <c r="Z232" s="5"/>
      <c r="AA232" s="5"/>
      <c r="AB232" s="49">
        <v>2.22553605498871</v>
      </c>
      <c r="AC232" s="47" t="e">
        <f>#N/A</f>
        <v>#N/A</v>
      </c>
      <c r="AD232" s="52"/>
      <c r="AE232" s="48"/>
      <c r="AF232" s="50"/>
      <c r="AG232" s="18"/>
      <c r="AH232" s="18"/>
      <c r="AI232" s="18"/>
      <c r="AJ232" s="18"/>
      <c r="AK232" s="18"/>
      <c r="AL232" s="18"/>
      <c r="AM232" s="18"/>
      <c r="AN232" s="18"/>
      <c r="AO232" s="5"/>
      <c r="AP232" s="5"/>
      <c r="AQ232" s="8" t="e">
        <f>#N/A</f>
        <v>#N/A</v>
      </c>
      <c r="AR232" s="8" t="e">
        <f>#N/A</f>
        <v>#N/A</v>
      </c>
      <c r="AS232" s="60" t="e">
        <f>#N/A</f>
        <v>#N/A</v>
      </c>
      <c r="AT232" s="60" t="e">
        <f>#N/A</f>
        <v>#N/A</v>
      </c>
      <c r="AU232" s="60" t="e">
        <f>#N/A</f>
        <v>#N/A</v>
      </c>
    </row>
    <row r="233" spans="1:47" x14ac:dyDescent="0.2">
      <c r="A233" s="43">
        <v>0.01</v>
      </c>
      <c r="B233" s="43">
        <v>1.8511845130406712E-3</v>
      </c>
      <c r="C233" s="43">
        <v>0</v>
      </c>
      <c r="D233" s="7" t="e">
        <f>#N/A</f>
        <v>#N/A</v>
      </c>
      <c r="E233" s="7" t="e">
        <f>#N/A</f>
        <v>#N/A</v>
      </c>
      <c r="F233" s="47" t="e">
        <f>#N/A</f>
        <v>#N/A</v>
      </c>
      <c r="G233" s="37" t="e">
        <f>#N/A</f>
        <v>#N/A</v>
      </c>
      <c r="H233" s="47" t="e">
        <f>#N/A</f>
        <v>#N/A</v>
      </c>
      <c r="I233" s="4"/>
      <c r="J233" s="4"/>
      <c r="K233" s="4"/>
      <c r="L233" s="4"/>
      <c r="M233" s="4"/>
      <c r="N233" s="49">
        <v>5.0650000000000004</v>
      </c>
      <c r="O233" s="51">
        <v>5.2492977284550024</v>
      </c>
      <c r="P233" s="51">
        <v>0.10870227154499738</v>
      </c>
      <c r="Q233" s="5"/>
      <c r="R233" s="51">
        <v>3.359</v>
      </c>
      <c r="S233" s="2">
        <v>1.4550000000000001</v>
      </c>
      <c r="T233" s="52"/>
      <c r="U233" s="48" t="e">
        <f>#N/A</f>
        <v>#N/A</v>
      </c>
      <c r="V233" s="50" t="e">
        <f>#N/A</f>
        <v>#N/A</v>
      </c>
      <c r="W233" s="5"/>
      <c r="X233" s="5"/>
      <c r="Y233" s="5"/>
      <c r="Z233" s="5"/>
      <c r="AA233" s="5"/>
      <c r="AB233" s="49">
        <v>2.22553605498871</v>
      </c>
      <c r="AC233" s="47" t="e">
        <f>#N/A</f>
        <v>#N/A</v>
      </c>
      <c r="AD233" s="52"/>
      <c r="AE233" s="48"/>
      <c r="AF233" s="50"/>
      <c r="AG233" s="18"/>
      <c r="AH233" s="18"/>
      <c r="AI233" s="18"/>
      <c r="AJ233" s="18"/>
      <c r="AK233" s="18"/>
      <c r="AL233" s="18"/>
      <c r="AM233" s="18"/>
      <c r="AN233" s="18"/>
      <c r="AO233" s="5"/>
      <c r="AP233" s="5"/>
      <c r="AQ233" s="8" t="e">
        <f>#N/A</f>
        <v>#N/A</v>
      </c>
      <c r="AR233" s="8" t="e">
        <f>#N/A</f>
        <v>#N/A</v>
      </c>
      <c r="AS233" s="60" t="e">
        <f>#N/A</f>
        <v>#N/A</v>
      </c>
      <c r="AT233" s="60" t="e">
        <f>#N/A</f>
        <v>#N/A</v>
      </c>
      <c r="AU233" s="60" t="e">
        <f>#N/A</f>
        <v>#N/A</v>
      </c>
    </row>
    <row r="234" spans="1:47" x14ac:dyDescent="0.2">
      <c r="A234" s="43">
        <v>0.01</v>
      </c>
      <c r="B234" s="43">
        <v>1.8511845130406712E-3</v>
      </c>
      <c r="C234" s="43">
        <v>0</v>
      </c>
      <c r="D234" s="7" t="e">
        <f>#N/A</f>
        <v>#N/A</v>
      </c>
      <c r="E234" s="7" t="e">
        <f>#N/A</f>
        <v>#N/A</v>
      </c>
      <c r="F234" s="47" t="e">
        <f>#N/A</f>
        <v>#N/A</v>
      </c>
      <c r="G234" s="37" t="e">
        <f>#N/A</f>
        <v>#N/A</v>
      </c>
      <c r="H234" s="47" t="e">
        <f>#N/A</f>
        <v>#N/A</v>
      </c>
      <c r="I234" s="4"/>
      <c r="J234" s="4"/>
      <c r="K234" s="4"/>
      <c r="L234" s="4"/>
      <c r="M234" s="4"/>
      <c r="N234" s="49">
        <v>5.0650000000000004</v>
      </c>
      <c r="O234" s="51">
        <v>5.2492977284550024</v>
      </c>
      <c r="P234" s="51">
        <v>0.10870227154499738</v>
      </c>
      <c r="Q234" s="5"/>
      <c r="R234" s="51">
        <v>3.359</v>
      </c>
      <c r="S234" s="2">
        <v>1.4550000000000001</v>
      </c>
      <c r="T234" s="52"/>
      <c r="U234" s="48" t="e">
        <f>#N/A</f>
        <v>#N/A</v>
      </c>
      <c r="V234" s="50" t="e">
        <f>#N/A</f>
        <v>#N/A</v>
      </c>
      <c r="W234" s="5"/>
      <c r="X234" s="5"/>
      <c r="Y234" s="5"/>
      <c r="Z234" s="5"/>
      <c r="AA234" s="5"/>
      <c r="AB234" s="49">
        <v>2.22553605498871</v>
      </c>
      <c r="AC234" s="47" t="e">
        <f>#N/A</f>
        <v>#N/A</v>
      </c>
      <c r="AD234" s="52"/>
      <c r="AE234" s="48"/>
      <c r="AF234" s="50"/>
      <c r="AG234" s="18"/>
      <c r="AH234" s="18"/>
      <c r="AI234" s="18"/>
      <c r="AJ234" s="18"/>
      <c r="AK234" s="18"/>
      <c r="AL234" s="18"/>
      <c r="AM234" s="18"/>
      <c r="AN234" s="18"/>
      <c r="AO234" s="5"/>
      <c r="AP234" s="5"/>
      <c r="AQ234" s="8" t="e">
        <f>#N/A</f>
        <v>#N/A</v>
      </c>
      <c r="AR234" s="8" t="e">
        <f>#N/A</f>
        <v>#N/A</v>
      </c>
      <c r="AS234" s="60" t="e">
        <f>#N/A</f>
        <v>#N/A</v>
      </c>
      <c r="AT234" s="60" t="e">
        <f>#N/A</f>
        <v>#N/A</v>
      </c>
      <c r="AU234" s="60" t="e">
        <f>#N/A</f>
        <v>#N/A</v>
      </c>
    </row>
    <row r="235" spans="1:47" x14ac:dyDescent="0.2">
      <c r="A235" s="43">
        <v>0.01</v>
      </c>
      <c r="B235" s="43">
        <v>1.8511845130406712E-3</v>
      </c>
      <c r="C235" s="43">
        <v>0</v>
      </c>
      <c r="D235" s="7" t="e">
        <f>#N/A</f>
        <v>#N/A</v>
      </c>
      <c r="E235" s="7" t="e">
        <f>#N/A</f>
        <v>#N/A</v>
      </c>
      <c r="F235" s="47" t="e">
        <f>#N/A</f>
        <v>#N/A</v>
      </c>
      <c r="G235" s="37" t="e">
        <f>#N/A</f>
        <v>#N/A</v>
      </c>
      <c r="H235" s="47" t="e">
        <f>#N/A</f>
        <v>#N/A</v>
      </c>
      <c r="I235" s="4"/>
      <c r="J235" s="4"/>
      <c r="K235" s="4"/>
      <c r="L235" s="4"/>
      <c r="M235" s="4"/>
      <c r="N235" s="49">
        <v>5.0650000000000004</v>
      </c>
      <c r="O235" s="51">
        <v>5.2492977284550024</v>
      </c>
      <c r="P235" s="51">
        <v>0.10870227154499738</v>
      </c>
      <c r="Q235" s="5"/>
      <c r="R235" s="51">
        <v>3.359</v>
      </c>
      <c r="S235" s="2">
        <v>1.4550000000000001</v>
      </c>
      <c r="T235" s="52"/>
      <c r="U235" s="48" t="e">
        <f>#N/A</f>
        <v>#N/A</v>
      </c>
      <c r="V235" s="50" t="e">
        <f>#N/A</f>
        <v>#N/A</v>
      </c>
      <c r="W235" s="5"/>
      <c r="X235" s="5"/>
      <c r="Y235" s="5"/>
      <c r="Z235" s="5"/>
      <c r="AA235" s="5"/>
      <c r="AB235" s="49">
        <v>2.22553605498871</v>
      </c>
      <c r="AC235" s="47" t="e">
        <f>#N/A</f>
        <v>#N/A</v>
      </c>
      <c r="AD235" s="52"/>
      <c r="AE235" s="48"/>
      <c r="AF235" s="50"/>
      <c r="AG235" s="18"/>
      <c r="AH235" s="18"/>
      <c r="AI235" s="18"/>
      <c r="AJ235" s="18"/>
      <c r="AK235" s="18"/>
      <c r="AL235" s="18"/>
      <c r="AM235" s="18"/>
      <c r="AN235" s="18"/>
      <c r="AO235" s="5"/>
      <c r="AP235" s="5"/>
      <c r="AQ235" s="8" t="e">
        <f>#N/A</f>
        <v>#N/A</v>
      </c>
      <c r="AR235" s="8" t="e">
        <f>#N/A</f>
        <v>#N/A</v>
      </c>
      <c r="AS235" s="60" t="e">
        <f>#N/A</f>
        <v>#N/A</v>
      </c>
      <c r="AT235" s="60" t="e">
        <f>#N/A</f>
        <v>#N/A</v>
      </c>
      <c r="AU235" s="60" t="e">
        <f>#N/A</f>
        <v>#N/A</v>
      </c>
    </row>
    <row r="236" spans="1:47" x14ac:dyDescent="0.2">
      <c r="A236" s="43">
        <v>0.01</v>
      </c>
      <c r="B236" s="43">
        <v>1.8511845130406712E-3</v>
      </c>
      <c r="C236" s="43">
        <v>0</v>
      </c>
      <c r="D236" s="7" t="e">
        <f>#N/A</f>
        <v>#N/A</v>
      </c>
      <c r="E236" s="7" t="e">
        <f>#N/A</f>
        <v>#N/A</v>
      </c>
      <c r="F236" s="47" t="e">
        <f>#N/A</f>
        <v>#N/A</v>
      </c>
      <c r="G236" s="37" t="e">
        <f>#N/A</f>
        <v>#N/A</v>
      </c>
      <c r="H236" s="47" t="e">
        <f>#N/A</f>
        <v>#N/A</v>
      </c>
      <c r="I236" s="4"/>
      <c r="J236" s="4"/>
      <c r="K236" s="4"/>
      <c r="L236" s="4"/>
      <c r="M236" s="4"/>
      <c r="N236" s="49">
        <v>5.0650000000000004</v>
      </c>
      <c r="O236" s="51">
        <v>5.2492977284550024</v>
      </c>
      <c r="P236" s="51">
        <v>0.10870227154499738</v>
      </c>
      <c r="Q236" s="5"/>
      <c r="R236" s="51">
        <v>3.359</v>
      </c>
      <c r="S236" s="2">
        <v>1.4550000000000001</v>
      </c>
      <c r="T236" s="52"/>
      <c r="U236" s="48" t="e">
        <f>#N/A</f>
        <v>#N/A</v>
      </c>
      <c r="V236" s="50" t="e">
        <f>#N/A</f>
        <v>#N/A</v>
      </c>
      <c r="W236" s="5"/>
      <c r="X236" s="5"/>
      <c r="Y236" s="5"/>
      <c r="Z236" s="5"/>
      <c r="AA236" s="5"/>
      <c r="AB236" s="49">
        <v>2.22553605498871</v>
      </c>
      <c r="AC236" s="47" t="e">
        <f>#N/A</f>
        <v>#N/A</v>
      </c>
      <c r="AD236" s="52"/>
      <c r="AE236" s="48"/>
      <c r="AF236" s="50"/>
      <c r="AG236" s="18"/>
      <c r="AH236" s="18"/>
      <c r="AI236" s="18"/>
      <c r="AJ236" s="18"/>
      <c r="AK236" s="18"/>
      <c r="AL236" s="18"/>
      <c r="AM236" s="18"/>
      <c r="AN236" s="18"/>
      <c r="AO236" s="5"/>
      <c r="AP236" s="5"/>
      <c r="AQ236" s="8" t="e">
        <f>#N/A</f>
        <v>#N/A</v>
      </c>
      <c r="AR236" s="8" t="e">
        <f>#N/A</f>
        <v>#N/A</v>
      </c>
      <c r="AS236" s="60" t="e">
        <f>#N/A</f>
        <v>#N/A</v>
      </c>
      <c r="AT236" s="60" t="e">
        <f>#N/A</f>
        <v>#N/A</v>
      </c>
      <c r="AU236" s="60" t="e">
        <f>#N/A</f>
        <v>#N/A</v>
      </c>
    </row>
    <row r="237" spans="1:47" x14ac:dyDescent="0.2">
      <c r="A237" s="43">
        <v>0.01</v>
      </c>
      <c r="B237" s="43">
        <v>1.8511845130406712E-3</v>
      </c>
      <c r="C237" s="43">
        <v>0</v>
      </c>
      <c r="D237" s="7" t="e">
        <f>#N/A</f>
        <v>#N/A</v>
      </c>
      <c r="E237" s="7" t="e">
        <f>#N/A</f>
        <v>#N/A</v>
      </c>
      <c r="F237" s="47" t="e">
        <f>#N/A</f>
        <v>#N/A</v>
      </c>
      <c r="G237" s="37" t="e">
        <f>#N/A</f>
        <v>#N/A</v>
      </c>
      <c r="H237" s="47" t="e">
        <f>#N/A</f>
        <v>#N/A</v>
      </c>
      <c r="I237" s="4"/>
      <c r="J237" s="4"/>
      <c r="K237" s="4"/>
      <c r="L237" s="4"/>
      <c r="M237" s="4"/>
      <c r="N237" s="49">
        <v>5.0650000000000004</v>
      </c>
      <c r="O237" s="51">
        <v>5.2492977284550024</v>
      </c>
      <c r="P237" s="51">
        <v>0.10870227154499738</v>
      </c>
      <c r="Q237" s="5"/>
      <c r="R237" s="51">
        <v>3.359</v>
      </c>
      <c r="S237" s="2">
        <v>1.4550000000000001</v>
      </c>
      <c r="T237" s="52"/>
      <c r="U237" s="48" t="e">
        <f>#N/A</f>
        <v>#N/A</v>
      </c>
      <c r="V237" s="50" t="e">
        <f>#N/A</f>
        <v>#N/A</v>
      </c>
      <c r="W237" s="5"/>
      <c r="X237" s="5"/>
      <c r="Y237" s="5"/>
      <c r="Z237" s="5"/>
      <c r="AA237" s="5"/>
      <c r="AB237" s="49">
        <v>2.22553605498871</v>
      </c>
      <c r="AC237" s="47" t="e">
        <f>#N/A</f>
        <v>#N/A</v>
      </c>
      <c r="AD237" s="52"/>
      <c r="AE237" s="48"/>
      <c r="AF237" s="50"/>
      <c r="AG237" s="18"/>
      <c r="AH237" s="18"/>
      <c r="AI237" s="18"/>
      <c r="AJ237" s="18"/>
      <c r="AK237" s="18"/>
      <c r="AL237" s="18"/>
      <c r="AM237" s="18"/>
      <c r="AN237" s="18"/>
      <c r="AO237" s="5"/>
      <c r="AP237" s="5"/>
      <c r="AQ237" s="8" t="e">
        <f>#N/A</f>
        <v>#N/A</v>
      </c>
      <c r="AR237" s="8" t="e">
        <f>#N/A</f>
        <v>#N/A</v>
      </c>
      <c r="AS237" s="60" t="e">
        <f>#N/A</f>
        <v>#N/A</v>
      </c>
      <c r="AT237" s="60" t="e">
        <f>#N/A</f>
        <v>#N/A</v>
      </c>
      <c r="AU237" s="60" t="e">
        <f>#N/A</f>
        <v>#N/A</v>
      </c>
    </row>
    <row r="238" spans="1:47" x14ac:dyDescent="0.2">
      <c r="A238" s="43">
        <v>0.01</v>
      </c>
      <c r="B238" s="43">
        <v>1.8511845130406712E-3</v>
      </c>
      <c r="C238" s="43">
        <v>0</v>
      </c>
      <c r="D238" s="7" t="e">
        <f>#N/A</f>
        <v>#N/A</v>
      </c>
      <c r="E238" s="7" t="e">
        <f>#N/A</f>
        <v>#N/A</v>
      </c>
      <c r="F238" s="47" t="e">
        <f>#N/A</f>
        <v>#N/A</v>
      </c>
      <c r="G238" s="37" t="e">
        <f>#N/A</f>
        <v>#N/A</v>
      </c>
      <c r="H238" s="47" t="e">
        <f>#N/A</f>
        <v>#N/A</v>
      </c>
      <c r="I238" s="4"/>
      <c r="J238" s="4"/>
      <c r="K238" s="4"/>
      <c r="L238" s="4"/>
      <c r="M238" s="4"/>
      <c r="N238" s="49">
        <v>5.0650000000000004</v>
      </c>
      <c r="O238" s="51">
        <v>5.2492977284550024</v>
      </c>
      <c r="P238" s="51">
        <v>0.10870227154499738</v>
      </c>
      <c r="Q238" s="5"/>
      <c r="R238" s="51">
        <v>3.359</v>
      </c>
      <c r="S238" s="2">
        <v>1.4550000000000001</v>
      </c>
      <c r="T238" s="52"/>
      <c r="U238" s="48" t="e">
        <f>#N/A</f>
        <v>#N/A</v>
      </c>
      <c r="V238" s="50" t="e">
        <f>#N/A</f>
        <v>#N/A</v>
      </c>
      <c r="W238" s="5"/>
      <c r="X238" s="5"/>
      <c r="Y238" s="5"/>
      <c r="Z238" s="5"/>
      <c r="AA238" s="5"/>
      <c r="AB238" s="49">
        <v>2.22553605498871</v>
      </c>
      <c r="AC238" s="47" t="e">
        <f>#N/A</f>
        <v>#N/A</v>
      </c>
      <c r="AD238" s="52"/>
      <c r="AE238" s="48"/>
      <c r="AF238" s="50"/>
      <c r="AG238" s="18"/>
      <c r="AH238" s="18"/>
      <c r="AI238" s="18"/>
      <c r="AJ238" s="18"/>
      <c r="AK238" s="18"/>
      <c r="AL238" s="18"/>
      <c r="AM238" s="18"/>
      <c r="AN238" s="18"/>
      <c r="AO238" s="5"/>
      <c r="AP238" s="5"/>
      <c r="AQ238" s="8" t="e">
        <f>#N/A</f>
        <v>#N/A</v>
      </c>
      <c r="AR238" s="8" t="e">
        <f>#N/A</f>
        <v>#N/A</v>
      </c>
      <c r="AS238" s="60" t="e">
        <f>#N/A</f>
        <v>#N/A</v>
      </c>
      <c r="AT238" s="60" t="e">
        <f>#N/A</f>
        <v>#N/A</v>
      </c>
      <c r="AU238" s="60" t="e">
        <f>#N/A</f>
        <v>#N/A</v>
      </c>
    </row>
    <row r="239" spans="1:47" x14ac:dyDescent="0.2">
      <c r="A239" s="43">
        <v>0.01</v>
      </c>
      <c r="B239" s="43">
        <v>1.8511845130406712E-3</v>
      </c>
      <c r="C239" s="43">
        <v>0</v>
      </c>
      <c r="D239" s="7" t="e">
        <f>#N/A</f>
        <v>#N/A</v>
      </c>
      <c r="E239" s="7" t="e">
        <f>#N/A</f>
        <v>#N/A</v>
      </c>
      <c r="F239" s="47" t="e">
        <f>#N/A</f>
        <v>#N/A</v>
      </c>
      <c r="G239" s="37" t="e">
        <f>#N/A</f>
        <v>#N/A</v>
      </c>
      <c r="H239" s="47" t="e">
        <f>#N/A</f>
        <v>#N/A</v>
      </c>
      <c r="I239" s="4"/>
      <c r="J239" s="4"/>
      <c r="K239" s="4"/>
      <c r="L239" s="4"/>
      <c r="M239" s="4"/>
      <c r="N239" s="49">
        <v>5.0650000000000004</v>
      </c>
      <c r="O239" s="51">
        <v>5.2492977284550024</v>
      </c>
      <c r="P239" s="51">
        <v>0.10870227154499738</v>
      </c>
      <c r="Q239" s="5"/>
      <c r="R239" s="51">
        <v>3.359</v>
      </c>
      <c r="S239" s="2">
        <v>1.4550000000000001</v>
      </c>
      <c r="T239" s="52"/>
      <c r="U239" s="48" t="e">
        <f>#N/A</f>
        <v>#N/A</v>
      </c>
      <c r="V239" s="50" t="e">
        <f>#N/A</f>
        <v>#N/A</v>
      </c>
      <c r="W239" s="5"/>
      <c r="X239" s="5"/>
      <c r="Y239" s="5"/>
      <c r="Z239" s="5"/>
      <c r="AA239" s="5"/>
      <c r="AB239" s="49">
        <v>2.22553605498871</v>
      </c>
      <c r="AC239" s="47" t="e">
        <f>#N/A</f>
        <v>#N/A</v>
      </c>
      <c r="AD239" s="52"/>
      <c r="AE239" s="48"/>
      <c r="AF239" s="50"/>
      <c r="AG239" s="18"/>
      <c r="AH239" s="18"/>
      <c r="AI239" s="18"/>
      <c r="AJ239" s="18"/>
      <c r="AK239" s="18"/>
      <c r="AL239" s="18"/>
      <c r="AM239" s="18"/>
      <c r="AN239" s="18"/>
      <c r="AO239" s="5"/>
      <c r="AP239" s="5"/>
      <c r="AQ239" s="8" t="e">
        <f>#N/A</f>
        <v>#N/A</v>
      </c>
      <c r="AR239" s="8" t="e">
        <f>#N/A</f>
        <v>#N/A</v>
      </c>
      <c r="AS239" s="60" t="e">
        <f>#N/A</f>
        <v>#N/A</v>
      </c>
      <c r="AT239" s="60" t="e">
        <f>#N/A</f>
        <v>#N/A</v>
      </c>
      <c r="AU239" s="60" t="e">
        <f>#N/A</f>
        <v>#N/A</v>
      </c>
    </row>
    <row r="240" spans="1:47" x14ac:dyDescent="0.2">
      <c r="A240" s="43">
        <v>0.01</v>
      </c>
      <c r="B240" s="43">
        <v>1.8511845130406712E-3</v>
      </c>
      <c r="C240" s="43">
        <v>0</v>
      </c>
      <c r="D240" s="7" t="e">
        <f>#N/A</f>
        <v>#N/A</v>
      </c>
      <c r="E240" s="7" t="e">
        <f>#N/A</f>
        <v>#N/A</v>
      </c>
      <c r="F240" s="47" t="e">
        <f>#N/A</f>
        <v>#N/A</v>
      </c>
      <c r="G240" s="37" t="e">
        <f>#N/A</f>
        <v>#N/A</v>
      </c>
      <c r="H240" s="47" t="e">
        <f>#N/A</f>
        <v>#N/A</v>
      </c>
      <c r="I240" s="4"/>
      <c r="J240" s="4"/>
      <c r="K240" s="4"/>
      <c r="L240" s="4"/>
      <c r="M240" s="4"/>
      <c r="N240" s="49">
        <v>5.0650000000000004</v>
      </c>
      <c r="O240" s="51">
        <v>5.2492977284550024</v>
      </c>
      <c r="P240" s="51">
        <v>0.10870227154499738</v>
      </c>
      <c r="Q240" s="5"/>
      <c r="R240" s="51">
        <v>3.359</v>
      </c>
      <c r="S240" s="2">
        <v>1.4550000000000001</v>
      </c>
      <c r="T240" s="52"/>
      <c r="U240" s="48" t="e">
        <f>#N/A</f>
        <v>#N/A</v>
      </c>
      <c r="V240" s="50" t="e">
        <f>#N/A</f>
        <v>#N/A</v>
      </c>
      <c r="W240" s="5"/>
      <c r="X240" s="5"/>
      <c r="Y240" s="5"/>
      <c r="Z240" s="5"/>
      <c r="AA240" s="5"/>
      <c r="AB240" s="49">
        <v>2.22553605498871</v>
      </c>
      <c r="AC240" s="47" t="e">
        <f>#N/A</f>
        <v>#N/A</v>
      </c>
      <c r="AD240" s="52"/>
      <c r="AE240" s="48"/>
      <c r="AF240" s="50"/>
      <c r="AG240" s="18"/>
      <c r="AH240" s="18"/>
      <c r="AI240" s="18"/>
      <c r="AJ240" s="18"/>
      <c r="AK240" s="18"/>
      <c r="AL240" s="18"/>
      <c r="AM240" s="18"/>
      <c r="AN240" s="18"/>
      <c r="AO240" s="5"/>
      <c r="AP240" s="5"/>
      <c r="AQ240" s="8" t="e">
        <f>#N/A</f>
        <v>#N/A</v>
      </c>
      <c r="AR240" s="8" t="e">
        <f>#N/A</f>
        <v>#N/A</v>
      </c>
      <c r="AS240" s="60" t="e">
        <f>#N/A</f>
        <v>#N/A</v>
      </c>
      <c r="AT240" s="60" t="e">
        <f>#N/A</f>
        <v>#N/A</v>
      </c>
      <c r="AU240" s="60" t="e">
        <f>#N/A</f>
        <v>#N/A</v>
      </c>
    </row>
    <row r="241" spans="1:47" x14ac:dyDescent="0.2">
      <c r="A241" s="43">
        <v>0.01</v>
      </c>
      <c r="B241" s="43">
        <v>1.8511845130406712E-3</v>
      </c>
      <c r="C241" s="43">
        <v>0</v>
      </c>
      <c r="D241" s="7" t="e">
        <f>#N/A</f>
        <v>#N/A</v>
      </c>
      <c r="E241" s="7" t="e">
        <f>#N/A</f>
        <v>#N/A</v>
      </c>
      <c r="F241" s="47" t="e">
        <f>#N/A</f>
        <v>#N/A</v>
      </c>
      <c r="G241" s="37" t="e">
        <f>#N/A</f>
        <v>#N/A</v>
      </c>
      <c r="H241" s="47" t="e">
        <f>#N/A</f>
        <v>#N/A</v>
      </c>
      <c r="I241" s="4"/>
      <c r="J241" s="4"/>
      <c r="K241" s="4"/>
      <c r="L241" s="4"/>
      <c r="M241" s="4"/>
      <c r="N241" s="49">
        <v>5.0650000000000004</v>
      </c>
      <c r="O241" s="51">
        <v>5.2492977284550024</v>
      </c>
      <c r="P241" s="51">
        <v>0.10870227154499738</v>
      </c>
      <c r="Q241" s="5"/>
      <c r="R241" s="51">
        <v>3.359</v>
      </c>
      <c r="S241" s="2">
        <v>1.4550000000000001</v>
      </c>
      <c r="T241" s="52"/>
      <c r="U241" s="48" t="e">
        <f>#N/A</f>
        <v>#N/A</v>
      </c>
      <c r="V241" s="50" t="e">
        <f>#N/A</f>
        <v>#N/A</v>
      </c>
      <c r="W241" s="5"/>
      <c r="X241" s="5"/>
      <c r="Y241" s="5"/>
      <c r="Z241" s="5"/>
      <c r="AA241" s="5"/>
      <c r="AB241" s="49">
        <v>2.22553605498871</v>
      </c>
      <c r="AC241" s="47" t="e">
        <f>#N/A</f>
        <v>#N/A</v>
      </c>
      <c r="AD241" s="52"/>
      <c r="AE241" s="48"/>
      <c r="AF241" s="50"/>
      <c r="AG241" s="18"/>
      <c r="AH241" s="18"/>
      <c r="AI241" s="18"/>
      <c r="AJ241" s="18"/>
      <c r="AK241" s="18"/>
      <c r="AL241" s="18"/>
      <c r="AM241" s="18"/>
      <c r="AN241" s="18"/>
      <c r="AO241" s="5"/>
      <c r="AP241" s="5"/>
      <c r="AQ241" s="8" t="e">
        <f>#N/A</f>
        <v>#N/A</v>
      </c>
      <c r="AR241" s="8" t="e">
        <f>#N/A</f>
        <v>#N/A</v>
      </c>
      <c r="AS241" s="60" t="e">
        <f>#N/A</f>
        <v>#N/A</v>
      </c>
      <c r="AT241" s="60" t="e">
        <f>#N/A</f>
        <v>#N/A</v>
      </c>
      <c r="AU241" s="60" t="e">
        <f>#N/A</f>
        <v>#N/A</v>
      </c>
    </row>
    <row r="242" spans="1:47" x14ac:dyDescent="0.2">
      <c r="A242" s="43">
        <v>0.01</v>
      </c>
      <c r="B242" s="43">
        <v>1.8511845130406712E-3</v>
      </c>
      <c r="C242" s="43">
        <v>0</v>
      </c>
      <c r="D242" s="7" t="e">
        <f>#N/A</f>
        <v>#N/A</v>
      </c>
      <c r="E242" s="7" t="e">
        <f>#N/A</f>
        <v>#N/A</v>
      </c>
      <c r="F242" s="47" t="e">
        <f>#N/A</f>
        <v>#N/A</v>
      </c>
      <c r="G242" s="37" t="e">
        <f>#N/A</f>
        <v>#N/A</v>
      </c>
      <c r="H242" s="47" t="e">
        <f>#N/A</f>
        <v>#N/A</v>
      </c>
      <c r="I242" s="4"/>
      <c r="J242" s="4"/>
      <c r="K242" s="4"/>
      <c r="L242" s="4"/>
      <c r="M242" s="4"/>
      <c r="N242" s="49">
        <v>5.0650000000000004</v>
      </c>
      <c r="O242" s="51">
        <v>5.2492977284550024</v>
      </c>
      <c r="P242" s="51">
        <v>0.10870227154499738</v>
      </c>
      <c r="Q242" s="5"/>
      <c r="R242" s="51">
        <v>3.359</v>
      </c>
      <c r="S242" s="2">
        <v>1.4550000000000001</v>
      </c>
      <c r="T242" s="52"/>
      <c r="U242" s="48" t="e">
        <f>#N/A</f>
        <v>#N/A</v>
      </c>
      <c r="V242" s="50" t="e">
        <f>#N/A</f>
        <v>#N/A</v>
      </c>
      <c r="W242" s="5"/>
      <c r="X242" s="5"/>
      <c r="Y242" s="5"/>
      <c r="Z242" s="5"/>
      <c r="AA242" s="5"/>
      <c r="AB242" s="49">
        <v>2.22553605498871</v>
      </c>
      <c r="AC242" s="47" t="e">
        <f>#N/A</f>
        <v>#N/A</v>
      </c>
      <c r="AD242" s="52"/>
      <c r="AE242" s="48"/>
      <c r="AF242" s="50"/>
      <c r="AG242" s="18"/>
      <c r="AH242" s="18"/>
      <c r="AI242" s="18"/>
      <c r="AJ242" s="18"/>
      <c r="AK242" s="18"/>
      <c r="AL242" s="18"/>
      <c r="AM242" s="18"/>
      <c r="AN242" s="18"/>
      <c r="AO242" s="5"/>
      <c r="AP242" s="5"/>
      <c r="AQ242" s="8" t="e">
        <f>#N/A</f>
        <v>#N/A</v>
      </c>
      <c r="AR242" s="8" t="e">
        <f>#N/A</f>
        <v>#N/A</v>
      </c>
      <c r="AS242" s="60" t="e">
        <f>#N/A</f>
        <v>#N/A</v>
      </c>
      <c r="AT242" s="60" t="e">
        <f>#N/A</f>
        <v>#N/A</v>
      </c>
      <c r="AU242" s="60" t="e">
        <f>#N/A</f>
        <v>#N/A</v>
      </c>
    </row>
    <row r="243" spans="1:47" x14ac:dyDescent="0.2">
      <c r="A243" s="43">
        <v>0.01</v>
      </c>
      <c r="B243" s="43">
        <v>1.8511845130406712E-3</v>
      </c>
      <c r="C243" s="43">
        <v>0</v>
      </c>
      <c r="D243" s="7" t="e">
        <f>#N/A</f>
        <v>#N/A</v>
      </c>
      <c r="E243" s="7" t="e">
        <f>#N/A</f>
        <v>#N/A</v>
      </c>
      <c r="F243" s="47" t="e">
        <f>#N/A</f>
        <v>#N/A</v>
      </c>
      <c r="G243" s="37" t="e">
        <f>#N/A</f>
        <v>#N/A</v>
      </c>
      <c r="H243" s="47" t="e">
        <f>#N/A</f>
        <v>#N/A</v>
      </c>
      <c r="I243" s="4"/>
      <c r="J243" s="4"/>
      <c r="K243" s="4"/>
      <c r="L243" s="4"/>
      <c r="M243" s="4"/>
      <c r="N243" s="49">
        <v>5.0650000000000004</v>
      </c>
      <c r="O243" s="51">
        <v>5.2492977284550024</v>
      </c>
      <c r="P243" s="51">
        <v>0.10870227154499738</v>
      </c>
      <c r="Q243" s="5"/>
      <c r="R243" s="51">
        <v>3.359</v>
      </c>
      <c r="S243" s="2">
        <v>1.4550000000000001</v>
      </c>
      <c r="T243" s="52"/>
      <c r="U243" s="48" t="e">
        <f>#N/A</f>
        <v>#N/A</v>
      </c>
      <c r="V243" s="50" t="e">
        <f>#N/A</f>
        <v>#N/A</v>
      </c>
      <c r="W243" s="5"/>
      <c r="X243" s="5"/>
      <c r="Y243" s="5"/>
      <c r="Z243" s="5"/>
      <c r="AA243" s="5"/>
      <c r="AB243" s="49">
        <v>2.22553605498871</v>
      </c>
      <c r="AC243" s="47" t="e">
        <f>#N/A</f>
        <v>#N/A</v>
      </c>
      <c r="AD243" s="52"/>
      <c r="AE243" s="48"/>
      <c r="AF243" s="50"/>
      <c r="AG243" s="18"/>
      <c r="AH243" s="18"/>
      <c r="AI243" s="18"/>
      <c r="AJ243" s="18"/>
      <c r="AK243" s="18"/>
      <c r="AL243" s="18"/>
      <c r="AM243" s="18"/>
      <c r="AN243" s="18"/>
      <c r="AO243" s="5"/>
      <c r="AP243" s="5"/>
      <c r="AQ243" s="8" t="e">
        <f>#N/A</f>
        <v>#N/A</v>
      </c>
      <c r="AR243" s="8" t="e">
        <f>#N/A</f>
        <v>#N/A</v>
      </c>
      <c r="AS243" s="60" t="e">
        <f>#N/A</f>
        <v>#N/A</v>
      </c>
      <c r="AT243" s="60" t="e">
        <f>#N/A</f>
        <v>#N/A</v>
      </c>
      <c r="AU243" s="60" t="e">
        <f>#N/A</f>
        <v>#N/A</v>
      </c>
    </row>
    <row r="244" spans="1:47" x14ac:dyDescent="0.2">
      <c r="A244" s="43">
        <v>0.01</v>
      </c>
      <c r="B244" s="43">
        <v>1.8511845130406712E-3</v>
      </c>
      <c r="C244" s="43">
        <v>0</v>
      </c>
      <c r="D244" s="7" t="e">
        <f>#N/A</f>
        <v>#N/A</v>
      </c>
      <c r="E244" s="7" t="e">
        <f>#N/A</f>
        <v>#N/A</v>
      </c>
      <c r="F244" s="47" t="e">
        <f>#N/A</f>
        <v>#N/A</v>
      </c>
      <c r="G244" s="37" t="e">
        <f>#N/A</f>
        <v>#N/A</v>
      </c>
      <c r="H244" s="47" t="e">
        <f>#N/A</f>
        <v>#N/A</v>
      </c>
      <c r="I244" s="4"/>
      <c r="J244" s="4"/>
      <c r="K244" s="4"/>
      <c r="L244" s="4"/>
      <c r="M244" s="4"/>
      <c r="N244" s="49">
        <v>5.0650000000000004</v>
      </c>
      <c r="O244" s="51">
        <v>5.2492977284550024</v>
      </c>
      <c r="P244" s="51">
        <v>0.10870227154499738</v>
      </c>
      <c r="Q244" s="5"/>
      <c r="R244" s="51">
        <v>3.359</v>
      </c>
      <c r="S244" s="2">
        <v>1.4550000000000001</v>
      </c>
      <c r="T244" s="52"/>
      <c r="U244" s="48" t="e">
        <f>#N/A</f>
        <v>#N/A</v>
      </c>
      <c r="V244" s="50" t="e">
        <f>#N/A</f>
        <v>#N/A</v>
      </c>
      <c r="W244" s="5"/>
      <c r="X244" s="5"/>
      <c r="Y244" s="5"/>
      <c r="Z244" s="5"/>
      <c r="AA244" s="5"/>
      <c r="AB244" s="49">
        <v>2.22553605498871</v>
      </c>
      <c r="AC244" s="47" t="e">
        <f>#N/A</f>
        <v>#N/A</v>
      </c>
      <c r="AD244" s="52"/>
      <c r="AE244" s="48"/>
      <c r="AF244" s="50"/>
      <c r="AG244" s="18"/>
      <c r="AH244" s="18"/>
      <c r="AI244" s="18"/>
      <c r="AJ244" s="18"/>
      <c r="AK244" s="18"/>
      <c r="AL244" s="18"/>
      <c r="AM244" s="18"/>
      <c r="AN244" s="18"/>
      <c r="AO244" s="5"/>
      <c r="AP244" s="5"/>
      <c r="AQ244" s="8" t="e">
        <f>#N/A</f>
        <v>#N/A</v>
      </c>
      <c r="AR244" s="8" t="e">
        <f>#N/A</f>
        <v>#N/A</v>
      </c>
      <c r="AS244" s="60" t="e">
        <f>#N/A</f>
        <v>#N/A</v>
      </c>
      <c r="AT244" s="60" t="e">
        <f>#N/A</f>
        <v>#N/A</v>
      </c>
      <c r="AU244" s="60" t="e">
        <f>#N/A</f>
        <v>#N/A</v>
      </c>
    </row>
    <row r="245" spans="1:47" x14ac:dyDescent="0.2">
      <c r="A245" s="43">
        <v>0.01</v>
      </c>
      <c r="B245" s="55" t="e">
        <f>+G233/G221-1</f>
        <v>#N/A</v>
      </c>
      <c r="C245" s="43">
        <v>0</v>
      </c>
      <c r="D245" s="7" t="e">
        <f>#N/A</f>
        <v>#N/A</v>
      </c>
      <c r="E245" s="7" t="e">
        <f>#N/A</f>
        <v>#N/A</v>
      </c>
      <c r="F245" s="47" t="e">
        <f>#N/A</f>
        <v>#N/A</v>
      </c>
      <c r="G245" s="47" t="e">
        <f>#N/A</f>
        <v>#N/A</v>
      </c>
      <c r="H245" s="47" t="e">
        <f>#N/A</f>
        <v>#N/A</v>
      </c>
      <c r="I245" s="4"/>
      <c r="J245" s="4"/>
      <c r="K245" s="4"/>
      <c r="L245" s="4"/>
      <c r="M245" s="4"/>
      <c r="N245" s="49">
        <v>5.0650000000000004</v>
      </c>
      <c r="O245" s="51">
        <v>5.2492977284550024</v>
      </c>
      <c r="P245" s="51">
        <v>0.10870227154499738</v>
      </c>
      <c r="Q245" s="5"/>
      <c r="R245" s="5"/>
      <c r="S245" s="2">
        <v>1.4550000000000001</v>
      </c>
      <c r="T245" s="52"/>
      <c r="U245" s="48" t="e">
        <f>#N/A</f>
        <v>#N/A</v>
      </c>
      <c r="V245" s="50" t="e">
        <f>#N/A</f>
        <v>#N/A</v>
      </c>
      <c r="W245" s="5"/>
      <c r="X245" s="5"/>
      <c r="Y245" s="5"/>
      <c r="Z245" s="5"/>
      <c r="AA245" s="5"/>
      <c r="AB245" s="49">
        <v>2.22553605498871</v>
      </c>
      <c r="AC245" s="47" t="e">
        <f>#N/A</f>
        <v>#N/A</v>
      </c>
      <c r="AD245" s="52"/>
      <c r="AE245" s="48"/>
      <c r="AF245" s="50"/>
      <c r="AG245" s="18"/>
      <c r="AH245" s="18"/>
      <c r="AI245" s="18"/>
      <c r="AJ245" s="18"/>
      <c r="AK245" s="18"/>
      <c r="AL245" s="18"/>
      <c r="AM245" s="18"/>
      <c r="AN245" s="18"/>
      <c r="AO245" s="5"/>
      <c r="AP245" s="5"/>
      <c r="AQ245" s="8" t="e">
        <f>#N/A</f>
        <v>#N/A</v>
      </c>
      <c r="AR245" s="8" t="e">
        <f>#N/A</f>
        <v>#N/A</v>
      </c>
      <c r="AS245" s="60" t="e">
        <f>#N/A</f>
        <v>#N/A</v>
      </c>
      <c r="AT245" s="60" t="e">
        <f>#N/A</f>
        <v>#N/A</v>
      </c>
      <c r="AU245" s="60" t="e">
        <f>#N/A</f>
        <v>#N/A</v>
      </c>
    </row>
    <row r="246" spans="1:47" x14ac:dyDescent="0.2">
      <c r="A246" s="43">
        <v>0.01</v>
      </c>
      <c r="B246" s="55" t="e">
        <f>#N/A</f>
        <v>#N/A</v>
      </c>
      <c r="C246" s="43">
        <v>0</v>
      </c>
      <c r="D246" s="7" t="e">
        <f>#N/A</f>
        <v>#N/A</v>
      </c>
      <c r="E246" s="7" t="e">
        <f>#N/A</f>
        <v>#N/A</v>
      </c>
      <c r="F246" s="47" t="e">
        <f>#N/A</f>
        <v>#N/A</v>
      </c>
      <c r="G246" s="47" t="e">
        <f>#N/A</f>
        <v>#N/A</v>
      </c>
      <c r="H246" s="47" t="e">
        <f>#N/A</f>
        <v>#N/A</v>
      </c>
      <c r="I246" s="4"/>
      <c r="J246" s="4"/>
      <c r="K246" s="4"/>
      <c r="L246" s="4"/>
      <c r="M246" s="4"/>
      <c r="N246" s="49">
        <v>5.0650000000000004</v>
      </c>
      <c r="O246" s="51">
        <v>5.2492977284550024</v>
      </c>
      <c r="P246" s="51">
        <v>0.10870227154499738</v>
      </c>
      <c r="Q246" s="5"/>
      <c r="R246" s="5"/>
      <c r="S246" s="2">
        <v>1.4550000000000001</v>
      </c>
      <c r="T246" s="52"/>
      <c r="U246" s="48" t="e">
        <f>#N/A</f>
        <v>#N/A</v>
      </c>
      <c r="V246" s="50" t="e">
        <f>#N/A</f>
        <v>#N/A</v>
      </c>
      <c r="W246" s="5"/>
      <c r="X246" s="5"/>
      <c r="Y246" s="5"/>
      <c r="Z246" s="5"/>
      <c r="AA246" s="5"/>
      <c r="AB246" s="49">
        <v>2.22553605498871</v>
      </c>
      <c r="AC246" s="47" t="e">
        <f>#N/A</f>
        <v>#N/A</v>
      </c>
      <c r="AD246" s="52"/>
      <c r="AE246" s="48"/>
      <c r="AF246" s="50"/>
      <c r="AG246" s="18"/>
      <c r="AH246" s="18"/>
      <c r="AI246" s="18"/>
      <c r="AJ246" s="18"/>
      <c r="AK246" s="18"/>
      <c r="AL246" s="18"/>
      <c r="AM246" s="18"/>
      <c r="AN246" s="18"/>
      <c r="AO246" s="5"/>
      <c r="AP246" s="5"/>
      <c r="AQ246" s="8" t="e">
        <f>#N/A</f>
        <v>#N/A</v>
      </c>
      <c r="AR246" s="8" t="e">
        <f>#N/A</f>
        <v>#N/A</v>
      </c>
      <c r="AS246" s="60" t="e">
        <f>#N/A</f>
        <v>#N/A</v>
      </c>
      <c r="AT246" s="60" t="e">
        <f>#N/A</f>
        <v>#N/A</v>
      </c>
      <c r="AU246" s="60" t="e">
        <f>#N/A</f>
        <v>#N/A</v>
      </c>
    </row>
    <row r="247" spans="1:47" x14ac:dyDescent="0.2">
      <c r="A247" s="43">
        <v>0.01</v>
      </c>
      <c r="B247" s="55" t="e">
        <f>#N/A</f>
        <v>#N/A</v>
      </c>
      <c r="C247" s="43">
        <v>0</v>
      </c>
      <c r="D247" s="7" t="e">
        <f>#N/A</f>
        <v>#N/A</v>
      </c>
      <c r="E247" s="7" t="e">
        <f>#N/A</f>
        <v>#N/A</v>
      </c>
      <c r="F247" s="47" t="e">
        <f>#N/A</f>
        <v>#N/A</v>
      </c>
      <c r="G247" s="47" t="e">
        <f>#N/A</f>
        <v>#N/A</v>
      </c>
      <c r="H247" s="47" t="e">
        <f>#N/A</f>
        <v>#N/A</v>
      </c>
      <c r="I247" s="4"/>
      <c r="J247" s="4"/>
      <c r="K247" s="4"/>
      <c r="L247" s="4"/>
      <c r="M247" s="4"/>
      <c r="N247" s="49">
        <v>5.0650000000000004</v>
      </c>
      <c r="O247" s="51">
        <v>5.2492977284550024</v>
      </c>
      <c r="P247" s="51">
        <v>0.10870227154499738</v>
      </c>
      <c r="Q247" s="5"/>
      <c r="R247" s="5"/>
      <c r="S247" s="2">
        <v>1.4550000000000001</v>
      </c>
      <c r="T247" s="52"/>
      <c r="U247" s="48" t="e">
        <f>#N/A</f>
        <v>#N/A</v>
      </c>
      <c r="V247" s="50" t="e">
        <f>#N/A</f>
        <v>#N/A</v>
      </c>
      <c r="W247" s="5"/>
      <c r="X247" s="5"/>
      <c r="Y247" s="5"/>
      <c r="Z247" s="5"/>
      <c r="AA247" s="5"/>
      <c r="AB247" s="49">
        <v>2.22553605498871</v>
      </c>
      <c r="AC247" s="47" t="e">
        <f>#N/A</f>
        <v>#N/A</v>
      </c>
      <c r="AD247" s="52"/>
      <c r="AE247" s="48"/>
      <c r="AF247" s="50"/>
      <c r="AG247" s="18"/>
      <c r="AH247" s="18"/>
      <c r="AI247" s="18"/>
      <c r="AJ247" s="18"/>
      <c r="AK247" s="18"/>
      <c r="AL247" s="18"/>
      <c r="AM247" s="18"/>
      <c r="AN247" s="18"/>
      <c r="AO247" s="5"/>
      <c r="AP247" s="5"/>
      <c r="AQ247" s="8" t="e">
        <f>#N/A</f>
        <v>#N/A</v>
      </c>
      <c r="AR247" s="8" t="e">
        <f>#N/A</f>
        <v>#N/A</v>
      </c>
      <c r="AS247" s="60" t="e">
        <f>#N/A</f>
        <v>#N/A</v>
      </c>
      <c r="AT247" s="60" t="e">
        <f>#N/A</f>
        <v>#N/A</v>
      </c>
      <c r="AU247" s="60" t="e">
        <f>#N/A</f>
        <v>#N/A</v>
      </c>
    </row>
    <row r="248" spans="1:47" x14ac:dyDescent="0.2">
      <c r="A248" s="43">
        <v>0.01</v>
      </c>
      <c r="B248" s="55" t="e">
        <f>#N/A</f>
        <v>#N/A</v>
      </c>
      <c r="C248" s="43">
        <v>0</v>
      </c>
      <c r="D248" s="7" t="e">
        <f>#N/A</f>
        <v>#N/A</v>
      </c>
      <c r="E248" s="7" t="e">
        <f>#N/A</f>
        <v>#N/A</v>
      </c>
      <c r="F248" s="47" t="e">
        <f>#N/A</f>
        <v>#N/A</v>
      </c>
      <c r="G248" s="47" t="e">
        <f>#N/A</f>
        <v>#N/A</v>
      </c>
      <c r="H248" s="47" t="e">
        <f>#N/A</f>
        <v>#N/A</v>
      </c>
      <c r="I248" s="4"/>
      <c r="J248" s="4"/>
      <c r="K248" s="4"/>
      <c r="L248" s="4"/>
      <c r="M248" s="4"/>
      <c r="N248" s="49">
        <v>5.0650000000000004</v>
      </c>
      <c r="O248" s="51">
        <v>5.2492977284550024</v>
      </c>
      <c r="P248" s="51">
        <v>0.10870227154499738</v>
      </c>
      <c r="Q248" s="5"/>
      <c r="R248" s="5"/>
      <c r="S248" s="2">
        <v>1.4550000000000001</v>
      </c>
      <c r="T248" s="52"/>
      <c r="U248" s="48" t="e">
        <f>#N/A</f>
        <v>#N/A</v>
      </c>
      <c r="V248" s="50" t="e">
        <f>#N/A</f>
        <v>#N/A</v>
      </c>
      <c r="W248" s="5"/>
      <c r="X248" s="5"/>
      <c r="Y248" s="5"/>
      <c r="Z248" s="5"/>
      <c r="AA248" s="5"/>
      <c r="AB248" s="49">
        <v>2.22553605498871</v>
      </c>
      <c r="AC248" s="47" t="e">
        <f>#N/A</f>
        <v>#N/A</v>
      </c>
      <c r="AD248" s="52"/>
      <c r="AE248" s="48"/>
      <c r="AF248" s="50"/>
      <c r="AG248" s="18"/>
      <c r="AH248" s="18"/>
      <c r="AI248" s="18"/>
      <c r="AJ248" s="18"/>
      <c r="AK248" s="18"/>
      <c r="AL248" s="18"/>
      <c r="AM248" s="18"/>
      <c r="AN248" s="18"/>
      <c r="AO248" s="5"/>
      <c r="AP248" s="5"/>
      <c r="AQ248" s="8" t="e">
        <f>#N/A</f>
        <v>#N/A</v>
      </c>
      <c r="AR248" s="8" t="e">
        <f>#N/A</f>
        <v>#N/A</v>
      </c>
      <c r="AS248" s="60" t="e">
        <f>#N/A</f>
        <v>#N/A</v>
      </c>
      <c r="AT248" s="60" t="e">
        <f>#N/A</f>
        <v>#N/A</v>
      </c>
      <c r="AU248" s="60" t="e">
        <f>#N/A</f>
        <v>#N/A</v>
      </c>
    </row>
    <row r="249" spans="1:47" x14ac:dyDescent="0.2">
      <c r="A249" s="43">
        <v>0.01</v>
      </c>
      <c r="B249" s="55" t="e">
        <f>#N/A</f>
        <v>#N/A</v>
      </c>
      <c r="C249" s="43">
        <v>0</v>
      </c>
      <c r="D249" s="7" t="e">
        <f>#N/A</f>
        <v>#N/A</v>
      </c>
      <c r="E249" s="7" t="e">
        <f>#N/A</f>
        <v>#N/A</v>
      </c>
      <c r="F249" s="47" t="e">
        <f>#N/A</f>
        <v>#N/A</v>
      </c>
      <c r="G249" s="47" t="e">
        <f>#N/A</f>
        <v>#N/A</v>
      </c>
      <c r="H249" s="47" t="e">
        <f>#N/A</f>
        <v>#N/A</v>
      </c>
      <c r="I249" s="4"/>
      <c r="J249" s="4"/>
      <c r="K249" s="4"/>
      <c r="L249" s="4"/>
      <c r="M249" s="4"/>
      <c r="N249" s="49">
        <v>5.0650000000000004</v>
      </c>
      <c r="O249" s="51">
        <v>5.2492977284550024</v>
      </c>
      <c r="P249" s="51">
        <v>0.10870227154499738</v>
      </c>
      <c r="Q249" s="5"/>
      <c r="R249" s="5"/>
      <c r="S249" s="2">
        <v>1.4550000000000001</v>
      </c>
      <c r="T249" s="52"/>
      <c r="U249" s="48" t="e">
        <f>#N/A</f>
        <v>#N/A</v>
      </c>
      <c r="V249" s="50" t="e">
        <f>#N/A</f>
        <v>#N/A</v>
      </c>
      <c r="W249" s="5"/>
      <c r="X249" s="5"/>
      <c r="Y249" s="5"/>
      <c r="Z249" s="5"/>
      <c r="AA249" s="5"/>
      <c r="AB249" s="49">
        <v>2.22553605498871</v>
      </c>
      <c r="AC249" s="47" t="e">
        <f>#N/A</f>
        <v>#N/A</v>
      </c>
      <c r="AD249" s="52"/>
      <c r="AE249" s="48"/>
      <c r="AF249" s="50"/>
      <c r="AG249" s="18"/>
      <c r="AH249" s="18"/>
      <c r="AI249" s="18"/>
      <c r="AJ249" s="18"/>
      <c r="AK249" s="18"/>
      <c r="AL249" s="18"/>
      <c r="AM249" s="18"/>
      <c r="AN249" s="18"/>
      <c r="AO249" s="5"/>
      <c r="AP249" s="5"/>
      <c r="AQ249" s="8" t="e">
        <f>#N/A</f>
        <v>#N/A</v>
      </c>
      <c r="AR249" s="8" t="e">
        <f>#N/A</f>
        <v>#N/A</v>
      </c>
      <c r="AS249" s="60" t="e">
        <f>#N/A</f>
        <v>#N/A</v>
      </c>
      <c r="AT249" s="60" t="e">
        <f>#N/A</f>
        <v>#N/A</v>
      </c>
      <c r="AU249" s="60" t="e">
        <f>#N/A</f>
        <v>#N/A</v>
      </c>
    </row>
    <row r="250" spans="1:47" x14ac:dyDescent="0.2">
      <c r="A250" s="43">
        <v>0.01</v>
      </c>
      <c r="B250" s="55" t="e">
        <f>#N/A</f>
        <v>#N/A</v>
      </c>
      <c r="C250" s="43">
        <v>0</v>
      </c>
      <c r="D250" s="7" t="e">
        <f>#N/A</f>
        <v>#N/A</v>
      </c>
      <c r="E250" s="7" t="e">
        <f>#N/A</f>
        <v>#N/A</v>
      </c>
      <c r="F250" s="47" t="e">
        <f>#N/A</f>
        <v>#N/A</v>
      </c>
      <c r="G250" s="47" t="e">
        <f>#N/A</f>
        <v>#N/A</v>
      </c>
      <c r="H250" s="47" t="e">
        <f>#N/A</f>
        <v>#N/A</v>
      </c>
      <c r="I250" s="4"/>
      <c r="J250" s="4"/>
      <c r="K250" s="4"/>
      <c r="L250" s="4"/>
      <c r="M250" s="4"/>
      <c r="N250" s="49">
        <v>5.0650000000000004</v>
      </c>
      <c r="O250" s="51">
        <v>5.2492977284550024</v>
      </c>
      <c r="P250" s="51">
        <v>0.10870227154499738</v>
      </c>
      <c r="Q250" s="5"/>
      <c r="R250" s="5"/>
      <c r="S250" s="2">
        <v>1.4550000000000001</v>
      </c>
      <c r="T250" s="52"/>
      <c r="U250" s="48" t="e">
        <f>#N/A</f>
        <v>#N/A</v>
      </c>
      <c r="V250" s="50" t="e">
        <f>#N/A</f>
        <v>#N/A</v>
      </c>
      <c r="W250" s="5"/>
      <c r="X250" s="5"/>
      <c r="Y250" s="5"/>
      <c r="Z250" s="5"/>
      <c r="AA250" s="5"/>
      <c r="AB250" s="49">
        <v>2.22553605498871</v>
      </c>
      <c r="AC250" s="47" t="e">
        <f>#N/A</f>
        <v>#N/A</v>
      </c>
      <c r="AD250" s="52"/>
      <c r="AE250" s="48"/>
      <c r="AF250" s="50"/>
      <c r="AG250" s="18"/>
      <c r="AH250" s="18"/>
      <c r="AI250" s="18"/>
      <c r="AJ250" s="18"/>
      <c r="AK250" s="18"/>
      <c r="AL250" s="18"/>
      <c r="AM250" s="18"/>
      <c r="AN250" s="18"/>
      <c r="AO250" s="5"/>
      <c r="AP250" s="5"/>
      <c r="AQ250" s="8" t="e">
        <f>#N/A</f>
        <v>#N/A</v>
      </c>
      <c r="AR250" s="8" t="e">
        <f>#N/A</f>
        <v>#N/A</v>
      </c>
      <c r="AS250" s="60" t="e">
        <f>#N/A</f>
        <v>#N/A</v>
      </c>
      <c r="AT250" s="60" t="e">
        <f>#N/A</f>
        <v>#N/A</v>
      </c>
      <c r="AU250" s="60" t="e">
        <f>#N/A</f>
        <v>#N/A</v>
      </c>
    </row>
    <row r="251" spans="1:47" x14ac:dyDescent="0.2">
      <c r="A251" s="43">
        <v>0.01</v>
      </c>
      <c r="B251" s="55" t="e">
        <f>#N/A</f>
        <v>#N/A</v>
      </c>
      <c r="C251" s="43">
        <v>0</v>
      </c>
      <c r="D251" s="7" t="e">
        <f>#N/A</f>
        <v>#N/A</v>
      </c>
      <c r="E251" s="7" t="e">
        <f>#N/A</f>
        <v>#N/A</v>
      </c>
      <c r="F251" s="47" t="e">
        <f>#N/A</f>
        <v>#N/A</v>
      </c>
      <c r="G251" s="47" t="e">
        <f>#N/A</f>
        <v>#N/A</v>
      </c>
      <c r="H251" s="47" t="e">
        <f>#N/A</f>
        <v>#N/A</v>
      </c>
      <c r="I251" s="4"/>
      <c r="J251" s="4"/>
      <c r="K251" s="4"/>
      <c r="L251" s="4"/>
      <c r="M251" s="4"/>
      <c r="N251" s="49">
        <v>5.0650000000000004</v>
      </c>
      <c r="O251" s="51">
        <v>5.2492977284550024</v>
      </c>
      <c r="P251" s="51">
        <v>0.10870227154499738</v>
      </c>
      <c r="Q251" s="5"/>
      <c r="R251" s="5"/>
      <c r="S251" s="2">
        <v>1.4550000000000001</v>
      </c>
      <c r="T251" s="52"/>
      <c r="U251" s="48" t="e">
        <f>#N/A</f>
        <v>#N/A</v>
      </c>
      <c r="V251" s="50" t="e">
        <f>#N/A</f>
        <v>#N/A</v>
      </c>
      <c r="W251" s="5"/>
      <c r="X251" s="5"/>
      <c r="Y251" s="5"/>
      <c r="Z251" s="5"/>
      <c r="AA251" s="5"/>
      <c r="AB251" s="49">
        <v>2.22553605498871</v>
      </c>
      <c r="AC251" s="47" t="e">
        <f>#N/A</f>
        <v>#N/A</v>
      </c>
      <c r="AD251" s="52"/>
      <c r="AE251" s="48"/>
      <c r="AF251" s="50"/>
      <c r="AG251" s="18"/>
      <c r="AH251" s="18"/>
      <c r="AI251" s="18"/>
      <c r="AJ251" s="18"/>
      <c r="AK251" s="18"/>
      <c r="AL251" s="18"/>
      <c r="AM251" s="18"/>
      <c r="AN251" s="18"/>
      <c r="AO251" s="5"/>
      <c r="AP251" s="5"/>
      <c r="AQ251" s="8" t="e">
        <f>#N/A</f>
        <v>#N/A</v>
      </c>
      <c r="AR251" s="8" t="e">
        <f>#N/A</f>
        <v>#N/A</v>
      </c>
      <c r="AS251" s="60" t="e">
        <f>#N/A</f>
        <v>#N/A</v>
      </c>
      <c r="AT251" s="60" t="e">
        <f>#N/A</f>
        <v>#N/A</v>
      </c>
      <c r="AU251" s="60" t="e">
        <f>#N/A</f>
        <v>#N/A</v>
      </c>
    </row>
    <row r="252" spans="1:47" x14ac:dyDescent="0.2">
      <c r="A252" s="43">
        <v>0.01</v>
      </c>
      <c r="B252" s="55" t="e">
        <f>#N/A</f>
        <v>#N/A</v>
      </c>
      <c r="C252" s="43">
        <v>0</v>
      </c>
      <c r="D252" s="7" t="e">
        <f>#N/A</f>
        <v>#N/A</v>
      </c>
      <c r="E252" s="7" t="e">
        <f>#N/A</f>
        <v>#N/A</v>
      </c>
      <c r="F252" s="47" t="e">
        <f>#N/A</f>
        <v>#N/A</v>
      </c>
      <c r="G252" s="47" t="e">
        <f>#N/A</f>
        <v>#N/A</v>
      </c>
      <c r="H252" s="47" t="e">
        <f>#N/A</f>
        <v>#N/A</v>
      </c>
      <c r="I252" s="4"/>
      <c r="J252" s="4"/>
      <c r="K252" s="4"/>
      <c r="L252" s="4"/>
      <c r="M252" s="4"/>
      <c r="N252" s="49">
        <v>5.0650000000000004</v>
      </c>
      <c r="O252" s="51">
        <v>5.2492977284550024</v>
      </c>
      <c r="P252" s="51">
        <v>0.10870227154499738</v>
      </c>
      <c r="Q252" s="5"/>
      <c r="R252" s="5"/>
      <c r="S252" s="2">
        <v>1.4550000000000001</v>
      </c>
      <c r="T252" s="52"/>
      <c r="U252" s="48" t="e">
        <f>#N/A</f>
        <v>#N/A</v>
      </c>
      <c r="V252" s="50" t="e">
        <f>#N/A</f>
        <v>#N/A</v>
      </c>
      <c r="W252" s="5"/>
      <c r="X252" s="5"/>
      <c r="Y252" s="5"/>
      <c r="Z252" s="5"/>
      <c r="AA252" s="5"/>
      <c r="AB252" s="49">
        <v>2.22553605498871</v>
      </c>
      <c r="AC252" s="47" t="e">
        <f>#N/A</f>
        <v>#N/A</v>
      </c>
      <c r="AD252" s="52"/>
      <c r="AE252" s="48"/>
      <c r="AF252" s="50"/>
      <c r="AG252" s="18"/>
      <c r="AH252" s="18"/>
      <c r="AI252" s="18"/>
      <c r="AJ252" s="18"/>
      <c r="AK252" s="18"/>
      <c r="AL252" s="18"/>
      <c r="AM252" s="18"/>
      <c r="AN252" s="18"/>
      <c r="AO252" s="5"/>
      <c r="AP252" s="5"/>
      <c r="AQ252" s="8" t="e">
        <f>#N/A</f>
        <v>#N/A</v>
      </c>
      <c r="AR252" s="8" t="e">
        <f>#N/A</f>
        <v>#N/A</v>
      </c>
      <c r="AS252" s="60" t="e">
        <f>#N/A</f>
        <v>#N/A</v>
      </c>
      <c r="AT252" s="60" t="e">
        <f>#N/A</f>
        <v>#N/A</v>
      </c>
      <c r="AU252" s="60" t="e">
        <f>#N/A</f>
        <v>#N/A</v>
      </c>
    </row>
    <row r="253" spans="1:47" x14ac:dyDescent="0.2">
      <c r="A253" s="43">
        <v>0.01</v>
      </c>
      <c r="B253" s="55" t="e">
        <f>#N/A</f>
        <v>#N/A</v>
      </c>
      <c r="C253" s="43">
        <v>0</v>
      </c>
      <c r="D253" s="7" t="e">
        <f>#N/A</f>
        <v>#N/A</v>
      </c>
      <c r="E253" s="7" t="e">
        <f>#N/A</f>
        <v>#N/A</v>
      </c>
      <c r="F253" s="47" t="e">
        <f>#N/A</f>
        <v>#N/A</v>
      </c>
      <c r="G253" s="47" t="e">
        <f>#N/A</f>
        <v>#N/A</v>
      </c>
      <c r="H253" s="47" t="e">
        <f>#N/A</f>
        <v>#N/A</v>
      </c>
      <c r="I253" s="4"/>
      <c r="J253" s="4"/>
      <c r="K253" s="4"/>
      <c r="L253" s="4"/>
      <c r="M253" s="4"/>
      <c r="N253" s="49">
        <v>5.0650000000000004</v>
      </c>
      <c r="O253" s="51">
        <v>5.2492977284550024</v>
      </c>
      <c r="P253" s="51">
        <v>0.10870227154499738</v>
      </c>
      <c r="Q253" s="5"/>
      <c r="R253" s="5"/>
      <c r="S253" s="2">
        <v>1.4550000000000001</v>
      </c>
      <c r="T253" s="52"/>
      <c r="U253" s="48" t="e">
        <f>#N/A</f>
        <v>#N/A</v>
      </c>
      <c r="V253" s="50" t="e">
        <f>#N/A</f>
        <v>#N/A</v>
      </c>
      <c r="W253" s="5"/>
      <c r="X253" s="5"/>
      <c r="Y253" s="5"/>
      <c r="Z253" s="5"/>
      <c r="AA253" s="5"/>
      <c r="AB253" s="49">
        <v>2.22553605498871</v>
      </c>
      <c r="AC253" s="47" t="e">
        <f>#N/A</f>
        <v>#N/A</v>
      </c>
      <c r="AD253" s="52"/>
      <c r="AE253" s="48"/>
      <c r="AF253" s="50"/>
      <c r="AG253" s="18"/>
      <c r="AH253" s="18"/>
      <c r="AI253" s="18"/>
      <c r="AJ253" s="18"/>
      <c r="AK253" s="18"/>
      <c r="AL253" s="18"/>
      <c r="AM253" s="18"/>
      <c r="AN253" s="18"/>
      <c r="AO253" s="5"/>
      <c r="AP253" s="5"/>
      <c r="AQ253" s="8" t="e">
        <f>#N/A</f>
        <v>#N/A</v>
      </c>
      <c r="AR253" s="8" t="e">
        <f>#N/A</f>
        <v>#N/A</v>
      </c>
      <c r="AS253" s="60" t="e">
        <f>#N/A</f>
        <v>#N/A</v>
      </c>
      <c r="AT253" s="60" t="e">
        <f>#N/A</f>
        <v>#N/A</v>
      </c>
      <c r="AU253" s="60" t="e">
        <f>#N/A</f>
        <v>#N/A</v>
      </c>
    </row>
    <row r="254" spans="1:47" x14ac:dyDescent="0.2">
      <c r="A254" s="43">
        <v>0.01</v>
      </c>
      <c r="B254" s="55" t="e">
        <f>#N/A</f>
        <v>#N/A</v>
      </c>
      <c r="C254" s="43">
        <v>0</v>
      </c>
      <c r="D254" s="7" t="e">
        <f>#N/A</f>
        <v>#N/A</v>
      </c>
      <c r="E254" s="7" t="e">
        <f>#N/A</f>
        <v>#N/A</v>
      </c>
      <c r="F254" s="47" t="e">
        <f>#N/A</f>
        <v>#N/A</v>
      </c>
      <c r="G254" s="47" t="e">
        <f>#N/A</f>
        <v>#N/A</v>
      </c>
      <c r="H254" s="47" t="e">
        <f>#N/A</f>
        <v>#N/A</v>
      </c>
      <c r="I254" s="4"/>
      <c r="J254" s="4"/>
      <c r="K254" s="4"/>
      <c r="L254" s="4"/>
      <c r="M254" s="4"/>
      <c r="N254" s="49">
        <v>5.0650000000000004</v>
      </c>
      <c r="O254" s="51">
        <v>5.2492977284550024</v>
      </c>
      <c r="P254" s="51">
        <v>0.10870227154499738</v>
      </c>
      <c r="Q254" s="5"/>
      <c r="R254" s="5"/>
      <c r="S254" s="2">
        <v>1.4550000000000001</v>
      </c>
      <c r="T254" s="52"/>
      <c r="U254" s="48" t="e">
        <f>#N/A</f>
        <v>#N/A</v>
      </c>
      <c r="V254" s="50" t="e">
        <f>#N/A</f>
        <v>#N/A</v>
      </c>
      <c r="W254" s="5"/>
      <c r="X254" s="5"/>
      <c r="Y254" s="5"/>
      <c r="Z254" s="5"/>
      <c r="AA254" s="5"/>
      <c r="AB254" s="49">
        <v>2.22553605498871</v>
      </c>
      <c r="AC254" s="47" t="e">
        <f>#N/A</f>
        <v>#N/A</v>
      </c>
      <c r="AD254" s="52"/>
      <c r="AE254" s="48"/>
      <c r="AF254" s="50"/>
      <c r="AG254" s="18"/>
      <c r="AH254" s="18"/>
      <c r="AI254" s="18"/>
      <c r="AJ254" s="18"/>
      <c r="AK254" s="18"/>
      <c r="AL254" s="18"/>
      <c r="AM254" s="18"/>
      <c r="AN254" s="18"/>
      <c r="AO254" s="5"/>
      <c r="AP254" s="5"/>
      <c r="AQ254" s="8" t="e">
        <f>#N/A</f>
        <v>#N/A</v>
      </c>
      <c r="AR254" s="8" t="e">
        <f>#N/A</f>
        <v>#N/A</v>
      </c>
      <c r="AS254" s="60" t="e">
        <f>#N/A</f>
        <v>#N/A</v>
      </c>
      <c r="AT254" s="60" t="e">
        <f>#N/A</f>
        <v>#N/A</v>
      </c>
      <c r="AU254" s="60" t="e">
        <f>#N/A</f>
        <v>#N/A</v>
      </c>
    </row>
    <row r="255" spans="1:47" x14ac:dyDescent="0.2">
      <c r="A255" s="43">
        <v>0.01</v>
      </c>
      <c r="B255" s="55" t="e">
        <f>#N/A</f>
        <v>#N/A</v>
      </c>
      <c r="C255" s="43">
        <v>0</v>
      </c>
      <c r="D255" s="7" t="e">
        <f>#N/A</f>
        <v>#N/A</v>
      </c>
      <c r="E255" s="7" t="e">
        <f>#N/A</f>
        <v>#N/A</v>
      </c>
      <c r="F255" s="47" t="e">
        <f>#N/A</f>
        <v>#N/A</v>
      </c>
      <c r="G255" s="47" t="e">
        <f>#N/A</f>
        <v>#N/A</v>
      </c>
      <c r="H255" s="47" t="e">
        <f>#N/A</f>
        <v>#N/A</v>
      </c>
      <c r="I255" s="4"/>
      <c r="J255" s="4"/>
      <c r="K255" s="4"/>
      <c r="L255" s="4"/>
      <c r="M255" s="4"/>
      <c r="N255" s="49">
        <v>5.0650000000000004</v>
      </c>
      <c r="O255" s="51">
        <v>5.2492977284550024</v>
      </c>
      <c r="P255" s="51">
        <v>0.10870227154499738</v>
      </c>
      <c r="Q255" s="5"/>
      <c r="R255" s="5"/>
      <c r="S255" s="5"/>
      <c r="T255" s="52"/>
      <c r="U255" s="48" t="e">
        <f>#N/A</f>
        <v>#N/A</v>
      </c>
      <c r="V255" s="50" t="e">
        <f>#N/A</f>
        <v>#N/A</v>
      </c>
      <c r="W255" s="5"/>
      <c r="X255" s="5"/>
      <c r="Y255" s="5"/>
      <c r="Z255" s="5"/>
      <c r="AA255" s="5"/>
      <c r="AB255" s="49">
        <v>2.22553605498871</v>
      </c>
      <c r="AC255" s="47" t="e">
        <f>#N/A</f>
        <v>#N/A</v>
      </c>
      <c r="AD255" s="52"/>
      <c r="AE255" s="48"/>
      <c r="AF255" s="50"/>
      <c r="AG255" s="18"/>
      <c r="AH255" s="18"/>
      <c r="AI255" s="18"/>
      <c r="AJ255" s="18"/>
      <c r="AK255" s="18"/>
      <c r="AL255" s="18"/>
      <c r="AM255" s="18"/>
      <c r="AN255" s="18"/>
      <c r="AO255" s="5"/>
      <c r="AP255" s="5"/>
      <c r="AQ255" s="8" t="e">
        <f>#N/A</f>
        <v>#N/A</v>
      </c>
      <c r="AR255" s="8" t="e">
        <f>#N/A</f>
        <v>#N/A</v>
      </c>
      <c r="AS255" s="60" t="e">
        <f>#N/A</f>
        <v>#N/A</v>
      </c>
      <c r="AT255" s="60" t="e">
        <f>#N/A</f>
        <v>#N/A</v>
      </c>
      <c r="AU255" s="60" t="e">
        <f>#N/A</f>
        <v>#N/A</v>
      </c>
    </row>
    <row r="256" spans="1:47" x14ac:dyDescent="0.2">
      <c r="A256" s="43">
        <v>0.01</v>
      </c>
      <c r="B256" s="55" t="e">
        <f>#N/A</f>
        <v>#N/A</v>
      </c>
      <c r="C256" s="43">
        <v>0</v>
      </c>
      <c r="D256" s="7" t="e">
        <f>#N/A</f>
        <v>#N/A</v>
      </c>
      <c r="E256" s="7" t="e">
        <f>#N/A</f>
        <v>#N/A</v>
      </c>
      <c r="F256" s="47" t="e">
        <f>#N/A</f>
        <v>#N/A</v>
      </c>
      <c r="G256" s="47" t="e">
        <f>#N/A</f>
        <v>#N/A</v>
      </c>
      <c r="H256" s="47" t="e">
        <f>#N/A</f>
        <v>#N/A</v>
      </c>
      <c r="I256" s="4"/>
      <c r="J256" s="4"/>
      <c r="K256" s="4"/>
      <c r="L256" s="4"/>
      <c r="M256" s="4"/>
      <c r="N256" s="49">
        <v>5.0650000000000004</v>
      </c>
      <c r="O256" s="51">
        <v>5.2492977284550024</v>
      </c>
      <c r="P256" s="51">
        <v>0.10870227154499738</v>
      </c>
      <c r="Q256" s="5"/>
      <c r="R256" s="5"/>
      <c r="S256" s="5"/>
      <c r="T256" s="52"/>
      <c r="U256" s="48" t="e">
        <f>#N/A</f>
        <v>#N/A</v>
      </c>
      <c r="V256" s="50" t="e">
        <f>#N/A</f>
        <v>#N/A</v>
      </c>
      <c r="W256" s="5"/>
      <c r="X256" s="5"/>
      <c r="Y256" s="5"/>
      <c r="Z256" s="5"/>
      <c r="AA256" s="5"/>
      <c r="AB256" s="49">
        <v>2.22553605498871</v>
      </c>
      <c r="AC256" s="47" t="e">
        <f>#N/A</f>
        <v>#N/A</v>
      </c>
      <c r="AD256" s="52"/>
      <c r="AE256" s="48"/>
      <c r="AF256" s="50"/>
      <c r="AG256" s="18"/>
      <c r="AH256" s="18"/>
      <c r="AI256" s="18"/>
      <c r="AJ256" s="18"/>
      <c r="AK256" s="18"/>
      <c r="AL256" s="18"/>
      <c r="AM256" s="18"/>
      <c r="AN256" s="18"/>
      <c r="AO256" s="5"/>
      <c r="AP256" s="5"/>
      <c r="AQ256" s="8" t="e">
        <f>#N/A</f>
        <v>#N/A</v>
      </c>
      <c r="AR256" s="8" t="e">
        <f>#N/A</f>
        <v>#N/A</v>
      </c>
      <c r="AS256" s="60" t="e">
        <f>#N/A</f>
        <v>#N/A</v>
      </c>
      <c r="AT256" s="60" t="e">
        <f>#N/A</f>
        <v>#N/A</v>
      </c>
      <c r="AU256" s="60" t="e">
        <f>#N/A</f>
        <v>#N/A</v>
      </c>
    </row>
    <row r="257" spans="1:47" x14ac:dyDescent="0.2">
      <c r="A257" s="43">
        <v>0.01</v>
      </c>
      <c r="B257" s="55" t="e">
        <f>#N/A</f>
        <v>#N/A</v>
      </c>
      <c r="C257" s="43">
        <v>0</v>
      </c>
      <c r="D257" s="7" t="e">
        <f>#N/A</f>
        <v>#N/A</v>
      </c>
      <c r="E257" s="7" t="e">
        <f>#N/A</f>
        <v>#N/A</v>
      </c>
      <c r="F257" s="47" t="e">
        <f>#N/A</f>
        <v>#N/A</v>
      </c>
      <c r="G257" s="47" t="e">
        <f>#N/A</f>
        <v>#N/A</v>
      </c>
      <c r="H257" s="47" t="e">
        <f>#N/A</f>
        <v>#N/A</v>
      </c>
      <c r="I257" s="4"/>
      <c r="J257" s="4"/>
      <c r="K257" s="4"/>
      <c r="L257" s="4"/>
      <c r="M257" s="4"/>
      <c r="N257" s="49">
        <v>5.0650000000000004</v>
      </c>
      <c r="O257" s="51">
        <v>5.2492977284550024</v>
      </c>
      <c r="P257" s="51">
        <v>0.10870227154499738</v>
      </c>
      <c r="Q257" s="5"/>
      <c r="R257" s="5"/>
      <c r="S257" s="5"/>
      <c r="T257" s="52"/>
      <c r="U257" s="48" t="e">
        <f>#N/A</f>
        <v>#N/A</v>
      </c>
      <c r="V257" s="50" t="e">
        <f>#N/A</f>
        <v>#N/A</v>
      </c>
      <c r="W257" s="5"/>
      <c r="X257" s="5"/>
      <c r="Y257" s="5"/>
      <c r="Z257" s="5"/>
      <c r="AA257" s="5"/>
      <c r="AB257" s="49">
        <v>2.22553605498871</v>
      </c>
      <c r="AC257" s="47" t="e">
        <f>#N/A</f>
        <v>#N/A</v>
      </c>
      <c r="AD257" s="52"/>
      <c r="AE257" s="48"/>
      <c r="AF257" s="50"/>
      <c r="AG257" s="18"/>
      <c r="AH257" s="18"/>
      <c r="AI257" s="18"/>
      <c r="AJ257" s="18"/>
      <c r="AK257" s="18"/>
      <c r="AL257" s="18"/>
      <c r="AM257" s="18"/>
      <c r="AN257" s="18"/>
      <c r="AO257" s="5"/>
      <c r="AP257" s="5"/>
      <c r="AQ257" s="8" t="e">
        <f>#N/A</f>
        <v>#N/A</v>
      </c>
      <c r="AR257" s="8" t="e">
        <f>#N/A</f>
        <v>#N/A</v>
      </c>
      <c r="AS257" s="60" t="e">
        <f>#N/A</f>
        <v>#N/A</v>
      </c>
      <c r="AT257" s="60" t="e">
        <f>#N/A</f>
        <v>#N/A</v>
      </c>
      <c r="AU257" s="60" t="e">
        <f>#N/A</f>
        <v>#N/A</v>
      </c>
    </row>
    <row r="258" spans="1:47" x14ac:dyDescent="0.2">
      <c r="A258" s="43">
        <v>0.01</v>
      </c>
      <c r="B258" s="55" t="e">
        <f>#N/A</f>
        <v>#N/A</v>
      </c>
      <c r="C258" s="43">
        <v>0</v>
      </c>
      <c r="D258" s="7" t="e">
        <f>#N/A</f>
        <v>#N/A</v>
      </c>
      <c r="E258" s="7" t="e">
        <f>#N/A</f>
        <v>#N/A</v>
      </c>
      <c r="F258" s="47" t="e">
        <f>#N/A</f>
        <v>#N/A</v>
      </c>
      <c r="G258" s="47" t="e">
        <f>#N/A</f>
        <v>#N/A</v>
      </c>
      <c r="H258" s="47" t="e">
        <f>#N/A</f>
        <v>#N/A</v>
      </c>
      <c r="I258" s="4"/>
      <c r="J258" s="4"/>
      <c r="K258" s="4"/>
      <c r="L258" s="4"/>
      <c r="M258" s="4"/>
      <c r="N258" s="49">
        <v>5.0650000000000004</v>
      </c>
      <c r="O258" s="51">
        <v>5.2492977284550024</v>
      </c>
      <c r="P258" s="51">
        <v>0.10870227154499738</v>
      </c>
      <c r="Q258" s="5"/>
      <c r="R258" s="5"/>
      <c r="S258" s="5"/>
      <c r="T258" s="52"/>
      <c r="U258" s="48" t="e">
        <f>#N/A</f>
        <v>#N/A</v>
      </c>
      <c r="V258" s="50" t="e">
        <f>#N/A</f>
        <v>#N/A</v>
      </c>
      <c r="W258" s="5"/>
      <c r="X258" s="5"/>
      <c r="Y258" s="5"/>
      <c r="Z258" s="5"/>
      <c r="AA258" s="5"/>
      <c r="AB258" s="49">
        <v>2.22553605498871</v>
      </c>
      <c r="AC258" s="47" t="e">
        <f>#N/A</f>
        <v>#N/A</v>
      </c>
      <c r="AD258" s="52"/>
      <c r="AE258" s="48"/>
      <c r="AF258" s="50"/>
      <c r="AG258" s="18"/>
      <c r="AH258" s="18"/>
      <c r="AI258" s="18"/>
      <c r="AJ258" s="18"/>
      <c r="AK258" s="18"/>
      <c r="AL258" s="18"/>
      <c r="AM258" s="18"/>
      <c r="AN258" s="18"/>
      <c r="AO258" s="5"/>
      <c r="AP258" s="5"/>
      <c r="AQ258" s="8" t="e">
        <f>#N/A</f>
        <v>#N/A</v>
      </c>
      <c r="AR258" s="8" t="e">
        <f>#N/A</f>
        <v>#N/A</v>
      </c>
      <c r="AS258" s="60" t="e">
        <f>#N/A</f>
        <v>#N/A</v>
      </c>
      <c r="AT258" s="60" t="e">
        <f>#N/A</f>
        <v>#N/A</v>
      </c>
      <c r="AU258" s="60" t="e">
        <f>#N/A</f>
        <v>#N/A</v>
      </c>
    </row>
    <row r="259" spans="1:47" x14ac:dyDescent="0.2">
      <c r="A259" s="43">
        <v>0.01</v>
      </c>
      <c r="B259" s="55" t="e">
        <f>#N/A</f>
        <v>#N/A</v>
      </c>
      <c r="C259" s="43">
        <v>0</v>
      </c>
      <c r="D259" s="7" t="e">
        <f>#N/A</f>
        <v>#N/A</v>
      </c>
      <c r="E259" s="7" t="e">
        <f>#N/A</f>
        <v>#N/A</v>
      </c>
      <c r="F259" s="47" t="e">
        <f>#N/A</f>
        <v>#N/A</v>
      </c>
      <c r="G259" s="47" t="e">
        <f>#N/A</f>
        <v>#N/A</v>
      </c>
      <c r="H259" s="47" t="e">
        <f>#N/A</f>
        <v>#N/A</v>
      </c>
      <c r="I259" s="4"/>
      <c r="J259" s="4"/>
      <c r="K259" s="4"/>
      <c r="L259" s="4"/>
      <c r="M259" s="4"/>
      <c r="N259" s="49">
        <v>5.0650000000000004</v>
      </c>
      <c r="O259" s="51">
        <v>5.2492977284550024</v>
      </c>
      <c r="P259" s="51">
        <v>0.10870227154499738</v>
      </c>
      <c r="Q259" s="5"/>
      <c r="R259" s="5"/>
      <c r="S259" s="5"/>
      <c r="T259" s="52"/>
      <c r="U259" s="48" t="e">
        <f>#N/A</f>
        <v>#N/A</v>
      </c>
      <c r="V259" s="50" t="e">
        <f>#N/A</f>
        <v>#N/A</v>
      </c>
      <c r="W259" s="5"/>
      <c r="X259" s="5"/>
      <c r="Y259" s="5"/>
      <c r="Z259" s="5"/>
      <c r="AA259" s="5"/>
      <c r="AB259" s="49">
        <v>2.22553605498871</v>
      </c>
      <c r="AC259" s="47" t="e">
        <f>#N/A</f>
        <v>#N/A</v>
      </c>
      <c r="AD259" s="52"/>
      <c r="AE259" s="48"/>
      <c r="AF259" s="50"/>
      <c r="AG259" s="18"/>
      <c r="AH259" s="18"/>
      <c r="AI259" s="18"/>
      <c r="AJ259" s="18"/>
      <c r="AK259" s="18"/>
      <c r="AL259" s="18"/>
      <c r="AM259" s="18"/>
      <c r="AN259" s="18"/>
      <c r="AO259" s="5"/>
      <c r="AP259" s="5"/>
      <c r="AQ259" s="8" t="e">
        <f>#N/A</f>
        <v>#N/A</v>
      </c>
      <c r="AR259" s="8" t="e">
        <f>#N/A</f>
        <v>#N/A</v>
      </c>
      <c r="AS259" s="60" t="e">
        <f>#N/A</f>
        <v>#N/A</v>
      </c>
      <c r="AT259" s="60" t="e">
        <f>#N/A</f>
        <v>#N/A</v>
      </c>
      <c r="AU259" s="60" t="e">
        <f>#N/A</f>
        <v>#N/A</v>
      </c>
    </row>
    <row r="260" spans="1:47" x14ac:dyDescent="0.2">
      <c r="A260" s="43">
        <v>0.01</v>
      </c>
      <c r="B260" s="55" t="e">
        <f>#N/A</f>
        <v>#N/A</v>
      </c>
      <c r="C260" s="43">
        <v>0</v>
      </c>
      <c r="D260" s="7" t="e">
        <f>#N/A</f>
        <v>#N/A</v>
      </c>
      <c r="E260" s="7" t="e">
        <f>#N/A</f>
        <v>#N/A</v>
      </c>
      <c r="F260" s="47" t="e">
        <f>#N/A</f>
        <v>#N/A</v>
      </c>
      <c r="G260" s="47" t="e">
        <f>#N/A</f>
        <v>#N/A</v>
      </c>
      <c r="H260" s="47" t="e">
        <f>#N/A</f>
        <v>#N/A</v>
      </c>
      <c r="I260" s="4"/>
      <c r="J260" s="4"/>
      <c r="K260" s="4"/>
      <c r="L260" s="4"/>
      <c r="M260" s="4"/>
      <c r="N260" s="49">
        <v>5.0650000000000004</v>
      </c>
      <c r="O260" s="51">
        <v>5.2492977284550024</v>
      </c>
      <c r="P260" s="51">
        <v>0.10870227154499738</v>
      </c>
      <c r="Q260" s="5"/>
      <c r="R260" s="5"/>
      <c r="S260" s="5"/>
      <c r="T260" s="52"/>
      <c r="U260" s="48" t="e">
        <f>#N/A</f>
        <v>#N/A</v>
      </c>
      <c r="V260" s="50" t="e">
        <f>#N/A</f>
        <v>#N/A</v>
      </c>
      <c r="W260" s="5"/>
      <c r="X260" s="5"/>
      <c r="Y260" s="5"/>
      <c r="Z260" s="5"/>
      <c r="AA260" s="5"/>
      <c r="AB260" s="49">
        <v>2.22553605498871</v>
      </c>
      <c r="AC260" s="47" t="e">
        <f>#N/A</f>
        <v>#N/A</v>
      </c>
      <c r="AD260" s="52"/>
      <c r="AE260" s="48"/>
      <c r="AF260" s="50"/>
      <c r="AG260" s="18"/>
      <c r="AH260" s="18"/>
      <c r="AI260" s="18"/>
      <c r="AJ260" s="18"/>
      <c r="AK260" s="18"/>
      <c r="AL260" s="18"/>
      <c r="AM260" s="18"/>
      <c r="AN260" s="18"/>
      <c r="AO260" s="5"/>
      <c r="AP260" s="5"/>
      <c r="AQ260" s="8" t="e">
        <f>#N/A</f>
        <v>#N/A</v>
      </c>
      <c r="AR260" s="8" t="e">
        <f>#N/A</f>
        <v>#N/A</v>
      </c>
      <c r="AS260" s="60" t="e">
        <f>#N/A</f>
        <v>#N/A</v>
      </c>
      <c r="AT260" s="60" t="e">
        <f>#N/A</f>
        <v>#N/A</v>
      </c>
      <c r="AU260" s="60" t="e">
        <f>#N/A</f>
        <v>#N/A</v>
      </c>
    </row>
    <row r="261" spans="1:47" x14ac:dyDescent="0.2">
      <c r="A261" s="43">
        <v>0.01</v>
      </c>
      <c r="B261" s="55" t="e">
        <f>#N/A</f>
        <v>#N/A</v>
      </c>
      <c r="C261" s="43">
        <v>0</v>
      </c>
      <c r="D261" s="7" t="e">
        <f>#N/A</f>
        <v>#N/A</v>
      </c>
      <c r="E261" s="7" t="e">
        <f>#N/A</f>
        <v>#N/A</v>
      </c>
      <c r="F261" s="47" t="e">
        <f>#N/A</f>
        <v>#N/A</v>
      </c>
      <c r="G261" s="47" t="e">
        <f>#N/A</f>
        <v>#N/A</v>
      </c>
      <c r="H261" s="47" t="e">
        <f>#N/A</f>
        <v>#N/A</v>
      </c>
      <c r="I261" s="4"/>
      <c r="J261" s="4"/>
      <c r="K261" s="4"/>
      <c r="L261" s="4"/>
      <c r="M261" s="4"/>
      <c r="N261" s="49">
        <v>5.0650000000000004</v>
      </c>
      <c r="O261" s="51">
        <v>5.2492977284550024</v>
      </c>
      <c r="P261" s="51">
        <v>0.10870227154499738</v>
      </c>
      <c r="Q261" s="5"/>
      <c r="R261" s="5"/>
      <c r="S261" s="5"/>
      <c r="T261" s="52"/>
      <c r="U261" s="48" t="e">
        <f>#N/A</f>
        <v>#N/A</v>
      </c>
      <c r="V261" s="50" t="e">
        <f>#N/A</f>
        <v>#N/A</v>
      </c>
      <c r="W261" s="5"/>
      <c r="X261" s="5"/>
      <c r="Y261" s="5"/>
      <c r="Z261" s="5"/>
      <c r="AA261" s="5"/>
      <c r="AB261" s="49">
        <v>2.22553605498871</v>
      </c>
      <c r="AC261" s="47" t="e">
        <f>#N/A</f>
        <v>#N/A</v>
      </c>
      <c r="AD261" s="52"/>
      <c r="AE261" s="48"/>
      <c r="AF261" s="50"/>
      <c r="AG261" s="18"/>
      <c r="AH261" s="18"/>
      <c r="AI261" s="18"/>
      <c r="AJ261" s="18"/>
      <c r="AK261" s="18"/>
      <c r="AL261" s="18"/>
      <c r="AM261" s="18"/>
      <c r="AN261" s="18"/>
      <c r="AO261" s="5"/>
      <c r="AP261" s="5"/>
      <c r="AQ261" s="8" t="e">
        <f>#N/A</f>
        <v>#N/A</v>
      </c>
      <c r="AR261" s="8" t="e">
        <f>#N/A</f>
        <v>#N/A</v>
      </c>
      <c r="AS261" s="60" t="e">
        <f>#N/A</f>
        <v>#N/A</v>
      </c>
      <c r="AT261" s="60" t="e">
        <f>#N/A</f>
        <v>#N/A</v>
      </c>
      <c r="AU261" s="60" t="e">
        <f>#N/A</f>
        <v>#N/A</v>
      </c>
    </row>
    <row r="262" spans="1:47" x14ac:dyDescent="0.2">
      <c r="A262" s="43">
        <v>0.01</v>
      </c>
      <c r="B262" s="55" t="e">
        <f>#N/A</f>
        <v>#N/A</v>
      </c>
      <c r="C262" s="43">
        <v>0</v>
      </c>
      <c r="D262" s="7" t="e">
        <f>#N/A</f>
        <v>#N/A</v>
      </c>
      <c r="E262" s="7" t="e">
        <f>#N/A</f>
        <v>#N/A</v>
      </c>
      <c r="F262" s="47" t="e">
        <f>#N/A</f>
        <v>#N/A</v>
      </c>
      <c r="G262" s="47" t="e">
        <f>#N/A</f>
        <v>#N/A</v>
      </c>
      <c r="H262" s="47" t="e">
        <f>#N/A</f>
        <v>#N/A</v>
      </c>
      <c r="I262" s="4"/>
      <c r="J262" s="4"/>
      <c r="K262" s="4"/>
      <c r="L262" s="4"/>
      <c r="M262" s="4"/>
      <c r="N262" s="49">
        <v>5.0650000000000004</v>
      </c>
      <c r="O262" s="51">
        <v>5.2492977284550024</v>
      </c>
      <c r="P262" s="51">
        <v>0.10870227154499738</v>
      </c>
      <c r="Q262" s="5"/>
      <c r="R262" s="5"/>
      <c r="S262" s="5"/>
      <c r="T262" s="52"/>
      <c r="U262" s="48" t="e">
        <f>#N/A</f>
        <v>#N/A</v>
      </c>
      <c r="V262" s="50" t="e">
        <f>#N/A</f>
        <v>#N/A</v>
      </c>
      <c r="W262" s="5"/>
      <c r="X262" s="5"/>
      <c r="Y262" s="5"/>
      <c r="Z262" s="5"/>
      <c r="AA262" s="5"/>
      <c r="AB262" s="49">
        <v>2.22553605498871</v>
      </c>
      <c r="AC262" s="47" t="e">
        <f>#N/A</f>
        <v>#N/A</v>
      </c>
      <c r="AD262" s="52"/>
      <c r="AE262" s="48"/>
      <c r="AF262" s="50"/>
      <c r="AG262" s="18"/>
      <c r="AH262" s="18"/>
      <c r="AI262" s="18"/>
      <c r="AJ262" s="18"/>
      <c r="AK262" s="18"/>
      <c r="AL262" s="18"/>
      <c r="AM262" s="18"/>
      <c r="AN262" s="18"/>
      <c r="AO262" s="5"/>
      <c r="AP262" s="5"/>
      <c r="AQ262" s="8" t="e">
        <f>#N/A</f>
        <v>#N/A</v>
      </c>
      <c r="AR262" s="8" t="e">
        <f>#N/A</f>
        <v>#N/A</v>
      </c>
      <c r="AS262" s="60" t="e">
        <f>#N/A</f>
        <v>#N/A</v>
      </c>
      <c r="AT262" s="60" t="e">
        <f>#N/A</f>
        <v>#N/A</v>
      </c>
      <c r="AU262" s="60" t="e">
        <f>#N/A</f>
        <v>#N/A</v>
      </c>
    </row>
    <row r="263" spans="1:47" x14ac:dyDescent="0.2">
      <c r="A263" s="43">
        <v>0.01</v>
      </c>
      <c r="B263" s="55" t="e">
        <f>#N/A</f>
        <v>#N/A</v>
      </c>
      <c r="C263" s="43">
        <v>0</v>
      </c>
      <c r="D263" s="7" t="e">
        <f>#N/A</f>
        <v>#N/A</v>
      </c>
      <c r="E263" s="7" t="e">
        <f>#N/A</f>
        <v>#N/A</v>
      </c>
      <c r="F263" s="47" t="e">
        <f>#N/A</f>
        <v>#N/A</v>
      </c>
      <c r="G263" s="47" t="e">
        <f>#N/A</f>
        <v>#N/A</v>
      </c>
      <c r="H263" s="47" t="e">
        <f>#N/A</f>
        <v>#N/A</v>
      </c>
      <c r="I263" s="4"/>
      <c r="J263" s="4"/>
      <c r="K263" s="4"/>
      <c r="L263" s="4"/>
      <c r="M263" s="4"/>
      <c r="N263" s="49">
        <v>5.0650000000000004</v>
      </c>
      <c r="O263" s="51">
        <v>5.2492977284550024</v>
      </c>
      <c r="P263" s="51">
        <v>0.10870227154499738</v>
      </c>
      <c r="Q263" s="5"/>
      <c r="R263" s="5"/>
      <c r="S263" s="5"/>
      <c r="T263" s="52"/>
      <c r="U263" s="48" t="e">
        <f>#N/A</f>
        <v>#N/A</v>
      </c>
      <c r="V263" s="50" t="e">
        <f>#N/A</f>
        <v>#N/A</v>
      </c>
      <c r="W263" s="5"/>
      <c r="X263" s="5"/>
      <c r="Y263" s="5"/>
      <c r="Z263" s="5"/>
      <c r="AA263" s="5"/>
      <c r="AB263" s="49">
        <v>2.22553605498871</v>
      </c>
      <c r="AC263" s="47" t="e">
        <f>#N/A</f>
        <v>#N/A</v>
      </c>
      <c r="AD263" s="52"/>
      <c r="AE263" s="48"/>
      <c r="AF263" s="50"/>
      <c r="AG263" s="18"/>
      <c r="AH263" s="18"/>
      <c r="AI263" s="18"/>
      <c r="AJ263" s="18"/>
      <c r="AK263" s="18"/>
      <c r="AL263" s="18"/>
      <c r="AM263" s="18"/>
      <c r="AN263" s="18"/>
      <c r="AO263" s="5"/>
      <c r="AP263" s="5"/>
      <c r="AQ263" s="8" t="e">
        <f>#N/A</f>
        <v>#N/A</v>
      </c>
      <c r="AR263" s="8" t="e">
        <f>#N/A</f>
        <v>#N/A</v>
      </c>
      <c r="AS263" s="60" t="e">
        <f>#N/A</f>
        <v>#N/A</v>
      </c>
      <c r="AT263" s="60" t="e">
        <f>#N/A</f>
        <v>#N/A</v>
      </c>
      <c r="AU263" s="60" t="e">
        <f>#N/A</f>
        <v>#N/A</v>
      </c>
    </row>
    <row r="264" spans="1:47" x14ac:dyDescent="0.2">
      <c r="A264" s="43">
        <v>0.01</v>
      </c>
      <c r="B264" s="55" t="e">
        <f>#N/A</f>
        <v>#N/A</v>
      </c>
      <c r="C264" s="43">
        <v>0</v>
      </c>
      <c r="D264" s="7" t="e">
        <f>#N/A</f>
        <v>#N/A</v>
      </c>
      <c r="E264" s="7" t="e">
        <f>#N/A</f>
        <v>#N/A</v>
      </c>
      <c r="F264" s="47" t="e">
        <f>#N/A</f>
        <v>#N/A</v>
      </c>
      <c r="G264" s="47" t="e">
        <f>#N/A</f>
        <v>#N/A</v>
      </c>
      <c r="H264" s="47" t="e">
        <f>#N/A</f>
        <v>#N/A</v>
      </c>
      <c r="I264" s="4"/>
      <c r="J264" s="4"/>
      <c r="K264" s="4"/>
      <c r="L264" s="4"/>
      <c r="M264" s="4"/>
      <c r="N264" s="49">
        <v>5.0650000000000004</v>
      </c>
      <c r="O264" s="51">
        <v>5.2492977284550024</v>
      </c>
      <c r="P264" s="51">
        <v>0.10870227154499738</v>
      </c>
      <c r="Q264" s="5"/>
      <c r="R264" s="5"/>
      <c r="S264" s="5"/>
      <c r="T264" s="52"/>
      <c r="U264" s="48" t="e">
        <f>#N/A</f>
        <v>#N/A</v>
      </c>
      <c r="V264" s="50" t="e">
        <f>#N/A</f>
        <v>#N/A</v>
      </c>
      <c r="W264" s="5"/>
      <c r="X264" s="5"/>
      <c r="Y264" s="5"/>
      <c r="Z264" s="5"/>
      <c r="AA264" s="5"/>
      <c r="AB264" s="49">
        <v>2.22553605498871</v>
      </c>
      <c r="AC264" s="47" t="e">
        <f>#N/A</f>
        <v>#N/A</v>
      </c>
      <c r="AD264" s="52"/>
      <c r="AE264" s="48"/>
      <c r="AF264" s="50"/>
      <c r="AG264" s="18"/>
      <c r="AH264" s="18"/>
      <c r="AI264" s="18"/>
      <c r="AJ264" s="18"/>
      <c r="AK264" s="18"/>
      <c r="AL264" s="18"/>
      <c r="AM264" s="18"/>
      <c r="AN264" s="18"/>
      <c r="AO264" s="5"/>
      <c r="AP264" s="5"/>
      <c r="AQ264" s="8" t="e">
        <f>#N/A</f>
        <v>#N/A</v>
      </c>
      <c r="AR264" s="8" t="e">
        <f>#N/A</f>
        <v>#N/A</v>
      </c>
      <c r="AS264" s="60" t="e">
        <f>#N/A</f>
        <v>#N/A</v>
      </c>
      <c r="AT264" s="60" t="e">
        <f>#N/A</f>
        <v>#N/A</v>
      </c>
      <c r="AU264" s="60" t="e">
        <f>#N/A</f>
        <v>#N/A</v>
      </c>
    </row>
    <row r="265" spans="1:47" x14ac:dyDescent="0.2">
      <c r="A265" s="43">
        <v>0.01</v>
      </c>
      <c r="B265" s="55" t="e">
        <f>#N/A</f>
        <v>#N/A</v>
      </c>
      <c r="C265" s="43">
        <v>0</v>
      </c>
      <c r="D265" s="7" t="e">
        <f>#N/A</f>
        <v>#N/A</v>
      </c>
      <c r="E265" s="7" t="e">
        <f>#N/A</f>
        <v>#N/A</v>
      </c>
      <c r="F265" s="47" t="e">
        <f>#N/A</f>
        <v>#N/A</v>
      </c>
      <c r="G265" s="47" t="e">
        <f>#N/A</f>
        <v>#N/A</v>
      </c>
      <c r="H265" s="47" t="e">
        <f>#N/A</f>
        <v>#N/A</v>
      </c>
      <c r="I265" s="4"/>
      <c r="J265" s="4"/>
      <c r="K265" s="4"/>
      <c r="L265" s="4"/>
      <c r="M265" s="4"/>
      <c r="N265" s="49">
        <v>5.0650000000000004</v>
      </c>
      <c r="O265" s="51">
        <v>5.2492977284550024</v>
      </c>
      <c r="P265" s="51">
        <v>0.10870227154499738</v>
      </c>
      <c r="Q265" s="5"/>
      <c r="R265" s="5"/>
      <c r="S265" s="5"/>
      <c r="T265" s="52"/>
      <c r="U265" s="48" t="e">
        <f>#N/A</f>
        <v>#N/A</v>
      </c>
      <c r="V265" s="50" t="e">
        <f>#N/A</f>
        <v>#N/A</v>
      </c>
      <c r="W265" s="5"/>
      <c r="X265" s="5"/>
      <c r="Y265" s="5"/>
      <c r="Z265" s="5"/>
      <c r="AA265" s="5"/>
      <c r="AB265" s="49">
        <v>2.22553605498871</v>
      </c>
      <c r="AC265" s="47" t="e">
        <f>#N/A</f>
        <v>#N/A</v>
      </c>
      <c r="AD265" s="52"/>
      <c r="AE265" s="48"/>
      <c r="AF265" s="50"/>
      <c r="AG265" s="18"/>
      <c r="AH265" s="18"/>
      <c r="AI265" s="18"/>
      <c r="AJ265" s="18"/>
      <c r="AK265" s="18"/>
      <c r="AL265" s="18"/>
      <c r="AM265" s="18"/>
      <c r="AN265" s="18"/>
      <c r="AO265" s="5"/>
      <c r="AP265" s="5"/>
      <c r="AQ265" s="8" t="e">
        <f>#N/A</f>
        <v>#N/A</v>
      </c>
      <c r="AR265" s="8" t="e">
        <f>#N/A</f>
        <v>#N/A</v>
      </c>
      <c r="AS265" s="60" t="e">
        <f>#N/A</f>
        <v>#N/A</v>
      </c>
      <c r="AT265" s="60" t="e">
        <f>#N/A</f>
        <v>#N/A</v>
      </c>
      <c r="AU265" s="60" t="e">
        <f>#N/A</f>
        <v>#N/A</v>
      </c>
    </row>
    <row r="266" spans="1:47" x14ac:dyDescent="0.2">
      <c r="A266" s="43">
        <v>0.01</v>
      </c>
      <c r="B266" s="55" t="e">
        <f>#N/A</f>
        <v>#N/A</v>
      </c>
      <c r="C266" s="43">
        <v>0</v>
      </c>
      <c r="D266" s="7" t="e">
        <f>#N/A</f>
        <v>#N/A</v>
      </c>
      <c r="E266" s="7" t="e">
        <f>#N/A</f>
        <v>#N/A</v>
      </c>
      <c r="F266" s="47" t="e">
        <f>#N/A</f>
        <v>#N/A</v>
      </c>
      <c r="G266" s="47" t="e">
        <f>#N/A</f>
        <v>#N/A</v>
      </c>
      <c r="H266" s="47" t="e">
        <f>#N/A</f>
        <v>#N/A</v>
      </c>
      <c r="I266" s="4"/>
      <c r="J266" s="4"/>
      <c r="K266" s="4"/>
      <c r="L266" s="4"/>
      <c r="M266" s="4"/>
      <c r="N266" s="49">
        <v>5.0650000000000004</v>
      </c>
      <c r="O266" s="51">
        <v>5.2492977284550024</v>
      </c>
      <c r="P266" s="51">
        <v>0.10870227154499738</v>
      </c>
      <c r="Q266" s="5"/>
      <c r="R266" s="5"/>
      <c r="S266" s="5"/>
      <c r="T266" s="52"/>
      <c r="U266" s="48" t="e">
        <f>#N/A</f>
        <v>#N/A</v>
      </c>
      <c r="V266" s="50" t="e">
        <f>#N/A</f>
        <v>#N/A</v>
      </c>
      <c r="W266" s="5"/>
      <c r="X266" s="5"/>
      <c r="Y266" s="5"/>
      <c r="Z266" s="5"/>
      <c r="AA266" s="5"/>
      <c r="AB266" s="49">
        <v>2.22553605498871</v>
      </c>
      <c r="AC266" s="47" t="e">
        <f>#N/A</f>
        <v>#N/A</v>
      </c>
      <c r="AD266" s="52"/>
      <c r="AE266" s="48"/>
      <c r="AF266" s="50"/>
      <c r="AG266" s="18"/>
      <c r="AH266" s="18"/>
      <c r="AI266" s="18"/>
      <c r="AJ266" s="18"/>
      <c r="AK266" s="18"/>
      <c r="AL266" s="18"/>
      <c r="AM266" s="18"/>
      <c r="AN266" s="18"/>
      <c r="AO266" s="5"/>
      <c r="AP266" s="5"/>
      <c r="AQ266" s="8" t="e">
        <f>#N/A</f>
        <v>#N/A</v>
      </c>
      <c r="AR266" s="8" t="e">
        <f>#N/A</f>
        <v>#N/A</v>
      </c>
      <c r="AS266" s="60" t="e">
        <f>#N/A</f>
        <v>#N/A</v>
      </c>
      <c r="AT266" s="60" t="e">
        <f>#N/A</f>
        <v>#N/A</v>
      </c>
      <c r="AU266" s="60" t="e">
        <f>#N/A</f>
        <v>#N/A</v>
      </c>
    </row>
    <row r="267" spans="1:47" x14ac:dyDescent="0.2">
      <c r="A267" s="43">
        <v>0.01</v>
      </c>
      <c r="B267" s="55" t="e">
        <f>#N/A</f>
        <v>#N/A</v>
      </c>
      <c r="C267" s="43">
        <v>0</v>
      </c>
      <c r="D267" s="7" t="e">
        <f>#N/A</f>
        <v>#N/A</v>
      </c>
      <c r="E267" s="7" t="e">
        <f>#N/A</f>
        <v>#N/A</v>
      </c>
      <c r="F267" s="47" t="e">
        <f>#N/A</f>
        <v>#N/A</v>
      </c>
      <c r="G267" s="47" t="e">
        <f>#N/A</f>
        <v>#N/A</v>
      </c>
      <c r="H267" s="47" t="e">
        <f>#N/A</f>
        <v>#N/A</v>
      </c>
      <c r="I267" s="4"/>
      <c r="J267" s="4"/>
      <c r="K267" s="4"/>
      <c r="L267" s="4"/>
      <c r="M267" s="4"/>
      <c r="N267" s="49">
        <v>5.0650000000000004</v>
      </c>
      <c r="O267" s="51">
        <v>5.2492977284550024</v>
      </c>
      <c r="P267" s="51">
        <v>0.10870227154499738</v>
      </c>
      <c r="Q267" s="5"/>
      <c r="R267" s="5"/>
      <c r="S267" s="5"/>
      <c r="T267" s="52"/>
      <c r="U267" s="48" t="e">
        <f>#N/A</f>
        <v>#N/A</v>
      </c>
      <c r="V267" s="50" t="e">
        <f>#N/A</f>
        <v>#N/A</v>
      </c>
      <c r="W267" s="5"/>
      <c r="X267" s="5"/>
      <c r="Y267" s="5"/>
      <c r="Z267" s="5"/>
      <c r="AA267" s="5"/>
      <c r="AB267" s="49">
        <v>2.22553605498871</v>
      </c>
      <c r="AC267" s="47" t="e">
        <f>#N/A</f>
        <v>#N/A</v>
      </c>
      <c r="AD267" s="52"/>
      <c r="AE267" s="48"/>
      <c r="AF267" s="50"/>
      <c r="AG267" s="18"/>
      <c r="AH267" s="18"/>
      <c r="AI267" s="18"/>
      <c r="AJ267" s="18"/>
      <c r="AK267" s="18"/>
      <c r="AL267" s="18"/>
      <c r="AM267" s="18"/>
      <c r="AN267" s="18"/>
      <c r="AO267" s="5"/>
      <c r="AP267" s="5"/>
      <c r="AQ267" s="8" t="e">
        <f>#N/A</f>
        <v>#N/A</v>
      </c>
      <c r="AR267" s="8" t="e">
        <f>#N/A</f>
        <v>#N/A</v>
      </c>
      <c r="AS267" s="60" t="e">
        <f>#N/A</f>
        <v>#N/A</v>
      </c>
      <c r="AT267" s="60" t="e">
        <f>#N/A</f>
        <v>#N/A</v>
      </c>
      <c r="AU267" s="60" t="e">
        <f>#N/A</f>
        <v>#N/A</v>
      </c>
    </row>
    <row r="268" spans="1:47" x14ac:dyDescent="0.2">
      <c r="A268" s="43">
        <v>0.01</v>
      </c>
      <c r="B268" s="55" t="e">
        <f>#N/A</f>
        <v>#N/A</v>
      </c>
      <c r="C268" s="43">
        <v>0</v>
      </c>
      <c r="D268" s="7" t="e">
        <f>#N/A</f>
        <v>#N/A</v>
      </c>
      <c r="E268" s="7" t="e">
        <f>#N/A</f>
        <v>#N/A</v>
      </c>
      <c r="F268" s="47" t="e">
        <f>#N/A</f>
        <v>#N/A</v>
      </c>
      <c r="G268" s="47" t="e">
        <f>#N/A</f>
        <v>#N/A</v>
      </c>
      <c r="H268" s="47" t="e">
        <f>#N/A</f>
        <v>#N/A</v>
      </c>
      <c r="I268" s="4"/>
      <c r="J268" s="4"/>
      <c r="K268" s="4"/>
      <c r="L268" s="4"/>
      <c r="M268" s="4"/>
      <c r="N268" s="49">
        <v>5.0650000000000004</v>
      </c>
      <c r="O268" s="51">
        <v>5.2492977284550024</v>
      </c>
      <c r="P268" s="51">
        <v>0.10870227154499738</v>
      </c>
      <c r="Q268" s="5"/>
      <c r="R268" s="5"/>
      <c r="S268" s="5"/>
      <c r="T268" s="52"/>
      <c r="U268" s="48" t="e">
        <f>#N/A</f>
        <v>#N/A</v>
      </c>
      <c r="V268" s="50" t="e">
        <f>#N/A</f>
        <v>#N/A</v>
      </c>
      <c r="W268" s="5"/>
      <c r="X268" s="5"/>
      <c r="Y268" s="5"/>
      <c r="Z268" s="5"/>
      <c r="AA268" s="5"/>
      <c r="AB268" s="49">
        <v>2.22553605498871</v>
      </c>
      <c r="AC268" s="47" t="e">
        <f>#N/A</f>
        <v>#N/A</v>
      </c>
      <c r="AD268" s="52"/>
      <c r="AE268" s="48"/>
      <c r="AF268" s="50"/>
      <c r="AG268" s="18"/>
      <c r="AH268" s="18"/>
      <c r="AI268" s="18"/>
      <c r="AJ268" s="18"/>
      <c r="AK268" s="18"/>
      <c r="AL268" s="18"/>
      <c r="AM268" s="18"/>
      <c r="AN268" s="18"/>
      <c r="AO268" s="5"/>
      <c r="AP268" s="5"/>
      <c r="AQ268" s="8" t="e">
        <f>#N/A</f>
        <v>#N/A</v>
      </c>
      <c r="AR268" s="8" t="e">
        <f>#N/A</f>
        <v>#N/A</v>
      </c>
      <c r="AS268" s="60" t="e">
        <f>#N/A</f>
        <v>#N/A</v>
      </c>
      <c r="AT268" s="60" t="e">
        <f>#N/A</f>
        <v>#N/A</v>
      </c>
      <c r="AU268" s="60" t="e">
        <f>#N/A</f>
        <v>#N/A</v>
      </c>
    </row>
    <row r="269" spans="1:47" x14ac:dyDescent="0.2">
      <c r="A269" s="43">
        <v>0.01</v>
      </c>
      <c r="B269" s="55" t="e">
        <f>#N/A</f>
        <v>#N/A</v>
      </c>
      <c r="C269" s="43">
        <v>0</v>
      </c>
      <c r="D269" s="7" t="e">
        <f>#N/A</f>
        <v>#N/A</v>
      </c>
      <c r="E269" s="7" t="e">
        <f>#N/A</f>
        <v>#N/A</v>
      </c>
      <c r="F269" s="47" t="e">
        <f>#N/A</f>
        <v>#N/A</v>
      </c>
      <c r="G269" s="47" t="e">
        <f>#N/A</f>
        <v>#N/A</v>
      </c>
      <c r="H269" s="47" t="e">
        <f>#N/A</f>
        <v>#N/A</v>
      </c>
      <c r="I269" s="4"/>
      <c r="J269" s="4"/>
      <c r="K269" s="4"/>
      <c r="L269" s="4"/>
      <c r="M269" s="4"/>
      <c r="N269" s="49">
        <v>5.0650000000000004</v>
      </c>
      <c r="O269" s="51">
        <v>5.2492977284550024</v>
      </c>
      <c r="P269" s="51">
        <v>0.10870227154499738</v>
      </c>
      <c r="Q269" s="5"/>
      <c r="R269" s="5"/>
      <c r="S269" s="5"/>
      <c r="T269" s="52"/>
      <c r="U269" s="48" t="e">
        <f>#N/A</f>
        <v>#N/A</v>
      </c>
      <c r="V269" s="50" t="e">
        <f>#N/A</f>
        <v>#N/A</v>
      </c>
      <c r="W269" s="5"/>
      <c r="X269" s="5"/>
      <c r="Y269" s="5"/>
      <c r="Z269" s="5"/>
      <c r="AA269" s="5"/>
      <c r="AB269" s="49">
        <v>2.22553605498871</v>
      </c>
      <c r="AC269" s="47" t="e">
        <f>#N/A</f>
        <v>#N/A</v>
      </c>
      <c r="AD269" s="52"/>
      <c r="AE269" s="48"/>
      <c r="AF269" s="50"/>
      <c r="AG269" s="18"/>
      <c r="AH269" s="18"/>
      <c r="AI269" s="18"/>
      <c r="AJ269" s="18"/>
      <c r="AK269" s="18"/>
      <c r="AL269" s="18"/>
      <c r="AM269" s="18"/>
      <c r="AN269" s="18"/>
      <c r="AO269" s="5"/>
      <c r="AP269" s="5"/>
      <c r="AQ269" s="8" t="e">
        <f>#N/A</f>
        <v>#N/A</v>
      </c>
      <c r="AR269" s="8" t="e">
        <f>#N/A</f>
        <v>#N/A</v>
      </c>
      <c r="AS269" s="60" t="e">
        <f>#N/A</f>
        <v>#N/A</v>
      </c>
      <c r="AT269" s="60" t="e">
        <f>#N/A</f>
        <v>#N/A</v>
      </c>
      <c r="AU269" s="60" t="e">
        <f>#N/A</f>
        <v>#N/A</v>
      </c>
    </row>
    <row r="270" spans="1:47" x14ac:dyDescent="0.2">
      <c r="A270" s="43">
        <v>0.01</v>
      </c>
      <c r="B270" s="55" t="e">
        <f>#N/A</f>
        <v>#N/A</v>
      </c>
      <c r="C270" s="43">
        <v>0</v>
      </c>
      <c r="D270" s="7" t="e">
        <f>#N/A</f>
        <v>#N/A</v>
      </c>
      <c r="E270" s="7" t="e">
        <f>#N/A</f>
        <v>#N/A</v>
      </c>
      <c r="F270" s="47" t="e">
        <f>#N/A</f>
        <v>#N/A</v>
      </c>
      <c r="G270" s="47" t="e">
        <f>#N/A</f>
        <v>#N/A</v>
      </c>
      <c r="H270" s="47" t="e">
        <f>#N/A</f>
        <v>#N/A</v>
      </c>
      <c r="I270" s="4"/>
      <c r="J270" s="4"/>
      <c r="K270" s="4"/>
      <c r="L270" s="4"/>
      <c r="M270" s="4"/>
      <c r="N270" s="49">
        <v>5.0650000000000004</v>
      </c>
      <c r="O270" s="51">
        <v>5.2492977284550024</v>
      </c>
      <c r="P270" s="51">
        <v>0.10870227154499738</v>
      </c>
      <c r="Q270" s="5"/>
      <c r="R270" s="5"/>
      <c r="S270" s="5"/>
      <c r="T270" s="52"/>
      <c r="U270" s="48" t="e">
        <f>#N/A</f>
        <v>#N/A</v>
      </c>
      <c r="V270" s="50" t="e">
        <f>#N/A</f>
        <v>#N/A</v>
      </c>
      <c r="W270" s="5"/>
      <c r="X270" s="5"/>
      <c r="Y270" s="5"/>
      <c r="Z270" s="5"/>
      <c r="AA270" s="5"/>
      <c r="AB270" s="49">
        <v>2.22553605498871</v>
      </c>
      <c r="AC270" s="47" t="e">
        <f>#N/A</f>
        <v>#N/A</v>
      </c>
      <c r="AD270" s="52"/>
      <c r="AE270" s="48"/>
      <c r="AF270" s="50"/>
      <c r="AG270" s="18"/>
      <c r="AH270" s="18"/>
      <c r="AI270" s="18"/>
      <c r="AJ270" s="18"/>
      <c r="AK270" s="18"/>
      <c r="AL270" s="18"/>
      <c r="AM270" s="18"/>
      <c r="AN270" s="18"/>
      <c r="AO270" s="5"/>
      <c r="AP270" s="5"/>
      <c r="AQ270" s="8" t="e">
        <f>#N/A</f>
        <v>#N/A</v>
      </c>
      <c r="AR270" s="8" t="e">
        <f>#N/A</f>
        <v>#N/A</v>
      </c>
      <c r="AS270" s="60" t="e">
        <f>#N/A</f>
        <v>#N/A</v>
      </c>
      <c r="AT270" s="60" t="e">
        <f>#N/A</f>
        <v>#N/A</v>
      </c>
      <c r="AU270" s="60" t="e">
        <f>#N/A</f>
        <v>#N/A</v>
      </c>
    </row>
    <row r="271" spans="1:47" x14ac:dyDescent="0.2">
      <c r="A271" s="43">
        <v>0.01</v>
      </c>
      <c r="B271" s="55" t="e">
        <f>#N/A</f>
        <v>#N/A</v>
      </c>
      <c r="C271" s="43">
        <v>0</v>
      </c>
      <c r="D271" s="7" t="e">
        <f>#N/A</f>
        <v>#N/A</v>
      </c>
      <c r="E271" s="7" t="e">
        <f>#N/A</f>
        <v>#N/A</v>
      </c>
      <c r="F271" s="47" t="e">
        <f>#N/A</f>
        <v>#N/A</v>
      </c>
      <c r="G271" s="47" t="e">
        <f>#N/A</f>
        <v>#N/A</v>
      </c>
      <c r="H271" s="47" t="e">
        <f>#N/A</f>
        <v>#N/A</v>
      </c>
      <c r="I271" s="4"/>
      <c r="J271" s="4"/>
      <c r="K271" s="4"/>
      <c r="L271" s="4"/>
      <c r="M271" s="4"/>
      <c r="N271" s="49">
        <v>5.0650000000000004</v>
      </c>
      <c r="O271" s="51">
        <v>5.2492977284550024</v>
      </c>
      <c r="P271" s="51">
        <v>0.10870227154499738</v>
      </c>
      <c r="Q271" s="5"/>
      <c r="R271" s="5"/>
      <c r="S271" s="5"/>
      <c r="T271" s="52"/>
      <c r="U271" s="48" t="e">
        <f>#N/A</f>
        <v>#N/A</v>
      </c>
      <c r="V271" s="50" t="e">
        <f>#N/A</f>
        <v>#N/A</v>
      </c>
      <c r="W271" s="5"/>
      <c r="X271" s="5"/>
      <c r="Y271" s="5"/>
      <c r="Z271" s="5"/>
      <c r="AA271" s="5"/>
      <c r="AB271" s="49">
        <v>2.22553605498871</v>
      </c>
      <c r="AC271" s="47" t="e">
        <f>#N/A</f>
        <v>#N/A</v>
      </c>
      <c r="AD271" s="52"/>
      <c r="AE271" s="48"/>
      <c r="AF271" s="50"/>
      <c r="AG271" s="18"/>
      <c r="AH271" s="18"/>
      <c r="AI271" s="18"/>
      <c r="AJ271" s="18"/>
      <c r="AK271" s="18"/>
      <c r="AL271" s="18"/>
      <c r="AM271" s="18"/>
      <c r="AN271" s="18"/>
      <c r="AO271" s="5"/>
      <c r="AP271" s="5"/>
      <c r="AQ271" s="8" t="e">
        <f>#N/A</f>
        <v>#N/A</v>
      </c>
      <c r="AR271" s="8" t="e">
        <f>#N/A</f>
        <v>#N/A</v>
      </c>
      <c r="AS271" s="60" t="e">
        <f>#N/A</f>
        <v>#N/A</v>
      </c>
      <c r="AT271" s="60" t="e">
        <f>#N/A</f>
        <v>#N/A</v>
      </c>
      <c r="AU271" s="60" t="e">
        <f>#N/A</f>
        <v>#N/A</v>
      </c>
    </row>
    <row r="272" spans="1:47" x14ac:dyDescent="0.2">
      <c r="A272" s="43">
        <v>0.01</v>
      </c>
      <c r="B272" s="55" t="e">
        <f>#N/A</f>
        <v>#N/A</v>
      </c>
      <c r="C272" s="43">
        <v>0</v>
      </c>
      <c r="D272" s="7" t="e">
        <f>#N/A</f>
        <v>#N/A</v>
      </c>
      <c r="E272" s="7" t="e">
        <f>#N/A</f>
        <v>#N/A</v>
      </c>
      <c r="F272" s="47" t="e">
        <f>#N/A</f>
        <v>#N/A</v>
      </c>
      <c r="G272" s="47" t="e">
        <f>#N/A</f>
        <v>#N/A</v>
      </c>
      <c r="H272" s="47" t="e">
        <f>#N/A</f>
        <v>#N/A</v>
      </c>
      <c r="I272" s="4"/>
      <c r="J272" s="4"/>
      <c r="K272" s="4"/>
      <c r="L272" s="4"/>
      <c r="M272" s="4"/>
      <c r="N272" s="49">
        <v>5.0650000000000004</v>
      </c>
      <c r="O272" s="51">
        <v>5.2492977284550024</v>
      </c>
      <c r="P272" s="51">
        <v>0.10870227154499738</v>
      </c>
      <c r="Q272" s="5"/>
      <c r="R272" s="5"/>
      <c r="S272" s="5"/>
      <c r="T272" s="52"/>
      <c r="U272" s="48" t="e">
        <f>#N/A</f>
        <v>#N/A</v>
      </c>
      <c r="V272" s="50" t="e">
        <f>#N/A</f>
        <v>#N/A</v>
      </c>
      <c r="W272" s="5"/>
      <c r="X272" s="5"/>
      <c r="Y272" s="5"/>
      <c r="Z272" s="5"/>
      <c r="AA272" s="5"/>
      <c r="AB272" s="49">
        <v>2.22553605498871</v>
      </c>
      <c r="AC272" s="47" t="e">
        <f>#N/A</f>
        <v>#N/A</v>
      </c>
      <c r="AD272" s="52"/>
      <c r="AE272" s="48"/>
      <c r="AF272" s="50"/>
      <c r="AG272" s="18"/>
      <c r="AH272" s="18"/>
      <c r="AI272" s="18"/>
      <c r="AJ272" s="18"/>
      <c r="AK272" s="18"/>
      <c r="AL272" s="18"/>
      <c r="AM272" s="18"/>
      <c r="AN272" s="18"/>
      <c r="AO272" s="5"/>
      <c r="AP272" s="5"/>
      <c r="AQ272" s="8" t="e">
        <f>#N/A</f>
        <v>#N/A</v>
      </c>
      <c r="AR272" s="8" t="e">
        <f>#N/A</f>
        <v>#N/A</v>
      </c>
      <c r="AS272" s="60" t="e">
        <f>#N/A</f>
        <v>#N/A</v>
      </c>
      <c r="AT272" s="60" t="e">
        <f>#N/A</f>
        <v>#N/A</v>
      </c>
      <c r="AU272" s="60" t="e">
        <f>#N/A</f>
        <v>#N/A</v>
      </c>
    </row>
    <row r="273" spans="1:47" x14ac:dyDescent="0.2">
      <c r="A273" s="43">
        <v>0.01</v>
      </c>
      <c r="B273" s="55" t="e">
        <f>#N/A</f>
        <v>#N/A</v>
      </c>
      <c r="C273" s="43">
        <v>0</v>
      </c>
      <c r="D273" s="7" t="e">
        <f>#N/A</f>
        <v>#N/A</v>
      </c>
      <c r="E273" s="7" t="e">
        <f>#N/A</f>
        <v>#N/A</v>
      </c>
      <c r="F273" s="47" t="e">
        <f>#N/A</f>
        <v>#N/A</v>
      </c>
      <c r="G273" s="47" t="e">
        <f>#N/A</f>
        <v>#N/A</v>
      </c>
      <c r="H273" s="47" t="e">
        <f>#N/A</f>
        <v>#N/A</v>
      </c>
      <c r="I273" s="4"/>
      <c r="J273" s="4"/>
      <c r="K273" s="4"/>
      <c r="L273" s="4"/>
      <c r="M273" s="4"/>
      <c r="N273" s="49">
        <v>5.0650000000000004</v>
      </c>
      <c r="O273" s="51">
        <v>5.2492977284550024</v>
      </c>
      <c r="P273" s="51">
        <v>0.10870227154499738</v>
      </c>
      <c r="Q273" s="5"/>
      <c r="R273" s="5"/>
      <c r="S273" s="5"/>
      <c r="T273" s="52"/>
      <c r="U273" s="48" t="e">
        <f>#N/A</f>
        <v>#N/A</v>
      </c>
      <c r="V273" s="50" t="e">
        <f>#N/A</f>
        <v>#N/A</v>
      </c>
      <c r="W273" s="5"/>
      <c r="X273" s="5"/>
      <c r="Y273" s="5"/>
      <c r="Z273" s="5"/>
      <c r="AA273" s="5"/>
      <c r="AB273" s="49">
        <v>2.22553605498871</v>
      </c>
      <c r="AC273" s="47" t="e">
        <f>#N/A</f>
        <v>#N/A</v>
      </c>
      <c r="AD273" s="52"/>
      <c r="AE273" s="48"/>
      <c r="AF273" s="50"/>
      <c r="AG273" s="18"/>
      <c r="AH273" s="18"/>
      <c r="AI273" s="18"/>
      <c r="AJ273" s="18"/>
      <c r="AK273" s="18"/>
      <c r="AL273" s="18"/>
      <c r="AM273" s="18"/>
      <c r="AN273" s="18"/>
      <c r="AO273" s="5"/>
      <c r="AP273" s="5"/>
      <c r="AQ273" s="8" t="e">
        <f>#N/A</f>
        <v>#N/A</v>
      </c>
      <c r="AR273" s="8" t="e">
        <f>#N/A</f>
        <v>#N/A</v>
      </c>
      <c r="AS273" s="60" t="e">
        <f>#N/A</f>
        <v>#N/A</v>
      </c>
      <c r="AT273" s="60" t="e">
        <f>#N/A</f>
        <v>#N/A</v>
      </c>
      <c r="AU273" s="60" t="e">
        <f>#N/A</f>
        <v>#N/A</v>
      </c>
    </row>
    <row r="274" spans="1:47" x14ac:dyDescent="0.2">
      <c r="A274" s="43">
        <v>0.01</v>
      </c>
      <c r="B274" s="55" t="e">
        <f>#N/A</f>
        <v>#N/A</v>
      </c>
      <c r="C274" s="43">
        <v>0</v>
      </c>
      <c r="D274" s="7" t="e">
        <f>#N/A</f>
        <v>#N/A</v>
      </c>
      <c r="E274" s="7" t="e">
        <f>#N/A</f>
        <v>#N/A</v>
      </c>
      <c r="F274" s="47" t="e">
        <f>#N/A</f>
        <v>#N/A</v>
      </c>
      <c r="G274" s="47" t="e">
        <f>#N/A</f>
        <v>#N/A</v>
      </c>
      <c r="H274" s="47" t="e">
        <f>#N/A</f>
        <v>#N/A</v>
      </c>
      <c r="I274" s="4"/>
      <c r="J274" s="4"/>
      <c r="K274" s="4"/>
      <c r="L274" s="4"/>
      <c r="M274" s="4"/>
      <c r="N274" s="49">
        <v>5.0650000000000004</v>
      </c>
      <c r="O274" s="51">
        <v>5.2492977284550024</v>
      </c>
      <c r="P274" s="51">
        <v>0.10870227154499738</v>
      </c>
      <c r="Q274" s="5"/>
      <c r="R274" s="5"/>
      <c r="S274" s="5"/>
      <c r="T274" s="52"/>
      <c r="U274" s="48" t="e">
        <f>#N/A</f>
        <v>#N/A</v>
      </c>
      <c r="V274" s="50" t="e">
        <f>#N/A</f>
        <v>#N/A</v>
      </c>
      <c r="W274" s="5"/>
      <c r="X274" s="5"/>
      <c r="Y274" s="5"/>
      <c r="Z274" s="5"/>
      <c r="AA274" s="5"/>
      <c r="AB274" s="49">
        <v>2.22553605498871</v>
      </c>
      <c r="AC274" s="47" t="e">
        <f>#N/A</f>
        <v>#N/A</v>
      </c>
      <c r="AD274" s="52"/>
      <c r="AE274" s="48"/>
      <c r="AF274" s="50"/>
      <c r="AG274" s="18"/>
      <c r="AH274" s="18"/>
      <c r="AI274" s="18"/>
      <c r="AJ274" s="18"/>
      <c r="AK274" s="18"/>
      <c r="AL274" s="18"/>
      <c r="AM274" s="18"/>
      <c r="AN274" s="18"/>
      <c r="AO274" s="5"/>
      <c r="AP274" s="5"/>
      <c r="AQ274" s="8" t="e">
        <f>#N/A</f>
        <v>#N/A</v>
      </c>
      <c r="AR274" s="8" t="e">
        <f>#N/A</f>
        <v>#N/A</v>
      </c>
      <c r="AS274" s="60" t="e">
        <f>#N/A</f>
        <v>#N/A</v>
      </c>
      <c r="AT274" s="60" t="e">
        <f>#N/A</f>
        <v>#N/A</v>
      </c>
      <c r="AU274" s="60" t="e">
        <f>#N/A</f>
        <v>#N/A</v>
      </c>
    </row>
    <row r="275" spans="1:47" x14ac:dyDescent="0.2">
      <c r="A275" s="43">
        <v>0.01</v>
      </c>
      <c r="B275" s="55" t="e">
        <f>#N/A</f>
        <v>#N/A</v>
      </c>
      <c r="C275" s="43">
        <v>0</v>
      </c>
      <c r="D275" s="7" t="e">
        <f>#N/A</f>
        <v>#N/A</v>
      </c>
      <c r="E275" s="7" t="e">
        <f>#N/A</f>
        <v>#N/A</v>
      </c>
      <c r="F275" s="47" t="e">
        <f>#N/A</f>
        <v>#N/A</v>
      </c>
      <c r="G275" s="47" t="e">
        <f>#N/A</f>
        <v>#N/A</v>
      </c>
      <c r="H275" s="47" t="e">
        <f>#N/A</f>
        <v>#N/A</v>
      </c>
      <c r="I275" s="4"/>
      <c r="J275" s="4"/>
      <c r="K275" s="4"/>
      <c r="L275" s="4"/>
      <c r="M275" s="4"/>
      <c r="N275" s="49">
        <v>5.0650000000000004</v>
      </c>
      <c r="O275" s="51">
        <v>5.2492977284550024</v>
      </c>
      <c r="P275" s="51">
        <v>0.10870227154499738</v>
      </c>
      <c r="Q275" s="5"/>
      <c r="R275" s="5"/>
      <c r="S275" s="5"/>
      <c r="T275" s="52"/>
      <c r="U275" s="48" t="e">
        <f>#N/A</f>
        <v>#N/A</v>
      </c>
      <c r="V275" s="50" t="e">
        <f>#N/A</f>
        <v>#N/A</v>
      </c>
      <c r="W275" s="5"/>
      <c r="X275" s="5"/>
      <c r="Y275" s="5"/>
      <c r="Z275" s="5"/>
      <c r="AA275" s="5"/>
      <c r="AB275" s="49">
        <v>2.22553605498871</v>
      </c>
      <c r="AC275" s="47" t="e">
        <f>#N/A</f>
        <v>#N/A</v>
      </c>
      <c r="AD275" s="52"/>
      <c r="AE275" s="48"/>
      <c r="AF275" s="50"/>
      <c r="AG275" s="18"/>
      <c r="AH275" s="18"/>
      <c r="AI275" s="18"/>
      <c r="AJ275" s="18"/>
      <c r="AK275" s="18"/>
      <c r="AL275" s="18"/>
      <c r="AM275" s="18"/>
      <c r="AN275" s="18"/>
      <c r="AO275" s="5"/>
      <c r="AP275" s="5"/>
      <c r="AQ275" s="8" t="e">
        <f>#N/A</f>
        <v>#N/A</v>
      </c>
      <c r="AR275" s="8" t="e">
        <f>#N/A</f>
        <v>#N/A</v>
      </c>
      <c r="AS275" s="60" t="e">
        <f>#N/A</f>
        <v>#N/A</v>
      </c>
      <c r="AT275" s="60" t="e">
        <f>#N/A</f>
        <v>#N/A</v>
      </c>
      <c r="AU275" s="60" t="e">
        <f>#N/A</f>
        <v>#N/A</v>
      </c>
    </row>
    <row r="276" spans="1:47" x14ac:dyDescent="0.2">
      <c r="A276" s="43">
        <v>0.01</v>
      </c>
      <c r="B276" s="55" t="e">
        <f>#N/A</f>
        <v>#N/A</v>
      </c>
      <c r="C276" s="43">
        <v>0</v>
      </c>
      <c r="D276" s="7" t="e">
        <f>#N/A</f>
        <v>#N/A</v>
      </c>
      <c r="E276" s="7" t="e">
        <f>#N/A</f>
        <v>#N/A</v>
      </c>
      <c r="F276" s="47" t="e">
        <f>#N/A</f>
        <v>#N/A</v>
      </c>
      <c r="G276" s="47" t="e">
        <f>#N/A</f>
        <v>#N/A</v>
      </c>
      <c r="H276" s="47" t="e">
        <f>#N/A</f>
        <v>#N/A</v>
      </c>
      <c r="I276" s="4"/>
      <c r="J276" s="4"/>
      <c r="K276" s="4"/>
      <c r="L276" s="4"/>
      <c r="M276" s="4"/>
      <c r="N276" s="49">
        <v>5.0650000000000004</v>
      </c>
      <c r="O276" s="51">
        <v>5.2492977284550024</v>
      </c>
      <c r="P276" s="51">
        <v>0.10870227154499738</v>
      </c>
      <c r="Q276" s="5"/>
      <c r="R276" s="5"/>
      <c r="S276" s="5"/>
      <c r="T276" s="52"/>
      <c r="U276" s="48" t="e">
        <f>#N/A</f>
        <v>#N/A</v>
      </c>
      <c r="V276" s="50" t="e">
        <f>#N/A</f>
        <v>#N/A</v>
      </c>
      <c r="W276" s="5"/>
      <c r="X276" s="5"/>
      <c r="Y276" s="5"/>
      <c r="Z276" s="5"/>
      <c r="AA276" s="5"/>
      <c r="AB276" s="49">
        <v>2.22553605498871</v>
      </c>
      <c r="AC276" s="47" t="e">
        <f>#N/A</f>
        <v>#N/A</v>
      </c>
      <c r="AD276" s="52"/>
      <c r="AE276" s="48"/>
      <c r="AF276" s="50"/>
      <c r="AG276" s="18"/>
      <c r="AH276" s="18"/>
      <c r="AI276" s="18"/>
      <c r="AJ276" s="18"/>
      <c r="AK276" s="18"/>
      <c r="AL276" s="18"/>
      <c r="AM276" s="18"/>
      <c r="AN276" s="18"/>
      <c r="AO276" s="5"/>
      <c r="AP276" s="5"/>
      <c r="AQ276" s="8" t="e">
        <f>#N/A</f>
        <v>#N/A</v>
      </c>
      <c r="AR276" s="8" t="e">
        <f>#N/A</f>
        <v>#N/A</v>
      </c>
      <c r="AS276" s="60" t="e">
        <f>#N/A</f>
        <v>#N/A</v>
      </c>
      <c r="AT276" s="60" t="e">
        <f>#N/A</f>
        <v>#N/A</v>
      </c>
      <c r="AU276" s="60" t="e">
        <f>#N/A</f>
        <v>#N/A</v>
      </c>
    </row>
    <row r="277" spans="1:47" x14ac:dyDescent="0.2">
      <c r="A277" s="43">
        <v>0.01</v>
      </c>
      <c r="B277" s="55" t="e">
        <f>#N/A</f>
        <v>#N/A</v>
      </c>
      <c r="C277" s="43">
        <v>0</v>
      </c>
      <c r="D277" s="7" t="e">
        <f>#N/A</f>
        <v>#N/A</v>
      </c>
      <c r="E277" s="7" t="e">
        <f>#N/A</f>
        <v>#N/A</v>
      </c>
      <c r="F277" s="47" t="e">
        <f>#N/A</f>
        <v>#N/A</v>
      </c>
      <c r="G277" s="47" t="e">
        <f>#N/A</f>
        <v>#N/A</v>
      </c>
      <c r="H277" s="47" t="e">
        <f>#N/A</f>
        <v>#N/A</v>
      </c>
      <c r="I277" s="4"/>
      <c r="J277" s="4"/>
      <c r="K277" s="4"/>
      <c r="L277" s="4"/>
      <c r="M277" s="4"/>
      <c r="N277" s="49">
        <v>5.0650000000000004</v>
      </c>
      <c r="O277" s="51">
        <v>5.2492977284550024</v>
      </c>
      <c r="P277" s="51">
        <v>0.10870227154499738</v>
      </c>
      <c r="Q277" s="5"/>
      <c r="R277" s="5"/>
      <c r="S277" s="5"/>
      <c r="T277" s="52"/>
      <c r="U277" s="48" t="e">
        <f>#N/A</f>
        <v>#N/A</v>
      </c>
      <c r="V277" s="50" t="e">
        <f>#N/A</f>
        <v>#N/A</v>
      </c>
      <c r="W277" s="5"/>
      <c r="X277" s="5"/>
      <c r="Y277" s="5"/>
      <c r="Z277" s="5"/>
      <c r="AA277" s="5"/>
      <c r="AB277" s="49">
        <v>2.22553605498871</v>
      </c>
      <c r="AC277" s="47" t="e">
        <f>#N/A</f>
        <v>#N/A</v>
      </c>
      <c r="AD277" s="52"/>
      <c r="AE277" s="48"/>
      <c r="AF277" s="50"/>
      <c r="AG277" s="18"/>
      <c r="AH277" s="18"/>
      <c r="AI277" s="18"/>
      <c r="AJ277" s="18"/>
      <c r="AK277" s="18"/>
      <c r="AL277" s="18"/>
      <c r="AM277" s="18"/>
      <c r="AN277" s="18"/>
      <c r="AO277" s="5"/>
      <c r="AP277" s="5"/>
      <c r="AQ277" s="8" t="e">
        <f>#N/A</f>
        <v>#N/A</v>
      </c>
      <c r="AR277" s="8" t="e">
        <f>#N/A</f>
        <v>#N/A</v>
      </c>
      <c r="AS277" s="60" t="e">
        <f>#N/A</f>
        <v>#N/A</v>
      </c>
      <c r="AT277" s="60" t="e">
        <f>#N/A</f>
        <v>#N/A</v>
      </c>
      <c r="AU277" s="60" t="e">
        <f>#N/A</f>
        <v>#N/A</v>
      </c>
    </row>
    <row r="278" spans="1:47" x14ac:dyDescent="0.2">
      <c r="A278" s="43">
        <v>0.01</v>
      </c>
      <c r="B278" s="55" t="e">
        <f>#N/A</f>
        <v>#N/A</v>
      </c>
      <c r="C278" s="43">
        <v>0</v>
      </c>
      <c r="D278" s="7" t="e">
        <f>#N/A</f>
        <v>#N/A</v>
      </c>
      <c r="E278" s="7" t="e">
        <f>#N/A</f>
        <v>#N/A</v>
      </c>
      <c r="F278" s="47" t="e">
        <f>#N/A</f>
        <v>#N/A</v>
      </c>
      <c r="G278" s="47" t="e">
        <f>#N/A</f>
        <v>#N/A</v>
      </c>
      <c r="H278" s="47" t="e">
        <f>#N/A</f>
        <v>#N/A</v>
      </c>
      <c r="I278" s="4"/>
      <c r="J278" s="4"/>
      <c r="K278" s="4"/>
      <c r="L278" s="4"/>
      <c r="M278" s="4"/>
      <c r="N278" s="49">
        <v>5.0650000000000004</v>
      </c>
      <c r="O278" s="51">
        <v>5.2492977284550024</v>
      </c>
      <c r="P278" s="51">
        <v>0.10870227154499738</v>
      </c>
      <c r="Q278" s="5"/>
      <c r="R278" s="5"/>
      <c r="S278" s="5"/>
      <c r="T278" s="52"/>
      <c r="U278" s="48" t="e">
        <f>#N/A</f>
        <v>#N/A</v>
      </c>
      <c r="V278" s="50" t="e">
        <f>#N/A</f>
        <v>#N/A</v>
      </c>
      <c r="W278" s="5"/>
      <c r="X278" s="5"/>
      <c r="Y278" s="5"/>
      <c r="Z278" s="5"/>
      <c r="AA278" s="5"/>
      <c r="AB278" s="49">
        <v>2.22553605498871</v>
      </c>
      <c r="AC278" s="47" t="e">
        <f>#N/A</f>
        <v>#N/A</v>
      </c>
      <c r="AD278" s="52"/>
      <c r="AE278" s="48"/>
      <c r="AF278" s="50"/>
      <c r="AG278" s="18"/>
      <c r="AH278" s="18"/>
      <c r="AI278" s="18"/>
      <c r="AJ278" s="18"/>
      <c r="AK278" s="18"/>
      <c r="AL278" s="18"/>
      <c r="AM278" s="18"/>
      <c r="AN278" s="18"/>
      <c r="AO278" s="5"/>
      <c r="AP278" s="5"/>
      <c r="AQ278" s="8" t="e">
        <f>#N/A</f>
        <v>#N/A</v>
      </c>
      <c r="AR278" s="8" t="e">
        <f>#N/A</f>
        <v>#N/A</v>
      </c>
      <c r="AS278" s="60" t="e">
        <f>#N/A</f>
        <v>#N/A</v>
      </c>
      <c r="AT278" s="60" t="e">
        <f>#N/A</f>
        <v>#N/A</v>
      </c>
      <c r="AU278" s="60" t="e">
        <f>#N/A</f>
        <v>#N/A</v>
      </c>
    </row>
    <row r="279" spans="1:47" x14ac:dyDescent="0.2">
      <c r="A279" s="43">
        <v>0.01</v>
      </c>
      <c r="B279" s="55" t="e">
        <f>#N/A</f>
        <v>#N/A</v>
      </c>
      <c r="C279" s="43">
        <v>0</v>
      </c>
      <c r="D279" s="7" t="e">
        <f>#N/A</f>
        <v>#N/A</v>
      </c>
      <c r="E279" s="7" t="e">
        <f>#N/A</f>
        <v>#N/A</v>
      </c>
      <c r="F279" s="47" t="e">
        <f>#N/A</f>
        <v>#N/A</v>
      </c>
      <c r="G279" s="47" t="e">
        <f>#N/A</f>
        <v>#N/A</v>
      </c>
      <c r="H279" s="47" t="e">
        <f>#N/A</f>
        <v>#N/A</v>
      </c>
      <c r="I279" s="4"/>
      <c r="J279" s="4"/>
      <c r="K279" s="4"/>
      <c r="L279" s="4"/>
      <c r="M279" s="4"/>
      <c r="N279" s="49">
        <v>5.0650000000000004</v>
      </c>
      <c r="O279" s="51">
        <v>5.2492977284550024</v>
      </c>
      <c r="P279" s="51">
        <v>0.10870227154499738</v>
      </c>
      <c r="Q279" s="5"/>
      <c r="R279" s="5"/>
      <c r="S279" s="5"/>
      <c r="T279" s="52"/>
      <c r="U279" s="48" t="e">
        <f>#N/A</f>
        <v>#N/A</v>
      </c>
      <c r="V279" s="50" t="e">
        <f>#N/A</f>
        <v>#N/A</v>
      </c>
      <c r="W279" s="5"/>
      <c r="X279" s="5"/>
      <c r="Y279" s="5"/>
      <c r="Z279" s="5"/>
      <c r="AA279" s="5"/>
      <c r="AB279" s="49">
        <v>2.22553605498871</v>
      </c>
      <c r="AC279" s="47" t="e">
        <f>#N/A</f>
        <v>#N/A</v>
      </c>
      <c r="AD279" s="52"/>
      <c r="AE279" s="48"/>
      <c r="AF279" s="50"/>
      <c r="AG279" s="18"/>
      <c r="AH279" s="18"/>
      <c r="AI279" s="18"/>
      <c r="AJ279" s="18"/>
      <c r="AK279" s="18"/>
      <c r="AL279" s="18"/>
      <c r="AM279" s="18"/>
      <c r="AN279" s="18"/>
      <c r="AO279" s="5"/>
      <c r="AP279" s="5"/>
      <c r="AQ279" s="8" t="e">
        <f>#N/A</f>
        <v>#N/A</v>
      </c>
      <c r="AR279" s="8" t="e">
        <f>#N/A</f>
        <v>#N/A</v>
      </c>
      <c r="AS279" s="60" t="e">
        <f>#N/A</f>
        <v>#N/A</v>
      </c>
      <c r="AT279" s="60" t="e">
        <f>#N/A</f>
        <v>#N/A</v>
      </c>
      <c r="AU279" s="60" t="e">
        <f>#N/A</f>
        <v>#N/A</v>
      </c>
    </row>
    <row r="280" spans="1:47" x14ac:dyDescent="0.2">
      <c r="A280" s="43">
        <v>0.01</v>
      </c>
      <c r="B280" s="55" t="e">
        <f>#N/A</f>
        <v>#N/A</v>
      </c>
      <c r="C280" s="43">
        <v>0</v>
      </c>
      <c r="D280" s="7" t="e">
        <f>#N/A</f>
        <v>#N/A</v>
      </c>
      <c r="E280" s="7" t="e">
        <f>#N/A</f>
        <v>#N/A</v>
      </c>
      <c r="F280" s="47" t="e">
        <f>#N/A</f>
        <v>#N/A</v>
      </c>
      <c r="G280" s="47" t="e">
        <f>#N/A</f>
        <v>#N/A</v>
      </c>
      <c r="H280" s="47" t="e">
        <f>#N/A</f>
        <v>#N/A</v>
      </c>
      <c r="I280" s="4"/>
      <c r="J280" s="4"/>
      <c r="K280" s="4"/>
      <c r="L280" s="4"/>
      <c r="M280" s="4"/>
      <c r="N280" s="49">
        <v>5.0650000000000004</v>
      </c>
      <c r="O280" s="51">
        <v>5.2492977284550024</v>
      </c>
      <c r="P280" s="51">
        <v>0.10870227154499738</v>
      </c>
      <c r="Q280" s="5"/>
      <c r="R280" s="5"/>
      <c r="S280" s="5"/>
      <c r="T280" s="52"/>
      <c r="U280" s="48" t="e">
        <f>#N/A</f>
        <v>#N/A</v>
      </c>
      <c r="V280" s="50" t="e">
        <f>#N/A</f>
        <v>#N/A</v>
      </c>
      <c r="W280" s="5"/>
      <c r="X280" s="5"/>
      <c r="Y280" s="5"/>
      <c r="Z280" s="5"/>
      <c r="AA280" s="5"/>
      <c r="AB280" s="49">
        <v>2.22553605498871</v>
      </c>
      <c r="AC280" s="47" t="e">
        <f>#N/A</f>
        <v>#N/A</v>
      </c>
      <c r="AD280" s="52"/>
      <c r="AE280" s="48"/>
      <c r="AF280" s="50"/>
      <c r="AG280" s="18"/>
      <c r="AH280" s="18"/>
      <c r="AI280" s="18"/>
      <c r="AJ280" s="18"/>
      <c r="AK280" s="18"/>
      <c r="AL280" s="18"/>
      <c r="AM280" s="18"/>
      <c r="AN280" s="18"/>
      <c r="AO280" s="5"/>
      <c r="AP280" s="5"/>
      <c r="AQ280" s="8" t="e">
        <f>#N/A</f>
        <v>#N/A</v>
      </c>
      <c r="AR280" s="8" t="e">
        <f>#N/A</f>
        <v>#N/A</v>
      </c>
      <c r="AS280" s="60" t="e">
        <f>#N/A</f>
        <v>#N/A</v>
      </c>
      <c r="AT280" s="60" t="e">
        <f>#N/A</f>
        <v>#N/A</v>
      </c>
      <c r="AU280" s="60" t="e">
        <f>#N/A</f>
        <v>#N/A</v>
      </c>
    </row>
    <row r="281" spans="1:47" x14ac:dyDescent="0.2">
      <c r="A281" s="43">
        <v>0.01</v>
      </c>
      <c r="B281" s="55" t="e">
        <f>#N/A</f>
        <v>#N/A</v>
      </c>
      <c r="C281" s="43">
        <v>0</v>
      </c>
      <c r="D281" s="7" t="e">
        <f>#N/A</f>
        <v>#N/A</v>
      </c>
      <c r="E281" s="7" t="e">
        <f>#N/A</f>
        <v>#N/A</v>
      </c>
      <c r="F281" s="47" t="e">
        <f>#N/A</f>
        <v>#N/A</v>
      </c>
      <c r="G281" s="47" t="e">
        <f>#N/A</f>
        <v>#N/A</v>
      </c>
      <c r="H281" s="47" t="e">
        <f>#N/A</f>
        <v>#N/A</v>
      </c>
      <c r="I281" s="4"/>
      <c r="J281" s="4"/>
      <c r="K281" s="4"/>
      <c r="L281" s="4"/>
      <c r="M281" s="4"/>
      <c r="N281" s="49">
        <v>5.0650000000000004</v>
      </c>
      <c r="O281" s="51">
        <v>5.2492977284550024</v>
      </c>
      <c r="P281" s="51">
        <v>0.10870227154499738</v>
      </c>
      <c r="Q281" s="5"/>
      <c r="R281" s="5"/>
      <c r="S281" s="5"/>
      <c r="T281" s="52"/>
      <c r="U281" s="48" t="e">
        <f>#N/A</f>
        <v>#N/A</v>
      </c>
      <c r="V281" s="18"/>
      <c r="W281" s="5"/>
      <c r="X281" s="5"/>
      <c r="Y281" s="5"/>
      <c r="Z281" s="5"/>
      <c r="AA281" s="5"/>
      <c r="AB281" s="49">
        <v>2.22553605498871</v>
      </c>
      <c r="AC281" s="47" t="e">
        <f>#N/A</f>
        <v>#N/A</v>
      </c>
      <c r="AD281" s="52"/>
      <c r="AE281" s="48"/>
      <c r="AF281" s="18"/>
      <c r="AG281" s="18"/>
      <c r="AH281" s="18"/>
      <c r="AI281" s="18"/>
      <c r="AJ281" s="18"/>
      <c r="AK281" s="18"/>
      <c r="AL281" s="18"/>
      <c r="AM281" s="18"/>
      <c r="AN281" s="18"/>
      <c r="AO281" s="5"/>
      <c r="AP281" s="5"/>
      <c r="AQ281" s="8" t="e">
        <f>#N/A</f>
        <v>#N/A</v>
      </c>
      <c r="AR281" s="8" t="e">
        <f>#N/A</f>
        <v>#N/A</v>
      </c>
      <c r="AS281" s="60" t="e">
        <f>#N/A</f>
        <v>#N/A</v>
      </c>
      <c r="AT281" s="60" t="e">
        <f>#N/A</f>
        <v>#N/A</v>
      </c>
      <c r="AU281" s="60" t="e">
        <f>#N/A</f>
        <v>#N/A</v>
      </c>
    </row>
    <row r="282" spans="1:47" x14ac:dyDescent="0.2">
      <c r="A282" s="43">
        <v>0.01</v>
      </c>
      <c r="B282" s="55" t="e">
        <f>#N/A</f>
        <v>#N/A</v>
      </c>
      <c r="C282" s="43">
        <v>0</v>
      </c>
      <c r="D282" s="7" t="e">
        <f>#N/A</f>
        <v>#N/A</v>
      </c>
      <c r="E282" s="7" t="e">
        <f>#N/A</f>
        <v>#N/A</v>
      </c>
      <c r="F282" s="47" t="e">
        <f>#N/A</f>
        <v>#N/A</v>
      </c>
      <c r="G282" s="47" t="e">
        <f>#N/A</f>
        <v>#N/A</v>
      </c>
      <c r="H282" s="47" t="e">
        <f>#N/A</f>
        <v>#N/A</v>
      </c>
      <c r="I282" s="4"/>
      <c r="J282" s="4"/>
      <c r="K282" s="4"/>
      <c r="L282" s="4"/>
      <c r="M282" s="4"/>
      <c r="N282" s="49">
        <v>5.0650000000000004</v>
      </c>
      <c r="O282" s="51">
        <v>5.2492977284550024</v>
      </c>
      <c r="P282" s="51">
        <v>0.10870227154499738</v>
      </c>
      <c r="Q282" s="5"/>
      <c r="R282" s="5"/>
      <c r="S282" s="5"/>
      <c r="T282" s="52"/>
      <c r="U282" s="48" t="e">
        <f>#N/A</f>
        <v>#N/A</v>
      </c>
      <c r="V282" s="18"/>
      <c r="W282" s="5"/>
      <c r="X282" s="5"/>
      <c r="Y282" s="5"/>
      <c r="Z282" s="5"/>
      <c r="AA282" s="5"/>
      <c r="AB282" s="49">
        <v>2.22553605498871</v>
      </c>
      <c r="AC282" s="47" t="e">
        <f>#N/A</f>
        <v>#N/A</v>
      </c>
      <c r="AD282" s="52"/>
      <c r="AE282" s="48"/>
      <c r="AF282" s="18"/>
      <c r="AG282" s="18"/>
      <c r="AH282" s="18"/>
      <c r="AI282" s="18"/>
      <c r="AJ282" s="18"/>
      <c r="AK282" s="18"/>
      <c r="AL282" s="18"/>
      <c r="AM282" s="18"/>
      <c r="AN282" s="18"/>
      <c r="AO282" s="5"/>
      <c r="AP282" s="5"/>
      <c r="AQ282" s="8" t="e">
        <f>#N/A</f>
        <v>#N/A</v>
      </c>
      <c r="AR282" s="8" t="e">
        <f>#N/A</f>
        <v>#N/A</v>
      </c>
      <c r="AS282" s="60" t="e">
        <f>#N/A</f>
        <v>#N/A</v>
      </c>
      <c r="AT282" s="60" t="e">
        <f>#N/A</f>
        <v>#N/A</v>
      </c>
      <c r="AU282" s="60" t="e">
        <f>#N/A</f>
        <v>#N/A</v>
      </c>
    </row>
    <row r="283" spans="1:47" x14ac:dyDescent="0.2">
      <c r="A283" s="43">
        <v>0.01</v>
      </c>
      <c r="B283" s="55" t="e">
        <f>#N/A</f>
        <v>#N/A</v>
      </c>
      <c r="C283" s="43">
        <v>0</v>
      </c>
      <c r="D283" s="7" t="e">
        <f>#N/A</f>
        <v>#N/A</v>
      </c>
      <c r="E283" s="7" t="e">
        <f>#N/A</f>
        <v>#N/A</v>
      </c>
      <c r="F283" s="47" t="e">
        <f>#N/A</f>
        <v>#N/A</v>
      </c>
      <c r="G283" s="47" t="e">
        <f>#N/A</f>
        <v>#N/A</v>
      </c>
      <c r="H283" s="47" t="e">
        <f>#N/A</f>
        <v>#N/A</v>
      </c>
      <c r="I283" s="4"/>
      <c r="J283" s="4"/>
      <c r="K283" s="4"/>
      <c r="L283" s="4"/>
      <c r="M283" s="4"/>
      <c r="N283" s="49">
        <v>5.0650000000000004</v>
      </c>
      <c r="O283" s="51">
        <v>5.2492977284550024</v>
      </c>
      <c r="P283" s="51">
        <v>0.10870227154499738</v>
      </c>
      <c r="Q283" s="5"/>
      <c r="R283" s="5"/>
      <c r="S283" s="5"/>
      <c r="T283" s="52"/>
      <c r="U283" s="48" t="e">
        <f>#N/A</f>
        <v>#N/A</v>
      </c>
      <c r="V283" s="18"/>
      <c r="W283" s="5"/>
      <c r="X283" s="5"/>
      <c r="Y283" s="5"/>
      <c r="Z283" s="5"/>
      <c r="AA283" s="5"/>
      <c r="AB283" s="49">
        <v>2.22553605498871</v>
      </c>
      <c r="AC283" s="47" t="e">
        <f>#N/A</f>
        <v>#N/A</v>
      </c>
      <c r="AD283" s="52"/>
      <c r="AE283" s="48"/>
      <c r="AF283" s="18"/>
      <c r="AG283" s="18"/>
      <c r="AH283" s="18"/>
      <c r="AI283" s="18"/>
      <c r="AJ283" s="18"/>
      <c r="AK283" s="18"/>
      <c r="AL283" s="18"/>
      <c r="AM283" s="18"/>
      <c r="AN283" s="18"/>
      <c r="AO283" s="5"/>
      <c r="AP283" s="5"/>
      <c r="AQ283" s="8" t="e">
        <f>#N/A</f>
        <v>#N/A</v>
      </c>
      <c r="AR283" s="8" t="e">
        <f>#N/A</f>
        <v>#N/A</v>
      </c>
      <c r="AS283" s="60" t="e">
        <f>#N/A</f>
        <v>#N/A</v>
      </c>
      <c r="AT283" s="60" t="e">
        <f>#N/A</f>
        <v>#N/A</v>
      </c>
      <c r="AU283" s="60" t="e">
        <f>#N/A</f>
        <v>#N/A</v>
      </c>
    </row>
    <row r="284" spans="1:47" x14ac:dyDescent="0.2">
      <c r="A284" s="43">
        <v>0.01</v>
      </c>
      <c r="B284" s="55" t="e">
        <f>#N/A</f>
        <v>#N/A</v>
      </c>
      <c r="C284" s="43">
        <v>0</v>
      </c>
      <c r="D284" s="7" t="e">
        <f>#N/A</f>
        <v>#N/A</v>
      </c>
      <c r="E284" s="7" t="e">
        <f>#N/A</f>
        <v>#N/A</v>
      </c>
      <c r="F284" s="47" t="e">
        <f>#N/A</f>
        <v>#N/A</v>
      </c>
      <c r="G284" s="47" t="e">
        <f>#N/A</f>
        <v>#N/A</v>
      </c>
      <c r="H284" s="47" t="e">
        <f>#N/A</f>
        <v>#N/A</v>
      </c>
      <c r="I284" s="4"/>
      <c r="J284" s="4"/>
      <c r="K284" s="4"/>
      <c r="L284" s="4"/>
      <c r="M284" s="4"/>
      <c r="N284" s="49">
        <v>5.0650000000000004</v>
      </c>
      <c r="O284" s="51">
        <v>5.2492977284550024</v>
      </c>
      <c r="P284" s="51">
        <v>0.10870227154499738</v>
      </c>
      <c r="Q284" s="5"/>
      <c r="R284" s="5"/>
      <c r="S284" s="5"/>
      <c r="T284" s="52"/>
      <c r="U284" s="48" t="e">
        <f>#N/A</f>
        <v>#N/A</v>
      </c>
      <c r="V284" s="18"/>
      <c r="W284" s="5"/>
      <c r="X284" s="5"/>
      <c r="Y284" s="5"/>
      <c r="Z284" s="5"/>
      <c r="AA284" s="5"/>
      <c r="AB284" s="49">
        <v>2.22553605498871</v>
      </c>
      <c r="AC284" s="47" t="e">
        <f>#N/A</f>
        <v>#N/A</v>
      </c>
      <c r="AD284" s="52"/>
      <c r="AE284" s="48"/>
      <c r="AF284" s="18"/>
      <c r="AG284" s="18"/>
      <c r="AH284" s="18"/>
      <c r="AI284" s="18"/>
      <c r="AJ284" s="18"/>
      <c r="AK284" s="18"/>
      <c r="AL284" s="18"/>
      <c r="AM284" s="18"/>
      <c r="AN284" s="18"/>
      <c r="AO284" s="5"/>
      <c r="AP284" s="5"/>
      <c r="AQ284" s="8" t="e">
        <f>#N/A</f>
        <v>#N/A</v>
      </c>
      <c r="AR284" s="8" t="e">
        <f>#N/A</f>
        <v>#N/A</v>
      </c>
      <c r="AS284" s="60" t="e">
        <f>#N/A</f>
        <v>#N/A</v>
      </c>
      <c r="AT284" s="60" t="e">
        <f>#N/A</f>
        <v>#N/A</v>
      </c>
      <c r="AU284" s="60" t="e">
        <f>#N/A</f>
        <v>#N/A</v>
      </c>
    </row>
    <row r="285" spans="1:47" x14ac:dyDescent="0.2">
      <c r="A285" s="43">
        <v>0.01</v>
      </c>
      <c r="B285" s="55" t="e">
        <f>#N/A</f>
        <v>#N/A</v>
      </c>
      <c r="C285" s="43">
        <v>0</v>
      </c>
      <c r="D285" s="7" t="e">
        <f>#N/A</f>
        <v>#N/A</v>
      </c>
      <c r="E285" s="7" t="e">
        <f>#N/A</f>
        <v>#N/A</v>
      </c>
      <c r="F285" s="47" t="e">
        <f>#N/A</f>
        <v>#N/A</v>
      </c>
      <c r="G285" s="47" t="e">
        <f>#N/A</f>
        <v>#N/A</v>
      </c>
      <c r="H285" s="47" t="e">
        <f>#N/A</f>
        <v>#N/A</v>
      </c>
      <c r="I285" s="4"/>
      <c r="J285" s="4"/>
      <c r="K285" s="4"/>
      <c r="L285" s="4"/>
      <c r="M285" s="4"/>
      <c r="N285" s="49">
        <v>5.0650000000000004</v>
      </c>
      <c r="O285" s="51">
        <v>5.2492977284550024</v>
      </c>
      <c r="P285" s="51">
        <v>0.10870227154499738</v>
      </c>
      <c r="Q285" s="5"/>
      <c r="R285" s="5"/>
      <c r="S285" s="5"/>
      <c r="T285" s="52"/>
      <c r="U285" s="48" t="e">
        <f>#N/A</f>
        <v>#N/A</v>
      </c>
      <c r="V285" s="18"/>
      <c r="W285" s="5"/>
      <c r="X285" s="5"/>
      <c r="Y285" s="5"/>
      <c r="Z285" s="5"/>
      <c r="AA285" s="5"/>
      <c r="AB285" s="49">
        <v>2.22553605498871</v>
      </c>
      <c r="AC285" s="47" t="e">
        <f>#N/A</f>
        <v>#N/A</v>
      </c>
      <c r="AD285" s="52"/>
      <c r="AE285" s="48"/>
      <c r="AF285" s="18"/>
      <c r="AG285" s="18"/>
      <c r="AH285" s="18"/>
      <c r="AI285" s="18"/>
      <c r="AJ285" s="18"/>
      <c r="AK285" s="18"/>
      <c r="AL285" s="18"/>
      <c r="AM285" s="18"/>
      <c r="AN285" s="18"/>
      <c r="AO285" s="5"/>
      <c r="AP285" s="5"/>
      <c r="AQ285" s="8" t="e">
        <f>#N/A</f>
        <v>#N/A</v>
      </c>
      <c r="AR285" s="8" t="e">
        <f>#N/A</f>
        <v>#N/A</v>
      </c>
      <c r="AS285" s="60" t="e">
        <f>#N/A</f>
        <v>#N/A</v>
      </c>
      <c r="AT285" s="60" t="e">
        <f>#N/A</f>
        <v>#N/A</v>
      </c>
      <c r="AU285" s="60" t="e">
        <f>#N/A</f>
        <v>#N/A</v>
      </c>
    </row>
    <row r="286" spans="1:47" x14ac:dyDescent="0.2">
      <c r="A286" s="43">
        <v>0.01</v>
      </c>
      <c r="B286" s="55" t="e">
        <f>#N/A</f>
        <v>#N/A</v>
      </c>
      <c r="C286" s="43">
        <v>0</v>
      </c>
      <c r="D286" s="7" t="e">
        <f>#N/A</f>
        <v>#N/A</v>
      </c>
      <c r="E286" s="7" t="e">
        <f>#N/A</f>
        <v>#N/A</v>
      </c>
      <c r="F286" s="47" t="e">
        <f>#N/A</f>
        <v>#N/A</v>
      </c>
      <c r="G286" s="47" t="e">
        <f>#N/A</f>
        <v>#N/A</v>
      </c>
      <c r="H286" s="47" t="e">
        <f>#N/A</f>
        <v>#N/A</v>
      </c>
      <c r="I286" s="4"/>
      <c r="J286" s="4"/>
      <c r="K286" s="4"/>
      <c r="L286" s="4"/>
      <c r="M286" s="4"/>
      <c r="N286" s="49">
        <v>5.0650000000000004</v>
      </c>
      <c r="O286" s="51">
        <v>5.2492977284550024</v>
      </c>
      <c r="P286" s="51">
        <v>0.10870227154499738</v>
      </c>
      <c r="Q286" s="5"/>
      <c r="R286" s="5"/>
      <c r="S286" s="5"/>
      <c r="T286" s="52"/>
      <c r="U286" s="48" t="e">
        <f>#N/A</f>
        <v>#N/A</v>
      </c>
      <c r="V286" s="18"/>
      <c r="W286" s="5"/>
      <c r="X286" s="5"/>
      <c r="Y286" s="5"/>
      <c r="Z286" s="5"/>
      <c r="AA286" s="5"/>
      <c r="AB286" s="49">
        <v>2.22553605498871</v>
      </c>
      <c r="AC286" s="47" t="e">
        <f>#N/A</f>
        <v>#N/A</v>
      </c>
      <c r="AD286" s="52"/>
      <c r="AE286" s="48"/>
      <c r="AF286" s="18"/>
      <c r="AG286" s="18"/>
      <c r="AH286" s="18"/>
      <c r="AI286" s="18"/>
      <c r="AJ286" s="18"/>
      <c r="AK286" s="18"/>
      <c r="AL286" s="18"/>
      <c r="AM286" s="18"/>
      <c r="AN286" s="18"/>
      <c r="AO286" s="5"/>
      <c r="AP286" s="5"/>
      <c r="AQ286" s="8" t="e">
        <f>#N/A</f>
        <v>#N/A</v>
      </c>
      <c r="AR286" s="8" t="e">
        <f>#N/A</f>
        <v>#N/A</v>
      </c>
      <c r="AS286" s="60" t="e">
        <f>#N/A</f>
        <v>#N/A</v>
      </c>
      <c r="AT286" s="60" t="e">
        <f>#N/A</f>
        <v>#N/A</v>
      </c>
      <c r="AU286" s="60" t="e">
        <f>#N/A</f>
        <v>#N/A</v>
      </c>
    </row>
    <row r="287" spans="1:47" x14ac:dyDescent="0.2">
      <c r="A287" s="43">
        <v>0.01</v>
      </c>
      <c r="B287" s="55" t="e">
        <f>#N/A</f>
        <v>#N/A</v>
      </c>
      <c r="C287" s="43">
        <v>0</v>
      </c>
      <c r="D287" s="7" t="e">
        <f>#N/A</f>
        <v>#N/A</v>
      </c>
      <c r="E287" s="7" t="e">
        <f>#N/A</f>
        <v>#N/A</v>
      </c>
      <c r="F287" s="47" t="e">
        <f>#N/A</f>
        <v>#N/A</v>
      </c>
      <c r="G287" s="47" t="e">
        <f>#N/A</f>
        <v>#N/A</v>
      </c>
      <c r="H287" s="47" t="e">
        <f>#N/A</f>
        <v>#N/A</v>
      </c>
      <c r="I287" s="4"/>
      <c r="J287" s="4"/>
      <c r="K287" s="4"/>
      <c r="L287" s="4"/>
      <c r="M287" s="4"/>
      <c r="N287" s="49">
        <v>5.0650000000000004</v>
      </c>
      <c r="O287" s="51">
        <v>5.2492977284550024</v>
      </c>
      <c r="P287" s="51">
        <v>0.10870227154499738</v>
      </c>
      <c r="Q287" s="5"/>
      <c r="R287" s="5"/>
      <c r="S287" s="5"/>
      <c r="T287" s="52"/>
      <c r="U287" s="48" t="e">
        <f>#N/A</f>
        <v>#N/A</v>
      </c>
      <c r="V287" s="18"/>
      <c r="W287" s="5"/>
      <c r="X287" s="5"/>
      <c r="Y287" s="5"/>
      <c r="Z287" s="5"/>
      <c r="AA287" s="5"/>
      <c r="AB287" s="49">
        <v>2.22553605498871</v>
      </c>
      <c r="AC287" s="47" t="e">
        <f>#N/A</f>
        <v>#N/A</v>
      </c>
      <c r="AD287" s="52"/>
      <c r="AE287" s="48"/>
      <c r="AF287" s="18"/>
      <c r="AG287" s="18"/>
      <c r="AH287" s="18"/>
      <c r="AI287" s="18"/>
      <c r="AJ287" s="18"/>
      <c r="AK287" s="18"/>
      <c r="AL287" s="18"/>
      <c r="AM287" s="18"/>
      <c r="AN287" s="18"/>
      <c r="AO287" s="5"/>
      <c r="AP287" s="5"/>
      <c r="AQ287" s="8" t="e">
        <f>#N/A</f>
        <v>#N/A</v>
      </c>
      <c r="AR287" s="8" t="e">
        <f>#N/A</f>
        <v>#N/A</v>
      </c>
      <c r="AS287" s="60" t="e">
        <f>#N/A</f>
        <v>#N/A</v>
      </c>
      <c r="AT287" s="60" t="e">
        <f>#N/A</f>
        <v>#N/A</v>
      </c>
      <c r="AU287" s="60" t="e">
        <f>#N/A</f>
        <v>#N/A</v>
      </c>
    </row>
    <row r="288" spans="1:47" x14ac:dyDescent="0.2">
      <c r="A288" s="43">
        <v>0.01</v>
      </c>
      <c r="B288" s="55" t="e">
        <f>#N/A</f>
        <v>#N/A</v>
      </c>
      <c r="C288" s="43">
        <v>0</v>
      </c>
      <c r="D288" s="7" t="e">
        <f>#N/A</f>
        <v>#N/A</v>
      </c>
      <c r="E288" s="7" t="e">
        <f>#N/A</f>
        <v>#N/A</v>
      </c>
      <c r="F288" s="47" t="e">
        <f>#N/A</f>
        <v>#N/A</v>
      </c>
      <c r="G288" s="47" t="e">
        <f>#N/A</f>
        <v>#N/A</v>
      </c>
      <c r="H288" s="47" t="e">
        <f>#N/A</f>
        <v>#N/A</v>
      </c>
      <c r="I288" s="4"/>
      <c r="J288" s="4"/>
      <c r="K288" s="4"/>
      <c r="L288" s="4"/>
      <c r="M288" s="4"/>
      <c r="N288" s="49">
        <v>5.0650000000000004</v>
      </c>
      <c r="O288" s="51">
        <v>5.2492977284550024</v>
      </c>
      <c r="P288" s="51">
        <v>0.10870227154499738</v>
      </c>
      <c r="Q288" s="5"/>
      <c r="R288" s="5"/>
      <c r="S288" s="5"/>
      <c r="T288" s="52"/>
      <c r="U288" s="48" t="e">
        <f>#N/A</f>
        <v>#N/A</v>
      </c>
      <c r="V288" s="18"/>
      <c r="W288" s="5"/>
      <c r="X288" s="5"/>
      <c r="Y288" s="5"/>
      <c r="Z288" s="5"/>
      <c r="AA288" s="5"/>
      <c r="AB288" s="49">
        <v>2.22553605498871</v>
      </c>
      <c r="AC288" s="47" t="e">
        <f>#N/A</f>
        <v>#N/A</v>
      </c>
      <c r="AD288" s="52"/>
      <c r="AE288" s="48"/>
      <c r="AF288" s="18"/>
      <c r="AG288" s="18"/>
      <c r="AH288" s="18"/>
      <c r="AI288" s="18"/>
      <c r="AJ288" s="18"/>
      <c r="AK288" s="18"/>
      <c r="AL288" s="18"/>
      <c r="AM288" s="18"/>
      <c r="AN288" s="18"/>
      <c r="AO288" s="5"/>
      <c r="AP288" s="5"/>
      <c r="AQ288" s="8" t="e">
        <f>#N/A</f>
        <v>#N/A</v>
      </c>
      <c r="AR288" s="8" t="e">
        <f>#N/A</f>
        <v>#N/A</v>
      </c>
      <c r="AS288" s="60" t="e">
        <f>#N/A</f>
        <v>#N/A</v>
      </c>
      <c r="AT288" s="60" t="e">
        <f>#N/A</f>
        <v>#N/A</v>
      </c>
      <c r="AU288" s="60" t="e">
        <f>#N/A</f>
        <v>#N/A</v>
      </c>
    </row>
    <row r="289" spans="1:47" x14ac:dyDescent="0.2">
      <c r="A289" s="43">
        <v>0.01</v>
      </c>
      <c r="B289" s="55" t="e">
        <f>#N/A</f>
        <v>#N/A</v>
      </c>
      <c r="C289" s="43">
        <v>0</v>
      </c>
      <c r="D289" s="7" t="e">
        <f>#N/A</f>
        <v>#N/A</v>
      </c>
      <c r="E289" s="7" t="e">
        <f>#N/A</f>
        <v>#N/A</v>
      </c>
      <c r="F289" s="47" t="e">
        <f>#N/A</f>
        <v>#N/A</v>
      </c>
      <c r="G289" s="47" t="e">
        <f>#N/A</f>
        <v>#N/A</v>
      </c>
      <c r="H289" s="47" t="e">
        <f>#N/A</f>
        <v>#N/A</v>
      </c>
      <c r="I289" s="4"/>
      <c r="J289" s="4"/>
      <c r="K289" s="4"/>
      <c r="L289" s="4"/>
      <c r="M289" s="4"/>
      <c r="N289" s="49">
        <v>5.0650000000000004</v>
      </c>
      <c r="O289" s="51">
        <v>5.2492977284550024</v>
      </c>
      <c r="P289" s="51">
        <v>0.10870227154499738</v>
      </c>
      <c r="Q289" s="5"/>
      <c r="R289" s="5"/>
      <c r="S289" s="5"/>
      <c r="T289" s="52"/>
      <c r="U289" s="48" t="e">
        <f>#N/A</f>
        <v>#N/A</v>
      </c>
      <c r="V289" s="18"/>
      <c r="W289" s="5"/>
      <c r="X289" s="5"/>
      <c r="Y289" s="5"/>
      <c r="Z289" s="5"/>
      <c r="AA289" s="5"/>
      <c r="AB289" s="49">
        <v>2.22553605498871</v>
      </c>
      <c r="AC289" s="47" t="e">
        <f>#N/A</f>
        <v>#N/A</v>
      </c>
      <c r="AD289" s="52"/>
      <c r="AE289" s="48"/>
      <c r="AF289" s="18"/>
      <c r="AG289" s="18"/>
      <c r="AH289" s="18"/>
      <c r="AI289" s="18"/>
      <c r="AJ289" s="18"/>
      <c r="AK289" s="18"/>
      <c r="AL289" s="18"/>
      <c r="AM289" s="18"/>
      <c r="AN289" s="18"/>
      <c r="AO289" s="5"/>
      <c r="AP289" s="5"/>
      <c r="AQ289" s="8" t="e">
        <f>#N/A</f>
        <v>#N/A</v>
      </c>
      <c r="AR289" s="8" t="e">
        <f>#N/A</f>
        <v>#N/A</v>
      </c>
      <c r="AS289" s="60" t="e">
        <f>#N/A</f>
        <v>#N/A</v>
      </c>
      <c r="AT289" s="60" t="e">
        <f>#N/A</f>
        <v>#N/A</v>
      </c>
      <c r="AU289" s="60" t="e">
        <f>#N/A</f>
        <v>#N/A</v>
      </c>
    </row>
    <row r="290" spans="1:47" x14ac:dyDescent="0.2">
      <c r="A290" s="43">
        <v>0.01</v>
      </c>
      <c r="B290" s="55" t="e">
        <f>#N/A</f>
        <v>#N/A</v>
      </c>
      <c r="C290" s="43">
        <v>0</v>
      </c>
      <c r="D290" s="7" t="e">
        <f>#N/A</f>
        <v>#N/A</v>
      </c>
      <c r="E290" s="7" t="e">
        <f>#N/A</f>
        <v>#N/A</v>
      </c>
      <c r="F290" s="47" t="e">
        <f>#N/A</f>
        <v>#N/A</v>
      </c>
      <c r="G290" s="47" t="e">
        <f>#N/A</f>
        <v>#N/A</v>
      </c>
      <c r="H290" s="47" t="e">
        <f>#N/A</f>
        <v>#N/A</v>
      </c>
      <c r="I290" s="4"/>
      <c r="J290" s="4"/>
      <c r="K290" s="4"/>
      <c r="L290" s="4"/>
      <c r="M290" s="4"/>
      <c r="N290" s="49">
        <v>5.0650000000000004</v>
      </c>
      <c r="O290" s="51">
        <v>5.2492977284550024</v>
      </c>
      <c r="P290" s="51">
        <v>0.10870227154499738</v>
      </c>
      <c r="Q290" s="5"/>
      <c r="R290" s="5"/>
      <c r="S290" s="5"/>
      <c r="T290" s="52"/>
      <c r="U290" s="48" t="e">
        <f>#N/A</f>
        <v>#N/A</v>
      </c>
      <c r="V290" s="18"/>
      <c r="W290" s="5"/>
      <c r="X290" s="5"/>
      <c r="Y290" s="5"/>
      <c r="Z290" s="5"/>
      <c r="AA290" s="5"/>
      <c r="AB290" s="49">
        <v>2.22553605498871</v>
      </c>
      <c r="AC290" s="47" t="e">
        <f>#N/A</f>
        <v>#N/A</v>
      </c>
      <c r="AD290" s="52"/>
      <c r="AE290" s="48"/>
      <c r="AF290" s="18"/>
      <c r="AG290" s="18"/>
      <c r="AH290" s="18"/>
      <c r="AI290" s="18"/>
      <c r="AJ290" s="18"/>
      <c r="AK290" s="18"/>
      <c r="AL290" s="18"/>
      <c r="AM290" s="18"/>
      <c r="AN290" s="18"/>
      <c r="AO290" s="5"/>
      <c r="AP290" s="5"/>
      <c r="AQ290" s="8" t="e">
        <f>#N/A</f>
        <v>#N/A</v>
      </c>
      <c r="AR290" s="8" t="e">
        <f>#N/A</f>
        <v>#N/A</v>
      </c>
      <c r="AS290" s="60" t="e">
        <f>#N/A</f>
        <v>#N/A</v>
      </c>
      <c r="AT290" s="60" t="e">
        <f>#N/A</f>
        <v>#N/A</v>
      </c>
      <c r="AU290" s="60" t="e">
        <f>#N/A</f>
        <v>#N/A</v>
      </c>
    </row>
    <row r="291" spans="1:47" x14ac:dyDescent="0.2">
      <c r="A291" s="43">
        <v>0.01</v>
      </c>
      <c r="B291" s="55" t="e">
        <f>#N/A</f>
        <v>#N/A</v>
      </c>
      <c r="C291" s="43">
        <v>0</v>
      </c>
      <c r="D291" s="7" t="e">
        <f>#N/A</f>
        <v>#N/A</v>
      </c>
      <c r="E291" s="7" t="e">
        <f>#N/A</f>
        <v>#N/A</v>
      </c>
      <c r="F291" s="47" t="e">
        <f>#N/A</f>
        <v>#N/A</v>
      </c>
      <c r="G291" s="47" t="e">
        <f>#N/A</f>
        <v>#N/A</v>
      </c>
      <c r="H291" s="47" t="e">
        <f>#N/A</f>
        <v>#N/A</v>
      </c>
      <c r="I291" s="4"/>
      <c r="J291" s="4"/>
      <c r="K291" s="4"/>
      <c r="L291" s="4"/>
      <c r="M291" s="4"/>
      <c r="N291" s="49">
        <v>5.0650000000000004</v>
      </c>
      <c r="O291" s="51">
        <v>5.2492977284550024</v>
      </c>
      <c r="P291" s="51">
        <v>0.10870227154499738</v>
      </c>
      <c r="Q291" s="5"/>
      <c r="R291" s="5"/>
      <c r="S291" s="5"/>
      <c r="T291" s="52"/>
      <c r="U291" s="48" t="e">
        <f>#N/A</f>
        <v>#N/A</v>
      </c>
      <c r="V291" s="18"/>
      <c r="W291" s="5"/>
      <c r="X291" s="5"/>
      <c r="Y291" s="5"/>
      <c r="Z291" s="5"/>
      <c r="AA291" s="5"/>
      <c r="AB291" s="49">
        <v>2.22553605498871</v>
      </c>
      <c r="AC291" s="47" t="e">
        <f>#N/A</f>
        <v>#N/A</v>
      </c>
      <c r="AD291" s="52"/>
      <c r="AE291" s="48"/>
      <c r="AF291" s="18"/>
      <c r="AG291" s="18"/>
      <c r="AH291" s="18"/>
      <c r="AI291" s="18"/>
      <c r="AJ291" s="18"/>
      <c r="AK291" s="18"/>
      <c r="AL291" s="18"/>
      <c r="AM291" s="18"/>
      <c r="AN291" s="18"/>
      <c r="AO291" s="5"/>
      <c r="AP291" s="5"/>
      <c r="AQ291" s="8" t="e">
        <f>#N/A</f>
        <v>#N/A</v>
      </c>
      <c r="AR291" s="8" t="e">
        <f>#N/A</f>
        <v>#N/A</v>
      </c>
      <c r="AS291" s="60" t="e">
        <f>#N/A</f>
        <v>#N/A</v>
      </c>
      <c r="AT291" s="60" t="e">
        <f>#N/A</f>
        <v>#N/A</v>
      </c>
      <c r="AU291" s="60" t="e">
        <f>#N/A</f>
        <v>#N/A</v>
      </c>
    </row>
    <row r="292" spans="1:47" x14ac:dyDescent="0.2">
      <c r="A292" s="43">
        <v>0.01</v>
      </c>
      <c r="B292" s="55" t="e">
        <f>#N/A</f>
        <v>#N/A</v>
      </c>
      <c r="C292" s="43">
        <v>0</v>
      </c>
      <c r="D292" s="7" t="e">
        <f>#N/A</f>
        <v>#N/A</v>
      </c>
      <c r="E292" s="7" t="e">
        <f>#N/A</f>
        <v>#N/A</v>
      </c>
      <c r="F292" s="47" t="e">
        <f>#N/A</f>
        <v>#N/A</v>
      </c>
      <c r="G292" s="47" t="e">
        <f>#N/A</f>
        <v>#N/A</v>
      </c>
      <c r="H292" s="47" t="e">
        <f>#N/A</f>
        <v>#N/A</v>
      </c>
      <c r="I292" s="4"/>
      <c r="J292" s="4"/>
      <c r="K292" s="4"/>
      <c r="L292" s="4"/>
      <c r="M292" s="4"/>
      <c r="N292" s="49">
        <v>5.0650000000000004</v>
      </c>
      <c r="O292" s="51">
        <v>5.2492977284550024</v>
      </c>
      <c r="P292" s="51">
        <v>0.10870227154499738</v>
      </c>
      <c r="Q292" s="5"/>
      <c r="R292" s="5"/>
      <c r="S292" s="5"/>
      <c r="T292" s="52"/>
      <c r="U292" s="48" t="e">
        <f>#N/A</f>
        <v>#N/A</v>
      </c>
      <c r="V292" s="18"/>
      <c r="W292" s="5"/>
      <c r="X292" s="5"/>
      <c r="Y292" s="5"/>
      <c r="Z292" s="5"/>
      <c r="AA292" s="5"/>
      <c r="AB292" s="49">
        <v>2.22553605498871</v>
      </c>
      <c r="AC292" s="47" t="e">
        <f>#N/A</f>
        <v>#N/A</v>
      </c>
      <c r="AD292" s="52"/>
      <c r="AE292" s="48"/>
      <c r="AF292" s="18"/>
      <c r="AG292" s="18"/>
      <c r="AH292" s="18"/>
      <c r="AI292" s="18"/>
      <c r="AJ292" s="18"/>
      <c r="AK292" s="18"/>
      <c r="AL292" s="18"/>
      <c r="AM292" s="18"/>
      <c r="AN292" s="18"/>
      <c r="AO292" s="5"/>
      <c r="AP292" s="5"/>
      <c r="AQ292" s="8" t="e">
        <f>#N/A</f>
        <v>#N/A</v>
      </c>
      <c r="AR292" s="8" t="e">
        <f>#N/A</f>
        <v>#N/A</v>
      </c>
      <c r="AS292" s="60" t="e">
        <f>#N/A</f>
        <v>#N/A</v>
      </c>
      <c r="AT292" s="60" t="e">
        <f>#N/A</f>
        <v>#N/A</v>
      </c>
      <c r="AU292" s="60" t="e">
        <f>#N/A</f>
        <v>#N/A</v>
      </c>
    </row>
    <row r="293" spans="1:47" x14ac:dyDescent="0.2">
      <c r="A293" s="43">
        <v>0.01</v>
      </c>
      <c r="B293" s="55" t="e">
        <f>#N/A</f>
        <v>#N/A</v>
      </c>
      <c r="C293" s="43">
        <v>0</v>
      </c>
      <c r="D293" s="7" t="e">
        <f>#N/A</f>
        <v>#N/A</v>
      </c>
      <c r="E293" s="7" t="e">
        <f>#N/A</f>
        <v>#N/A</v>
      </c>
      <c r="F293" s="47" t="e">
        <f>#N/A</f>
        <v>#N/A</v>
      </c>
      <c r="G293" s="47" t="e">
        <f>#N/A</f>
        <v>#N/A</v>
      </c>
      <c r="H293" s="47" t="e">
        <f>#N/A</f>
        <v>#N/A</v>
      </c>
      <c r="I293" s="4"/>
      <c r="J293" s="4"/>
      <c r="K293" s="4"/>
      <c r="L293" s="4"/>
      <c r="M293" s="4"/>
      <c r="N293" s="49">
        <v>5.0650000000000004</v>
      </c>
      <c r="O293" s="51">
        <v>5.2492977284550024</v>
      </c>
      <c r="P293" s="51">
        <v>0.10870227154499738</v>
      </c>
      <c r="Q293" s="5"/>
      <c r="R293" s="5"/>
      <c r="S293" s="5"/>
      <c r="T293" s="52"/>
      <c r="U293" s="48" t="e">
        <f>#N/A</f>
        <v>#N/A</v>
      </c>
      <c r="V293" s="18"/>
      <c r="W293" s="5"/>
      <c r="X293" s="5"/>
      <c r="Y293" s="5"/>
      <c r="Z293" s="5"/>
      <c r="AA293" s="5"/>
      <c r="AB293" s="49">
        <v>2.22553605498871</v>
      </c>
      <c r="AC293" s="47" t="e">
        <f>#N/A</f>
        <v>#N/A</v>
      </c>
      <c r="AD293" s="52"/>
      <c r="AE293" s="48"/>
      <c r="AF293" s="18"/>
      <c r="AG293" s="18"/>
      <c r="AH293" s="18"/>
      <c r="AI293" s="18"/>
      <c r="AJ293" s="18"/>
      <c r="AK293" s="18"/>
      <c r="AL293" s="18"/>
      <c r="AM293" s="18"/>
      <c r="AN293" s="18"/>
      <c r="AO293" s="5"/>
      <c r="AP293" s="5"/>
      <c r="AQ293" s="8" t="e">
        <f>#N/A</f>
        <v>#N/A</v>
      </c>
      <c r="AR293" s="8" t="e">
        <f>#N/A</f>
        <v>#N/A</v>
      </c>
      <c r="AS293" s="60" t="e">
        <f>#N/A</f>
        <v>#N/A</v>
      </c>
      <c r="AT293" s="60" t="e">
        <f>#N/A</f>
        <v>#N/A</v>
      </c>
      <c r="AU293" s="60" t="e">
        <f>#N/A</f>
        <v>#N/A</v>
      </c>
    </row>
    <row r="294" spans="1:47" x14ac:dyDescent="0.2">
      <c r="A294" s="43">
        <v>0.01</v>
      </c>
      <c r="B294" s="55" t="e">
        <f>#N/A</f>
        <v>#N/A</v>
      </c>
      <c r="C294" s="43">
        <v>0</v>
      </c>
      <c r="D294" s="7" t="e">
        <f>#N/A</f>
        <v>#N/A</v>
      </c>
      <c r="E294" s="7" t="e">
        <f>#N/A</f>
        <v>#N/A</v>
      </c>
      <c r="F294" s="47" t="e">
        <f>#N/A</f>
        <v>#N/A</v>
      </c>
      <c r="G294" s="47" t="e">
        <f>#N/A</f>
        <v>#N/A</v>
      </c>
      <c r="H294" s="47" t="e">
        <f>#N/A</f>
        <v>#N/A</v>
      </c>
      <c r="I294" s="4"/>
      <c r="J294" s="4"/>
      <c r="K294" s="4"/>
      <c r="L294" s="4"/>
      <c r="M294" s="4"/>
      <c r="N294" s="49">
        <v>5.0650000000000004</v>
      </c>
      <c r="O294" s="51">
        <v>5.2492977284550024</v>
      </c>
      <c r="P294" s="51">
        <v>0.10870227154499738</v>
      </c>
      <c r="Q294" s="5"/>
      <c r="R294" s="5"/>
      <c r="S294" s="5"/>
      <c r="T294" s="52"/>
      <c r="U294" s="48" t="e">
        <f>#N/A</f>
        <v>#N/A</v>
      </c>
      <c r="V294" s="18"/>
      <c r="W294" s="5"/>
      <c r="X294" s="5"/>
      <c r="Y294" s="5"/>
      <c r="Z294" s="5"/>
      <c r="AA294" s="5"/>
      <c r="AB294" s="49">
        <v>2.22553605498871</v>
      </c>
      <c r="AC294" s="47" t="e">
        <f>#N/A</f>
        <v>#N/A</v>
      </c>
      <c r="AD294" s="52"/>
      <c r="AE294" s="48"/>
      <c r="AF294" s="18"/>
      <c r="AG294" s="18"/>
      <c r="AH294" s="18"/>
      <c r="AI294" s="18"/>
      <c r="AJ294" s="18"/>
      <c r="AK294" s="18"/>
      <c r="AL294" s="18"/>
      <c r="AM294" s="18"/>
      <c r="AN294" s="18"/>
      <c r="AO294" s="5"/>
      <c r="AP294" s="5"/>
      <c r="AQ294" s="8" t="e">
        <f>#N/A</f>
        <v>#N/A</v>
      </c>
      <c r="AR294" s="8" t="e">
        <f>#N/A</f>
        <v>#N/A</v>
      </c>
      <c r="AS294" s="60" t="e">
        <f>#N/A</f>
        <v>#N/A</v>
      </c>
      <c r="AT294" s="60" t="e">
        <f>#N/A</f>
        <v>#N/A</v>
      </c>
      <c r="AU294" s="60" t="e">
        <f>#N/A</f>
        <v>#N/A</v>
      </c>
    </row>
    <row r="295" spans="1:47" x14ac:dyDescent="0.2">
      <c r="A295" s="43">
        <v>0.01</v>
      </c>
      <c r="B295" s="55" t="e">
        <f>#N/A</f>
        <v>#N/A</v>
      </c>
      <c r="C295" s="43">
        <v>0</v>
      </c>
      <c r="D295" s="7" t="e">
        <f>#N/A</f>
        <v>#N/A</v>
      </c>
      <c r="E295" s="7" t="e">
        <f>#N/A</f>
        <v>#N/A</v>
      </c>
      <c r="F295" s="47" t="e">
        <f>#N/A</f>
        <v>#N/A</v>
      </c>
      <c r="G295" s="47" t="e">
        <f>#N/A</f>
        <v>#N/A</v>
      </c>
      <c r="H295" s="47" t="e">
        <f>#N/A</f>
        <v>#N/A</v>
      </c>
      <c r="I295" s="4"/>
      <c r="J295" s="4"/>
      <c r="K295" s="4"/>
      <c r="L295" s="4"/>
      <c r="M295" s="4"/>
      <c r="N295" s="49">
        <v>5.0650000000000004</v>
      </c>
      <c r="O295" s="51">
        <v>5.2492977284550024</v>
      </c>
      <c r="P295" s="51">
        <v>0.10870227154499738</v>
      </c>
      <c r="Q295" s="5"/>
      <c r="R295" s="5"/>
      <c r="S295" s="5"/>
      <c r="T295" s="52"/>
      <c r="U295" s="48" t="e">
        <f>#N/A</f>
        <v>#N/A</v>
      </c>
      <c r="V295" s="18"/>
      <c r="W295" s="5"/>
      <c r="X295" s="5"/>
      <c r="Y295" s="5"/>
      <c r="Z295" s="5"/>
      <c r="AA295" s="5"/>
      <c r="AB295" s="49">
        <v>2.22553605498871</v>
      </c>
      <c r="AC295" s="47" t="e">
        <f>#N/A</f>
        <v>#N/A</v>
      </c>
      <c r="AD295" s="52"/>
      <c r="AE295" s="48"/>
      <c r="AF295" s="18"/>
      <c r="AG295" s="18"/>
      <c r="AH295" s="18"/>
      <c r="AI295" s="18"/>
      <c r="AJ295" s="18"/>
      <c r="AK295" s="18"/>
      <c r="AL295" s="18"/>
      <c r="AM295" s="18"/>
      <c r="AN295" s="18"/>
      <c r="AO295" s="5"/>
      <c r="AP295" s="5"/>
      <c r="AQ295" s="8" t="e">
        <f>#N/A</f>
        <v>#N/A</v>
      </c>
      <c r="AR295" s="8" t="e">
        <f>#N/A</f>
        <v>#N/A</v>
      </c>
      <c r="AS295" s="60" t="e">
        <f>#N/A</f>
        <v>#N/A</v>
      </c>
      <c r="AT295" s="60" t="e">
        <f>#N/A</f>
        <v>#N/A</v>
      </c>
      <c r="AU295" s="60" t="e">
        <f>#N/A</f>
        <v>#N/A</v>
      </c>
    </row>
    <row r="296" spans="1:47" x14ac:dyDescent="0.2">
      <c r="A296" s="43">
        <v>0.01</v>
      </c>
      <c r="B296" s="55" t="e">
        <f>#N/A</f>
        <v>#N/A</v>
      </c>
      <c r="C296" s="43">
        <v>0</v>
      </c>
      <c r="D296" s="7" t="e">
        <f>#N/A</f>
        <v>#N/A</v>
      </c>
      <c r="E296" s="7" t="e">
        <f>#N/A</f>
        <v>#N/A</v>
      </c>
      <c r="F296" s="47" t="e">
        <f>#N/A</f>
        <v>#N/A</v>
      </c>
      <c r="G296" s="47" t="e">
        <f>#N/A</f>
        <v>#N/A</v>
      </c>
      <c r="H296" s="47" t="e">
        <f>#N/A</f>
        <v>#N/A</v>
      </c>
      <c r="I296" s="4"/>
      <c r="J296" s="4"/>
      <c r="K296" s="4"/>
      <c r="L296" s="4"/>
      <c r="M296" s="4"/>
      <c r="N296" s="49">
        <v>5.0650000000000004</v>
      </c>
      <c r="O296" s="51">
        <v>5.2492977284550024</v>
      </c>
      <c r="P296" s="51">
        <v>0.10870227154499738</v>
      </c>
      <c r="Q296" s="5"/>
      <c r="R296" s="5"/>
      <c r="S296" s="5"/>
      <c r="T296" s="52"/>
      <c r="U296" s="48" t="e">
        <f>#N/A</f>
        <v>#N/A</v>
      </c>
      <c r="V296" s="18"/>
      <c r="W296" s="5"/>
      <c r="X296" s="5"/>
      <c r="Y296" s="5"/>
      <c r="Z296" s="5"/>
      <c r="AA296" s="5"/>
      <c r="AB296" s="49">
        <v>2.22553605498871</v>
      </c>
      <c r="AC296" s="47" t="e">
        <f>#N/A</f>
        <v>#N/A</v>
      </c>
      <c r="AD296" s="52"/>
      <c r="AE296" s="48"/>
      <c r="AF296" s="18"/>
      <c r="AG296" s="18"/>
      <c r="AH296" s="18"/>
      <c r="AI296" s="18"/>
      <c r="AJ296" s="18"/>
      <c r="AK296" s="18"/>
      <c r="AL296" s="18"/>
      <c r="AM296" s="18"/>
      <c r="AN296" s="18"/>
      <c r="AO296" s="5"/>
      <c r="AP296" s="5"/>
      <c r="AQ296" s="8" t="e">
        <f>#N/A</f>
        <v>#N/A</v>
      </c>
      <c r="AR296" s="8" t="e">
        <f>#N/A</f>
        <v>#N/A</v>
      </c>
      <c r="AS296" s="60" t="e">
        <f>#N/A</f>
        <v>#N/A</v>
      </c>
      <c r="AT296" s="60" t="e">
        <f>#N/A</f>
        <v>#N/A</v>
      </c>
      <c r="AU296" s="60" t="e">
        <f>#N/A</f>
        <v>#N/A</v>
      </c>
    </row>
    <row r="297" spans="1:47" x14ac:dyDescent="0.2">
      <c r="A297" s="43">
        <v>0.01</v>
      </c>
      <c r="B297" s="55" t="e">
        <f>#N/A</f>
        <v>#N/A</v>
      </c>
      <c r="C297" s="43">
        <v>0</v>
      </c>
      <c r="D297" s="7" t="e">
        <f>#N/A</f>
        <v>#N/A</v>
      </c>
      <c r="E297" s="7" t="e">
        <f>#N/A</f>
        <v>#N/A</v>
      </c>
      <c r="F297" s="47" t="e">
        <f>#N/A</f>
        <v>#N/A</v>
      </c>
      <c r="G297" s="47" t="e">
        <f>#N/A</f>
        <v>#N/A</v>
      </c>
      <c r="H297" s="47" t="e">
        <f>#N/A</f>
        <v>#N/A</v>
      </c>
      <c r="I297" s="4"/>
      <c r="J297" s="4"/>
      <c r="K297" s="4"/>
      <c r="L297" s="4"/>
      <c r="M297" s="4"/>
      <c r="N297" s="49">
        <v>5.0650000000000004</v>
      </c>
      <c r="O297" s="51">
        <v>5.2492977284550024</v>
      </c>
      <c r="P297" s="51">
        <v>0.10870227154499738</v>
      </c>
      <c r="Q297" s="5"/>
      <c r="R297" s="5"/>
      <c r="S297" s="5"/>
      <c r="T297" s="52"/>
      <c r="U297" s="48" t="e">
        <f>#N/A</f>
        <v>#N/A</v>
      </c>
      <c r="V297" s="18"/>
      <c r="W297" s="5"/>
      <c r="X297" s="5"/>
      <c r="Y297" s="5"/>
      <c r="Z297" s="5"/>
      <c r="AA297" s="5"/>
      <c r="AB297" s="49">
        <v>2.22553605498871</v>
      </c>
      <c r="AC297" s="47" t="e">
        <f>#N/A</f>
        <v>#N/A</v>
      </c>
      <c r="AD297" s="52"/>
      <c r="AE297" s="48"/>
      <c r="AF297" s="18"/>
      <c r="AG297" s="18"/>
      <c r="AH297" s="18"/>
      <c r="AI297" s="18"/>
      <c r="AJ297" s="18"/>
      <c r="AK297" s="18"/>
      <c r="AL297" s="18"/>
      <c r="AM297" s="18"/>
      <c r="AN297" s="18"/>
      <c r="AO297" s="5"/>
      <c r="AP297" s="5"/>
      <c r="AQ297" s="8" t="e">
        <f>#N/A</f>
        <v>#N/A</v>
      </c>
      <c r="AR297" s="8" t="e">
        <f>#N/A</f>
        <v>#N/A</v>
      </c>
      <c r="AS297" s="60" t="e">
        <f>#N/A</f>
        <v>#N/A</v>
      </c>
      <c r="AT297" s="60" t="e">
        <f>#N/A</f>
        <v>#N/A</v>
      </c>
      <c r="AU297" s="60" t="e">
        <f>#N/A</f>
        <v>#N/A</v>
      </c>
    </row>
    <row r="298" spans="1:47" x14ac:dyDescent="0.2">
      <c r="A298" s="43">
        <v>0.01</v>
      </c>
      <c r="B298" s="55" t="e">
        <f>#N/A</f>
        <v>#N/A</v>
      </c>
      <c r="C298" s="43">
        <v>0</v>
      </c>
      <c r="D298" s="7" t="e">
        <f>#N/A</f>
        <v>#N/A</v>
      </c>
      <c r="E298" s="7" t="e">
        <f>#N/A</f>
        <v>#N/A</v>
      </c>
      <c r="F298" s="47" t="e">
        <f>#N/A</f>
        <v>#N/A</v>
      </c>
      <c r="G298" s="47" t="e">
        <f>#N/A</f>
        <v>#N/A</v>
      </c>
      <c r="H298" s="47" t="e">
        <f>#N/A</f>
        <v>#N/A</v>
      </c>
      <c r="I298" s="4"/>
      <c r="J298" s="4"/>
      <c r="K298" s="4"/>
      <c r="L298" s="4"/>
      <c r="M298" s="4"/>
      <c r="N298" s="49">
        <v>5.0650000000000004</v>
      </c>
      <c r="O298" s="51">
        <v>5.2492977284550024</v>
      </c>
      <c r="P298" s="51">
        <v>0.10870227154499738</v>
      </c>
      <c r="Q298" s="5"/>
      <c r="R298" s="5"/>
      <c r="S298" s="5"/>
      <c r="T298" s="52"/>
      <c r="U298" s="48" t="e">
        <f>#N/A</f>
        <v>#N/A</v>
      </c>
      <c r="V298" s="18"/>
      <c r="W298" s="5"/>
      <c r="X298" s="5"/>
      <c r="Y298" s="5"/>
      <c r="Z298" s="5"/>
      <c r="AA298" s="5"/>
      <c r="AB298" s="49">
        <v>2.22553605498871</v>
      </c>
      <c r="AC298" s="47" t="e">
        <f>#N/A</f>
        <v>#N/A</v>
      </c>
      <c r="AD298" s="52"/>
      <c r="AE298" s="48"/>
      <c r="AF298" s="18"/>
      <c r="AG298" s="18"/>
      <c r="AH298" s="18"/>
      <c r="AI298" s="18"/>
      <c r="AJ298" s="18"/>
      <c r="AK298" s="18"/>
      <c r="AL298" s="18"/>
      <c r="AM298" s="18"/>
      <c r="AN298" s="18"/>
      <c r="AO298" s="5"/>
      <c r="AP298" s="5"/>
      <c r="AQ298" s="8" t="e">
        <f>#N/A</f>
        <v>#N/A</v>
      </c>
      <c r="AR298" s="8" t="e">
        <f>#N/A</f>
        <v>#N/A</v>
      </c>
      <c r="AS298" s="60" t="e">
        <f>#N/A</f>
        <v>#N/A</v>
      </c>
      <c r="AT298" s="60" t="e">
        <f>#N/A</f>
        <v>#N/A</v>
      </c>
      <c r="AU298" s="60" t="e">
        <f>#N/A</f>
        <v>#N/A</v>
      </c>
    </row>
    <row r="299" spans="1:47" x14ac:dyDescent="0.2">
      <c r="A299" s="43">
        <v>0.01</v>
      </c>
      <c r="B299" s="55" t="e">
        <f>#N/A</f>
        <v>#N/A</v>
      </c>
      <c r="C299" s="43">
        <v>0</v>
      </c>
      <c r="D299" s="7" t="e">
        <f>#N/A</f>
        <v>#N/A</v>
      </c>
      <c r="E299" s="7" t="e">
        <f>#N/A</f>
        <v>#N/A</v>
      </c>
      <c r="F299" s="47" t="e">
        <f>#N/A</f>
        <v>#N/A</v>
      </c>
      <c r="G299" s="47" t="e">
        <f>#N/A</f>
        <v>#N/A</v>
      </c>
      <c r="H299" s="47" t="e">
        <f>#N/A</f>
        <v>#N/A</v>
      </c>
      <c r="I299" s="4"/>
      <c r="J299" s="4"/>
      <c r="K299" s="4"/>
      <c r="L299" s="4"/>
      <c r="M299" s="4"/>
      <c r="N299" s="49">
        <v>5.0650000000000004</v>
      </c>
      <c r="O299" s="51">
        <v>5.2492977284550024</v>
      </c>
      <c r="P299" s="51">
        <v>0.10870227154499738</v>
      </c>
      <c r="Q299" s="5"/>
      <c r="R299" s="5"/>
      <c r="S299" s="5"/>
      <c r="T299" s="52"/>
      <c r="U299" s="48" t="e">
        <f>#N/A</f>
        <v>#N/A</v>
      </c>
      <c r="V299" s="18"/>
      <c r="W299" s="5"/>
      <c r="X299" s="5"/>
      <c r="Y299" s="5"/>
      <c r="Z299" s="5"/>
      <c r="AA299" s="5"/>
      <c r="AB299" s="49">
        <v>2.22553605498871</v>
      </c>
      <c r="AC299" s="47" t="e">
        <f>#N/A</f>
        <v>#N/A</v>
      </c>
      <c r="AD299" s="52"/>
      <c r="AE299" s="48"/>
      <c r="AF299" s="18"/>
      <c r="AG299" s="18"/>
      <c r="AH299" s="18"/>
      <c r="AI299" s="18"/>
      <c r="AJ299" s="18"/>
      <c r="AK299" s="18"/>
      <c r="AL299" s="18"/>
      <c r="AM299" s="18"/>
      <c r="AN299" s="18"/>
      <c r="AO299" s="5"/>
      <c r="AP299" s="5"/>
      <c r="AQ299" s="8" t="e">
        <f>#N/A</f>
        <v>#N/A</v>
      </c>
      <c r="AR299" s="8" t="e">
        <f>#N/A</f>
        <v>#N/A</v>
      </c>
      <c r="AS299" s="60" t="e">
        <f>#N/A</f>
        <v>#N/A</v>
      </c>
      <c r="AT299" s="60" t="e">
        <f>#N/A</f>
        <v>#N/A</v>
      </c>
      <c r="AU299" s="60" t="e">
        <f>#N/A</f>
        <v>#N/A</v>
      </c>
    </row>
    <row r="300" spans="1:47" x14ac:dyDescent="0.2">
      <c r="A300" s="43">
        <v>0.01</v>
      </c>
      <c r="B300" s="55" t="e">
        <f>#N/A</f>
        <v>#N/A</v>
      </c>
      <c r="C300" s="43">
        <v>0</v>
      </c>
      <c r="D300" s="7" t="e">
        <f>#N/A</f>
        <v>#N/A</v>
      </c>
      <c r="E300" s="7" t="e">
        <f>#N/A</f>
        <v>#N/A</v>
      </c>
      <c r="F300" s="47" t="e">
        <f>#N/A</f>
        <v>#N/A</v>
      </c>
      <c r="G300" s="47" t="e">
        <f>#N/A</f>
        <v>#N/A</v>
      </c>
      <c r="H300" s="47" t="e">
        <f>#N/A</f>
        <v>#N/A</v>
      </c>
      <c r="I300" s="4"/>
      <c r="J300" s="4"/>
      <c r="K300" s="4"/>
      <c r="L300" s="4"/>
      <c r="M300" s="4"/>
      <c r="N300" s="49">
        <v>5.0650000000000004</v>
      </c>
      <c r="O300" s="51">
        <v>5.2492977284550024</v>
      </c>
      <c r="P300" s="51">
        <v>0.10870227154499738</v>
      </c>
      <c r="Q300" s="5"/>
      <c r="R300" s="5"/>
      <c r="S300" s="5"/>
      <c r="T300" s="52"/>
      <c r="U300" s="48" t="e">
        <f>#N/A</f>
        <v>#N/A</v>
      </c>
      <c r="V300" s="18"/>
      <c r="W300" s="5"/>
      <c r="X300" s="5"/>
      <c r="Y300" s="5"/>
      <c r="Z300" s="5"/>
      <c r="AA300" s="5"/>
      <c r="AB300" s="49">
        <v>2.22553605498871</v>
      </c>
      <c r="AC300" s="47" t="e">
        <f>#N/A</f>
        <v>#N/A</v>
      </c>
      <c r="AD300" s="52"/>
      <c r="AE300" s="48"/>
      <c r="AF300" s="18"/>
      <c r="AG300" s="18"/>
      <c r="AH300" s="18"/>
      <c r="AI300" s="18"/>
      <c r="AJ300" s="18"/>
      <c r="AK300" s="18"/>
      <c r="AL300" s="18"/>
      <c r="AM300" s="18"/>
      <c r="AN300" s="18"/>
      <c r="AO300" s="5"/>
      <c r="AP300" s="5"/>
      <c r="AQ300" s="8" t="e">
        <f>#N/A</f>
        <v>#N/A</v>
      </c>
      <c r="AR300" s="8" t="e">
        <f>#N/A</f>
        <v>#N/A</v>
      </c>
      <c r="AS300" s="60" t="e">
        <f>#N/A</f>
        <v>#N/A</v>
      </c>
      <c r="AT300" s="60" t="e">
        <f>#N/A</f>
        <v>#N/A</v>
      </c>
      <c r="AU300" s="60" t="e">
        <f>#N/A</f>
        <v>#N/A</v>
      </c>
    </row>
    <row r="301" spans="1:47" x14ac:dyDescent="0.2">
      <c r="A301" s="43">
        <v>0.01</v>
      </c>
      <c r="B301" s="55" t="e">
        <f>#N/A</f>
        <v>#N/A</v>
      </c>
      <c r="C301" s="43">
        <v>0</v>
      </c>
      <c r="D301" s="7" t="e">
        <f>#N/A</f>
        <v>#N/A</v>
      </c>
      <c r="E301" s="7" t="e">
        <f>#N/A</f>
        <v>#N/A</v>
      </c>
      <c r="F301" s="47" t="e">
        <f>#N/A</f>
        <v>#N/A</v>
      </c>
      <c r="G301" s="47" t="e">
        <f>#N/A</f>
        <v>#N/A</v>
      </c>
      <c r="H301" s="47" t="e">
        <f>#N/A</f>
        <v>#N/A</v>
      </c>
      <c r="I301" s="4"/>
      <c r="J301" s="4"/>
      <c r="K301" s="4"/>
      <c r="L301" s="4"/>
      <c r="M301" s="4"/>
      <c r="N301" s="49">
        <v>5.0650000000000004</v>
      </c>
      <c r="O301" s="51">
        <v>5.2492977284550024</v>
      </c>
      <c r="P301" s="51">
        <v>0.10870227154499738</v>
      </c>
      <c r="Q301" s="5"/>
      <c r="R301" s="5"/>
      <c r="S301" s="5"/>
      <c r="T301" s="52"/>
      <c r="U301" s="48" t="e">
        <f>#N/A</f>
        <v>#N/A</v>
      </c>
      <c r="V301" s="18"/>
      <c r="W301" s="5"/>
      <c r="X301" s="5"/>
      <c r="Y301" s="5"/>
      <c r="Z301" s="5"/>
      <c r="AA301" s="5"/>
      <c r="AB301" s="49">
        <v>2.22553605498871</v>
      </c>
      <c r="AC301" s="47" t="e">
        <f>#N/A</f>
        <v>#N/A</v>
      </c>
      <c r="AD301" s="52"/>
      <c r="AE301" s="48"/>
      <c r="AF301" s="18"/>
      <c r="AG301" s="18"/>
      <c r="AH301" s="18"/>
      <c r="AI301" s="18"/>
      <c r="AJ301" s="18"/>
      <c r="AK301" s="18"/>
      <c r="AL301" s="18"/>
      <c r="AM301" s="18"/>
      <c r="AN301" s="18"/>
      <c r="AO301" s="5"/>
      <c r="AP301" s="5"/>
      <c r="AQ301" s="8" t="e">
        <f>#N/A</f>
        <v>#N/A</v>
      </c>
      <c r="AR301" s="8" t="e">
        <f>#N/A</f>
        <v>#N/A</v>
      </c>
      <c r="AS301" s="60" t="e">
        <f>#N/A</f>
        <v>#N/A</v>
      </c>
      <c r="AT301" s="60" t="e">
        <f>#N/A</f>
        <v>#N/A</v>
      </c>
      <c r="AU301" s="60" t="e">
        <f>#N/A</f>
        <v>#N/A</v>
      </c>
    </row>
    <row r="302" spans="1:47" x14ac:dyDescent="0.2">
      <c r="A302" s="43">
        <v>0.01</v>
      </c>
      <c r="B302" s="55" t="e">
        <f>#N/A</f>
        <v>#N/A</v>
      </c>
      <c r="C302" s="43">
        <v>0</v>
      </c>
      <c r="D302" s="7" t="e">
        <f>#N/A</f>
        <v>#N/A</v>
      </c>
      <c r="E302" s="7" t="e">
        <f>#N/A</f>
        <v>#N/A</v>
      </c>
      <c r="F302" s="47" t="e">
        <f>#N/A</f>
        <v>#N/A</v>
      </c>
      <c r="G302" s="47" t="e">
        <f>#N/A</f>
        <v>#N/A</v>
      </c>
      <c r="H302" s="47" t="e">
        <f>#N/A</f>
        <v>#N/A</v>
      </c>
      <c r="I302" s="4"/>
      <c r="J302" s="4"/>
      <c r="K302" s="4"/>
      <c r="L302" s="4"/>
      <c r="M302" s="4"/>
      <c r="N302" s="49">
        <v>5.0650000000000004</v>
      </c>
      <c r="O302" s="51">
        <v>5.2492977284550024</v>
      </c>
      <c r="P302" s="51">
        <v>0.10870227154499738</v>
      </c>
      <c r="Q302" s="5"/>
      <c r="R302" s="5"/>
      <c r="S302" s="5"/>
      <c r="T302" s="52"/>
      <c r="U302" s="48" t="e">
        <f>#N/A</f>
        <v>#N/A</v>
      </c>
      <c r="V302" s="18"/>
      <c r="W302" s="5"/>
      <c r="X302" s="5"/>
      <c r="Y302" s="5"/>
      <c r="Z302" s="5"/>
      <c r="AA302" s="5"/>
      <c r="AB302" s="49">
        <v>2.22553605498871</v>
      </c>
      <c r="AC302" s="47" t="e">
        <f>#N/A</f>
        <v>#N/A</v>
      </c>
      <c r="AD302" s="52"/>
      <c r="AE302" s="48"/>
      <c r="AF302" s="18"/>
      <c r="AG302" s="18"/>
      <c r="AH302" s="18"/>
      <c r="AI302" s="18"/>
      <c r="AJ302" s="18"/>
      <c r="AK302" s="18"/>
      <c r="AL302" s="18"/>
      <c r="AM302" s="18"/>
      <c r="AN302" s="18"/>
      <c r="AO302" s="5"/>
      <c r="AP302" s="5"/>
      <c r="AQ302" s="8" t="e">
        <f>#N/A</f>
        <v>#N/A</v>
      </c>
      <c r="AR302" s="8" t="e">
        <f>#N/A</f>
        <v>#N/A</v>
      </c>
      <c r="AS302" s="60" t="e">
        <f>#N/A</f>
        <v>#N/A</v>
      </c>
      <c r="AT302" s="60" t="e">
        <f>#N/A</f>
        <v>#N/A</v>
      </c>
      <c r="AU302" s="60" t="e">
        <f>#N/A</f>
        <v>#N/A</v>
      </c>
    </row>
    <row r="303" spans="1:47" x14ac:dyDescent="0.2">
      <c r="A303" s="43">
        <v>0.01</v>
      </c>
      <c r="B303" s="55" t="e">
        <f>#N/A</f>
        <v>#N/A</v>
      </c>
      <c r="C303" s="43">
        <v>0</v>
      </c>
      <c r="D303" s="7" t="e">
        <f>#N/A</f>
        <v>#N/A</v>
      </c>
      <c r="E303" s="7" t="e">
        <f>#N/A</f>
        <v>#N/A</v>
      </c>
      <c r="F303" s="47" t="e">
        <f>#N/A</f>
        <v>#N/A</v>
      </c>
      <c r="G303" s="47" t="e">
        <f>#N/A</f>
        <v>#N/A</v>
      </c>
      <c r="H303" s="47" t="e">
        <f>#N/A</f>
        <v>#N/A</v>
      </c>
      <c r="I303" s="4"/>
      <c r="J303" s="4"/>
      <c r="K303" s="4"/>
      <c r="L303" s="4"/>
      <c r="M303" s="4"/>
      <c r="N303" s="49">
        <v>5.0650000000000004</v>
      </c>
      <c r="O303" s="51">
        <v>5.2492977284550024</v>
      </c>
      <c r="P303" s="51">
        <v>0.10870227154499738</v>
      </c>
      <c r="Q303" s="5"/>
      <c r="R303" s="5"/>
      <c r="S303" s="5"/>
      <c r="T303" s="52"/>
      <c r="U303" s="48" t="e">
        <f>#N/A</f>
        <v>#N/A</v>
      </c>
      <c r="V303" s="18"/>
      <c r="W303" s="5"/>
      <c r="X303" s="5"/>
      <c r="Y303" s="5"/>
      <c r="Z303" s="5"/>
      <c r="AA303" s="5"/>
      <c r="AB303" s="49">
        <v>2.22553605498871</v>
      </c>
      <c r="AC303" s="47" t="e">
        <f>#N/A</f>
        <v>#N/A</v>
      </c>
      <c r="AD303" s="52"/>
      <c r="AE303" s="48"/>
      <c r="AF303" s="18"/>
      <c r="AG303" s="18"/>
      <c r="AH303" s="18"/>
      <c r="AI303" s="18"/>
      <c r="AJ303" s="18"/>
      <c r="AK303" s="18"/>
      <c r="AL303" s="18"/>
      <c r="AM303" s="18"/>
      <c r="AN303" s="18"/>
      <c r="AO303" s="5"/>
      <c r="AP303" s="5"/>
      <c r="AQ303" s="8" t="e">
        <f>#N/A</f>
        <v>#N/A</v>
      </c>
      <c r="AR303" s="8" t="e">
        <f>#N/A</f>
        <v>#N/A</v>
      </c>
      <c r="AS303" s="60" t="e">
        <f>#N/A</f>
        <v>#N/A</v>
      </c>
      <c r="AT303" s="60" t="e">
        <f>#N/A</f>
        <v>#N/A</v>
      </c>
      <c r="AU303" s="60" t="e">
        <f>#N/A</f>
        <v>#N/A</v>
      </c>
    </row>
    <row r="304" spans="1:47" x14ac:dyDescent="0.2">
      <c r="A304" s="43">
        <v>0.01</v>
      </c>
      <c r="B304" s="55" t="e">
        <f>#N/A</f>
        <v>#N/A</v>
      </c>
      <c r="C304" s="43">
        <v>0</v>
      </c>
      <c r="D304" s="7" t="e">
        <f>#N/A</f>
        <v>#N/A</v>
      </c>
      <c r="E304" s="7" t="e">
        <f>#N/A</f>
        <v>#N/A</v>
      </c>
      <c r="F304" s="47" t="e">
        <f>#N/A</f>
        <v>#N/A</v>
      </c>
      <c r="G304" s="47" t="e">
        <f>#N/A</f>
        <v>#N/A</v>
      </c>
      <c r="H304" s="47" t="e">
        <f>#N/A</f>
        <v>#N/A</v>
      </c>
      <c r="I304" s="4"/>
      <c r="J304" s="4"/>
      <c r="K304" s="4"/>
      <c r="L304" s="4"/>
      <c r="M304" s="4"/>
      <c r="N304" s="49">
        <v>5.0650000000000004</v>
      </c>
      <c r="O304" s="51">
        <v>5.2492977284550024</v>
      </c>
      <c r="P304" s="51">
        <v>0.10870227154499738</v>
      </c>
      <c r="Q304" s="5"/>
      <c r="R304" s="5"/>
      <c r="S304" s="5"/>
      <c r="T304" s="52"/>
      <c r="U304" s="48" t="e">
        <f>#N/A</f>
        <v>#N/A</v>
      </c>
      <c r="V304" s="18"/>
      <c r="W304" s="5"/>
      <c r="X304" s="5"/>
      <c r="Y304" s="5"/>
      <c r="Z304" s="5"/>
      <c r="AA304" s="5"/>
      <c r="AB304" s="49">
        <v>2.22553605498871</v>
      </c>
      <c r="AC304" s="47" t="e">
        <f>#N/A</f>
        <v>#N/A</v>
      </c>
      <c r="AD304" s="52"/>
      <c r="AE304" s="48"/>
      <c r="AF304" s="18"/>
      <c r="AG304" s="18"/>
      <c r="AH304" s="18"/>
      <c r="AI304" s="18"/>
      <c r="AJ304" s="18"/>
      <c r="AK304" s="18"/>
      <c r="AL304" s="18"/>
      <c r="AM304" s="18"/>
      <c r="AN304" s="18"/>
      <c r="AO304" s="5"/>
      <c r="AP304" s="5"/>
      <c r="AQ304" s="8" t="e">
        <f>#N/A</f>
        <v>#N/A</v>
      </c>
      <c r="AR304" s="8" t="e">
        <f>#N/A</f>
        <v>#N/A</v>
      </c>
      <c r="AS304" s="60" t="e">
        <f>#N/A</f>
        <v>#N/A</v>
      </c>
      <c r="AT304" s="60" t="e">
        <f>#N/A</f>
        <v>#N/A</v>
      </c>
      <c r="AU304" s="60" t="e">
        <f>#N/A</f>
        <v>#N/A</v>
      </c>
    </row>
    <row r="305" spans="1:47" x14ac:dyDescent="0.2">
      <c r="A305" s="43">
        <v>0.01</v>
      </c>
      <c r="B305" s="55" t="e">
        <f>#N/A</f>
        <v>#N/A</v>
      </c>
      <c r="C305" s="43">
        <v>0</v>
      </c>
      <c r="D305" s="7" t="e">
        <f>#N/A</f>
        <v>#N/A</v>
      </c>
      <c r="E305" s="7" t="e">
        <f>#N/A</f>
        <v>#N/A</v>
      </c>
      <c r="F305" s="47" t="e">
        <f>#N/A</f>
        <v>#N/A</v>
      </c>
      <c r="G305" s="47" t="e">
        <f>#N/A</f>
        <v>#N/A</v>
      </c>
      <c r="H305" s="47" t="e">
        <f>#N/A</f>
        <v>#N/A</v>
      </c>
      <c r="I305" s="4"/>
      <c r="J305" s="4"/>
      <c r="K305" s="4"/>
      <c r="L305" s="4"/>
      <c r="M305" s="4"/>
      <c r="N305" s="49">
        <v>5.0650000000000004</v>
      </c>
      <c r="O305" s="51">
        <v>5.2492977284550024</v>
      </c>
      <c r="P305" s="51">
        <v>0.10870227154499738</v>
      </c>
      <c r="Q305" s="5"/>
      <c r="R305" s="5"/>
      <c r="S305" s="5"/>
      <c r="T305" s="52"/>
      <c r="U305" s="48" t="e">
        <f>#N/A</f>
        <v>#N/A</v>
      </c>
      <c r="V305" s="18"/>
      <c r="W305" s="5"/>
      <c r="X305" s="5"/>
      <c r="Y305" s="5"/>
      <c r="Z305" s="5"/>
      <c r="AA305" s="5"/>
      <c r="AB305" s="49">
        <v>2.22553605498871</v>
      </c>
      <c r="AC305" s="47" t="e">
        <f>#N/A</f>
        <v>#N/A</v>
      </c>
      <c r="AD305" s="52"/>
      <c r="AE305" s="48"/>
      <c r="AF305" s="18"/>
      <c r="AG305" s="18"/>
      <c r="AH305" s="18"/>
      <c r="AI305" s="18"/>
      <c r="AJ305" s="18"/>
      <c r="AK305" s="18"/>
      <c r="AL305" s="18"/>
      <c r="AM305" s="18"/>
      <c r="AN305" s="18"/>
      <c r="AO305" s="5"/>
      <c r="AP305" s="5"/>
      <c r="AQ305" s="8" t="e">
        <f>#N/A</f>
        <v>#N/A</v>
      </c>
      <c r="AR305" s="8" t="e">
        <f>#N/A</f>
        <v>#N/A</v>
      </c>
      <c r="AS305" s="60" t="e">
        <f>#N/A</f>
        <v>#N/A</v>
      </c>
      <c r="AT305" s="60" t="e">
        <f>#N/A</f>
        <v>#N/A</v>
      </c>
      <c r="AU305" s="60" t="e">
        <f>#N/A</f>
        <v>#N/A</v>
      </c>
    </row>
    <row r="306" spans="1:47" x14ac:dyDescent="0.2">
      <c r="A306" s="43">
        <v>0.01</v>
      </c>
      <c r="B306" s="55" t="e">
        <f>#N/A</f>
        <v>#N/A</v>
      </c>
      <c r="C306" s="43">
        <v>0</v>
      </c>
      <c r="D306" s="7" t="e">
        <f>#N/A</f>
        <v>#N/A</v>
      </c>
      <c r="E306" s="7" t="e">
        <f>#N/A</f>
        <v>#N/A</v>
      </c>
      <c r="F306" s="47" t="e">
        <f>#N/A</f>
        <v>#N/A</v>
      </c>
      <c r="G306" s="47" t="e">
        <f>#N/A</f>
        <v>#N/A</v>
      </c>
      <c r="H306" s="47" t="e">
        <f>#N/A</f>
        <v>#N/A</v>
      </c>
      <c r="I306" s="4"/>
      <c r="J306" s="4"/>
      <c r="K306" s="4"/>
      <c r="L306" s="4"/>
      <c r="M306" s="4"/>
      <c r="N306" s="49">
        <v>5.0650000000000004</v>
      </c>
      <c r="O306" s="51">
        <v>5.2492977284550024</v>
      </c>
      <c r="P306" s="51">
        <v>0.10870227154499738</v>
      </c>
      <c r="Q306" s="5"/>
      <c r="R306" s="5"/>
      <c r="S306" s="5"/>
      <c r="T306" s="52"/>
      <c r="U306" s="48" t="e">
        <f>#N/A</f>
        <v>#N/A</v>
      </c>
      <c r="V306" s="18"/>
      <c r="W306" s="5"/>
      <c r="X306" s="5"/>
      <c r="Y306" s="5"/>
      <c r="Z306" s="5"/>
      <c r="AA306" s="5"/>
      <c r="AB306" s="49">
        <v>2.22553605498871</v>
      </c>
      <c r="AC306" s="47" t="e">
        <f>#N/A</f>
        <v>#N/A</v>
      </c>
      <c r="AD306" s="52"/>
      <c r="AE306" s="48"/>
      <c r="AF306" s="18"/>
      <c r="AG306" s="18"/>
      <c r="AH306" s="18"/>
      <c r="AI306" s="18"/>
      <c r="AJ306" s="18"/>
      <c r="AK306" s="18"/>
      <c r="AL306" s="18"/>
      <c r="AM306" s="18"/>
      <c r="AN306" s="18"/>
      <c r="AO306" s="5"/>
      <c r="AP306" s="5"/>
      <c r="AQ306" s="8" t="e">
        <f>#N/A</f>
        <v>#N/A</v>
      </c>
      <c r="AR306" s="8" t="e">
        <f>#N/A</f>
        <v>#N/A</v>
      </c>
      <c r="AS306" s="60" t="e">
        <f>#N/A</f>
        <v>#N/A</v>
      </c>
      <c r="AT306" s="60" t="e">
        <f>#N/A</f>
        <v>#N/A</v>
      </c>
      <c r="AU306" s="60" t="e">
        <f>#N/A</f>
        <v>#N/A</v>
      </c>
    </row>
    <row r="307" spans="1:47" x14ac:dyDescent="0.2">
      <c r="A307" s="43">
        <v>0.01</v>
      </c>
      <c r="B307" s="55" t="e">
        <f>#N/A</f>
        <v>#N/A</v>
      </c>
      <c r="C307" s="43">
        <v>0</v>
      </c>
      <c r="D307" s="7" t="e">
        <f>#N/A</f>
        <v>#N/A</v>
      </c>
      <c r="E307" s="7" t="e">
        <f>#N/A</f>
        <v>#N/A</v>
      </c>
      <c r="F307" s="47" t="e">
        <f>#N/A</f>
        <v>#N/A</v>
      </c>
      <c r="G307" s="47" t="e">
        <f>#N/A</f>
        <v>#N/A</v>
      </c>
      <c r="H307" s="47" t="e">
        <f>#N/A</f>
        <v>#N/A</v>
      </c>
      <c r="I307" s="4"/>
      <c r="J307" s="4"/>
      <c r="K307" s="4"/>
      <c r="L307" s="4"/>
      <c r="M307" s="4"/>
      <c r="N307" s="49">
        <v>5.0650000000000004</v>
      </c>
      <c r="O307" s="51">
        <v>5.2492977284550024</v>
      </c>
      <c r="P307" s="51">
        <v>0.10870227154499738</v>
      </c>
      <c r="Q307" s="5"/>
      <c r="R307" s="5"/>
      <c r="S307" s="5"/>
      <c r="T307" s="52"/>
      <c r="U307" s="48" t="e">
        <f>#N/A</f>
        <v>#N/A</v>
      </c>
      <c r="V307" s="18"/>
      <c r="W307" s="5"/>
      <c r="X307" s="5"/>
      <c r="Y307" s="5"/>
      <c r="Z307" s="5"/>
      <c r="AA307" s="5"/>
      <c r="AB307" s="49">
        <v>2.22553605498871</v>
      </c>
      <c r="AC307" s="47" t="e">
        <f>#N/A</f>
        <v>#N/A</v>
      </c>
      <c r="AD307" s="52"/>
      <c r="AE307" s="48"/>
      <c r="AF307" s="18"/>
      <c r="AG307" s="18"/>
      <c r="AH307" s="18"/>
      <c r="AI307" s="18"/>
      <c r="AJ307" s="18"/>
      <c r="AK307" s="18"/>
      <c r="AL307" s="18"/>
      <c r="AM307" s="18"/>
      <c r="AN307" s="18"/>
      <c r="AO307" s="5"/>
      <c r="AP307" s="5"/>
      <c r="AQ307" s="8" t="e">
        <f>#N/A</f>
        <v>#N/A</v>
      </c>
      <c r="AR307" s="8" t="e">
        <f>#N/A</f>
        <v>#N/A</v>
      </c>
      <c r="AS307" s="60" t="e">
        <f>#N/A</f>
        <v>#N/A</v>
      </c>
      <c r="AT307" s="60" t="e">
        <f>#N/A</f>
        <v>#N/A</v>
      </c>
      <c r="AU307" s="60" t="e">
        <f>#N/A</f>
        <v>#N/A</v>
      </c>
    </row>
    <row r="308" spans="1:47" x14ac:dyDescent="0.2">
      <c r="A308" s="43">
        <v>0.01</v>
      </c>
      <c r="B308" s="55" t="e">
        <f>#N/A</f>
        <v>#N/A</v>
      </c>
      <c r="C308" s="43">
        <v>0</v>
      </c>
      <c r="D308" s="7" t="e">
        <f>#N/A</f>
        <v>#N/A</v>
      </c>
      <c r="E308" s="7" t="e">
        <f>#N/A</f>
        <v>#N/A</v>
      </c>
      <c r="F308" s="47" t="e">
        <f>#N/A</f>
        <v>#N/A</v>
      </c>
      <c r="G308" s="47" t="e">
        <f>#N/A</f>
        <v>#N/A</v>
      </c>
      <c r="H308" s="47" t="e">
        <f>#N/A</f>
        <v>#N/A</v>
      </c>
      <c r="I308" s="4"/>
      <c r="J308" s="4"/>
      <c r="K308" s="4"/>
      <c r="L308" s="4"/>
      <c r="M308" s="4"/>
      <c r="N308" s="49">
        <v>5.0650000000000004</v>
      </c>
      <c r="O308" s="51">
        <v>5.2492977284550024</v>
      </c>
      <c r="P308" s="51">
        <v>0.10870227154499738</v>
      </c>
      <c r="Q308" s="5"/>
      <c r="R308" s="5"/>
      <c r="S308" s="5"/>
      <c r="T308" s="52"/>
      <c r="U308" s="48" t="e">
        <f>#N/A</f>
        <v>#N/A</v>
      </c>
      <c r="V308" s="18"/>
      <c r="W308" s="5"/>
      <c r="X308" s="5"/>
      <c r="Y308" s="5"/>
      <c r="Z308" s="5"/>
      <c r="AA308" s="5"/>
      <c r="AB308" s="49">
        <v>2.22553605498871</v>
      </c>
      <c r="AC308" s="47" t="e">
        <f>#N/A</f>
        <v>#N/A</v>
      </c>
      <c r="AD308" s="52"/>
      <c r="AE308" s="48"/>
      <c r="AF308" s="18"/>
      <c r="AG308" s="18"/>
      <c r="AH308" s="18"/>
      <c r="AI308" s="18"/>
      <c r="AJ308" s="18"/>
      <c r="AK308" s="18"/>
      <c r="AL308" s="18"/>
      <c r="AM308" s="18"/>
      <c r="AN308" s="18"/>
      <c r="AO308" s="5"/>
      <c r="AP308" s="5"/>
      <c r="AQ308" s="8" t="e">
        <f>#N/A</f>
        <v>#N/A</v>
      </c>
      <c r="AR308" s="8" t="e">
        <f>#N/A</f>
        <v>#N/A</v>
      </c>
      <c r="AS308" s="60" t="e">
        <f>#N/A</f>
        <v>#N/A</v>
      </c>
      <c r="AT308" s="60" t="e">
        <f>#N/A</f>
        <v>#N/A</v>
      </c>
      <c r="AU308" s="60" t="e">
        <f>#N/A</f>
        <v>#N/A</v>
      </c>
    </row>
    <row r="309" spans="1:47" x14ac:dyDescent="0.2">
      <c r="A309" s="43">
        <v>0.01</v>
      </c>
      <c r="B309" s="55" t="e">
        <f>#N/A</f>
        <v>#N/A</v>
      </c>
      <c r="C309" s="43">
        <v>0</v>
      </c>
      <c r="D309" s="7" t="e">
        <f>#N/A</f>
        <v>#N/A</v>
      </c>
      <c r="E309" s="7" t="e">
        <f>#N/A</f>
        <v>#N/A</v>
      </c>
      <c r="F309" s="47" t="e">
        <f>#N/A</f>
        <v>#N/A</v>
      </c>
      <c r="G309" s="47" t="e">
        <f>#N/A</f>
        <v>#N/A</v>
      </c>
      <c r="H309" s="47" t="e">
        <f>#N/A</f>
        <v>#N/A</v>
      </c>
      <c r="I309" s="4"/>
      <c r="J309" s="4"/>
      <c r="K309" s="4"/>
      <c r="L309" s="4"/>
      <c r="M309" s="4"/>
      <c r="N309" s="49">
        <v>5.0650000000000004</v>
      </c>
      <c r="O309" s="51">
        <v>5.2492977284550024</v>
      </c>
      <c r="P309" s="51">
        <v>0.10870227154499738</v>
      </c>
      <c r="Q309" s="5"/>
      <c r="R309" s="5"/>
      <c r="S309" s="5"/>
      <c r="T309" s="52"/>
      <c r="U309" s="48" t="e">
        <f>#N/A</f>
        <v>#N/A</v>
      </c>
      <c r="V309" s="18"/>
      <c r="W309" s="5"/>
      <c r="X309" s="5"/>
      <c r="Y309" s="5"/>
      <c r="Z309" s="5"/>
      <c r="AA309" s="5"/>
      <c r="AB309" s="49">
        <v>2.22553605498871</v>
      </c>
      <c r="AC309" s="47" t="e">
        <f>#N/A</f>
        <v>#N/A</v>
      </c>
      <c r="AD309" s="52"/>
      <c r="AE309" s="48"/>
      <c r="AF309" s="18"/>
      <c r="AG309" s="18"/>
      <c r="AH309" s="18"/>
      <c r="AI309" s="18"/>
      <c r="AJ309" s="18"/>
      <c r="AK309" s="18"/>
      <c r="AL309" s="18"/>
      <c r="AM309" s="18"/>
      <c r="AN309" s="18"/>
      <c r="AO309" s="5"/>
      <c r="AP309" s="5"/>
      <c r="AQ309" s="8" t="e">
        <f>#N/A</f>
        <v>#N/A</v>
      </c>
      <c r="AR309" s="8" t="e">
        <f>#N/A</f>
        <v>#N/A</v>
      </c>
      <c r="AS309" s="60" t="e">
        <f>#N/A</f>
        <v>#N/A</v>
      </c>
      <c r="AT309" s="60" t="e">
        <f>#N/A</f>
        <v>#N/A</v>
      </c>
      <c r="AU309" s="60" t="e">
        <f>#N/A</f>
        <v>#N/A</v>
      </c>
    </row>
    <row r="310" spans="1:47" x14ac:dyDescent="0.2">
      <c r="A310" s="43">
        <v>0.01</v>
      </c>
      <c r="B310" s="55" t="e">
        <f>#N/A</f>
        <v>#N/A</v>
      </c>
      <c r="C310" s="43">
        <v>0</v>
      </c>
      <c r="D310" s="7" t="e">
        <f>#N/A</f>
        <v>#N/A</v>
      </c>
      <c r="E310" s="7" t="e">
        <f>#N/A</f>
        <v>#N/A</v>
      </c>
      <c r="F310" s="47" t="e">
        <f>#N/A</f>
        <v>#N/A</v>
      </c>
      <c r="G310" s="47" t="e">
        <f>#N/A</f>
        <v>#N/A</v>
      </c>
      <c r="H310" s="47" t="e">
        <f>#N/A</f>
        <v>#N/A</v>
      </c>
      <c r="I310" s="4"/>
      <c r="J310" s="4"/>
      <c r="K310" s="4"/>
      <c r="L310" s="4"/>
      <c r="M310" s="4"/>
      <c r="N310" s="49">
        <v>5.0650000000000004</v>
      </c>
      <c r="O310" s="51">
        <v>5.2492977284550024</v>
      </c>
      <c r="P310" s="51">
        <v>0.10870227154499738</v>
      </c>
      <c r="Q310" s="5"/>
      <c r="R310" s="5"/>
      <c r="S310" s="5"/>
      <c r="T310" s="52"/>
      <c r="U310" s="48" t="e">
        <f>#N/A</f>
        <v>#N/A</v>
      </c>
      <c r="V310" s="18"/>
      <c r="W310" s="5"/>
      <c r="X310" s="5"/>
      <c r="Y310" s="5"/>
      <c r="Z310" s="5"/>
      <c r="AA310" s="5"/>
      <c r="AB310" s="49">
        <v>2.22553605498871</v>
      </c>
      <c r="AC310" s="47" t="e">
        <f>#N/A</f>
        <v>#N/A</v>
      </c>
      <c r="AD310" s="52"/>
      <c r="AE310" s="48"/>
      <c r="AF310" s="18"/>
      <c r="AG310" s="18"/>
      <c r="AH310" s="18"/>
      <c r="AI310" s="18"/>
      <c r="AJ310" s="18"/>
      <c r="AK310" s="18"/>
      <c r="AL310" s="18"/>
      <c r="AM310" s="18"/>
      <c r="AN310" s="18"/>
      <c r="AO310" s="5"/>
      <c r="AP310" s="5"/>
      <c r="AQ310" s="8" t="e">
        <f>#N/A</f>
        <v>#N/A</v>
      </c>
      <c r="AR310" s="8" t="e">
        <f>#N/A</f>
        <v>#N/A</v>
      </c>
      <c r="AS310" s="60" t="e">
        <f>#N/A</f>
        <v>#N/A</v>
      </c>
      <c r="AT310" s="60" t="e">
        <f>#N/A</f>
        <v>#N/A</v>
      </c>
      <c r="AU310" s="60" t="e">
        <f>#N/A</f>
        <v>#N/A</v>
      </c>
    </row>
    <row r="311" spans="1:47" x14ac:dyDescent="0.2">
      <c r="A311" s="43">
        <v>0.01</v>
      </c>
      <c r="B311" s="55" t="e">
        <f>#N/A</f>
        <v>#N/A</v>
      </c>
      <c r="C311" s="43">
        <v>0</v>
      </c>
      <c r="D311" s="7" t="e">
        <f>#N/A</f>
        <v>#N/A</v>
      </c>
      <c r="E311" s="7" t="e">
        <f>#N/A</f>
        <v>#N/A</v>
      </c>
      <c r="F311" s="47" t="e">
        <f>#N/A</f>
        <v>#N/A</v>
      </c>
      <c r="G311" s="47" t="e">
        <f>#N/A</f>
        <v>#N/A</v>
      </c>
      <c r="H311" s="47" t="e">
        <f>#N/A</f>
        <v>#N/A</v>
      </c>
      <c r="I311" s="4"/>
      <c r="J311" s="4"/>
      <c r="K311" s="4"/>
      <c r="L311" s="4"/>
      <c r="M311" s="4"/>
      <c r="N311" s="49">
        <v>5.0650000000000004</v>
      </c>
      <c r="O311" s="51">
        <v>5.2492977284550024</v>
      </c>
      <c r="P311" s="51">
        <v>0.10870227154499738</v>
      </c>
      <c r="Q311" s="5"/>
      <c r="R311" s="5"/>
      <c r="S311" s="5"/>
      <c r="T311" s="52"/>
      <c r="U311" s="48" t="e">
        <f>#N/A</f>
        <v>#N/A</v>
      </c>
      <c r="V311" s="18"/>
      <c r="W311" s="5"/>
      <c r="X311" s="5"/>
      <c r="Y311" s="5"/>
      <c r="Z311" s="5"/>
      <c r="AA311" s="5"/>
      <c r="AB311" s="49">
        <v>2.22553605498871</v>
      </c>
      <c r="AC311" s="47" t="e">
        <f>#N/A</f>
        <v>#N/A</v>
      </c>
      <c r="AD311" s="52"/>
      <c r="AE311" s="48"/>
      <c r="AF311" s="18"/>
      <c r="AG311" s="18"/>
      <c r="AH311" s="18"/>
      <c r="AI311" s="18"/>
      <c r="AJ311" s="18"/>
      <c r="AK311" s="18"/>
      <c r="AL311" s="18"/>
      <c r="AM311" s="18"/>
      <c r="AN311" s="18"/>
      <c r="AO311" s="5"/>
      <c r="AP311" s="5"/>
      <c r="AQ311" s="8" t="e">
        <f>#N/A</f>
        <v>#N/A</v>
      </c>
      <c r="AR311" s="8" t="e">
        <f>#N/A</f>
        <v>#N/A</v>
      </c>
      <c r="AS311" s="60" t="e">
        <f>#N/A</f>
        <v>#N/A</v>
      </c>
      <c r="AT311" s="60" t="e">
        <f>#N/A</f>
        <v>#N/A</v>
      </c>
      <c r="AU311" s="60" t="e">
        <f>#N/A</f>
        <v>#N/A</v>
      </c>
    </row>
    <row r="312" spans="1:47" x14ac:dyDescent="0.2">
      <c r="A312" s="43">
        <v>0.01</v>
      </c>
      <c r="B312" s="55" t="e">
        <f>#N/A</f>
        <v>#N/A</v>
      </c>
      <c r="C312" s="43">
        <v>0</v>
      </c>
      <c r="D312" s="7" t="e">
        <f>#N/A</f>
        <v>#N/A</v>
      </c>
      <c r="E312" s="7" t="e">
        <f>#N/A</f>
        <v>#N/A</v>
      </c>
      <c r="F312" s="47" t="e">
        <f>#N/A</f>
        <v>#N/A</v>
      </c>
      <c r="G312" s="47" t="e">
        <f>#N/A</f>
        <v>#N/A</v>
      </c>
      <c r="H312" s="47" t="e">
        <f>#N/A</f>
        <v>#N/A</v>
      </c>
      <c r="I312" s="4"/>
      <c r="J312" s="4"/>
      <c r="K312" s="4"/>
      <c r="L312" s="4"/>
      <c r="M312" s="4"/>
      <c r="N312" s="49">
        <v>5.0650000000000004</v>
      </c>
      <c r="O312" s="51">
        <v>5.2492977284550024</v>
      </c>
      <c r="P312" s="51">
        <v>0.10870227154499738</v>
      </c>
      <c r="Q312" s="5"/>
      <c r="R312" s="5"/>
      <c r="S312" s="5"/>
      <c r="T312" s="52"/>
      <c r="U312" s="48" t="e">
        <f>#N/A</f>
        <v>#N/A</v>
      </c>
      <c r="V312" s="18"/>
      <c r="W312" s="5"/>
      <c r="X312" s="5"/>
      <c r="Y312" s="5"/>
      <c r="Z312" s="5"/>
      <c r="AA312" s="5"/>
      <c r="AB312" s="49">
        <v>2.22553605498871</v>
      </c>
      <c r="AC312" s="47" t="e">
        <f>#N/A</f>
        <v>#N/A</v>
      </c>
      <c r="AD312" s="52"/>
      <c r="AE312" s="48"/>
      <c r="AF312" s="18"/>
      <c r="AG312" s="18"/>
      <c r="AH312" s="18"/>
      <c r="AI312" s="18"/>
      <c r="AJ312" s="18"/>
      <c r="AK312" s="18"/>
      <c r="AL312" s="18"/>
      <c r="AM312" s="18"/>
      <c r="AN312" s="18"/>
      <c r="AO312" s="5"/>
      <c r="AP312" s="5"/>
      <c r="AQ312" s="8" t="e">
        <f>#N/A</f>
        <v>#N/A</v>
      </c>
      <c r="AR312" s="8" t="e">
        <f>#N/A</f>
        <v>#N/A</v>
      </c>
      <c r="AS312" s="60" t="e">
        <f>#N/A</f>
        <v>#N/A</v>
      </c>
      <c r="AT312" s="60" t="e">
        <f>#N/A</f>
        <v>#N/A</v>
      </c>
      <c r="AU312" s="60" t="e">
        <f>#N/A</f>
        <v>#N/A</v>
      </c>
    </row>
    <row r="313" spans="1:47" x14ac:dyDescent="0.2">
      <c r="A313" s="43">
        <v>0.01</v>
      </c>
      <c r="B313" s="55" t="e">
        <f>#N/A</f>
        <v>#N/A</v>
      </c>
      <c r="C313" s="43">
        <v>0</v>
      </c>
      <c r="D313" s="7" t="e">
        <f>#N/A</f>
        <v>#N/A</v>
      </c>
      <c r="E313" s="7" t="e">
        <f>#N/A</f>
        <v>#N/A</v>
      </c>
      <c r="F313" s="47" t="e">
        <f>#N/A</f>
        <v>#N/A</v>
      </c>
      <c r="G313" s="47" t="e">
        <f>#N/A</f>
        <v>#N/A</v>
      </c>
      <c r="H313" s="47" t="e">
        <f>#N/A</f>
        <v>#N/A</v>
      </c>
      <c r="I313" s="4"/>
      <c r="J313" s="4"/>
      <c r="K313" s="4"/>
      <c r="L313" s="4"/>
      <c r="M313" s="4"/>
      <c r="N313" s="49">
        <v>5.0650000000000004</v>
      </c>
      <c r="O313" s="51">
        <v>5.2492977284550024</v>
      </c>
      <c r="P313" s="51">
        <v>0.10870227154499738</v>
      </c>
      <c r="Q313" s="5"/>
      <c r="R313" s="5"/>
      <c r="S313" s="5"/>
      <c r="T313" s="52"/>
      <c r="U313" s="48" t="e">
        <f>#N/A</f>
        <v>#N/A</v>
      </c>
      <c r="V313" s="18"/>
      <c r="W313" s="5"/>
      <c r="X313" s="5"/>
      <c r="Y313" s="5"/>
      <c r="Z313" s="5"/>
      <c r="AA313" s="5"/>
      <c r="AB313" s="49">
        <v>2.22553605498871</v>
      </c>
      <c r="AC313" s="47" t="e">
        <f>#N/A</f>
        <v>#N/A</v>
      </c>
      <c r="AD313" s="52"/>
      <c r="AE313" s="48"/>
      <c r="AF313" s="18"/>
      <c r="AG313" s="18"/>
      <c r="AH313" s="18"/>
      <c r="AI313" s="18"/>
      <c r="AJ313" s="18"/>
      <c r="AK313" s="18"/>
      <c r="AL313" s="18"/>
      <c r="AM313" s="18"/>
      <c r="AN313" s="18"/>
      <c r="AO313" s="5"/>
      <c r="AP313" s="5"/>
      <c r="AQ313" s="8" t="e">
        <f>#N/A</f>
        <v>#N/A</v>
      </c>
      <c r="AR313" s="8" t="e">
        <f>#N/A</f>
        <v>#N/A</v>
      </c>
      <c r="AS313" s="60" t="e">
        <f>#N/A</f>
        <v>#N/A</v>
      </c>
      <c r="AT313" s="60" t="e">
        <f>#N/A</f>
        <v>#N/A</v>
      </c>
      <c r="AU313" s="60" t="e">
        <f>#N/A</f>
        <v>#N/A</v>
      </c>
    </row>
    <row r="314" spans="1:47" x14ac:dyDescent="0.2">
      <c r="A314" s="43">
        <v>0.01</v>
      </c>
      <c r="B314" s="55" t="e">
        <f>#N/A</f>
        <v>#N/A</v>
      </c>
      <c r="C314" s="43">
        <v>0</v>
      </c>
      <c r="D314" s="7" t="e">
        <f>#N/A</f>
        <v>#N/A</v>
      </c>
      <c r="E314" s="7" t="e">
        <f>#N/A</f>
        <v>#N/A</v>
      </c>
      <c r="F314" s="47" t="e">
        <f>#N/A</f>
        <v>#N/A</v>
      </c>
      <c r="G314" s="47" t="e">
        <f>#N/A</f>
        <v>#N/A</v>
      </c>
      <c r="H314" s="47" t="e">
        <f>#N/A</f>
        <v>#N/A</v>
      </c>
      <c r="I314" s="4"/>
      <c r="J314" s="4"/>
      <c r="K314" s="4"/>
      <c r="L314" s="4"/>
      <c r="M314" s="4"/>
      <c r="N314" s="49">
        <v>5.0650000000000004</v>
      </c>
      <c r="O314" s="51">
        <v>5.2492977284550024</v>
      </c>
      <c r="P314" s="51">
        <v>0.10870227154499738</v>
      </c>
      <c r="Q314" s="5"/>
      <c r="R314" s="5"/>
      <c r="S314" s="5"/>
      <c r="T314" s="52"/>
      <c r="U314" s="48" t="e">
        <f>#N/A</f>
        <v>#N/A</v>
      </c>
      <c r="V314" s="18"/>
      <c r="W314" s="5"/>
      <c r="X314" s="5"/>
      <c r="Y314" s="5"/>
      <c r="Z314" s="5"/>
      <c r="AA314" s="5"/>
      <c r="AB314" s="49">
        <v>2.22553605498871</v>
      </c>
      <c r="AC314" s="47" t="e">
        <f>#N/A</f>
        <v>#N/A</v>
      </c>
      <c r="AD314" s="52"/>
      <c r="AE314" s="48"/>
      <c r="AF314" s="18"/>
      <c r="AG314" s="18"/>
      <c r="AH314" s="18"/>
      <c r="AI314" s="18"/>
      <c r="AJ314" s="18"/>
      <c r="AK314" s="18"/>
      <c r="AL314" s="18"/>
      <c r="AM314" s="18"/>
      <c r="AN314" s="18"/>
      <c r="AO314" s="5"/>
      <c r="AP314" s="5"/>
      <c r="AQ314" s="8" t="e">
        <f>#N/A</f>
        <v>#N/A</v>
      </c>
      <c r="AR314" s="8" t="e">
        <f>#N/A</f>
        <v>#N/A</v>
      </c>
      <c r="AS314" s="60" t="e">
        <f>#N/A</f>
        <v>#N/A</v>
      </c>
      <c r="AT314" s="60" t="e">
        <f>#N/A</f>
        <v>#N/A</v>
      </c>
      <c r="AU314" s="60" t="e">
        <f>#N/A</f>
        <v>#N/A</v>
      </c>
    </row>
    <row r="315" spans="1:47" x14ac:dyDescent="0.2">
      <c r="A315" s="43">
        <v>0.01</v>
      </c>
      <c r="B315" s="55" t="e">
        <f>#N/A</f>
        <v>#N/A</v>
      </c>
      <c r="C315" s="43">
        <v>0</v>
      </c>
      <c r="D315" s="7" t="e">
        <f>#N/A</f>
        <v>#N/A</v>
      </c>
      <c r="E315" s="7" t="e">
        <f>#N/A</f>
        <v>#N/A</v>
      </c>
      <c r="F315" s="47" t="e">
        <f>#N/A</f>
        <v>#N/A</v>
      </c>
      <c r="G315" s="47" t="e">
        <f>#N/A</f>
        <v>#N/A</v>
      </c>
      <c r="H315" s="47" t="e">
        <f>#N/A</f>
        <v>#N/A</v>
      </c>
      <c r="I315" s="4"/>
      <c r="J315" s="4"/>
      <c r="K315" s="4"/>
      <c r="L315" s="4"/>
      <c r="M315" s="4"/>
      <c r="N315" s="49">
        <v>5.0650000000000004</v>
      </c>
      <c r="O315" s="51">
        <v>5.2492977284550024</v>
      </c>
      <c r="P315" s="51">
        <v>0.10870227154499738</v>
      </c>
      <c r="Q315" s="5"/>
      <c r="R315" s="5"/>
      <c r="S315" s="5"/>
      <c r="T315" s="52"/>
      <c r="U315" s="48" t="e">
        <f>#N/A</f>
        <v>#N/A</v>
      </c>
      <c r="V315" s="18"/>
      <c r="W315" s="5"/>
      <c r="X315" s="5"/>
      <c r="Y315" s="5"/>
      <c r="Z315" s="5"/>
      <c r="AA315" s="5"/>
      <c r="AB315" s="49">
        <v>2.22553605498871</v>
      </c>
      <c r="AC315" s="47" t="e">
        <f>#N/A</f>
        <v>#N/A</v>
      </c>
      <c r="AD315" s="52"/>
      <c r="AE315" s="48"/>
      <c r="AF315" s="18"/>
      <c r="AG315" s="18"/>
      <c r="AH315" s="18"/>
      <c r="AI315" s="18"/>
      <c r="AJ315" s="18"/>
      <c r="AK315" s="18"/>
      <c r="AL315" s="18"/>
      <c r="AM315" s="18"/>
      <c r="AN315" s="18"/>
      <c r="AO315" s="5"/>
      <c r="AP315" s="5"/>
      <c r="AQ315" s="8" t="e">
        <f>#N/A</f>
        <v>#N/A</v>
      </c>
      <c r="AR315" s="8" t="e">
        <f>#N/A</f>
        <v>#N/A</v>
      </c>
      <c r="AS315" s="60" t="e">
        <f>#N/A</f>
        <v>#N/A</v>
      </c>
      <c r="AT315" s="60" t="e">
        <f>#N/A</f>
        <v>#N/A</v>
      </c>
      <c r="AU315" s="60" t="e">
        <f>#N/A</f>
        <v>#N/A</v>
      </c>
    </row>
    <row r="316" spans="1:47" x14ac:dyDescent="0.2">
      <c r="A316" s="43">
        <v>0.01</v>
      </c>
      <c r="B316" s="55" t="e">
        <f>#N/A</f>
        <v>#N/A</v>
      </c>
      <c r="C316" s="43">
        <v>0</v>
      </c>
      <c r="D316" s="7" t="e">
        <f>#N/A</f>
        <v>#N/A</v>
      </c>
      <c r="E316" s="7" t="e">
        <f>#N/A</f>
        <v>#N/A</v>
      </c>
      <c r="F316" s="47" t="e">
        <f>#N/A</f>
        <v>#N/A</v>
      </c>
      <c r="G316" s="47" t="e">
        <f>#N/A</f>
        <v>#N/A</v>
      </c>
      <c r="H316" s="47" t="e">
        <f>#N/A</f>
        <v>#N/A</v>
      </c>
      <c r="I316" s="4"/>
      <c r="J316" s="4"/>
      <c r="K316" s="4"/>
      <c r="L316" s="4"/>
      <c r="M316" s="4"/>
      <c r="N316" s="49">
        <v>5.0650000000000004</v>
      </c>
      <c r="O316" s="51">
        <v>5.2492977284550024</v>
      </c>
      <c r="P316" s="51">
        <v>0.10870227154499738</v>
      </c>
      <c r="Q316" s="5"/>
      <c r="R316" s="5"/>
      <c r="S316" s="5"/>
      <c r="T316" s="52"/>
      <c r="U316" s="48" t="e">
        <f>#N/A</f>
        <v>#N/A</v>
      </c>
      <c r="V316" s="18"/>
      <c r="W316" s="5"/>
      <c r="X316" s="5"/>
      <c r="Y316" s="5"/>
      <c r="Z316" s="5"/>
      <c r="AA316" s="5"/>
      <c r="AB316" s="49">
        <v>2.22553605498871</v>
      </c>
      <c r="AC316" s="47" t="e">
        <f>#N/A</f>
        <v>#N/A</v>
      </c>
      <c r="AD316" s="52"/>
      <c r="AE316" s="48"/>
      <c r="AF316" s="18"/>
      <c r="AG316" s="18"/>
      <c r="AH316" s="18"/>
      <c r="AI316" s="18"/>
      <c r="AJ316" s="18"/>
      <c r="AK316" s="18"/>
      <c r="AL316" s="18"/>
      <c r="AM316" s="18"/>
      <c r="AN316" s="18"/>
      <c r="AO316" s="5"/>
      <c r="AP316" s="5"/>
      <c r="AQ316" s="8" t="e">
        <f>#N/A</f>
        <v>#N/A</v>
      </c>
      <c r="AR316" s="8" t="e">
        <f>#N/A</f>
        <v>#N/A</v>
      </c>
      <c r="AS316" s="60" t="e">
        <f>#N/A</f>
        <v>#N/A</v>
      </c>
      <c r="AT316" s="60" t="e">
        <f>#N/A</f>
        <v>#N/A</v>
      </c>
      <c r="AU316" s="60" t="e">
        <f>#N/A</f>
        <v>#N/A</v>
      </c>
    </row>
    <row r="317" spans="1:47" x14ac:dyDescent="0.2">
      <c r="A317" s="43">
        <v>0.01</v>
      </c>
      <c r="B317" s="55" t="e">
        <f>#N/A</f>
        <v>#N/A</v>
      </c>
      <c r="C317" s="43">
        <v>0</v>
      </c>
      <c r="D317" s="7" t="e">
        <f>#N/A</f>
        <v>#N/A</v>
      </c>
      <c r="E317" s="7" t="e">
        <f>#N/A</f>
        <v>#N/A</v>
      </c>
      <c r="F317" s="47" t="e">
        <f>#N/A</f>
        <v>#N/A</v>
      </c>
      <c r="G317" s="47" t="e">
        <f>#N/A</f>
        <v>#N/A</v>
      </c>
      <c r="H317" s="47" t="e">
        <f>#N/A</f>
        <v>#N/A</v>
      </c>
      <c r="I317" s="4"/>
      <c r="J317" s="4"/>
      <c r="K317" s="4"/>
      <c r="L317" s="4"/>
      <c r="M317" s="4"/>
      <c r="N317" s="49">
        <v>5.0650000000000004</v>
      </c>
      <c r="O317" s="51">
        <v>5.2492977284550024</v>
      </c>
      <c r="P317" s="51">
        <v>0.10870227154499738</v>
      </c>
      <c r="Q317" s="5"/>
      <c r="R317" s="5"/>
      <c r="S317" s="5"/>
      <c r="T317" s="5"/>
      <c r="U317" s="5"/>
      <c r="V317" s="5"/>
      <c r="W317" s="5"/>
      <c r="X317" s="5"/>
      <c r="Y317" s="5"/>
      <c r="Z317" s="5"/>
      <c r="AA317" s="5"/>
      <c r="AB317" s="49">
        <v>2.22553605498871</v>
      </c>
      <c r="AC317" s="47" t="e">
        <f>#N/A</f>
        <v>#N/A</v>
      </c>
      <c r="AD317" s="52"/>
      <c r="AE317" s="18"/>
      <c r="AF317" s="18"/>
      <c r="AG317" s="18"/>
      <c r="AH317" s="18"/>
      <c r="AI317" s="18"/>
      <c r="AJ317" s="18"/>
      <c r="AK317" s="18"/>
      <c r="AL317" s="18"/>
      <c r="AM317" s="18"/>
      <c r="AN317" s="18"/>
      <c r="AO317" s="5"/>
      <c r="AP317" s="5"/>
      <c r="AQ317" s="8" t="e">
        <f>#N/A</f>
        <v>#N/A</v>
      </c>
      <c r="AR317" s="8" t="e">
        <f>#N/A</f>
        <v>#N/A</v>
      </c>
      <c r="AS317" s="60" t="e">
        <f>#N/A</f>
        <v>#N/A</v>
      </c>
      <c r="AT317" s="60" t="e">
        <f>#N/A</f>
        <v>#N/A</v>
      </c>
      <c r="AU317" s="60" t="e">
        <f>#N/A</f>
        <v>#N/A</v>
      </c>
    </row>
    <row r="318" spans="1:47" x14ac:dyDescent="0.2">
      <c r="A318" s="43">
        <v>0.01</v>
      </c>
      <c r="B318" s="55" t="e">
        <f>#N/A</f>
        <v>#N/A</v>
      </c>
      <c r="C318" s="43">
        <v>0</v>
      </c>
      <c r="D318" s="7" t="e">
        <f>#N/A</f>
        <v>#N/A</v>
      </c>
      <c r="E318" s="7" t="e">
        <f>#N/A</f>
        <v>#N/A</v>
      </c>
      <c r="F318" s="47" t="e">
        <f>#N/A</f>
        <v>#N/A</v>
      </c>
      <c r="G318" s="47" t="e">
        <f>#N/A</f>
        <v>#N/A</v>
      </c>
      <c r="H318" s="47" t="e">
        <f>#N/A</f>
        <v>#N/A</v>
      </c>
      <c r="I318" s="4"/>
      <c r="J318" s="4"/>
      <c r="K318" s="4"/>
      <c r="L318" s="4"/>
      <c r="M318" s="4"/>
      <c r="N318" s="49">
        <v>5.0650000000000004</v>
      </c>
      <c r="O318" s="51">
        <v>5.2492977284550024</v>
      </c>
      <c r="P318" s="51">
        <v>0.10870227154499738</v>
      </c>
      <c r="Q318" s="5"/>
      <c r="R318" s="5"/>
      <c r="S318" s="5"/>
      <c r="T318" s="5"/>
      <c r="U318" s="5"/>
      <c r="V318" s="5"/>
      <c r="W318" s="5"/>
      <c r="X318" s="5"/>
      <c r="Y318" s="5"/>
      <c r="Z318" s="5"/>
      <c r="AA318" s="5"/>
      <c r="AB318" s="49">
        <v>2.22553605498871</v>
      </c>
      <c r="AC318" s="47" t="e">
        <f>#N/A</f>
        <v>#N/A</v>
      </c>
      <c r="AD318" s="52"/>
      <c r="AE318" s="18"/>
      <c r="AF318" s="18"/>
      <c r="AG318" s="18"/>
      <c r="AH318" s="18"/>
      <c r="AI318" s="18"/>
      <c r="AJ318" s="18"/>
      <c r="AK318" s="18"/>
      <c r="AL318" s="18"/>
      <c r="AM318" s="18"/>
      <c r="AN318" s="18"/>
      <c r="AO318" s="5"/>
      <c r="AP318" s="5"/>
      <c r="AQ318" s="8" t="e">
        <f>#N/A</f>
        <v>#N/A</v>
      </c>
      <c r="AR318" s="8" t="e">
        <f>#N/A</f>
        <v>#N/A</v>
      </c>
      <c r="AS318" s="60" t="e">
        <f>#N/A</f>
        <v>#N/A</v>
      </c>
      <c r="AT318" s="60" t="e">
        <f>#N/A</f>
        <v>#N/A</v>
      </c>
      <c r="AU318" s="60" t="e">
        <f>#N/A</f>
        <v>#N/A</v>
      </c>
    </row>
    <row r="319" spans="1:47" x14ac:dyDescent="0.2">
      <c r="A319" s="43">
        <v>0.01</v>
      </c>
      <c r="B319" s="55" t="e">
        <f>#N/A</f>
        <v>#N/A</v>
      </c>
      <c r="C319" s="43">
        <v>0</v>
      </c>
      <c r="D319" s="7" t="e">
        <f>#N/A</f>
        <v>#N/A</v>
      </c>
      <c r="E319" s="7" t="e">
        <f>#N/A</f>
        <v>#N/A</v>
      </c>
      <c r="F319" s="47" t="e">
        <f>#N/A</f>
        <v>#N/A</v>
      </c>
      <c r="G319" s="47" t="e">
        <f>#N/A</f>
        <v>#N/A</v>
      </c>
      <c r="H319" s="47" t="e">
        <f>#N/A</f>
        <v>#N/A</v>
      </c>
      <c r="I319" s="4"/>
      <c r="J319" s="4"/>
      <c r="K319" s="4"/>
      <c r="L319" s="4"/>
      <c r="M319" s="4"/>
      <c r="N319" s="49">
        <v>5.0650000000000004</v>
      </c>
      <c r="O319" s="51">
        <v>5.2492977284550024</v>
      </c>
      <c r="P319" s="51">
        <v>0.10870227154499738</v>
      </c>
      <c r="Q319" s="5"/>
      <c r="R319" s="5"/>
      <c r="S319" s="5"/>
      <c r="T319" s="5"/>
      <c r="U319" s="5"/>
      <c r="V319" s="5"/>
      <c r="W319" s="5"/>
      <c r="X319" s="5"/>
      <c r="Y319" s="5"/>
      <c r="Z319" s="5"/>
      <c r="AA319" s="5"/>
      <c r="AB319" s="49">
        <v>2.22553605498871</v>
      </c>
      <c r="AC319" s="47" t="e">
        <f>#N/A</f>
        <v>#N/A</v>
      </c>
      <c r="AD319" s="52"/>
      <c r="AE319" s="18"/>
      <c r="AF319" s="18"/>
      <c r="AG319" s="18"/>
      <c r="AH319" s="18"/>
      <c r="AI319" s="18"/>
      <c r="AJ319" s="18"/>
      <c r="AK319" s="18"/>
      <c r="AL319" s="18"/>
      <c r="AM319" s="18"/>
      <c r="AN319" s="18"/>
      <c r="AO319" s="5"/>
      <c r="AP319" s="5"/>
      <c r="AQ319" s="8" t="e">
        <f>#N/A</f>
        <v>#N/A</v>
      </c>
      <c r="AR319" s="8" t="e">
        <f>#N/A</f>
        <v>#N/A</v>
      </c>
      <c r="AS319" s="60" t="e">
        <f>#N/A</f>
        <v>#N/A</v>
      </c>
      <c r="AT319" s="60" t="e">
        <f>#N/A</f>
        <v>#N/A</v>
      </c>
      <c r="AU319" s="60" t="e">
        <f>#N/A</f>
        <v>#N/A</v>
      </c>
    </row>
    <row r="320" spans="1:47" x14ac:dyDescent="0.2">
      <c r="A320" s="43">
        <v>0.01</v>
      </c>
      <c r="B320" s="55" t="e">
        <f>#N/A</f>
        <v>#N/A</v>
      </c>
      <c r="C320" s="43">
        <v>0</v>
      </c>
      <c r="D320" s="7" t="e">
        <f>#N/A</f>
        <v>#N/A</v>
      </c>
      <c r="E320" s="7" t="e">
        <f>#N/A</f>
        <v>#N/A</v>
      </c>
      <c r="F320" s="47" t="e">
        <f>#N/A</f>
        <v>#N/A</v>
      </c>
      <c r="G320" s="47" t="e">
        <f>#N/A</f>
        <v>#N/A</v>
      </c>
      <c r="H320" s="47" t="e">
        <f>#N/A</f>
        <v>#N/A</v>
      </c>
      <c r="I320" s="4"/>
      <c r="J320" s="4"/>
      <c r="K320" s="4"/>
      <c r="L320" s="4"/>
      <c r="M320" s="4"/>
      <c r="N320" s="49">
        <v>5.0650000000000004</v>
      </c>
      <c r="O320" s="51">
        <v>5.2492977284550024</v>
      </c>
      <c r="P320" s="51">
        <v>0.10870227154499738</v>
      </c>
      <c r="Q320" s="5"/>
      <c r="R320" s="5"/>
      <c r="S320" s="5"/>
      <c r="T320" s="5"/>
      <c r="U320" s="5"/>
      <c r="V320" s="5"/>
      <c r="W320" s="5"/>
      <c r="X320" s="5"/>
      <c r="Y320" s="5"/>
      <c r="Z320" s="5"/>
      <c r="AA320" s="5"/>
      <c r="AB320" s="49">
        <v>2.22553605498871</v>
      </c>
      <c r="AC320" s="47" t="e">
        <f>#N/A</f>
        <v>#N/A</v>
      </c>
      <c r="AD320" s="52"/>
      <c r="AE320" s="18"/>
      <c r="AF320" s="18"/>
      <c r="AG320" s="18"/>
      <c r="AH320" s="18"/>
      <c r="AI320" s="18"/>
      <c r="AJ320" s="18"/>
      <c r="AK320" s="18"/>
      <c r="AL320" s="18"/>
      <c r="AM320" s="18"/>
      <c r="AN320" s="18"/>
      <c r="AO320" s="5"/>
      <c r="AP320" s="5"/>
      <c r="AQ320" s="8" t="e">
        <f>#N/A</f>
        <v>#N/A</v>
      </c>
      <c r="AR320" s="8" t="e">
        <f>#N/A</f>
        <v>#N/A</v>
      </c>
      <c r="AS320" s="60" t="e">
        <f>#N/A</f>
        <v>#N/A</v>
      </c>
      <c r="AT320" s="60" t="e">
        <f>#N/A</f>
        <v>#N/A</v>
      </c>
      <c r="AU320" s="60" t="e">
        <f>#N/A</f>
        <v>#N/A</v>
      </c>
    </row>
    <row r="321" spans="1:47" x14ac:dyDescent="0.2">
      <c r="A321" s="43">
        <v>0.01</v>
      </c>
      <c r="B321" s="55" t="e">
        <f>#N/A</f>
        <v>#N/A</v>
      </c>
      <c r="C321" s="43">
        <v>0</v>
      </c>
      <c r="D321" s="7" t="e">
        <f>#N/A</f>
        <v>#N/A</v>
      </c>
      <c r="E321" s="7" t="e">
        <f>#N/A</f>
        <v>#N/A</v>
      </c>
      <c r="F321" s="47" t="e">
        <f>#N/A</f>
        <v>#N/A</v>
      </c>
      <c r="G321" s="47" t="e">
        <f>#N/A</f>
        <v>#N/A</v>
      </c>
      <c r="H321" s="47" t="e">
        <f>#N/A</f>
        <v>#N/A</v>
      </c>
      <c r="I321" s="4"/>
      <c r="J321" s="4"/>
      <c r="K321" s="4"/>
      <c r="L321" s="4"/>
      <c r="M321" s="4"/>
      <c r="N321" s="49">
        <v>5.0650000000000004</v>
      </c>
      <c r="O321" s="51">
        <v>5.2492977284550024</v>
      </c>
      <c r="P321" s="51">
        <v>0.10870227154499738</v>
      </c>
      <c r="Q321" s="5"/>
      <c r="R321" s="5"/>
      <c r="S321" s="5"/>
      <c r="T321" s="5"/>
      <c r="U321" s="5"/>
      <c r="V321" s="5"/>
      <c r="W321" s="5"/>
      <c r="X321" s="5"/>
      <c r="Y321" s="5"/>
      <c r="Z321" s="5"/>
      <c r="AA321" s="5"/>
      <c r="AB321" s="49">
        <v>2.22553605498871</v>
      </c>
      <c r="AC321" s="47" t="e">
        <f>#N/A</f>
        <v>#N/A</v>
      </c>
      <c r="AD321" s="52"/>
      <c r="AE321" s="18"/>
      <c r="AF321" s="18"/>
      <c r="AG321" s="18"/>
      <c r="AH321" s="18"/>
      <c r="AI321" s="18"/>
      <c r="AJ321" s="18"/>
      <c r="AK321" s="18"/>
      <c r="AL321" s="18"/>
      <c r="AM321" s="18"/>
      <c r="AN321" s="18"/>
      <c r="AO321" s="5"/>
      <c r="AP321" s="5"/>
      <c r="AQ321" s="8" t="e">
        <f>#N/A</f>
        <v>#N/A</v>
      </c>
      <c r="AR321" s="8" t="e">
        <f>#N/A</f>
        <v>#N/A</v>
      </c>
      <c r="AS321" s="60" t="e">
        <f>#N/A</f>
        <v>#N/A</v>
      </c>
      <c r="AT321" s="60" t="e">
        <f>#N/A</f>
        <v>#N/A</v>
      </c>
      <c r="AU321" s="60" t="e">
        <f>#N/A</f>
        <v>#N/A</v>
      </c>
    </row>
    <row r="322" spans="1:47" x14ac:dyDescent="0.2">
      <c r="A322" s="43">
        <v>0.01</v>
      </c>
      <c r="B322" s="55" t="e">
        <f>#N/A</f>
        <v>#N/A</v>
      </c>
      <c r="C322" s="43">
        <v>0</v>
      </c>
      <c r="D322" s="7" t="e">
        <f>#N/A</f>
        <v>#N/A</v>
      </c>
      <c r="E322" s="7" t="e">
        <f>#N/A</f>
        <v>#N/A</v>
      </c>
      <c r="F322" s="47" t="e">
        <f>#N/A</f>
        <v>#N/A</v>
      </c>
      <c r="G322" s="47" t="e">
        <f>#N/A</f>
        <v>#N/A</v>
      </c>
      <c r="H322" s="47" t="e">
        <f>#N/A</f>
        <v>#N/A</v>
      </c>
      <c r="I322" s="4"/>
      <c r="J322" s="4"/>
      <c r="K322" s="4"/>
      <c r="L322" s="4"/>
      <c r="M322" s="4"/>
      <c r="N322" s="49">
        <v>5.0650000000000004</v>
      </c>
      <c r="O322" s="51">
        <v>5.2492977284550024</v>
      </c>
      <c r="P322" s="51">
        <v>0.10870227154499738</v>
      </c>
      <c r="Q322" s="5"/>
      <c r="R322" s="5"/>
      <c r="S322" s="5"/>
      <c r="T322" s="5"/>
      <c r="U322" s="5"/>
      <c r="V322" s="5"/>
      <c r="W322" s="5"/>
      <c r="X322" s="5"/>
      <c r="Y322" s="5"/>
      <c r="Z322" s="5"/>
      <c r="AA322" s="5"/>
      <c r="AB322" s="49">
        <v>2.22553605498871</v>
      </c>
      <c r="AC322" s="47" t="e">
        <f>#N/A</f>
        <v>#N/A</v>
      </c>
      <c r="AD322" s="52"/>
      <c r="AE322" s="18"/>
      <c r="AF322" s="18"/>
      <c r="AG322" s="18"/>
      <c r="AH322" s="18"/>
      <c r="AI322" s="18"/>
      <c r="AJ322" s="18"/>
      <c r="AK322" s="18"/>
      <c r="AL322" s="18"/>
      <c r="AM322" s="18"/>
      <c r="AN322" s="18"/>
      <c r="AO322" s="5"/>
      <c r="AP322" s="5"/>
      <c r="AQ322" s="8" t="e">
        <f>#N/A</f>
        <v>#N/A</v>
      </c>
      <c r="AR322" s="8" t="e">
        <f>#N/A</f>
        <v>#N/A</v>
      </c>
      <c r="AS322" s="60" t="e">
        <f>#N/A</f>
        <v>#N/A</v>
      </c>
      <c r="AT322" s="60" t="e">
        <f>#N/A</f>
        <v>#N/A</v>
      </c>
      <c r="AU322" s="60" t="e">
        <f>#N/A</f>
        <v>#N/A</v>
      </c>
    </row>
    <row r="323" spans="1:47" x14ac:dyDescent="0.2">
      <c r="A323" s="43">
        <v>0.01</v>
      </c>
      <c r="B323" s="55" t="e">
        <f>#N/A</f>
        <v>#N/A</v>
      </c>
      <c r="C323" s="43">
        <v>0</v>
      </c>
      <c r="D323" s="7" t="e">
        <f>#N/A</f>
        <v>#N/A</v>
      </c>
      <c r="E323" s="7" t="e">
        <f>#N/A</f>
        <v>#N/A</v>
      </c>
      <c r="F323" s="47" t="e">
        <f>#N/A</f>
        <v>#N/A</v>
      </c>
      <c r="G323" s="47" t="e">
        <f>#N/A</f>
        <v>#N/A</v>
      </c>
      <c r="H323" s="47" t="e">
        <f>#N/A</f>
        <v>#N/A</v>
      </c>
      <c r="I323" s="4"/>
      <c r="J323" s="4"/>
      <c r="K323" s="4"/>
      <c r="L323" s="4"/>
      <c r="M323" s="4"/>
      <c r="N323" s="49">
        <v>5.0650000000000004</v>
      </c>
      <c r="O323" s="51">
        <v>5.2492977284550024</v>
      </c>
      <c r="P323" s="51">
        <v>0.10870227154499738</v>
      </c>
      <c r="Q323" s="5"/>
      <c r="R323" s="5"/>
      <c r="S323" s="5"/>
      <c r="T323" s="5"/>
      <c r="U323" s="5"/>
      <c r="V323" s="5"/>
      <c r="W323" s="5"/>
      <c r="X323" s="5"/>
      <c r="Y323" s="5"/>
      <c r="Z323" s="5"/>
      <c r="AA323" s="5"/>
      <c r="AB323" s="49">
        <v>2.22553605498871</v>
      </c>
      <c r="AC323" s="47" t="e">
        <f>#N/A</f>
        <v>#N/A</v>
      </c>
      <c r="AD323" s="52"/>
      <c r="AE323" s="18"/>
      <c r="AF323" s="18"/>
      <c r="AG323" s="18"/>
      <c r="AH323" s="18"/>
      <c r="AI323" s="18"/>
      <c r="AJ323" s="18"/>
      <c r="AK323" s="18"/>
      <c r="AL323" s="18"/>
      <c r="AM323" s="18"/>
      <c r="AN323" s="18"/>
      <c r="AO323" s="5"/>
      <c r="AP323" s="5"/>
      <c r="AQ323" s="8" t="e">
        <f>#N/A</f>
        <v>#N/A</v>
      </c>
      <c r="AR323" s="8" t="e">
        <f>#N/A</f>
        <v>#N/A</v>
      </c>
      <c r="AS323" s="60" t="e">
        <f>#N/A</f>
        <v>#N/A</v>
      </c>
      <c r="AT323" s="60" t="e">
        <f>#N/A</f>
        <v>#N/A</v>
      </c>
      <c r="AU323" s="60" t="e">
        <f>#N/A</f>
        <v>#N/A</v>
      </c>
    </row>
    <row r="324" spans="1:47" x14ac:dyDescent="0.2">
      <c r="A324" s="43">
        <v>0.01</v>
      </c>
      <c r="B324" s="55" t="e">
        <f>#N/A</f>
        <v>#N/A</v>
      </c>
      <c r="C324" s="43">
        <v>0</v>
      </c>
      <c r="D324" s="7" t="e">
        <f>#N/A</f>
        <v>#N/A</v>
      </c>
      <c r="E324" s="7" t="e">
        <f>#N/A</f>
        <v>#N/A</v>
      </c>
      <c r="F324" s="47" t="e">
        <f>#N/A</f>
        <v>#N/A</v>
      </c>
      <c r="G324" s="47" t="e">
        <f>#N/A</f>
        <v>#N/A</v>
      </c>
      <c r="H324" s="47" t="e">
        <f>#N/A</f>
        <v>#N/A</v>
      </c>
      <c r="I324" s="4"/>
      <c r="J324" s="4"/>
      <c r="K324" s="4"/>
      <c r="L324" s="4"/>
      <c r="M324" s="4"/>
      <c r="N324" s="49">
        <v>5.0650000000000004</v>
      </c>
      <c r="O324" s="51">
        <v>5.2492977284550024</v>
      </c>
      <c r="P324" s="51">
        <v>0.10870227154499738</v>
      </c>
      <c r="Q324" s="5"/>
      <c r="R324" s="5"/>
      <c r="S324" s="5"/>
      <c r="T324" s="5"/>
      <c r="U324" s="5"/>
      <c r="V324" s="5"/>
      <c r="W324" s="5"/>
      <c r="X324" s="5"/>
      <c r="Y324" s="5"/>
      <c r="Z324" s="5"/>
      <c r="AA324" s="5"/>
      <c r="AB324" s="49">
        <v>2.22553605498871</v>
      </c>
      <c r="AC324" s="47" t="e">
        <f>#N/A</f>
        <v>#N/A</v>
      </c>
      <c r="AD324" s="52"/>
      <c r="AE324" s="18"/>
      <c r="AF324" s="18"/>
      <c r="AG324" s="18"/>
      <c r="AH324" s="18"/>
      <c r="AI324" s="18"/>
      <c r="AJ324" s="18"/>
      <c r="AK324" s="18"/>
      <c r="AL324" s="18"/>
      <c r="AM324" s="18"/>
      <c r="AN324" s="18"/>
      <c r="AO324" s="5"/>
      <c r="AP324" s="5"/>
      <c r="AQ324" s="8" t="e">
        <f>#N/A</f>
        <v>#N/A</v>
      </c>
      <c r="AR324" s="8" t="e">
        <f>#N/A</f>
        <v>#N/A</v>
      </c>
      <c r="AS324" s="60" t="e">
        <f>#N/A</f>
        <v>#N/A</v>
      </c>
      <c r="AT324" s="60" t="e">
        <f>#N/A</f>
        <v>#N/A</v>
      </c>
      <c r="AU324" s="60" t="e">
        <f>#N/A</f>
        <v>#N/A</v>
      </c>
    </row>
    <row r="325" spans="1:47" x14ac:dyDescent="0.2">
      <c r="A325" s="43">
        <v>0.01</v>
      </c>
      <c r="B325" s="55" t="e">
        <f>#N/A</f>
        <v>#N/A</v>
      </c>
      <c r="C325" s="43">
        <v>0</v>
      </c>
      <c r="D325" s="7" t="e">
        <f>#N/A</f>
        <v>#N/A</v>
      </c>
      <c r="E325" s="7" t="e">
        <f>#N/A</f>
        <v>#N/A</v>
      </c>
      <c r="F325" s="47" t="e">
        <f>+G325*(1+A325)</f>
        <v>#N/A</v>
      </c>
      <c r="G325" s="47" t="e">
        <f>#N/A</f>
        <v>#N/A</v>
      </c>
      <c r="H325" s="47" t="e">
        <f>+G325*(1+C325)</f>
        <v>#N/A</v>
      </c>
      <c r="I325" s="4"/>
      <c r="J325" s="4"/>
      <c r="K325" s="4"/>
      <c r="L325" s="4"/>
      <c r="M325" s="4"/>
      <c r="N325" s="49">
        <v>5.0650000000000004</v>
      </c>
      <c r="O325" s="51">
        <v>5.2492977284550024</v>
      </c>
      <c r="P325" s="51">
        <v>0.10870227154499738</v>
      </c>
      <c r="Q325" s="5"/>
      <c r="R325" s="5"/>
      <c r="S325" s="5"/>
      <c r="T325" s="5"/>
      <c r="U325" s="5"/>
      <c r="V325" s="5"/>
      <c r="W325" s="5"/>
      <c r="X325" s="5"/>
      <c r="Y325" s="5"/>
      <c r="Z325" s="5"/>
      <c r="AA325" s="5"/>
      <c r="AB325" s="49">
        <v>2.22553605498871</v>
      </c>
      <c r="AC325" s="47" t="e">
        <f>#N/A</f>
        <v>#N/A</v>
      </c>
      <c r="AD325" s="52"/>
      <c r="AE325" s="18"/>
      <c r="AF325" s="18"/>
      <c r="AG325" s="18"/>
      <c r="AH325" s="18"/>
      <c r="AI325" s="18"/>
      <c r="AJ325" s="18"/>
      <c r="AK325" s="18"/>
      <c r="AL325" s="18"/>
      <c r="AM325" s="18"/>
      <c r="AN325" s="18"/>
      <c r="AO325" s="5"/>
      <c r="AP325" s="5"/>
      <c r="AQ325" s="8" t="e">
        <f>#N/A</f>
        <v>#N/A</v>
      </c>
      <c r="AR325" s="8" t="e">
        <f>+AQ325+AC325</f>
        <v>#N/A</v>
      </c>
      <c r="AS325" s="60" t="e">
        <f>#N/A</f>
        <v>#N/A</v>
      </c>
      <c r="AT325" s="60" t="e">
        <f>#N/A</f>
        <v>#N/A</v>
      </c>
      <c r="AU325" s="60" t="e">
        <f>#N/A</f>
        <v>#N/A</v>
      </c>
    </row>
    <row r="326" spans="1:47" x14ac:dyDescent="0.2">
      <c r="A326" s="43">
        <v>0.01</v>
      </c>
      <c r="B326" s="55" t="e">
        <f>#N/A</f>
        <v>#N/A</v>
      </c>
      <c r="C326" s="43">
        <v>0</v>
      </c>
      <c r="D326" s="7" t="e">
        <f>#N/A</f>
        <v>#N/A</v>
      </c>
      <c r="E326" s="7" t="e">
        <f>#N/A</f>
        <v>#N/A</v>
      </c>
      <c r="F326" s="47" t="e">
        <f>+G326*(1+A326)</f>
        <v>#N/A</v>
      </c>
      <c r="G326" s="47" t="e">
        <f>#N/A</f>
        <v>#N/A</v>
      </c>
      <c r="H326" s="47" t="e">
        <f>+G326*(1+C326)</f>
        <v>#N/A</v>
      </c>
      <c r="I326" s="4"/>
      <c r="J326" s="4"/>
      <c r="K326" s="4"/>
      <c r="L326" s="4"/>
      <c r="M326" s="4"/>
      <c r="N326" s="49">
        <v>5.0650000000000004</v>
      </c>
      <c r="O326" s="51">
        <v>5.2492977284550024</v>
      </c>
      <c r="P326" s="51">
        <v>0.10870227154499738</v>
      </c>
      <c r="Q326" s="5"/>
      <c r="R326" s="5"/>
      <c r="S326" s="5"/>
      <c r="T326" s="5"/>
      <c r="U326" s="5"/>
      <c r="V326" s="5"/>
      <c r="W326" s="5"/>
      <c r="X326" s="5"/>
      <c r="Y326" s="5"/>
      <c r="Z326" s="5"/>
      <c r="AA326" s="5"/>
      <c r="AB326" s="49">
        <v>2.22553605498871</v>
      </c>
      <c r="AC326" s="47" t="e">
        <f>#N/A</f>
        <v>#N/A</v>
      </c>
      <c r="AD326" s="52"/>
      <c r="AE326" s="18"/>
      <c r="AF326" s="18"/>
      <c r="AG326" s="18"/>
      <c r="AH326" s="18"/>
      <c r="AI326" s="18"/>
      <c r="AJ326" s="18"/>
      <c r="AK326" s="18"/>
      <c r="AL326" s="18"/>
      <c r="AM326" s="18"/>
      <c r="AN326" s="18"/>
      <c r="AO326" s="5"/>
      <c r="AP326" s="5"/>
      <c r="AQ326" s="8" t="e">
        <f>#N/A</f>
        <v>#N/A</v>
      </c>
      <c r="AR326" s="8" t="e">
        <f>+AQ326+AC326</f>
        <v>#N/A</v>
      </c>
      <c r="AS326" s="60" t="e">
        <f>+F326-$AR326</f>
        <v>#N/A</v>
      </c>
      <c r="AT326" s="60" t="e">
        <f>#N/A</f>
        <v>#N/A</v>
      </c>
      <c r="AU326" s="60" t="e">
        <f>#N/A</f>
        <v>#N/A</v>
      </c>
    </row>
    <row r="327" spans="1:47" x14ac:dyDescent="0.2">
      <c r="A327" s="43">
        <v>0.01</v>
      </c>
      <c r="B327" s="55" t="e">
        <f>#N/A</f>
        <v>#N/A</v>
      </c>
      <c r="C327" s="43">
        <v>0</v>
      </c>
      <c r="D327" s="7" t="e">
        <f>#N/A</f>
        <v>#N/A</v>
      </c>
      <c r="E327" s="7" t="e">
        <f>#N/A</f>
        <v>#N/A</v>
      </c>
      <c r="F327" s="47" t="e">
        <f>+G327*(1+A327)</f>
        <v>#N/A</v>
      </c>
      <c r="G327" s="47" t="e">
        <f>#N/A</f>
        <v>#N/A</v>
      </c>
      <c r="H327" s="47" t="e">
        <f>+G327*(1+C327)</f>
        <v>#N/A</v>
      </c>
      <c r="I327" s="4"/>
      <c r="J327" s="4"/>
      <c r="K327" s="4"/>
      <c r="L327" s="4"/>
      <c r="M327" s="4"/>
      <c r="N327" s="49">
        <v>5.0650000000000004</v>
      </c>
      <c r="O327" s="51">
        <v>5.2492977284550024</v>
      </c>
      <c r="P327" s="51">
        <v>0.10870227154499738</v>
      </c>
      <c r="Q327" s="5"/>
      <c r="R327" s="5"/>
      <c r="S327" s="5"/>
      <c r="T327" s="5"/>
      <c r="U327" s="5"/>
      <c r="V327" s="5"/>
      <c r="W327" s="5"/>
      <c r="X327" s="5"/>
      <c r="Y327" s="5"/>
      <c r="Z327" s="5"/>
      <c r="AA327" s="5"/>
      <c r="AB327" s="49">
        <v>2.22553605498871</v>
      </c>
      <c r="AC327" s="47" t="e">
        <f>#N/A</f>
        <v>#N/A</v>
      </c>
      <c r="AD327" s="52"/>
      <c r="AE327" s="18"/>
      <c r="AF327" s="18"/>
      <c r="AG327" s="18"/>
      <c r="AH327" s="18"/>
      <c r="AI327" s="18"/>
      <c r="AJ327" s="18"/>
      <c r="AK327" s="18"/>
      <c r="AL327" s="18"/>
      <c r="AM327" s="18"/>
      <c r="AN327" s="18"/>
      <c r="AO327" s="5"/>
      <c r="AP327" s="5"/>
      <c r="AQ327" s="8" t="e">
        <f>#N/A</f>
        <v>#N/A</v>
      </c>
      <c r="AR327" s="8" t="e">
        <f>+AQ327+AC327</f>
        <v>#N/A</v>
      </c>
      <c r="AS327" s="60" t="e">
        <f>+F327-$AR327</f>
        <v>#N/A</v>
      </c>
      <c r="AT327" s="60" t="e">
        <f>#N/A</f>
        <v>#N/A</v>
      </c>
      <c r="AU327" s="60" t="e">
        <f>#N/A</f>
        <v>#N/A</v>
      </c>
    </row>
    <row r="328" spans="1:47" x14ac:dyDescent="0.2">
      <c r="A328" s="43">
        <v>0.01</v>
      </c>
      <c r="B328" s="55" t="e">
        <f>#N/A</f>
        <v>#N/A</v>
      </c>
      <c r="C328" s="43">
        <v>0</v>
      </c>
      <c r="D328" s="7" t="e">
        <f>#N/A</f>
        <v>#N/A</v>
      </c>
      <c r="E328" s="7" t="e">
        <f>#N/A</f>
        <v>#N/A</v>
      </c>
      <c r="F328" s="47" t="e">
        <f>+G328*(1+A328)</f>
        <v>#N/A</v>
      </c>
      <c r="G328" s="47" t="e">
        <f>#N/A</f>
        <v>#N/A</v>
      </c>
      <c r="H328" s="47" t="e">
        <f>+G328*(1+C328)</f>
        <v>#N/A</v>
      </c>
      <c r="I328" s="4"/>
      <c r="J328" s="4"/>
      <c r="K328" s="4"/>
      <c r="L328" s="4"/>
      <c r="M328" s="4"/>
      <c r="N328" s="49">
        <v>5.0650000000000004</v>
      </c>
      <c r="O328" s="51">
        <v>5.2492977284550024</v>
      </c>
      <c r="P328" s="51">
        <v>0.10870227154499738</v>
      </c>
      <c r="Q328" s="5"/>
      <c r="R328" s="5"/>
      <c r="S328" s="5"/>
      <c r="T328" s="5"/>
      <c r="U328" s="5"/>
      <c r="V328" s="5"/>
      <c r="W328" s="5"/>
      <c r="X328" s="5"/>
      <c r="Y328" s="5"/>
      <c r="Z328" s="5"/>
      <c r="AA328" s="5"/>
      <c r="AB328" s="18"/>
      <c r="AC328" s="47" t="e">
        <f>#N/A</f>
        <v>#N/A</v>
      </c>
      <c r="AD328" s="52"/>
      <c r="AE328" s="18"/>
      <c r="AF328" s="18"/>
      <c r="AG328" s="18"/>
      <c r="AH328" s="18"/>
      <c r="AI328" s="18"/>
      <c r="AJ328" s="18"/>
      <c r="AK328" s="18"/>
      <c r="AL328" s="18"/>
      <c r="AM328" s="18"/>
      <c r="AN328" s="18"/>
      <c r="AO328" s="5"/>
      <c r="AP328" s="5"/>
      <c r="AQ328" s="8" t="e">
        <f>#N/A</f>
        <v>#N/A</v>
      </c>
      <c r="AR328" s="8" t="e">
        <f>+AQ328+AC328</f>
        <v>#N/A</v>
      </c>
      <c r="AS328" s="60" t="e">
        <f>+F328-$AR328</f>
        <v>#N/A</v>
      </c>
      <c r="AT328" s="60" t="e">
        <f>#N/A</f>
        <v>#N/A</v>
      </c>
      <c r="AU328" s="60" t="e">
        <f>#N/A</f>
        <v>#N/A</v>
      </c>
    </row>
    <row r="329" spans="1:47" x14ac:dyDescent="0.2">
      <c r="A329" s="23"/>
      <c r="B329" s="23"/>
      <c r="C329" s="23"/>
      <c r="D329" s="7"/>
      <c r="E329" s="7"/>
      <c r="F329" s="7"/>
      <c r="G329" s="8"/>
      <c r="H329" s="8"/>
      <c r="I329" s="4"/>
      <c r="J329" s="4"/>
      <c r="K329" s="4"/>
      <c r="L329" s="4"/>
      <c r="M329" s="4"/>
      <c r="N329" s="18"/>
      <c r="O329" s="8"/>
      <c r="P329" s="8"/>
      <c r="Q329" s="5"/>
      <c r="R329" s="5"/>
      <c r="S329" s="5"/>
      <c r="T329" s="5"/>
      <c r="U329" s="5"/>
      <c r="V329" s="5"/>
      <c r="W329" s="5"/>
      <c r="X329" s="5"/>
      <c r="Y329" s="5"/>
      <c r="Z329" s="5"/>
      <c r="AA329" s="5"/>
      <c r="AB329" s="5"/>
      <c r="AC329" s="8"/>
      <c r="AD329" s="5"/>
      <c r="AE329" s="10"/>
      <c r="AF329" s="18"/>
      <c r="AG329" s="18"/>
      <c r="AH329" s="18"/>
      <c r="AI329" s="18"/>
      <c r="AJ329" s="18"/>
      <c r="AK329" s="18"/>
      <c r="AL329" s="18"/>
      <c r="AM329" s="18"/>
      <c r="AN329" s="18"/>
      <c r="AO329" s="5"/>
      <c r="AP329" s="5"/>
      <c r="AQ329" s="8"/>
      <c r="AR329" s="8"/>
    </row>
    <row r="330" spans="1:47" x14ac:dyDescent="0.2">
      <c r="A330" s="23"/>
      <c r="B330" s="23"/>
      <c r="C330" s="23"/>
      <c r="D330" s="7"/>
      <c r="E330" s="7"/>
      <c r="F330" s="7"/>
      <c r="G330" s="8"/>
      <c r="H330" s="8"/>
      <c r="I330" s="4"/>
      <c r="J330" s="4"/>
      <c r="K330" s="4"/>
      <c r="L330" s="4"/>
      <c r="M330" s="4"/>
      <c r="N330" s="18"/>
      <c r="O330" s="8"/>
      <c r="P330" s="8"/>
      <c r="Q330" s="5"/>
      <c r="R330" s="5"/>
      <c r="S330" s="5"/>
      <c r="T330" s="5"/>
      <c r="U330" s="5"/>
      <c r="V330" s="5"/>
      <c r="W330" s="5"/>
      <c r="X330" s="5"/>
      <c r="Y330" s="5"/>
      <c r="Z330" s="5"/>
      <c r="AA330" s="5"/>
      <c r="AB330" s="5"/>
      <c r="AC330" s="8"/>
      <c r="AD330" s="5"/>
      <c r="AE330" s="10"/>
      <c r="AF330" s="18"/>
      <c r="AG330" s="18"/>
      <c r="AH330" s="18"/>
      <c r="AI330" s="18"/>
      <c r="AJ330" s="18"/>
      <c r="AK330" s="18"/>
      <c r="AL330" s="18"/>
      <c r="AM330" s="18"/>
      <c r="AN330" s="18"/>
      <c r="AO330" s="5"/>
      <c r="AP330" s="5"/>
      <c r="AQ330" s="8"/>
      <c r="AR330" s="8"/>
    </row>
    <row r="331" spans="1:47" x14ac:dyDescent="0.2">
      <c r="A331" s="23"/>
      <c r="B331" s="23"/>
      <c r="C331" s="23"/>
      <c r="D331" s="7"/>
      <c r="E331" s="7"/>
      <c r="F331" s="7"/>
      <c r="G331" s="8"/>
      <c r="H331" s="8"/>
      <c r="I331" s="4"/>
      <c r="J331" s="4"/>
      <c r="K331" s="4"/>
      <c r="L331" s="4"/>
      <c r="M331" s="4"/>
      <c r="N331" s="18"/>
      <c r="O331" s="8"/>
      <c r="P331" s="8"/>
      <c r="Q331" s="5"/>
      <c r="R331" s="5"/>
      <c r="S331" s="5"/>
      <c r="T331" s="5"/>
      <c r="U331" s="5"/>
      <c r="V331" s="5"/>
      <c r="W331" s="5"/>
      <c r="X331" s="5"/>
      <c r="Y331" s="5"/>
      <c r="Z331" s="5"/>
      <c r="AA331" s="5"/>
      <c r="AB331" s="5"/>
      <c r="AC331" s="8"/>
      <c r="AD331" s="5"/>
      <c r="AE331" s="10"/>
      <c r="AF331" s="18"/>
      <c r="AG331" s="18"/>
      <c r="AH331" s="18"/>
      <c r="AI331" s="18"/>
      <c r="AJ331" s="18"/>
      <c r="AK331" s="18"/>
      <c r="AL331" s="18"/>
      <c r="AM331" s="18"/>
      <c r="AN331" s="18"/>
      <c r="AO331" s="5"/>
      <c r="AP331" s="5"/>
      <c r="AQ331" s="8"/>
      <c r="AR331" s="8"/>
    </row>
    <row r="332" spans="1:47" x14ac:dyDescent="0.2">
      <c r="A332" s="23"/>
      <c r="B332" s="23"/>
      <c r="C332" s="23"/>
      <c r="D332" s="7"/>
      <c r="E332" s="7"/>
      <c r="F332" s="7"/>
      <c r="G332" s="8"/>
      <c r="H332" s="8"/>
      <c r="I332" s="4"/>
      <c r="J332" s="4"/>
      <c r="K332" s="4"/>
      <c r="L332" s="4"/>
      <c r="M332" s="4"/>
      <c r="N332" s="18"/>
      <c r="O332" s="8"/>
      <c r="P332" s="8"/>
      <c r="Q332" s="5"/>
      <c r="R332" s="5"/>
      <c r="S332" s="5"/>
      <c r="T332" s="5"/>
      <c r="U332" s="5"/>
      <c r="V332" s="5"/>
      <c r="W332" s="5"/>
      <c r="X332" s="5"/>
      <c r="Y332" s="5"/>
      <c r="Z332" s="5"/>
      <c r="AA332" s="5"/>
      <c r="AB332" s="5"/>
      <c r="AC332" s="8"/>
      <c r="AD332" s="5"/>
      <c r="AE332" s="10"/>
      <c r="AF332" s="18"/>
      <c r="AG332" s="18"/>
      <c r="AH332" s="18"/>
      <c r="AI332" s="18"/>
      <c r="AJ332" s="18"/>
      <c r="AK332" s="18"/>
      <c r="AL332" s="18"/>
      <c r="AM332" s="18"/>
      <c r="AN332" s="18"/>
      <c r="AO332" s="5"/>
      <c r="AP332" s="5"/>
      <c r="AQ332" s="8"/>
      <c r="AR332" s="8"/>
    </row>
    <row r="333" spans="1:47" x14ac:dyDescent="0.2">
      <c r="A333" s="23"/>
      <c r="B333" s="23"/>
      <c r="C333" s="23"/>
      <c r="D333" s="7"/>
      <c r="E333" s="7"/>
      <c r="F333" s="7"/>
      <c r="G333" s="8"/>
      <c r="H333" s="8"/>
      <c r="I333" s="4"/>
      <c r="J333" s="4"/>
      <c r="K333" s="4"/>
      <c r="L333" s="4"/>
      <c r="M333" s="4"/>
      <c r="N333" s="18"/>
      <c r="O333" s="8"/>
      <c r="P333" s="8"/>
      <c r="Q333" s="5"/>
      <c r="R333" s="5"/>
      <c r="S333" s="5"/>
      <c r="T333" s="5"/>
      <c r="U333" s="5"/>
      <c r="V333" s="5"/>
      <c r="W333" s="5"/>
      <c r="X333" s="5"/>
      <c r="Y333" s="5"/>
      <c r="Z333" s="5"/>
      <c r="AA333" s="5"/>
      <c r="AB333" s="5"/>
      <c r="AC333" s="8"/>
      <c r="AD333" s="5"/>
      <c r="AE333" s="10"/>
      <c r="AF333" s="18"/>
      <c r="AG333" s="18"/>
      <c r="AH333" s="18"/>
      <c r="AI333" s="18"/>
      <c r="AJ333" s="18"/>
      <c r="AK333" s="18"/>
      <c r="AL333" s="18"/>
      <c r="AM333" s="18"/>
      <c r="AN333" s="18"/>
      <c r="AO333" s="5"/>
      <c r="AP333" s="5"/>
      <c r="AQ333" s="8"/>
      <c r="AR333" s="8"/>
    </row>
    <row r="334" spans="1:47" x14ac:dyDescent="0.2">
      <c r="A334" s="23"/>
      <c r="B334" s="23"/>
      <c r="C334" s="23"/>
      <c r="D334" s="7"/>
      <c r="E334" s="7"/>
      <c r="F334" s="7"/>
      <c r="G334" s="8"/>
      <c r="H334" s="8"/>
      <c r="I334" s="4"/>
      <c r="J334" s="4"/>
      <c r="K334" s="4"/>
      <c r="L334" s="4"/>
      <c r="M334" s="4"/>
      <c r="N334" s="18"/>
      <c r="O334" s="8"/>
      <c r="P334" s="8"/>
      <c r="Q334" s="5"/>
      <c r="R334" s="5"/>
      <c r="S334" s="5"/>
      <c r="T334" s="5"/>
      <c r="U334" s="5"/>
      <c r="V334" s="5"/>
      <c r="W334" s="5"/>
      <c r="X334" s="5"/>
      <c r="Y334" s="5"/>
      <c r="Z334" s="5"/>
      <c r="AA334" s="5"/>
      <c r="AB334" s="5"/>
      <c r="AC334" s="8"/>
      <c r="AD334" s="5"/>
      <c r="AE334" s="10"/>
      <c r="AF334" s="18"/>
      <c r="AG334" s="18"/>
      <c r="AH334" s="18"/>
      <c r="AI334" s="18"/>
      <c r="AJ334" s="18"/>
      <c r="AK334" s="18"/>
      <c r="AL334" s="18"/>
      <c r="AM334" s="18"/>
      <c r="AN334" s="18"/>
      <c r="AO334" s="5"/>
      <c r="AP334" s="5"/>
      <c r="AQ334" s="8"/>
      <c r="AR334" s="8"/>
    </row>
    <row r="335" spans="1:47" x14ac:dyDescent="0.2">
      <c r="A335" s="23"/>
      <c r="B335" s="23"/>
      <c r="C335" s="23"/>
      <c r="D335" s="7"/>
      <c r="E335" s="7"/>
      <c r="F335" s="7"/>
      <c r="G335" s="8"/>
      <c r="H335" s="8"/>
      <c r="I335" s="4"/>
      <c r="J335" s="4"/>
      <c r="K335" s="4"/>
      <c r="L335" s="4"/>
      <c r="M335" s="4"/>
      <c r="N335" s="18"/>
      <c r="O335" s="8"/>
      <c r="P335" s="8"/>
      <c r="Q335" s="5"/>
      <c r="R335" s="5"/>
      <c r="S335" s="5"/>
      <c r="T335" s="5"/>
      <c r="U335" s="5"/>
      <c r="V335" s="5"/>
      <c r="W335" s="5"/>
      <c r="X335" s="5"/>
      <c r="Y335" s="5"/>
      <c r="Z335" s="5"/>
      <c r="AA335" s="5"/>
      <c r="AB335" s="5"/>
      <c r="AC335" s="8"/>
      <c r="AD335" s="5"/>
      <c r="AE335" s="10"/>
      <c r="AF335" s="18"/>
      <c r="AG335" s="18"/>
      <c r="AH335" s="18"/>
      <c r="AI335" s="18"/>
      <c r="AJ335" s="18"/>
      <c r="AK335" s="18"/>
      <c r="AL335" s="18"/>
      <c r="AM335" s="18"/>
      <c r="AN335" s="18"/>
      <c r="AO335" s="5"/>
      <c r="AP335" s="5"/>
      <c r="AQ335" s="8"/>
      <c r="AR335" s="8"/>
    </row>
  </sheetData>
  <phoneticPr fontId="3" type="noConversion"/>
  <pageMargins left="0.75" right="0.75" top="1" bottom="1" header="0.5" footer="0.5"/>
  <pageSetup orientation="portrait" horizontalDpi="1200" verticalDpi="1200"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C78"/>
  <sheetViews>
    <sheetView topLeftCell="O11" workbookViewId="0">
      <selection activeCell="AH16" sqref="AH16:AI35"/>
    </sheetView>
  </sheetViews>
  <sheetFormatPr defaultRowHeight="12.75" x14ac:dyDescent="0.2"/>
  <cols>
    <col min="3" max="3" width="11.28515625" bestFit="1" customWidth="1"/>
    <col min="4" max="4" width="10" customWidth="1"/>
    <col min="5" max="6" width="10.7109375" customWidth="1"/>
    <col min="7" max="7" width="12.28515625" customWidth="1"/>
    <col min="8" max="8" width="13" customWidth="1"/>
    <col min="9" max="9" width="13.140625" customWidth="1"/>
    <col min="11" max="14" width="0" hidden="1" customWidth="1"/>
    <col min="18" max="18" width="8.85546875" customWidth="1"/>
    <col min="19" max="19" width="9.85546875" customWidth="1"/>
    <col min="20" max="26" width="9.85546875" hidden="1" customWidth="1"/>
    <col min="27" max="28" width="9.85546875" customWidth="1"/>
    <col min="29" max="29" width="12.140625" customWidth="1"/>
    <col min="46" max="46" width="10.7109375" customWidth="1"/>
    <col min="47" max="47" width="10.42578125" customWidth="1"/>
  </cols>
  <sheetData>
    <row r="1" spans="1:55" x14ac:dyDescent="0.2">
      <c r="B1" s="61" t="s">
        <v>90</v>
      </c>
    </row>
    <row r="3" spans="1:55" x14ac:dyDescent="0.2">
      <c r="B3" s="106" t="s">
        <v>210</v>
      </c>
      <c r="S3" s="61" t="s">
        <v>256</v>
      </c>
      <c r="AA3" s="23">
        <f>+'Tier 3 Data'!A2</f>
        <v>0</v>
      </c>
      <c r="AB3" s="23"/>
      <c r="AQ3" s="23"/>
      <c r="AS3" s="75">
        <v>0.02</v>
      </c>
    </row>
    <row r="4" spans="1:55" x14ac:dyDescent="0.2">
      <c r="AQ4" s="184"/>
      <c r="AS4" s="186">
        <v>1</v>
      </c>
      <c r="AW4" s="75">
        <v>0.1406</v>
      </c>
      <c r="AX4" s="75">
        <v>0.1406</v>
      </c>
      <c r="AY4" s="75">
        <v>0.1406</v>
      </c>
    </row>
    <row r="5" spans="1:55" ht="153" x14ac:dyDescent="0.2">
      <c r="A5" s="61" t="s">
        <v>144</v>
      </c>
      <c r="B5" s="108" t="s">
        <v>8</v>
      </c>
      <c r="C5" s="122" t="s">
        <v>203</v>
      </c>
      <c r="D5" s="122" t="s">
        <v>204</v>
      </c>
      <c r="E5" s="122" t="s">
        <v>205</v>
      </c>
      <c r="F5" s="122" t="str">
        <f>+'Monthly Energy Data'!M7</f>
        <v>Existing NM  -  No REC but a credit to Tier 2 Req</v>
      </c>
      <c r="G5" s="85" t="s">
        <v>483</v>
      </c>
      <c r="H5" s="85" t="s">
        <v>482</v>
      </c>
      <c r="I5" s="85" t="s">
        <v>484</v>
      </c>
      <c r="J5" s="122" t="s">
        <v>191</v>
      </c>
      <c r="K5" s="122" t="str">
        <f>+'Annual Energy Data'!AX7</f>
        <v>Standard Offer - Post-June 2015 On-Line Date          Biomass</v>
      </c>
      <c r="L5" s="122" t="str">
        <f>+'Annual Energy Data'!AZ7</f>
        <v>Standard Offer - Post-June 2015 On-Line Date          Farm Methane</v>
      </c>
      <c r="M5" s="122" t="str">
        <f>+'Annual Energy Data'!BA7</f>
        <v>Standard Offer - Post-June 2015 On-Line Date          LFG</v>
      </c>
      <c r="N5" s="122" t="str">
        <f>+'Annual Energy Data'!BB7</f>
        <v>Standard Offer - Post-June 2015 On-Line Date          Hydro</v>
      </c>
      <c r="O5" s="122" t="str">
        <f>+'Annual Energy Data'!BE7</f>
        <v>Alburgh Solar</v>
      </c>
      <c r="P5" s="122" t="str">
        <f>+'Annual Energy Data'!BF7</f>
        <v>Magee Hill Solar</v>
      </c>
      <c r="Q5" s="122" t="str">
        <f>+'Annual Energy Data'!BG7</f>
        <v>Grand Isle Solar</v>
      </c>
      <c r="R5" s="122" t="str">
        <f>+'Annual Energy Data'!BH7</f>
        <v>Jericho - Gravel Pit Solar</v>
      </c>
      <c r="S5" s="122" t="str">
        <f>+'Annual Energy Data'!BI7</f>
        <v>Jericho - Landfill Solar</v>
      </c>
      <c r="T5" s="122" t="str">
        <f>+'Annual Energy Data'!CJ7</f>
        <v>Proposed New Tier 2 Renewable C</v>
      </c>
      <c r="U5" s="122" t="str">
        <f>+'Annual Energy Data'!CK7</f>
        <v>Proposed New Tier 2 Renewable D</v>
      </c>
      <c r="V5" s="122" t="str">
        <f>+'Annual Energy Data'!CL7</f>
        <v>Proposed New Tier 2 Renewable E</v>
      </c>
      <c r="W5" s="122" t="str">
        <f>+'Annual Energy Data'!CM7</f>
        <v>Proposed New Tier 2 Renewable F</v>
      </c>
      <c r="X5" s="122" t="str">
        <f>+'Annual Energy Data'!CN7</f>
        <v>Proposed New Tier 2 Renewable G</v>
      </c>
      <c r="Y5" s="122" t="str">
        <f>+'Annual Energy Data'!CO7</f>
        <v>Proposed New Tier 2 Renewable H</v>
      </c>
      <c r="Z5" s="122" t="str">
        <f>+'Annual Energy Data'!CP7</f>
        <v xml:space="preserve">Proposed New Tier 2 Renewable  I </v>
      </c>
      <c r="AA5" s="122" t="s">
        <v>339</v>
      </c>
      <c r="AB5" s="122" t="s">
        <v>340</v>
      </c>
      <c r="AC5" s="85" t="s">
        <v>211</v>
      </c>
      <c r="AD5" s="100" t="s">
        <v>166</v>
      </c>
      <c r="AE5" s="100" t="s">
        <v>167</v>
      </c>
      <c r="AF5" s="100" t="s">
        <v>168</v>
      </c>
      <c r="AG5" s="100" t="s">
        <v>169</v>
      </c>
      <c r="AH5" s="100" t="s">
        <v>170</v>
      </c>
      <c r="AI5" s="100" t="s">
        <v>171</v>
      </c>
      <c r="AJ5" s="59" t="s">
        <v>206</v>
      </c>
      <c r="AN5" s="59" t="s">
        <v>346</v>
      </c>
      <c r="AO5" s="59" t="s">
        <v>347</v>
      </c>
      <c r="AP5" s="59" t="s">
        <v>348</v>
      </c>
      <c r="AQ5" s="59" t="s">
        <v>349</v>
      </c>
      <c r="AR5" s="59" t="s">
        <v>350</v>
      </c>
      <c r="AS5" s="59" t="s">
        <v>351</v>
      </c>
      <c r="AT5" s="59" t="s">
        <v>352</v>
      </c>
      <c r="AU5" s="59" t="s">
        <v>353</v>
      </c>
      <c r="AW5" s="59" t="s">
        <v>485</v>
      </c>
      <c r="AX5" s="59" t="s">
        <v>486</v>
      </c>
      <c r="AY5" s="59" t="s">
        <v>487</v>
      </c>
      <c r="BA5" s="59" t="s">
        <v>488</v>
      </c>
      <c r="BB5" s="59" t="s">
        <v>489</v>
      </c>
      <c r="BC5" s="59" t="s">
        <v>490</v>
      </c>
    </row>
    <row r="6" spans="1:55" x14ac:dyDescent="0.2">
      <c r="A6" s="74"/>
      <c r="B6" s="89">
        <f>+'Annual Energy Data'!A16</f>
        <v>2016</v>
      </c>
      <c r="C6" s="119"/>
      <c r="D6" s="119"/>
      <c r="E6" s="119"/>
      <c r="F6" s="89"/>
      <c r="G6" s="119"/>
      <c r="H6" s="119"/>
      <c r="I6" s="119"/>
      <c r="J6" s="102">
        <f>+'Annual Energy Data'!AW16</f>
        <v>0</v>
      </c>
      <c r="K6" s="102">
        <f>+'Annual Energy Data'!AX16</f>
        <v>0</v>
      </c>
      <c r="L6" s="102">
        <f>+'Annual Energy Data'!AZ16</f>
        <v>0</v>
      </c>
      <c r="M6" s="102">
        <f>+'Annual Energy Data'!BA16</f>
        <v>0</v>
      </c>
      <c r="N6" s="102">
        <f>+'Annual Energy Data'!BB16</f>
        <v>0</v>
      </c>
      <c r="O6" s="102"/>
      <c r="P6" s="102">
        <f>+'Annual Energy Data'!CH16</f>
        <v>0</v>
      </c>
      <c r="Q6" s="102" t="e">
        <f>+'Annual Energy Data'!#REF!</f>
        <v>#REF!</v>
      </c>
      <c r="R6" s="102" t="e">
        <f>+'Annual Energy Data'!#REF!</f>
        <v>#REF!</v>
      </c>
      <c r="S6" s="102">
        <f>+'Annual Energy Data'!CI16</f>
        <v>0</v>
      </c>
      <c r="T6" s="102">
        <f>+'Annual Energy Data'!CJ16</f>
        <v>0</v>
      </c>
      <c r="U6" s="102">
        <f>+'Annual Energy Data'!CK16</f>
        <v>0</v>
      </c>
      <c r="V6" s="102">
        <f>+'Annual Energy Data'!CL16</f>
        <v>0</v>
      </c>
      <c r="W6" s="102">
        <f>+'Annual Energy Data'!CM16</f>
        <v>0</v>
      </c>
      <c r="X6" s="102">
        <f>+'Annual Energy Data'!CN16</f>
        <v>0</v>
      </c>
      <c r="Y6" s="102">
        <f>+'Annual Energy Data'!CO16</f>
        <v>0</v>
      </c>
      <c r="Z6" s="102">
        <f>+'Annual Energy Data'!CP16</f>
        <v>0</v>
      </c>
      <c r="AA6" s="102"/>
      <c r="AB6" s="102"/>
      <c r="AC6" s="102" t="e">
        <f>+SUM(J6:Z6)</f>
        <v>#REF!</v>
      </c>
      <c r="AD6" s="120"/>
      <c r="AE6" s="120"/>
      <c r="AF6" s="120"/>
      <c r="AG6" s="120"/>
      <c r="AH6" s="120"/>
      <c r="AI6" s="120"/>
      <c r="AJ6" s="73"/>
    </row>
    <row r="7" spans="1:55" x14ac:dyDescent="0.2">
      <c r="A7" s="74">
        <v>0.01</v>
      </c>
      <c r="B7" s="89">
        <f>+'Annual Energy Data'!A17</f>
        <v>2017</v>
      </c>
      <c r="C7" s="102">
        <f>+'Annual Energy Data'!I17*(1-'Tier 3 Data'!$A$2)*'Tier 2 Data - MOU I.6'!$A7</f>
        <v>0</v>
      </c>
      <c r="D7" s="102">
        <f>+'Annual Energy Data'!M17*(1-'Tier 3 Data'!$A$2)*'Tier 2 Data - MOU I.6'!$A7</f>
        <v>0</v>
      </c>
      <c r="E7" s="102">
        <f>+'Annual Energy Data'!Q17*(1-'Tier 3 Data'!$A$2)*'Tier 2 Data - MOU I.6'!$A7</f>
        <v>0</v>
      </c>
      <c r="F7" s="102"/>
      <c r="G7" s="102">
        <f>+'Annual Energy Data'!U17*(1-'Tier 3 Data'!$A$2)*'Tier 2 Data - MOU I.6'!$A7</f>
        <v>0</v>
      </c>
      <c r="H7" s="102">
        <f>+'Annual Energy Data'!V17*(1-'Tier 3 Data'!$A$2)*'Tier 2 Data - MOU I.6'!$A7</f>
        <v>0</v>
      </c>
      <c r="I7" s="102">
        <f>+'Annual Energy Data'!W17*(1-'Tier 3 Data'!$A$2)*'Tier 2 Data - MOU I.6'!$A7</f>
        <v>0</v>
      </c>
      <c r="J7" s="102">
        <f>+'Annual Energy Data'!AW17</f>
        <v>0</v>
      </c>
      <c r="K7" s="102">
        <f>+'Annual Energy Data'!AX17</f>
        <v>0</v>
      </c>
      <c r="L7" s="102">
        <f>+'Annual Energy Data'!AZ17</f>
        <v>0</v>
      </c>
      <c r="M7" s="102">
        <f>+'Annual Energy Data'!BA17</f>
        <v>0</v>
      </c>
      <c r="N7" s="102">
        <f>+'Annual Energy Data'!BB17</f>
        <v>0</v>
      </c>
      <c r="O7" s="102" t="e">
        <f>+'Annual Energy Data'!#REF!</f>
        <v>#REF!</v>
      </c>
      <c r="P7" s="102">
        <f>+'Annual Energy Data'!BE17</f>
        <v>0</v>
      </c>
      <c r="Q7" s="102" t="e">
        <f>+'Annual Energy Data'!#REF!</f>
        <v>#REF!</v>
      </c>
      <c r="R7" s="102" t="e">
        <f>+'Annual Energy Data'!#REF!</f>
        <v>#REF!</v>
      </c>
      <c r="S7" s="102">
        <f>+'Annual Energy Data'!CI17</f>
        <v>0</v>
      </c>
      <c r="T7" s="102">
        <f>+'Annual Energy Data'!CJ17</f>
        <v>0</v>
      </c>
      <c r="U7" s="102">
        <f>+'Annual Energy Data'!CK17</f>
        <v>0</v>
      </c>
      <c r="V7" s="102">
        <f>+'Annual Energy Data'!CL17</f>
        <v>0</v>
      </c>
      <c r="W7" s="102">
        <f>+'Annual Energy Data'!CM17</f>
        <v>0</v>
      </c>
      <c r="X7" s="102">
        <f>+'Annual Energy Data'!CN17</f>
        <v>0</v>
      </c>
      <c r="Y7" s="102">
        <f>+'Annual Energy Data'!CO17</f>
        <v>0</v>
      </c>
      <c r="Z7" s="102">
        <f>+'Annual Energy Data'!CP17</f>
        <v>0</v>
      </c>
      <c r="AA7" s="102"/>
      <c r="AB7" s="102"/>
      <c r="AC7" s="102" t="e">
        <f>+SUM(J7:Z7)</f>
        <v>#REF!</v>
      </c>
      <c r="AD7" s="88" t="e">
        <f t="shared" ref="AD7:AD28" si="0">+C7-$AC7</f>
        <v>#REF!</v>
      </c>
      <c r="AE7" s="88" t="e">
        <f t="shared" ref="AE7:AE28" si="1">+D7-$AC7</f>
        <v>#REF!</v>
      </c>
      <c r="AF7" s="88" t="e">
        <f t="shared" ref="AF7:AF28" si="2">+E7-$AC7</f>
        <v>#REF!</v>
      </c>
      <c r="AG7" s="88" t="e">
        <f t="shared" ref="AG7:AG28" si="3">+G7-$AC7</f>
        <v>#REF!</v>
      </c>
      <c r="AH7" s="88" t="e">
        <f t="shared" ref="AH7:AH28" si="4">+H7-$AC7</f>
        <v>#REF!</v>
      </c>
      <c r="AI7" s="88" t="e">
        <f t="shared" ref="AI7:AI28" si="5">+I7-$AC7</f>
        <v>#REF!</v>
      </c>
      <c r="AJ7" s="73" t="e">
        <f>+SUM(AD$7:AD7)</f>
        <v>#REF!</v>
      </c>
    </row>
    <row r="8" spans="1:55" x14ac:dyDescent="0.2">
      <c r="A8" s="74">
        <v>1.6E-2</v>
      </c>
      <c r="B8" s="89">
        <f>+'Annual Energy Data'!A18</f>
        <v>2018</v>
      </c>
      <c r="C8" s="102">
        <f>+'Tier 3 Data'!J13*'Tier 2 Data - MOU I.6'!$A8</f>
        <v>0</v>
      </c>
      <c r="D8" s="102">
        <f>+'Tier 3 Data'!K13*'Tier 2 Data - MOU I.6'!$A8</f>
        <v>0</v>
      </c>
      <c r="E8" s="102">
        <f>+'Tier 3 Data'!L13*'Tier 2 Data - MOU I.6'!$A8</f>
        <v>0</v>
      </c>
      <c r="F8" s="102"/>
      <c r="G8" s="102">
        <f>+'Tier 3 Data'!M13*'Tier 2 Data - MOU I.6'!$A8</f>
        <v>0</v>
      </c>
      <c r="H8" s="102">
        <f>+'Tier 3 Data'!N13*'Tier 2 Data - MOU I.6'!$A8</f>
        <v>0</v>
      </c>
      <c r="I8" s="102">
        <f>+'Tier 3 Data'!O13*'Tier 2 Data - MOU I.6'!$A8</f>
        <v>0</v>
      </c>
      <c r="J8" s="102">
        <f>+SUM('Annual Energy Data'!AW18:BC18)-'Annual Energy Data'!AZ18</f>
        <v>0</v>
      </c>
      <c r="K8" s="102">
        <f>+'Annual Energy Data'!AX18</f>
        <v>0</v>
      </c>
      <c r="L8" s="102">
        <f>+'Annual Energy Data'!AZ18</f>
        <v>0</v>
      </c>
      <c r="M8" s="102">
        <f>+'Annual Energy Data'!BA18</f>
        <v>0</v>
      </c>
      <c r="N8" s="102">
        <f>+'Annual Energy Data'!BB18</f>
        <v>0</v>
      </c>
      <c r="O8" s="102">
        <f>+'Annual Energy Data'!BE18</f>
        <v>1563.5555385546877</v>
      </c>
      <c r="P8" s="102">
        <f>+'Annual Energy Data'!BF18</f>
        <v>2042.4462658448258</v>
      </c>
      <c r="Q8" s="102">
        <f>+'Annual Energy Data'!BG18</f>
        <v>7391.9241895999985</v>
      </c>
      <c r="R8" s="102">
        <f>+'Annual Energy Data'!BH18</f>
        <v>0</v>
      </c>
      <c r="S8" s="102">
        <f>+'Annual Energy Data'!BI18</f>
        <v>0</v>
      </c>
      <c r="T8" s="102">
        <f>+'Annual Energy Data'!CJ18</f>
        <v>0</v>
      </c>
      <c r="U8" s="102">
        <f>+'Annual Energy Data'!CK18</f>
        <v>0</v>
      </c>
      <c r="V8" s="102">
        <f>+'Annual Energy Data'!CL18</f>
        <v>0</v>
      </c>
      <c r="W8" s="102">
        <f>+'Annual Energy Data'!CM18</f>
        <v>0</v>
      </c>
      <c r="X8" s="102">
        <f>+'Annual Energy Data'!CN18</f>
        <v>0</v>
      </c>
      <c r="Y8" s="102">
        <f>+'Annual Energy Data'!CO18</f>
        <v>0</v>
      </c>
      <c r="Z8" s="102">
        <f>+'Annual Energy Data'!CP18</f>
        <v>0</v>
      </c>
      <c r="AA8" s="125">
        <v>2500</v>
      </c>
      <c r="AB8" s="125"/>
      <c r="AC8" s="102">
        <f>+SUM(J8:AB8)</f>
        <v>13497.925993999512</v>
      </c>
      <c r="AD8" s="88">
        <f t="shared" si="0"/>
        <v>-13497.925993999512</v>
      </c>
      <c r="AE8" s="88">
        <f t="shared" si="1"/>
        <v>-13497.925993999512</v>
      </c>
      <c r="AF8" s="88">
        <f t="shared" si="2"/>
        <v>-13497.925993999512</v>
      </c>
      <c r="AG8" s="88">
        <f t="shared" si="3"/>
        <v>-13497.925993999512</v>
      </c>
      <c r="AH8" s="88">
        <f t="shared" si="4"/>
        <v>-13497.925993999512</v>
      </c>
      <c r="AI8" s="88">
        <f t="shared" si="5"/>
        <v>-13497.925993999512</v>
      </c>
      <c r="AJ8" s="73" t="e">
        <f>+SUM(AD$7:AD8)</f>
        <v>#REF!</v>
      </c>
      <c r="AN8" s="58">
        <f t="shared" ref="AN8:AN28" si="6">+G8-$O8-$AA8-$AB8</f>
        <v>-4063.5555385546877</v>
      </c>
      <c r="AO8" s="58">
        <f t="shared" ref="AO8:AO28" si="7">+H8-$O8-$AA8-$AB8</f>
        <v>-4063.5555385546877</v>
      </c>
      <c r="AP8" s="58">
        <f>+AC8-O8-AA8-AB8</f>
        <v>9434.3704554448232</v>
      </c>
      <c r="AQ8" s="58">
        <f>+$AP8-AN8</f>
        <v>13497.92599399951</v>
      </c>
      <c r="AR8" s="58">
        <f>+$AP8-AO8</f>
        <v>13497.92599399951</v>
      </c>
      <c r="AS8" s="184">
        <f>+AS4</f>
        <v>1</v>
      </c>
      <c r="AT8" s="172">
        <f>+$AS8*AQ8</f>
        <v>13497.92599399951</v>
      </c>
      <c r="AU8" s="172">
        <f>+$AS8*AR8</f>
        <v>13497.92599399951</v>
      </c>
    </row>
    <row r="9" spans="1:55" x14ac:dyDescent="0.2">
      <c r="A9" s="74">
        <v>2.1999999999999999E-2</v>
      </c>
      <c r="B9" s="89">
        <f>+'Annual Energy Data'!A19</f>
        <v>2019</v>
      </c>
      <c r="C9" s="102">
        <f>+'Tier 3 Data'!J14*'Tier 2 Data - MOU I.6'!$A9</f>
        <v>0</v>
      </c>
      <c r="D9" s="102">
        <f>+'Tier 3 Data'!K14*'Tier 2 Data - MOU I.6'!$A9</f>
        <v>0</v>
      </c>
      <c r="E9" s="102">
        <f>+'Tier 3 Data'!L14*'Tier 2 Data - MOU I.6'!$A9</f>
        <v>0</v>
      </c>
      <c r="F9" s="102"/>
      <c r="G9" s="102">
        <f>+'Tier 3 Data'!M14*'Tier 2 Data - MOU I.6'!$A9</f>
        <v>0</v>
      </c>
      <c r="H9" s="102">
        <f>+'Tier 3 Data'!N14*'Tier 2 Data - MOU I.6'!$A9</f>
        <v>0</v>
      </c>
      <c r="I9" s="102">
        <f>+'Tier 3 Data'!O14*'Tier 2 Data - MOU I.6'!$A9</f>
        <v>0</v>
      </c>
      <c r="J9" s="102">
        <f>+SUM('Annual Energy Data'!AW19:BC19)-'Annual Energy Data'!AZ19</f>
        <v>0</v>
      </c>
      <c r="K9" s="102">
        <f>+'Annual Energy Data'!AX19</f>
        <v>0</v>
      </c>
      <c r="L9" s="102">
        <f>+'Annual Energy Data'!AZ19</f>
        <v>0</v>
      </c>
      <c r="M9" s="102">
        <f>+'Annual Energy Data'!BA19</f>
        <v>0</v>
      </c>
      <c r="N9" s="102">
        <f>+'Annual Energy Data'!BB19</f>
        <v>0</v>
      </c>
      <c r="O9" s="102">
        <f>+'Annual Energy Data'!BE19</f>
        <v>1555.7377608619142</v>
      </c>
      <c r="P9" s="102">
        <f>+'Annual Energy Data'!BF19</f>
        <v>2032.2340345156022</v>
      </c>
      <c r="Q9" s="102">
        <f>+'Annual Energy Data'!BG19</f>
        <v>7354.9645686519989</v>
      </c>
      <c r="R9" s="102">
        <f>+'Annual Energy Data'!BH19</f>
        <v>104.27841821299998</v>
      </c>
      <c r="S9" s="102">
        <f>+'Annual Energy Data'!BI19</f>
        <v>110.30647615900003</v>
      </c>
      <c r="T9" s="102">
        <f>+'Annual Energy Data'!CJ19</f>
        <v>0</v>
      </c>
      <c r="U9" s="102">
        <f>+'Annual Energy Data'!CK19</f>
        <v>0</v>
      </c>
      <c r="V9" s="102">
        <f>+'Annual Energy Data'!CL19</f>
        <v>0</v>
      </c>
      <c r="W9" s="102">
        <f>+'Annual Energy Data'!CM19</f>
        <v>0</v>
      </c>
      <c r="X9" s="102">
        <f>+'Annual Energy Data'!CN19</f>
        <v>0</v>
      </c>
      <c r="Y9" s="102">
        <f>+'Annual Energy Data'!CO19</f>
        <v>0</v>
      </c>
      <c r="Z9" s="102">
        <f>+'Annual Energy Data'!CP19</f>
        <v>0</v>
      </c>
      <c r="AA9" s="102">
        <f>+SUMIF('Monthly Energy Data'!$D$128:$D$595,$B9,'Monthly Energy Data'!N$128:N$595)/(1+$AA$3)</f>
        <v>0</v>
      </c>
      <c r="AB9" s="102">
        <f>+SUMIF('Monthly Energy Data'!$D$128:$D$595,$B9,'Monthly Energy Data'!O$128:O$595)/(1+$AA$3)</f>
        <v>0</v>
      </c>
      <c r="AC9" s="102">
        <f t="shared" ref="AC9:AC28" si="8">+SUM(J9:AB9)</f>
        <v>11157.521258401515</v>
      </c>
      <c r="AD9" s="88">
        <f t="shared" si="0"/>
        <v>-11157.521258401515</v>
      </c>
      <c r="AE9" s="88">
        <f t="shared" si="1"/>
        <v>-11157.521258401515</v>
      </c>
      <c r="AF9" s="88">
        <f t="shared" si="2"/>
        <v>-11157.521258401515</v>
      </c>
      <c r="AG9" s="88">
        <f t="shared" si="3"/>
        <v>-11157.521258401515</v>
      </c>
      <c r="AH9" s="88">
        <f t="shared" si="4"/>
        <v>-11157.521258401515</v>
      </c>
      <c r="AI9" s="88">
        <f t="shared" si="5"/>
        <v>-11157.521258401515</v>
      </c>
      <c r="AJ9" s="73" t="e">
        <f>+SUM(AD$7:AD9)</f>
        <v>#REF!</v>
      </c>
      <c r="AK9" s="58">
        <f>+AB9+AA9+R9+O9+0.5*P9</f>
        <v>2676.1331963327152</v>
      </c>
      <c r="AL9" s="58">
        <f>+H9-AK9</f>
        <v>-2676.1331963327152</v>
      </c>
      <c r="AM9" s="58"/>
      <c r="AN9" s="58">
        <f t="shared" si="6"/>
        <v>-1555.7377608619142</v>
      </c>
      <c r="AO9" s="58">
        <f t="shared" si="7"/>
        <v>-1555.7377608619142</v>
      </c>
      <c r="AP9" s="58">
        <f t="shared" ref="AP9:AP28" si="9">+AC9-O9-AA9-AB9</f>
        <v>9601.7834975396017</v>
      </c>
      <c r="AQ9" s="58">
        <f t="shared" ref="AQ9:AR28" si="10">+$AP9-AN9</f>
        <v>11157.521258401515</v>
      </c>
      <c r="AR9" s="58">
        <f t="shared" si="10"/>
        <v>11157.521258401515</v>
      </c>
      <c r="AS9" s="184">
        <f>+AS8*(1+$AS$3)</f>
        <v>1.02</v>
      </c>
      <c r="AT9" s="172">
        <f t="shared" ref="AT9:AU28" si="11">+$AS9*AQ9</f>
        <v>11380.671683569546</v>
      </c>
      <c r="AU9" s="172">
        <f t="shared" si="11"/>
        <v>11380.671683569546</v>
      </c>
    </row>
    <row r="10" spans="1:55" x14ac:dyDescent="0.2">
      <c r="A10" s="74">
        <v>2.7999999999999997E-2</v>
      </c>
      <c r="B10" s="89">
        <f>+'Annual Energy Data'!A20</f>
        <v>2020</v>
      </c>
      <c r="C10" s="102">
        <f>+'Tier 3 Data'!J15*'Tier 2 Data - MOU I.6'!$A10</f>
        <v>0</v>
      </c>
      <c r="D10" s="102">
        <f>+'Tier 3 Data'!K15*'Tier 2 Data - MOU I.6'!$A10</f>
        <v>0</v>
      </c>
      <c r="E10" s="102">
        <f>+'Tier 3 Data'!L15*'Tier 2 Data - MOU I.6'!$A10</f>
        <v>0</v>
      </c>
      <c r="F10" s="102"/>
      <c r="G10" s="102">
        <f>+'Tier 3 Data'!M15*'Tier 2 Data - MOU I.6'!$A10</f>
        <v>0</v>
      </c>
      <c r="H10" s="102">
        <f>+'Tier 3 Data'!N15*'Tier 2 Data - MOU I.6'!$A10</f>
        <v>0</v>
      </c>
      <c r="I10" s="102">
        <f>+'Tier 3 Data'!O15*'Tier 2 Data - MOU I.6'!$A10</f>
        <v>0</v>
      </c>
      <c r="J10" s="102">
        <f>+SUM('Annual Energy Data'!AW20:BC20)-'Annual Energy Data'!AZ20</f>
        <v>0</v>
      </c>
      <c r="K10" s="102">
        <f>+'Annual Energy Data'!AX20</f>
        <v>0</v>
      </c>
      <c r="L10" s="102">
        <f>+'Annual Energy Data'!AZ20</f>
        <v>0</v>
      </c>
      <c r="M10" s="102">
        <f>+'Annual Energy Data'!BA20</f>
        <v>0</v>
      </c>
      <c r="N10" s="102">
        <f>+'Annual Energy Data'!BB20</f>
        <v>0</v>
      </c>
      <c r="O10" s="102">
        <f>+'Annual Energy Data'!BE20</f>
        <v>1547.9590720576043</v>
      </c>
      <c r="P10" s="102">
        <f>+'Annual Energy Data'!BF20</f>
        <v>2022.0728643430239</v>
      </c>
      <c r="Q10" s="102">
        <f>+'Annual Energy Data'!BG20</f>
        <v>7318.1897458087387</v>
      </c>
      <c r="R10" s="102">
        <f>+'Annual Energy Data'!BH20</f>
        <v>2496.0633875839344</v>
      </c>
      <c r="S10" s="102">
        <f>+'Annual Energy Data'!BI20</f>
        <v>2730.1972840272051</v>
      </c>
      <c r="T10" s="102">
        <f>+'Annual Energy Data'!CJ20</f>
        <v>0</v>
      </c>
      <c r="U10" s="102">
        <f>+'Annual Energy Data'!CK20</f>
        <v>0</v>
      </c>
      <c r="V10" s="102">
        <f>+'Annual Energy Data'!CL20</f>
        <v>0</v>
      </c>
      <c r="W10" s="102">
        <f>+'Annual Energy Data'!CM20</f>
        <v>0</v>
      </c>
      <c r="X10" s="102">
        <f>+'Annual Energy Data'!CN20</f>
        <v>0</v>
      </c>
      <c r="Y10" s="102">
        <f>+'Annual Energy Data'!CO20</f>
        <v>0</v>
      </c>
      <c r="Z10" s="102">
        <f>+'Annual Energy Data'!CP20</f>
        <v>0</v>
      </c>
      <c r="AA10" s="102">
        <f>+SUMIF('Monthly Energy Data'!$D$128:$D$595,$B10,'Monthly Energy Data'!N$128:N$595)/(1+$AA$3)</f>
        <v>0</v>
      </c>
      <c r="AB10" s="102">
        <f>+SUMIF('Monthly Energy Data'!$D$128:$D$595,$B10,'Monthly Energy Data'!O$128:O$595)/(1+$AA$3)</f>
        <v>0</v>
      </c>
      <c r="AC10" s="102">
        <f t="shared" si="8"/>
        <v>16114.482353820506</v>
      </c>
      <c r="AD10" s="88">
        <f t="shared" si="0"/>
        <v>-16114.482353820506</v>
      </c>
      <c r="AE10" s="88">
        <f t="shared" si="1"/>
        <v>-16114.482353820506</v>
      </c>
      <c r="AF10" s="88">
        <f t="shared" si="2"/>
        <v>-16114.482353820506</v>
      </c>
      <c r="AG10" s="88">
        <f t="shared" si="3"/>
        <v>-16114.482353820506</v>
      </c>
      <c r="AH10" s="88">
        <f t="shared" si="4"/>
        <v>-16114.482353820506</v>
      </c>
      <c r="AI10" s="88">
        <f t="shared" si="5"/>
        <v>-16114.482353820506</v>
      </c>
      <c r="AJ10" s="73" t="e">
        <f>+SUM(AD$7:AD10)</f>
        <v>#REF!</v>
      </c>
      <c r="AK10" s="58">
        <f t="shared" ref="AK10:AK32" si="12">+AB10+AA10+R10+O10+0.5*P10</f>
        <v>5055.0588918130506</v>
      </c>
      <c r="AL10" s="58">
        <f t="shared" ref="AL10:AL32" si="13">+H10-AK10</f>
        <v>-5055.0588918130506</v>
      </c>
      <c r="AN10" s="58">
        <f t="shared" si="6"/>
        <v>-1547.9590720576043</v>
      </c>
      <c r="AO10" s="58">
        <f t="shared" si="7"/>
        <v>-1547.9590720576043</v>
      </c>
      <c r="AP10" s="58">
        <f t="shared" si="9"/>
        <v>14566.5232817629</v>
      </c>
      <c r="AQ10" s="58">
        <f t="shared" si="10"/>
        <v>16114.482353820506</v>
      </c>
      <c r="AR10" s="58">
        <f t="shared" si="10"/>
        <v>16114.482353820506</v>
      </c>
      <c r="AS10" s="184">
        <f t="shared" ref="AS10:AS40" si="14">+AS9*(1+$AS$3)</f>
        <v>1.0404</v>
      </c>
      <c r="AT10" s="172">
        <f t="shared" si="11"/>
        <v>16765.507440914855</v>
      </c>
      <c r="AU10" s="172">
        <f t="shared" si="11"/>
        <v>16765.507440914855</v>
      </c>
    </row>
    <row r="11" spans="1:55" x14ac:dyDescent="0.2">
      <c r="A11" s="74">
        <v>3.3999999999999996E-2</v>
      </c>
      <c r="B11" s="89">
        <f>+'Annual Energy Data'!A21</f>
        <v>2021</v>
      </c>
      <c r="C11" s="102">
        <f>+'Tier 3 Data'!J16*'Tier 2 Data - MOU I.6'!$A11</f>
        <v>0</v>
      </c>
      <c r="D11" s="102">
        <f>+'Tier 3 Data'!K16*'Tier 2 Data - MOU I.6'!$A11</f>
        <v>0</v>
      </c>
      <c r="E11" s="102">
        <f>+'Tier 3 Data'!L16*'Tier 2 Data - MOU I.6'!$A11</f>
        <v>0</v>
      </c>
      <c r="F11" s="102"/>
      <c r="G11" s="102">
        <f>+'Tier 3 Data'!M16*'Tier 2 Data - MOU I.6'!$A11</f>
        <v>0</v>
      </c>
      <c r="H11" s="102">
        <f>+'Tier 3 Data'!N16*'Tier 2 Data - MOU I.6'!$A11</f>
        <v>0</v>
      </c>
      <c r="I11" s="102">
        <f>+'Tier 3 Data'!O16*'Tier 2 Data - MOU I.6'!$A11</f>
        <v>0</v>
      </c>
      <c r="J11" s="102">
        <f>+SUM('Annual Energy Data'!AW21:BC21)-'Annual Energy Data'!AZ21</f>
        <v>0</v>
      </c>
      <c r="K11" s="102">
        <f>+'Annual Energy Data'!AX21</f>
        <v>0</v>
      </c>
      <c r="L11" s="102">
        <f>+'Annual Energy Data'!AZ21</f>
        <v>0</v>
      </c>
      <c r="M11" s="102">
        <f>+'Annual Energy Data'!BA21</f>
        <v>0</v>
      </c>
      <c r="N11" s="102">
        <f>+'Annual Energy Data'!BB21</f>
        <v>0</v>
      </c>
      <c r="O11" s="102">
        <f>+'Annual Energy Data'!BE21</f>
        <v>1540.2192766973164</v>
      </c>
      <c r="P11" s="102">
        <f>+'Annual Energy Data'!BF21</f>
        <v>2011.9625000213089</v>
      </c>
      <c r="Q11" s="102">
        <f>+'Annual Energy Data'!BG21</f>
        <v>7281.5987970796941</v>
      </c>
      <c r="R11" s="102">
        <f>+'Annual Energy Data'!BH21</f>
        <v>2483.5830706460142</v>
      </c>
      <c r="S11" s="102">
        <f>+'Annual Energy Data'!BI21</f>
        <v>2716.5462976070689</v>
      </c>
      <c r="T11" s="102">
        <f>+'Annual Energy Data'!CJ21</f>
        <v>0</v>
      </c>
      <c r="U11" s="102">
        <f>+'Annual Energy Data'!CK21</f>
        <v>0</v>
      </c>
      <c r="V11" s="102">
        <f>+'Annual Energy Data'!CL21</f>
        <v>0</v>
      </c>
      <c r="W11" s="102">
        <f>+'Annual Energy Data'!CM21</f>
        <v>0</v>
      </c>
      <c r="X11" s="102">
        <f>+'Annual Energy Data'!CN21</f>
        <v>0</v>
      </c>
      <c r="Y11" s="102">
        <f>+'Annual Energy Data'!CO21</f>
        <v>0</v>
      </c>
      <c r="Z11" s="102">
        <f>+'Annual Energy Data'!CP21</f>
        <v>0</v>
      </c>
      <c r="AA11" s="102">
        <f>+SUMIF('Monthly Energy Data'!$D$128:$D$595,$B11,'Monthly Energy Data'!N$128:N$595)/(1+$AA$3)</f>
        <v>0</v>
      </c>
      <c r="AB11" s="102">
        <f>+SUMIF('Monthly Energy Data'!$D$128:$D$595,$B11,'Monthly Energy Data'!O$128:O$595)/(1+$AA$3)</f>
        <v>0</v>
      </c>
      <c r="AC11" s="102">
        <f t="shared" si="8"/>
        <v>16033.909942051403</v>
      </c>
      <c r="AD11" s="88">
        <f t="shared" si="0"/>
        <v>-16033.909942051403</v>
      </c>
      <c r="AE11" s="88">
        <f t="shared" si="1"/>
        <v>-16033.909942051403</v>
      </c>
      <c r="AF11" s="88">
        <f t="shared" si="2"/>
        <v>-16033.909942051403</v>
      </c>
      <c r="AG11" s="88">
        <f t="shared" si="3"/>
        <v>-16033.909942051403</v>
      </c>
      <c r="AH11" s="88">
        <f t="shared" si="4"/>
        <v>-16033.909942051403</v>
      </c>
      <c r="AI11" s="88">
        <f t="shared" si="5"/>
        <v>-16033.909942051403</v>
      </c>
      <c r="AJ11" s="73" t="e">
        <f>+SUM(AD$7:AD11)</f>
        <v>#REF!</v>
      </c>
      <c r="AK11" s="58">
        <f t="shared" si="12"/>
        <v>5029.783597353985</v>
      </c>
      <c r="AL11" s="58">
        <f t="shared" si="13"/>
        <v>-5029.783597353985</v>
      </c>
      <c r="AN11" s="58">
        <f t="shared" si="6"/>
        <v>-1540.2192766973164</v>
      </c>
      <c r="AO11" s="58">
        <f t="shared" si="7"/>
        <v>-1540.2192766973164</v>
      </c>
      <c r="AP11" s="58">
        <f t="shared" si="9"/>
        <v>14493.690665354086</v>
      </c>
      <c r="AQ11" s="58">
        <f t="shared" si="10"/>
        <v>16033.909942051403</v>
      </c>
      <c r="AR11" s="58">
        <f t="shared" si="10"/>
        <v>16033.909942051403</v>
      </c>
      <c r="AS11" s="184">
        <f t="shared" si="14"/>
        <v>1.0612079999999999</v>
      </c>
      <c r="AT11" s="172">
        <f t="shared" si="11"/>
        <v>17015.313501784483</v>
      </c>
      <c r="AU11" s="172">
        <f t="shared" si="11"/>
        <v>17015.313501784483</v>
      </c>
    </row>
    <row r="12" spans="1:55" x14ac:dyDescent="0.2">
      <c r="A12" s="74">
        <v>3.9999999999999994E-2</v>
      </c>
      <c r="B12" s="89">
        <f>+'Annual Energy Data'!A22</f>
        <v>2022</v>
      </c>
      <c r="C12" s="102">
        <f>+'Tier 3 Data'!J17*'Tier 2 Data - MOU I.6'!$A12</f>
        <v>0</v>
      </c>
      <c r="D12" s="102">
        <f>+'Tier 3 Data'!K17*'Tier 2 Data - MOU I.6'!$A12</f>
        <v>0</v>
      </c>
      <c r="E12" s="102">
        <f>+'Tier 3 Data'!L17*'Tier 2 Data - MOU I.6'!$A12</f>
        <v>0</v>
      </c>
      <c r="F12" s="102"/>
      <c r="G12" s="102">
        <f>+'Tier 3 Data'!M17*'Tier 2 Data - MOU I.6'!$A12</f>
        <v>0</v>
      </c>
      <c r="H12" s="102">
        <f>+'Tier 3 Data'!N17*'Tier 2 Data - MOU I.6'!$A12</f>
        <v>0</v>
      </c>
      <c r="I12" s="102">
        <f>+'Tier 3 Data'!O17*'Tier 2 Data - MOU I.6'!$A12</f>
        <v>0</v>
      </c>
      <c r="J12" s="102">
        <f>+SUM('Annual Energy Data'!AQ22:BC22)-'Annual Energy Data'!AZ22-'Annual Energy Data'!AT22</f>
        <v>14064.702865984545</v>
      </c>
      <c r="K12" s="102">
        <f>+'Annual Energy Data'!AX22</f>
        <v>0</v>
      </c>
      <c r="L12" s="102">
        <f>+'Annual Energy Data'!AZ22</f>
        <v>0</v>
      </c>
      <c r="M12" s="102">
        <f>+'Annual Energy Data'!BA22</f>
        <v>0</v>
      </c>
      <c r="N12" s="102">
        <f>+'Annual Energy Data'!BB22</f>
        <v>475.59491100521359</v>
      </c>
      <c r="O12" s="102">
        <f>+'Annual Energy Data'!BE22</f>
        <v>1532.51818031383</v>
      </c>
      <c r="P12" s="102">
        <f>+'Annual Energy Data'!BF22</f>
        <v>2001.9026875212026</v>
      </c>
      <c r="Q12" s="102">
        <f>+'Annual Energy Data'!BG22</f>
        <v>7245.1908030942959</v>
      </c>
      <c r="R12" s="102">
        <f>+'Annual Energy Data'!BH22</f>
        <v>2482.2026793876735</v>
      </c>
      <c r="S12" s="102">
        <f>+'Annual Energy Data'!BI22</f>
        <v>2723.0291845376846</v>
      </c>
      <c r="T12" s="102">
        <f>+'Annual Energy Data'!CJ22</f>
        <v>0</v>
      </c>
      <c r="U12" s="102">
        <f>+'Annual Energy Data'!CK22</f>
        <v>0</v>
      </c>
      <c r="V12" s="102">
        <f>+'Annual Energy Data'!CL22</f>
        <v>0</v>
      </c>
      <c r="W12" s="102">
        <f>+'Annual Energy Data'!CM22</f>
        <v>0</v>
      </c>
      <c r="X12" s="102">
        <f>+'Annual Energy Data'!CN22</f>
        <v>0</v>
      </c>
      <c r="Y12" s="102">
        <f>+'Annual Energy Data'!CO22</f>
        <v>0</v>
      </c>
      <c r="Z12" s="102">
        <f>+'Annual Energy Data'!CP22</f>
        <v>0</v>
      </c>
      <c r="AA12" s="102">
        <f>+SUMIF('Monthly Energy Data'!$D$128:$D$595,$B12,'Monthly Energy Data'!N$128:N$595)/(1+$AA$3)</f>
        <v>0</v>
      </c>
      <c r="AB12" s="102">
        <f>+SUMIF('Monthly Energy Data'!$D$128:$D$595,$B12,'Monthly Energy Data'!O$128:O$595)/(1+$AA$3)</f>
        <v>0</v>
      </c>
      <c r="AC12" s="102">
        <f t="shared" si="8"/>
        <v>30525.141311844447</v>
      </c>
      <c r="AD12" s="88">
        <f t="shared" si="0"/>
        <v>-30525.141311844447</v>
      </c>
      <c r="AE12" s="88">
        <f t="shared" si="1"/>
        <v>-30525.141311844447</v>
      </c>
      <c r="AF12" s="88">
        <f t="shared" si="2"/>
        <v>-30525.141311844447</v>
      </c>
      <c r="AG12" s="88">
        <f t="shared" si="3"/>
        <v>-30525.141311844447</v>
      </c>
      <c r="AH12" s="88">
        <f t="shared" si="4"/>
        <v>-30525.141311844447</v>
      </c>
      <c r="AI12" s="88">
        <f t="shared" si="5"/>
        <v>-30525.141311844447</v>
      </c>
      <c r="AJ12" s="73" t="e">
        <f>+SUM(AD$7:AD12)</f>
        <v>#REF!</v>
      </c>
      <c r="AK12" s="58">
        <f t="shared" si="12"/>
        <v>5015.6722034621043</v>
      </c>
      <c r="AL12" s="58">
        <f t="shared" si="13"/>
        <v>-5015.6722034621043</v>
      </c>
      <c r="AM12">
        <f>+AL12*40</f>
        <v>-200626.88813848418</v>
      </c>
      <c r="AN12" s="58">
        <f t="shared" si="6"/>
        <v>-1532.51818031383</v>
      </c>
      <c r="AO12" s="58">
        <f t="shared" si="7"/>
        <v>-1532.51818031383</v>
      </c>
      <c r="AP12" s="58">
        <f t="shared" si="9"/>
        <v>28992.623131530618</v>
      </c>
      <c r="AQ12" s="58">
        <f t="shared" si="10"/>
        <v>30525.141311844447</v>
      </c>
      <c r="AR12" s="58">
        <f t="shared" si="10"/>
        <v>30525.141311844447</v>
      </c>
      <c r="AS12" s="184">
        <f t="shared" si="14"/>
        <v>1.08243216</v>
      </c>
      <c r="AT12" s="172">
        <f t="shared" si="11"/>
        <v>33041.394644485015</v>
      </c>
      <c r="AU12" s="172">
        <f t="shared" si="11"/>
        <v>33041.394644485015</v>
      </c>
    </row>
    <row r="13" spans="1:55" x14ac:dyDescent="0.2">
      <c r="A13" s="74">
        <v>4.5999999999999992E-2</v>
      </c>
      <c r="B13" s="89">
        <f>+'Annual Energy Data'!A23</f>
        <v>2023</v>
      </c>
      <c r="C13" s="102">
        <f>+'Tier 3 Data'!J18*'Tier 2 Data - MOU I.6'!$A13</f>
        <v>0</v>
      </c>
      <c r="D13" s="102">
        <f>+'Tier 3 Data'!K18*'Tier 2 Data - MOU I.6'!$A13</f>
        <v>0</v>
      </c>
      <c r="E13" s="102">
        <f>+'Tier 3 Data'!L18*'Tier 2 Data - MOU I.6'!$A13</f>
        <v>0</v>
      </c>
      <c r="F13" s="102"/>
      <c r="G13" s="102">
        <f>+'Tier 3 Data'!M18*'Tier 2 Data - MOU I.6'!$A13</f>
        <v>0</v>
      </c>
      <c r="H13" s="102">
        <f>+'Tier 3 Data'!N18*'Tier 2 Data - MOU I.6'!$A13</f>
        <v>0</v>
      </c>
      <c r="I13" s="102">
        <f>+'Tier 3 Data'!O18*'Tier 2 Data - MOU I.6'!$A13</f>
        <v>0</v>
      </c>
      <c r="J13" s="102">
        <f>+SUM('Annual Energy Data'!AQ23:BC23)-'Annual Energy Data'!AZ23-'Annual Energy Data'!AT23</f>
        <v>19105.343540037531</v>
      </c>
      <c r="K13" s="102">
        <f>+'Annual Energy Data'!AX23</f>
        <v>0</v>
      </c>
      <c r="L13" s="102">
        <f>+'Annual Energy Data'!AZ23</f>
        <v>0</v>
      </c>
      <c r="M13" s="102">
        <f>+'Annual Energy Data'!BA23</f>
        <v>0</v>
      </c>
      <c r="N13" s="102">
        <f>+'Annual Energy Data'!BB23</f>
        <v>475.59491100521359</v>
      </c>
      <c r="O13" s="102">
        <f>+'Annual Energy Data'!BE23</f>
        <v>1524.8555894122608</v>
      </c>
      <c r="P13" s="102">
        <f>+'Annual Energy Data'!BF23</f>
        <v>1991.8931740835963</v>
      </c>
      <c r="Q13" s="102">
        <f>+'Annual Energy Data'!BG23</f>
        <v>7208.9648490788259</v>
      </c>
      <c r="R13" s="102">
        <f>+'Annual Energy Data'!BH23</f>
        <v>2469.7916659907355</v>
      </c>
      <c r="S13" s="102">
        <f>+'Annual Energy Data'!BI23</f>
        <v>2709.4140386149966</v>
      </c>
      <c r="T13" s="102">
        <f>+'Annual Energy Data'!CJ23</f>
        <v>0</v>
      </c>
      <c r="U13" s="102">
        <f>+'Annual Energy Data'!CK23</f>
        <v>0</v>
      </c>
      <c r="V13" s="102">
        <f>+'Annual Energy Data'!CL23</f>
        <v>0</v>
      </c>
      <c r="W13" s="102">
        <f>+'Annual Energy Data'!CM23</f>
        <v>0</v>
      </c>
      <c r="X13" s="102">
        <f>+'Annual Energy Data'!CN23</f>
        <v>0</v>
      </c>
      <c r="Y13" s="102">
        <f>+'Annual Energy Data'!CO23</f>
        <v>0</v>
      </c>
      <c r="Z13" s="102">
        <f>+'Annual Energy Data'!CP23</f>
        <v>0</v>
      </c>
      <c r="AA13" s="102">
        <f>+SUMIF('Monthly Energy Data'!$D$128:$D$595,$B13,'Monthly Energy Data'!N$128:N$595)/(1+$AA$3)</f>
        <v>0</v>
      </c>
      <c r="AB13" s="102">
        <f>+SUMIF('Monthly Energy Data'!$D$128:$D$595,$B13,'Monthly Energy Data'!O$128:O$595)/(1+$AA$3)</f>
        <v>0</v>
      </c>
      <c r="AC13" s="102">
        <f t="shared" si="8"/>
        <v>35485.857768223163</v>
      </c>
      <c r="AD13" s="88">
        <f t="shared" si="0"/>
        <v>-35485.857768223163</v>
      </c>
      <c r="AE13" s="88">
        <f t="shared" si="1"/>
        <v>-35485.857768223163</v>
      </c>
      <c r="AF13" s="88">
        <f t="shared" si="2"/>
        <v>-35485.857768223163</v>
      </c>
      <c r="AG13" s="88">
        <f t="shared" si="3"/>
        <v>-35485.857768223163</v>
      </c>
      <c r="AH13" s="88">
        <f t="shared" si="4"/>
        <v>-35485.857768223163</v>
      </c>
      <c r="AI13" s="88">
        <f t="shared" si="5"/>
        <v>-35485.857768223163</v>
      </c>
      <c r="AJ13" s="73" t="e">
        <f>+SUM(AD$7:AD13)</f>
        <v>#REF!</v>
      </c>
      <c r="AK13" s="58">
        <f t="shared" si="12"/>
        <v>4990.5938424447941</v>
      </c>
      <c r="AL13" s="58">
        <f t="shared" si="13"/>
        <v>-4990.5938424447941</v>
      </c>
      <c r="AM13">
        <f t="shared" ref="AM13:AM29" si="15">+AL13*40</f>
        <v>-199623.75369779178</v>
      </c>
      <c r="AN13" s="58">
        <f t="shared" si="6"/>
        <v>-1524.8555894122608</v>
      </c>
      <c r="AO13" s="58">
        <f t="shared" si="7"/>
        <v>-1524.8555894122608</v>
      </c>
      <c r="AP13" s="58">
        <f t="shared" si="9"/>
        <v>33961.002178810901</v>
      </c>
      <c r="AQ13" s="58">
        <f t="shared" si="10"/>
        <v>35485.857768223163</v>
      </c>
      <c r="AR13" s="58">
        <f t="shared" si="10"/>
        <v>35485.857768223163</v>
      </c>
      <c r="AS13" s="184">
        <f t="shared" si="14"/>
        <v>1.1040808032</v>
      </c>
      <c r="AT13" s="172">
        <f t="shared" si="11"/>
        <v>39179.254346980786</v>
      </c>
      <c r="AU13" s="172">
        <f t="shared" si="11"/>
        <v>39179.254346980786</v>
      </c>
      <c r="AW13" s="280">
        <f t="shared" ref="AW13:AY18" si="16">+AG13/(8760*AW$4)</f>
        <v>-28.811500750390664</v>
      </c>
      <c r="AX13" s="280">
        <f t="shared" si="16"/>
        <v>-28.811500750390664</v>
      </c>
      <c r="AY13" s="280">
        <f t="shared" si="16"/>
        <v>-28.811500750390664</v>
      </c>
    </row>
    <row r="14" spans="1:55" x14ac:dyDescent="0.2">
      <c r="A14" s="74">
        <v>5.1999999999999991E-2</v>
      </c>
      <c r="B14" s="89">
        <f>+'Annual Energy Data'!A24</f>
        <v>2024</v>
      </c>
      <c r="C14" s="102">
        <f>+'Tier 3 Data'!J19*'Tier 2 Data - MOU I.6'!$A14</f>
        <v>0</v>
      </c>
      <c r="D14" s="102">
        <f>+'Tier 3 Data'!K19*'Tier 2 Data - MOU I.6'!$A14</f>
        <v>0</v>
      </c>
      <c r="E14" s="102">
        <f>+'Tier 3 Data'!L19*'Tier 2 Data - MOU I.6'!$A14</f>
        <v>0</v>
      </c>
      <c r="F14" s="102"/>
      <c r="G14" s="102">
        <f>+'Tier 3 Data'!M19*'Tier 2 Data - MOU I.6'!$A14</f>
        <v>0</v>
      </c>
      <c r="H14" s="102">
        <f>+'Tier 3 Data'!N19*'Tier 2 Data - MOU I.6'!$A14</f>
        <v>0</v>
      </c>
      <c r="I14" s="102">
        <f>+'Tier 3 Data'!O19*'Tier 2 Data - MOU I.6'!$A14</f>
        <v>0</v>
      </c>
      <c r="J14" s="102">
        <f>+SUM('Annual Energy Data'!AQ24:BC24)-'Annual Energy Data'!AZ24-'Annual Energy Data'!AT24</f>
        <v>21181.226500973546</v>
      </c>
      <c r="K14" s="102">
        <f>+'Annual Energy Data'!AX24</f>
        <v>0</v>
      </c>
      <c r="L14" s="102">
        <f>+'Annual Energy Data'!AZ24</f>
        <v>0</v>
      </c>
      <c r="M14" s="102">
        <f>+'Annual Energy Data'!BA24</f>
        <v>0</v>
      </c>
      <c r="N14" s="102">
        <f>+'Annual Energy Data'!BB24</f>
        <v>475.59491100521359</v>
      </c>
      <c r="O14" s="102">
        <f>+'Annual Energy Data'!BE24</f>
        <v>1517.2313114651993</v>
      </c>
      <c r="P14" s="102">
        <f>+'Annual Energy Data'!BF24</f>
        <v>1981.9337082131788</v>
      </c>
      <c r="Q14" s="102">
        <f>+'Annual Energy Data'!BG24</f>
        <v>7172.9200248334309</v>
      </c>
      <c r="R14" s="102">
        <f>+'Annual Energy Data'!BH24</f>
        <v>2457.4427076607813</v>
      </c>
      <c r="S14" s="102">
        <f>+'Annual Energy Data'!BI24</f>
        <v>2695.8669684219217</v>
      </c>
      <c r="T14" s="102">
        <f>+'Annual Energy Data'!CJ24</f>
        <v>0</v>
      </c>
      <c r="U14" s="102">
        <f>+'Annual Energy Data'!CK24</f>
        <v>0</v>
      </c>
      <c r="V14" s="102">
        <f>+'Annual Energy Data'!CL24</f>
        <v>0</v>
      </c>
      <c r="W14" s="102">
        <f>+'Annual Energy Data'!CM24</f>
        <v>0</v>
      </c>
      <c r="X14" s="102">
        <f>+'Annual Energy Data'!CN24</f>
        <v>0</v>
      </c>
      <c r="Y14" s="102">
        <f>+'Annual Energy Data'!CO24</f>
        <v>0</v>
      </c>
      <c r="Z14" s="102">
        <f>+'Annual Energy Data'!CP24</f>
        <v>0</v>
      </c>
      <c r="AA14" s="102">
        <f>+SUMIF('Monthly Energy Data'!$D$128:$D$595,$B14,'Monthly Energy Data'!N$128:N$595)/(1+$AA$3)</f>
        <v>0</v>
      </c>
      <c r="AB14" s="102">
        <f>+SUMIF('Monthly Energy Data'!$D$128:$D$595,$B14,'Monthly Energy Data'!O$128:O$595)/(1+$AA$3)</f>
        <v>0</v>
      </c>
      <c r="AC14" s="102">
        <f t="shared" si="8"/>
        <v>37482.216132573267</v>
      </c>
      <c r="AD14" s="88">
        <f t="shared" si="0"/>
        <v>-37482.216132573267</v>
      </c>
      <c r="AE14" s="88">
        <f t="shared" si="1"/>
        <v>-37482.216132573267</v>
      </c>
      <c r="AF14" s="88">
        <f t="shared" si="2"/>
        <v>-37482.216132573267</v>
      </c>
      <c r="AG14" s="88">
        <f t="shared" si="3"/>
        <v>-37482.216132573267</v>
      </c>
      <c r="AH14" s="88">
        <f t="shared" si="4"/>
        <v>-37482.216132573267</v>
      </c>
      <c r="AI14" s="88">
        <f t="shared" si="5"/>
        <v>-37482.216132573267</v>
      </c>
      <c r="AJ14" s="73" t="e">
        <f>+SUM(AD$7:AD14)</f>
        <v>#REF!</v>
      </c>
      <c r="AK14" s="58">
        <f t="shared" si="12"/>
        <v>4965.6408732325699</v>
      </c>
      <c r="AL14" s="58">
        <f t="shared" si="13"/>
        <v>-4965.6408732325699</v>
      </c>
      <c r="AM14">
        <f t="shared" si="15"/>
        <v>-198625.63492930279</v>
      </c>
      <c r="AN14" s="58">
        <f t="shared" si="6"/>
        <v>-1517.2313114651993</v>
      </c>
      <c r="AO14" s="58">
        <f t="shared" si="7"/>
        <v>-1517.2313114651993</v>
      </c>
      <c r="AP14" s="58">
        <f t="shared" si="9"/>
        <v>35964.984821108068</v>
      </c>
      <c r="AQ14" s="58">
        <f t="shared" si="10"/>
        <v>37482.216132573267</v>
      </c>
      <c r="AR14" s="58">
        <f t="shared" si="10"/>
        <v>37482.216132573267</v>
      </c>
      <c r="AS14" s="184">
        <f t="shared" si="14"/>
        <v>1.1261624192640001</v>
      </c>
      <c r="AT14" s="172">
        <f t="shared" si="11"/>
        <v>42211.063199234843</v>
      </c>
      <c r="AU14" s="172">
        <f t="shared" si="11"/>
        <v>42211.063199234843</v>
      </c>
      <c r="AW14" s="280">
        <f t="shared" si="16"/>
        <v>-30.432374082189561</v>
      </c>
      <c r="AX14" s="280">
        <f t="shared" si="16"/>
        <v>-30.432374082189561</v>
      </c>
      <c r="AY14" s="280">
        <f t="shared" si="16"/>
        <v>-30.432374082189561</v>
      </c>
      <c r="BA14" s="281">
        <f>+AW14-AW13</f>
        <v>-1.6208733317988973</v>
      </c>
      <c r="BB14" s="281">
        <f t="shared" ref="BB14:BC40" si="17">+AX14-AX13</f>
        <v>-1.6208733317988973</v>
      </c>
      <c r="BC14" s="281">
        <f t="shared" si="17"/>
        <v>-1.6208733317988973</v>
      </c>
    </row>
    <row r="15" spans="1:55" x14ac:dyDescent="0.2">
      <c r="A15" s="74">
        <v>5.8000000000000003E-2</v>
      </c>
      <c r="B15" s="89">
        <f>+'Annual Energy Data'!A25</f>
        <v>2025</v>
      </c>
      <c r="C15" s="102">
        <f>+'Tier 3 Data'!J20*'Tier 2 Data - MOU I.6'!$A15</f>
        <v>29139.720649025592</v>
      </c>
      <c r="D15" s="102">
        <f>+'Tier 3 Data'!K20*'Tier 2 Data - MOU I.6'!$A15</f>
        <v>29139.720649025592</v>
      </c>
      <c r="E15" s="102">
        <f>+'Tier 3 Data'!L20*'Tier 2 Data - MOU I.6'!$A15</f>
        <v>29139.720649025592</v>
      </c>
      <c r="F15" s="102">
        <f>+SUMIF('Monthly Energy Data'!D$224:D$595,'Tier 2 Data - MOU I.6'!B15,'Monthly Energy Data'!M$224:M$595)</f>
        <v>0</v>
      </c>
      <c r="G15" s="102">
        <f>+'Tier 3 Data'!M20*'Tier 2 Data - MOU I.6'!$A15-F15</f>
        <v>29977.854362710808</v>
      </c>
      <c r="H15" s="102">
        <f>+'Tier 3 Data'!N20*'Tier 2 Data - MOU I.6'!$A15-F15</f>
        <v>30508.56150924306</v>
      </c>
      <c r="I15" s="102">
        <f>+'Tier 3 Data'!O20*'Tier 2 Data - MOU I.6'!$A15-F15</f>
        <v>29336.032907269102</v>
      </c>
      <c r="J15" s="102">
        <f>+SUM('Annual Energy Data'!AQ25:BC25)-'Annual Energy Data'!AZ25-'Annual Energy Data'!AT25</f>
        <v>22018.530550899453</v>
      </c>
      <c r="K15" s="102">
        <f>+'Annual Energy Data'!AX25</f>
        <v>0</v>
      </c>
      <c r="L15" s="102">
        <f>+'Annual Energy Data'!AZ25</f>
        <v>0</v>
      </c>
      <c r="M15" s="102">
        <f>+'Annual Energy Data'!BA25</f>
        <v>0</v>
      </c>
      <c r="N15" s="102">
        <f>+'Annual Energy Data'!BB25</f>
        <v>475.59491100521359</v>
      </c>
      <c r="O15" s="102">
        <f>+'Annual Energy Data'!BE25</f>
        <v>1509.6451549078736</v>
      </c>
      <c r="P15" s="102">
        <f>+'Annual Energy Data'!BF25</f>
        <v>1972.0240396721124</v>
      </c>
      <c r="Q15" s="102">
        <f>+'Annual Energy Data'!BG25</f>
        <v>7137.0554247092632</v>
      </c>
      <c r="R15" s="102">
        <f>+'Annual Energy Data'!BH25</f>
        <v>2445.1554941224776</v>
      </c>
      <c r="S15" s="102">
        <f>+'Annual Energy Data'!BI25</f>
        <v>2682.3876335798118</v>
      </c>
      <c r="T15" s="102">
        <f>+'Annual Energy Data'!CJ25</f>
        <v>0</v>
      </c>
      <c r="U15" s="102">
        <f>+'Annual Energy Data'!CK25</f>
        <v>0</v>
      </c>
      <c r="V15" s="102">
        <f>+'Annual Energy Data'!CL25</f>
        <v>0</v>
      </c>
      <c r="W15" s="102">
        <f>+'Annual Energy Data'!CM25</f>
        <v>0</v>
      </c>
      <c r="X15" s="102">
        <f>+'Annual Energy Data'!CN25</f>
        <v>0</v>
      </c>
      <c r="Y15" s="102">
        <f>+'Annual Energy Data'!CO25</f>
        <v>0</v>
      </c>
      <c r="Z15" s="102">
        <f>+'Annual Energy Data'!CP25</f>
        <v>0</v>
      </c>
      <c r="AA15" s="102">
        <f>+SUMIF('Monthly Energy Data'!$D$128:$D$595,$B15,'Monthly Energy Data'!N$128:N$595)/(1+$AA$3)</f>
        <v>28196.65820114288</v>
      </c>
      <c r="AB15" s="102">
        <f>+SUMIF('Monthly Energy Data'!$D$128:$D$595,$B15,'Monthly Energy Data'!O$128:O$595)/(1+$AA$3)</f>
        <v>606.96113151248403</v>
      </c>
      <c r="AC15" s="102">
        <f t="shared" si="8"/>
        <v>67044.012541551565</v>
      </c>
      <c r="AD15" s="88">
        <f t="shared" si="0"/>
        <v>-37904.291892525973</v>
      </c>
      <c r="AE15" s="88">
        <f t="shared" si="1"/>
        <v>-37904.291892525973</v>
      </c>
      <c r="AF15" s="88">
        <f t="shared" si="2"/>
        <v>-37904.291892525973</v>
      </c>
      <c r="AG15" s="88">
        <f t="shared" si="3"/>
        <v>-37066.158178840757</v>
      </c>
      <c r="AH15" s="88">
        <f t="shared" si="4"/>
        <v>-36535.451032308505</v>
      </c>
      <c r="AI15" s="88">
        <f t="shared" si="5"/>
        <v>-37707.979634282463</v>
      </c>
      <c r="AJ15" s="73" t="e">
        <f>+SUM(AD$7:AD15)</f>
        <v>#REF!</v>
      </c>
      <c r="AK15" s="58">
        <f t="shared" si="12"/>
        <v>33744.432001521775</v>
      </c>
      <c r="AL15" s="58">
        <f t="shared" si="13"/>
        <v>-3235.8704922787147</v>
      </c>
      <c r="AM15">
        <f t="shared" si="15"/>
        <v>-129434.81969114859</v>
      </c>
      <c r="AN15" s="58">
        <f t="shared" si="6"/>
        <v>-335.41012485242948</v>
      </c>
      <c r="AO15" s="58">
        <f t="shared" si="7"/>
        <v>195.29702167982202</v>
      </c>
      <c r="AP15" s="58">
        <f t="shared" si="9"/>
        <v>36730.748053988333</v>
      </c>
      <c r="AQ15" s="58">
        <f t="shared" si="10"/>
        <v>37066.158178840764</v>
      </c>
      <c r="AR15" s="58">
        <f t="shared" si="10"/>
        <v>36535.451032308512</v>
      </c>
      <c r="AS15" s="184">
        <f t="shared" si="14"/>
        <v>1.14868566764928</v>
      </c>
      <c r="AT15" s="172">
        <f t="shared" si="11"/>
        <v>42577.364654855526</v>
      </c>
      <c r="AU15" s="172">
        <f t="shared" si="11"/>
        <v>41967.748961914884</v>
      </c>
      <c r="AW15" s="280">
        <f t="shared" si="16"/>
        <v>-30.094570382347634</v>
      </c>
      <c r="AX15" s="280">
        <f t="shared" si="16"/>
        <v>-29.663681281387422</v>
      </c>
      <c r="AY15" s="280">
        <f t="shared" si="16"/>
        <v>-30.615674859118506</v>
      </c>
      <c r="BA15" s="281">
        <f t="shared" ref="BA15:BA40" si="18">+AW15-AW14</f>
        <v>0.3378036998419276</v>
      </c>
      <c r="BB15" s="281">
        <f t="shared" si="17"/>
        <v>0.76869280080213898</v>
      </c>
      <c r="BC15" s="281">
        <f t="shared" si="17"/>
        <v>-0.1833007769289452</v>
      </c>
    </row>
    <row r="16" spans="1:55" x14ac:dyDescent="0.2">
      <c r="A16" s="74">
        <f>+A15+0.02</f>
        <v>7.8E-2</v>
      </c>
      <c r="B16" s="89">
        <f>+'Annual Energy Data'!A26</f>
        <v>2026</v>
      </c>
      <c r="C16" s="102">
        <f>+'Tier 3 Data'!J21*'Tier 2 Data - MOU I.6'!$A16</f>
        <v>38903.021925408611</v>
      </c>
      <c r="D16" s="102">
        <f>+'Tier 3 Data'!K21*'Tier 2 Data - MOU I.6'!$A16</f>
        <v>38903.021925408611</v>
      </c>
      <c r="E16" s="102">
        <f>+'Tier 3 Data'!L21*'Tier 2 Data - MOU I.6'!$A16</f>
        <v>38903.021925408611</v>
      </c>
      <c r="F16" s="102">
        <f>+SUMIF('Monthly Energy Data'!D$224:D$595,'Tier 2 Data - MOU I.6'!B16,'Monthly Energy Data'!M$224:M$595)</f>
        <v>13094.50855222805</v>
      </c>
      <c r="G16" s="102">
        <f>+'Tier 3 Data'!M21*'Tier 2 Data - MOU I.6'!$A16-F16</f>
        <v>28589.010256822257</v>
      </c>
      <c r="H16" s="102">
        <f>+'Tier 3 Data'!N21*'Tier 2 Data - MOU I.6'!$A16-F16</f>
        <v>29892.79220558938</v>
      </c>
      <c r="I16" s="102">
        <f>+'Tier 3 Data'!O21*'Tier 2 Data - MOU I.6'!$A16-F16</f>
        <v>26611.185792797085</v>
      </c>
      <c r="J16" s="102">
        <f>+SUM('Annual Energy Data'!AQ26:BC26)-'Annual Energy Data'!AZ26-'Annual Energy Data'!AT26</f>
        <v>22018.530550899453</v>
      </c>
      <c r="K16" s="102">
        <f>+'Annual Energy Data'!AX26</f>
        <v>0</v>
      </c>
      <c r="L16" s="102">
        <f>+'Annual Energy Data'!AZ26</f>
        <v>0</v>
      </c>
      <c r="M16" s="102">
        <f>+'Annual Energy Data'!BA26</f>
        <v>0</v>
      </c>
      <c r="N16" s="102">
        <f>+'Annual Energy Data'!BB26</f>
        <v>475.59491100521359</v>
      </c>
      <c r="O16" s="102">
        <f>+'Annual Energy Data'!BE26</f>
        <v>1502.096929133334</v>
      </c>
      <c r="P16" s="102">
        <f>+'Annual Energy Data'!BF26</f>
        <v>1962.163919473752</v>
      </c>
      <c r="Q16" s="102">
        <f>+'Annual Energy Data'!BG26</f>
        <v>7101.3701475857169</v>
      </c>
      <c r="R16" s="102">
        <f>+'Annual Energy Data'!BH26</f>
        <v>2432.9297166518654</v>
      </c>
      <c r="S16" s="102">
        <f>+'Annual Energy Data'!BI26</f>
        <v>2668.9756954119125</v>
      </c>
      <c r="T16" s="102">
        <f>+'Annual Energy Data'!CJ26</f>
        <v>0</v>
      </c>
      <c r="U16" s="102">
        <f>+'Annual Energy Data'!CK26</f>
        <v>0</v>
      </c>
      <c r="V16" s="102">
        <f>+'Annual Energy Data'!CL26</f>
        <v>0</v>
      </c>
      <c r="W16" s="102">
        <f>+'Annual Energy Data'!CM26</f>
        <v>0</v>
      </c>
      <c r="X16" s="102">
        <f>+'Annual Energy Data'!CN26</f>
        <v>0</v>
      </c>
      <c r="Y16" s="102">
        <f>+'Annual Energy Data'!CO26</f>
        <v>0</v>
      </c>
      <c r="Z16" s="102">
        <f>+'Annual Energy Data'!CP26</f>
        <v>0</v>
      </c>
      <c r="AA16" s="102">
        <f>+SUMIF('Monthly Energy Data'!$D$128:$D$595,$B16,'Monthly Energy Data'!N$128:N$595)/(1+$AA$3)</f>
        <v>28196.65820114288</v>
      </c>
      <c r="AB16" s="102">
        <f>+SUMIF('Monthly Energy Data'!$D$128:$D$595,$B16,'Monthly Energy Data'!O$128:O$595)/(1+$AA$3)</f>
        <v>2245.8789846632098</v>
      </c>
      <c r="AC16" s="102">
        <f t="shared" si="8"/>
        <v>68604.199055967343</v>
      </c>
      <c r="AD16" s="88">
        <f t="shared" si="0"/>
        <v>-29701.177130558732</v>
      </c>
      <c r="AE16" s="88">
        <f t="shared" si="1"/>
        <v>-29701.177130558732</v>
      </c>
      <c r="AF16" s="88">
        <f t="shared" si="2"/>
        <v>-29701.177130558732</v>
      </c>
      <c r="AG16" s="88">
        <f t="shared" si="3"/>
        <v>-40015.188799145086</v>
      </c>
      <c r="AH16" s="88">
        <f t="shared" si="4"/>
        <v>-38711.406850377964</v>
      </c>
      <c r="AI16" s="88">
        <f t="shared" si="5"/>
        <v>-41993.013263170258</v>
      </c>
      <c r="AJ16" s="73" t="e">
        <f>+SUM(AD$7:AD16)</f>
        <v>#REF!</v>
      </c>
      <c r="AK16" s="58">
        <f t="shared" si="12"/>
        <v>35358.645791328163</v>
      </c>
      <c r="AL16" s="58">
        <f t="shared" si="13"/>
        <v>-5465.8535857387833</v>
      </c>
      <c r="AM16">
        <f t="shared" si="15"/>
        <v>-218634.14342955133</v>
      </c>
      <c r="AN16" s="58">
        <f t="shared" si="6"/>
        <v>-3355.6238581171674</v>
      </c>
      <c r="AO16" s="58">
        <f t="shared" si="7"/>
        <v>-2051.8419093500452</v>
      </c>
      <c r="AP16" s="58">
        <f t="shared" si="9"/>
        <v>36659.564941027915</v>
      </c>
      <c r="AQ16" s="58">
        <f t="shared" si="10"/>
        <v>40015.188799145079</v>
      </c>
      <c r="AR16" s="58">
        <f t="shared" si="10"/>
        <v>38711.406850377956</v>
      </c>
      <c r="AS16" s="184">
        <f t="shared" si="14"/>
        <v>1.1716593810022657</v>
      </c>
      <c r="AT16" s="172">
        <f t="shared" si="11"/>
        <v>46884.171339095119</v>
      </c>
      <c r="AU16" s="172">
        <f t="shared" si="11"/>
        <v>45356.582988040704</v>
      </c>
      <c r="AW16" s="280">
        <f t="shared" si="16"/>
        <v>-32.488932623350259</v>
      </c>
      <c r="AX16" s="280">
        <f t="shared" si="16"/>
        <v>-31.430372482558415</v>
      </c>
      <c r="AY16" s="280">
        <f t="shared" si="16"/>
        <v>-34.094758003184545</v>
      </c>
      <c r="BA16" s="281">
        <f t="shared" si="18"/>
        <v>-2.3943622410026251</v>
      </c>
      <c r="BB16" s="281">
        <f t="shared" si="17"/>
        <v>-1.7666912011709925</v>
      </c>
      <c r="BC16" s="281">
        <f t="shared" si="17"/>
        <v>-3.4790831440660384</v>
      </c>
    </row>
    <row r="17" spans="1:55" x14ac:dyDescent="0.2">
      <c r="A17" s="74">
        <f t="shared" ref="A17:A21" si="19">+A16+0.02</f>
        <v>9.8000000000000004E-2</v>
      </c>
      <c r="B17" s="89">
        <f>+'Annual Energy Data'!A27</f>
        <v>2027</v>
      </c>
      <c r="C17" s="102">
        <f>+'Tier 3 Data'!J22*'Tier 2 Data - MOU I.6'!$A17</f>
        <v>48508.872718352352</v>
      </c>
      <c r="D17" s="102">
        <f>+'Tier 3 Data'!K22*'Tier 2 Data - MOU I.6'!$A17</f>
        <v>48508.872718352352</v>
      </c>
      <c r="E17" s="102">
        <f>+'Tier 3 Data'!L22*'Tier 2 Data - MOU I.6'!$A17</f>
        <v>48508.872718352352</v>
      </c>
      <c r="F17" s="102">
        <f>+SUMIF('Monthly Energy Data'!D$224:D$595,'Tier 2 Data - MOU I.6'!B17,'Monthly Energy Data'!M$224:M$595)</f>
        <v>13094.50855222805</v>
      </c>
      <c r="G17" s="102">
        <f>+'Tier 3 Data'!M22*'Tier 2 Data - MOU I.6'!$A17-F17</f>
        <v>40558.655811884622</v>
      </c>
      <c r="H17" s="102">
        <f>+'Tier 3 Data'!N22*'Tier 2 Data - MOU I.6'!$A17-F17</f>
        <v>41962.009054139133</v>
      </c>
      <c r="I17" s="102">
        <f>+'Tier 3 Data'!O22*'Tier 2 Data - MOU I.6'!$A17-F17</f>
        <v>37181.622790033405</v>
      </c>
      <c r="J17" s="102">
        <f>+SUM('Annual Energy Data'!AQ27:BC27)-'Annual Energy Data'!AZ27-'Annual Energy Data'!AT27</f>
        <v>22018.530550899453</v>
      </c>
      <c r="K17" s="102">
        <f>+'Annual Energy Data'!AX27</f>
        <v>0</v>
      </c>
      <c r="L17" s="102">
        <f>+'Annual Energy Data'!AZ27</f>
        <v>0</v>
      </c>
      <c r="M17" s="102">
        <f>+'Annual Energy Data'!BA27</f>
        <v>0</v>
      </c>
      <c r="N17" s="102">
        <f>+'Annual Energy Data'!BB27</f>
        <v>475.59491100521359</v>
      </c>
      <c r="O17" s="102">
        <f>+'Annual Energy Data'!BE27</f>
        <v>1494.5864444876672</v>
      </c>
      <c r="P17" s="102">
        <f>+'Annual Energy Data'!BF27</f>
        <v>1952.3530998763833</v>
      </c>
      <c r="Q17" s="102">
        <f>+'Annual Energy Data'!BG27</f>
        <v>7065.8632968477878</v>
      </c>
      <c r="R17" s="102">
        <f>+'Annual Energy Data'!BH27</f>
        <v>2420.7650680686056</v>
      </c>
      <c r="S17" s="102">
        <f>+'Annual Energy Data'!BI27</f>
        <v>2655.6308169348531</v>
      </c>
      <c r="T17" s="102">
        <f>+'Annual Energy Data'!CJ27</f>
        <v>0</v>
      </c>
      <c r="U17" s="102">
        <f>+'Annual Energy Data'!CK27</f>
        <v>0</v>
      </c>
      <c r="V17" s="102">
        <f>+'Annual Energy Data'!CL27</f>
        <v>0</v>
      </c>
      <c r="W17" s="102">
        <f>+'Annual Energy Data'!CM27</f>
        <v>0</v>
      </c>
      <c r="X17" s="102">
        <f>+'Annual Energy Data'!CN27</f>
        <v>0</v>
      </c>
      <c r="Y17" s="102">
        <f>+'Annual Energy Data'!CO27</f>
        <v>0</v>
      </c>
      <c r="Z17" s="102">
        <f>+'Annual Energy Data'!CP27</f>
        <v>0</v>
      </c>
      <c r="AA17" s="102">
        <f>+SUMIF('Monthly Energy Data'!$D$128:$D$595,$B17,'Monthly Energy Data'!N$128:N$595)/(1+$AA$3)</f>
        <v>28196.65820114288</v>
      </c>
      <c r="AB17" s="102">
        <f>+SUMIF('Monthly Energy Data'!$D$128:$D$595,$B17,'Monthly Energy Data'!O$128:O$595)/(1+$AA$3)</f>
        <v>3716.6134858236146</v>
      </c>
      <c r="AC17" s="102">
        <f t="shared" si="8"/>
        <v>69996.595875086467</v>
      </c>
      <c r="AD17" s="88">
        <f t="shared" si="0"/>
        <v>-21487.723156734115</v>
      </c>
      <c r="AE17" s="88">
        <f t="shared" si="1"/>
        <v>-21487.723156734115</v>
      </c>
      <c r="AF17" s="88">
        <f t="shared" si="2"/>
        <v>-21487.723156734115</v>
      </c>
      <c r="AG17" s="88">
        <f t="shared" si="3"/>
        <v>-29437.940063201844</v>
      </c>
      <c r="AH17" s="88">
        <f t="shared" si="4"/>
        <v>-28034.586820947334</v>
      </c>
      <c r="AI17" s="88">
        <f t="shared" si="5"/>
        <v>-32814.973085053061</v>
      </c>
      <c r="AJ17" s="73" t="e">
        <f>+SUM(AD$7:AD17)</f>
        <v>#REF!</v>
      </c>
      <c r="AK17" s="58">
        <f t="shared" si="12"/>
        <v>36804.799749460959</v>
      </c>
      <c r="AL17" s="58">
        <f t="shared" si="13"/>
        <v>5157.2093046781738</v>
      </c>
      <c r="AM17">
        <f t="shared" si="15"/>
        <v>206288.37218712695</v>
      </c>
      <c r="AN17" s="58">
        <f t="shared" si="6"/>
        <v>7150.7976804304635</v>
      </c>
      <c r="AO17" s="58">
        <f t="shared" si="7"/>
        <v>8554.1509226849739</v>
      </c>
      <c r="AP17" s="58">
        <f t="shared" si="9"/>
        <v>36588.7377436323</v>
      </c>
      <c r="AQ17" s="58">
        <f t="shared" si="10"/>
        <v>29437.940063201837</v>
      </c>
      <c r="AR17" s="58">
        <f t="shared" si="10"/>
        <v>28034.586820947326</v>
      </c>
      <c r="AS17" s="184">
        <f t="shared" si="14"/>
        <v>1.1950925686223111</v>
      </c>
      <c r="AT17" s="172">
        <f t="shared" si="11"/>
        <v>35181.063405081521</v>
      </c>
      <c r="AU17" s="172">
        <f t="shared" si="11"/>
        <v>33503.926374111128</v>
      </c>
      <c r="AW17" s="280">
        <f t="shared" si="16"/>
        <v>-23.901105554799265</v>
      </c>
      <c r="AX17" s="280">
        <f t="shared" si="16"/>
        <v>-22.761701985738984</v>
      </c>
      <c r="AY17" s="280">
        <f t="shared" si="16"/>
        <v>-26.642969372172963</v>
      </c>
      <c r="BA17" s="281">
        <f t="shared" si="18"/>
        <v>8.5878270685509932</v>
      </c>
      <c r="BB17" s="281">
        <f t="shared" si="17"/>
        <v>8.6686704968194306</v>
      </c>
      <c r="BC17" s="281">
        <f t="shared" si="17"/>
        <v>7.4517886310115813</v>
      </c>
    </row>
    <row r="18" spans="1:55" x14ac:dyDescent="0.2">
      <c r="A18" s="74">
        <f t="shared" si="19"/>
        <v>0.11800000000000001</v>
      </c>
      <c r="B18" s="89">
        <f>+'Annual Energy Data'!A28</f>
        <v>2028</v>
      </c>
      <c r="C18" s="102">
        <f>+'Tier 3 Data'!J23*'Tier 2 Data - MOU I.6'!$A18</f>
        <v>57972.113588377804</v>
      </c>
      <c r="D18" s="102">
        <f>+'Tier 3 Data'!K23*'Tier 2 Data - MOU I.6'!$A18</f>
        <v>57972.113588377804</v>
      </c>
      <c r="E18" s="102">
        <f>+'Tier 3 Data'!L23*'Tier 2 Data - MOU I.6'!$A18</f>
        <v>57972.113588377804</v>
      </c>
      <c r="F18" s="102">
        <f>+SUMIF('Monthly Energy Data'!D$224:D$595,'Tier 2 Data - MOU I.6'!B18,'Monthly Energy Data'!M$224:M$595)</f>
        <v>13121.584537484916</v>
      </c>
      <c r="G18" s="102">
        <f>+'Tier 3 Data'!M23*'Tier 2 Data - MOU I.6'!$A18-F18</f>
        <v>53233.857723180859</v>
      </c>
      <c r="H18" s="102">
        <f>+'Tier 3 Data'!N23*'Tier 2 Data - MOU I.6'!$A18-F18</f>
        <v>54638.510584366726</v>
      </c>
      <c r="I18" s="102">
        <f>+'Tier 3 Data'!O23*'Tier 2 Data - MOU I.6'!$A18-F18</f>
        <v>48043.466195437097</v>
      </c>
      <c r="J18" s="102">
        <f>+SUM('Annual Energy Data'!AQ28:BC28)-'Annual Energy Data'!AZ28-'Annual Energy Data'!AT28</f>
        <v>22018.530550899453</v>
      </c>
      <c r="K18" s="102">
        <f>+'Annual Energy Data'!AX28</f>
        <v>0</v>
      </c>
      <c r="L18" s="102">
        <f>+'Annual Energy Data'!AZ28</f>
        <v>0</v>
      </c>
      <c r="M18" s="102">
        <f>+'Annual Energy Data'!BA28</f>
        <v>0</v>
      </c>
      <c r="N18" s="102">
        <f>+'Annual Energy Data'!BB28</f>
        <v>475.59491100521359</v>
      </c>
      <c r="O18" s="102">
        <f>+'Annual Energy Data'!BE28</f>
        <v>1487.1135122652292</v>
      </c>
      <c r="P18" s="102">
        <f>+'Annual Energy Data'!BF28</f>
        <v>1942.5913343770012</v>
      </c>
      <c r="Q18" s="102">
        <f>+'Annual Energy Data'!BG28</f>
        <v>7030.5339803635497</v>
      </c>
      <c r="R18" s="102">
        <f>+'Annual Energy Data'!BH28</f>
        <v>2408.6612427282626</v>
      </c>
      <c r="S18" s="102">
        <f>+'Annual Energy Data'!BI28</f>
        <v>2642.3526628501786</v>
      </c>
      <c r="T18" s="102">
        <f>+'Annual Energy Data'!CJ28</f>
        <v>0</v>
      </c>
      <c r="U18" s="102">
        <f>+'Annual Energy Data'!CK28</f>
        <v>0</v>
      </c>
      <c r="V18" s="102">
        <f>+'Annual Energy Data'!CL28</f>
        <v>0</v>
      </c>
      <c r="W18" s="102">
        <f>+'Annual Energy Data'!CM28</f>
        <v>0</v>
      </c>
      <c r="X18" s="102">
        <f>+'Annual Energy Data'!CN28</f>
        <v>0</v>
      </c>
      <c r="Y18" s="102">
        <f>+'Annual Energy Data'!CO28</f>
        <v>0</v>
      </c>
      <c r="Z18" s="102">
        <f>+'Annual Energy Data'!CP28</f>
        <v>0</v>
      </c>
      <c r="AA18" s="102">
        <f>+SUMIF('Monthly Energy Data'!$D$128:$D$595,$B18,'Monthly Energy Data'!N$128:N$595)/(1+$AA$3)</f>
        <v>28254.961443200569</v>
      </c>
      <c r="AB18" s="102">
        <f>+SUMIF('Monthly Energy Data'!$D$128:$D$595,$B18,'Monthly Energy Data'!O$128:O$595)/(1+$AA$3)</f>
        <v>4651.5065506662722</v>
      </c>
      <c r="AC18" s="102">
        <f t="shared" si="8"/>
        <v>70911.846188355732</v>
      </c>
      <c r="AD18" s="88">
        <f t="shared" si="0"/>
        <v>-12939.732599977928</v>
      </c>
      <c r="AE18" s="88">
        <f t="shared" si="1"/>
        <v>-12939.732599977928</v>
      </c>
      <c r="AF18" s="88">
        <f t="shared" si="2"/>
        <v>-12939.732599977928</v>
      </c>
      <c r="AG18" s="88">
        <f t="shared" si="3"/>
        <v>-17677.988465174873</v>
      </c>
      <c r="AH18" s="88">
        <f t="shared" si="4"/>
        <v>-16273.335603989006</v>
      </c>
      <c r="AI18" s="88">
        <f t="shared" si="5"/>
        <v>-22868.379992918635</v>
      </c>
      <c r="AJ18" s="73" t="e">
        <f>+SUM(AD$7:AD18)</f>
        <v>#REF!</v>
      </c>
      <c r="AK18" s="58">
        <f t="shared" si="12"/>
        <v>37773.538416048832</v>
      </c>
      <c r="AL18" s="58">
        <f t="shared" si="13"/>
        <v>16864.972168317894</v>
      </c>
      <c r="AM18">
        <f t="shared" si="15"/>
        <v>674598.88673271576</v>
      </c>
      <c r="AN18" s="58">
        <f t="shared" si="6"/>
        <v>18840.276217048791</v>
      </c>
      <c r="AO18" s="58">
        <f t="shared" si="7"/>
        <v>20244.929078234658</v>
      </c>
      <c r="AP18" s="58">
        <f t="shared" si="9"/>
        <v>36518.264682223657</v>
      </c>
      <c r="AQ18" s="58">
        <f t="shared" si="10"/>
        <v>17677.988465174865</v>
      </c>
      <c r="AR18" s="58">
        <f t="shared" si="10"/>
        <v>16273.335603988999</v>
      </c>
      <c r="AS18" s="184">
        <f t="shared" si="14"/>
        <v>1.2189944199947573</v>
      </c>
      <c r="AT18" s="172">
        <f t="shared" si="11"/>
        <v>21549.369295779845</v>
      </c>
      <c r="AU18" s="172">
        <f t="shared" si="11"/>
        <v>19837.105295964604</v>
      </c>
      <c r="AW18" s="280">
        <f t="shared" si="16"/>
        <v>-14.353024273965193</v>
      </c>
      <c r="AX18" s="280">
        <f t="shared" si="16"/>
        <v>-13.212565524780464</v>
      </c>
      <c r="AY18" s="280">
        <f t="shared" si="16"/>
        <v>-18.56718109027085</v>
      </c>
      <c r="BA18" s="281">
        <f t="shared" si="18"/>
        <v>9.5480812808340723</v>
      </c>
      <c r="BB18" s="281">
        <f t="shared" si="17"/>
        <v>9.5491364609585201</v>
      </c>
      <c r="BC18" s="281">
        <f t="shared" si="17"/>
        <v>8.0757882819021134</v>
      </c>
    </row>
    <row r="19" spans="1:55" x14ac:dyDescent="0.2">
      <c r="A19" s="74">
        <f t="shared" si="19"/>
        <v>0.13800000000000001</v>
      </c>
      <c r="B19" s="89">
        <f>+'Annual Energy Data'!A29</f>
        <v>2029</v>
      </c>
      <c r="C19" s="102">
        <f>+'Tier 3 Data'!J24*'Tier 2 Data - MOU I.6'!$A19</f>
        <v>67294.935864425701</v>
      </c>
      <c r="D19" s="102">
        <f>+'Tier 3 Data'!K24*'Tier 2 Data - MOU I.6'!$A19</f>
        <v>67294.935864425701</v>
      </c>
      <c r="E19" s="102">
        <f>+'Tier 3 Data'!L24*'Tier 2 Data - MOU I.6'!$A19</f>
        <v>67294.935864425701</v>
      </c>
      <c r="F19" s="102">
        <f>+SUMIF('Monthly Energy Data'!D$224:D$595,'Tier 2 Data - MOU I.6'!B19,'Monthly Energy Data'!M$224:M$595)</f>
        <v>13094.50855222805</v>
      </c>
      <c r="G19" s="102">
        <f>+'Tier 3 Data'!M24*'Tier 2 Data - MOU I.6'!$A19-F19</f>
        <v>66826.791868636996</v>
      </c>
      <c r="H19" s="102">
        <f>+'Tier 3 Data'!N24*'Tier 2 Data - MOU I.6'!$A19-F19</f>
        <v>68177.199811266415</v>
      </c>
      <c r="I19" s="102">
        <f>+'Tier 3 Data'!O24*'Tier 2 Data - MOU I.6'!$A19-F19</f>
        <v>59366.227848234623</v>
      </c>
      <c r="J19" s="102">
        <f>+SUM('Annual Energy Data'!AQ29:BC29)-'Annual Energy Data'!AZ29-'Annual Energy Data'!AT29</f>
        <v>22018.530550899453</v>
      </c>
      <c r="K19" s="102">
        <f>+'Annual Energy Data'!AX29</f>
        <v>0</v>
      </c>
      <c r="L19" s="102">
        <f>+'Annual Energy Data'!AZ29</f>
        <v>0</v>
      </c>
      <c r="M19" s="102">
        <f>+'Annual Energy Data'!BA29</f>
        <v>0</v>
      </c>
      <c r="N19" s="102">
        <f>+'Annual Energy Data'!BB29</f>
        <v>475.59491100521359</v>
      </c>
      <c r="O19" s="102">
        <f>+'Annual Energy Data'!BE29</f>
        <v>1479.6779447039028</v>
      </c>
      <c r="P19" s="102">
        <f>+'Annual Energy Data'!BF29</f>
        <v>1932.8783777051162</v>
      </c>
      <c r="Q19" s="102">
        <f>+'Annual Energy Data'!BG29</f>
        <v>6995.3813104617311</v>
      </c>
      <c r="R19" s="102">
        <f>+'Annual Energy Data'!BH29</f>
        <v>2396.6179365146213</v>
      </c>
      <c r="S19" s="102">
        <f>+'Annual Energy Data'!BI29</f>
        <v>2629.1408995359275</v>
      </c>
      <c r="T19" s="102">
        <f>+'Annual Energy Data'!CJ29</f>
        <v>0</v>
      </c>
      <c r="U19" s="102">
        <f>+'Annual Energy Data'!CK29</f>
        <v>0</v>
      </c>
      <c r="V19" s="102">
        <f>+'Annual Energy Data'!CL29</f>
        <v>0</v>
      </c>
      <c r="W19" s="102">
        <f>+'Annual Energy Data'!CM29</f>
        <v>0</v>
      </c>
      <c r="X19" s="102">
        <f>+'Annual Energy Data'!CN29</f>
        <v>0</v>
      </c>
      <c r="Y19" s="102">
        <f>+'Annual Energy Data'!CO29</f>
        <v>0</v>
      </c>
      <c r="Z19" s="102">
        <f>+'Annual Energy Data'!CP29</f>
        <v>0</v>
      </c>
      <c r="AA19" s="102">
        <f>+SUMIF('Monthly Energy Data'!$D$128:$D$595,$B19,'Monthly Energy Data'!N$128:N$595)/(1+$AA$3)</f>
        <v>28196.65820114288</v>
      </c>
      <c r="AB19" s="102">
        <f>+SUMIF('Monthly Energy Data'!$D$128:$D$595,$B19,'Monthly Energy Data'!O$128:O$595)/(1+$AA$3)</f>
        <v>5437.4546203270011</v>
      </c>
      <c r="AC19" s="102">
        <f t="shared" si="8"/>
        <v>71561.934752295856</v>
      </c>
      <c r="AD19" s="88">
        <f t="shared" si="0"/>
        <v>-4266.9988878701552</v>
      </c>
      <c r="AE19" s="88">
        <f t="shared" si="1"/>
        <v>-4266.9988878701552</v>
      </c>
      <c r="AF19" s="88">
        <f t="shared" si="2"/>
        <v>-4266.9988878701552</v>
      </c>
      <c r="AG19" s="88">
        <f t="shared" si="3"/>
        <v>-4735.1428836588602</v>
      </c>
      <c r="AH19" s="88">
        <f t="shared" si="4"/>
        <v>-3384.734941029441</v>
      </c>
      <c r="AI19" s="88">
        <f t="shared" si="5"/>
        <v>-12195.706904061233</v>
      </c>
      <c r="AJ19" s="73" t="e">
        <f>+SUM(AD$7:AD19)</f>
        <v>#REF!</v>
      </c>
      <c r="AK19" s="58">
        <f t="shared" si="12"/>
        <v>38476.847891540965</v>
      </c>
      <c r="AL19" s="58">
        <f t="shared" si="13"/>
        <v>29700.35191972545</v>
      </c>
      <c r="AM19">
        <f t="shared" si="15"/>
        <v>1188014.076789018</v>
      </c>
      <c r="AN19" s="58">
        <f t="shared" si="6"/>
        <v>31713.001102463211</v>
      </c>
      <c r="AO19" s="58">
        <f t="shared" si="7"/>
        <v>33063.409045092631</v>
      </c>
      <c r="AP19" s="58">
        <f t="shared" si="9"/>
        <v>36448.143986122072</v>
      </c>
      <c r="AQ19" s="58">
        <f t="shared" si="10"/>
        <v>4735.1428836588602</v>
      </c>
      <c r="AR19" s="58">
        <f t="shared" si="10"/>
        <v>3384.734941029441</v>
      </c>
      <c r="AS19" s="184">
        <f t="shared" si="14"/>
        <v>1.2433743083946525</v>
      </c>
      <c r="AT19" s="172">
        <f t="shared" si="11"/>
        <v>5887.5550081191959</v>
      </c>
      <c r="AU19" s="172">
        <f t="shared" si="11"/>
        <v>4208.4924664016962</v>
      </c>
      <c r="AW19" s="280">
        <f t="shared" ref="AW19:AY21" si="20">+AG19/(8760*AW$4)</f>
        <v>-3.8445336065093341</v>
      </c>
      <c r="AX19" s="280">
        <f t="shared" si="20"/>
        <v>-2.7481171212005959</v>
      </c>
      <c r="AY19" s="280">
        <f t="shared" si="20"/>
        <v>-9.9018775567700992</v>
      </c>
      <c r="BA19" s="281">
        <f t="shared" si="18"/>
        <v>10.50849066745586</v>
      </c>
      <c r="BB19" s="281">
        <f t="shared" si="17"/>
        <v>10.464448403579869</v>
      </c>
      <c r="BC19" s="281">
        <f t="shared" si="17"/>
        <v>8.6653035335007509</v>
      </c>
    </row>
    <row r="20" spans="1:55" x14ac:dyDescent="0.2">
      <c r="A20" s="74">
        <f t="shared" si="19"/>
        <v>0.158</v>
      </c>
      <c r="B20" s="89">
        <f>+'Annual Energy Data'!A30</f>
        <v>2030</v>
      </c>
      <c r="C20" s="102">
        <f>+'Tier 3 Data'!J25*'Tier 2 Data - MOU I.6'!$A20</f>
        <v>76485.206080234668</v>
      </c>
      <c r="D20" s="102">
        <f>+'Tier 3 Data'!K25*'Tier 2 Data - MOU I.6'!$A20</f>
        <v>76485.206080234668</v>
      </c>
      <c r="E20" s="102">
        <f>+'Tier 3 Data'!L25*'Tier 2 Data - MOU I.6'!$A20</f>
        <v>76485.206080234668</v>
      </c>
      <c r="F20" s="102">
        <f>+SUMIF('Monthly Energy Data'!D$224:D$595,'Tier 2 Data - MOU I.6'!B20,'Monthly Energy Data'!M$224:M$595)</f>
        <v>13094.50855222805</v>
      </c>
      <c r="G20" s="102">
        <f>+'Tier 3 Data'!M25*'Tier 2 Data - MOU I.6'!$A20-F20</f>
        <v>81316.37045650676</v>
      </c>
      <c r="H20" s="102">
        <f>+'Tier 3 Data'!N25*'Tier 2 Data - MOU I.6'!$A20-F20</f>
        <v>82396.151900787198</v>
      </c>
      <c r="I20" s="102">
        <f>+'Tier 3 Data'!O25*'Tier 2 Data - MOU I.6'!$A20-F20</f>
        <v>71159.572310190124</v>
      </c>
      <c r="J20" s="102">
        <f>+SUM('Annual Energy Data'!AQ30:BC30)-'Annual Energy Data'!AZ30-'Annual Energy Data'!AT30</f>
        <v>22018.530550899453</v>
      </c>
      <c r="K20" s="102">
        <f>+'Annual Energy Data'!AX30</f>
        <v>0</v>
      </c>
      <c r="L20" s="102">
        <f>+'Annual Energy Data'!AZ30</f>
        <v>0</v>
      </c>
      <c r="M20" s="102">
        <f>+'Annual Energy Data'!BA30</f>
        <v>0</v>
      </c>
      <c r="N20" s="102">
        <f>+'Annual Energy Data'!BB30</f>
        <v>475.59491100521359</v>
      </c>
      <c r="O20" s="102">
        <f>+'Annual Energy Data'!BE30</f>
        <v>1472.2795549803836</v>
      </c>
      <c r="P20" s="102">
        <f>+'Annual Energy Data'!BF30</f>
        <v>1923.2139858165906</v>
      </c>
      <c r="Q20" s="102">
        <f>+'Annual Energy Data'!BG30</f>
        <v>6960.4044039094224</v>
      </c>
      <c r="R20" s="102">
        <f>+'Annual Energy Data'!BH30</f>
        <v>2384.6348468320489</v>
      </c>
      <c r="S20" s="102">
        <f>+'Annual Energy Data'!BI30</f>
        <v>2615.9951950382488</v>
      </c>
      <c r="T20" s="102">
        <f>+'Annual Energy Data'!CJ30</f>
        <v>0</v>
      </c>
      <c r="U20" s="102">
        <f>+'Annual Energy Data'!CK30</f>
        <v>0</v>
      </c>
      <c r="V20" s="102">
        <f>+'Annual Energy Data'!CL30</f>
        <v>0</v>
      </c>
      <c r="W20" s="102">
        <f>+'Annual Energy Data'!CM30</f>
        <v>0</v>
      </c>
      <c r="X20" s="102">
        <f>+'Annual Energy Data'!CN30</f>
        <v>0</v>
      </c>
      <c r="Y20" s="102">
        <f>+'Annual Energy Data'!CO30</f>
        <v>0</v>
      </c>
      <c r="Z20" s="102">
        <f>+'Annual Energy Data'!CP30</f>
        <v>0</v>
      </c>
      <c r="AA20" s="102">
        <f>+SUMIF('Monthly Energy Data'!$D$128:$D$595,$B20,'Monthly Energy Data'!N$128:N$595)/(1+$AA$3)</f>
        <v>28196.65820114288</v>
      </c>
      <c r="AB20" s="102">
        <f>+SUMIF('Monthly Energy Data'!$D$128:$D$595,$B20,'Monthly Energy Data'!O$128:O$595)/(1+$AA$3)</f>
        <v>6023.887951654131</v>
      </c>
      <c r="AC20" s="102">
        <f t="shared" si="8"/>
        <v>72071.199601278378</v>
      </c>
      <c r="AD20" s="88">
        <f t="shared" si="0"/>
        <v>4414.0064789562894</v>
      </c>
      <c r="AE20" s="88">
        <f t="shared" si="1"/>
        <v>4414.0064789562894</v>
      </c>
      <c r="AF20" s="88">
        <f t="shared" si="2"/>
        <v>4414.0064789562894</v>
      </c>
      <c r="AG20" s="88">
        <f t="shared" si="3"/>
        <v>9245.1708552283817</v>
      </c>
      <c r="AH20" s="88">
        <f t="shared" si="4"/>
        <v>10324.952299508819</v>
      </c>
      <c r="AI20" s="88">
        <f t="shared" si="5"/>
        <v>-911.62729108825442</v>
      </c>
      <c r="AJ20" s="73" t="e">
        <f>+SUM(AD$7:AD20)</f>
        <v>#REF!</v>
      </c>
      <c r="AK20" s="58">
        <f t="shared" si="12"/>
        <v>39039.067547517741</v>
      </c>
      <c r="AL20" s="58">
        <f t="shared" si="13"/>
        <v>43357.084353269456</v>
      </c>
      <c r="AM20">
        <f t="shared" si="15"/>
        <v>1734283.3741307782</v>
      </c>
      <c r="AN20" s="58">
        <f t="shared" si="6"/>
        <v>45623.544748729357</v>
      </c>
      <c r="AO20" s="58">
        <f t="shared" si="7"/>
        <v>46703.326193009794</v>
      </c>
      <c r="AP20" s="58">
        <f t="shared" si="9"/>
        <v>36378.373893500975</v>
      </c>
      <c r="AQ20" s="58">
        <f t="shared" si="10"/>
        <v>-9245.1708552283817</v>
      </c>
      <c r="AR20" s="58">
        <f t="shared" si="10"/>
        <v>-10324.952299508819</v>
      </c>
      <c r="AS20" s="184">
        <f t="shared" si="14"/>
        <v>1.2682417945625455</v>
      </c>
      <c r="AT20" s="172">
        <f t="shared" si="11"/>
        <v>-11725.112076472185</v>
      </c>
      <c r="AU20" s="172">
        <f t="shared" si="11"/>
        <v>-13094.536033101745</v>
      </c>
      <c r="AW20" s="280">
        <f t="shared" si="20"/>
        <v>7.5062930357408089</v>
      </c>
      <c r="AX20" s="280">
        <f t="shared" si="20"/>
        <v>8.3829838035204798</v>
      </c>
      <c r="AY20" s="280">
        <f t="shared" si="20"/>
        <v>-0.74016388592939464</v>
      </c>
      <c r="BA20" s="281">
        <f t="shared" si="18"/>
        <v>11.350826642250142</v>
      </c>
      <c r="BB20" s="281">
        <f t="shared" si="17"/>
        <v>11.131100924721075</v>
      </c>
      <c r="BC20" s="281">
        <f t="shared" si="17"/>
        <v>9.1617136708407045</v>
      </c>
    </row>
    <row r="21" spans="1:55" x14ac:dyDescent="0.2">
      <c r="A21" s="74">
        <f t="shared" si="19"/>
        <v>0.17799999999999999</v>
      </c>
      <c r="B21" s="89">
        <f>+'Annual Energy Data'!A31</f>
        <v>2031</v>
      </c>
      <c r="C21" s="102">
        <f>+'Tier 3 Data'!J26*'Tier 2 Data - MOU I.6'!$A21</f>
        <v>85533.598063019352</v>
      </c>
      <c r="D21" s="102">
        <f>+'Tier 3 Data'!K26*'Tier 2 Data - MOU I.6'!$A21</f>
        <v>85533.598063019352</v>
      </c>
      <c r="E21" s="102">
        <f>+'Tier 3 Data'!L26*'Tier 2 Data - MOU I.6'!$A21</f>
        <v>85533.598063019352</v>
      </c>
      <c r="F21" s="102">
        <f>+SUMIF('Monthly Energy Data'!D$224:D$595,'Tier 2 Data - MOU I.6'!B21,'Monthly Energy Data'!M$224:M$595)</f>
        <v>13094.50855222805</v>
      </c>
      <c r="G21" s="102">
        <f>+'Tier 3 Data'!M26*'Tier 2 Data - MOU I.6'!$A21-F21</f>
        <v>96576.076159754855</v>
      </c>
      <c r="H21" s="102">
        <f>+'Tier 3 Data'!N26*'Tier 2 Data - MOU I.6'!$A21-F21</f>
        <v>97420.969711413607</v>
      </c>
      <c r="I21" s="102">
        <f>+'Tier 3 Data'!O26*'Tier 2 Data - MOU I.6'!$A21-F21</f>
        <v>83492.855830470799</v>
      </c>
      <c r="J21" s="102">
        <f>+SUM('Annual Energy Data'!AQ31:BC31)-'Annual Energy Data'!AZ31-'Annual Energy Data'!AT31</f>
        <v>21887.353370889454</v>
      </c>
      <c r="K21" s="102">
        <f>+'Annual Energy Data'!AX31</f>
        <v>0</v>
      </c>
      <c r="L21" s="102">
        <f>+'Annual Energy Data'!AZ31</f>
        <v>0</v>
      </c>
      <c r="M21" s="102">
        <f>+'Annual Energy Data'!BA31</f>
        <v>0</v>
      </c>
      <c r="N21" s="102">
        <f>+'Annual Energy Data'!BB31</f>
        <v>475.59491100521353</v>
      </c>
      <c r="O21" s="102">
        <f>+'Annual Energy Data'!BE31</f>
        <v>1464.9181572054813</v>
      </c>
      <c r="P21" s="102">
        <f>+'Annual Energy Data'!BF31</f>
        <v>1913.5979158875077</v>
      </c>
      <c r="Q21" s="102">
        <f>+'Annual Energy Data'!BG31</f>
        <v>6925.6023818898757</v>
      </c>
      <c r="R21" s="102">
        <f>+'Annual Energy Data'!BH31</f>
        <v>2372.7116725978881</v>
      </c>
      <c r="S21" s="102">
        <f>+'Annual Energy Data'!BI31</f>
        <v>2602.9152190630575</v>
      </c>
      <c r="T21" s="102">
        <f>+'Annual Energy Data'!CJ31</f>
        <v>0</v>
      </c>
      <c r="U21" s="102">
        <f>+'Annual Energy Data'!CK31</f>
        <v>0</v>
      </c>
      <c r="V21" s="102">
        <f>+'Annual Energy Data'!CL31</f>
        <v>0</v>
      </c>
      <c r="W21" s="102">
        <f>+'Annual Energy Data'!CM31</f>
        <v>0</v>
      </c>
      <c r="X21" s="102">
        <f>+'Annual Energy Data'!CN31</f>
        <v>0</v>
      </c>
      <c r="Y21" s="102">
        <f>+'Annual Energy Data'!CO31</f>
        <v>0</v>
      </c>
      <c r="Z21" s="102">
        <f>+'Annual Energy Data'!CP31</f>
        <v>0</v>
      </c>
      <c r="AA21" s="102">
        <f>+SUMIF('Monthly Energy Data'!$D$128:$D$595,$B21,'Monthly Energy Data'!N$128:N$595)/(1+$AA$3)</f>
        <v>28196.65820114288</v>
      </c>
      <c r="AB21" s="102">
        <f>+SUMIF('Monthly Energy Data'!$D$128:$D$595,$B21,'Monthly Energy Data'!O$128:O$595)/(1+$AA$3)</f>
        <v>6554.3599402528862</v>
      </c>
      <c r="AC21" s="102">
        <f t="shared" si="8"/>
        <v>72393.711769934249</v>
      </c>
      <c r="AD21" s="88">
        <f t="shared" si="0"/>
        <v>13139.886293085103</v>
      </c>
      <c r="AE21" s="88">
        <f t="shared" si="1"/>
        <v>13139.886293085103</v>
      </c>
      <c r="AF21" s="88">
        <f t="shared" si="2"/>
        <v>13139.886293085103</v>
      </c>
      <c r="AG21" s="88">
        <f t="shared" si="3"/>
        <v>24182.364389820606</v>
      </c>
      <c r="AH21" s="88">
        <f t="shared" si="4"/>
        <v>25027.257941479358</v>
      </c>
      <c r="AI21" s="88">
        <f t="shared" si="5"/>
        <v>11099.14406053655</v>
      </c>
      <c r="AJ21" s="73" t="e">
        <f>+SUM(AD$7:AD21)</f>
        <v>#REF!</v>
      </c>
      <c r="AK21" s="58">
        <f t="shared" si="12"/>
        <v>39545.44692914289</v>
      </c>
      <c r="AL21" s="58">
        <f t="shared" si="13"/>
        <v>57875.522782270717</v>
      </c>
      <c r="AM21">
        <f t="shared" si="15"/>
        <v>2315020.9112908286</v>
      </c>
      <c r="AN21" s="58">
        <f t="shared" si="6"/>
        <v>60360.139861153606</v>
      </c>
      <c r="AO21" s="58">
        <f t="shared" si="7"/>
        <v>61205.033412812358</v>
      </c>
      <c r="AP21" s="58">
        <f t="shared" si="9"/>
        <v>36177.775471333</v>
      </c>
      <c r="AQ21" s="58">
        <f t="shared" si="10"/>
        <v>-24182.364389820606</v>
      </c>
      <c r="AR21" s="58">
        <f t="shared" si="10"/>
        <v>-25027.257941479358</v>
      </c>
      <c r="AS21" s="184">
        <f t="shared" si="14"/>
        <v>1.2936066304537963</v>
      </c>
      <c r="AT21" s="172">
        <f t="shared" si="11"/>
        <v>-31282.46691472171</v>
      </c>
      <c r="AU21" s="172">
        <f t="shared" si="11"/>
        <v>-32375.426815175128</v>
      </c>
      <c r="AW21" s="281">
        <f t="shared" si="20"/>
        <v>19.634024751895502</v>
      </c>
      <c r="AX21" s="281">
        <f t="shared" si="20"/>
        <v>20.320006512759537</v>
      </c>
      <c r="AY21" s="281">
        <f t="shared" si="20"/>
        <v>9.0115617189674317</v>
      </c>
      <c r="BA21" s="281">
        <f t="shared" si="18"/>
        <v>12.127731716154694</v>
      </c>
      <c r="BB21" s="281">
        <f t="shared" si="17"/>
        <v>11.937022709239058</v>
      </c>
      <c r="BC21" s="281">
        <f t="shared" si="17"/>
        <v>9.7517256048968264</v>
      </c>
    </row>
    <row r="22" spans="1:55" x14ac:dyDescent="0.2">
      <c r="A22" s="74">
        <v>0.2</v>
      </c>
      <c r="B22" s="89">
        <f>+'Annual Energy Data'!A32</f>
        <v>2032</v>
      </c>
      <c r="C22" s="102">
        <f>+'Tier 3 Data'!J27*'Tier 2 Data - MOU I.6'!$A22</f>
        <v>95394.865971174659</v>
      </c>
      <c r="D22" s="102">
        <f>+'Tier 3 Data'!K27*'Tier 2 Data - MOU I.6'!$A22</f>
        <v>95394.865971174659</v>
      </c>
      <c r="E22" s="102">
        <f>+'Tier 3 Data'!L27*'Tier 2 Data - MOU I.6'!$A22</f>
        <v>95394.865971174659</v>
      </c>
      <c r="F22" s="102">
        <f>+SUMIF('Monthly Energy Data'!D$224:D$595,'Tier 2 Data - MOU I.6'!B22,'Monthly Energy Data'!M$224:M$595)</f>
        <v>13121.584537484916</v>
      </c>
      <c r="G22" s="102">
        <f>+'Tier 3 Data'!M27*'Tier 2 Data - MOU I.6'!$A22-F22</f>
        <v>113813.42073396813</v>
      </c>
      <c r="H22" s="102">
        <f>+'Tier 3 Data'!N27*'Tier 2 Data - MOU I.6'!$A22-F22</f>
        <v>114616.06480372493</v>
      </c>
      <c r="I22" s="102">
        <f>+'Tier 3 Data'!O27*'Tier 2 Data - MOU I.6'!$A22-F22</f>
        <v>97530.246348870918</v>
      </c>
      <c r="J22" s="102">
        <f>+SUM('Annual Energy Data'!AQ32:BC32)-'Annual Energy Data'!AZ32-'Annual Energy Data'!AT32</f>
        <v>21699.87913878214</v>
      </c>
      <c r="K22" s="102">
        <f>+'Annual Energy Data'!AX32</f>
        <v>0</v>
      </c>
      <c r="L22" s="102">
        <f>+'Annual Energy Data'!AZ32</f>
        <v>0</v>
      </c>
      <c r="M22" s="102">
        <f>+'Annual Energy Data'!BA32</f>
        <v>0</v>
      </c>
      <c r="N22" s="102">
        <f>+'Annual Energy Data'!BB32</f>
        <v>475.59491100521353</v>
      </c>
      <c r="O22" s="102">
        <f>+'Annual Energy Data'!BE32</f>
        <v>1457.5935664194537</v>
      </c>
      <c r="P22" s="102">
        <f>+'Annual Energy Data'!BF32</f>
        <v>1904.0299263080701</v>
      </c>
      <c r="Q22" s="102">
        <f>+'Annual Energy Data'!BG32</f>
        <v>6890.9743699804267</v>
      </c>
      <c r="R22" s="102">
        <f>+'Annual Energy Data'!BH32</f>
        <v>2360.8481142348987</v>
      </c>
      <c r="S22" s="102">
        <f>+'Annual Energy Data'!BI32</f>
        <v>2589.900642967742</v>
      </c>
      <c r="T22" s="102">
        <f>+'Annual Energy Data'!CJ32</f>
        <v>0</v>
      </c>
      <c r="U22" s="102">
        <f>+'Annual Energy Data'!CK32</f>
        <v>0</v>
      </c>
      <c r="V22" s="102">
        <f>+'Annual Energy Data'!CL32</f>
        <v>0</v>
      </c>
      <c r="W22" s="102">
        <f>+'Annual Energy Data'!CM32</f>
        <v>0</v>
      </c>
      <c r="X22" s="102">
        <f>+'Annual Energy Data'!CN32</f>
        <v>0</v>
      </c>
      <c r="Y22" s="102">
        <f>+'Annual Energy Data'!CO32</f>
        <v>0</v>
      </c>
      <c r="Z22" s="102">
        <f>+'Annual Energy Data'!CP32</f>
        <v>0</v>
      </c>
      <c r="AA22" s="102">
        <f>+SUMIF('Monthly Energy Data'!$D$128:$D$595,$B22,'Monthly Energy Data'!N$128:N$595)/(1+$AA$3)</f>
        <v>28254.961443200569</v>
      </c>
      <c r="AB22" s="102">
        <f>+SUMIF('Monthly Energy Data'!$D$128:$D$595,$B22,'Monthly Energy Data'!O$128:O$595)/(1+$AA$3)</f>
        <v>6948.8118863940417</v>
      </c>
      <c r="AC22" s="102">
        <f t="shared" si="8"/>
        <v>72582.593999292556</v>
      </c>
      <c r="AD22" s="88">
        <f t="shared" si="0"/>
        <v>22812.271971882103</v>
      </c>
      <c r="AE22" s="88">
        <f t="shared" si="1"/>
        <v>22812.271971882103</v>
      </c>
      <c r="AF22" s="88">
        <f t="shared" si="2"/>
        <v>22812.271971882103</v>
      </c>
      <c r="AG22" s="88">
        <f t="shared" si="3"/>
        <v>41230.826734675575</v>
      </c>
      <c r="AH22" s="88">
        <f t="shared" si="4"/>
        <v>42033.470804432378</v>
      </c>
      <c r="AI22" s="88">
        <f t="shared" si="5"/>
        <v>24947.652349578362</v>
      </c>
      <c r="AJ22" s="73" t="e">
        <f>+SUM(AD$7:AD22)</f>
        <v>#REF!</v>
      </c>
      <c r="AK22" s="58">
        <f t="shared" si="12"/>
        <v>39974.229973402995</v>
      </c>
      <c r="AL22" s="58">
        <f t="shared" si="13"/>
        <v>74641.834830321939</v>
      </c>
      <c r="AM22">
        <f t="shared" si="15"/>
        <v>2985673.3932128777</v>
      </c>
      <c r="AN22" s="58">
        <f t="shared" si="6"/>
        <v>77152.053837954067</v>
      </c>
      <c r="AO22" s="58">
        <f t="shared" si="7"/>
        <v>77954.697907710855</v>
      </c>
      <c r="AP22" s="58">
        <f t="shared" si="9"/>
        <v>35921.227103278492</v>
      </c>
      <c r="AQ22" s="58">
        <f t="shared" si="10"/>
        <v>-41230.826734675575</v>
      </c>
      <c r="AR22" s="58">
        <f t="shared" si="10"/>
        <v>-42033.470804432363</v>
      </c>
      <c r="AS22" s="184">
        <f t="shared" si="14"/>
        <v>1.3194787630628724</v>
      </c>
      <c r="AT22" s="172">
        <f t="shared" si="11"/>
        <v>-54403.200259929334</v>
      </c>
      <c r="AU22" s="172">
        <f t="shared" si="11"/>
        <v>-55462.272064271776</v>
      </c>
      <c r="AW22" s="281">
        <f t="shared" ref="AW22:AY40" si="21">+AG22/(8760*AW$4)</f>
        <v>33.47592731629252</v>
      </c>
      <c r="AX22" s="281">
        <f t="shared" si="21"/>
        <v>34.127606088414609</v>
      </c>
      <c r="AY22" s="281">
        <f t="shared" si="21"/>
        <v>20.255373537398725</v>
      </c>
      <c r="BA22" s="281">
        <f t="shared" si="18"/>
        <v>13.841902564397017</v>
      </c>
      <c r="BB22" s="281">
        <f t="shared" si="17"/>
        <v>13.807599575655072</v>
      </c>
      <c r="BC22" s="281">
        <f t="shared" si="17"/>
        <v>11.243811818431293</v>
      </c>
    </row>
    <row r="23" spans="1:55" x14ac:dyDescent="0.2">
      <c r="A23" s="74">
        <f>+A22</f>
        <v>0.2</v>
      </c>
      <c r="B23" s="89">
        <f>+'Annual Energy Data'!A33</f>
        <v>2033</v>
      </c>
      <c r="C23" s="102">
        <f>+'Tier 3 Data'!J28*'Tier 2 Data - MOU I.6'!$A23</f>
        <v>94694.463499566817</v>
      </c>
      <c r="D23" s="102">
        <f>+'Tier 3 Data'!K28*'Tier 2 Data - MOU I.6'!$A23</f>
        <v>94694.463499566817</v>
      </c>
      <c r="E23" s="102">
        <f>+'Tier 3 Data'!L28*'Tier 2 Data - MOU I.6'!$A23</f>
        <v>94694.463499566817</v>
      </c>
      <c r="F23" s="102">
        <f>+SUMIF('Monthly Energy Data'!D$224:D$595,'Tier 2 Data - MOU I.6'!B23,'Monthly Energy Data'!M$224:M$595)</f>
        <v>13094.50855222805</v>
      </c>
      <c r="G23" s="102">
        <f>+'Tier 3 Data'!M28*'Tier 2 Data - MOU I.6'!$A23-F23</f>
        <v>117431.52869321278</v>
      </c>
      <c r="H23" s="102">
        <f>+'Tier 3 Data'!N28*'Tier 2 Data - MOU I.6'!$A23-F23</f>
        <v>118338.34810257296</v>
      </c>
      <c r="I23" s="102">
        <f>+'Tier 3 Data'!O28*'Tier 2 Data - MOU I.6'!$A23-F23</f>
        <v>99951.795558023587</v>
      </c>
      <c r="J23" s="102">
        <f>+SUM('Annual Energy Data'!AQ33:BC33)-'Annual Energy Data'!AZ33-'Annual Energy Data'!AT33</f>
        <v>21488.380168451804</v>
      </c>
      <c r="K23" s="102">
        <f>+'Annual Energy Data'!AX33</f>
        <v>0</v>
      </c>
      <c r="L23" s="102">
        <f>+'Annual Energy Data'!AZ33</f>
        <v>0</v>
      </c>
      <c r="M23" s="102">
        <f>+'Annual Energy Data'!BA33</f>
        <v>0</v>
      </c>
      <c r="N23" s="102">
        <f>+'Annual Energy Data'!BB33</f>
        <v>475.59491100521353</v>
      </c>
      <c r="O23" s="102">
        <f>+'Annual Energy Data'!BE33</f>
        <v>1450.3055985873568</v>
      </c>
      <c r="P23" s="102">
        <f>+'Annual Energy Data'!BF33</f>
        <v>1894.5097766765298</v>
      </c>
      <c r="Q23" s="102">
        <f>+'Annual Energy Data'!BG33</f>
        <v>6856.519498130524</v>
      </c>
      <c r="R23" s="102">
        <f>+'Annual Energy Data'!BH33</f>
        <v>2349.0438736637238</v>
      </c>
      <c r="S23" s="102">
        <f>+'Annual Energy Data'!BI33</f>
        <v>2576.9511397529031</v>
      </c>
      <c r="T23" s="102">
        <f>+'Annual Energy Data'!CJ33</f>
        <v>0</v>
      </c>
      <c r="U23" s="102">
        <f>+'Annual Energy Data'!CK33</f>
        <v>0</v>
      </c>
      <c r="V23" s="102">
        <f>+'Annual Energy Data'!CL33</f>
        <v>0</v>
      </c>
      <c r="W23" s="102">
        <f>+'Annual Energy Data'!CM33</f>
        <v>0</v>
      </c>
      <c r="X23" s="102">
        <f>+'Annual Energy Data'!CN33</f>
        <v>0</v>
      </c>
      <c r="Y23" s="102">
        <f>+'Annual Energy Data'!CO33</f>
        <v>0</v>
      </c>
      <c r="Z23" s="102">
        <f>+'Annual Energy Data'!CP33</f>
        <v>0</v>
      </c>
      <c r="AA23" s="102">
        <f>+SUMIF('Monthly Energy Data'!$D$128:$D$595,$B23,'Monthly Energy Data'!N$128:N$595)/(1+$AA$3)</f>
        <v>28196.65820114288</v>
      </c>
      <c r="AB23" s="102">
        <f>+SUMIF('Monthly Energy Data'!$D$128:$D$595,$B23,'Monthly Energy Data'!O$128:O$595)/(1+$AA$3)</f>
        <v>7304.772246524748</v>
      </c>
      <c r="AC23" s="102">
        <f t="shared" si="8"/>
        <v>72592.73541393569</v>
      </c>
      <c r="AD23" s="88">
        <f t="shared" si="0"/>
        <v>22101.728085631126</v>
      </c>
      <c r="AE23" s="88">
        <f t="shared" si="1"/>
        <v>22101.728085631126</v>
      </c>
      <c r="AF23" s="88">
        <f t="shared" si="2"/>
        <v>22101.728085631126</v>
      </c>
      <c r="AG23" s="88">
        <f t="shared" si="3"/>
        <v>44838.793279277088</v>
      </c>
      <c r="AH23" s="88">
        <f t="shared" si="4"/>
        <v>45745.612688637266</v>
      </c>
      <c r="AI23" s="88">
        <f t="shared" si="5"/>
        <v>27359.060144087896</v>
      </c>
      <c r="AJ23" s="73" t="e">
        <f>+SUM(AD$7:AD23)</f>
        <v>#REF!</v>
      </c>
      <c r="AK23" s="58">
        <f t="shared" si="12"/>
        <v>40248.034808256969</v>
      </c>
      <c r="AL23" s="58">
        <f t="shared" si="13"/>
        <v>78090.313294315987</v>
      </c>
      <c r="AM23">
        <f t="shared" si="15"/>
        <v>3123612.5317726396</v>
      </c>
      <c r="AN23" s="58">
        <f t="shared" si="6"/>
        <v>80479.792646957794</v>
      </c>
      <c r="AO23" s="58">
        <f t="shared" si="7"/>
        <v>81386.612056317972</v>
      </c>
      <c r="AP23" s="58">
        <f t="shared" si="9"/>
        <v>35640.999367680706</v>
      </c>
      <c r="AQ23" s="58">
        <f t="shared" si="10"/>
        <v>-44838.793279277088</v>
      </c>
      <c r="AR23" s="58">
        <f t="shared" si="10"/>
        <v>-45745.612688637266</v>
      </c>
      <c r="AS23" s="184">
        <f t="shared" si="14"/>
        <v>1.3458683383241299</v>
      </c>
      <c r="AT23" s="172">
        <f t="shared" si="11"/>
        <v>-60347.11220323982</v>
      </c>
      <c r="AU23" s="172">
        <f t="shared" si="11"/>
        <v>-61567.57173487547</v>
      </c>
      <c r="AW23" s="281">
        <f t="shared" si="21"/>
        <v>36.405289528307492</v>
      </c>
      <c r="AX23" s="281">
        <f t="shared" si="21"/>
        <v>37.141549822870402</v>
      </c>
      <c r="AY23" s="281">
        <f t="shared" si="21"/>
        <v>22.213231733607351</v>
      </c>
      <c r="BA23" s="281">
        <f t="shared" si="18"/>
        <v>2.929362212014972</v>
      </c>
      <c r="BB23" s="281">
        <f t="shared" si="17"/>
        <v>3.0139437344557933</v>
      </c>
      <c r="BC23" s="281">
        <f t="shared" si="17"/>
        <v>1.9578581962086261</v>
      </c>
    </row>
    <row r="24" spans="1:55" x14ac:dyDescent="0.2">
      <c r="A24" s="74">
        <f t="shared" ref="A24:A40" si="22">+A23</f>
        <v>0.2</v>
      </c>
      <c r="B24" s="89">
        <f>+'Annual Energy Data'!A34</f>
        <v>2034</v>
      </c>
      <c r="C24" s="102">
        <f>+'Tier 3 Data'!J29*'Tier 2 Data - MOU I.6'!$A24</f>
        <v>94002.322409866028</v>
      </c>
      <c r="D24" s="102">
        <f>+'Tier 3 Data'!K29*'Tier 2 Data - MOU I.6'!$A24</f>
        <v>94002.322409866028</v>
      </c>
      <c r="E24" s="102">
        <f>+'Tier 3 Data'!L29*'Tier 2 Data - MOU I.6'!$A24</f>
        <v>94002.322409866028</v>
      </c>
      <c r="F24" s="102">
        <f>+SUMIF('Monthly Energy Data'!D$224:D$595,'Tier 2 Data - MOU I.6'!B24,'Monthly Energy Data'!M$224:M$595)</f>
        <v>13094.50855222805</v>
      </c>
      <c r="G24" s="102">
        <f>+'Tier 3 Data'!M29*'Tier 2 Data - MOU I.6'!$A24-F24</f>
        <v>120870.2886820428</v>
      </c>
      <c r="H24" s="102">
        <f>+'Tier 3 Data'!N29*'Tier 2 Data - MOU I.6'!$A24-F24</f>
        <v>122155.68456068909</v>
      </c>
      <c r="I24" s="102">
        <f>+'Tier 3 Data'!O29*'Tier 2 Data - MOU I.6'!$A24-F24</f>
        <v>102594.49191926629</v>
      </c>
      <c r="J24" s="102">
        <f>+SUM('Annual Energy Data'!AQ34:BC34)-'Annual Energy Data'!AZ34-'Annual Energy Data'!AT34</f>
        <v>21226.078797851602</v>
      </c>
      <c r="K24" s="102">
        <f>+'Annual Energy Data'!AX34</f>
        <v>0</v>
      </c>
      <c r="L24" s="102">
        <f>+'Annual Energy Data'!AZ34</f>
        <v>0</v>
      </c>
      <c r="M24" s="102">
        <f>+'Annual Energy Data'!BA34</f>
        <v>0</v>
      </c>
      <c r="N24" s="102">
        <f>+'Annual Energy Data'!BB34</f>
        <v>475.59491100521353</v>
      </c>
      <c r="O24" s="102">
        <f>+'Annual Energy Data'!BE34</f>
        <v>1443.0540705944197</v>
      </c>
      <c r="P24" s="102">
        <f>+'Annual Energy Data'!BF34</f>
        <v>1885.0372277931469</v>
      </c>
      <c r="Q24" s="102">
        <f>+'Annual Energy Data'!BG34</f>
        <v>6822.2369006398712</v>
      </c>
      <c r="R24" s="102">
        <f>+'Annual Energy Data'!BH34</f>
        <v>2337.2986542954059</v>
      </c>
      <c r="S24" s="102">
        <f>+'Annual Energy Data'!BI34</f>
        <v>2564.0663840541388</v>
      </c>
      <c r="T24" s="102">
        <f>+'Annual Energy Data'!CJ34</f>
        <v>0</v>
      </c>
      <c r="U24" s="102">
        <f>+'Annual Energy Data'!CK34</f>
        <v>0</v>
      </c>
      <c r="V24" s="102">
        <f>+'Annual Energy Data'!CL34</f>
        <v>0</v>
      </c>
      <c r="W24" s="102">
        <f>+'Annual Energy Data'!CM34</f>
        <v>0</v>
      </c>
      <c r="X24" s="102">
        <f>+'Annual Energy Data'!CN34</f>
        <v>0</v>
      </c>
      <c r="Y24" s="102">
        <f>+'Annual Energy Data'!CO34</f>
        <v>0</v>
      </c>
      <c r="Z24" s="102">
        <f>+'Annual Energy Data'!CP34</f>
        <v>0</v>
      </c>
      <c r="AA24" s="102">
        <f>+SUMIF('Monthly Energy Data'!$D$128:$D$595,$B24,'Monthly Energy Data'!N$128:N$595)/(1+$AA$3)</f>
        <v>28196.65820114288</v>
      </c>
      <c r="AB24" s="102">
        <f>+SUMIF('Monthly Energy Data'!$D$128:$D$595,$B24,'Monthly Energy Data'!O$128:O$595)/(1+$AA$3)</f>
        <v>7560.1791582044043</v>
      </c>
      <c r="AC24" s="102">
        <f t="shared" si="8"/>
        <v>72510.204305581094</v>
      </c>
      <c r="AD24" s="88">
        <f t="shared" si="0"/>
        <v>21492.118104284935</v>
      </c>
      <c r="AE24" s="88">
        <f t="shared" si="1"/>
        <v>21492.118104284935</v>
      </c>
      <c r="AF24" s="88">
        <f t="shared" si="2"/>
        <v>21492.118104284935</v>
      </c>
      <c r="AG24" s="88">
        <f t="shared" si="3"/>
        <v>48360.084376461702</v>
      </c>
      <c r="AH24" s="88">
        <f t="shared" si="4"/>
        <v>49645.480255107992</v>
      </c>
      <c r="AI24" s="88">
        <f t="shared" si="5"/>
        <v>30084.287613685199</v>
      </c>
      <c r="AJ24" s="73" t="e">
        <f>+SUM(AD$7:AD24)</f>
        <v>#REF!</v>
      </c>
      <c r="AK24" s="58">
        <f t="shared" si="12"/>
        <v>40479.708698133691</v>
      </c>
      <c r="AL24" s="58">
        <f t="shared" si="13"/>
        <v>81675.975862555395</v>
      </c>
      <c r="AM24">
        <f t="shared" si="15"/>
        <v>3267039.0345022157</v>
      </c>
      <c r="AN24" s="58">
        <f t="shared" si="6"/>
        <v>83670.397252101087</v>
      </c>
      <c r="AO24" s="58">
        <f t="shared" si="7"/>
        <v>84955.793130747377</v>
      </c>
      <c r="AP24" s="58">
        <f t="shared" si="9"/>
        <v>35310.312875639393</v>
      </c>
      <c r="AQ24" s="58">
        <f t="shared" si="10"/>
        <v>-48360.084376461695</v>
      </c>
      <c r="AR24" s="58">
        <f t="shared" si="10"/>
        <v>-49645.480255107985</v>
      </c>
      <c r="AS24" s="184">
        <f t="shared" si="14"/>
        <v>1.3727857050906125</v>
      </c>
      <c r="AT24" s="172">
        <f t="shared" si="11"/>
        <v>-66388.032528982483</v>
      </c>
      <c r="AU24" s="172">
        <f t="shared" si="11"/>
        <v>-68152.605616570494</v>
      </c>
      <c r="AW24" s="281">
        <f t="shared" si="21"/>
        <v>39.264278643112775</v>
      </c>
      <c r="AX24" s="281">
        <f t="shared" si="21"/>
        <v>40.307910857502414</v>
      </c>
      <c r="AY24" s="281">
        <f t="shared" si="21"/>
        <v>24.42588483609482</v>
      </c>
      <c r="BA24" s="281">
        <f t="shared" si="18"/>
        <v>2.8589891148052828</v>
      </c>
      <c r="BB24" s="281">
        <f t="shared" si="17"/>
        <v>3.1663610346320112</v>
      </c>
      <c r="BC24" s="281">
        <f t="shared" si="17"/>
        <v>2.2126531024874687</v>
      </c>
    </row>
    <row r="25" spans="1:55" x14ac:dyDescent="0.2">
      <c r="A25" s="74">
        <f t="shared" si="22"/>
        <v>0.2</v>
      </c>
      <c r="B25" s="89">
        <f>+'Annual Energy Data'!A35</f>
        <v>2035</v>
      </c>
      <c r="C25" s="102">
        <f>+'Tier 3 Data'!J30*'Tier 2 Data - MOU I.6'!$A25</f>
        <v>93311.101090404438</v>
      </c>
      <c r="D25" s="102">
        <f>+'Tier 3 Data'!K30*'Tier 2 Data - MOU I.6'!$A25</f>
        <v>93311.101090404438</v>
      </c>
      <c r="E25" s="102">
        <f>+'Tier 3 Data'!L30*'Tier 2 Data - MOU I.6'!$A25</f>
        <v>93311.101090404438</v>
      </c>
      <c r="F25" s="102">
        <f>+SUMIF('Monthly Energy Data'!D$224:D$595,'Tier 2 Data - MOU I.6'!B25,'Monthly Energy Data'!M$224:M$595)</f>
        <v>13094.50855222805</v>
      </c>
      <c r="G25" s="102">
        <f>+'Tier 3 Data'!M30*'Tier 2 Data - MOU I.6'!$A25-F25</f>
        <v>123832.47511664065</v>
      </c>
      <c r="H25" s="102">
        <f>+'Tier 3 Data'!N30*'Tier 2 Data - MOU I.6'!$A25-F25</f>
        <v>125914.17533073862</v>
      </c>
      <c r="I25" s="102">
        <f>+'Tier 3 Data'!O30*'Tier 2 Data - MOU I.6'!$A25-F25</f>
        <v>105427.98142433999</v>
      </c>
      <c r="J25" s="102">
        <f>+SUM('Annual Energy Data'!AQ35:BC35)-'Annual Energy Data'!AZ35-'Annual Energy Data'!AT35</f>
        <v>21223.151654515084</v>
      </c>
      <c r="K25" s="102">
        <f>+'Annual Energy Data'!AX35</f>
        <v>0</v>
      </c>
      <c r="L25" s="102">
        <f>+'Annual Energy Data'!AZ35</f>
        <v>0</v>
      </c>
      <c r="M25" s="102">
        <f>+'Annual Energy Data'!BA35</f>
        <v>0</v>
      </c>
      <c r="N25" s="102">
        <f>+'Annual Energy Data'!BB35</f>
        <v>475.59491100521353</v>
      </c>
      <c r="O25" s="102">
        <f>+'Annual Energy Data'!BE35</f>
        <v>1435.8388002414474</v>
      </c>
      <c r="P25" s="102">
        <f>+'Annual Energy Data'!BF35</f>
        <v>1875.6120416541814</v>
      </c>
      <c r="Q25" s="102">
        <f>+'Annual Energy Data'!BG35</f>
        <v>6788.1257161366721</v>
      </c>
      <c r="R25" s="102">
        <f>+'Annual Energy Data'!BH35</f>
        <v>2325.6121610239288</v>
      </c>
      <c r="S25" s="102">
        <f>+'Annual Energy Data'!BI35</f>
        <v>2551.246052133868</v>
      </c>
      <c r="T25" s="102">
        <f>+'Annual Energy Data'!CJ35</f>
        <v>0</v>
      </c>
      <c r="U25" s="102">
        <f>+'Annual Energy Data'!CK35</f>
        <v>0</v>
      </c>
      <c r="V25" s="102">
        <f>+'Annual Energy Data'!CL35</f>
        <v>0</v>
      </c>
      <c r="W25" s="102">
        <f>+'Annual Energy Data'!CM35</f>
        <v>0</v>
      </c>
      <c r="X25" s="102">
        <f>+'Annual Energy Data'!CN35</f>
        <v>0</v>
      </c>
      <c r="Y25" s="102">
        <f>+'Annual Energy Data'!CO35</f>
        <v>0</v>
      </c>
      <c r="Z25" s="102">
        <f>+'Annual Energy Data'!CP35</f>
        <v>0</v>
      </c>
      <c r="AA25" s="102">
        <f>+SUMIF('Monthly Energy Data'!$D$128:$D$595,$B25,'Monthly Energy Data'!N$128:N$595)/(1+$AA$3)</f>
        <v>28196.65820114288</v>
      </c>
      <c r="AB25" s="102">
        <f>+SUMIF('Monthly Energy Data'!$D$128:$D$595,$B25,'Monthly Energy Data'!O$128:O$595)/(1+$AA$3)</f>
        <v>7832.7815658977834</v>
      </c>
      <c r="AC25" s="102">
        <f t="shared" si="8"/>
        <v>72704.621103751051</v>
      </c>
      <c r="AD25" s="88">
        <f t="shared" si="0"/>
        <v>20606.479986653387</v>
      </c>
      <c r="AE25" s="88">
        <f t="shared" si="1"/>
        <v>20606.479986653387</v>
      </c>
      <c r="AF25" s="88">
        <f t="shared" si="2"/>
        <v>20606.479986653387</v>
      </c>
      <c r="AG25" s="88">
        <f t="shared" si="3"/>
        <v>51127.854012889598</v>
      </c>
      <c r="AH25" s="88">
        <f t="shared" si="4"/>
        <v>53209.554226987573</v>
      </c>
      <c r="AI25" s="88">
        <f t="shared" si="5"/>
        <v>32723.360320588938</v>
      </c>
      <c r="AJ25" s="73" t="e">
        <f>+SUM(AD$7:AD25)</f>
        <v>#REF!</v>
      </c>
      <c r="AK25" s="58">
        <f t="shared" si="12"/>
        <v>40728.696749133131</v>
      </c>
      <c r="AL25" s="58">
        <f t="shared" si="13"/>
        <v>85185.478581605494</v>
      </c>
      <c r="AM25">
        <f t="shared" si="15"/>
        <v>3407419.1432642196</v>
      </c>
      <c r="AN25" s="58">
        <f t="shared" si="6"/>
        <v>86367.196549358545</v>
      </c>
      <c r="AO25" s="58">
        <f t="shared" si="7"/>
        <v>88448.89676345652</v>
      </c>
      <c r="AP25" s="58">
        <f t="shared" si="9"/>
        <v>35239.342536468939</v>
      </c>
      <c r="AQ25" s="58">
        <f t="shared" si="10"/>
        <v>-51127.854012889606</v>
      </c>
      <c r="AR25" s="58">
        <f t="shared" si="10"/>
        <v>-53209.55422698758</v>
      </c>
      <c r="AS25" s="184">
        <f t="shared" si="14"/>
        <v>1.4002414191924248</v>
      </c>
      <c r="AT25" s="172">
        <f t="shared" si="11"/>
        <v>-71591.338863271652</v>
      </c>
      <c r="AU25" s="172">
        <f t="shared" si="11"/>
        <v>-74506.221725393378</v>
      </c>
      <c r="AW25" s="281">
        <f t="shared" si="21"/>
        <v>41.511472369630482</v>
      </c>
      <c r="AX25" s="281">
        <f t="shared" si="21"/>
        <v>43.201636030667309</v>
      </c>
      <c r="AY25" s="281">
        <f t="shared" si="21"/>
        <v>26.568587593117673</v>
      </c>
      <c r="BA25" s="281">
        <f t="shared" si="18"/>
        <v>2.2471937265177075</v>
      </c>
      <c r="BB25" s="281">
        <f t="shared" si="17"/>
        <v>2.8937251731648956</v>
      </c>
      <c r="BC25" s="281">
        <f t="shared" si="17"/>
        <v>2.1427027570228532</v>
      </c>
    </row>
    <row r="26" spans="1:55" x14ac:dyDescent="0.2">
      <c r="A26" s="74">
        <f t="shared" si="22"/>
        <v>0.2</v>
      </c>
      <c r="B26" s="89">
        <f>+'Annual Energy Data'!A36</f>
        <v>2036</v>
      </c>
      <c r="C26" s="102">
        <f>+'Tier 3 Data'!J31*'Tier 2 Data - MOU I.6'!$A26</f>
        <v>92633.112757561321</v>
      </c>
      <c r="D26" s="102">
        <f>+'Tier 3 Data'!K31*'Tier 2 Data - MOU I.6'!$A26</f>
        <v>92633.112757561321</v>
      </c>
      <c r="E26" s="102">
        <f>+'Tier 3 Data'!L31*'Tier 2 Data - MOU I.6'!$A26</f>
        <v>92633.112757561321</v>
      </c>
      <c r="F26" s="102">
        <f>+SUMIF('Monthly Energy Data'!D$224:D$595,'Tier 2 Data - MOU I.6'!B26,'Monthly Energy Data'!M$224:M$595)</f>
        <v>13121.584537484916</v>
      </c>
      <c r="G26" s="102">
        <f>+'Tier 3 Data'!M31*'Tier 2 Data - MOU I.6'!$A26-F26</f>
        <v>126108.93144524799</v>
      </c>
      <c r="H26" s="102">
        <f>+'Tier 3 Data'!N31*'Tier 2 Data - MOU I.6'!$A26-F26</f>
        <v>129673.50311271733</v>
      </c>
      <c r="I26" s="102">
        <f>+'Tier 3 Data'!O31*'Tier 2 Data - MOU I.6'!$A26-F26</f>
        <v>108267.02076012612</v>
      </c>
      <c r="J26" s="102">
        <f>+SUM('Annual Energy Data'!AQ36:BC36)-'Annual Energy Data'!AZ36-'Annual Energy Data'!AT36</f>
        <v>20685.127510960221</v>
      </c>
      <c r="K26" s="102">
        <f>+'Annual Energy Data'!AX36</f>
        <v>0</v>
      </c>
      <c r="L26" s="102">
        <f>+'Annual Energy Data'!AZ36</f>
        <v>0</v>
      </c>
      <c r="M26" s="102">
        <f>+'Annual Energy Data'!BA36</f>
        <v>0</v>
      </c>
      <c r="N26" s="102">
        <f>+'Annual Energy Data'!BB36</f>
        <v>190.23796440208542</v>
      </c>
      <c r="O26" s="102">
        <f>+'Annual Energy Data'!BE36</f>
        <v>1428.6596062402407</v>
      </c>
      <c r="P26" s="102">
        <f>+'Annual Energy Data'!BF36</f>
        <v>1866.2339814459106</v>
      </c>
      <c r="Q26" s="102">
        <f>+'Annual Energy Data'!BG36</f>
        <v>6754.1850875559885</v>
      </c>
      <c r="R26" s="102">
        <f>+'Annual Energy Data'!BH36</f>
        <v>2313.9841002188086</v>
      </c>
      <c r="S26" s="102">
        <f>+'Annual Energy Data'!BI36</f>
        <v>2538.4898218731983</v>
      </c>
      <c r="T26" s="102">
        <f>+'Annual Energy Data'!CJ36</f>
        <v>0</v>
      </c>
      <c r="U26" s="102">
        <f>+'Annual Energy Data'!CK36</f>
        <v>0</v>
      </c>
      <c r="V26" s="102">
        <f>+'Annual Energy Data'!CL36</f>
        <v>0</v>
      </c>
      <c r="W26" s="102">
        <f>+'Annual Energy Data'!CM36</f>
        <v>0</v>
      </c>
      <c r="X26" s="102">
        <f>+'Annual Energy Data'!CN36</f>
        <v>0</v>
      </c>
      <c r="Y26" s="102">
        <f>+'Annual Energy Data'!CO36</f>
        <v>0</v>
      </c>
      <c r="Z26" s="102">
        <f>+'Annual Energy Data'!CP36</f>
        <v>0</v>
      </c>
      <c r="AA26" s="102">
        <f>+SUMIF('Monthly Energy Data'!$D$128:$D$595,$B26,'Monthly Energy Data'!N$128:N$595)/(1+$AA$3)</f>
        <v>28254.961443200569</v>
      </c>
      <c r="AB26" s="102">
        <f>+SUMIF('Monthly Energy Data'!$D$128:$D$595,$B26,'Monthly Energy Data'!O$128:O$595)/(1+$AA$3)</f>
        <v>8028.6954466164807</v>
      </c>
      <c r="AC26" s="102">
        <f t="shared" si="8"/>
        <v>72060.574962513507</v>
      </c>
      <c r="AD26" s="88">
        <f t="shared" si="0"/>
        <v>20572.537795047814</v>
      </c>
      <c r="AE26" s="88">
        <f t="shared" si="1"/>
        <v>20572.537795047814</v>
      </c>
      <c r="AF26" s="88">
        <f t="shared" si="2"/>
        <v>20572.537795047814</v>
      </c>
      <c r="AG26" s="88">
        <f t="shared" si="3"/>
        <v>54048.356482734482</v>
      </c>
      <c r="AH26" s="88">
        <f t="shared" si="4"/>
        <v>57612.928150203821</v>
      </c>
      <c r="AI26" s="88">
        <f t="shared" si="5"/>
        <v>36206.445797612614</v>
      </c>
      <c r="AJ26" s="73" t="e">
        <f>+SUM(AD$7:AD26)</f>
        <v>#REF!</v>
      </c>
      <c r="AK26" s="58">
        <f t="shared" si="12"/>
        <v>40959.417586999058</v>
      </c>
      <c r="AL26" s="58">
        <f t="shared" si="13"/>
        <v>88714.08552571827</v>
      </c>
      <c r="AM26">
        <f t="shared" si="15"/>
        <v>3548563.4210287309</v>
      </c>
      <c r="AN26" s="58">
        <f t="shared" si="6"/>
        <v>88396.614949190698</v>
      </c>
      <c r="AO26" s="58">
        <f t="shared" si="7"/>
        <v>91961.186616660038</v>
      </c>
      <c r="AP26" s="58">
        <f t="shared" si="9"/>
        <v>34348.258466456216</v>
      </c>
      <c r="AQ26" s="58">
        <f t="shared" si="10"/>
        <v>-54048.356482734482</v>
      </c>
      <c r="AR26" s="58">
        <f t="shared" si="10"/>
        <v>-57612.928150203821</v>
      </c>
      <c r="AS26" s="184">
        <f t="shared" si="14"/>
        <v>1.4282462475762734</v>
      </c>
      <c r="AT26" s="172">
        <f t="shared" si="11"/>
        <v>-77194.362334130274</v>
      </c>
      <c r="AU26" s="172">
        <f t="shared" si="11"/>
        <v>-82285.448442410052</v>
      </c>
      <c r="AW26" s="281">
        <f t="shared" si="21"/>
        <v>43.882672176918298</v>
      </c>
      <c r="AX26" s="281">
        <f t="shared" si="21"/>
        <v>46.776801436605531</v>
      </c>
      <c r="AY26" s="281">
        <f t="shared" si="21"/>
        <v>29.396556991248055</v>
      </c>
      <c r="BA26" s="281">
        <f t="shared" si="18"/>
        <v>2.371199807287816</v>
      </c>
      <c r="BB26" s="281">
        <f t="shared" si="17"/>
        <v>3.5751654059382219</v>
      </c>
      <c r="BC26" s="281">
        <f t="shared" si="17"/>
        <v>2.8279693981303815</v>
      </c>
    </row>
    <row r="27" spans="1:55" x14ac:dyDescent="0.2">
      <c r="A27" s="74">
        <f t="shared" si="22"/>
        <v>0.2</v>
      </c>
      <c r="B27" s="89">
        <f>+'Annual Energy Data'!A37</f>
        <v>2037</v>
      </c>
      <c r="C27" s="102">
        <f>+'Tier 3 Data'!J32*'Tier 2 Data - MOU I.6'!$A27</f>
        <v>91955.017801300419</v>
      </c>
      <c r="D27" s="102">
        <f>+'Tier 3 Data'!K32*'Tier 2 Data - MOU I.6'!$A27</f>
        <v>91955.017801300419</v>
      </c>
      <c r="E27" s="102">
        <f>+'Tier 3 Data'!L32*'Tier 2 Data - MOU I.6'!$A27</f>
        <v>91955.017801300419</v>
      </c>
      <c r="F27" s="102">
        <f>+SUMIF('Monthly Energy Data'!D$224:D$595,'Tier 2 Data - MOU I.6'!B27,'Monthly Energy Data'!M$224:M$595)</f>
        <v>13094.50855222805</v>
      </c>
      <c r="G27" s="102">
        <f>+'Tier 3 Data'!M32*'Tier 2 Data - MOU I.6'!$A27-F27</f>
        <v>127881.7111095018</v>
      </c>
      <c r="H27" s="102">
        <f>+'Tier 3 Data'!N32*'Tier 2 Data - MOU I.6'!$A27-F27</f>
        <v>133533.75167205004</v>
      </c>
      <c r="I27" s="102">
        <f>+'Tier 3 Data'!O32*'Tier 2 Data - MOU I.6'!$A27-F27</f>
        <v>111042.39204851168</v>
      </c>
      <c r="J27" s="102">
        <f>+SUM('Annual Energy Data'!AQ37:BC37)-'Annual Energy Data'!AZ37-'Annual Energy Data'!AT37</f>
        <v>20215.896379748039</v>
      </c>
      <c r="K27" s="102">
        <f>+'Annual Energy Data'!AX37</f>
        <v>0</v>
      </c>
      <c r="L27" s="102">
        <f>+'Annual Energy Data'!AZ37</f>
        <v>0</v>
      </c>
      <c r="M27" s="102">
        <f>+'Annual Energy Data'!BA37</f>
        <v>0</v>
      </c>
      <c r="N27" s="102">
        <f>+'Annual Energy Data'!BB37</f>
        <v>0</v>
      </c>
      <c r="O27" s="102">
        <f>+'Annual Energy Data'!BE37</f>
        <v>1421.5163082090392</v>
      </c>
      <c r="P27" s="102">
        <f>+'Annual Energy Data'!BF37</f>
        <v>1856.9028115386809</v>
      </c>
      <c r="Q27" s="102">
        <f>+'Annual Energy Data'!BG37</f>
        <v>6720.4141621182089</v>
      </c>
      <c r="R27" s="102">
        <f>+'Annual Energy Data'!BH37</f>
        <v>2302.4141797177153</v>
      </c>
      <c r="S27" s="102">
        <f>+'Annual Energy Data'!BI37</f>
        <v>2525.7973727638328</v>
      </c>
      <c r="T27" s="102">
        <f>+'Annual Energy Data'!CJ37</f>
        <v>0</v>
      </c>
      <c r="U27" s="102">
        <f>+'Annual Energy Data'!CK37</f>
        <v>0</v>
      </c>
      <c r="V27" s="102">
        <f>+'Annual Energy Data'!CL37</f>
        <v>0</v>
      </c>
      <c r="W27" s="102">
        <f>+'Annual Energy Data'!CM37</f>
        <v>0</v>
      </c>
      <c r="X27" s="102">
        <f>+'Annual Energy Data'!CN37</f>
        <v>0</v>
      </c>
      <c r="Y27" s="102">
        <f>+'Annual Energy Data'!CO37</f>
        <v>0</v>
      </c>
      <c r="Z27" s="102">
        <f>+'Annual Energy Data'!CP37</f>
        <v>0</v>
      </c>
      <c r="AA27" s="102">
        <f>+SUMIF('Monthly Energy Data'!$D$128:$D$595,$B27,'Monthly Energy Data'!N$128:N$595)/(1+$AA$3)</f>
        <v>28196.65820114288</v>
      </c>
      <c r="AB27" s="102">
        <f>+SUMIF('Monthly Energy Data'!$D$128:$D$595,$B27,'Monthly Energy Data'!O$128:O$595)/(1+$AA$3)</f>
        <v>8225.8276342981535</v>
      </c>
      <c r="AC27" s="102">
        <f t="shared" si="8"/>
        <v>71465.427049536549</v>
      </c>
      <c r="AD27" s="88">
        <f t="shared" si="0"/>
        <v>20489.59075176387</v>
      </c>
      <c r="AE27" s="88">
        <f t="shared" si="1"/>
        <v>20489.59075176387</v>
      </c>
      <c r="AF27" s="88">
        <f t="shared" si="2"/>
        <v>20489.59075176387</v>
      </c>
      <c r="AG27" s="88">
        <f t="shared" si="3"/>
        <v>56416.284059965255</v>
      </c>
      <c r="AH27" s="88">
        <f t="shared" si="4"/>
        <v>62068.324622513494</v>
      </c>
      <c r="AI27" s="88">
        <f t="shared" si="5"/>
        <v>39576.964998975134</v>
      </c>
      <c r="AJ27" s="73" t="e">
        <f>+SUM(AD$7:AD27)</f>
        <v>#REF!</v>
      </c>
      <c r="AK27" s="58">
        <f t="shared" si="12"/>
        <v>41074.86772913712</v>
      </c>
      <c r="AL27" s="58">
        <f t="shared" si="13"/>
        <v>92458.883942912915</v>
      </c>
      <c r="AM27">
        <f t="shared" si="15"/>
        <v>3698355.3577165166</v>
      </c>
      <c r="AN27" s="58">
        <f t="shared" si="6"/>
        <v>90037.708965851722</v>
      </c>
      <c r="AO27" s="58">
        <f t="shared" si="7"/>
        <v>95689.74952839996</v>
      </c>
      <c r="AP27" s="58">
        <f t="shared" si="9"/>
        <v>33621.424905886466</v>
      </c>
      <c r="AQ27" s="58">
        <f t="shared" si="10"/>
        <v>-56416.284059965255</v>
      </c>
      <c r="AR27" s="58">
        <f t="shared" si="10"/>
        <v>-62068.324622513494</v>
      </c>
      <c r="AS27" s="184">
        <f t="shared" si="14"/>
        <v>1.4568111725277988</v>
      </c>
      <c r="AT27" s="172">
        <f t="shared" si="11"/>
        <v>-82187.872931059348</v>
      </c>
      <c r="AU27" s="172">
        <f t="shared" si="11"/>
        <v>-90421.828770159933</v>
      </c>
      <c r="AW27" s="281">
        <f t="shared" si="21"/>
        <v>45.805228131852772</v>
      </c>
      <c r="AX27" s="281">
        <f t="shared" si="21"/>
        <v>50.394204731283324</v>
      </c>
      <c r="AY27" s="281">
        <f t="shared" si="21"/>
        <v>32.133132139960459</v>
      </c>
      <c r="BA27" s="281">
        <f t="shared" si="18"/>
        <v>1.9225559549344737</v>
      </c>
      <c r="BB27" s="281">
        <f t="shared" si="17"/>
        <v>3.6174032946777928</v>
      </c>
      <c r="BC27" s="281">
        <f t="shared" si="17"/>
        <v>2.7365751487124044</v>
      </c>
    </row>
    <row r="28" spans="1:55" x14ac:dyDescent="0.2">
      <c r="A28" s="74">
        <f t="shared" si="22"/>
        <v>0.2</v>
      </c>
      <c r="B28" s="89">
        <f>+'Annual Energy Data'!A38</f>
        <v>2038</v>
      </c>
      <c r="C28" s="102">
        <f>+'Tier 3 Data'!J33*'Tier 2 Data - MOU I.6'!$A28</f>
        <v>91278.551859496947</v>
      </c>
      <c r="D28" s="102">
        <f>+'Tier 3 Data'!K33*'Tier 2 Data - MOU I.6'!$A28</f>
        <v>91278.551859496947</v>
      </c>
      <c r="E28" s="102">
        <f>+'Tier 3 Data'!L33*'Tier 2 Data - MOU I.6'!$A28</f>
        <v>91278.551859496947</v>
      </c>
      <c r="F28" s="102">
        <f>+SUMIF('Monthly Energy Data'!D$224:D$595,'Tier 2 Data - MOU I.6'!B28,'Monthly Energy Data'!M$224:M$595)</f>
        <v>13094.50855222805</v>
      </c>
      <c r="G28" s="102">
        <f>+'Tier 3 Data'!M33*'Tier 2 Data - MOU I.6'!$A28-F28</f>
        <v>129171.62650408188</v>
      </c>
      <c r="H28" s="102">
        <f>+'Tier 3 Data'!N33*'Tier 2 Data - MOU I.6'!$A28-F28</f>
        <v>137211.13087428038</v>
      </c>
      <c r="I28" s="102">
        <f>+'Tier 3 Data'!O33*'Tier 2 Data - MOU I.6'!$A28-F28</f>
        <v>113555.47856249308</v>
      </c>
      <c r="J28" s="102">
        <f>+SUM('Annual Energy Data'!AQ38:BC38)-'Annual Energy Data'!AZ38-'Annual Energy Data'!AT38</f>
        <v>19122.926704312446</v>
      </c>
      <c r="K28" s="102">
        <f>+'Annual Energy Data'!AX38</f>
        <v>0</v>
      </c>
      <c r="L28" s="102">
        <f>+'Annual Energy Data'!AZ38</f>
        <v>0</v>
      </c>
      <c r="M28" s="102">
        <f>+'Annual Energy Data'!BA38</f>
        <v>0</v>
      </c>
      <c r="N28" s="102">
        <f>+'Annual Energy Data'!BB38</f>
        <v>0</v>
      </c>
      <c r="O28" s="102">
        <f>+'Annual Energy Data'!BE38</f>
        <v>1414.408726667994</v>
      </c>
      <c r="P28" s="102">
        <f>+'Annual Energy Data'!BF38</f>
        <v>1847.6182974809872</v>
      </c>
      <c r="Q28" s="102">
        <f>+'Annual Energy Data'!BG38</f>
        <v>6686.8120913076173</v>
      </c>
      <c r="R28" s="102">
        <f>+'Annual Energy Data'!BH38</f>
        <v>2290.9021088191262</v>
      </c>
      <c r="S28" s="102">
        <f>+'Annual Energy Data'!BI38</f>
        <v>2513.1683859000136</v>
      </c>
      <c r="T28" s="102">
        <f>+'Annual Energy Data'!CJ38</f>
        <v>0</v>
      </c>
      <c r="U28" s="102">
        <f>+'Annual Energy Data'!CK38</f>
        <v>0</v>
      </c>
      <c r="V28" s="102">
        <f>+'Annual Energy Data'!CL38</f>
        <v>0</v>
      </c>
      <c r="W28" s="102">
        <f>+'Annual Energy Data'!CM38</f>
        <v>0</v>
      </c>
      <c r="X28" s="102">
        <f>+'Annual Energy Data'!CN38</f>
        <v>0</v>
      </c>
      <c r="Y28" s="102">
        <f>+'Annual Energy Data'!CO38</f>
        <v>0</v>
      </c>
      <c r="Z28" s="102">
        <f>+'Annual Energy Data'!CP38</f>
        <v>0</v>
      </c>
      <c r="AA28" s="102">
        <f>+SUMIF('Monthly Energy Data'!$D$128:$D$595,$B28,'Monthly Energy Data'!N$128:N$595)/(1+$AA$3)</f>
        <v>28196.65820114288</v>
      </c>
      <c r="AB28" s="102">
        <f>+SUMIF('Monthly Energy Data'!$D$128:$D$595,$B28,'Monthly Energy Data'!O$128:O$595)/(1+$AA$3)</f>
        <v>8359.332081022123</v>
      </c>
      <c r="AC28" s="102">
        <f t="shared" si="8"/>
        <v>70431.826596653176</v>
      </c>
      <c r="AD28" s="88">
        <f t="shared" si="0"/>
        <v>20846.725262843771</v>
      </c>
      <c r="AE28" s="88">
        <f t="shared" si="1"/>
        <v>20846.725262843771</v>
      </c>
      <c r="AF28" s="88">
        <f t="shared" si="2"/>
        <v>20846.725262843771</v>
      </c>
      <c r="AG28" s="88">
        <f t="shared" si="3"/>
        <v>58739.799907428707</v>
      </c>
      <c r="AH28" s="88">
        <f t="shared" si="4"/>
        <v>66779.304277627205</v>
      </c>
      <c r="AI28" s="88">
        <f t="shared" si="5"/>
        <v>43123.651965839905</v>
      </c>
      <c r="AJ28" s="73" t="e">
        <f>+SUM(AD$7:AD28)</f>
        <v>#REF!</v>
      </c>
      <c r="AK28" s="58">
        <f t="shared" si="12"/>
        <v>41185.110266392621</v>
      </c>
      <c r="AL28" s="58">
        <f t="shared" si="13"/>
        <v>96026.020607887767</v>
      </c>
      <c r="AM28">
        <f t="shared" si="15"/>
        <v>3841040.8243155107</v>
      </c>
      <c r="AN28" s="58">
        <f t="shared" si="6"/>
        <v>91201.227495248881</v>
      </c>
      <c r="AO28" s="58">
        <f t="shared" si="7"/>
        <v>99240.731865447393</v>
      </c>
      <c r="AP28" s="58">
        <f t="shared" si="9"/>
        <v>32461.42758782017</v>
      </c>
      <c r="AQ28" s="58">
        <f t="shared" si="10"/>
        <v>-58739.799907428707</v>
      </c>
      <c r="AR28" s="58">
        <f t="shared" si="10"/>
        <v>-66779.30427762722</v>
      </c>
      <c r="AS28" s="184">
        <f t="shared" si="14"/>
        <v>1.4859473959783549</v>
      </c>
      <c r="AT28" s="172">
        <f t="shared" si="11"/>
        <v>-87284.252712733301</v>
      </c>
      <c r="AU28" s="172">
        <f t="shared" si="11"/>
        <v>-99230.533296586378</v>
      </c>
      <c r="AW28" s="281">
        <f t="shared" si="21"/>
        <v>47.691725536536751</v>
      </c>
      <c r="AX28" s="281">
        <f t="shared" si="21"/>
        <v>54.219119849720386</v>
      </c>
      <c r="AY28" s="281">
        <f t="shared" si="21"/>
        <v>35.012740542683922</v>
      </c>
      <c r="BA28" s="281">
        <f t="shared" si="18"/>
        <v>1.8864974046839791</v>
      </c>
      <c r="BB28" s="281">
        <f t="shared" si="17"/>
        <v>3.8249151184370618</v>
      </c>
      <c r="BC28" s="281">
        <f t="shared" si="17"/>
        <v>2.8796084027234627</v>
      </c>
    </row>
    <row r="29" spans="1:55" x14ac:dyDescent="0.2">
      <c r="A29" s="74">
        <f t="shared" si="22"/>
        <v>0.2</v>
      </c>
      <c r="B29" s="89">
        <f>+'Annual Energy Data'!A39</f>
        <v>2039</v>
      </c>
      <c r="C29" s="102">
        <f>+'Tier 3 Data'!J34*'Tier 2 Data - MOU I.6'!$A29</f>
        <v>90604.533186247369</v>
      </c>
      <c r="D29" s="102">
        <f>+'Tier 3 Data'!K34*'Tier 2 Data - MOU I.6'!$A29</f>
        <v>90604.533186247369</v>
      </c>
      <c r="E29" s="102">
        <f>+'Tier 3 Data'!L34*'Tier 2 Data - MOU I.6'!$A29</f>
        <v>90604.533186247369</v>
      </c>
      <c r="F29" s="102">
        <f>+SUMIF('Monthly Energy Data'!D$224:D$595,'Tier 2 Data - MOU I.6'!B29,'Monthly Energy Data'!M$224:M$595)</f>
        <v>13094.50855222805</v>
      </c>
      <c r="G29" s="102">
        <f>+'Tier 3 Data'!M34*'Tier 2 Data - MOU I.6'!$A29-F29</f>
        <v>130129.66463859036</v>
      </c>
      <c r="H29" s="102">
        <f>+'Tier 3 Data'!N34*'Tier 2 Data - MOU I.6'!$A29-F29</f>
        <v>140615.949164347</v>
      </c>
      <c r="I29" s="102">
        <f>+'Tier 3 Data'!O34*'Tier 2 Data - MOU I.6'!$A29-F29</f>
        <v>115748.18963938617</v>
      </c>
      <c r="J29" s="102">
        <f>+SUM('Annual Energy Data'!AQ39:BC39)-'Annual Energy Data'!AZ39-'Annual Energy Data'!AT39</f>
        <v>17583.098078059018</v>
      </c>
      <c r="K29" s="102">
        <f>+'Annual Energy Data'!AX39</f>
        <v>0</v>
      </c>
      <c r="L29" s="102">
        <f>+'Annual Energy Data'!AZ39</f>
        <v>0</v>
      </c>
      <c r="M29" s="102">
        <f>+'Annual Energy Data'!BA39</f>
        <v>0</v>
      </c>
      <c r="N29" s="102">
        <f>+'Annual Energy Data'!BB39</f>
        <v>0</v>
      </c>
      <c r="O29" s="102">
        <f>+'Annual Energy Data'!BE39</f>
        <v>1407.336683034654</v>
      </c>
      <c r="P29" s="102">
        <f>+'Annual Energy Data'!BF39</f>
        <v>1838.3802059935824</v>
      </c>
      <c r="Q29" s="102">
        <f>+'Annual Energy Data'!BG39</f>
        <v>6653.3780308510795</v>
      </c>
      <c r="R29" s="102">
        <f>+'Annual Energy Data'!BH39</f>
        <v>2279.4475982750305</v>
      </c>
      <c r="S29" s="102">
        <f>+'Annual Energy Data'!BI39</f>
        <v>2500.6025439705131</v>
      </c>
      <c r="T29" s="102">
        <f>+'Annual Energy Data'!CJ39</f>
        <v>0</v>
      </c>
      <c r="U29" s="102">
        <f>+'Annual Energy Data'!CK39</f>
        <v>0</v>
      </c>
      <c r="V29" s="102">
        <f>+'Annual Energy Data'!CL39</f>
        <v>0</v>
      </c>
      <c r="W29" s="102">
        <f>+'Annual Energy Data'!CM39</f>
        <v>0</v>
      </c>
      <c r="X29" s="102">
        <f>+'Annual Energy Data'!CN39</f>
        <v>0</v>
      </c>
      <c r="Y29" s="102">
        <f>+'Annual Energy Data'!CO39</f>
        <v>0</v>
      </c>
      <c r="Z29" s="102">
        <f>+'Annual Energy Data'!CP39</f>
        <v>0</v>
      </c>
      <c r="AA29" s="102">
        <f>+SUMIF('Monthly Energy Data'!$D$128:$D$595,$B29,'Monthly Energy Data'!N$128:N$595)/(1+$AA$3)</f>
        <v>28196.65820114288</v>
      </c>
      <c r="AB29" s="102">
        <f>+SUMIF('Monthly Energy Data'!$D$128:$D$595,$B29,'Monthly Energy Data'!O$128:O$595)/(1+$AA$3)</f>
        <v>8536.972468515014</v>
      </c>
      <c r="AC29" s="102">
        <f t="shared" ref="AC29:AC32" si="23">+SUM(J29:AB29)</f>
        <v>68995.873809841767</v>
      </c>
      <c r="AD29" s="88">
        <f t="shared" ref="AD29:AD32" si="24">+C29-$AC29</f>
        <v>21608.659376405602</v>
      </c>
      <c r="AE29" s="88">
        <f t="shared" ref="AE29:AE32" si="25">+D29-$AC29</f>
        <v>21608.659376405602</v>
      </c>
      <c r="AF29" s="88">
        <f t="shared" ref="AF29:AF32" si="26">+E29-$AC29</f>
        <v>21608.659376405602</v>
      </c>
      <c r="AG29" s="88">
        <f t="shared" ref="AG29:AG32" si="27">+G29-$AC29</f>
        <v>61133.790828748592</v>
      </c>
      <c r="AH29" s="88">
        <f t="shared" ref="AH29:AH32" si="28">+H29-$AC29</f>
        <v>71620.075354505228</v>
      </c>
      <c r="AI29" s="88">
        <f t="shared" ref="AI29:AI32" si="29">+I29-$AC29</f>
        <v>46752.315829544401</v>
      </c>
      <c r="AJ29" s="73" t="e">
        <f>+SUM(AD$7:AD29)</f>
        <v>#REF!</v>
      </c>
      <c r="AK29" s="58">
        <f t="shared" si="12"/>
        <v>41339.605053964377</v>
      </c>
      <c r="AL29" s="58">
        <f t="shared" si="13"/>
        <v>99276.344110382619</v>
      </c>
      <c r="AM29">
        <f t="shared" si="15"/>
        <v>3971053.7644153046</v>
      </c>
      <c r="AN29" s="58">
        <f t="shared" ref="AN29:AN32" si="30">+G29-$O29-$AA29-$AB29</f>
        <v>91988.697285897812</v>
      </c>
      <c r="AO29" s="58">
        <f t="shared" ref="AO29:AO32" si="31">+H29-$O29-$AA29-$AB29</f>
        <v>102474.98181165443</v>
      </c>
      <c r="AP29" s="58">
        <f t="shared" ref="AP29:AP32" si="32">+AC29-O29-AA29-AB29</f>
        <v>30854.90645714922</v>
      </c>
      <c r="AQ29" s="58">
        <f t="shared" ref="AQ29:AQ32" si="33">+$AP29-AN29</f>
        <v>-61133.790828748592</v>
      </c>
      <c r="AR29" s="58">
        <f t="shared" ref="AR29:AR32" si="34">+$AP29-AO29</f>
        <v>-71620.075354505214</v>
      </c>
      <c r="AS29" s="184">
        <f t="shared" si="14"/>
        <v>1.5156663438979221</v>
      </c>
      <c r="AT29" s="172">
        <f t="shared" ref="AT29:AT32" si="35">+$AS29*AQ29</f>
        <v>-92658.429234029696</v>
      </c>
      <c r="AU29" s="172">
        <f t="shared" ref="AU29:AU32" si="36">+$AS29*AR29</f>
        <v>-108552.13776225659</v>
      </c>
      <c r="AW29" s="281">
        <f t="shared" si="21"/>
        <v>49.635442711884323</v>
      </c>
      <c r="AX29" s="281">
        <f t="shared" si="21"/>
        <v>58.149414572336134</v>
      </c>
      <c r="AY29" s="281">
        <f t="shared" si="21"/>
        <v>37.958907218853646</v>
      </c>
      <c r="BA29" s="281">
        <f t="shared" si="18"/>
        <v>1.9437171753475724</v>
      </c>
      <c r="BB29" s="281">
        <f t="shared" si="17"/>
        <v>3.9302947226157485</v>
      </c>
      <c r="BC29" s="281">
        <f t="shared" si="17"/>
        <v>2.9461666761697245</v>
      </c>
    </row>
    <row r="30" spans="1:55" x14ac:dyDescent="0.2">
      <c r="A30" s="74">
        <f t="shared" si="22"/>
        <v>0.2</v>
      </c>
      <c r="B30" s="89">
        <f>+'Annual Energy Data'!A40</f>
        <v>2040</v>
      </c>
      <c r="C30" s="102">
        <f>+'Tier 3 Data'!J35*'Tier 2 Data - MOU I.6'!$A30</f>
        <v>89929.615141297079</v>
      </c>
      <c r="D30" s="102">
        <f>+'Tier 3 Data'!K35*'Tier 2 Data - MOU I.6'!$A30</f>
        <v>89929.615141297079</v>
      </c>
      <c r="E30" s="102">
        <f>+'Tier 3 Data'!L35*'Tier 2 Data - MOU I.6'!$A30</f>
        <v>89929.615141297079</v>
      </c>
      <c r="F30" s="102">
        <f>+SUMIF('Monthly Energy Data'!D$224:D$595,'Tier 2 Data - MOU I.6'!B30,'Monthly Energy Data'!M$224:M$595)</f>
        <v>13121.584537484916</v>
      </c>
      <c r="G30" s="102">
        <f>+'Tier 3 Data'!M35*'Tier 2 Data - MOU I.6'!$A30-F30</f>
        <v>130802.54283940303</v>
      </c>
      <c r="H30" s="102">
        <f>+'Tier 3 Data'!N35*'Tier 2 Data - MOU I.6'!$A30-F30</f>
        <v>143395.94559601214</v>
      </c>
      <c r="I30" s="102">
        <f>+'Tier 3 Data'!O35*'Tier 2 Data - MOU I.6'!$A30-F30</f>
        <v>117545.96043003535</v>
      </c>
      <c r="J30" s="102">
        <f>+SUM('Annual Energy Data'!AQ40:BC40)-'Annual Energy Data'!AZ40-'Annual Energy Data'!AT40</f>
        <v>15340.101627517215</v>
      </c>
      <c r="K30" s="102">
        <f>+'Annual Energy Data'!AX40</f>
        <v>0</v>
      </c>
      <c r="L30" s="102">
        <f>+'Annual Energy Data'!AZ40</f>
        <v>0</v>
      </c>
      <c r="M30" s="102">
        <f>+'Annual Energy Data'!BA40</f>
        <v>0</v>
      </c>
      <c r="N30" s="102">
        <f>+'Annual Energy Data'!BB40</f>
        <v>0</v>
      </c>
      <c r="O30" s="102">
        <f>+'Annual Energy Data'!BE40</f>
        <v>1400.2999996194808</v>
      </c>
      <c r="P30" s="102">
        <f>+'Annual Energy Data'!BF40</f>
        <v>1829.1883049636144</v>
      </c>
      <c r="Q30" s="102">
        <f>+'Annual Energy Data'!BG40</f>
        <v>6620.1111406968239</v>
      </c>
      <c r="R30" s="102">
        <f>+'Annual Energy Data'!BH40</f>
        <v>2268.0503602836548</v>
      </c>
      <c r="S30" s="102">
        <f>+'Annual Energy Data'!BI40</f>
        <v>2488.0995312506611</v>
      </c>
      <c r="T30" s="102">
        <f>+'Annual Energy Data'!CJ40</f>
        <v>0</v>
      </c>
      <c r="U30" s="102">
        <f>+'Annual Energy Data'!CK40</f>
        <v>0</v>
      </c>
      <c r="V30" s="102">
        <f>+'Annual Energy Data'!CL40</f>
        <v>0</v>
      </c>
      <c r="W30" s="102">
        <f>+'Annual Energy Data'!CM40</f>
        <v>0</v>
      </c>
      <c r="X30" s="102">
        <f>+'Annual Energy Data'!CN40</f>
        <v>0</v>
      </c>
      <c r="Y30" s="102">
        <f>+'Annual Energy Data'!CO40</f>
        <v>0</v>
      </c>
      <c r="Z30" s="102">
        <f>+'Annual Energy Data'!CP40</f>
        <v>0</v>
      </c>
      <c r="AA30" s="102">
        <f>+SUMIF('Monthly Energy Data'!$D$128:$D$595,$B30,'Monthly Energy Data'!N$128:N$595)/(1+$AA$3)</f>
        <v>28254.961443200569</v>
      </c>
      <c r="AB30" s="102">
        <f>+SUMIF('Monthly Energy Data'!$D$128:$D$595,$B30,'Monthly Energy Data'!O$128:O$595)/(1+$AA$3)</f>
        <v>8660.2561343537491</v>
      </c>
      <c r="AC30" s="102">
        <f t="shared" si="23"/>
        <v>66861.068541885761</v>
      </c>
      <c r="AD30" s="88">
        <f t="shared" si="24"/>
        <v>23068.546599411318</v>
      </c>
      <c r="AE30" s="88">
        <f t="shared" si="25"/>
        <v>23068.546599411318</v>
      </c>
      <c r="AF30" s="88">
        <f t="shared" si="26"/>
        <v>23068.546599411318</v>
      </c>
      <c r="AG30" s="88">
        <f t="shared" si="27"/>
        <v>63941.47429751727</v>
      </c>
      <c r="AH30" s="88">
        <f t="shared" si="28"/>
        <v>76534.87705412638</v>
      </c>
      <c r="AI30" s="88">
        <f t="shared" si="29"/>
        <v>50684.891888149592</v>
      </c>
      <c r="AJ30" s="73" t="e">
        <f>+SUM(AD$7:AD30)</f>
        <v>#REF!</v>
      </c>
      <c r="AK30" s="58">
        <f t="shared" si="12"/>
        <v>41498.162089939251</v>
      </c>
      <c r="AL30" s="58">
        <f t="shared" si="13"/>
        <v>101897.78350607288</v>
      </c>
      <c r="AN30" s="58">
        <f t="shared" si="30"/>
        <v>92487.025262229232</v>
      </c>
      <c r="AO30" s="58">
        <f t="shared" si="31"/>
        <v>105080.42801883834</v>
      </c>
      <c r="AP30" s="58">
        <f t="shared" si="32"/>
        <v>28545.550964711965</v>
      </c>
      <c r="AQ30" s="58">
        <f t="shared" si="33"/>
        <v>-63941.47429751727</v>
      </c>
      <c r="AR30" s="58">
        <f t="shared" si="34"/>
        <v>-76534.87705412638</v>
      </c>
      <c r="AS30" s="184">
        <f t="shared" si="14"/>
        <v>1.5459796707758806</v>
      </c>
      <c r="AT30" s="172">
        <f t="shared" si="35"/>
        <v>-98852.219383400181</v>
      </c>
      <c r="AU30" s="172">
        <f t="shared" si="36"/>
        <v>-118321.3640310108</v>
      </c>
      <c r="AW30" s="281">
        <f t="shared" si="21"/>
        <v>51.915043078194948</v>
      </c>
      <c r="AX30" s="281">
        <f t="shared" si="21"/>
        <v>62.139815869143966</v>
      </c>
      <c r="AY30" s="281">
        <f t="shared" si="21"/>
        <v>41.15182476937521</v>
      </c>
      <c r="BA30" s="281">
        <f t="shared" si="18"/>
        <v>2.2796003663106248</v>
      </c>
      <c r="BB30" s="281">
        <f t="shared" si="17"/>
        <v>3.990401296807832</v>
      </c>
      <c r="BC30" s="281">
        <f t="shared" si="17"/>
        <v>3.1929175505215639</v>
      </c>
    </row>
    <row r="31" spans="1:55" x14ac:dyDescent="0.2">
      <c r="A31" s="74">
        <f t="shared" si="22"/>
        <v>0.2</v>
      </c>
      <c r="B31" s="89">
        <f>+'Annual Energy Data'!A41</f>
        <v>2041</v>
      </c>
      <c r="C31" s="102">
        <f>+'Tier 3 Data'!J36*'Tier 2 Data - MOU I.6'!$A31</f>
        <v>89248.22060780559</v>
      </c>
      <c r="D31" s="102">
        <f>+'Tier 3 Data'!K36*'Tier 2 Data - MOU I.6'!$A31</f>
        <v>89248.22060780559</v>
      </c>
      <c r="E31" s="102">
        <f>+'Tier 3 Data'!L36*'Tier 2 Data - MOU I.6'!$A31</f>
        <v>89248.22060780559</v>
      </c>
      <c r="F31" s="102">
        <f>+SUMIF('Monthly Energy Data'!D$224:D$595,'Tier 2 Data - MOU I.6'!B31,'Monthly Energy Data'!M$224:M$595)</f>
        <v>13094.50855222805</v>
      </c>
      <c r="G31" s="102">
        <f>+'Tier 3 Data'!M36*'Tier 2 Data - MOU I.6'!$A31-F31</f>
        <v>131350.25205662407</v>
      </c>
      <c r="H31" s="102">
        <f>+'Tier 3 Data'!N36*'Tier 2 Data - MOU I.6'!$A31-F31</f>
        <v>145611.94724756823</v>
      </c>
      <c r="I31" s="102">
        <f>+'Tier 3 Data'!O36*'Tier 2 Data - MOU I.6'!$A31-F31</f>
        <v>119029.7046044434</v>
      </c>
      <c r="J31" s="102">
        <f>+SUM('Annual Energy Data'!AQ41:BC41)-'Annual Energy Data'!AZ41-'Annual Energy Data'!AT41</f>
        <v>14131.642055142078</v>
      </c>
      <c r="K31" s="102">
        <f>+'Annual Energy Data'!AX41</f>
        <v>0</v>
      </c>
      <c r="L31" s="102">
        <f>+'Annual Energy Data'!AZ41</f>
        <v>0</v>
      </c>
      <c r="M31" s="102">
        <f>+'Annual Energy Data'!BA41</f>
        <v>0</v>
      </c>
      <c r="N31" s="102">
        <f>+'Annual Energy Data'!BB41</f>
        <v>0</v>
      </c>
      <c r="O31" s="102">
        <f>+'Annual Energy Data'!BE41</f>
        <v>1393.2984996213834</v>
      </c>
      <c r="P31" s="102">
        <f>+'Annual Energy Data'!BF41</f>
        <v>1820.0423634387967</v>
      </c>
      <c r="Q31" s="102">
        <f>+'Annual Energy Data'!BG41</f>
        <v>6587.0105849933398</v>
      </c>
      <c r="R31" s="102">
        <f>+'Annual Energy Data'!BH41</f>
        <v>2256.7101084822366</v>
      </c>
      <c r="S31" s="102">
        <f>+'Annual Energy Data'!BI41</f>
        <v>2475.6590335944074</v>
      </c>
      <c r="T31" s="102">
        <f>+'Annual Energy Data'!CJ41</f>
        <v>0</v>
      </c>
      <c r="U31" s="102">
        <f>+'Annual Energy Data'!CK41</f>
        <v>0</v>
      </c>
      <c r="V31" s="102">
        <f>+'Annual Energy Data'!CL41</f>
        <v>0</v>
      </c>
      <c r="W31" s="102">
        <f>+'Annual Energy Data'!CM41</f>
        <v>0</v>
      </c>
      <c r="X31" s="102">
        <f>+'Annual Energy Data'!CN41</f>
        <v>0</v>
      </c>
      <c r="Y31" s="102">
        <f>+'Annual Energy Data'!CO41</f>
        <v>0</v>
      </c>
      <c r="Z31" s="102">
        <f>+'Annual Energy Data'!CP41</f>
        <v>0</v>
      </c>
      <c r="AA31" s="102">
        <f>+SUMIF('Monthly Energy Data'!$D$128:$D$595,$B31,'Monthly Energy Data'!N$128:N$595)/(1+$AA$3)</f>
        <v>28196.65820114288</v>
      </c>
      <c r="AB31" s="102">
        <f>+SUMIF('Monthly Energy Data'!$D$128:$D$595,$B31,'Monthly Energy Data'!O$128:O$595)/(1+$AA$3)</f>
        <v>8798.4162758787297</v>
      </c>
      <c r="AC31" s="102">
        <f t="shared" si="23"/>
        <v>65659.43712229385</v>
      </c>
      <c r="AD31" s="88">
        <f t="shared" si="24"/>
        <v>23588.78348551174</v>
      </c>
      <c r="AE31" s="88">
        <f t="shared" si="25"/>
        <v>23588.78348551174</v>
      </c>
      <c r="AF31" s="88">
        <f t="shared" si="26"/>
        <v>23588.78348551174</v>
      </c>
      <c r="AG31" s="88">
        <f t="shared" si="27"/>
        <v>65690.814934330221</v>
      </c>
      <c r="AH31" s="88">
        <f t="shared" si="28"/>
        <v>79952.510125274377</v>
      </c>
      <c r="AI31" s="88">
        <f t="shared" si="29"/>
        <v>53370.267482149546</v>
      </c>
      <c r="AJ31" s="73" t="e">
        <f>+SUM(AD$7:AD31)</f>
        <v>#REF!</v>
      </c>
      <c r="AK31" s="58">
        <f t="shared" si="12"/>
        <v>41555.104266844632</v>
      </c>
      <c r="AL31" s="58">
        <f t="shared" si="13"/>
        <v>104056.8429807236</v>
      </c>
      <c r="AN31" s="58">
        <f t="shared" si="30"/>
        <v>92961.879079981081</v>
      </c>
      <c r="AO31" s="58">
        <f t="shared" si="31"/>
        <v>107223.57427092522</v>
      </c>
      <c r="AP31" s="58">
        <f t="shared" si="32"/>
        <v>27271.06414565086</v>
      </c>
      <c r="AQ31" s="58">
        <f t="shared" si="33"/>
        <v>-65690.814934330221</v>
      </c>
      <c r="AR31" s="58">
        <f t="shared" si="34"/>
        <v>-79952.510125274363</v>
      </c>
      <c r="AS31" s="184">
        <f t="shared" si="14"/>
        <v>1.5768992641913981</v>
      </c>
      <c r="AT31" s="172">
        <f t="shared" si="35"/>
        <v>-103587.79773407863</v>
      </c>
      <c r="AU31" s="172">
        <f t="shared" si="36"/>
        <v>-126077.05438680045</v>
      </c>
      <c r="AW31" s="281">
        <f t="shared" si="21"/>
        <v>53.335359007978056</v>
      </c>
      <c r="AX31" s="281">
        <f t="shared" si="21"/>
        <v>64.914643476160862</v>
      </c>
      <c r="AY31" s="281">
        <f t="shared" si="21"/>
        <v>43.332121535680052</v>
      </c>
      <c r="BA31" s="281">
        <f t="shared" si="18"/>
        <v>1.4203159297831078</v>
      </c>
      <c r="BB31" s="281">
        <f t="shared" si="17"/>
        <v>2.7748276070168956</v>
      </c>
      <c r="BC31" s="281">
        <f t="shared" si="17"/>
        <v>2.180296766304842</v>
      </c>
    </row>
    <row r="32" spans="1:55" x14ac:dyDescent="0.2">
      <c r="A32" s="74">
        <f t="shared" si="22"/>
        <v>0.2</v>
      </c>
      <c r="B32" s="89">
        <f>+'Annual Energy Data'!A42</f>
        <v>2042</v>
      </c>
      <c r="C32" s="102">
        <f>+'Tier 3 Data'!J37*'Tier 2 Data - MOU I.6'!$A32</f>
        <v>88575.684069844967</v>
      </c>
      <c r="D32" s="102">
        <f>+'Tier 3 Data'!K37*'Tier 2 Data - MOU I.6'!$A32</f>
        <v>88575.684069844967</v>
      </c>
      <c r="E32" s="102">
        <f>+'Tier 3 Data'!L37*'Tier 2 Data - MOU I.6'!$A32</f>
        <v>88575.684069844967</v>
      </c>
      <c r="F32" s="102">
        <f>+SUMIF('Monthly Energy Data'!D$224:D$595,'Tier 2 Data - MOU I.6'!B32,'Monthly Energy Data'!M$224:M$595)</f>
        <v>13094.50855222805</v>
      </c>
      <c r="G32" s="102">
        <f>+'Tier 3 Data'!M37*'Tier 2 Data - MOU I.6'!$A32-F32</f>
        <v>131522.84047201174</v>
      </c>
      <c r="H32" s="102">
        <f>+'Tier 3 Data'!N37*'Tier 2 Data - MOU I.6'!$A32-F32</f>
        <v>147540.86801393513</v>
      </c>
      <c r="I32" s="102">
        <f>+'Tier 3 Data'!O37*'Tier 2 Data - MOU I.6'!$A32-F32</f>
        <v>120214.85313351388</v>
      </c>
      <c r="J32" s="102">
        <f>+SUM('Annual Energy Data'!AQ42:BC42)-'Annual Energy Data'!AZ42-'Annual Energy Data'!AT42</f>
        <v>12523.80282419064</v>
      </c>
      <c r="K32" s="102">
        <f>+'Annual Energy Data'!AX42</f>
        <v>0</v>
      </c>
      <c r="L32" s="102">
        <f>+'Annual Energy Data'!AZ42</f>
        <v>0</v>
      </c>
      <c r="M32" s="102">
        <f>+'Annual Energy Data'!BA42</f>
        <v>0</v>
      </c>
      <c r="N32" s="102">
        <f>+'Annual Energy Data'!BB42</f>
        <v>0</v>
      </c>
      <c r="O32" s="102">
        <f>+'Annual Energy Data'!BE42</f>
        <v>0</v>
      </c>
      <c r="P32" s="102">
        <f>+'Annual Energy Data'!BF42</f>
        <v>1742.1417516018198</v>
      </c>
      <c r="Q32" s="102">
        <f>+'Annual Energy Data'!BG42</f>
        <v>6554.0755320683729</v>
      </c>
      <c r="R32" s="102">
        <f>+'Annual Energy Data'!BH42</f>
        <v>2245.4265579398257</v>
      </c>
      <c r="S32" s="102">
        <f>+'Annual Energy Data'!BI42</f>
        <v>2463.2807384264352</v>
      </c>
      <c r="T32" s="102">
        <f>+'Annual Energy Data'!CJ42</f>
        <v>0</v>
      </c>
      <c r="U32" s="102">
        <f>+'Annual Energy Data'!CK42</f>
        <v>0</v>
      </c>
      <c r="V32" s="102">
        <f>+'Annual Energy Data'!CL42</f>
        <v>0</v>
      </c>
      <c r="W32" s="102">
        <f>+'Annual Energy Data'!CM42</f>
        <v>0</v>
      </c>
      <c r="X32" s="102">
        <f>+'Annual Energy Data'!CN42</f>
        <v>0</v>
      </c>
      <c r="Y32" s="102">
        <f>+'Annual Energy Data'!CO42</f>
        <v>0</v>
      </c>
      <c r="Z32" s="102">
        <f>+'Annual Energy Data'!CP42</f>
        <v>0</v>
      </c>
      <c r="AA32" s="102">
        <f>+SUMIF('Monthly Energy Data'!$D$128:$D$595,$B32,'Monthly Energy Data'!N$128:N$595)/(1+$AA$3)</f>
        <v>28196.65820114288</v>
      </c>
      <c r="AB32" s="102">
        <f>+SUMIF('Monthly Energy Data'!$D$128:$D$595,$B32,'Monthly Energy Data'!O$128:O$595)/(1+$AA$3)</f>
        <v>8887.029408555627</v>
      </c>
      <c r="AC32" s="102">
        <f t="shared" si="23"/>
        <v>62612.415013925594</v>
      </c>
      <c r="AD32" s="88">
        <f t="shared" si="24"/>
        <v>25963.269055919372</v>
      </c>
      <c r="AE32" s="88">
        <f t="shared" si="25"/>
        <v>25963.269055919372</v>
      </c>
      <c r="AF32" s="88">
        <f t="shared" si="26"/>
        <v>25963.269055919372</v>
      </c>
      <c r="AG32" s="88">
        <f t="shared" si="27"/>
        <v>68910.425458086145</v>
      </c>
      <c r="AH32" s="88">
        <f t="shared" si="28"/>
        <v>84928.45300000954</v>
      </c>
      <c r="AI32" s="88">
        <f t="shared" si="29"/>
        <v>57602.438119588289</v>
      </c>
      <c r="AJ32" s="73" t="e">
        <f>+SUM(AD$7:AD32)</f>
        <v>#REF!</v>
      </c>
      <c r="AK32" s="58">
        <f t="shared" si="12"/>
        <v>40200.185043439247</v>
      </c>
      <c r="AL32" s="58">
        <f t="shared" si="13"/>
        <v>107340.68297049589</v>
      </c>
      <c r="AN32" s="58">
        <f t="shared" si="30"/>
        <v>94439.152862313233</v>
      </c>
      <c r="AO32" s="58">
        <f t="shared" si="31"/>
        <v>110457.18040423663</v>
      </c>
      <c r="AP32" s="58">
        <f t="shared" si="32"/>
        <v>25528.727404227084</v>
      </c>
      <c r="AQ32" s="58">
        <f t="shared" si="33"/>
        <v>-68910.425458086145</v>
      </c>
      <c r="AR32" s="58">
        <f t="shared" si="34"/>
        <v>-84928.45300000954</v>
      </c>
      <c r="AS32" s="184">
        <f t="shared" si="14"/>
        <v>1.6084372494752261</v>
      </c>
      <c r="AT32" s="172">
        <f t="shared" si="35"/>
        <v>-110838.09518397169</v>
      </c>
      <c r="AU32" s="172">
        <f t="shared" si="36"/>
        <v>-136602.08734552137</v>
      </c>
      <c r="AW32" s="281">
        <f t="shared" si="21"/>
        <v>55.949409135412928</v>
      </c>
      <c r="AX32" s="281">
        <f t="shared" si="21"/>
        <v>68.954686211092664</v>
      </c>
      <c r="AY32" s="281">
        <f t="shared" si="21"/>
        <v>46.768284423238541</v>
      </c>
      <c r="BA32" s="281">
        <f t="shared" si="18"/>
        <v>2.6140501274348722</v>
      </c>
      <c r="BB32" s="281">
        <f t="shared" si="17"/>
        <v>4.0400427349318022</v>
      </c>
      <c r="BC32" s="281">
        <f t="shared" si="17"/>
        <v>3.4361628875584884</v>
      </c>
    </row>
    <row r="33" spans="1:55" x14ac:dyDescent="0.2">
      <c r="A33" s="74">
        <f t="shared" si="22"/>
        <v>0.2</v>
      </c>
      <c r="B33" s="89">
        <f>+'Annual Energy Data'!A43</f>
        <v>2043</v>
      </c>
      <c r="C33" s="102">
        <f>+'Tier 3 Data'!J38*'Tier 2 Data - MOU I.6'!$A33</f>
        <v>87889.086656296204</v>
      </c>
      <c r="D33" s="102">
        <f>+'Tier 3 Data'!K38*'Tier 2 Data - MOU I.6'!$A33</f>
        <v>87889.086656296204</v>
      </c>
      <c r="E33" s="102">
        <f>+'Tier 3 Data'!L38*'Tier 2 Data - MOU I.6'!$A33</f>
        <v>87889.086656296204</v>
      </c>
      <c r="F33" s="102">
        <f>+SUMIF('Monthly Energy Data'!D$224:D$595,'Tier 2 Data - MOU I.6'!B33,'Monthly Energy Data'!M$224:M$595)</f>
        <v>13334.781801736155</v>
      </c>
      <c r="G33" s="102">
        <f>+'Tier 3 Data'!M38*'Tier 2 Data - MOU I.6'!$A33-F33</f>
        <v>131112.19491442962</v>
      </c>
      <c r="H33" s="102">
        <f>+'Tier 3 Data'!N38*'Tier 2 Data - MOU I.6'!$A33-F33</f>
        <v>149152.06746438215</v>
      </c>
      <c r="I33" s="102">
        <f>+'Tier 3 Data'!O38*'Tier 2 Data - MOU I.6'!$A33-F33</f>
        <v>120906.56663346503</v>
      </c>
      <c r="J33" s="102">
        <f>+SUM('Annual Energy Data'!AQ43:BC43)-'Annual Energy Data'!AZ43-'Annual Energy Data'!AT43</f>
        <v>11028.433631574659</v>
      </c>
      <c r="K33" s="102">
        <f>+'Annual Energy Data'!AX43</f>
        <v>0</v>
      </c>
      <c r="L33" s="102">
        <f>+'Annual Energy Data'!AZ43</f>
        <v>0</v>
      </c>
      <c r="M33" s="102">
        <f>+'Annual Energy Data'!BA43</f>
        <v>0</v>
      </c>
      <c r="N33" s="102">
        <f>+'Annual Energy Data'!BB43</f>
        <v>0</v>
      </c>
      <c r="O33" s="102">
        <f>+'Annual Energy Data'!BE43</f>
        <v>0</v>
      </c>
      <c r="P33" s="102">
        <f>+'Annual Energy Data'!BF43</f>
        <v>0</v>
      </c>
      <c r="Q33" s="102">
        <f>+'Annual Energy Data'!BG43</f>
        <v>0</v>
      </c>
      <c r="R33" s="102">
        <f>+'Annual Energy Data'!BH43</f>
        <v>2234.1994251501269</v>
      </c>
      <c r="S33" s="102">
        <f>+'Annual Energy Data'!BI43</f>
        <v>2450.9643347343031</v>
      </c>
      <c r="T33" s="102">
        <f>+'Annual Energy Data'!CJ43</f>
        <v>0</v>
      </c>
      <c r="U33" s="102">
        <f>+'Annual Energy Data'!CK43</f>
        <v>0</v>
      </c>
      <c r="V33" s="102">
        <f>+'Annual Energy Data'!CL43</f>
        <v>0</v>
      </c>
      <c r="W33" s="102">
        <f>+'Annual Energy Data'!CM43</f>
        <v>0</v>
      </c>
      <c r="X33" s="102">
        <f>+'Annual Energy Data'!CN43</f>
        <v>0</v>
      </c>
      <c r="Y33" s="102">
        <f>+'Annual Energy Data'!CO43</f>
        <v>0</v>
      </c>
      <c r="Z33" s="102">
        <f>+'Annual Energy Data'!CP43</f>
        <v>0</v>
      </c>
      <c r="AA33" s="102">
        <f>+SUMIF('Monthly Energy Data'!$D$128:$D$595,$B33,'Monthly Energy Data'!N$128:N$595)/(1+$AA$3)</f>
        <v>28714.043230465362</v>
      </c>
      <c r="AB33" s="102">
        <f>+SUMIF('Monthly Energy Data'!$D$128:$D$595,$B33,'Monthly Energy Data'!O$128:O$595)/(1+$AA$3)</f>
        <v>9195.3567177013192</v>
      </c>
      <c r="AC33" s="102">
        <f t="shared" ref="AC33:AC40" si="37">+SUM(J33:AB33)</f>
        <v>53622.99733962577</v>
      </c>
      <c r="AD33" s="88">
        <f t="shared" ref="AD33:AD40" si="38">+C33-$AC33</f>
        <v>34266.089316670434</v>
      </c>
      <c r="AE33" s="88">
        <f t="shared" ref="AE33:AE40" si="39">+D33-$AC33</f>
        <v>34266.089316670434</v>
      </c>
      <c r="AF33" s="88">
        <f t="shared" ref="AF33:AF40" si="40">+E33-$AC33</f>
        <v>34266.089316670434</v>
      </c>
      <c r="AG33" s="88">
        <f t="shared" ref="AG33:AG40" si="41">+G33-$AC33</f>
        <v>77489.197574803853</v>
      </c>
      <c r="AH33" s="88">
        <f t="shared" ref="AH33:AH40" si="42">+H33-$AC33</f>
        <v>95529.070124756385</v>
      </c>
      <c r="AI33" s="88">
        <f t="shared" ref="AI33:AI40" si="43">+I33-$AC33</f>
        <v>67283.56929383926</v>
      </c>
      <c r="AJ33" s="73" t="e">
        <f>+SUM(AD$7:AD33)</f>
        <v>#REF!</v>
      </c>
      <c r="AK33" s="58">
        <f t="shared" ref="AK33:AK40" si="44">+AB33+AA33+R33+O33+0.5*P33</f>
        <v>40143.599373316807</v>
      </c>
      <c r="AL33" s="58">
        <f t="shared" ref="AL33:AL40" si="45">+H33-AK33</f>
        <v>109008.46809106536</v>
      </c>
      <c r="AN33" s="58">
        <f t="shared" ref="AN33:AN40" si="46">+G33-$O33-$AA33-$AB33</f>
        <v>93202.79496626294</v>
      </c>
      <c r="AO33" s="58">
        <f t="shared" ref="AO33:AO40" si="47">+H33-$O33-$AA33-$AB33</f>
        <v>111242.66751621547</v>
      </c>
      <c r="AP33" s="58">
        <f t="shared" ref="AP33:AP40" si="48">+AC33-O33-AA33-AB33</f>
        <v>15713.597391459089</v>
      </c>
      <c r="AQ33" s="58">
        <f t="shared" ref="AQ33:AQ40" si="49">+$AP33-AN33</f>
        <v>-77489.197574803853</v>
      </c>
      <c r="AR33" s="58">
        <f t="shared" ref="AR33:AR40" si="50">+$AP33-AO33</f>
        <v>-95529.070124756385</v>
      </c>
      <c r="AS33" s="184">
        <f t="shared" si="14"/>
        <v>1.6406059944647307</v>
      </c>
      <c r="AT33" s="172">
        <f t="shared" ref="AT33:AT40" si="51">+$AS33*AQ33</f>
        <v>-127129.24204748507</v>
      </c>
      <c r="AU33" s="172">
        <f t="shared" ref="AU33:AU40" si="52">+$AS33*AR33</f>
        <v>-156725.56509231695</v>
      </c>
      <c r="AW33" s="281">
        <f t="shared" si="21"/>
        <v>62.914643029225573</v>
      </c>
      <c r="AX33" s="281">
        <f t="shared" si="21"/>
        <v>77.561486425395074</v>
      </c>
      <c r="AY33" s="281">
        <f t="shared" si="21"/>
        <v>54.628540188038919</v>
      </c>
      <c r="BA33" s="281">
        <f t="shared" si="18"/>
        <v>6.9652338938126448</v>
      </c>
      <c r="BB33" s="281">
        <f t="shared" si="17"/>
        <v>8.6068002143024103</v>
      </c>
      <c r="BC33" s="281">
        <f t="shared" si="17"/>
        <v>7.8602557648003781</v>
      </c>
    </row>
    <row r="34" spans="1:55" x14ac:dyDescent="0.2">
      <c r="A34" s="74">
        <f t="shared" si="22"/>
        <v>0.2</v>
      </c>
      <c r="B34" s="89">
        <f>+'Annual Energy Data'!A44</f>
        <v>2044</v>
      </c>
      <c r="C34" s="102">
        <f>+'Tier 3 Data'!J39*'Tier 2 Data - MOU I.6'!$A34</f>
        <v>87211.662677120694</v>
      </c>
      <c r="D34" s="102">
        <f>+'Tier 3 Data'!K39*'Tier 2 Data - MOU I.6'!$A34</f>
        <v>87211.662677120694</v>
      </c>
      <c r="E34" s="102">
        <f>+'Tier 3 Data'!L39*'Tier 2 Data - MOU I.6'!$A34</f>
        <v>87211.662677120694</v>
      </c>
      <c r="F34" s="102">
        <f>+SUMIF('Monthly Energy Data'!D$224:D$595,'Tier 2 Data - MOU I.6'!B34,'Monthly Energy Data'!M$224:M$595)</f>
        <v>13334.781801736155</v>
      </c>
      <c r="G34" s="102">
        <f>+'Tier 3 Data'!M39*'Tier 2 Data - MOU I.6'!$A34-F34</f>
        <v>130886.68891271862</v>
      </c>
      <c r="H34" s="102">
        <f>+'Tier 3 Data'!N39*'Tier 2 Data - MOU I.6'!$A34-F34</f>
        <v>151012.71359871043</v>
      </c>
      <c r="I34" s="102">
        <f>+'Tier 3 Data'!O39*'Tier 2 Data - MOU I.6'!$A34-F34</f>
        <v>121660.06532681015</v>
      </c>
      <c r="J34" s="102">
        <f>+SUM('Annual Energy Data'!AQ44:BC44)-'Annual Energy Data'!AZ44-'Annual Energy Data'!AT44</f>
        <v>10565.73237757724</v>
      </c>
      <c r="K34" s="102">
        <f>+'Annual Energy Data'!AX44</f>
        <v>0</v>
      </c>
      <c r="L34" s="102">
        <f>+'Annual Energy Data'!AZ44</f>
        <v>0</v>
      </c>
      <c r="M34" s="102">
        <f>+'Annual Energy Data'!BA44</f>
        <v>0</v>
      </c>
      <c r="N34" s="102">
        <f>+'Annual Energy Data'!BB44</f>
        <v>0</v>
      </c>
      <c r="O34" s="102">
        <f>+'Annual Energy Data'!BE44</f>
        <v>0</v>
      </c>
      <c r="P34" s="102">
        <f>+'Annual Energy Data'!BF44</f>
        <v>0</v>
      </c>
      <c r="Q34" s="102">
        <f>+'Annual Energy Data'!BG44</f>
        <v>0</v>
      </c>
      <c r="R34" s="102">
        <f>+'Annual Energy Data'!BH44</f>
        <v>2223.0284280243759</v>
      </c>
      <c r="S34" s="102">
        <f>+'Annual Energy Data'!BI44</f>
        <v>2438.7095130606317</v>
      </c>
      <c r="T34" s="102">
        <f>+'Annual Energy Data'!CJ44</f>
        <v>0</v>
      </c>
      <c r="U34" s="102">
        <f>+'Annual Energy Data'!CK44</f>
        <v>0</v>
      </c>
      <c r="V34" s="102">
        <f>+'Annual Energy Data'!CL44</f>
        <v>0</v>
      </c>
      <c r="W34" s="102">
        <f>+'Annual Energy Data'!CM44</f>
        <v>0</v>
      </c>
      <c r="X34" s="102">
        <f>+'Annual Energy Data'!CN44</f>
        <v>0</v>
      </c>
      <c r="Y34" s="102">
        <f>+'Annual Energy Data'!CO44</f>
        <v>0</v>
      </c>
      <c r="Z34" s="102">
        <f>+'Annual Energy Data'!CP44</f>
        <v>0</v>
      </c>
      <c r="AA34" s="102">
        <f>+SUMIF('Monthly Energy Data'!$D$128:$D$595,$B34,'Monthly Energy Data'!N$128:N$595)/(1+$AA$3)</f>
        <v>28714.043230465362</v>
      </c>
      <c r="AB34" s="102">
        <f>+SUMIF('Monthly Energy Data'!$D$128:$D$595,$B34,'Monthly Energy Data'!O$128:O$595)/(1+$AA$3)</f>
        <v>9274.7697039603154</v>
      </c>
      <c r="AC34" s="102">
        <f t="shared" si="37"/>
        <v>53216.283253087924</v>
      </c>
      <c r="AD34" s="88">
        <f t="shared" si="38"/>
        <v>33995.37942403277</v>
      </c>
      <c r="AE34" s="88">
        <f t="shared" si="39"/>
        <v>33995.37942403277</v>
      </c>
      <c r="AF34" s="88">
        <f t="shared" si="40"/>
        <v>33995.37942403277</v>
      </c>
      <c r="AG34" s="88">
        <f t="shared" si="41"/>
        <v>77670.405659630691</v>
      </c>
      <c r="AH34" s="88">
        <f t="shared" si="42"/>
        <v>97796.430345622503</v>
      </c>
      <c r="AI34" s="88">
        <f t="shared" si="43"/>
        <v>68443.782073722221</v>
      </c>
      <c r="AJ34" s="73" t="e">
        <f>+SUM(AD$7:AD34)</f>
        <v>#REF!</v>
      </c>
      <c r="AK34" s="58">
        <f t="shared" si="44"/>
        <v>40211.841362450054</v>
      </c>
      <c r="AL34" s="58">
        <f t="shared" si="45"/>
        <v>110800.87223626037</v>
      </c>
      <c r="AN34" s="58">
        <f t="shared" si="46"/>
        <v>92897.875978292926</v>
      </c>
      <c r="AO34" s="58">
        <f t="shared" si="47"/>
        <v>113023.90066428474</v>
      </c>
      <c r="AP34" s="58">
        <f t="shared" si="48"/>
        <v>15227.470318662246</v>
      </c>
      <c r="AQ34" s="58">
        <f t="shared" si="49"/>
        <v>-77670.405659630676</v>
      </c>
      <c r="AR34" s="58">
        <f t="shared" si="50"/>
        <v>-97796.430345622488</v>
      </c>
      <c r="AS34" s="184">
        <f t="shared" si="14"/>
        <v>1.6734181143540252</v>
      </c>
      <c r="AT34" s="172">
        <f t="shared" si="51"/>
        <v>-129975.06378005138</v>
      </c>
      <c r="AU34" s="172">
        <f t="shared" si="52"/>
        <v>-163654.31805952635</v>
      </c>
      <c r="AW34" s="281">
        <f t="shared" si="21"/>
        <v>63.061768594177835</v>
      </c>
      <c r="AX34" s="281">
        <f t="shared" si="21"/>
        <v>79.402390233654941</v>
      </c>
      <c r="AY34" s="281">
        <f t="shared" si="21"/>
        <v>55.570534364889404</v>
      </c>
      <c r="BA34" s="281">
        <f t="shared" si="18"/>
        <v>0.14712556495226181</v>
      </c>
      <c r="BB34" s="281">
        <f t="shared" si="17"/>
        <v>1.840903808259867</v>
      </c>
      <c r="BC34" s="281">
        <f t="shared" si="17"/>
        <v>0.94199417685048559</v>
      </c>
    </row>
    <row r="35" spans="1:55" x14ac:dyDescent="0.2">
      <c r="A35" s="74">
        <f t="shared" si="22"/>
        <v>0.2</v>
      </c>
      <c r="B35" s="89">
        <f>+'Annual Energy Data'!A45</f>
        <v>2045</v>
      </c>
      <c r="C35" s="102">
        <f>+'Tier 3 Data'!J40*'Tier 2 Data - MOU I.6'!$A35</f>
        <v>86530.754235006578</v>
      </c>
      <c r="D35" s="102">
        <f>+'Tier 3 Data'!K40*'Tier 2 Data - MOU I.6'!$A35</f>
        <v>86530.754235006578</v>
      </c>
      <c r="E35" s="102">
        <f>+'Tier 3 Data'!L40*'Tier 2 Data - MOU I.6'!$A35</f>
        <v>86530.754235006578</v>
      </c>
      <c r="F35" s="102">
        <f>+SUMIF('Monthly Energy Data'!D$224:D$595,'Tier 2 Data - MOU I.6'!B35,'Monthly Energy Data'!M$224:M$595)</f>
        <v>13334.781801736155</v>
      </c>
      <c r="G35" s="102">
        <f>+'Tier 3 Data'!M40*'Tier 2 Data - MOU I.6'!$A35-F35</f>
        <v>130657.52137425184</v>
      </c>
      <c r="H35" s="102">
        <f>+'Tier 3 Data'!N40*'Tier 2 Data - MOU I.6'!$A35-F35</f>
        <v>152869.87527010014</v>
      </c>
      <c r="I35" s="102">
        <f>+'Tier 3 Data'!O40*'Tier 2 Data - MOU I.6'!$A35-F35</f>
        <v>122288.72234587561</v>
      </c>
      <c r="J35" s="102">
        <f>+SUM('Annual Energy Data'!AQ45:BC45)-'Annual Energy Data'!AZ45-'Annual Energy Data'!AT45</f>
        <v>9903.1627649343609</v>
      </c>
      <c r="K35" s="102">
        <f>+'Annual Energy Data'!AX45</f>
        <v>0</v>
      </c>
      <c r="L35" s="102">
        <f>+'Annual Energy Data'!AZ45</f>
        <v>0</v>
      </c>
      <c r="M35" s="102">
        <f>+'Annual Energy Data'!BA45</f>
        <v>0</v>
      </c>
      <c r="N35" s="102">
        <f>+'Annual Energy Data'!BB45</f>
        <v>0</v>
      </c>
      <c r="O35" s="102">
        <f>+'Annual Energy Data'!BE45</f>
        <v>0</v>
      </c>
      <c r="P35" s="102">
        <f>+'Annual Energy Data'!BF45</f>
        <v>0</v>
      </c>
      <c r="Q35" s="102">
        <f>+'Annual Energy Data'!BG45</f>
        <v>0</v>
      </c>
      <c r="R35" s="102">
        <f>+'Annual Energy Data'!BH45</f>
        <v>702.17573329252434</v>
      </c>
      <c r="S35" s="102">
        <f>+'Annual Energy Data'!BI45</f>
        <v>2426.5159654953281</v>
      </c>
      <c r="T35" s="102">
        <f>+'Annual Energy Data'!CJ45</f>
        <v>0</v>
      </c>
      <c r="U35" s="102">
        <f>+'Annual Energy Data'!CK45</f>
        <v>0</v>
      </c>
      <c r="V35" s="102">
        <f>+'Annual Energy Data'!CL45</f>
        <v>0</v>
      </c>
      <c r="W35" s="102">
        <f>+'Annual Energy Data'!CM45</f>
        <v>0</v>
      </c>
      <c r="X35" s="102">
        <f>+'Annual Energy Data'!CN45</f>
        <v>0</v>
      </c>
      <c r="Y35" s="102">
        <f>+'Annual Energy Data'!CO45</f>
        <v>0</v>
      </c>
      <c r="Z35" s="102">
        <f>+'Annual Energy Data'!CP45</f>
        <v>0</v>
      </c>
      <c r="AA35" s="102">
        <f>+SUMIF('Monthly Energy Data'!$D$128:$D$595,$B35,'Monthly Energy Data'!N$128:N$595)/(1+$AA$3)</f>
        <v>28714.043230465362</v>
      </c>
      <c r="AB35" s="102">
        <f>+SUMIF('Monthly Energy Data'!$D$128:$D$595,$B35,'Monthly Energy Data'!O$128:O$595)/(1+$AA$3)</f>
        <v>9412.2570725296246</v>
      </c>
      <c r="AC35" s="102">
        <f t="shared" si="37"/>
        <v>51158.154766717198</v>
      </c>
      <c r="AD35" s="88">
        <f t="shared" si="38"/>
        <v>35372.59946828938</v>
      </c>
      <c r="AE35" s="88">
        <f t="shared" si="39"/>
        <v>35372.59946828938</v>
      </c>
      <c r="AF35" s="88">
        <f t="shared" si="40"/>
        <v>35372.59946828938</v>
      </c>
      <c r="AG35" s="88">
        <f t="shared" si="41"/>
        <v>79499.366607534641</v>
      </c>
      <c r="AH35" s="88">
        <f t="shared" si="42"/>
        <v>101711.72050338294</v>
      </c>
      <c r="AI35" s="88">
        <f t="shared" si="43"/>
        <v>71130.567579158407</v>
      </c>
      <c r="AJ35" s="73" t="e">
        <f>+SUM(AD$7:AD35)</f>
        <v>#REF!</v>
      </c>
      <c r="AK35" s="58">
        <f t="shared" si="44"/>
        <v>38828.476036287517</v>
      </c>
      <c r="AL35" s="58">
        <f t="shared" si="45"/>
        <v>114041.39923381261</v>
      </c>
      <c r="AN35" s="58">
        <f t="shared" si="46"/>
        <v>92531.221071256849</v>
      </c>
      <c r="AO35" s="58">
        <f t="shared" si="47"/>
        <v>114743.57496710515</v>
      </c>
      <c r="AP35" s="58">
        <f t="shared" si="48"/>
        <v>13031.854463722211</v>
      </c>
      <c r="AQ35" s="58">
        <f t="shared" si="49"/>
        <v>-79499.366607534641</v>
      </c>
      <c r="AR35" s="58">
        <f t="shared" si="50"/>
        <v>-101711.72050338294</v>
      </c>
      <c r="AS35" s="184">
        <f t="shared" si="14"/>
        <v>1.7068864766411058</v>
      </c>
      <c r="AT35" s="172">
        <f t="shared" si="51"/>
        <v>-135696.39376393438</v>
      </c>
      <c r="AU35" s="172">
        <f t="shared" si="52"/>
        <v>-173610.36024312422</v>
      </c>
      <c r="AW35" s="281">
        <f t="shared" si="21"/>
        <v>64.546729450053135</v>
      </c>
      <c r="AX35" s="281">
        <f t="shared" si="21"/>
        <v>82.58127310172884</v>
      </c>
      <c r="AY35" s="281">
        <f t="shared" si="21"/>
        <v>57.751975859459471</v>
      </c>
      <c r="BA35" s="281">
        <f t="shared" si="18"/>
        <v>1.4849608558753005</v>
      </c>
      <c r="BB35" s="281">
        <f t="shared" si="17"/>
        <v>3.1788828680738987</v>
      </c>
      <c r="BC35" s="281">
        <f t="shared" si="17"/>
        <v>2.1814414945700662</v>
      </c>
    </row>
    <row r="36" spans="1:55" x14ac:dyDescent="0.2">
      <c r="A36" s="74">
        <f t="shared" si="22"/>
        <v>0.2</v>
      </c>
      <c r="B36" s="89">
        <f>+'Annual Energy Data'!A46</f>
        <v>2046</v>
      </c>
      <c r="C36" s="102">
        <f>+'Tier 3 Data'!J41*'Tier 2 Data - MOU I.6'!$A36</f>
        <v>-569.11857479218042</v>
      </c>
      <c r="D36" s="102">
        <f>+'Tier 3 Data'!K41*'Tier 2 Data - MOU I.6'!$A36</f>
        <v>-569.11857479218042</v>
      </c>
      <c r="E36" s="102">
        <f>+'Tier 3 Data'!L41*'Tier 2 Data - MOU I.6'!$A36</f>
        <v>-569.11857479218042</v>
      </c>
      <c r="F36" s="102">
        <f>+SUMIF('Monthly Energy Data'!D$224:D$595,'Tier 2 Data - MOU I.6'!B36,'Monthly Energy Data'!M$224:M$595)</f>
        <v>13334.781801736155</v>
      </c>
      <c r="G36" s="102">
        <f>+'Tier 3 Data'!M41*'Tier 2 Data - MOU I.6'!$A36-F36</f>
        <v>-13903.900376528336</v>
      </c>
      <c r="H36" s="102">
        <f>+'Tier 3 Data'!N41*'Tier 2 Data - MOU I.6'!$A36-F36</f>
        <v>-13903.900376528336</v>
      </c>
      <c r="I36" s="102">
        <f>+'Tier 3 Data'!O41*'Tier 2 Data - MOU I.6'!$A36-F36</f>
        <v>-13903.900376528336</v>
      </c>
      <c r="J36" s="102">
        <f>+SUM('Annual Energy Data'!AQ46:BC46)-'Annual Energy Data'!AZ46-'Annual Energy Data'!AT46</f>
        <v>9576.336683280706</v>
      </c>
      <c r="K36" s="102">
        <f>+'Annual Energy Data'!AX46</f>
        <v>0</v>
      </c>
      <c r="L36" s="102">
        <f>+'Annual Energy Data'!AZ46</f>
        <v>0</v>
      </c>
      <c r="M36" s="102">
        <f>+'Annual Energy Data'!BA46</f>
        <v>0</v>
      </c>
      <c r="N36" s="102">
        <f>+'Annual Energy Data'!BB46</f>
        <v>0</v>
      </c>
      <c r="O36" s="102">
        <f>+'Annual Energy Data'!BE46</f>
        <v>0</v>
      </c>
      <c r="P36" s="102">
        <f>+'Annual Energy Data'!BF46</f>
        <v>0</v>
      </c>
      <c r="Q36" s="102">
        <f>+'Annual Energy Data'!BG46</f>
        <v>0</v>
      </c>
      <c r="R36" s="102">
        <f>+'Annual Energy Data'!BH46</f>
        <v>0</v>
      </c>
      <c r="S36" s="102">
        <f>+'Annual Energy Data'!BI46</f>
        <v>2206.4957152249667</v>
      </c>
      <c r="T36" s="102">
        <f>+'Annual Energy Data'!CJ46</f>
        <v>0</v>
      </c>
      <c r="U36" s="102">
        <f>+'Annual Energy Data'!CK46</f>
        <v>0</v>
      </c>
      <c r="V36" s="102">
        <f>+'Annual Energy Data'!CL46</f>
        <v>0</v>
      </c>
      <c r="W36" s="102">
        <f>+'Annual Energy Data'!CM46</f>
        <v>0</v>
      </c>
      <c r="X36" s="102">
        <f>+'Annual Energy Data'!CN46</f>
        <v>0</v>
      </c>
      <c r="Y36" s="102">
        <f>+'Annual Energy Data'!CO46</f>
        <v>0</v>
      </c>
      <c r="Z36" s="102">
        <f>+'Annual Energy Data'!CP46</f>
        <v>0</v>
      </c>
      <c r="AA36" s="102">
        <f>+SUMIF('Monthly Energy Data'!$D$128:$D$595,$B36,'Monthly Energy Data'!N$128:N$595)/(1+$AA$3)</f>
        <v>28714.043230465362</v>
      </c>
      <c r="AB36" s="102">
        <f>+SUMIF('Monthly Energy Data'!$D$128:$D$595,$B36,'Monthly Energy Data'!O$128:O$595)/(1+$AA$3)</f>
        <v>9485.3095798696759</v>
      </c>
      <c r="AC36" s="102">
        <f t="shared" si="37"/>
        <v>49982.18520884071</v>
      </c>
      <c r="AD36" s="88">
        <f t="shared" si="38"/>
        <v>-50551.303783632888</v>
      </c>
      <c r="AE36" s="88">
        <f t="shared" si="39"/>
        <v>-50551.303783632888</v>
      </c>
      <c r="AF36" s="88">
        <f t="shared" si="40"/>
        <v>-50551.303783632888</v>
      </c>
      <c r="AG36" s="88">
        <f t="shared" si="41"/>
        <v>-63886.085585369045</v>
      </c>
      <c r="AH36" s="88">
        <f t="shared" si="42"/>
        <v>-63886.085585369045</v>
      </c>
      <c r="AI36" s="88">
        <f t="shared" si="43"/>
        <v>-63886.085585369045</v>
      </c>
      <c r="AJ36" s="73" t="e">
        <f>+SUM(AD$7:AD36)</f>
        <v>#REF!</v>
      </c>
      <c r="AK36" s="58">
        <f t="shared" si="44"/>
        <v>38199.35281033504</v>
      </c>
      <c r="AL36" s="58">
        <f t="shared" si="45"/>
        <v>-52103.253186863374</v>
      </c>
      <c r="AN36" s="58">
        <f t="shared" si="46"/>
        <v>-52103.253186863374</v>
      </c>
      <c r="AO36" s="58">
        <f t="shared" si="47"/>
        <v>-52103.253186863374</v>
      </c>
      <c r="AP36" s="58">
        <f t="shared" si="48"/>
        <v>11782.832398505672</v>
      </c>
      <c r="AQ36" s="58">
        <f t="shared" si="49"/>
        <v>63886.085585369045</v>
      </c>
      <c r="AR36" s="58">
        <f t="shared" si="50"/>
        <v>63886.085585369045</v>
      </c>
      <c r="AS36" s="184">
        <f t="shared" si="14"/>
        <v>1.7410242061739281</v>
      </c>
      <c r="AT36" s="172">
        <f t="shared" si="51"/>
        <v>111227.22144182677</v>
      </c>
      <c r="AU36" s="172">
        <f t="shared" si="52"/>
        <v>111227.22144182677</v>
      </c>
      <c r="AW36" s="281">
        <f t="shared" si="21"/>
        <v>-51.870072151127466</v>
      </c>
      <c r="AX36" s="281">
        <f t="shared" si="21"/>
        <v>-51.870072151127466</v>
      </c>
      <c r="AY36" s="281">
        <f t="shared" si="21"/>
        <v>-51.870072151127466</v>
      </c>
      <c r="BA36" s="281">
        <f t="shared" si="18"/>
        <v>-116.41680160118059</v>
      </c>
      <c r="BB36" s="281">
        <f t="shared" si="17"/>
        <v>-134.4513452528563</v>
      </c>
      <c r="BC36" s="281">
        <f t="shared" si="17"/>
        <v>-109.62204801058694</v>
      </c>
    </row>
    <row r="37" spans="1:55" x14ac:dyDescent="0.2">
      <c r="A37" s="74">
        <f t="shared" si="22"/>
        <v>0.2</v>
      </c>
      <c r="B37" s="89">
        <f>+'Annual Energy Data'!A47</f>
        <v>2047</v>
      </c>
      <c r="C37" s="102">
        <f>+'Tier 3 Data'!J42*'Tier 2 Data - MOU I.6'!$A37</f>
        <v>0</v>
      </c>
      <c r="D37" s="102">
        <f>+'Tier 3 Data'!K42*'Tier 2 Data - MOU I.6'!$A37</f>
        <v>0</v>
      </c>
      <c r="E37" s="102">
        <f>+'Tier 3 Data'!L42*'Tier 2 Data - MOU I.6'!$A37</f>
        <v>0</v>
      </c>
      <c r="F37" s="102">
        <f>+SUMIF('Monthly Energy Data'!D$224:D$595,'Tier 2 Data - MOU I.6'!B37,'Monthly Energy Data'!M$224:M$595)</f>
        <v>0</v>
      </c>
      <c r="G37" s="102">
        <f>+'Tier 3 Data'!M42*'Tier 2 Data - MOU I.6'!$A37-F37</f>
        <v>0</v>
      </c>
      <c r="H37" s="102">
        <f>+'Tier 3 Data'!N42*'Tier 2 Data - MOU I.6'!$A37-F37</f>
        <v>0</v>
      </c>
      <c r="I37" s="102">
        <f>+'Tier 3 Data'!O42*'Tier 2 Data - MOU I.6'!$A37-F37</f>
        <v>0</v>
      </c>
      <c r="J37" s="102">
        <f>+SUM('Annual Energy Data'!AQ47:BC47)-'Annual Energy Data'!AZ47-'Annual Energy Data'!AT47</f>
        <v>6833.2851892549088</v>
      </c>
      <c r="K37" s="102">
        <f>+'Annual Energy Data'!AX47</f>
        <v>0</v>
      </c>
      <c r="L37" s="102">
        <f>+'Annual Energy Data'!AZ47</f>
        <v>0</v>
      </c>
      <c r="M37" s="102">
        <f>+'Annual Energy Data'!BA47</f>
        <v>0</v>
      </c>
      <c r="N37" s="102">
        <f>+'Annual Energy Data'!BB47</f>
        <v>0</v>
      </c>
      <c r="O37" s="102">
        <f>+'Annual Energy Data'!BE47</f>
        <v>0</v>
      </c>
      <c r="P37" s="102">
        <f>+'Annual Energy Data'!BF47</f>
        <v>0</v>
      </c>
      <c r="Q37" s="102">
        <f>+'Annual Energy Data'!BG47</f>
        <v>0</v>
      </c>
      <c r="R37" s="102">
        <f>+'Annual Energy Data'!BH47</f>
        <v>0</v>
      </c>
      <c r="S37" s="102">
        <f>+'Annual Energy Data'!BI47</f>
        <v>0</v>
      </c>
      <c r="T37" s="102">
        <f>+'Annual Energy Data'!CJ47</f>
        <v>0</v>
      </c>
      <c r="U37" s="102">
        <f>+'Annual Energy Data'!CK47</f>
        <v>0</v>
      </c>
      <c r="V37" s="102">
        <f>+'Annual Energy Data'!CL47</f>
        <v>0</v>
      </c>
      <c r="W37" s="102">
        <f>+'Annual Energy Data'!CM47</f>
        <v>0</v>
      </c>
      <c r="X37" s="102">
        <f>+'Annual Energy Data'!CN47</f>
        <v>0</v>
      </c>
      <c r="Y37" s="102">
        <f>+'Annual Energy Data'!CO47</f>
        <v>0</v>
      </c>
      <c r="Z37" s="102">
        <f>+'Annual Energy Data'!CP47</f>
        <v>0</v>
      </c>
      <c r="AA37" s="102">
        <f>+SUMIF('Monthly Energy Data'!$D$128:$D$595,$B37,'Monthly Energy Data'!N$128:N$595)/(1+$AA$3)</f>
        <v>0</v>
      </c>
      <c r="AB37" s="102">
        <f>+SUMIF('Monthly Energy Data'!$D$128:$D$595,$B37,'Monthly Energy Data'!O$128:O$595)/(1+$AA$3)</f>
        <v>0</v>
      </c>
      <c r="AC37" s="102">
        <f t="shared" si="37"/>
        <v>6833.2851892549088</v>
      </c>
      <c r="AD37" s="88">
        <f t="shared" si="38"/>
        <v>-6833.2851892549088</v>
      </c>
      <c r="AE37" s="88">
        <f t="shared" si="39"/>
        <v>-6833.2851892549088</v>
      </c>
      <c r="AF37" s="88">
        <f t="shared" si="40"/>
        <v>-6833.2851892549088</v>
      </c>
      <c r="AG37" s="88">
        <f t="shared" si="41"/>
        <v>-6833.2851892549088</v>
      </c>
      <c r="AH37" s="88">
        <f t="shared" si="42"/>
        <v>-6833.2851892549088</v>
      </c>
      <c r="AI37" s="88">
        <f t="shared" si="43"/>
        <v>-6833.2851892549088</v>
      </c>
      <c r="AJ37" s="73" t="e">
        <f>+SUM(AD$7:AD37)</f>
        <v>#REF!</v>
      </c>
      <c r="AK37" s="58">
        <f t="shared" si="44"/>
        <v>0</v>
      </c>
      <c r="AL37" s="58">
        <f t="shared" si="45"/>
        <v>0</v>
      </c>
      <c r="AN37" s="58">
        <f t="shared" si="46"/>
        <v>0</v>
      </c>
      <c r="AO37" s="58">
        <f t="shared" si="47"/>
        <v>0</v>
      </c>
      <c r="AP37" s="58">
        <f t="shared" si="48"/>
        <v>6833.2851892549088</v>
      </c>
      <c r="AQ37" s="58">
        <f t="shared" si="49"/>
        <v>6833.2851892549088</v>
      </c>
      <c r="AR37" s="58">
        <f t="shared" si="50"/>
        <v>6833.2851892549088</v>
      </c>
      <c r="AS37" s="184">
        <f t="shared" si="14"/>
        <v>1.7758446902974065</v>
      </c>
      <c r="AT37" s="172">
        <f t="shared" si="51"/>
        <v>12134.853220626239</v>
      </c>
      <c r="AU37" s="172">
        <f t="shared" si="52"/>
        <v>12134.853220626239</v>
      </c>
      <c r="AW37" s="281">
        <f t="shared" si="21"/>
        <v>-5.5480468485152583</v>
      </c>
      <c r="AX37" s="281">
        <f t="shared" si="21"/>
        <v>-5.5480468485152583</v>
      </c>
      <c r="AY37" s="281">
        <f t="shared" si="21"/>
        <v>-5.5480468485152583</v>
      </c>
      <c r="BA37" s="281">
        <f t="shared" si="18"/>
        <v>46.322025302612211</v>
      </c>
      <c r="BB37" s="281">
        <f t="shared" si="17"/>
        <v>46.322025302612211</v>
      </c>
      <c r="BC37" s="281">
        <f t="shared" si="17"/>
        <v>46.322025302612211</v>
      </c>
    </row>
    <row r="38" spans="1:55" x14ac:dyDescent="0.2">
      <c r="A38" s="74">
        <f t="shared" si="22"/>
        <v>0.2</v>
      </c>
      <c r="B38" s="89">
        <f>+'Annual Energy Data'!A48</f>
        <v>2048</v>
      </c>
      <c r="C38" s="102">
        <f>+'Tier 3 Data'!J43*'Tier 2 Data - MOU I.6'!$A38</f>
        <v>0</v>
      </c>
      <c r="D38" s="102">
        <f>+'Tier 3 Data'!K43*'Tier 2 Data - MOU I.6'!$A38</f>
        <v>0</v>
      </c>
      <c r="E38" s="102">
        <f>+'Tier 3 Data'!L43*'Tier 2 Data - MOU I.6'!$A38</f>
        <v>0</v>
      </c>
      <c r="F38" s="102">
        <f>+SUMIF('Monthly Energy Data'!D$224:D$595,'Tier 2 Data - MOU I.6'!B38,'Monthly Energy Data'!M$224:M$595)</f>
        <v>0</v>
      </c>
      <c r="G38" s="102">
        <f>+'Tier 3 Data'!M43*'Tier 2 Data - MOU I.6'!$A38-F38</f>
        <v>0</v>
      </c>
      <c r="H38" s="102">
        <f>+'Tier 3 Data'!N43*'Tier 2 Data - MOU I.6'!$A38-F38</f>
        <v>0</v>
      </c>
      <c r="I38" s="102">
        <f>+'Tier 3 Data'!O43*'Tier 2 Data - MOU I.6'!$A38-F38</f>
        <v>0</v>
      </c>
      <c r="J38" s="102">
        <f>+SUM('Annual Energy Data'!AQ48:BC48)-'Annual Energy Data'!AZ48-'Annual Energy Data'!AT48</f>
        <v>2778.8205748619234</v>
      </c>
      <c r="K38" s="102">
        <f>+'Annual Energy Data'!AX48</f>
        <v>0</v>
      </c>
      <c r="L38" s="102">
        <f>+'Annual Energy Data'!AZ48</f>
        <v>0</v>
      </c>
      <c r="M38" s="102">
        <f>+'Annual Energy Data'!BA48</f>
        <v>0</v>
      </c>
      <c r="N38" s="102">
        <f>+'Annual Energy Data'!BB48</f>
        <v>0</v>
      </c>
      <c r="O38" s="102">
        <f>+'Annual Energy Data'!BE48</f>
        <v>0</v>
      </c>
      <c r="P38" s="102">
        <f>+'Annual Energy Data'!BF48</f>
        <v>0</v>
      </c>
      <c r="Q38" s="102">
        <f>+'Annual Energy Data'!BG48</f>
        <v>0</v>
      </c>
      <c r="R38" s="102">
        <f>+'Annual Energy Data'!BH48</f>
        <v>0</v>
      </c>
      <c r="S38" s="102">
        <f>+'Annual Energy Data'!BI48</f>
        <v>0</v>
      </c>
      <c r="T38" s="102">
        <f>+'Annual Energy Data'!CJ48</f>
        <v>0</v>
      </c>
      <c r="U38" s="102">
        <f>+'Annual Energy Data'!CK48</f>
        <v>0</v>
      </c>
      <c r="V38" s="102">
        <f>+'Annual Energy Data'!CL48</f>
        <v>0</v>
      </c>
      <c r="W38" s="102">
        <f>+'Annual Energy Data'!CM48</f>
        <v>0</v>
      </c>
      <c r="X38" s="102">
        <f>+'Annual Energy Data'!CN48</f>
        <v>0</v>
      </c>
      <c r="Y38" s="102">
        <f>+'Annual Energy Data'!CO48</f>
        <v>0</v>
      </c>
      <c r="Z38" s="102">
        <f>+'Annual Energy Data'!CP48</f>
        <v>0</v>
      </c>
      <c r="AA38" s="102">
        <f>+SUMIF('Monthly Energy Data'!$D$128:$D$595,$B38,'Monthly Energy Data'!N$128:N$595)/(1+$AA$3)</f>
        <v>0</v>
      </c>
      <c r="AB38" s="102">
        <f>+SUMIF('Monthly Energy Data'!$D$128:$D$595,$B38,'Monthly Energy Data'!O$128:O$595)/(1+$AA$3)</f>
        <v>0</v>
      </c>
      <c r="AC38" s="102">
        <f t="shared" si="37"/>
        <v>2778.8205748619234</v>
      </c>
      <c r="AD38" s="88">
        <f t="shared" si="38"/>
        <v>-2778.8205748619234</v>
      </c>
      <c r="AE38" s="88">
        <f t="shared" si="39"/>
        <v>-2778.8205748619234</v>
      </c>
      <c r="AF38" s="88">
        <f t="shared" si="40"/>
        <v>-2778.8205748619234</v>
      </c>
      <c r="AG38" s="88">
        <f t="shared" si="41"/>
        <v>-2778.8205748619234</v>
      </c>
      <c r="AH38" s="88">
        <f t="shared" si="42"/>
        <v>-2778.8205748619234</v>
      </c>
      <c r="AI38" s="88">
        <f t="shared" si="43"/>
        <v>-2778.8205748619234</v>
      </c>
      <c r="AJ38" s="73" t="e">
        <f>+SUM(AD$7:AD38)</f>
        <v>#REF!</v>
      </c>
      <c r="AK38" s="58">
        <f t="shared" si="44"/>
        <v>0</v>
      </c>
      <c r="AL38" s="58">
        <f t="shared" si="45"/>
        <v>0</v>
      </c>
      <c r="AN38" s="58">
        <f t="shared" si="46"/>
        <v>0</v>
      </c>
      <c r="AO38" s="58">
        <f t="shared" si="47"/>
        <v>0</v>
      </c>
      <c r="AP38" s="58">
        <f t="shared" si="48"/>
        <v>2778.8205748619234</v>
      </c>
      <c r="AQ38" s="58">
        <f t="shared" si="49"/>
        <v>2778.8205748619234</v>
      </c>
      <c r="AR38" s="58">
        <f t="shared" si="50"/>
        <v>2778.8205748619234</v>
      </c>
      <c r="AS38" s="184">
        <f t="shared" si="14"/>
        <v>1.8113615841033548</v>
      </c>
      <c r="AT38" s="172">
        <f t="shared" si="51"/>
        <v>5033.4488384208889</v>
      </c>
      <c r="AU38" s="172">
        <f t="shared" si="52"/>
        <v>5033.4488384208889</v>
      </c>
      <c r="AW38" s="281">
        <f t="shared" si="21"/>
        <v>-2.2561661493646956</v>
      </c>
      <c r="AX38" s="281">
        <f t="shared" si="21"/>
        <v>-2.2561661493646956</v>
      </c>
      <c r="AY38" s="281">
        <f t="shared" si="21"/>
        <v>-2.2561661493646956</v>
      </c>
      <c r="BA38" s="281">
        <f t="shared" si="18"/>
        <v>3.2918806991505627</v>
      </c>
      <c r="BB38" s="281">
        <f t="shared" si="17"/>
        <v>3.2918806991505627</v>
      </c>
      <c r="BC38" s="281">
        <f t="shared" si="17"/>
        <v>3.2918806991505627</v>
      </c>
    </row>
    <row r="39" spans="1:55" x14ac:dyDescent="0.2">
      <c r="A39" s="74">
        <f t="shared" si="22"/>
        <v>0.2</v>
      </c>
      <c r="B39" s="89">
        <f>+'Annual Energy Data'!A49</f>
        <v>2049</v>
      </c>
      <c r="C39" s="102">
        <f>+'Tier 3 Data'!J44*'Tier 2 Data - MOU I.6'!$A39</f>
        <v>0</v>
      </c>
      <c r="D39" s="102">
        <f>+'Tier 3 Data'!K44*'Tier 2 Data - MOU I.6'!$A39</f>
        <v>0</v>
      </c>
      <c r="E39" s="102">
        <f>+'Tier 3 Data'!L44*'Tier 2 Data - MOU I.6'!$A39</f>
        <v>0</v>
      </c>
      <c r="F39" s="102">
        <f>+SUMIF('Monthly Energy Data'!D$224:D$595,'Tier 2 Data - MOU I.6'!B39,'Monthly Energy Data'!M$224:M$595)</f>
        <v>0</v>
      </c>
      <c r="G39" s="102">
        <f>+'Tier 3 Data'!M44*'Tier 2 Data - MOU I.6'!$A39-F39</f>
        <v>0</v>
      </c>
      <c r="H39" s="102">
        <f>+'Tier 3 Data'!N44*'Tier 2 Data - MOU I.6'!$A39-F39</f>
        <v>0</v>
      </c>
      <c r="I39" s="102">
        <f>+'Tier 3 Data'!O44*'Tier 2 Data - MOU I.6'!$A39-F39</f>
        <v>0</v>
      </c>
      <c r="J39" s="102">
        <f>+SUM('Annual Energy Data'!AQ49:BC49)-'Annual Energy Data'!AZ49-'Annual Energy Data'!AT49</f>
        <v>837.30404992591207</v>
      </c>
      <c r="K39" s="102">
        <f>+'Annual Energy Data'!AX49</f>
        <v>0</v>
      </c>
      <c r="L39" s="102">
        <f>+'Annual Energy Data'!AZ49</f>
        <v>0</v>
      </c>
      <c r="M39" s="102">
        <f>+'Annual Energy Data'!BA49</f>
        <v>0</v>
      </c>
      <c r="N39" s="102">
        <f>+'Annual Energy Data'!BB49</f>
        <v>0</v>
      </c>
      <c r="O39" s="102">
        <f>+'Annual Energy Data'!BE49</f>
        <v>0</v>
      </c>
      <c r="P39" s="102">
        <f>+'Annual Energy Data'!BF49</f>
        <v>0</v>
      </c>
      <c r="Q39" s="102">
        <f>+'Annual Energy Data'!BG49</f>
        <v>0</v>
      </c>
      <c r="R39" s="102">
        <f>+'Annual Energy Data'!BH49</f>
        <v>0</v>
      </c>
      <c r="S39" s="102">
        <f>+'Annual Energy Data'!BI49</f>
        <v>0</v>
      </c>
      <c r="T39" s="102">
        <f>+'Annual Energy Data'!CJ49</f>
        <v>0</v>
      </c>
      <c r="U39" s="102">
        <f>+'Annual Energy Data'!CK49</f>
        <v>0</v>
      </c>
      <c r="V39" s="102">
        <f>+'Annual Energy Data'!CL49</f>
        <v>0</v>
      </c>
      <c r="W39" s="102">
        <f>+'Annual Energy Data'!CM49</f>
        <v>0</v>
      </c>
      <c r="X39" s="102">
        <f>+'Annual Energy Data'!CN49</f>
        <v>0</v>
      </c>
      <c r="Y39" s="102">
        <f>+'Annual Energy Data'!CO49</f>
        <v>0</v>
      </c>
      <c r="Z39" s="102">
        <f>+'Annual Energy Data'!CP49</f>
        <v>0</v>
      </c>
      <c r="AA39" s="102">
        <f>+SUMIF('Monthly Energy Data'!$D$128:$D$595,$B39,'Monthly Energy Data'!N$128:N$595)/(1+$AA$3)</f>
        <v>0</v>
      </c>
      <c r="AB39" s="102">
        <f>+SUMIF('Monthly Energy Data'!$D$128:$D$595,$B39,'Monthly Energy Data'!O$128:O$595)/(1+$AA$3)</f>
        <v>0</v>
      </c>
      <c r="AC39" s="102">
        <f t="shared" si="37"/>
        <v>837.30404992591207</v>
      </c>
      <c r="AD39" s="88">
        <f t="shared" si="38"/>
        <v>-837.30404992591207</v>
      </c>
      <c r="AE39" s="88">
        <f t="shared" si="39"/>
        <v>-837.30404992591207</v>
      </c>
      <c r="AF39" s="88">
        <f t="shared" si="40"/>
        <v>-837.30404992591207</v>
      </c>
      <c r="AG39" s="88">
        <f t="shared" si="41"/>
        <v>-837.30404992591207</v>
      </c>
      <c r="AH39" s="88">
        <f t="shared" si="42"/>
        <v>-837.30404992591207</v>
      </c>
      <c r="AI39" s="88">
        <f t="shared" si="43"/>
        <v>-837.30404992591207</v>
      </c>
      <c r="AJ39" s="73" t="e">
        <f>+SUM(AD$7:AD39)</f>
        <v>#REF!</v>
      </c>
      <c r="AK39" s="58">
        <f t="shared" si="44"/>
        <v>0</v>
      </c>
      <c r="AL39" s="58">
        <f t="shared" si="45"/>
        <v>0</v>
      </c>
      <c r="AN39" s="58">
        <f t="shared" si="46"/>
        <v>0</v>
      </c>
      <c r="AO39" s="58">
        <f t="shared" si="47"/>
        <v>0</v>
      </c>
      <c r="AP39" s="58">
        <f t="shared" si="48"/>
        <v>837.30404992591207</v>
      </c>
      <c r="AQ39" s="58">
        <f t="shared" si="49"/>
        <v>837.30404992591207</v>
      </c>
      <c r="AR39" s="58">
        <f t="shared" si="50"/>
        <v>837.30404992591207</v>
      </c>
      <c r="AS39" s="184">
        <f t="shared" si="14"/>
        <v>1.8475888157854219</v>
      </c>
      <c r="AT39" s="172">
        <f t="shared" si="51"/>
        <v>1546.9935980549537</v>
      </c>
      <c r="AU39" s="172">
        <f t="shared" si="52"/>
        <v>1546.9935980549537</v>
      </c>
      <c r="AW39" s="281">
        <f t="shared" si="21"/>
        <v>-0.67981973044901511</v>
      </c>
      <c r="AX39" s="281">
        <f t="shared" si="21"/>
        <v>-0.67981973044901511</v>
      </c>
      <c r="AY39" s="281">
        <f t="shared" si="21"/>
        <v>-0.67981973044901511</v>
      </c>
      <c r="BA39" s="281">
        <f t="shared" si="18"/>
        <v>1.5763464189156804</v>
      </c>
      <c r="BB39" s="281">
        <f t="shared" si="17"/>
        <v>1.5763464189156804</v>
      </c>
      <c r="BC39" s="281">
        <f t="shared" si="17"/>
        <v>1.5763464189156804</v>
      </c>
    </row>
    <row r="40" spans="1:55" x14ac:dyDescent="0.2">
      <c r="A40" s="74">
        <f t="shared" si="22"/>
        <v>0.2</v>
      </c>
      <c r="B40" s="89">
        <f>+'Annual Energy Data'!A50</f>
        <v>2050</v>
      </c>
      <c r="C40" s="102">
        <f>+'Tier 3 Data'!J45*'Tier 2 Data - MOU I.6'!$A40</f>
        <v>0</v>
      </c>
      <c r="D40" s="102">
        <f>+'Tier 3 Data'!K45*'Tier 2 Data - MOU I.6'!$A40</f>
        <v>0</v>
      </c>
      <c r="E40" s="102">
        <f>+'Tier 3 Data'!L45*'Tier 2 Data - MOU I.6'!$A40</f>
        <v>0</v>
      </c>
      <c r="F40" s="102">
        <f>+SUMIF('Monthly Energy Data'!D$224:D$595,'Tier 2 Data - MOU I.6'!B40,'Monthly Energy Data'!M$224:M$595)</f>
        <v>0</v>
      </c>
      <c r="G40" s="102">
        <f>+'Tier 3 Data'!M45*'Tier 2 Data - MOU I.6'!$A40-F40</f>
        <v>0</v>
      </c>
      <c r="H40" s="102">
        <f>+'Tier 3 Data'!N45*'Tier 2 Data - MOU I.6'!$A40-F40</f>
        <v>0</v>
      </c>
      <c r="I40" s="102">
        <f>+'Tier 3 Data'!O45*'Tier 2 Data - MOU I.6'!$A40-F40</f>
        <v>0</v>
      </c>
      <c r="J40" s="102">
        <f>+SUM('Annual Energy Data'!AQ50:BC50)-'Annual Energy Data'!AZ50-'Annual Energy Data'!AT50</f>
        <v>0</v>
      </c>
      <c r="K40" s="102">
        <f>+'Annual Energy Data'!AX50</f>
        <v>0</v>
      </c>
      <c r="L40" s="102">
        <f>+'Annual Energy Data'!AZ50</f>
        <v>0</v>
      </c>
      <c r="M40" s="102">
        <f>+'Annual Energy Data'!BA50</f>
        <v>0</v>
      </c>
      <c r="N40" s="102">
        <f>+'Annual Energy Data'!BB50</f>
        <v>0</v>
      </c>
      <c r="O40" s="102">
        <f>+'Annual Energy Data'!BE50</f>
        <v>0</v>
      </c>
      <c r="P40" s="102">
        <f>+'Annual Energy Data'!BF50</f>
        <v>0</v>
      </c>
      <c r="Q40" s="102">
        <f>+'Annual Energy Data'!BG50</f>
        <v>0</v>
      </c>
      <c r="R40" s="102">
        <f>+'Annual Energy Data'!BH50</f>
        <v>0</v>
      </c>
      <c r="S40" s="102">
        <f>+'Annual Energy Data'!BI50</f>
        <v>0</v>
      </c>
      <c r="T40" s="102">
        <f>+'Annual Energy Data'!CJ50</f>
        <v>0</v>
      </c>
      <c r="U40" s="102">
        <f>+'Annual Energy Data'!CK50</f>
        <v>0</v>
      </c>
      <c r="V40" s="102">
        <f>+'Annual Energy Data'!CL50</f>
        <v>0</v>
      </c>
      <c r="W40" s="102">
        <f>+'Annual Energy Data'!CM50</f>
        <v>0</v>
      </c>
      <c r="X40" s="102">
        <f>+'Annual Energy Data'!CN50</f>
        <v>0</v>
      </c>
      <c r="Y40" s="102">
        <f>+'Annual Energy Data'!CO50</f>
        <v>0</v>
      </c>
      <c r="Z40" s="102">
        <f>+'Annual Energy Data'!CP50</f>
        <v>0</v>
      </c>
      <c r="AA40" s="102">
        <f>+SUMIF('Monthly Energy Data'!$D$128:$D$595,$B40,'Monthly Energy Data'!N$128:N$595)/(1+$AA$3)</f>
        <v>0</v>
      </c>
      <c r="AB40" s="102">
        <f>+SUMIF('Monthly Energy Data'!$D$128:$D$595,$B40,'Monthly Energy Data'!O$128:O$595)/(1+$AA$3)</f>
        <v>0</v>
      </c>
      <c r="AC40" s="102">
        <f t="shared" si="37"/>
        <v>0</v>
      </c>
      <c r="AD40" s="88">
        <f t="shared" si="38"/>
        <v>0</v>
      </c>
      <c r="AE40" s="88">
        <f t="shared" si="39"/>
        <v>0</v>
      </c>
      <c r="AF40" s="88">
        <f t="shared" si="40"/>
        <v>0</v>
      </c>
      <c r="AG40" s="88">
        <f t="shared" si="41"/>
        <v>0</v>
      </c>
      <c r="AH40" s="88">
        <f t="shared" si="42"/>
        <v>0</v>
      </c>
      <c r="AI40" s="88">
        <f t="shared" si="43"/>
        <v>0</v>
      </c>
      <c r="AJ40" s="73" t="e">
        <f>+SUM(AD$7:AD40)</f>
        <v>#REF!</v>
      </c>
      <c r="AK40" s="58">
        <f t="shared" si="44"/>
        <v>0</v>
      </c>
      <c r="AL40" s="58">
        <f t="shared" si="45"/>
        <v>0</v>
      </c>
      <c r="AN40" s="58">
        <f t="shared" si="46"/>
        <v>0</v>
      </c>
      <c r="AO40" s="58">
        <f t="shared" si="47"/>
        <v>0</v>
      </c>
      <c r="AP40" s="58">
        <f t="shared" si="48"/>
        <v>0</v>
      </c>
      <c r="AQ40" s="58">
        <f t="shared" si="49"/>
        <v>0</v>
      </c>
      <c r="AR40" s="58">
        <f t="shared" si="50"/>
        <v>0</v>
      </c>
      <c r="AS40" s="184">
        <f t="shared" si="14"/>
        <v>1.8845405921011305</v>
      </c>
      <c r="AT40" s="172">
        <f t="shared" si="51"/>
        <v>0</v>
      </c>
      <c r="AU40" s="172">
        <f t="shared" si="52"/>
        <v>0</v>
      </c>
      <c r="AW40" s="281">
        <f t="shared" si="21"/>
        <v>0</v>
      </c>
      <c r="AX40" s="281">
        <f t="shared" si="21"/>
        <v>0</v>
      </c>
      <c r="AY40" s="281">
        <f t="shared" si="21"/>
        <v>0</v>
      </c>
      <c r="BA40" s="281">
        <f t="shared" si="18"/>
        <v>0.67981973044901511</v>
      </c>
      <c r="BB40" s="281">
        <f t="shared" si="17"/>
        <v>0.67981973044901511</v>
      </c>
      <c r="BC40" s="281">
        <f t="shared" si="17"/>
        <v>0.67981973044901511</v>
      </c>
    </row>
    <row r="41" spans="1:55" x14ac:dyDescent="0.2">
      <c r="A41" s="75"/>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73"/>
      <c r="AE41" s="73"/>
      <c r="AF41" s="73"/>
      <c r="AG41" s="73"/>
      <c r="AH41" s="73"/>
      <c r="AI41" s="73"/>
      <c r="AJ41" s="73"/>
      <c r="AN41" s="58"/>
      <c r="AO41" s="58"/>
      <c r="AP41" s="58"/>
      <c r="AQ41" s="58"/>
      <c r="AR41" s="58"/>
      <c r="AS41" s="184"/>
      <c r="AT41" s="172"/>
      <c r="AU41" s="172"/>
    </row>
    <row r="42" spans="1:55" x14ac:dyDescent="0.2">
      <c r="A42" s="75"/>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73"/>
      <c r="AE42" s="73"/>
      <c r="AF42" s="73"/>
      <c r="AG42" s="73"/>
      <c r="AH42" s="73"/>
      <c r="AI42" s="73"/>
      <c r="AJ42" s="73"/>
      <c r="AN42" s="58"/>
      <c r="AO42" s="58"/>
      <c r="AP42" s="58"/>
      <c r="AQ42" s="58"/>
      <c r="AR42" s="58"/>
      <c r="AS42" s="184"/>
      <c r="AT42" s="172"/>
      <c r="AU42" s="172"/>
    </row>
    <row r="43" spans="1:55" x14ac:dyDescent="0.2">
      <c r="A43" s="75"/>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73"/>
      <c r="AE43" s="73"/>
      <c r="AF43" s="73"/>
      <c r="AG43" s="73"/>
      <c r="AH43" s="73"/>
      <c r="AI43" s="73"/>
      <c r="AJ43" s="73"/>
      <c r="AN43" s="58"/>
      <c r="AO43" s="58"/>
      <c r="AP43" s="58"/>
      <c r="AQ43" s="58"/>
      <c r="AR43" s="58"/>
      <c r="AS43" s="184"/>
      <c r="AT43" s="172"/>
      <c r="AU43" s="172"/>
    </row>
    <row r="44" spans="1:55" x14ac:dyDescent="0.2">
      <c r="A44" s="75"/>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73"/>
      <c r="AE44" s="73"/>
      <c r="AF44" s="73"/>
      <c r="AG44" s="73"/>
      <c r="AH44" s="73"/>
      <c r="AI44" s="73"/>
      <c r="AJ44" s="73"/>
      <c r="AN44" s="58"/>
      <c r="AO44" s="58"/>
      <c r="AP44" s="58"/>
      <c r="AQ44" s="58"/>
      <c r="AR44" s="58"/>
      <c r="AS44" s="184"/>
      <c r="AT44" s="172"/>
      <c r="AU44" s="172"/>
    </row>
    <row r="45" spans="1:55" x14ac:dyDescent="0.2">
      <c r="A45" s="75"/>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73"/>
      <c r="AE45" s="73"/>
      <c r="AF45" s="73"/>
      <c r="AG45" s="73"/>
      <c r="AH45" s="73"/>
      <c r="AI45" s="73"/>
      <c r="AJ45" s="73"/>
      <c r="AN45" s="58"/>
      <c r="AO45" s="58"/>
      <c r="AP45" s="58"/>
      <c r="AQ45" s="58"/>
      <c r="AR45" s="58"/>
      <c r="AS45" s="184"/>
      <c r="AT45" s="172"/>
      <c r="AU45" s="172"/>
    </row>
    <row r="46" spans="1:55" x14ac:dyDescent="0.2">
      <c r="A46" s="75"/>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73"/>
      <c r="AE46" s="73"/>
      <c r="AF46" s="73"/>
      <c r="AG46" s="73"/>
      <c r="AH46" s="73"/>
      <c r="AI46" s="73"/>
      <c r="AJ46" s="73"/>
      <c r="AN46" s="58"/>
      <c r="AO46" s="58"/>
      <c r="AP46" s="58"/>
      <c r="AQ46" s="58"/>
      <c r="AR46" s="58"/>
      <c r="AS46" s="184"/>
      <c r="AT46" s="172"/>
      <c r="AU46" s="172"/>
    </row>
    <row r="47" spans="1:55" x14ac:dyDescent="0.2">
      <c r="A47" s="75"/>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73"/>
      <c r="AE47" s="73"/>
      <c r="AF47" s="73"/>
      <c r="AG47" s="73"/>
      <c r="AH47" s="73"/>
      <c r="AI47" s="73"/>
      <c r="AJ47" s="73"/>
      <c r="AN47" s="58"/>
      <c r="AO47" s="58"/>
      <c r="AP47" s="58"/>
      <c r="AQ47" s="58"/>
      <c r="AR47" s="58"/>
      <c r="AS47" s="184"/>
      <c r="AT47" s="172"/>
      <c r="AU47" s="172"/>
    </row>
    <row r="48" spans="1:55" x14ac:dyDescent="0.2">
      <c r="A48" s="75"/>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73"/>
      <c r="AE48" s="73"/>
      <c r="AF48" s="73"/>
      <c r="AG48" s="73"/>
      <c r="AH48" s="73"/>
      <c r="AI48" s="73"/>
      <c r="AJ48" s="73"/>
      <c r="AN48" s="58"/>
      <c r="AO48" s="58"/>
      <c r="AP48" s="58"/>
      <c r="AQ48" s="58"/>
      <c r="AR48" s="58"/>
      <c r="AS48" s="184"/>
      <c r="AT48" s="172"/>
      <c r="AU48" s="172"/>
    </row>
    <row r="49" spans="1:47" x14ac:dyDescent="0.2">
      <c r="A49" s="75"/>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73"/>
      <c r="AE49" s="73"/>
      <c r="AF49" s="73"/>
      <c r="AG49" s="73"/>
      <c r="AH49" s="73"/>
      <c r="AI49" s="73"/>
      <c r="AJ49" s="73"/>
      <c r="AN49" s="58"/>
      <c r="AO49" s="58"/>
      <c r="AP49" s="58"/>
      <c r="AQ49" s="58"/>
      <c r="AR49" s="58"/>
      <c r="AS49" s="184"/>
      <c r="AT49" s="172"/>
      <c r="AU49" s="172"/>
    </row>
    <row r="50" spans="1:47" x14ac:dyDescent="0.2">
      <c r="A50" s="75"/>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73"/>
      <c r="AE50" s="73"/>
      <c r="AF50" s="73"/>
      <c r="AG50" s="73"/>
      <c r="AH50" s="73"/>
      <c r="AI50" s="73"/>
      <c r="AJ50" s="73"/>
      <c r="AN50" s="58"/>
      <c r="AO50" s="58"/>
      <c r="AP50" s="58"/>
      <c r="AQ50" s="58"/>
      <c r="AR50" s="58"/>
      <c r="AS50" s="184"/>
      <c r="AT50" s="172"/>
      <c r="AU50" s="172"/>
    </row>
    <row r="51" spans="1:47" x14ac:dyDescent="0.2">
      <c r="AT51" s="187">
        <f>+NPV('Renewable Analysis'!D34,'Tier 2 Data - MOU I.6'!AT9:AT28)</f>
        <v>-8301.704124503367</v>
      </c>
      <c r="AU51" s="187">
        <f>+NPV('Renewable Analysis'!E34,'Tier 2 Data - MOU I.6'!AU9:AU28)</f>
        <v>-272629.38359514176</v>
      </c>
    </row>
    <row r="53" spans="1:47" x14ac:dyDescent="0.2">
      <c r="B53" s="61" t="s">
        <v>249</v>
      </c>
    </row>
    <row r="54" spans="1:47" x14ac:dyDescent="0.2">
      <c r="AD54" s="61" t="s">
        <v>245</v>
      </c>
      <c r="AE54" s="61" t="s">
        <v>246</v>
      </c>
      <c r="AF54" s="61" t="s">
        <v>241</v>
      </c>
      <c r="AG54" s="61" t="s">
        <v>242</v>
      </c>
      <c r="AH54" s="61" t="s">
        <v>243</v>
      </c>
      <c r="AI54" s="61" t="s">
        <v>244</v>
      </c>
      <c r="AJ54" s="61" t="s">
        <v>247</v>
      </c>
      <c r="AK54" s="61" t="s">
        <v>248</v>
      </c>
      <c r="AL54" s="61"/>
      <c r="AM54" s="61"/>
    </row>
    <row r="55" spans="1:47" x14ac:dyDescent="0.2">
      <c r="B55">
        <f t="shared" ref="B55:B74" si="53">+B9</f>
        <v>2019</v>
      </c>
      <c r="D55" s="58">
        <f>+SUM(D9:$D$9)</f>
        <v>0</v>
      </c>
      <c r="H55" s="58">
        <f t="shared" ref="H55:H74" si="54">+H9</f>
        <v>0</v>
      </c>
      <c r="AC55" s="58">
        <f t="shared" ref="AC55:AC74" si="55">+AC9</f>
        <v>11157.521258401515</v>
      </c>
      <c r="AD55" s="58">
        <f t="shared" ref="AD55:AD71" si="56">+IF(H55-SUM(AF55:AH55)&gt;=0,H55-SUM(AF55:AH55),0)</f>
        <v>0</v>
      </c>
      <c r="AE55" s="58">
        <f>+IF(AC55-AD55&gt;0,AC55-AD55,0)</f>
        <v>11157.521258401515</v>
      </c>
      <c r="AF55" s="64">
        <v>0</v>
      </c>
      <c r="AG55" s="64">
        <v>0</v>
      </c>
      <c r="AH55" s="64">
        <v>0</v>
      </c>
      <c r="AI55">
        <v>11375</v>
      </c>
      <c r="AK55" s="73">
        <f t="shared" ref="AK55:AK74" si="57">+AD55+SUM(AF55:AH55)-H55</f>
        <v>0</v>
      </c>
      <c r="AL55" s="73"/>
      <c r="AM55" s="73"/>
    </row>
    <row r="56" spans="1:47" x14ac:dyDescent="0.2">
      <c r="B56">
        <f t="shared" si="53"/>
        <v>2020</v>
      </c>
      <c r="D56" s="58">
        <f>+SUM(D$9:$D10)</f>
        <v>0</v>
      </c>
      <c r="H56" s="58">
        <f t="shared" si="54"/>
        <v>0</v>
      </c>
      <c r="AC56" s="58">
        <f t="shared" si="55"/>
        <v>16114.482353820506</v>
      </c>
      <c r="AD56" s="58">
        <f t="shared" si="56"/>
        <v>0</v>
      </c>
      <c r="AE56" s="58">
        <f>+AC56-SUM(AF56:AH56,AD56)</f>
        <v>16114.482353820506</v>
      </c>
      <c r="AF56" s="58">
        <f t="shared" ref="AF56:AF74" si="58">+IF(H56-AG56-AH56&lt;=0,0,IF(H56-AG56-AH56&gt;AE55,AE55,H56-AG56-AH56))</f>
        <v>0</v>
      </c>
      <c r="AG56" s="64">
        <v>0</v>
      </c>
      <c r="AH56" s="64">
        <v>0</v>
      </c>
      <c r="AI56" s="58">
        <f>+AI55+AE56-AF56-AG56-AH56</f>
        <v>27489.482353820506</v>
      </c>
      <c r="AK56" s="73">
        <f t="shared" si="57"/>
        <v>0</v>
      </c>
      <c r="AL56" s="73"/>
      <c r="AM56" s="73"/>
    </row>
    <row r="57" spans="1:47" x14ac:dyDescent="0.2">
      <c r="B57">
        <f t="shared" si="53"/>
        <v>2021</v>
      </c>
      <c r="D57" s="58">
        <f>+SUM(D$9:$D11)</f>
        <v>0</v>
      </c>
      <c r="H57" s="58">
        <f t="shared" si="54"/>
        <v>0</v>
      </c>
      <c r="AC57" s="58">
        <f t="shared" si="55"/>
        <v>16033.909942051403</v>
      </c>
      <c r="AD57" s="58">
        <f t="shared" si="56"/>
        <v>0</v>
      </c>
      <c r="AE57" s="58">
        <f t="shared" ref="AE57:AE73" si="59">+IF(AC57-AD57&gt;0,AC57-AD57,0)</f>
        <v>16033.909942051403</v>
      </c>
      <c r="AF57" s="58">
        <f t="shared" si="58"/>
        <v>0</v>
      </c>
      <c r="AG57" s="58" t="b">
        <f>+IF($AE55-$AF56&gt;0,IF($H56-AH56&gt;0,IF($H56&gt;$AE55-$AF56,$AE55-$AF56,$H56)),0)</f>
        <v>0</v>
      </c>
      <c r="AH57" s="64">
        <v>0</v>
      </c>
      <c r="AI57" s="58">
        <f>+AI56+AE57-AF57-AG57-AH57</f>
        <v>43523.392295871905</v>
      </c>
      <c r="AK57" s="73">
        <f t="shared" si="57"/>
        <v>0</v>
      </c>
      <c r="AL57" s="73"/>
      <c r="AM57" s="73"/>
      <c r="AN57" s="58"/>
    </row>
    <row r="58" spans="1:47" x14ac:dyDescent="0.2">
      <c r="B58">
        <f t="shared" si="53"/>
        <v>2022</v>
      </c>
      <c r="D58" s="58">
        <f>+SUM(D$9:$D12)</f>
        <v>0</v>
      </c>
      <c r="H58" s="58">
        <f t="shared" si="54"/>
        <v>0</v>
      </c>
      <c r="AC58" s="58">
        <f t="shared" si="55"/>
        <v>30525.141311844447</v>
      </c>
      <c r="AD58" s="58">
        <f t="shared" si="56"/>
        <v>0</v>
      </c>
      <c r="AE58" s="58">
        <f t="shared" si="59"/>
        <v>30525.141311844447</v>
      </c>
      <c r="AF58" s="58">
        <f t="shared" si="58"/>
        <v>0</v>
      </c>
      <c r="AG58" s="58" t="b">
        <f>+IF($AE56-$AF57&gt;0,IF($H58-AH58&gt;0,IF($H58&gt;$AE56-$AF57,$AE56-$AF57,$H58)),0)</f>
        <v>0</v>
      </c>
      <c r="AH58" s="58">
        <f t="shared" ref="AH58:AH74" si="60">+IF($AE55-$AF56-$AG57&gt;0,IF($H58&gt;$AE55-$AF56-$AG57,$AE55-$AF56-$AG57,$H58),0)</f>
        <v>0</v>
      </c>
      <c r="AI58" s="58">
        <f>+AI57+AE58-AF58-AG58-AH58-(AE55-AF56-AG57-AH58)</f>
        <v>62891.012349314835</v>
      </c>
      <c r="AJ58" s="58">
        <f>+AE55-AF56-AG57-AH58</f>
        <v>11157.521258401515</v>
      </c>
      <c r="AK58" s="73">
        <f t="shared" si="57"/>
        <v>0</v>
      </c>
      <c r="AL58" s="73"/>
      <c r="AM58" s="73"/>
      <c r="AN58" s="58"/>
    </row>
    <row r="59" spans="1:47" x14ac:dyDescent="0.2">
      <c r="B59">
        <f t="shared" si="53"/>
        <v>2023</v>
      </c>
      <c r="D59" s="58">
        <f>+SUM(D$9:$D13)</f>
        <v>0</v>
      </c>
      <c r="H59" s="58">
        <f t="shared" si="54"/>
        <v>0</v>
      </c>
      <c r="AC59" s="58">
        <f t="shared" si="55"/>
        <v>35485.857768223163</v>
      </c>
      <c r="AD59" s="58">
        <f t="shared" si="56"/>
        <v>0</v>
      </c>
      <c r="AE59" s="58">
        <f t="shared" si="59"/>
        <v>35485.857768223163</v>
      </c>
      <c r="AF59" s="58">
        <f t="shared" si="58"/>
        <v>0</v>
      </c>
      <c r="AG59" s="58" t="b">
        <f>+IF($AE57-$AF58&gt;0,IF($H59-AH59&gt;0,IF($H59&gt;$AE57-$AF58,$AE57-$AF58,$H59)),0)</f>
        <v>0</v>
      </c>
      <c r="AH59" s="58">
        <f t="shared" si="60"/>
        <v>0</v>
      </c>
      <c r="AI59" s="58">
        <f t="shared" ref="AI59:AI73" si="61">+AI58+AE59-AF59-AG59-AH59-(AE56-AF57-AG58-AH59)</f>
        <v>82262.387763717488</v>
      </c>
      <c r="AJ59" s="58">
        <f t="shared" ref="AJ59:AJ73" si="62">+AE56-AF57-AG58-AH59</f>
        <v>16114.482353820506</v>
      </c>
      <c r="AK59" s="73">
        <f t="shared" si="57"/>
        <v>0</v>
      </c>
      <c r="AL59" s="73"/>
      <c r="AM59" s="73"/>
      <c r="AN59" s="58"/>
    </row>
    <row r="60" spans="1:47" x14ac:dyDescent="0.2">
      <c r="B60">
        <f t="shared" si="53"/>
        <v>2024</v>
      </c>
      <c r="D60" s="58">
        <f>+SUM(D$9:$D14)</f>
        <v>0</v>
      </c>
      <c r="H60" s="58">
        <f t="shared" si="54"/>
        <v>0</v>
      </c>
      <c r="AC60" s="58">
        <f t="shared" si="55"/>
        <v>37482.216132573267</v>
      </c>
      <c r="AD60" s="58">
        <f t="shared" si="56"/>
        <v>0</v>
      </c>
      <c r="AE60" s="58">
        <f t="shared" si="59"/>
        <v>37482.216132573267</v>
      </c>
      <c r="AF60" s="58">
        <f t="shared" si="58"/>
        <v>0</v>
      </c>
      <c r="AG60" s="58">
        <f t="shared" ref="AG60:AG74" si="63">+IF($AE58-$AF59&gt;0,IF($H60-AH60&gt;0,IF($H60-AH60&gt;$AE58-$AF59,$AE58-$AF59,$H60-AH60),0),0)</f>
        <v>0</v>
      </c>
      <c r="AH60" s="58">
        <f t="shared" si="60"/>
        <v>0</v>
      </c>
      <c r="AI60" s="58">
        <f t="shared" si="61"/>
        <v>103710.69395423937</v>
      </c>
      <c r="AJ60" s="58">
        <f t="shared" si="62"/>
        <v>16033.909942051403</v>
      </c>
      <c r="AK60" s="73">
        <f t="shared" si="57"/>
        <v>0</v>
      </c>
      <c r="AL60" s="73"/>
      <c r="AM60" s="73"/>
      <c r="AN60" s="58"/>
    </row>
    <row r="61" spans="1:47" x14ac:dyDescent="0.2">
      <c r="B61">
        <f t="shared" si="53"/>
        <v>2025</v>
      </c>
      <c r="D61" s="58">
        <f>+SUM(D$9:$D15)</f>
        <v>29139.720649025592</v>
      </c>
      <c r="H61" s="58">
        <f t="shared" si="54"/>
        <v>30508.56150924306</v>
      </c>
      <c r="AC61" s="58">
        <f t="shared" si="55"/>
        <v>67044.012541551565</v>
      </c>
      <c r="AD61" s="58">
        <f t="shared" si="56"/>
        <v>0</v>
      </c>
      <c r="AE61" s="58">
        <f t="shared" si="59"/>
        <v>67044.012541551565</v>
      </c>
      <c r="AF61" s="58">
        <f t="shared" si="58"/>
        <v>0</v>
      </c>
      <c r="AG61" s="58">
        <f t="shared" si="63"/>
        <v>0</v>
      </c>
      <c r="AH61" s="58">
        <f t="shared" si="60"/>
        <v>30508.56150924306</v>
      </c>
      <c r="AI61" s="58">
        <f t="shared" si="61"/>
        <v>140229.56518394646</v>
      </c>
      <c r="AJ61" s="58">
        <f t="shared" si="62"/>
        <v>16.5798026013872</v>
      </c>
      <c r="AK61" s="73">
        <f t="shared" si="57"/>
        <v>0</v>
      </c>
      <c r="AL61" s="73"/>
      <c r="AM61" s="73"/>
      <c r="AN61" s="58"/>
    </row>
    <row r="62" spans="1:47" x14ac:dyDescent="0.2">
      <c r="B62">
        <f t="shared" si="53"/>
        <v>2026</v>
      </c>
      <c r="D62" s="58">
        <f>+SUM(D$9:$D16)</f>
        <v>68042.742574434204</v>
      </c>
      <c r="H62" s="58">
        <f t="shared" si="54"/>
        <v>29892.79220558938</v>
      </c>
      <c r="AC62" s="58">
        <f t="shared" si="55"/>
        <v>68604.199055967343</v>
      </c>
      <c r="AD62" s="58">
        <f t="shared" si="56"/>
        <v>0</v>
      </c>
      <c r="AE62" s="58">
        <f t="shared" si="59"/>
        <v>68604.199055967343</v>
      </c>
      <c r="AF62" s="58">
        <f t="shared" si="58"/>
        <v>0</v>
      </c>
      <c r="AG62" s="58">
        <f t="shared" si="63"/>
        <v>0</v>
      </c>
      <c r="AH62" s="58">
        <f t="shared" si="60"/>
        <v>29892.79220558938</v>
      </c>
      <c r="AI62" s="58">
        <f t="shared" si="61"/>
        <v>173347.90647169063</v>
      </c>
      <c r="AJ62" s="58">
        <f t="shared" si="62"/>
        <v>5593.065562633783</v>
      </c>
      <c r="AK62" s="73">
        <f t="shared" si="57"/>
        <v>0</v>
      </c>
      <c r="AL62" s="73"/>
      <c r="AM62" s="73"/>
      <c r="AN62" s="58"/>
    </row>
    <row r="63" spans="1:47" x14ac:dyDescent="0.2">
      <c r="B63">
        <f t="shared" si="53"/>
        <v>2027</v>
      </c>
      <c r="D63" s="58">
        <f>+SUM(D$9:$D17)</f>
        <v>116551.61529278656</v>
      </c>
      <c r="H63" s="58">
        <f t="shared" si="54"/>
        <v>41962.009054139133</v>
      </c>
      <c r="AC63" s="58">
        <f t="shared" si="55"/>
        <v>69996.595875086467</v>
      </c>
      <c r="AD63" s="58">
        <f t="shared" si="56"/>
        <v>0</v>
      </c>
      <c r="AE63" s="58">
        <f t="shared" si="59"/>
        <v>69996.595875086467</v>
      </c>
      <c r="AF63" s="58">
        <f t="shared" si="58"/>
        <v>0</v>
      </c>
      <c r="AG63" s="58">
        <f t="shared" si="63"/>
        <v>4479.792921565866</v>
      </c>
      <c r="AH63" s="58">
        <f t="shared" si="60"/>
        <v>37482.216132573267</v>
      </c>
      <c r="AI63" s="58">
        <f t="shared" si="61"/>
        <v>201382.49329263798</v>
      </c>
      <c r="AJ63" s="58">
        <f t="shared" si="62"/>
        <v>0</v>
      </c>
      <c r="AK63" s="73">
        <f t="shared" si="57"/>
        <v>0</v>
      </c>
      <c r="AL63" s="73"/>
      <c r="AM63" s="73"/>
      <c r="AN63" s="58"/>
    </row>
    <row r="64" spans="1:47" x14ac:dyDescent="0.2">
      <c r="B64">
        <f t="shared" si="53"/>
        <v>2028</v>
      </c>
      <c r="D64" s="58">
        <f>+SUM(D$9:$D18)</f>
        <v>174523.72888116437</v>
      </c>
      <c r="H64" s="58">
        <f t="shared" si="54"/>
        <v>54638.510584366726</v>
      </c>
      <c r="AC64" s="58">
        <f t="shared" si="55"/>
        <v>70911.846188355732</v>
      </c>
      <c r="AD64" s="58">
        <f t="shared" si="56"/>
        <v>0</v>
      </c>
      <c r="AE64" s="58">
        <f t="shared" si="59"/>
        <v>70911.846188355732</v>
      </c>
      <c r="AF64" s="58">
        <f t="shared" si="58"/>
        <v>0</v>
      </c>
      <c r="AG64" s="58">
        <f t="shared" si="63"/>
        <v>0</v>
      </c>
      <c r="AH64" s="58">
        <f t="shared" si="60"/>
        <v>54638.510584366726</v>
      </c>
      <c r="AI64" s="58">
        <f t="shared" si="61"/>
        <v>209730.11986100796</v>
      </c>
      <c r="AJ64" s="58">
        <f t="shared" si="62"/>
        <v>7925.7090356189728</v>
      </c>
      <c r="AK64" s="73">
        <f t="shared" si="57"/>
        <v>0</v>
      </c>
      <c r="AL64" s="73"/>
      <c r="AM64" s="73"/>
      <c r="AN64" s="58"/>
    </row>
    <row r="65" spans="2:40" x14ac:dyDescent="0.2">
      <c r="B65">
        <f t="shared" si="53"/>
        <v>2029</v>
      </c>
      <c r="D65" s="58">
        <f>+SUM(D$9:$D19)</f>
        <v>241818.66474559007</v>
      </c>
      <c r="H65" s="58">
        <f t="shared" si="54"/>
        <v>68177.199811266415</v>
      </c>
      <c r="AC65" s="58">
        <f t="shared" si="55"/>
        <v>71561.934752295856</v>
      </c>
      <c r="AD65" s="58">
        <f t="shared" si="56"/>
        <v>0</v>
      </c>
      <c r="AE65" s="58">
        <f t="shared" si="59"/>
        <v>71561.934752295856</v>
      </c>
      <c r="AF65" s="58">
        <f t="shared" si="58"/>
        <v>0</v>
      </c>
      <c r="AG65" s="58">
        <f t="shared" si="63"/>
        <v>0</v>
      </c>
      <c r="AH65" s="58">
        <f t="shared" si="60"/>
        <v>68177.199811266415</v>
      </c>
      <c r="AI65" s="58">
        <f t="shared" si="61"/>
        <v>212687.85555733647</v>
      </c>
      <c r="AJ65" s="58">
        <f t="shared" si="62"/>
        <v>426.9992447009281</v>
      </c>
      <c r="AK65" s="73">
        <f t="shared" si="57"/>
        <v>0</v>
      </c>
      <c r="AL65" s="73"/>
      <c r="AM65" s="73"/>
      <c r="AN65" s="58"/>
    </row>
    <row r="66" spans="2:40" x14ac:dyDescent="0.2">
      <c r="B66">
        <f t="shared" si="53"/>
        <v>2030</v>
      </c>
      <c r="D66" s="58">
        <f>+SUM(D$9:$D20)</f>
        <v>318303.87082582474</v>
      </c>
      <c r="H66" s="58">
        <f t="shared" si="54"/>
        <v>82396.151900787198</v>
      </c>
      <c r="I66" s="131"/>
      <c r="AC66" s="58">
        <f t="shared" si="55"/>
        <v>72071.199601278378</v>
      </c>
      <c r="AD66" s="58">
        <f t="shared" si="56"/>
        <v>0</v>
      </c>
      <c r="AE66" s="58">
        <f t="shared" si="59"/>
        <v>72071.199601278378</v>
      </c>
      <c r="AF66" s="58">
        <f t="shared" si="58"/>
        <v>0</v>
      </c>
      <c r="AG66" s="58">
        <f t="shared" si="63"/>
        <v>12399.556025700731</v>
      </c>
      <c r="AH66" s="58">
        <f t="shared" si="60"/>
        <v>69996.595875086467</v>
      </c>
      <c r="AI66" s="58">
        <f t="shared" si="61"/>
        <v>202362.90325782765</v>
      </c>
      <c r="AJ66" s="58">
        <f t="shared" si="62"/>
        <v>0</v>
      </c>
      <c r="AK66" s="73">
        <f t="shared" si="57"/>
        <v>0</v>
      </c>
      <c r="AL66" s="73"/>
      <c r="AM66" s="73"/>
      <c r="AN66" s="58"/>
    </row>
    <row r="67" spans="2:40" x14ac:dyDescent="0.2">
      <c r="B67">
        <f t="shared" si="53"/>
        <v>2031</v>
      </c>
      <c r="D67" s="58">
        <f>+SUM(D$9:$D21)</f>
        <v>403837.46888884407</v>
      </c>
      <c r="H67" s="58">
        <f t="shared" si="54"/>
        <v>97420.969711413607</v>
      </c>
      <c r="I67" s="131"/>
      <c r="AC67" s="58">
        <f t="shared" si="55"/>
        <v>72393.711769934249</v>
      </c>
      <c r="AD67" s="58">
        <f t="shared" si="56"/>
        <v>0</v>
      </c>
      <c r="AE67" s="58">
        <f t="shared" si="59"/>
        <v>72393.711769934249</v>
      </c>
      <c r="AF67" s="58">
        <f t="shared" si="58"/>
        <v>0</v>
      </c>
      <c r="AG67" s="58">
        <f t="shared" si="63"/>
        <v>38908.679548758606</v>
      </c>
      <c r="AH67" s="58">
        <f t="shared" si="60"/>
        <v>58512.290162655001</v>
      </c>
      <c r="AI67" s="58">
        <f t="shared" si="61"/>
        <v>177335.64531634829</v>
      </c>
      <c r="AJ67" s="58">
        <f t="shared" si="62"/>
        <v>0</v>
      </c>
      <c r="AK67" s="73">
        <f t="shared" si="57"/>
        <v>0</v>
      </c>
      <c r="AL67" s="73"/>
      <c r="AM67" s="73"/>
      <c r="AN67" s="58"/>
    </row>
    <row r="68" spans="2:40" x14ac:dyDescent="0.2">
      <c r="B68">
        <f t="shared" si="53"/>
        <v>2032</v>
      </c>
      <c r="D68" s="58">
        <f>+SUM(D$9:$D22)</f>
        <v>499232.33486001875</v>
      </c>
      <c r="H68" s="58">
        <f t="shared" si="54"/>
        <v>114616.06480372493</v>
      </c>
      <c r="AC68" s="58">
        <f t="shared" si="55"/>
        <v>72582.593999292556</v>
      </c>
      <c r="AD68" s="58">
        <f t="shared" si="56"/>
        <v>0</v>
      </c>
      <c r="AE68" s="58">
        <f t="shared" si="59"/>
        <v>72582.593999292556</v>
      </c>
      <c r="AF68" s="58">
        <f t="shared" si="58"/>
        <v>9891.6099989093054</v>
      </c>
      <c r="AG68" s="58">
        <f t="shared" si="63"/>
        <v>72071.199601278378</v>
      </c>
      <c r="AH68" s="58">
        <f t="shared" si="60"/>
        <v>32653.25520353725</v>
      </c>
      <c r="AI68" s="58">
        <f t="shared" si="61"/>
        <v>135302.17451191589</v>
      </c>
      <c r="AJ68" s="58">
        <f t="shared" si="62"/>
        <v>0</v>
      </c>
      <c r="AK68" s="73">
        <f t="shared" si="57"/>
        <v>0</v>
      </c>
      <c r="AL68" s="73"/>
      <c r="AM68" s="73"/>
      <c r="AN68" s="58"/>
    </row>
    <row r="69" spans="2:40" x14ac:dyDescent="0.2">
      <c r="B69">
        <f t="shared" si="53"/>
        <v>2033</v>
      </c>
      <c r="D69" s="58">
        <f>+SUM(D$9:$D23)</f>
        <v>593926.79835958558</v>
      </c>
      <c r="H69" s="58">
        <f t="shared" si="54"/>
        <v>118338.34810257296</v>
      </c>
      <c r="AC69" s="58">
        <f t="shared" si="55"/>
        <v>72592.73541393569</v>
      </c>
      <c r="AD69" s="58">
        <f t="shared" si="56"/>
        <v>0</v>
      </c>
      <c r="AE69" s="58">
        <f t="shared" si="59"/>
        <v>72592.73541393569</v>
      </c>
      <c r="AF69" s="58">
        <f t="shared" si="58"/>
        <v>55836.246331548013</v>
      </c>
      <c r="AG69" s="58">
        <f t="shared" si="63"/>
        <v>62502.101771024943</v>
      </c>
      <c r="AH69" s="58">
        <f t="shared" si="60"/>
        <v>0</v>
      </c>
      <c r="AI69" s="58">
        <f t="shared" si="61"/>
        <v>89556.561823278593</v>
      </c>
      <c r="AJ69" s="58">
        <f t="shared" si="62"/>
        <v>0</v>
      </c>
      <c r="AK69" s="73">
        <f t="shared" si="57"/>
        <v>0</v>
      </c>
      <c r="AL69" s="73"/>
      <c r="AM69" s="73"/>
      <c r="AN69" s="58"/>
    </row>
    <row r="70" spans="2:40" x14ac:dyDescent="0.2">
      <c r="B70">
        <f t="shared" si="53"/>
        <v>2034</v>
      </c>
      <c r="D70" s="58">
        <f>+SUM(D$9:$D24)</f>
        <v>687929.12076945161</v>
      </c>
      <c r="H70" s="58">
        <f t="shared" si="54"/>
        <v>122155.68456068909</v>
      </c>
      <c r="AC70" s="58">
        <f t="shared" si="55"/>
        <v>72510.204305581094</v>
      </c>
      <c r="AD70" s="58">
        <f t="shared" si="56"/>
        <v>32816.601479008852</v>
      </c>
      <c r="AE70" s="58">
        <f t="shared" si="59"/>
        <v>39693.602826572242</v>
      </c>
      <c r="AF70" s="58">
        <f t="shared" si="58"/>
        <v>72592.73541393569</v>
      </c>
      <c r="AG70" s="58">
        <f t="shared" si="63"/>
        <v>16746.347667744543</v>
      </c>
      <c r="AH70" s="58">
        <f t="shared" si="60"/>
        <v>0</v>
      </c>
      <c r="AI70" s="58">
        <f t="shared" si="61"/>
        <v>39911.081568170601</v>
      </c>
      <c r="AJ70" s="58">
        <f t="shared" si="62"/>
        <v>0</v>
      </c>
      <c r="AK70" s="73">
        <f t="shared" si="57"/>
        <v>0</v>
      </c>
      <c r="AL70" s="73"/>
      <c r="AM70" s="73"/>
      <c r="AN70" s="58"/>
    </row>
    <row r="71" spans="2:40" x14ac:dyDescent="0.2">
      <c r="B71">
        <f t="shared" si="53"/>
        <v>2035</v>
      </c>
      <c r="D71" s="58">
        <f>+SUM(D$9:$D25)</f>
        <v>781240.22185985604</v>
      </c>
      <c r="H71" s="58">
        <f t="shared" si="54"/>
        <v>125914.17533073862</v>
      </c>
      <c r="AC71" s="58">
        <f t="shared" si="55"/>
        <v>72704.621103751051</v>
      </c>
      <c r="AD71" s="58">
        <f t="shared" si="56"/>
        <v>86220.572504166383</v>
      </c>
      <c r="AE71" s="58">
        <f t="shared" si="59"/>
        <v>0</v>
      </c>
      <c r="AF71" s="58">
        <f t="shared" si="58"/>
        <v>39693.602826572242</v>
      </c>
      <c r="AG71" s="58">
        <f t="shared" si="63"/>
        <v>0</v>
      </c>
      <c r="AH71" s="58">
        <f t="shared" si="60"/>
        <v>0</v>
      </c>
      <c r="AI71" s="58">
        <f t="shared" si="61"/>
        <v>217.47874159835919</v>
      </c>
      <c r="AJ71" s="58">
        <f t="shared" si="62"/>
        <v>0</v>
      </c>
      <c r="AK71" s="73">
        <f t="shared" si="57"/>
        <v>0</v>
      </c>
      <c r="AL71" s="73"/>
      <c r="AM71" s="73"/>
      <c r="AN71" s="58"/>
    </row>
    <row r="72" spans="2:40" x14ac:dyDescent="0.2">
      <c r="B72">
        <f t="shared" si="53"/>
        <v>2036</v>
      </c>
      <c r="D72" s="58">
        <f>+SUM(D$9:$D26)</f>
        <v>873873.33461741731</v>
      </c>
      <c r="H72" s="58">
        <f t="shared" si="54"/>
        <v>129673.50311271733</v>
      </c>
      <c r="AC72" s="58">
        <f t="shared" si="55"/>
        <v>72060.574962513507</v>
      </c>
      <c r="AD72" s="58">
        <f>+IF(H72-SUM(AF72:AH72)&gt;=0,IF(H72-SUM(AF72:AH72)&gt;AC72,AC72,H72-SUM(AF72:AH72)),0)</f>
        <v>72060.574962513507</v>
      </c>
      <c r="AE72" s="58">
        <f t="shared" si="59"/>
        <v>0</v>
      </c>
      <c r="AF72" s="58">
        <f t="shared" si="58"/>
        <v>0</v>
      </c>
      <c r="AG72" s="58">
        <f t="shared" si="63"/>
        <v>0</v>
      </c>
      <c r="AH72" s="58">
        <f t="shared" si="60"/>
        <v>0</v>
      </c>
      <c r="AI72" s="58">
        <f t="shared" si="61"/>
        <v>217.47874159835919</v>
      </c>
      <c r="AJ72" s="58">
        <f t="shared" si="62"/>
        <v>0</v>
      </c>
      <c r="AK72" s="73">
        <f t="shared" si="57"/>
        <v>-57612.928150203821</v>
      </c>
      <c r="AL72" s="73"/>
      <c r="AM72" s="73"/>
      <c r="AN72" s="58"/>
    </row>
    <row r="73" spans="2:40" x14ac:dyDescent="0.2">
      <c r="B73">
        <f t="shared" si="53"/>
        <v>2037</v>
      </c>
      <c r="D73" s="132">
        <f>+SUM(D$9:$D27)</f>
        <v>965828.3524187177</v>
      </c>
      <c r="H73" s="58">
        <f t="shared" si="54"/>
        <v>133533.75167205004</v>
      </c>
      <c r="AC73" s="58">
        <f t="shared" si="55"/>
        <v>71465.427049536549</v>
      </c>
      <c r="AD73" s="58">
        <f>+IF(H73-SUM(AF73:AH73)&gt;=0,IF(H73-SUM(AF73:AH73)&gt;AC73,AC73,H73-SUM(AF73:AH73)),0)</f>
        <v>71465.427049536549</v>
      </c>
      <c r="AE73" s="58">
        <f t="shared" si="59"/>
        <v>0</v>
      </c>
      <c r="AF73" s="58">
        <f t="shared" si="58"/>
        <v>0</v>
      </c>
      <c r="AG73" s="58">
        <f t="shared" si="63"/>
        <v>0</v>
      </c>
      <c r="AH73" s="58">
        <f t="shared" si="60"/>
        <v>0</v>
      </c>
      <c r="AI73" s="58">
        <f t="shared" si="61"/>
        <v>217.47874159835919</v>
      </c>
      <c r="AJ73" s="58">
        <f t="shared" si="62"/>
        <v>0</v>
      </c>
      <c r="AK73" s="73">
        <f t="shared" si="57"/>
        <v>-62068.324622513494</v>
      </c>
      <c r="AL73" s="73"/>
      <c r="AM73" s="73"/>
      <c r="AN73" s="58"/>
    </row>
    <row r="74" spans="2:40" x14ac:dyDescent="0.2">
      <c r="B74">
        <f t="shared" si="53"/>
        <v>2038</v>
      </c>
      <c r="D74" s="58">
        <f>+SUM(D$9:$D28)</f>
        <v>1057106.9042782146</v>
      </c>
      <c r="H74" s="58">
        <f t="shared" si="54"/>
        <v>137211.13087428038</v>
      </c>
      <c r="AC74" s="58">
        <f t="shared" si="55"/>
        <v>70431.826596653176</v>
      </c>
      <c r="AD74" s="58">
        <f>+IF(H74-SUM(AF74:AH74)&gt;=0,IF(H74-SUM(AF74:AH74)&gt;AC74,AC74,H74-SUM(AF74:AH74)),0)</f>
        <v>70431.826596653176</v>
      </c>
      <c r="AE74" s="58">
        <f t="shared" ref="AE74" si="64">+IF(AC74-AD74&gt;0,AC74-AD74,0)</f>
        <v>0</v>
      </c>
      <c r="AF74" s="58">
        <f t="shared" si="58"/>
        <v>0</v>
      </c>
      <c r="AG74" s="58">
        <f t="shared" si="63"/>
        <v>0</v>
      </c>
      <c r="AH74" s="58">
        <f t="shared" si="60"/>
        <v>0</v>
      </c>
      <c r="AI74" s="58">
        <f t="shared" ref="AI74" si="65">+AI73+AE74-AF74-AG74-AH74-(AE71-AF72-AG73-AH74)</f>
        <v>217.47874159835919</v>
      </c>
      <c r="AJ74" s="58">
        <f t="shared" ref="AJ74" si="66">+AE71-AF72-AG73-AH74</f>
        <v>0</v>
      </c>
      <c r="AK74" s="73">
        <f t="shared" si="57"/>
        <v>-66779.304277627205</v>
      </c>
      <c r="AL74" s="73"/>
      <c r="AM74" s="73"/>
    </row>
    <row r="76" spans="2:40" x14ac:dyDescent="0.2">
      <c r="AD76" s="107"/>
    </row>
    <row r="77" spans="2:40" x14ac:dyDescent="0.2">
      <c r="AD77" s="107"/>
    </row>
    <row r="78" spans="2:40" x14ac:dyDescent="0.2">
      <c r="AD78" s="107"/>
    </row>
  </sheetData>
  <pageMargins left="0.7" right="0.7" top="0.75" bottom="0.75" header="0.3" footer="0.3"/>
  <pageSetup scale="63"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H45"/>
  <sheetViews>
    <sheetView topLeftCell="A10" zoomScaleNormal="100" workbookViewId="0">
      <selection activeCell="M20" sqref="M20"/>
    </sheetView>
  </sheetViews>
  <sheetFormatPr defaultRowHeight="12.75" x14ac:dyDescent="0.2"/>
  <cols>
    <col min="2" max="2" width="11.140625" customWidth="1"/>
    <col min="3" max="4" width="10.5703125" customWidth="1"/>
    <col min="7" max="10" width="10.5703125" customWidth="1"/>
    <col min="11" max="15" width="11" customWidth="1"/>
    <col min="16" max="16" width="2.7109375" customWidth="1"/>
    <col min="19" max="19" width="15.140625" customWidth="1"/>
    <col min="20" max="20" width="14.5703125" customWidth="1"/>
    <col min="21" max="21" width="2.7109375" customWidth="1"/>
    <col min="24" max="24" width="12.28515625" customWidth="1"/>
    <col min="25" max="25" width="11" customWidth="1"/>
    <col min="26" max="26" width="2.7109375" customWidth="1"/>
    <col min="29" max="29" width="13.140625" customWidth="1"/>
    <col min="30" max="30" width="11" customWidth="1"/>
  </cols>
  <sheetData>
    <row r="1" spans="1:34" x14ac:dyDescent="0.2">
      <c r="A1" s="107"/>
    </row>
    <row r="2" spans="1:34" x14ac:dyDescent="0.2">
      <c r="A2" s="75">
        <v>0</v>
      </c>
      <c r="B2" s="75"/>
      <c r="C2" s="98" t="s">
        <v>145</v>
      </c>
      <c r="D2" s="98"/>
      <c r="G2" s="98"/>
      <c r="H2" s="98"/>
      <c r="I2" s="98"/>
      <c r="J2" s="98"/>
      <c r="K2" s="95"/>
      <c r="L2" s="95"/>
      <c r="M2" s="95"/>
      <c r="O2" s="95"/>
    </row>
    <row r="3" spans="1:34" x14ac:dyDescent="0.2">
      <c r="A3" s="75">
        <v>6.6666666666666662E-3</v>
      </c>
      <c r="B3" s="75"/>
      <c r="C3" s="95" t="s">
        <v>146</v>
      </c>
      <c r="D3" s="95"/>
      <c r="G3" s="95"/>
      <c r="H3" s="95"/>
      <c r="I3" s="95"/>
      <c r="J3" s="95"/>
      <c r="K3" s="95"/>
      <c r="L3" s="95"/>
      <c r="M3" s="95"/>
      <c r="O3" s="95"/>
    </row>
    <row r="4" spans="1:34" x14ac:dyDescent="0.2">
      <c r="A4" s="23"/>
      <c r="B4" s="23"/>
      <c r="C4" s="95"/>
      <c r="D4" s="95"/>
      <c r="G4" s="95"/>
      <c r="H4" s="95"/>
      <c r="I4" s="95"/>
      <c r="J4" s="95"/>
      <c r="K4" s="95"/>
      <c r="L4" s="95"/>
      <c r="M4" s="95"/>
      <c r="O4" s="95"/>
    </row>
    <row r="5" spans="1:34" x14ac:dyDescent="0.2">
      <c r="A5" s="23"/>
      <c r="B5" s="23"/>
      <c r="C5" s="95"/>
      <c r="D5" s="95"/>
      <c r="G5" s="95"/>
      <c r="H5" s="95"/>
      <c r="I5" s="95"/>
      <c r="J5" s="95"/>
      <c r="K5" s="95"/>
      <c r="L5" s="95"/>
      <c r="M5" s="95"/>
      <c r="O5" s="95"/>
    </row>
    <row r="6" spans="1:34" ht="15" x14ac:dyDescent="0.25">
      <c r="A6" s="97" t="s">
        <v>148</v>
      </c>
      <c r="B6" s="97"/>
    </row>
    <row r="7" spans="1:34" x14ac:dyDescent="0.2">
      <c r="V7" s="190">
        <v>0.1</v>
      </c>
      <c r="AA7" s="190">
        <v>0.1</v>
      </c>
    </row>
    <row r="8" spans="1:34" x14ac:dyDescent="0.2">
      <c r="Q8" s="106" t="s">
        <v>153</v>
      </c>
      <c r="V8" s="106" t="s">
        <v>154</v>
      </c>
      <c r="AA8" s="106" t="s">
        <v>155</v>
      </c>
    </row>
    <row r="9" spans="1:34" ht="15" x14ac:dyDescent="0.25">
      <c r="A9" s="96"/>
      <c r="B9" s="96"/>
      <c r="C9" s="95"/>
      <c r="D9" s="95"/>
      <c r="G9" s="95"/>
      <c r="H9" s="95"/>
      <c r="I9" s="95"/>
      <c r="J9" s="95"/>
      <c r="K9" s="95"/>
      <c r="L9" s="95"/>
      <c r="M9" s="95"/>
      <c r="O9" s="95"/>
    </row>
    <row r="10" spans="1:34" x14ac:dyDescent="0.2">
      <c r="B10" s="76"/>
      <c r="C10" s="76"/>
      <c r="D10" s="76"/>
    </row>
    <row r="11" spans="1:34" ht="90" x14ac:dyDescent="0.25">
      <c r="A11" s="99" t="s">
        <v>8</v>
      </c>
      <c r="B11" s="99" t="str">
        <f>+'Annual Energy Data'!I7</f>
        <v>Pre-Tier 3 High Forecast -High DSM    Net Load Forecast</v>
      </c>
      <c r="C11" s="85" t="str">
        <f>+'Annual Energy Data'!M7</f>
        <v>Pre-Tier 3 Base Forecast - Base DSM Base NM   Net Load Forecast</v>
      </c>
      <c r="D11" s="85" t="str">
        <f>+'Annual Energy Data'!Q7</f>
        <v>Pre-Tier 3 Low Forecast - Low DSM     Net Load Forecast</v>
      </c>
      <c r="E11" s="99" t="s">
        <v>150</v>
      </c>
      <c r="F11" s="99" t="str">
        <f>+'Monthly Energy Data'!AE7</f>
        <v>VELCO Forecast</v>
      </c>
      <c r="G11" s="99" t="str">
        <f>+'Monthly Energy Data'!AF7</f>
        <v>Climate Action Plan Forecast</v>
      </c>
      <c r="H11" s="99" t="str">
        <f>+'Monthly Energy Data'!AG7</f>
        <v>VEC Forecast</v>
      </c>
      <c r="I11" s="99" t="str">
        <f>+'Monthly Energy Data'!AH7</f>
        <v>Average of High and Low</v>
      </c>
      <c r="J11" s="99" t="s">
        <v>151</v>
      </c>
      <c r="K11" s="85" t="s">
        <v>149</v>
      </c>
      <c r="L11" s="85" t="s">
        <v>152</v>
      </c>
      <c r="M11" s="99" t="s">
        <v>369</v>
      </c>
      <c r="N11" s="85" t="s">
        <v>370</v>
      </c>
      <c r="O11" s="99" t="s">
        <v>371</v>
      </c>
      <c r="P11" s="191"/>
      <c r="Q11" s="108" t="s">
        <v>8</v>
      </c>
      <c r="R11" s="99" t="s">
        <v>147</v>
      </c>
      <c r="S11" s="99" t="s">
        <v>357</v>
      </c>
      <c r="T11" s="99" t="s">
        <v>356</v>
      </c>
      <c r="U11" s="193"/>
      <c r="V11" s="108" t="s">
        <v>8</v>
      </c>
      <c r="W11" s="99" t="s">
        <v>147</v>
      </c>
      <c r="X11" s="99" t="s">
        <v>291</v>
      </c>
      <c r="Y11" s="99" t="s">
        <v>305</v>
      </c>
      <c r="Z11" s="193"/>
      <c r="AA11" s="108" t="s">
        <v>8</v>
      </c>
      <c r="AB11" s="99" t="s">
        <v>147</v>
      </c>
      <c r="AC11" s="99" t="s">
        <v>292</v>
      </c>
      <c r="AD11" s="99" t="s">
        <v>306</v>
      </c>
      <c r="AF11" t="str">
        <f>+'Monthly Energy Data'!AE7</f>
        <v>VELCO Forecast</v>
      </c>
      <c r="AG11" t="str">
        <f>+'Monthly Energy Data'!AF7</f>
        <v>Climate Action Plan Forecast</v>
      </c>
      <c r="AH11" t="str">
        <f>+'Monthly Energy Data'!AG7</f>
        <v>VEC Forecast</v>
      </c>
    </row>
    <row r="12" spans="1:34" ht="15" x14ac:dyDescent="0.25">
      <c r="A12" s="101">
        <f>+'Annual Energy Data'!A17</f>
        <v>2017</v>
      </c>
      <c r="B12" s="102">
        <f>+'Annual Energy Data'!I17</f>
        <v>0</v>
      </c>
      <c r="C12" s="102">
        <f>+'Annual Energy Data'!M17</f>
        <v>0</v>
      </c>
      <c r="D12" s="102">
        <f>+'Annual Energy Data'!Q17</f>
        <v>0</v>
      </c>
      <c r="E12" s="103">
        <v>0.02</v>
      </c>
      <c r="F12" s="102">
        <f>B12+X12/(1-$A$2)</f>
        <v>0</v>
      </c>
      <c r="G12" s="102">
        <f>C12+S12/(1-$A$2)</f>
        <v>0</v>
      </c>
      <c r="H12" s="102">
        <f>D12+AC12/(1-$A$2)</f>
        <v>0</v>
      </c>
      <c r="I12" s="102">
        <f>E12+AD12/(1-$A$2)</f>
        <v>0.02</v>
      </c>
      <c r="J12" s="102">
        <f>+(B12+(0.7*'Annual Energy Data'!$H17))*(1-$A$2)</f>
        <v>0</v>
      </c>
      <c r="K12" s="102">
        <f>+(C12+(0.7*'Annual Energy Data'!$H17))*(1-$A$2)</f>
        <v>0</v>
      </c>
      <c r="L12" s="102">
        <f>+(D12+(0.7*'Annual Energy Data'!$H17))*(1-$A$2)</f>
        <v>0</v>
      </c>
      <c r="M12" s="102">
        <f>+(F12+(0.7*'Annual Energy Data'!$H17))*(1-$A$2)</f>
        <v>0</v>
      </c>
      <c r="N12" s="102">
        <f>+(G12+(0.7*'Annual Energy Data'!$H17))*(1-$A$2)</f>
        <v>0</v>
      </c>
      <c r="O12" s="102">
        <f>+(H12+(0.7*'Annual Energy Data'!$H17))*(1-$A$2)</f>
        <v>0</v>
      </c>
      <c r="P12" s="192"/>
      <c r="Q12" s="159">
        <f t="shared" ref="Q12:Q45" si="0">+$A12</f>
        <v>2017</v>
      </c>
      <c r="R12" s="160">
        <f>+G12*$E12</f>
        <v>0</v>
      </c>
      <c r="S12" s="198"/>
      <c r="T12" s="89"/>
      <c r="U12" s="194"/>
      <c r="V12" s="159">
        <f t="shared" ref="V12:V45" si="1">+$A12</f>
        <v>2017</v>
      </c>
      <c r="W12" s="160">
        <f>+F12*$E12</f>
        <v>0</v>
      </c>
      <c r="X12" s="136"/>
      <c r="Y12" s="89"/>
      <c r="Z12" s="194"/>
      <c r="AA12" s="159">
        <f t="shared" ref="AA12:AA45" si="2">+$A12</f>
        <v>2017</v>
      </c>
      <c r="AB12" s="160">
        <f>+H12*$E12</f>
        <v>0</v>
      </c>
      <c r="AC12" s="136"/>
      <c r="AD12" s="89"/>
    </row>
    <row r="13" spans="1:34" ht="15" x14ac:dyDescent="0.25">
      <c r="A13" s="101">
        <f>+'Annual Energy Data'!A18</f>
        <v>2018</v>
      </c>
      <c r="B13" s="102">
        <f>+SUMIF('Monthly Energy Data'!$D$128:$D$595,'Tier 3 Data'!$A13,'Monthly Energy Data'!S$128:S$595)</f>
        <v>0</v>
      </c>
      <c r="C13" s="102">
        <f>+SUMIF('Monthly Energy Data'!$D$128:$D$595,'Tier 3 Data'!$A13,'Monthly Energy Data'!T$128:T$595)</f>
        <v>0</v>
      </c>
      <c r="D13" s="102">
        <f>+SUMIF('Monthly Energy Data'!$D$128:$D$595,'Tier 3 Data'!$A13,'Monthly Energy Data'!U$128:U$595)</f>
        <v>0</v>
      </c>
      <c r="E13" s="104">
        <f>+E12+$A$3</f>
        <v>2.6666666666666665E-2</v>
      </c>
      <c r="F13" s="102">
        <f t="shared" ref="F13:F16" si="3">B13+Y13</f>
        <v>0</v>
      </c>
      <c r="G13" s="102">
        <f t="shared" ref="G13:G16" si="4">C13+T13</f>
        <v>0</v>
      </c>
      <c r="H13" s="102">
        <f t="shared" ref="H13:I16" si="5">D13+AD13</f>
        <v>0</v>
      </c>
      <c r="I13" s="102">
        <f t="shared" si="5"/>
        <v>2.6666666666666665E-2</v>
      </c>
      <c r="J13" s="102">
        <f>+(B13)*(1-$A$2)</f>
        <v>0</v>
      </c>
      <c r="K13" s="102">
        <f>+(C13)*(1-$A$2)</f>
        <v>0</v>
      </c>
      <c r="L13" s="102">
        <f>+(D13)*(1-$A$2)</f>
        <v>0</v>
      </c>
      <c r="M13" s="102">
        <f>+(F13)*(1-$A$2)</f>
        <v>0</v>
      </c>
      <c r="N13" s="102">
        <f>+(G13)*(1-$A$2)</f>
        <v>0</v>
      </c>
      <c r="O13" s="102">
        <f>+(H13)*(1-$A$2)</f>
        <v>0</v>
      </c>
      <c r="P13" s="192"/>
      <c r="Q13" s="89">
        <f t="shared" si="0"/>
        <v>2018</v>
      </c>
      <c r="R13" s="102">
        <f t="shared" ref="R13:R33" si="6">+N13*$E13</f>
        <v>0</v>
      </c>
      <c r="S13" s="102">
        <f>+T13*(1-$A$2)</f>
        <v>0</v>
      </c>
      <c r="T13" s="102">
        <f>+SUMIF('Monthly Energy Data'!$D$128:$D$595,'Tier 3 Data'!$A13,'Monthly Energy Data'!Z$128:Z$595)</f>
        <v>0</v>
      </c>
      <c r="U13" s="195"/>
      <c r="V13" s="89">
        <f t="shared" si="1"/>
        <v>2018</v>
      </c>
      <c r="W13" s="102">
        <f t="shared" ref="W13:W33" si="7">+M13*$E13</f>
        <v>0</v>
      </c>
      <c r="X13" s="196">
        <f>+Y13*(1-$A$2)</f>
        <v>0</v>
      </c>
      <c r="Y13" s="89"/>
      <c r="Z13" s="197"/>
      <c r="AA13" s="89">
        <f t="shared" si="2"/>
        <v>2018</v>
      </c>
      <c r="AB13" s="102">
        <f t="shared" ref="AB13:AB33" si="8">+O13*$E13</f>
        <v>0</v>
      </c>
      <c r="AC13" s="196">
        <f>+AD13*(1-$A$2)</f>
        <v>0</v>
      </c>
      <c r="AD13" s="89"/>
    </row>
    <row r="14" spans="1:34" ht="15" x14ac:dyDescent="0.25">
      <c r="A14" s="101">
        <f>+'Annual Energy Data'!A19</f>
        <v>2019</v>
      </c>
      <c r="B14" s="102">
        <f>+SUMIF('Monthly Energy Data'!$D$128:$D$595,'Tier 3 Data'!$A14,'Monthly Energy Data'!S$128:S$595)</f>
        <v>0</v>
      </c>
      <c r="C14" s="102">
        <f>+SUMIF('Monthly Energy Data'!$D$128:$D$595,'Tier 3 Data'!$A14,'Monthly Energy Data'!T$128:T$595)</f>
        <v>0</v>
      </c>
      <c r="D14" s="102">
        <f>+SUMIF('Monthly Energy Data'!$D$128:$D$595,'Tier 3 Data'!$A14,'Monthly Energy Data'!U$128:U$595)</f>
        <v>0</v>
      </c>
      <c r="E14" s="104">
        <f t="shared" ref="E14:E27" si="9">+E13+$A$3</f>
        <v>3.3333333333333333E-2</v>
      </c>
      <c r="F14" s="102">
        <f t="shared" si="3"/>
        <v>0</v>
      </c>
      <c r="G14" s="102">
        <f t="shared" si="4"/>
        <v>0</v>
      </c>
      <c r="H14" s="102">
        <f t="shared" si="5"/>
        <v>0</v>
      </c>
      <c r="I14" s="102">
        <f t="shared" si="5"/>
        <v>3.3333333333333333E-2</v>
      </c>
      <c r="J14" s="102">
        <f t="shared" ref="J14:J33" si="10">+(B14)*(1-$A$2)</f>
        <v>0</v>
      </c>
      <c r="K14" s="102">
        <f t="shared" ref="K14:K33" si="11">+(C14)*(1-$A$2)</f>
        <v>0</v>
      </c>
      <c r="L14" s="102">
        <f t="shared" ref="L14:L33" si="12">+(D14)*(1-$A$2)</f>
        <v>0</v>
      </c>
      <c r="M14" s="102">
        <f t="shared" ref="M14:M33" si="13">+(F14)*(1-$A$2)</f>
        <v>0</v>
      </c>
      <c r="N14" s="102">
        <f t="shared" ref="N14:N33" si="14">+(G14)*(1-$A$2)</f>
        <v>0</v>
      </c>
      <c r="O14" s="102">
        <f t="shared" ref="O14:O33" si="15">+(H14)*(1-$A$2)</f>
        <v>0</v>
      </c>
      <c r="P14" s="192"/>
      <c r="Q14" s="89">
        <f t="shared" si="0"/>
        <v>2019</v>
      </c>
      <c r="R14" s="102">
        <f t="shared" si="6"/>
        <v>0</v>
      </c>
      <c r="S14" s="102">
        <f>+T14*(1-$A$2)</f>
        <v>0</v>
      </c>
      <c r="T14" s="102">
        <f>+SUMIF('Monthly Energy Data'!$D$128:$D$595,'Tier 3 Data'!$A14,'Monthly Energy Data'!Z$128:Z$595)</f>
        <v>0</v>
      </c>
      <c r="U14" s="195"/>
      <c r="V14" s="89">
        <f t="shared" si="1"/>
        <v>2019</v>
      </c>
      <c r="W14" s="102">
        <f t="shared" si="7"/>
        <v>0</v>
      </c>
      <c r="X14" s="196">
        <f>+Y14*(1-$A$2)</f>
        <v>0</v>
      </c>
      <c r="Y14" s="102">
        <f>+T14*(1+V$7)</f>
        <v>0</v>
      </c>
      <c r="Z14" s="197"/>
      <c r="AA14" s="89">
        <f t="shared" si="2"/>
        <v>2019</v>
      </c>
      <c r="AB14" s="102">
        <f t="shared" si="8"/>
        <v>0</v>
      </c>
      <c r="AC14" s="196">
        <f>+AD14*(1-$A$2)</f>
        <v>0</v>
      </c>
      <c r="AD14" s="102">
        <f>+T14*(1-AA$7)</f>
        <v>0</v>
      </c>
    </row>
    <row r="15" spans="1:34" ht="15" x14ac:dyDescent="0.25">
      <c r="A15" s="101">
        <f>+'Annual Energy Data'!A20</f>
        <v>2020</v>
      </c>
      <c r="B15" s="102">
        <f>+SUMIF('Monthly Energy Data'!$D$128:$D$595,'Tier 3 Data'!$A15,'Monthly Energy Data'!S$128:S$595)</f>
        <v>0</v>
      </c>
      <c r="C15" s="102">
        <f>+SUMIF('Monthly Energy Data'!$D$128:$D$595,'Tier 3 Data'!$A15,'Monthly Energy Data'!T$128:T$595)</f>
        <v>0</v>
      </c>
      <c r="D15" s="102">
        <f>+SUMIF('Monthly Energy Data'!$D$128:$D$595,'Tier 3 Data'!$A15,'Monthly Energy Data'!U$128:U$595)</f>
        <v>0</v>
      </c>
      <c r="E15" s="104">
        <f t="shared" si="9"/>
        <v>0.04</v>
      </c>
      <c r="F15" s="102">
        <f t="shared" si="3"/>
        <v>0</v>
      </c>
      <c r="G15" s="102">
        <f t="shared" si="4"/>
        <v>0</v>
      </c>
      <c r="H15" s="102">
        <f t="shared" si="5"/>
        <v>0</v>
      </c>
      <c r="I15" s="102">
        <f t="shared" si="5"/>
        <v>0.04</v>
      </c>
      <c r="J15" s="102">
        <f t="shared" si="10"/>
        <v>0</v>
      </c>
      <c r="K15" s="102">
        <f t="shared" si="11"/>
        <v>0</v>
      </c>
      <c r="L15" s="102">
        <f t="shared" si="12"/>
        <v>0</v>
      </c>
      <c r="M15" s="102">
        <f t="shared" si="13"/>
        <v>0</v>
      </c>
      <c r="N15" s="102">
        <f t="shared" si="14"/>
        <v>0</v>
      </c>
      <c r="O15" s="102">
        <f t="shared" si="15"/>
        <v>0</v>
      </c>
      <c r="P15" s="192"/>
      <c r="Q15" s="89">
        <f t="shared" si="0"/>
        <v>2020</v>
      </c>
      <c r="R15" s="102">
        <f t="shared" si="6"/>
        <v>0</v>
      </c>
      <c r="S15" s="102">
        <f t="shared" ref="S15:S33" si="16">+T15*(1-$A$2)</f>
        <v>0</v>
      </c>
      <c r="T15" s="102">
        <f>+SUMIF('Monthly Energy Data'!$D$128:$D$595,'Tier 3 Data'!$A15,'Monthly Energy Data'!Z$128:Z$595)</f>
        <v>0</v>
      </c>
      <c r="U15" s="195"/>
      <c r="V15" s="89">
        <f t="shared" si="1"/>
        <v>2020</v>
      </c>
      <c r="W15" s="102">
        <f t="shared" si="7"/>
        <v>0</v>
      </c>
      <c r="X15" s="196">
        <f t="shared" ref="X15:X33" si="17">+Y15*(1-$A$2)</f>
        <v>0</v>
      </c>
      <c r="Y15" s="102">
        <f t="shared" ref="Y15:Y17" si="18">+T15*(1+V$7)</f>
        <v>0</v>
      </c>
      <c r="Z15" s="197"/>
      <c r="AA15" s="89">
        <f t="shared" si="2"/>
        <v>2020</v>
      </c>
      <c r="AB15" s="102">
        <f t="shared" si="8"/>
        <v>0</v>
      </c>
      <c r="AC15" s="196">
        <f t="shared" ref="AC15:AC33" si="19">+AD15*(1-$A$2)</f>
        <v>0</v>
      </c>
      <c r="AD15" s="102">
        <f t="shared" ref="AD15:AD17" si="20">+T15*(1-AA$7)</f>
        <v>0</v>
      </c>
    </row>
    <row r="16" spans="1:34" ht="15" x14ac:dyDescent="0.25">
      <c r="A16" s="101">
        <f>+'Annual Energy Data'!A21</f>
        <v>2021</v>
      </c>
      <c r="B16" s="102">
        <f>+SUMIF('Monthly Energy Data'!$D$128:$D$595,'Tier 3 Data'!$A16,'Monthly Energy Data'!S$128:S$595)</f>
        <v>0</v>
      </c>
      <c r="C16" s="102">
        <f>+SUMIF('Monthly Energy Data'!$D$128:$D$595,'Tier 3 Data'!$A16,'Monthly Energy Data'!T$128:T$595)</f>
        <v>0</v>
      </c>
      <c r="D16" s="102">
        <f>+SUMIF('Monthly Energy Data'!$D$128:$D$595,'Tier 3 Data'!$A16,'Monthly Energy Data'!U$128:U$595)</f>
        <v>0</v>
      </c>
      <c r="E16" s="104">
        <f t="shared" si="9"/>
        <v>4.6666666666666669E-2</v>
      </c>
      <c r="F16" s="102">
        <f t="shared" si="3"/>
        <v>0</v>
      </c>
      <c r="G16" s="102">
        <f t="shared" si="4"/>
        <v>0</v>
      </c>
      <c r="H16" s="102">
        <f t="shared" si="5"/>
        <v>0</v>
      </c>
      <c r="I16" s="102">
        <f t="shared" si="5"/>
        <v>4.6666666666666669E-2</v>
      </c>
      <c r="J16" s="102">
        <f t="shared" si="10"/>
        <v>0</v>
      </c>
      <c r="K16" s="102">
        <f t="shared" si="11"/>
        <v>0</v>
      </c>
      <c r="L16" s="102">
        <f t="shared" si="12"/>
        <v>0</v>
      </c>
      <c r="M16" s="102">
        <f t="shared" si="13"/>
        <v>0</v>
      </c>
      <c r="N16" s="102">
        <f t="shared" si="14"/>
        <v>0</v>
      </c>
      <c r="O16" s="102">
        <f t="shared" si="15"/>
        <v>0</v>
      </c>
      <c r="P16" s="192"/>
      <c r="Q16" s="89">
        <f t="shared" si="0"/>
        <v>2021</v>
      </c>
      <c r="R16" s="102">
        <f t="shared" si="6"/>
        <v>0</v>
      </c>
      <c r="S16" s="102">
        <f t="shared" si="16"/>
        <v>0</v>
      </c>
      <c r="T16" s="102">
        <f>+SUMIF('Monthly Energy Data'!$D$128:$D$595,'Tier 3 Data'!$A16,'Monthly Energy Data'!Z$128:Z$595)</f>
        <v>0</v>
      </c>
      <c r="U16" s="195"/>
      <c r="V16" s="89">
        <f t="shared" si="1"/>
        <v>2021</v>
      </c>
      <c r="W16" s="102">
        <f t="shared" si="7"/>
        <v>0</v>
      </c>
      <c r="X16" s="196">
        <f t="shared" si="17"/>
        <v>0</v>
      </c>
      <c r="Y16" s="102">
        <f t="shared" si="18"/>
        <v>0</v>
      </c>
      <c r="Z16" s="197"/>
      <c r="AA16" s="89">
        <f t="shared" si="2"/>
        <v>2021</v>
      </c>
      <c r="AB16" s="102">
        <f t="shared" si="8"/>
        <v>0</v>
      </c>
      <c r="AC16" s="196">
        <f t="shared" si="19"/>
        <v>0</v>
      </c>
      <c r="AD16" s="102">
        <f t="shared" si="20"/>
        <v>0</v>
      </c>
    </row>
    <row r="17" spans="1:34" ht="15" x14ac:dyDescent="0.25">
      <c r="A17" s="101">
        <f>+'Annual Energy Data'!A22</f>
        <v>2022</v>
      </c>
      <c r="B17" s="102">
        <f>+SUMIF('Monthly Energy Data'!$D$128:$D$595,'Tier 3 Data'!$A17,'Monthly Energy Data'!S$128:S$595)</f>
        <v>0</v>
      </c>
      <c r="C17" s="102">
        <f>+SUMIF('Monthly Energy Data'!$D$128:$D$595,'Tier 3 Data'!$A17,'Monthly Energy Data'!T$128:T$595)</f>
        <v>0</v>
      </c>
      <c r="D17" s="102">
        <f>+SUMIF('Monthly Energy Data'!$D$128:$D$595,'Tier 3 Data'!$A17,'Monthly Energy Data'!U$128:U$595)</f>
        <v>0</v>
      </c>
      <c r="E17" s="104">
        <f t="shared" si="9"/>
        <v>5.3333333333333337E-2</v>
      </c>
      <c r="F17" s="102">
        <f>+SUMIF('Monthly Energy Data'!$D$128:$D$595,'Tier 3 Data'!$A17,'Monthly Energy Data'!AE$128:AE$595)</f>
        <v>0</v>
      </c>
      <c r="G17" s="102">
        <f>+SUMIF('Monthly Energy Data'!$D$128:$D$595,'Tier 3 Data'!$A17,'Monthly Energy Data'!AF$128:AF$595)</f>
        <v>0</v>
      </c>
      <c r="H17" s="102">
        <f>+SUMIF('Monthly Energy Data'!$D$128:$D$595,'Tier 3 Data'!$A17,'Monthly Energy Data'!AG$128:AG$595)</f>
        <v>0</v>
      </c>
      <c r="I17" s="102">
        <f>+SUMIF('Monthly Energy Data'!$D$128:$D$595,'Tier 3 Data'!$A17,'Monthly Energy Data'!AH$128:AH$595)</f>
        <v>0</v>
      </c>
      <c r="J17" s="102">
        <f t="shared" si="10"/>
        <v>0</v>
      </c>
      <c r="K17" s="102">
        <f t="shared" si="11"/>
        <v>0</v>
      </c>
      <c r="L17" s="102">
        <f t="shared" si="12"/>
        <v>0</v>
      </c>
      <c r="M17" s="102">
        <f t="shared" si="13"/>
        <v>0</v>
      </c>
      <c r="N17" s="102">
        <f t="shared" si="14"/>
        <v>0</v>
      </c>
      <c r="O17" s="102">
        <f t="shared" si="15"/>
        <v>0</v>
      </c>
      <c r="P17" s="192"/>
      <c r="Q17" s="89">
        <f t="shared" si="0"/>
        <v>2022</v>
      </c>
      <c r="R17" s="102">
        <f t="shared" si="6"/>
        <v>0</v>
      </c>
      <c r="S17" s="102">
        <f t="shared" si="16"/>
        <v>0</v>
      </c>
      <c r="T17" s="102">
        <f>+SUMIF('Monthly Energy Data'!$D$128:$D$595,'Tier 3 Data'!$A17,'Monthly Energy Data'!Z$128:Z$595)</f>
        <v>0</v>
      </c>
      <c r="U17" s="195"/>
      <c r="V17" s="89">
        <f t="shared" si="1"/>
        <v>2022</v>
      </c>
      <c r="W17" s="102">
        <f t="shared" si="7"/>
        <v>0</v>
      </c>
      <c r="X17" s="196">
        <f t="shared" si="17"/>
        <v>0</v>
      </c>
      <c r="Y17" s="102">
        <f t="shared" si="18"/>
        <v>0</v>
      </c>
      <c r="Z17" s="197"/>
      <c r="AA17" s="89">
        <f t="shared" si="2"/>
        <v>2022</v>
      </c>
      <c r="AB17" s="102">
        <f t="shared" si="8"/>
        <v>0</v>
      </c>
      <c r="AC17" s="196">
        <f t="shared" si="19"/>
        <v>0</v>
      </c>
      <c r="AD17" s="102">
        <f t="shared" si="20"/>
        <v>0</v>
      </c>
    </row>
    <row r="18" spans="1:34" ht="15" x14ac:dyDescent="0.25">
      <c r="A18" s="101">
        <f>+'Annual Energy Data'!A23</f>
        <v>2023</v>
      </c>
      <c r="B18" s="102">
        <f>+SUMIF('Monthly Energy Data'!$D$128:$D$595,'Tier 3 Data'!$A18,'Monthly Energy Data'!S$128:S$595)</f>
        <v>0</v>
      </c>
      <c r="C18" s="102">
        <f>+SUMIF('Monthly Energy Data'!$D$128:$D$595,'Tier 3 Data'!$A18,'Monthly Energy Data'!T$128:T$595)</f>
        <v>0</v>
      </c>
      <c r="D18" s="102">
        <f>+SUMIF('Monthly Energy Data'!$D$128:$D$595,'Tier 3 Data'!$A18,'Monthly Energy Data'!U$128:U$595)</f>
        <v>0</v>
      </c>
      <c r="E18" s="104">
        <f t="shared" si="9"/>
        <v>6.0000000000000005E-2</v>
      </c>
      <c r="F18" s="102">
        <f>+SUMIF('Monthly Energy Data'!$D$128:$D$595,'Tier 3 Data'!$A18,'Monthly Energy Data'!AE$128:AE$595)</f>
        <v>0</v>
      </c>
      <c r="G18" s="102">
        <f>+SUMIF('Monthly Energy Data'!$D$128:$D$595,'Tier 3 Data'!$A18,'Monthly Energy Data'!AF$128:AF$595)</f>
        <v>0</v>
      </c>
      <c r="H18" s="102">
        <f>+SUMIF('Monthly Energy Data'!$D$128:$D$595,'Tier 3 Data'!$A18,'Monthly Energy Data'!AG$128:AG$595)</f>
        <v>0</v>
      </c>
      <c r="I18" s="102">
        <f>+SUMIF('Monthly Energy Data'!$D$128:$D$595,'Tier 3 Data'!$A18,'Monthly Energy Data'!AH$128:AH$595)</f>
        <v>0</v>
      </c>
      <c r="J18" s="102">
        <f t="shared" si="10"/>
        <v>0</v>
      </c>
      <c r="K18" s="102">
        <f t="shared" si="11"/>
        <v>0</v>
      </c>
      <c r="L18" s="102">
        <f t="shared" si="12"/>
        <v>0</v>
      </c>
      <c r="M18" s="102">
        <f t="shared" si="13"/>
        <v>0</v>
      </c>
      <c r="N18" s="102">
        <f t="shared" si="14"/>
        <v>0</v>
      </c>
      <c r="O18" s="102">
        <f t="shared" si="15"/>
        <v>0</v>
      </c>
      <c r="P18" s="192"/>
      <c r="Q18" s="89">
        <f t="shared" si="0"/>
        <v>2023</v>
      </c>
      <c r="R18" s="102">
        <f t="shared" si="6"/>
        <v>0</v>
      </c>
      <c r="S18" s="102">
        <f t="shared" si="16"/>
        <v>0</v>
      </c>
      <c r="T18" s="102">
        <f>+SUMIF('Monthly Energy Data'!$D$128:$D$595,'Tier 3 Data'!$A18,'Monthly Energy Data'!Z$128:Z$595)</f>
        <v>0</v>
      </c>
      <c r="U18" s="195"/>
      <c r="V18" s="89">
        <f t="shared" si="1"/>
        <v>2023</v>
      </c>
      <c r="W18" s="102">
        <f t="shared" si="7"/>
        <v>0</v>
      </c>
      <c r="X18" s="196">
        <f t="shared" si="17"/>
        <v>0</v>
      </c>
      <c r="Y18" s="102">
        <f>+SUMIF('Monthly Energy Data'!$D$128:$D$595,'Tier 3 Data'!$A18,'Monthly Energy Data'!Y$128:Y$595)</f>
        <v>0</v>
      </c>
      <c r="Z18" s="197"/>
      <c r="AA18" s="89">
        <f t="shared" si="2"/>
        <v>2023</v>
      </c>
      <c r="AB18" s="102">
        <f t="shared" si="8"/>
        <v>0</v>
      </c>
      <c r="AC18" s="196">
        <f t="shared" si="19"/>
        <v>0</v>
      </c>
      <c r="AD18" s="102">
        <f>+SUMIF('Monthly Energy Data'!$D$128:$D$595,'Tier 3 Data'!$A18,'Monthly Energy Data'!AA$128:AA$595)</f>
        <v>0</v>
      </c>
      <c r="AF18" s="58">
        <v>24610.634617679712</v>
      </c>
      <c r="AG18" s="58">
        <v>26459.8554968231</v>
      </c>
      <c r="AH18" s="58">
        <v>11053.372425934369</v>
      </c>
    </row>
    <row r="19" spans="1:34" ht="15" x14ac:dyDescent="0.25">
      <c r="A19" s="101">
        <f>+'Annual Energy Data'!A24</f>
        <v>2024</v>
      </c>
      <c r="B19" s="102">
        <f>+SUMIF('Monthly Energy Data'!$D$128:$D$595,'Tier 3 Data'!$A19,'Monthly Energy Data'!S$128:S$595)</f>
        <v>0</v>
      </c>
      <c r="C19" s="102">
        <f>+SUMIF('Monthly Energy Data'!$D$128:$D$595,'Tier 3 Data'!$A19,'Monthly Energy Data'!T$128:T$595)</f>
        <v>0</v>
      </c>
      <c r="D19" s="102">
        <f>+SUMIF('Monthly Energy Data'!$D$128:$D$595,'Tier 3 Data'!$A19,'Monthly Energy Data'!U$128:U$595)</f>
        <v>0</v>
      </c>
      <c r="E19" s="104">
        <f t="shared" si="9"/>
        <v>6.6666666666666666E-2</v>
      </c>
      <c r="F19" s="102">
        <f>+SUMIF('Monthly Energy Data'!$D$128:$D$595,'Tier 3 Data'!$A19,'Monthly Energy Data'!AE$128:AE$595)</f>
        <v>0</v>
      </c>
      <c r="G19" s="102">
        <f>+SUMIF('Monthly Energy Data'!$D$128:$D$595,'Tier 3 Data'!$A19,'Monthly Energy Data'!AF$128:AF$595)</f>
        <v>0</v>
      </c>
      <c r="H19" s="102">
        <f>+SUMIF('Monthly Energy Data'!$D$128:$D$595,'Tier 3 Data'!$A19,'Monthly Energy Data'!AG$128:AG$595)</f>
        <v>0</v>
      </c>
      <c r="I19" s="102">
        <f>+SUMIF('Monthly Energy Data'!$D$128:$D$595,'Tier 3 Data'!$A19,'Monthly Energy Data'!AH$128:AH$595)</f>
        <v>0</v>
      </c>
      <c r="J19" s="102">
        <f t="shared" si="10"/>
        <v>0</v>
      </c>
      <c r="K19" s="102">
        <f t="shared" si="11"/>
        <v>0</v>
      </c>
      <c r="L19" s="102">
        <f t="shared" si="12"/>
        <v>0</v>
      </c>
      <c r="M19" s="102">
        <f t="shared" si="13"/>
        <v>0</v>
      </c>
      <c r="N19" s="102">
        <f t="shared" si="14"/>
        <v>0</v>
      </c>
      <c r="O19" s="102">
        <f t="shared" si="15"/>
        <v>0</v>
      </c>
      <c r="P19" s="192"/>
      <c r="Q19" s="89">
        <f t="shared" si="0"/>
        <v>2024</v>
      </c>
      <c r="R19" s="102">
        <f t="shared" si="6"/>
        <v>0</v>
      </c>
      <c r="S19" s="102">
        <f t="shared" si="16"/>
        <v>0</v>
      </c>
      <c r="T19" s="102">
        <f>+SUMIF('Monthly Energy Data'!$D$128:$D$595,'Tier 3 Data'!$A19,'Monthly Energy Data'!Z$128:Z$595)</f>
        <v>0</v>
      </c>
      <c r="U19" s="195"/>
      <c r="V19" s="89">
        <f t="shared" si="1"/>
        <v>2024</v>
      </c>
      <c r="W19" s="102">
        <f t="shared" si="7"/>
        <v>0</v>
      </c>
      <c r="X19" s="196">
        <f t="shared" si="17"/>
        <v>0</v>
      </c>
      <c r="Y19" s="102">
        <f>+SUMIF('Monthly Energy Data'!$D$128:$D$595,'Tier 3 Data'!$A19,'Monthly Energy Data'!Y$128:Y$595)</f>
        <v>0</v>
      </c>
      <c r="Z19" s="197"/>
      <c r="AA19" s="89">
        <f t="shared" si="2"/>
        <v>2024</v>
      </c>
      <c r="AB19" s="102">
        <f t="shared" si="8"/>
        <v>0</v>
      </c>
      <c r="AC19" s="196">
        <f t="shared" si="19"/>
        <v>0</v>
      </c>
      <c r="AD19" s="102">
        <f>+SUMIF('Monthly Energy Data'!$D$128:$D$595,'Tier 3 Data'!$A19,'Monthly Energy Data'!AA$128:AA$595)</f>
        <v>0</v>
      </c>
      <c r="AF19" s="58">
        <v>32682.288174114026</v>
      </c>
      <c r="AG19" s="58">
        <v>34737.554800464131</v>
      </c>
      <c r="AH19" s="58">
        <v>14649.544227819628</v>
      </c>
    </row>
    <row r="20" spans="1:34" ht="15" x14ac:dyDescent="0.25">
      <c r="A20" s="101">
        <f>+'Annual Energy Data'!A25</f>
        <v>2025</v>
      </c>
      <c r="B20" s="102">
        <f>+SUMIF('Monthly Energy Data'!$D$128:$D$595,'Tier 3 Data'!$A20,'Monthly Energy Data'!S$128:S$595)</f>
        <v>502408.97670733777</v>
      </c>
      <c r="C20" s="102">
        <f>+SUMIF('Monthly Energy Data'!$D$128:$D$595,'Tier 3 Data'!$A20,'Monthly Energy Data'!T$128:T$595)</f>
        <v>502408.97670733777</v>
      </c>
      <c r="D20" s="102">
        <f>+SUMIF('Monthly Energy Data'!$D$128:$D$595,'Tier 3 Data'!$A20,'Monthly Energy Data'!U$128:U$595)</f>
        <v>502408.97670733777</v>
      </c>
      <c r="E20" s="104">
        <f t="shared" si="9"/>
        <v>7.3333333333333334E-2</v>
      </c>
      <c r="F20" s="102">
        <f>+SUMIF('Monthly Energy Data'!$D$128:$D$595,'Tier 3 Data'!$A20,'Monthly Energy Data'!AE$128:AE$595)</f>
        <v>516859.55797777255</v>
      </c>
      <c r="G20" s="102">
        <f>+SUMIF('Monthly Energy Data'!$D$128:$D$595,'Tier 3 Data'!$A20,'Monthly Energy Data'!AF$128:AF$595)</f>
        <v>526009.68119384581</v>
      </c>
      <c r="H20" s="102">
        <f>+SUMIF('Monthly Energy Data'!$D$128:$D$595,'Tier 3 Data'!$A20,'Monthly Energy Data'!AG$128:AG$595)</f>
        <v>505793.67081498448</v>
      </c>
      <c r="I20" s="102">
        <f>+SUMIF('Monthly Energy Data'!$D$128:$D$595,'Tier 3 Data'!$A20,'Monthly Energy Data'!AH$128:AH$595)</f>
        <v>515901.67600441509</v>
      </c>
      <c r="J20" s="102">
        <f t="shared" si="10"/>
        <v>502408.97670733777</v>
      </c>
      <c r="K20" s="102">
        <f t="shared" si="11"/>
        <v>502408.97670733777</v>
      </c>
      <c r="L20" s="102">
        <f t="shared" si="12"/>
        <v>502408.97670733777</v>
      </c>
      <c r="M20" s="102">
        <f t="shared" si="13"/>
        <v>516859.55797777255</v>
      </c>
      <c r="N20" s="102">
        <f t="shared" si="14"/>
        <v>526009.68119384581</v>
      </c>
      <c r="O20" s="102">
        <f t="shared" si="15"/>
        <v>505793.67081498448</v>
      </c>
      <c r="P20" s="192"/>
      <c r="Q20" s="89">
        <f t="shared" si="0"/>
        <v>2025</v>
      </c>
      <c r="R20" s="102">
        <f t="shared" si="6"/>
        <v>38574.043287548695</v>
      </c>
      <c r="S20" s="102">
        <f t="shared" si="16"/>
        <v>23600.704486508053</v>
      </c>
      <c r="T20" s="102">
        <f>+SUMIF('Monthly Energy Data'!$D$128:$D$595,'Tier 3 Data'!$A20,'Monthly Energy Data'!Z$128:Z$595)</f>
        <v>23600.704486508053</v>
      </c>
      <c r="U20" s="195"/>
      <c r="V20" s="89">
        <f t="shared" si="1"/>
        <v>2025</v>
      </c>
      <c r="W20" s="102">
        <f t="shared" si="7"/>
        <v>37903.03425170332</v>
      </c>
      <c r="X20" s="196">
        <f t="shared" si="17"/>
        <v>14450.581270434743</v>
      </c>
      <c r="Y20" s="102">
        <f>+SUMIF('Monthly Energy Data'!$D$128:$D$595,'Tier 3 Data'!$A20,'Monthly Energy Data'!Y$128:Y$595)</f>
        <v>14450.581270434743</v>
      </c>
      <c r="Z20" s="197"/>
      <c r="AA20" s="89">
        <f t="shared" si="2"/>
        <v>2025</v>
      </c>
      <c r="AB20" s="102">
        <f t="shared" si="8"/>
        <v>37091.535859765529</v>
      </c>
      <c r="AC20" s="196">
        <f t="shared" si="19"/>
        <v>3384.6941076467283</v>
      </c>
      <c r="AD20" s="102">
        <f>+SUMIF('Monthly Energy Data'!$D$128:$D$595,'Tier 3 Data'!$A20,'Monthly Energy Data'!AA$128:AA$595)</f>
        <v>3384.6941076467283</v>
      </c>
      <c r="AF20" s="58">
        <v>41616.606059639336</v>
      </c>
      <c r="AG20" s="58">
        <v>43495.41105368032</v>
      </c>
      <c r="AH20" s="58">
        <v>19196.595759341399</v>
      </c>
    </row>
    <row r="21" spans="1:34" ht="15" x14ac:dyDescent="0.25">
      <c r="A21" s="101">
        <f>+'Annual Energy Data'!A26</f>
        <v>2026</v>
      </c>
      <c r="B21" s="102">
        <f>+SUMIF('Monthly Energy Data'!$D$128:$D$595,'Tier 3 Data'!$A21,'Monthly Energy Data'!S$128:S$595)</f>
        <v>498756.69135139242</v>
      </c>
      <c r="C21" s="102">
        <f>+SUMIF('Monthly Energy Data'!$D$128:$D$595,'Tier 3 Data'!$A21,'Monthly Energy Data'!T$128:T$595)</f>
        <v>498756.69135139242</v>
      </c>
      <c r="D21" s="102">
        <f>+SUMIF('Monthly Energy Data'!$D$128:$D$595,'Tier 3 Data'!$A21,'Monthly Energy Data'!U$128:U$595)</f>
        <v>498756.69135139242</v>
      </c>
      <c r="E21" s="104">
        <f t="shared" si="9"/>
        <v>0.08</v>
      </c>
      <c r="F21" s="102">
        <f>+SUMIF('Monthly Energy Data'!$D$128:$D$595,'Tier 3 Data'!$A21,'Monthly Energy Data'!AE$128:AE$595)</f>
        <v>534404.08729551674</v>
      </c>
      <c r="G21" s="102">
        <f>+SUMIF('Monthly Energy Data'!$D$128:$D$595,'Tier 3 Data'!$A21,'Monthly Energy Data'!AF$128:AF$595)</f>
        <v>551119.24048483884</v>
      </c>
      <c r="H21" s="102">
        <f>+SUMIF('Monthly Energy Data'!$D$128:$D$595,'Tier 3 Data'!$A21,'Monthly Energy Data'!AG$128:AG$595)</f>
        <v>509047.36339775816</v>
      </c>
      <c r="I21" s="102">
        <f>+SUMIF('Monthly Energy Data'!$D$128:$D$595,'Tier 3 Data'!$A21,'Monthly Energy Data'!AH$128:AH$595)</f>
        <v>530083.30194129853</v>
      </c>
      <c r="J21" s="102">
        <f t="shared" si="10"/>
        <v>498756.69135139242</v>
      </c>
      <c r="K21" s="102">
        <f t="shared" si="11"/>
        <v>498756.69135139242</v>
      </c>
      <c r="L21" s="102">
        <f t="shared" si="12"/>
        <v>498756.69135139242</v>
      </c>
      <c r="M21" s="102">
        <f t="shared" si="13"/>
        <v>534404.08729551674</v>
      </c>
      <c r="N21" s="102">
        <f t="shared" si="14"/>
        <v>551119.24048483884</v>
      </c>
      <c r="O21" s="102">
        <f t="shared" si="15"/>
        <v>509047.36339775816</v>
      </c>
      <c r="P21" s="192"/>
      <c r="Q21" s="89">
        <f t="shared" si="0"/>
        <v>2026</v>
      </c>
      <c r="R21" s="102">
        <f t="shared" si="6"/>
        <v>44089.539238787111</v>
      </c>
      <c r="S21" s="102">
        <f t="shared" si="16"/>
        <v>52362.549133446366</v>
      </c>
      <c r="T21" s="102">
        <f>+SUMIF('Monthly Energy Data'!$D$128:$D$595,'Tier 3 Data'!$A21,'Monthly Energy Data'!Z$128:Z$595)</f>
        <v>52362.549133446366</v>
      </c>
      <c r="U21" s="195"/>
      <c r="V21" s="89">
        <f t="shared" si="1"/>
        <v>2026</v>
      </c>
      <c r="W21" s="102">
        <f t="shared" si="7"/>
        <v>42752.326983641338</v>
      </c>
      <c r="X21" s="196">
        <f t="shared" si="17"/>
        <v>35647.395944124291</v>
      </c>
      <c r="Y21" s="102">
        <f>+SUMIF('Monthly Energy Data'!$D$128:$D$595,'Tier 3 Data'!$A21,'Monthly Energy Data'!Y$128:Y$595)</f>
        <v>35647.395944124291</v>
      </c>
      <c r="Z21" s="197"/>
      <c r="AA21" s="89">
        <f t="shared" si="2"/>
        <v>2026</v>
      </c>
      <c r="AB21" s="102">
        <f t="shared" si="8"/>
        <v>40723.789071820654</v>
      </c>
      <c r="AC21" s="196">
        <f t="shared" si="19"/>
        <v>10290.672046365708</v>
      </c>
      <c r="AD21" s="102">
        <f>+SUMIF('Monthly Energy Data'!$D$128:$D$595,'Tier 3 Data'!$A21,'Monthly Energy Data'!AA$128:AA$595)</f>
        <v>10290.672046365708</v>
      </c>
      <c r="AF21" s="58">
        <v>51849.08968217628</v>
      </c>
      <c r="AG21" s="58">
        <v>53297.476115602738</v>
      </c>
      <c r="AH21" s="58">
        <v>25131.235655754819</v>
      </c>
    </row>
    <row r="22" spans="1:34" ht="15" x14ac:dyDescent="0.25">
      <c r="A22" s="101">
        <f>+'Annual Energy Data'!A27</f>
        <v>2027</v>
      </c>
      <c r="B22" s="102">
        <f>+SUMIF('Monthly Energy Data'!$D$128:$D$595,'Tier 3 Data'!$A22,'Monthly Energy Data'!S$128:S$595)</f>
        <v>494988.49712604441</v>
      </c>
      <c r="C22" s="102">
        <f>+SUMIF('Monthly Energy Data'!$D$128:$D$595,'Tier 3 Data'!$A22,'Monthly Energy Data'!T$128:T$595)</f>
        <v>494988.49712604441</v>
      </c>
      <c r="D22" s="102">
        <f>+SUMIF('Monthly Energy Data'!$D$128:$D$595,'Tier 3 Data'!$A22,'Monthly Energy Data'!U$128:U$595)</f>
        <v>494988.49712604441</v>
      </c>
      <c r="E22" s="104">
        <f t="shared" si="9"/>
        <v>8.666666666666667E-2</v>
      </c>
      <c r="F22" s="102">
        <f>+SUMIF('Monthly Energy Data'!$D$128:$D$595,'Tier 3 Data'!$A22,'Monthly Energy Data'!AE$128:AE$595)</f>
        <v>547481.26902155788</v>
      </c>
      <c r="G22" s="102">
        <f>+SUMIF('Monthly Energy Data'!$D$128:$D$595,'Tier 3 Data'!$A22,'Monthly Energy Data'!AF$128:AF$595)</f>
        <v>561801.20006497123</v>
      </c>
      <c r="H22" s="102">
        <f>+SUMIF('Monthly Energy Data'!$D$128:$D$595,'Tier 3 Data'!$A22,'Monthly Energy Data'!AG$128:AG$595)</f>
        <v>513021.74839042296</v>
      </c>
      <c r="I22" s="102">
        <f>+SUMIF('Monthly Energy Data'!$D$128:$D$595,'Tier 3 Data'!$A22,'Monthly Energy Data'!AH$128:AH$595)</f>
        <v>537411.47422769712</v>
      </c>
      <c r="J22" s="102">
        <f t="shared" si="10"/>
        <v>494988.49712604441</v>
      </c>
      <c r="K22" s="102">
        <f t="shared" si="11"/>
        <v>494988.49712604441</v>
      </c>
      <c r="L22" s="102">
        <f t="shared" si="12"/>
        <v>494988.49712604441</v>
      </c>
      <c r="M22" s="102">
        <f t="shared" si="13"/>
        <v>547481.26902155788</v>
      </c>
      <c r="N22" s="102">
        <f t="shared" si="14"/>
        <v>561801.20006497123</v>
      </c>
      <c r="O22" s="102">
        <f t="shared" si="15"/>
        <v>513021.74839042296</v>
      </c>
      <c r="P22" s="192"/>
      <c r="Q22" s="89">
        <f t="shared" si="0"/>
        <v>2027</v>
      </c>
      <c r="R22" s="102">
        <f t="shared" si="6"/>
        <v>48689.437338964177</v>
      </c>
      <c r="S22" s="102">
        <f t="shared" si="16"/>
        <v>66812.702938927003</v>
      </c>
      <c r="T22" s="102">
        <f>+SUMIF('Monthly Energy Data'!$D$128:$D$595,'Tier 3 Data'!$A22,'Monthly Energy Data'!Z$128:Z$595)</f>
        <v>66812.702938927003</v>
      </c>
      <c r="U22" s="195"/>
      <c r="V22" s="89">
        <f t="shared" si="1"/>
        <v>2027</v>
      </c>
      <c r="W22" s="102">
        <f t="shared" si="7"/>
        <v>47448.376648535021</v>
      </c>
      <c r="X22" s="196">
        <f t="shared" si="17"/>
        <v>52492.771895513535</v>
      </c>
      <c r="Y22" s="102">
        <f>+SUMIF('Monthly Energy Data'!$D$128:$D$595,'Tier 3 Data'!$A22,'Monthly Energy Data'!Y$128:Y$595)</f>
        <v>52492.771895513535</v>
      </c>
      <c r="Z22" s="197"/>
      <c r="AA22" s="89">
        <f t="shared" si="2"/>
        <v>2027</v>
      </c>
      <c r="AB22" s="102">
        <f t="shared" si="8"/>
        <v>44461.884860503327</v>
      </c>
      <c r="AC22" s="196">
        <f t="shared" si="19"/>
        <v>18033.251264378479</v>
      </c>
      <c r="AD22" s="102">
        <f>+SUMIF('Monthly Energy Data'!$D$128:$D$595,'Tier 3 Data'!$A22,'Monthly Energy Data'!AA$128:AA$595)</f>
        <v>18033.251264378479</v>
      </c>
      <c r="AF22" s="58">
        <v>63472.746871614348</v>
      </c>
      <c r="AG22" s="58">
        <v>64196.977790981218</v>
      </c>
      <c r="AH22" s="58">
        <v>33012.139641841786</v>
      </c>
    </row>
    <row r="23" spans="1:34" ht="15" x14ac:dyDescent="0.25">
      <c r="A23" s="101">
        <f>+'Annual Energy Data'!A28</f>
        <v>2028</v>
      </c>
      <c r="B23" s="102">
        <f>+SUMIF('Monthly Energy Data'!$D$128:$D$595,'Tier 3 Data'!$A23,'Monthly Energy Data'!S$128:S$595)</f>
        <v>491289.09820659156</v>
      </c>
      <c r="C23" s="102">
        <f>+SUMIF('Monthly Energy Data'!$D$128:$D$595,'Tier 3 Data'!$A23,'Monthly Energy Data'!T$128:T$595)</f>
        <v>491289.09820659156</v>
      </c>
      <c r="D23" s="102">
        <f>+SUMIF('Monthly Energy Data'!$D$128:$D$595,'Tier 3 Data'!$A23,'Monthly Energy Data'!U$128:U$595)</f>
        <v>491289.09820659156</v>
      </c>
      <c r="E23" s="104">
        <f t="shared" si="9"/>
        <v>9.3333333333333338E-2</v>
      </c>
      <c r="F23" s="102">
        <f>+SUMIF('Monthly Energy Data'!$D$128:$D$595,'Tier 3 Data'!$A23,'Monthly Energy Data'!AE$128:AE$595)</f>
        <v>562334.2564463201</v>
      </c>
      <c r="G23" s="102">
        <f>+SUMIF('Monthly Energy Data'!$D$128:$D$595,'Tier 3 Data'!$A23,'Monthly Energy Data'!AF$128:AF$595)</f>
        <v>574238.09425297996</v>
      </c>
      <c r="H23" s="102">
        <f>+SUMIF('Monthly Energy Data'!$D$128:$D$595,'Tier 3 Data'!$A23,'Monthly Energy Data'!AG$128:AG$595)</f>
        <v>518347.88756713568</v>
      </c>
      <c r="I23" s="102">
        <f>+SUMIF('Monthly Energy Data'!$D$128:$D$595,'Tier 3 Data'!$A23,'Monthly Energy Data'!AH$128:AH$595)</f>
        <v>546355.61978096631</v>
      </c>
      <c r="J23" s="102">
        <f t="shared" si="10"/>
        <v>491289.09820659156</v>
      </c>
      <c r="K23" s="102">
        <f t="shared" si="11"/>
        <v>491289.09820659156</v>
      </c>
      <c r="L23" s="102">
        <f t="shared" si="12"/>
        <v>491289.09820659156</v>
      </c>
      <c r="M23" s="102">
        <f t="shared" si="13"/>
        <v>562334.2564463201</v>
      </c>
      <c r="N23" s="102">
        <f t="shared" si="14"/>
        <v>574238.09425297996</v>
      </c>
      <c r="O23" s="102">
        <f t="shared" si="15"/>
        <v>518347.88756713568</v>
      </c>
      <c r="P23" s="192"/>
      <c r="Q23" s="89">
        <f t="shared" si="0"/>
        <v>2028</v>
      </c>
      <c r="R23" s="102">
        <f t="shared" si="6"/>
        <v>53595.555463611468</v>
      </c>
      <c r="S23" s="102">
        <f t="shared" si="16"/>
        <v>82948.996046388289</v>
      </c>
      <c r="T23" s="102">
        <f>+SUMIF('Monthly Energy Data'!$D$128:$D$595,'Tier 3 Data'!$A23,'Monthly Energy Data'!Z$128:Z$595)</f>
        <v>82948.996046388289</v>
      </c>
      <c r="U23" s="195"/>
      <c r="V23" s="89">
        <f t="shared" si="1"/>
        <v>2028</v>
      </c>
      <c r="W23" s="102">
        <f t="shared" si="7"/>
        <v>52484.530601656545</v>
      </c>
      <c r="X23" s="196">
        <f t="shared" si="17"/>
        <v>71045.158239728553</v>
      </c>
      <c r="Y23" s="102">
        <f>+SUMIF('Monthly Energy Data'!$D$128:$D$595,'Tier 3 Data'!$A23,'Monthly Energy Data'!Y$128:Y$595)</f>
        <v>71045.158239728553</v>
      </c>
      <c r="Z23" s="197"/>
      <c r="AA23" s="89">
        <f t="shared" si="2"/>
        <v>2028</v>
      </c>
      <c r="AB23" s="102">
        <f t="shared" si="8"/>
        <v>48379.136172932667</v>
      </c>
      <c r="AC23" s="196">
        <f t="shared" si="19"/>
        <v>27058.789360544033</v>
      </c>
      <c r="AD23" s="102">
        <f>+SUMIF('Monthly Energy Data'!$D$128:$D$595,'Tier 3 Data'!$A23,'Monthly Energy Data'!AA$128:AA$595)</f>
        <v>27058.789360544033</v>
      </c>
      <c r="AF23" s="58">
        <v>77860.594529124806</v>
      </c>
      <c r="AG23" s="58">
        <v>76589.788736806368</v>
      </c>
      <c r="AH23" s="58">
        <v>43812.104896539626</v>
      </c>
    </row>
    <row r="24" spans="1:34" ht="15" x14ac:dyDescent="0.25">
      <c r="A24" s="101">
        <f>+'Annual Energy Data'!A29</f>
        <v>2029</v>
      </c>
      <c r="B24" s="102">
        <f>+SUMIF('Monthly Energy Data'!$D$128:$D$595,'Tier 3 Data'!$A24,'Monthly Energy Data'!S$128:S$595)</f>
        <v>487644.46278569341</v>
      </c>
      <c r="C24" s="102">
        <f>+SUMIF('Monthly Energy Data'!$D$128:$D$595,'Tier 3 Data'!$A24,'Monthly Energy Data'!T$128:T$595)</f>
        <v>487644.46278569341</v>
      </c>
      <c r="D24" s="102">
        <f>+SUMIF('Monthly Energy Data'!$D$128:$D$595,'Tier 3 Data'!$A24,'Monthly Energy Data'!U$128:U$595)</f>
        <v>487644.46278569341</v>
      </c>
      <c r="E24" s="104">
        <f t="shared" si="9"/>
        <v>0.1</v>
      </c>
      <c r="F24" s="102">
        <f>+SUMIF('Monthly Energy Data'!$D$128:$D$595,'Tier 3 Data'!$A24,'Monthly Energy Data'!AE$128:AE$595)</f>
        <v>579139.85812221037</v>
      </c>
      <c r="G24" s="102">
        <f>+SUMIF('Monthly Energy Data'!$D$128:$D$595,'Tier 3 Data'!$A24,'Monthly Energy Data'!AF$128:AF$595)</f>
        <v>588925.42292387283</v>
      </c>
      <c r="H24" s="102">
        <f>+SUMIF('Monthly Energy Data'!$D$128:$D$595,'Tier 3 Data'!$A24,'Monthly Energy Data'!AG$128:AG$595)</f>
        <v>525077.80000335269</v>
      </c>
      <c r="I24" s="102">
        <f>+SUMIF('Monthly Energy Data'!$D$128:$D$595,'Tier 3 Data'!$A24,'Monthly Energy Data'!AH$128:AH$595)</f>
        <v>557418.58564397157</v>
      </c>
      <c r="J24" s="102">
        <f t="shared" si="10"/>
        <v>487644.46278569341</v>
      </c>
      <c r="K24" s="102">
        <f t="shared" si="11"/>
        <v>487644.46278569341</v>
      </c>
      <c r="L24" s="102">
        <f t="shared" si="12"/>
        <v>487644.46278569341</v>
      </c>
      <c r="M24" s="102">
        <f t="shared" si="13"/>
        <v>579139.85812221037</v>
      </c>
      <c r="N24" s="102">
        <f t="shared" si="14"/>
        <v>588925.42292387283</v>
      </c>
      <c r="O24" s="102">
        <f t="shared" si="15"/>
        <v>525077.80000335269</v>
      </c>
      <c r="P24" s="192"/>
      <c r="Q24" s="89">
        <f t="shared" si="0"/>
        <v>2029</v>
      </c>
      <c r="R24" s="102">
        <f t="shared" si="6"/>
        <v>58892.542292387283</v>
      </c>
      <c r="S24" s="102">
        <f t="shared" si="16"/>
        <v>101280.96013817951</v>
      </c>
      <c r="T24" s="102">
        <f>+SUMIF('Monthly Energy Data'!$D$128:$D$595,'Tier 3 Data'!$A24,'Monthly Energy Data'!Z$128:Z$595)</f>
        <v>101280.96013817951</v>
      </c>
      <c r="U24" s="195"/>
      <c r="V24" s="89">
        <f t="shared" si="1"/>
        <v>2029</v>
      </c>
      <c r="W24" s="102">
        <f t="shared" si="7"/>
        <v>57913.985812221043</v>
      </c>
      <c r="X24" s="196">
        <f t="shared" si="17"/>
        <v>91495.395336517016</v>
      </c>
      <c r="Y24" s="102">
        <f>+SUMIF('Monthly Energy Data'!$D$128:$D$595,'Tier 3 Data'!$A24,'Monthly Energy Data'!Y$128:Y$595)</f>
        <v>91495.395336517016</v>
      </c>
      <c r="Z24" s="197"/>
      <c r="AA24" s="89">
        <f t="shared" si="2"/>
        <v>2029</v>
      </c>
      <c r="AB24" s="102">
        <f t="shared" si="8"/>
        <v>52507.780000335275</v>
      </c>
      <c r="AC24" s="196">
        <f t="shared" si="19"/>
        <v>37433.337217659297</v>
      </c>
      <c r="AD24" s="102">
        <f>+SUMIF('Monthly Energy Data'!$D$128:$D$595,'Tier 3 Data'!$A24,'Monthly Energy Data'!AA$128:AA$595)</f>
        <v>37433.337217659297</v>
      </c>
      <c r="AF24" s="58">
        <v>97144.414668250305</v>
      </c>
      <c r="AG24" s="58">
        <v>91005.763829283824</v>
      </c>
      <c r="AH24" s="58">
        <v>59108.013824825241</v>
      </c>
    </row>
    <row r="25" spans="1:34" ht="15" x14ac:dyDescent="0.25">
      <c r="A25" s="101">
        <f>+'Annual Energy Data'!A30</f>
        <v>2030</v>
      </c>
      <c r="B25" s="102">
        <f>+SUMIF('Monthly Energy Data'!$D$128:$D$595,'Tier 3 Data'!$A25,'Monthly Energy Data'!S$128:S$595)</f>
        <v>484083.58278629533</v>
      </c>
      <c r="C25" s="102">
        <f>+SUMIF('Monthly Energy Data'!$D$128:$D$595,'Tier 3 Data'!$A25,'Monthly Energy Data'!T$128:T$595)</f>
        <v>484083.58278629533</v>
      </c>
      <c r="D25" s="102">
        <f>+SUMIF('Monthly Energy Data'!$D$128:$D$595,'Tier 3 Data'!$A25,'Monthly Energy Data'!U$128:U$595)</f>
        <v>484083.58278629533</v>
      </c>
      <c r="E25" s="104">
        <f t="shared" si="9"/>
        <v>0.10666666666666667</v>
      </c>
      <c r="F25" s="102">
        <f>+SUMIF('Monthly Energy Data'!$D$128:$D$595,'Tier 3 Data'!$A25,'Monthly Energy Data'!AE$128:AE$595)</f>
        <v>597537.20891604316</v>
      </c>
      <c r="G25" s="102">
        <f>+SUMIF('Monthly Energy Data'!$D$128:$D$595,'Tier 3 Data'!$A25,'Monthly Energy Data'!AF$128:AF$595)</f>
        <v>604371.2686899699</v>
      </c>
      <c r="H25" s="102">
        <f>+SUMIF('Monthly Energy Data'!$D$128:$D$595,'Tier 3 Data'!$A25,'Monthly Energy Data'!AG$128:AG$595)</f>
        <v>533253.6763444189</v>
      </c>
      <c r="I25" s="102">
        <f>+SUMIF('Monthly Energy Data'!$D$128:$D$595,'Tier 3 Data'!$A25,'Monthly Energy Data'!AH$128:AH$595)</f>
        <v>569764.86950471113</v>
      </c>
      <c r="J25" s="102">
        <f t="shared" si="10"/>
        <v>484083.58278629533</v>
      </c>
      <c r="K25" s="102">
        <f t="shared" si="11"/>
        <v>484083.58278629533</v>
      </c>
      <c r="L25" s="102">
        <f t="shared" si="12"/>
        <v>484083.58278629533</v>
      </c>
      <c r="M25" s="102">
        <f t="shared" si="13"/>
        <v>597537.20891604316</v>
      </c>
      <c r="N25" s="102">
        <f t="shared" si="14"/>
        <v>604371.2686899699</v>
      </c>
      <c r="O25" s="102">
        <f t="shared" si="15"/>
        <v>533253.6763444189</v>
      </c>
      <c r="P25" s="192"/>
      <c r="Q25" s="89">
        <f t="shared" si="0"/>
        <v>2030</v>
      </c>
      <c r="R25" s="102">
        <f t="shared" si="6"/>
        <v>64466.268660263464</v>
      </c>
      <c r="S25" s="102">
        <f t="shared" si="16"/>
        <v>120287.68590367469</v>
      </c>
      <c r="T25" s="102">
        <f>+SUMIF('Monthly Energy Data'!$D$128:$D$595,'Tier 3 Data'!$A25,'Monthly Energy Data'!Z$128:Z$595)</f>
        <v>120287.68590367469</v>
      </c>
      <c r="U25" s="195"/>
      <c r="V25" s="89">
        <f t="shared" si="1"/>
        <v>2030</v>
      </c>
      <c r="W25" s="102">
        <f t="shared" si="7"/>
        <v>63737.30228437794</v>
      </c>
      <c r="X25" s="196">
        <f t="shared" si="17"/>
        <v>113453.62612974789</v>
      </c>
      <c r="Y25" s="102">
        <f>+SUMIF('Monthly Energy Data'!$D$128:$D$595,'Tier 3 Data'!$A25,'Monthly Energy Data'!Y$128:Y$595)</f>
        <v>113453.62612974789</v>
      </c>
      <c r="Z25" s="197"/>
      <c r="AA25" s="89">
        <f t="shared" si="2"/>
        <v>2030</v>
      </c>
      <c r="AB25" s="102">
        <f t="shared" si="8"/>
        <v>56880.392143404686</v>
      </c>
      <c r="AC25" s="196">
        <f t="shared" si="19"/>
        <v>49170.093558123648</v>
      </c>
      <c r="AD25" s="102">
        <f>+SUMIF('Monthly Energy Data'!$D$128:$D$595,'Tier 3 Data'!$A25,'Monthly Energy Data'!AA$128:AA$595)</f>
        <v>49170.093558123648</v>
      </c>
      <c r="AF25" s="58">
        <v>122417.65779677349</v>
      </c>
      <c r="AG25" s="58">
        <v>106397.21744244391</v>
      </c>
      <c r="AH25" s="58">
        <v>80887.373705046091</v>
      </c>
    </row>
    <row r="26" spans="1:34" ht="15" x14ac:dyDescent="0.25">
      <c r="A26" s="101">
        <f>+'Annual Energy Data'!A31</f>
        <v>2031</v>
      </c>
      <c r="B26" s="102">
        <f>+SUMIF('Monthly Energy Data'!$D$128:$D$595,'Tier 3 Data'!$A26,'Monthly Energy Data'!S$128:S$595)</f>
        <v>480525.83181471552</v>
      </c>
      <c r="C26" s="102">
        <f>+SUMIF('Monthly Energy Data'!$D$128:$D$595,'Tier 3 Data'!$A26,'Monthly Energy Data'!T$128:T$595)</f>
        <v>480525.83181471552</v>
      </c>
      <c r="D26" s="102">
        <f>+SUMIF('Monthly Energy Data'!$D$128:$D$595,'Tier 3 Data'!$A26,'Monthly Energy Data'!U$128:U$595)</f>
        <v>480525.83181471552</v>
      </c>
      <c r="E26" s="104">
        <f t="shared" si="9"/>
        <v>0.11333333333333334</v>
      </c>
      <c r="F26" s="102">
        <f>+SUMIF('Monthly Energy Data'!$D$128:$D$595,'Tier 3 Data'!$A26,'Monthly Energy Data'!AE$128:AE$595)</f>
        <v>616126.88040439831</v>
      </c>
      <c r="G26" s="102">
        <f>+SUMIF('Monthly Energy Data'!$D$128:$D$595,'Tier 3 Data'!$A26,'Monthly Energy Data'!AF$128:AF$595)</f>
        <v>620873.47339124524</v>
      </c>
      <c r="H26" s="102">
        <f>+SUMIF('Monthly Energy Data'!$D$128:$D$595,'Tier 3 Data'!$A26,'Monthly Energy Data'!AG$128:AG$595)</f>
        <v>542625.64259943168</v>
      </c>
      <c r="I26" s="102">
        <f>+SUMIF('Monthly Energy Data'!$D$128:$D$595,'Tier 3 Data'!$A26,'Monthly Energy Data'!AH$128:AH$595)</f>
        <v>583269.79633506981</v>
      </c>
      <c r="J26" s="102">
        <f t="shared" si="10"/>
        <v>480525.83181471552</v>
      </c>
      <c r="K26" s="102">
        <f t="shared" si="11"/>
        <v>480525.83181471552</v>
      </c>
      <c r="L26" s="102">
        <f t="shared" si="12"/>
        <v>480525.83181471552</v>
      </c>
      <c r="M26" s="102">
        <f t="shared" si="13"/>
        <v>616126.88040439831</v>
      </c>
      <c r="N26" s="102">
        <f t="shared" si="14"/>
        <v>620873.47339124524</v>
      </c>
      <c r="O26" s="102">
        <f t="shared" si="15"/>
        <v>542625.64259943168</v>
      </c>
      <c r="P26" s="192"/>
      <c r="Q26" s="89">
        <f t="shared" si="0"/>
        <v>2031</v>
      </c>
      <c r="R26" s="102">
        <f t="shared" si="6"/>
        <v>70365.660317674468</v>
      </c>
      <c r="S26" s="102">
        <f t="shared" si="16"/>
        <v>140347.64157652974</v>
      </c>
      <c r="T26" s="102">
        <f>+SUMIF('Monthly Energy Data'!$D$128:$D$595,'Tier 3 Data'!$A26,'Monthly Energy Data'!Z$128:Z$595)</f>
        <v>140347.64157652974</v>
      </c>
      <c r="U26" s="195"/>
      <c r="V26" s="89">
        <f t="shared" si="1"/>
        <v>2031</v>
      </c>
      <c r="W26" s="102">
        <f t="shared" si="7"/>
        <v>69827.713112498473</v>
      </c>
      <c r="X26" s="196">
        <f t="shared" si="17"/>
        <v>135601.04858968264</v>
      </c>
      <c r="Y26" s="102">
        <f>+SUMIF('Monthly Energy Data'!$D$128:$D$595,'Tier 3 Data'!$A26,'Monthly Energy Data'!Y$128:Y$595)</f>
        <v>135601.04858968264</v>
      </c>
      <c r="Z26" s="197"/>
      <c r="AA26" s="89">
        <f t="shared" si="2"/>
        <v>2031</v>
      </c>
      <c r="AB26" s="102">
        <f t="shared" si="8"/>
        <v>61497.572827935597</v>
      </c>
      <c r="AC26" s="196">
        <f t="shared" si="19"/>
        <v>62099.810784716065</v>
      </c>
      <c r="AD26" s="102">
        <f>+SUMIF('Monthly Energy Data'!$D$128:$D$595,'Tier 3 Data'!$A26,'Monthly Energy Data'!AA$128:AA$595)</f>
        <v>62099.810784716065</v>
      </c>
      <c r="AF26" s="58">
        <v>155775.48324992924</v>
      </c>
      <c r="AG26" s="58">
        <v>122760.13632800187</v>
      </c>
      <c r="AH26" s="58">
        <v>110661.21686078755</v>
      </c>
    </row>
    <row r="27" spans="1:34" ht="15" x14ac:dyDescent="0.25">
      <c r="A27" s="101">
        <f>+'Annual Energy Data'!A32</f>
        <v>2032</v>
      </c>
      <c r="B27" s="102">
        <f>+SUMIF('Monthly Energy Data'!$D$128:$D$595,'Tier 3 Data'!$A27,'Monthly Energy Data'!S$128:S$595)</f>
        <v>476974.32985587325</v>
      </c>
      <c r="C27" s="102">
        <f>+SUMIF('Monthly Energy Data'!$D$128:$D$595,'Tier 3 Data'!$A27,'Monthly Energy Data'!T$128:T$595)</f>
        <v>476974.32985587325</v>
      </c>
      <c r="D27" s="102">
        <f>+SUMIF('Monthly Energy Data'!$D$128:$D$595,'Tier 3 Data'!$A27,'Monthly Energy Data'!U$128:U$595)</f>
        <v>476974.32985587325</v>
      </c>
      <c r="E27" s="104">
        <f t="shared" si="9"/>
        <v>0.12000000000000001</v>
      </c>
      <c r="F27" s="102">
        <f>+SUMIF('Monthly Energy Data'!$D$128:$D$595,'Tier 3 Data'!$A27,'Monthly Energy Data'!AE$128:AE$595)</f>
        <v>634675.02635726519</v>
      </c>
      <c r="G27" s="102">
        <f>+SUMIF('Monthly Energy Data'!$D$128:$D$595,'Tier 3 Data'!$A27,'Monthly Energy Data'!AF$128:AF$595)</f>
        <v>638688.24670604919</v>
      </c>
      <c r="H27" s="102">
        <f>+SUMIF('Monthly Energy Data'!$D$128:$D$595,'Tier 3 Data'!$A27,'Monthly Energy Data'!AG$128:AG$595)</f>
        <v>553259.15443177917</v>
      </c>
      <c r="I27" s="102">
        <f>+SUMIF('Monthly Energy Data'!$D$128:$D$595,'Tier 3 Data'!$A27,'Monthly Energy Data'!AH$128:AH$595)</f>
        <v>597913.40558074613</v>
      </c>
      <c r="J27" s="102">
        <f t="shared" si="10"/>
        <v>476974.32985587325</v>
      </c>
      <c r="K27" s="102">
        <f t="shared" si="11"/>
        <v>476974.32985587325</v>
      </c>
      <c r="L27" s="102">
        <f t="shared" si="12"/>
        <v>476974.32985587325</v>
      </c>
      <c r="M27" s="102">
        <f t="shared" si="13"/>
        <v>634675.02635726519</v>
      </c>
      <c r="N27" s="102">
        <f t="shared" si="14"/>
        <v>638688.24670604919</v>
      </c>
      <c r="O27" s="102">
        <f t="shared" si="15"/>
        <v>553259.15443177917</v>
      </c>
      <c r="P27" s="192"/>
      <c r="Q27" s="89">
        <f t="shared" si="0"/>
        <v>2032</v>
      </c>
      <c r="R27" s="102">
        <f t="shared" si="6"/>
        <v>76642.589604725916</v>
      </c>
      <c r="S27" s="102">
        <f t="shared" si="16"/>
        <v>161713.91685017591</v>
      </c>
      <c r="T27" s="102">
        <f>+SUMIF('Monthly Energy Data'!$D$128:$D$595,'Tier 3 Data'!$A27,'Monthly Energy Data'!Z$128:Z$595)</f>
        <v>161713.91685017591</v>
      </c>
      <c r="U27" s="195"/>
      <c r="V27" s="89">
        <f t="shared" si="1"/>
        <v>2032</v>
      </c>
      <c r="W27" s="102">
        <f t="shared" si="7"/>
        <v>76161.003162871828</v>
      </c>
      <c r="X27" s="196">
        <f t="shared" si="17"/>
        <v>157700.696501392</v>
      </c>
      <c r="Y27" s="102">
        <f>+SUMIF('Monthly Energy Data'!$D$128:$D$595,'Tier 3 Data'!$A27,'Monthly Energy Data'!Y$128:Y$595)</f>
        <v>157700.696501392</v>
      </c>
      <c r="Z27" s="197"/>
      <c r="AA27" s="89">
        <f t="shared" si="2"/>
        <v>2032</v>
      </c>
      <c r="AB27" s="102">
        <f t="shared" si="8"/>
        <v>66391.098531813506</v>
      </c>
      <c r="AC27" s="196">
        <f t="shared" si="19"/>
        <v>76284.824575905834</v>
      </c>
      <c r="AD27" s="102">
        <f>+SUMIF('Monthly Energy Data'!$D$128:$D$595,'Tier 3 Data'!$A27,'Monthly Energy Data'!AA$128:AA$595)</f>
        <v>76284.824575905834</v>
      </c>
      <c r="AF27" s="58">
        <v>194325.78890993242</v>
      </c>
      <c r="AG27" s="58">
        <v>140313.87973190629</v>
      </c>
      <c r="AH27" s="58">
        <v>144962.76319370707</v>
      </c>
    </row>
    <row r="28" spans="1:34" ht="15" x14ac:dyDescent="0.25">
      <c r="A28" s="101">
        <f>+'Annual Energy Data'!A33</f>
        <v>2033</v>
      </c>
      <c r="B28" s="102">
        <f>+SUMIF('Monthly Energy Data'!$D$128:$D$595,'Tier 3 Data'!$A28,'Monthly Energy Data'!S$128:S$595)</f>
        <v>473472.31749783404</v>
      </c>
      <c r="C28" s="102">
        <f>+SUMIF('Monthly Energy Data'!$D$128:$D$595,'Tier 3 Data'!$A28,'Monthly Energy Data'!T$128:T$595)</f>
        <v>473472.31749783404</v>
      </c>
      <c r="D28" s="102">
        <f>+SUMIF('Monthly Energy Data'!$D$128:$D$595,'Tier 3 Data'!$A28,'Monthly Energy Data'!U$128:U$595)</f>
        <v>473472.31749783404</v>
      </c>
      <c r="E28" s="105">
        <f>+E27</f>
        <v>0.12000000000000001</v>
      </c>
      <c r="F28" s="102">
        <f>+SUMIF('Monthly Energy Data'!$D$128:$D$595,'Tier 3 Data'!$A28,'Monthly Energy Data'!AE$128:AE$595)</f>
        <v>652630.18622720416</v>
      </c>
      <c r="G28" s="102">
        <f>+SUMIF('Monthly Energy Data'!$D$128:$D$595,'Tier 3 Data'!$A28,'Monthly Energy Data'!AF$128:AF$595)</f>
        <v>657164.28327400493</v>
      </c>
      <c r="H28" s="102">
        <f>+SUMIF('Monthly Energy Data'!$D$128:$D$595,'Tier 3 Data'!$A28,'Monthly Energy Data'!AG$128:AG$595)</f>
        <v>565231.52055125812</v>
      </c>
      <c r="I28" s="102">
        <f>+SUMIF('Monthly Energy Data'!$D$128:$D$595,'Tier 3 Data'!$A28,'Monthly Energy Data'!AH$128:AH$595)</f>
        <v>613245.56971877045</v>
      </c>
      <c r="J28" s="102">
        <f t="shared" si="10"/>
        <v>473472.31749783404</v>
      </c>
      <c r="K28" s="102">
        <f t="shared" si="11"/>
        <v>473472.31749783404</v>
      </c>
      <c r="L28" s="102">
        <f t="shared" si="12"/>
        <v>473472.31749783404</v>
      </c>
      <c r="M28" s="102">
        <f t="shared" si="13"/>
        <v>652630.18622720416</v>
      </c>
      <c r="N28" s="102">
        <f t="shared" si="14"/>
        <v>657164.28327400493</v>
      </c>
      <c r="O28" s="102">
        <f t="shared" si="15"/>
        <v>565231.52055125812</v>
      </c>
      <c r="P28" s="192"/>
      <c r="Q28" s="89">
        <f t="shared" si="0"/>
        <v>2033</v>
      </c>
      <c r="R28" s="102">
        <f t="shared" si="6"/>
        <v>78859.713992880599</v>
      </c>
      <c r="S28" s="102">
        <f t="shared" si="16"/>
        <v>183691.96577617087</v>
      </c>
      <c r="T28" s="102">
        <f>+SUMIF('Monthly Energy Data'!$D$128:$D$595,'Tier 3 Data'!$A28,'Monthly Energy Data'!Z$128:Z$595)</f>
        <v>183691.96577617087</v>
      </c>
      <c r="U28" s="195"/>
      <c r="V28" s="89">
        <f t="shared" si="1"/>
        <v>2033</v>
      </c>
      <c r="W28" s="102">
        <f t="shared" si="7"/>
        <v>78315.622347264507</v>
      </c>
      <c r="X28" s="196">
        <f t="shared" si="17"/>
        <v>179157.86872937009</v>
      </c>
      <c r="Y28" s="102">
        <f>+SUMIF('Monthly Energy Data'!$D$128:$D$595,'Tier 3 Data'!$A28,'Monthly Energy Data'!Y$128:Y$595)</f>
        <v>179157.86872937009</v>
      </c>
      <c r="Z28" s="197"/>
      <c r="AA28" s="89">
        <f t="shared" si="2"/>
        <v>2033</v>
      </c>
      <c r="AB28" s="102">
        <f t="shared" si="8"/>
        <v>67827.78246615098</v>
      </c>
      <c r="AC28" s="196">
        <f t="shared" si="19"/>
        <v>91759.203053423989</v>
      </c>
      <c r="AD28" s="102">
        <f>+SUMIF('Monthly Energy Data'!$D$128:$D$595,'Tier 3 Data'!$A28,'Monthly Energy Data'!AA$128:AA$595)</f>
        <v>91759.203053423989</v>
      </c>
      <c r="AF28" s="58">
        <v>233272.35791373224</v>
      </c>
      <c r="AG28" s="58">
        <v>158498.49946289416</v>
      </c>
      <c r="AH28" s="58">
        <v>179588.88498420821</v>
      </c>
    </row>
    <row r="29" spans="1:34" ht="15" x14ac:dyDescent="0.25">
      <c r="A29" s="101">
        <f>+'Annual Energy Data'!A34</f>
        <v>2034</v>
      </c>
      <c r="B29" s="102">
        <f>+SUMIF('Monthly Energy Data'!$D$128:$D$595,'Tier 3 Data'!$A29,'Monthly Energy Data'!S$128:S$595)</f>
        <v>470011.61204933014</v>
      </c>
      <c r="C29" s="102">
        <f>+SUMIF('Monthly Energy Data'!$D$128:$D$595,'Tier 3 Data'!$A29,'Monthly Energy Data'!T$128:T$595)</f>
        <v>470011.61204933014</v>
      </c>
      <c r="D29" s="102">
        <f>+SUMIF('Monthly Energy Data'!$D$128:$D$595,'Tier 3 Data'!$A29,'Monthly Energy Data'!U$128:U$595)</f>
        <v>470011.61204933014</v>
      </c>
      <c r="E29" s="105">
        <f t="shared" ref="E29:E45" si="21">+E28</f>
        <v>0.12000000000000001</v>
      </c>
      <c r="F29" s="102">
        <f>+SUMIF('Monthly Energy Data'!$D$128:$D$595,'Tier 3 Data'!$A29,'Monthly Energy Data'!AE$128:AE$595)</f>
        <v>669823.98617135419</v>
      </c>
      <c r="G29" s="102">
        <f>+SUMIF('Monthly Energy Data'!$D$128:$D$595,'Tier 3 Data'!$A29,'Monthly Energy Data'!AF$128:AF$595)</f>
        <v>676250.96556458564</v>
      </c>
      <c r="H29" s="102">
        <f>+SUMIF('Monthly Energy Data'!$D$128:$D$595,'Tier 3 Data'!$A29,'Monthly Energy Data'!AG$128:AG$595)</f>
        <v>578445.00235747173</v>
      </c>
      <c r="I29" s="102">
        <f>+SUMIF('Monthly Energy Data'!$D$128:$D$595,'Tier 3 Data'!$A29,'Monthly Energy Data'!AH$128:AH$595)</f>
        <v>629247.53521484334</v>
      </c>
      <c r="J29" s="102">
        <f t="shared" si="10"/>
        <v>470011.61204933014</v>
      </c>
      <c r="K29" s="102">
        <f t="shared" si="11"/>
        <v>470011.61204933014</v>
      </c>
      <c r="L29" s="102">
        <f t="shared" si="12"/>
        <v>470011.61204933014</v>
      </c>
      <c r="M29" s="102">
        <f t="shared" si="13"/>
        <v>669823.98617135419</v>
      </c>
      <c r="N29" s="102">
        <f t="shared" si="14"/>
        <v>676250.96556458564</v>
      </c>
      <c r="O29" s="102">
        <f t="shared" si="15"/>
        <v>578445.00235747173</v>
      </c>
      <c r="P29" s="192"/>
      <c r="Q29" s="89">
        <f t="shared" si="0"/>
        <v>2034</v>
      </c>
      <c r="R29" s="102">
        <f t="shared" si="6"/>
        <v>81150.115867750283</v>
      </c>
      <c r="S29" s="102">
        <f t="shared" si="16"/>
        <v>206239.3535152557</v>
      </c>
      <c r="T29" s="102">
        <f>+SUMIF('Monthly Energy Data'!$D$128:$D$595,'Tier 3 Data'!$A29,'Monthly Energy Data'!Z$128:Z$595)</f>
        <v>206239.3535152557</v>
      </c>
      <c r="U29" s="195"/>
      <c r="V29" s="89">
        <f t="shared" si="1"/>
        <v>2034</v>
      </c>
      <c r="W29" s="102">
        <f t="shared" si="7"/>
        <v>80378.878340562514</v>
      </c>
      <c r="X29" s="196">
        <f t="shared" si="17"/>
        <v>199812.37412202396</v>
      </c>
      <c r="Y29" s="102">
        <f>+SUMIF('Monthly Energy Data'!$D$128:$D$595,'Tier 3 Data'!$A29,'Monthly Energy Data'!Y$128:Y$595)</f>
        <v>199812.37412202396</v>
      </c>
      <c r="Z29" s="197"/>
      <c r="AA29" s="89">
        <f t="shared" si="2"/>
        <v>2034</v>
      </c>
      <c r="AB29" s="102">
        <f t="shared" si="8"/>
        <v>69413.400282896619</v>
      </c>
      <c r="AC29" s="196">
        <f t="shared" si="19"/>
        <v>108433.39030814158</v>
      </c>
      <c r="AD29" s="102">
        <f>+SUMIF('Monthly Energy Data'!$D$128:$D$595,'Tier 3 Data'!$A29,'Monthly Energy Data'!AA$128:AA$595)</f>
        <v>108433.39030814158</v>
      </c>
      <c r="AF29" s="58">
        <v>271858.2605251593</v>
      </c>
      <c r="AG29" s="58">
        <v>177253.19551063425</v>
      </c>
      <c r="AH29" s="58">
        <v>213819.69133220657</v>
      </c>
    </row>
    <row r="30" spans="1:34" ht="15" x14ac:dyDescent="0.25">
      <c r="A30" s="101">
        <f>+'Annual Energy Data'!A35</f>
        <v>2035</v>
      </c>
      <c r="B30" s="102">
        <f>+SUMIF('Monthly Energy Data'!$D$128:$D$595,'Tier 3 Data'!$A30,'Monthly Energy Data'!S$128:S$595)</f>
        <v>466555.50545202213</v>
      </c>
      <c r="C30" s="102">
        <f>+SUMIF('Monthly Energy Data'!$D$128:$D$595,'Tier 3 Data'!$A30,'Monthly Energy Data'!T$128:T$595)</f>
        <v>466555.50545202213</v>
      </c>
      <c r="D30" s="102">
        <f>+SUMIF('Monthly Energy Data'!$D$128:$D$595,'Tier 3 Data'!$A30,'Monthly Energy Data'!U$128:U$595)</f>
        <v>466555.50545202213</v>
      </c>
      <c r="E30" s="105">
        <f t="shared" si="21"/>
        <v>0.12000000000000001</v>
      </c>
      <c r="F30" s="102">
        <f>+SUMIF('Monthly Energy Data'!$D$128:$D$595,'Tier 3 Data'!$A30,'Monthly Energy Data'!AE$128:AE$595)</f>
        <v>684634.91834434343</v>
      </c>
      <c r="G30" s="102">
        <f>+SUMIF('Monthly Energy Data'!$D$128:$D$595,'Tier 3 Data'!$A30,'Monthly Energy Data'!AF$128:AF$595)</f>
        <v>695043.4194148333</v>
      </c>
      <c r="H30" s="102">
        <f>+SUMIF('Monthly Energy Data'!$D$128:$D$595,'Tier 3 Data'!$A30,'Monthly Energy Data'!AG$128:AG$595)</f>
        <v>592612.44988284016</v>
      </c>
      <c r="I30" s="102">
        <f>+SUMIF('Monthly Energy Data'!$D$128:$D$595,'Tier 3 Data'!$A30,'Monthly Energy Data'!AH$128:AH$595)</f>
        <v>645238.93182251533</v>
      </c>
      <c r="J30" s="102">
        <f t="shared" si="10"/>
        <v>466555.50545202213</v>
      </c>
      <c r="K30" s="102">
        <f t="shared" si="11"/>
        <v>466555.50545202213</v>
      </c>
      <c r="L30" s="102">
        <f t="shared" si="12"/>
        <v>466555.50545202213</v>
      </c>
      <c r="M30" s="102">
        <f t="shared" si="13"/>
        <v>684634.91834434343</v>
      </c>
      <c r="N30" s="102">
        <f t="shared" si="14"/>
        <v>695043.4194148333</v>
      </c>
      <c r="O30" s="102">
        <f t="shared" si="15"/>
        <v>592612.44988284016</v>
      </c>
      <c r="P30" s="192"/>
      <c r="Q30" s="89">
        <f t="shared" si="0"/>
        <v>2035</v>
      </c>
      <c r="R30" s="102">
        <f t="shared" si="6"/>
        <v>83405.210329780006</v>
      </c>
      <c r="S30" s="102">
        <f t="shared" si="16"/>
        <v>228487.91396281114</v>
      </c>
      <c r="T30" s="102">
        <f>+SUMIF('Monthly Energy Data'!$D$128:$D$595,'Tier 3 Data'!$A30,'Monthly Energy Data'!Z$128:Z$595)</f>
        <v>228487.91396281114</v>
      </c>
      <c r="U30" s="195"/>
      <c r="V30" s="89">
        <f t="shared" si="1"/>
        <v>2035</v>
      </c>
      <c r="W30" s="102">
        <f t="shared" si="7"/>
        <v>82156.190201321224</v>
      </c>
      <c r="X30" s="196">
        <f t="shared" si="17"/>
        <v>218079.41289232124</v>
      </c>
      <c r="Y30" s="102">
        <f>+SUMIF('Monthly Energy Data'!$D$128:$D$595,'Tier 3 Data'!$A30,'Monthly Energy Data'!Y$128:Y$595)</f>
        <v>218079.41289232124</v>
      </c>
      <c r="Z30" s="197"/>
      <c r="AA30" s="89">
        <f t="shared" si="2"/>
        <v>2035</v>
      </c>
      <c r="AB30" s="102">
        <f t="shared" si="8"/>
        <v>71113.493985940819</v>
      </c>
      <c r="AC30" s="196">
        <f t="shared" si="19"/>
        <v>126056.944430818</v>
      </c>
      <c r="AD30" s="102">
        <f>+SUMIF('Monthly Energy Data'!$D$128:$D$595,'Tier 3 Data'!$A30,'Monthly Energy Data'!AA$128:AA$595)</f>
        <v>126056.944430818</v>
      </c>
      <c r="AF30" s="58">
        <v>308527.73671862524</v>
      </c>
      <c r="AG30" s="58">
        <v>196064.39677137215</v>
      </c>
      <c r="AH30" s="58">
        <v>246628.50836007885</v>
      </c>
    </row>
    <row r="31" spans="1:34" ht="15" x14ac:dyDescent="0.25">
      <c r="A31" s="101">
        <f>+'Annual Energy Data'!A36</f>
        <v>2036</v>
      </c>
      <c r="B31" s="102">
        <f>+SUMIF('Monthly Energy Data'!$D$128:$D$595,'Tier 3 Data'!$A31,'Monthly Energy Data'!S$128:S$595)</f>
        <v>463165.5637878066</v>
      </c>
      <c r="C31" s="102">
        <f>+SUMIF('Monthly Energy Data'!$D$128:$D$595,'Tier 3 Data'!$A31,'Monthly Energy Data'!T$128:T$595)</f>
        <v>463165.5637878066</v>
      </c>
      <c r="D31" s="102">
        <f>+SUMIF('Monthly Energy Data'!$D$128:$D$595,'Tier 3 Data'!$A31,'Monthly Energy Data'!U$128:U$595)</f>
        <v>463165.5637878066</v>
      </c>
      <c r="E31" s="105">
        <f t="shared" si="21"/>
        <v>0.12000000000000001</v>
      </c>
      <c r="F31" s="102">
        <f>+SUMIF('Monthly Energy Data'!$D$128:$D$595,'Tier 3 Data'!$A31,'Monthly Energy Data'!AE$128:AE$595)</f>
        <v>696152.57991366449</v>
      </c>
      <c r="G31" s="102">
        <f>+SUMIF('Monthly Energy Data'!$D$128:$D$595,'Tier 3 Data'!$A31,'Monthly Energy Data'!AF$128:AF$595)</f>
        <v>713975.43825101119</v>
      </c>
      <c r="H31" s="102">
        <f>+SUMIF('Monthly Energy Data'!$D$128:$D$595,'Tier 3 Data'!$A31,'Monthly Energy Data'!AG$128:AG$595)</f>
        <v>606943.02648805513</v>
      </c>
      <c r="I31" s="102">
        <f>+SUMIF('Monthly Energy Data'!$D$128:$D$595,'Tier 3 Data'!$A31,'Monthly Energy Data'!AH$128:AH$595)</f>
        <v>661055.20211911167</v>
      </c>
      <c r="J31" s="102">
        <f t="shared" si="10"/>
        <v>463165.5637878066</v>
      </c>
      <c r="K31" s="102">
        <f t="shared" si="11"/>
        <v>463165.5637878066</v>
      </c>
      <c r="L31" s="102">
        <f t="shared" si="12"/>
        <v>463165.5637878066</v>
      </c>
      <c r="M31" s="102">
        <f t="shared" si="13"/>
        <v>696152.57991366449</v>
      </c>
      <c r="N31" s="102">
        <f t="shared" si="14"/>
        <v>713975.43825101119</v>
      </c>
      <c r="O31" s="102">
        <f t="shared" si="15"/>
        <v>606943.02648805513</v>
      </c>
      <c r="P31" s="192"/>
      <c r="Q31" s="89">
        <f t="shared" si="0"/>
        <v>2036</v>
      </c>
      <c r="R31" s="102">
        <f t="shared" si="6"/>
        <v>85677.052590121355</v>
      </c>
      <c r="S31" s="102">
        <f t="shared" si="16"/>
        <v>250809.87446320464</v>
      </c>
      <c r="T31" s="102">
        <f>+SUMIF('Monthly Energy Data'!$D$128:$D$595,'Tier 3 Data'!$A31,'Monthly Energy Data'!Z$128:Z$595)</f>
        <v>250809.87446320464</v>
      </c>
      <c r="U31" s="195"/>
      <c r="V31" s="89">
        <f t="shared" si="1"/>
        <v>2036</v>
      </c>
      <c r="W31" s="102">
        <f t="shared" si="7"/>
        <v>83538.309589639743</v>
      </c>
      <c r="X31" s="196">
        <f t="shared" si="17"/>
        <v>232987.01612585809</v>
      </c>
      <c r="Y31" s="102">
        <f>+SUMIF('Monthly Energy Data'!$D$128:$D$595,'Tier 3 Data'!$A31,'Monthly Energy Data'!Y$128:Y$595)</f>
        <v>232987.01612585809</v>
      </c>
      <c r="Z31" s="197"/>
      <c r="AA31" s="89">
        <f t="shared" si="2"/>
        <v>2036</v>
      </c>
      <c r="AB31" s="102">
        <f t="shared" si="8"/>
        <v>72833.163178566625</v>
      </c>
      <c r="AC31" s="196">
        <f t="shared" si="19"/>
        <v>143777.4627002487</v>
      </c>
      <c r="AD31" s="102">
        <f>+SUMIF('Monthly Energy Data'!$D$128:$D$595,'Tier 3 Data'!$A31,'Monthly Energy Data'!AA$128:AA$595)</f>
        <v>143777.4627002487</v>
      </c>
      <c r="AF31" s="58">
        <v>342176.74467882339</v>
      </c>
      <c r="AG31" s="58">
        <v>214809.37293487575</v>
      </c>
      <c r="AH31" s="58">
        <v>276484.26776499738</v>
      </c>
    </row>
    <row r="32" spans="1:34" ht="15" x14ac:dyDescent="0.25">
      <c r="A32" s="101">
        <f>+'Annual Energy Data'!A37</f>
        <v>2037</v>
      </c>
      <c r="B32" s="102">
        <f>+SUMIF('Monthly Energy Data'!$D$128:$D$595,'Tier 3 Data'!$A32,'Monthly Energy Data'!S$128:S$595)</f>
        <v>459775.08900650206</v>
      </c>
      <c r="C32" s="102">
        <f>+SUMIF('Monthly Energy Data'!$D$128:$D$595,'Tier 3 Data'!$A32,'Monthly Energy Data'!T$128:T$595)</f>
        <v>459775.08900650206</v>
      </c>
      <c r="D32" s="102">
        <f>+SUMIF('Monthly Energy Data'!$D$128:$D$595,'Tier 3 Data'!$A32,'Monthly Energy Data'!U$128:U$595)</f>
        <v>459775.08900650206</v>
      </c>
      <c r="E32" s="105">
        <f t="shared" si="21"/>
        <v>0.12000000000000001</v>
      </c>
      <c r="F32" s="102">
        <f>+SUMIF('Monthly Energy Data'!$D$128:$D$595,'Tier 3 Data'!$A32,'Monthly Energy Data'!AE$128:AE$595)</f>
        <v>704881.09830864915</v>
      </c>
      <c r="G32" s="102">
        <f>+SUMIF('Monthly Energy Data'!$D$128:$D$595,'Tier 3 Data'!$A32,'Monthly Energy Data'!AF$128:AF$595)</f>
        <v>733141.30112139042</v>
      </c>
      <c r="H32" s="102">
        <f>+SUMIF('Monthly Energy Data'!$D$128:$D$595,'Tier 3 Data'!$A32,'Monthly Energy Data'!AG$128:AG$595)</f>
        <v>620684.50300369866</v>
      </c>
      <c r="I32" s="102">
        <f>+SUMIF('Monthly Energy Data'!$D$128:$D$595,'Tier 3 Data'!$A32,'Monthly Energy Data'!AH$128:AH$595)</f>
        <v>676969.75413824874</v>
      </c>
      <c r="J32" s="102">
        <f t="shared" si="10"/>
        <v>459775.08900650206</v>
      </c>
      <c r="K32" s="102">
        <f t="shared" si="11"/>
        <v>459775.08900650206</v>
      </c>
      <c r="L32" s="102">
        <f t="shared" si="12"/>
        <v>459775.08900650206</v>
      </c>
      <c r="M32" s="102">
        <f t="shared" si="13"/>
        <v>704881.09830864915</v>
      </c>
      <c r="N32" s="102">
        <f t="shared" si="14"/>
        <v>733141.30112139042</v>
      </c>
      <c r="O32" s="102">
        <f t="shared" si="15"/>
        <v>620684.50300369866</v>
      </c>
      <c r="P32" s="192"/>
      <c r="Q32" s="89">
        <f t="shared" si="0"/>
        <v>2037</v>
      </c>
      <c r="R32" s="102">
        <f t="shared" si="6"/>
        <v>87976.956134566863</v>
      </c>
      <c r="S32" s="102">
        <f t="shared" si="16"/>
        <v>273366.21211488836</v>
      </c>
      <c r="T32" s="102">
        <f>+SUMIF('Monthly Energy Data'!$D$128:$D$595,'Tier 3 Data'!$A32,'Monthly Energy Data'!Z$128:Z$595)</f>
        <v>273366.21211488836</v>
      </c>
      <c r="U32" s="195"/>
      <c r="V32" s="89">
        <f t="shared" si="1"/>
        <v>2037</v>
      </c>
      <c r="W32" s="102">
        <f t="shared" si="7"/>
        <v>84585.731797037908</v>
      </c>
      <c r="X32" s="196">
        <f t="shared" si="17"/>
        <v>245106.00930214711</v>
      </c>
      <c r="Y32" s="102">
        <f>+SUMIF('Monthly Energy Data'!$D$128:$D$595,'Tier 3 Data'!$A32,'Monthly Energy Data'!Y$128:Y$595)</f>
        <v>245106.00930214711</v>
      </c>
      <c r="Z32" s="197"/>
      <c r="AA32" s="89">
        <f t="shared" si="2"/>
        <v>2037</v>
      </c>
      <c r="AB32" s="102">
        <f t="shared" si="8"/>
        <v>74482.140360443838</v>
      </c>
      <c r="AC32" s="196">
        <f t="shared" si="19"/>
        <v>160909.41399719671</v>
      </c>
      <c r="AD32" s="102">
        <f>+SUMIF('Monthly Energy Data'!$D$128:$D$595,'Tier 3 Data'!$A32,'Monthly Energy Data'!AA$128:AA$595)</f>
        <v>160909.41399719671</v>
      </c>
      <c r="AF32" s="58">
        <v>371840.23903284752</v>
      </c>
      <c r="AG32" s="58">
        <v>233580.31791292215</v>
      </c>
      <c r="AH32" s="58">
        <v>301837.05353209766</v>
      </c>
    </row>
    <row r="33" spans="1:34" ht="15" x14ac:dyDescent="0.25">
      <c r="A33" s="101">
        <f>+'Annual Energy Data'!A38</f>
        <v>2038</v>
      </c>
      <c r="B33" s="102">
        <f>+SUMIF('Monthly Energy Data'!$D$128:$D$595,'Tier 3 Data'!$A33,'Monthly Energy Data'!S$128:S$595)</f>
        <v>456392.75929748471</v>
      </c>
      <c r="C33" s="102">
        <f>+SUMIF('Monthly Energy Data'!$D$128:$D$595,'Tier 3 Data'!$A33,'Monthly Energy Data'!T$128:T$595)</f>
        <v>456392.75929748471</v>
      </c>
      <c r="D33" s="102">
        <f>+SUMIF('Monthly Energy Data'!$D$128:$D$595,'Tier 3 Data'!$A33,'Monthly Energy Data'!U$128:U$595)</f>
        <v>456392.75929748471</v>
      </c>
      <c r="E33" s="105">
        <f t="shared" si="21"/>
        <v>0.12000000000000001</v>
      </c>
      <c r="F33" s="102">
        <f>+SUMIF('Monthly Energy Data'!$D$128:$D$595,'Tier 3 Data'!$A33,'Monthly Energy Data'!AE$128:AE$595)</f>
        <v>711330.67528154957</v>
      </c>
      <c r="G33" s="102">
        <f>+SUMIF('Monthly Energy Data'!$D$128:$D$595,'Tier 3 Data'!$A33,'Monthly Energy Data'!AF$128:AF$595)</f>
        <v>751528.19713254215</v>
      </c>
      <c r="H33" s="102">
        <f>+SUMIF('Monthly Energy Data'!$D$128:$D$595,'Tier 3 Data'!$A33,'Monthly Energy Data'!AG$128:AG$595)</f>
        <v>633249.93557360559</v>
      </c>
      <c r="I33" s="102">
        <f>+SUMIF('Monthly Energy Data'!$D$128:$D$595,'Tier 3 Data'!$A33,'Monthly Energy Data'!AH$128:AH$595)</f>
        <v>692389.06635307381</v>
      </c>
      <c r="J33" s="102">
        <f t="shared" si="10"/>
        <v>456392.75929748471</v>
      </c>
      <c r="K33" s="102">
        <f t="shared" si="11"/>
        <v>456392.75929748471</v>
      </c>
      <c r="L33" s="102">
        <f t="shared" si="12"/>
        <v>456392.75929748471</v>
      </c>
      <c r="M33" s="102">
        <f t="shared" si="13"/>
        <v>711330.67528154957</v>
      </c>
      <c r="N33" s="102">
        <f t="shared" si="14"/>
        <v>751528.19713254215</v>
      </c>
      <c r="O33" s="102">
        <f t="shared" si="15"/>
        <v>633249.93557360559</v>
      </c>
      <c r="P33" s="192"/>
      <c r="Q33" s="89">
        <f t="shared" si="0"/>
        <v>2038</v>
      </c>
      <c r="R33" s="102">
        <f t="shared" si="6"/>
        <v>90183.383655905069</v>
      </c>
      <c r="S33" s="102">
        <f t="shared" si="16"/>
        <v>295135.43783505721</v>
      </c>
      <c r="T33" s="102">
        <f>+SUMIF('Monthly Energy Data'!$D$128:$D$595,'Tier 3 Data'!$A33,'Monthly Energy Data'!Z$128:Z$595)</f>
        <v>295135.43783505721</v>
      </c>
      <c r="U33" s="195"/>
      <c r="V33" s="89">
        <f t="shared" si="1"/>
        <v>2038</v>
      </c>
      <c r="W33" s="102">
        <f t="shared" si="7"/>
        <v>85359.68103378595</v>
      </c>
      <c r="X33" s="196">
        <f t="shared" si="17"/>
        <v>254937.91598406478</v>
      </c>
      <c r="Y33" s="102">
        <f>+SUMIF('Monthly Energy Data'!$D$128:$D$595,'Tier 3 Data'!$A33,'Monthly Energy Data'!Y$128:Y$595)</f>
        <v>254937.91598406478</v>
      </c>
      <c r="Z33" s="197"/>
      <c r="AA33" s="89">
        <f t="shared" si="2"/>
        <v>2038</v>
      </c>
      <c r="AB33" s="102">
        <f t="shared" si="8"/>
        <v>75989.992268832677</v>
      </c>
      <c r="AC33" s="196">
        <f t="shared" si="19"/>
        <v>176857.17627612088</v>
      </c>
      <c r="AD33" s="102">
        <f>+SUMIF('Monthly Energy Data'!$D$128:$D$595,'Tier 3 Data'!$A33,'Monthly Energy Data'!AA$128:AA$595)</f>
        <v>176857.17627612088</v>
      </c>
      <c r="AF33" s="58">
        <v>394677.93532371765</v>
      </c>
      <c r="AG33" s="58">
        <v>251674.05833838246</v>
      </c>
      <c r="AH33" s="58">
        <v>320505.24336900155</v>
      </c>
    </row>
    <row r="34" spans="1:34" ht="15" x14ac:dyDescent="0.25">
      <c r="A34" s="101">
        <f>+'Annual Energy Data'!A39</f>
        <v>2039</v>
      </c>
      <c r="B34" s="102">
        <f>+SUMIF('Monthly Energy Data'!$D$128:$D$595,'Tier 3 Data'!$A34,'Monthly Energy Data'!S$128:S$595)</f>
        <v>453022.66593123681</v>
      </c>
      <c r="C34" s="102">
        <f>+SUMIF('Monthly Energy Data'!$D$128:$D$595,'Tier 3 Data'!$A34,'Monthly Energy Data'!T$128:T$595)</f>
        <v>453022.66593123681</v>
      </c>
      <c r="D34" s="102">
        <f>+SUMIF('Monthly Energy Data'!$D$128:$D$595,'Tier 3 Data'!$A34,'Monthly Energy Data'!U$128:U$595)</f>
        <v>453022.66593123681</v>
      </c>
      <c r="E34" s="105">
        <f t="shared" si="21"/>
        <v>0.12000000000000001</v>
      </c>
      <c r="F34" s="102">
        <f>+SUMIF('Monthly Energy Data'!$D$128:$D$595,'Tier 3 Data'!$A34,'Monthly Energy Data'!AE$128:AE$595)</f>
        <v>716120.86595409201</v>
      </c>
      <c r="G34" s="102">
        <f>+SUMIF('Monthly Energy Data'!$D$128:$D$595,'Tier 3 Data'!$A34,'Monthly Energy Data'!AF$128:AF$595)</f>
        <v>768552.28858287516</v>
      </c>
      <c r="H34" s="102">
        <f>+SUMIF('Monthly Energy Data'!$D$128:$D$595,'Tier 3 Data'!$A34,'Monthly Energy Data'!AG$128:AG$595)</f>
        <v>644213.49095807108</v>
      </c>
      <c r="I34" s="102">
        <f>+SUMIF('Monthly Energy Data'!$D$128:$D$595,'Tier 3 Data'!$A34,'Monthly Energy Data'!AH$128:AH$595)</f>
        <v>706382.88977047312</v>
      </c>
      <c r="J34" s="102">
        <f t="shared" ref="J34:J38" si="22">+(B34)*(1-$A$2)</f>
        <v>453022.66593123681</v>
      </c>
      <c r="K34" s="102">
        <f t="shared" ref="K34:K38" si="23">+(C34)*(1-$A$2)</f>
        <v>453022.66593123681</v>
      </c>
      <c r="L34" s="102">
        <f t="shared" ref="L34:L38" si="24">+(D34)*(1-$A$2)</f>
        <v>453022.66593123681</v>
      </c>
      <c r="M34" s="102">
        <f t="shared" ref="M34:M38" si="25">+(F34)*(1-$A$2)</f>
        <v>716120.86595409201</v>
      </c>
      <c r="N34" s="102">
        <f t="shared" ref="N34:N38" si="26">+(G34)*(1-$A$2)</f>
        <v>768552.28858287516</v>
      </c>
      <c r="O34" s="102">
        <f t="shared" ref="O34:O38" si="27">+(H34)*(1-$A$2)</f>
        <v>644213.49095807108</v>
      </c>
      <c r="P34" s="192"/>
      <c r="Q34" s="89">
        <f t="shared" si="0"/>
        <v>2039</v>
      </c>
      <c r="R34" s="102">
        <f t="shared" ref="R34:R38" si="28">+N34*$E34</f>
        <v>92226.274629945023</v>
      </c>
      <c r="S34" s="102">
        <f t="shared" ref="S34:S38" si="29">+T34*(1-$A$2)</f>
        <v>315529.62265163829</v>
      </c>
      <c r="T34" s="102">
        <f>+SUMIF('Monthly Energy Data'!$D$128:$D$595,'Tier 3 Data'!$A34,'Monthly Energy Data'!Z$128:Z$595)</f>
        <v>315529.62265163829</v>
      </c>
      <c r="U34" s="195"/>
      <c r="V34" s="89">
        <f t="shared" si="1"/>
        <v>2039</v>
      </c>
      <c r="W34" s="102">
        <f t="shared" ref="W34:W38" si="30">+M34*$E34</f>
        <v>85934.503914491041</v>
      </c>
      <c r="X34" s="196">
        <f t="shared" ref="X34:X38" si="31">+Y34*(1-$A$2)</f>
        <v>263098.20002285502</v>
      </c>
      <c r="Y34" s="102">
        <f>+SUMIF('Monthly Energy Data'!$D$128:$D$595,'Tier 3 Data'!$A34,'Monthly Energy Data'!Y$128:Y$595)</f>
        <v>263098.20002285502</v>
      </c>
      <c r="Z34" s="197"/>
      <c r="AA34" s="89">
        <f t="shared" si="2"/>
        <v>2039</v>
      </c>
      <c r="AB34" s="102">
        <f t="shared" ref="AB34:AB38" si="32">+O34*$E34</f>
        <v>77305.618914968538</v>
      </c>
      <c r="AC34" s="196">
        <f t="shared" ref="AC34:AC38" si="33">+AD34*(1-$A$2)</f>
        <v>191190.82502683406</v>
      </c>
      <c r="AD34" s="102">
        <f>+SUMIF('Monthly Energy Data'!$D$128:$D$595,'Tier 3 Data'!$A34,'Monthly Energy Data'!AA$128:AA$595)</f>
        <v>191190.82502683406</v>
      </c>
      <c r="AF34" s="58">
        <v>408525.23568359495</v>
      </c>
      <c r="AG34" s="58">
        <v>268706.49025240331</v>
      </c>
      <c r="AH34" s="58">
        <v>330665.44101721753</v>
      </c>
    </row>
    <row r="35" spans="1:34" ht="15" x14ac:dyDescent="0.25">
      <c r="A35" s="101">
        <f>+'Annual Energy Data'!A40</f>
        <v>2040</v>
      </c>
      <c r="B35" s="102">
        <f>+SUMIF('Monthly Energy Data'!$D$128:$D$595,'Tier 3 Data'!$A35,'Monthly Energy Data'!S$128:S$595)</f>
        <v>449648.07570648537</v>
      </c>
      <c r="C35" s="102">
        <f>+SUMIF('Monthly Energy Data'!$D$128:$D$595,'Tier 3 Data'!$A35,'Monthly Energy Data'!T$128:T$595)</f>
        <v>449648.07570648537</v>
      </c>
      <c r="D35" s="102">
        <f>+SUMIF('Monthly Energy Data'!$D$128:$D$595,'Tier 3 Data'!$A35,'Monthly Energy Data'!U$128:U$595)</f>
        <v>449648.07570648537</v>
      </c>
      <c r="E35" s="105">
        <f t="shared" si="21"/>
        <v>0.12000000000000001</v>
      </c>
      <c r="F35" s="102">
        <f>+SUMIF('Monthly Energy Data'!$D$128:$D$595,'Tier 3 Data'!$A35,'Monthly Energy Data'!AE$128:AE$595)</f>
        <v>719620.63688443974</v>
      </c>
      <c r="G35" s="102">
        <f>+SUMIF('Monthly Energy Data'!$D$128:$D$595,'Tier 3 Data'!$A35,'Monthly Energy Data'!AF$128:AF$595)</f>
        <v>782587.65066748532</v>
      </c>
      <c r="H35" s="102">
        <f>+SUMIF('Monthly Energy Data'!$D$128:$D$595,'Tier 3 Data'!$A35,'Monthly Energy Data'!AG$128:AG$595)</f>
        <v>653337.7248376013</v>
      </c>
      <c r="I35" s="102">
        <f>+SUMIF('Monthly Energy Data'!$D$128:$D$595,'Tier 3 Data'!$A35,'Monthly Energy Data'!AH$128:AH$595)</f>
        <v>717962.68775254325</v>
      </c>
      <c r="J35" s="102">
        <f t="shared" si="22"/>
        <v>449648.07570648537</v>
      </c>
      <c r="K35" s="102">
        <f t="shared" si="23"/>
        <v>449648.07570648537</v>
      </c>
      <c r="L35" s="102">
        <f t="shared" si="24"/>
        <v>449648.07570648537</v>
      </c>
      <c r="M35" s="102">
        <f t="shared" si="25"/>
        <v>719620.63688443974</v>
      </c>
      <c r="N35" s="102">
        <f t="shared" si="26"/>
        <v>782587.65066748532</v>
      </c>
      <c r="O35" s="102">
        <f t="shared" si="27"/>
        <v>653337.7248376013</v>
      </c>
      <c r="P35" s="192"/>
      <c r="Q35" s="89">
        <f t="shared" si="0"/>
        <v>2040</v>
      </c>
      <c r="R35" s="102">
        <f t="shared" si="28"/>
        <v>93910.518080098249</v>
      </c>
      <c r="S35" s="102">
        <f t="shared" si="29"/>
        <v>332939.57496099995</v>
      </c>
      <c r="T35" s="102">
        <f>+SUMIF('Monthly Energy Data'!$D$128:$D$595,'Tier 3 Data'!$A35,'Monthly Energy Data'!Z$128:Z$595)</f>
        <v>332939.57496099995</v>
      </c>
      <c r="U35" s="195"/>
      <c r="V35" s="89">
        <f t="shared" si="1"/>
        <v>2040</v>
      </c>
      <c r="W35" s="102">
        <f t="shared" si="30"/>
        <v>86354.47642613278</v>
      </c>
      <c r="X35" s="196">
        <f t="shared" si="31"/>
        <v>269972.56117795431</v>
      </c>
      <c r="Y35" s="102">
        <f>+SUMIF('Monthly Energy Data'!$D$128:$D$595,'Tier 3 Data'!$A35,'Monthly Energy Data'!Y$128:Y$595)</f>
        <v>269972.56117795431</v>
      </c>
      <c r="Z35" s="197"/>
      <c r="AA35" s="89">
        <f t="shared" si="2"/>
        <v>2040</v>
      </c>
      <c r="AB35" s="102">
        <f t="shared" si="32"/>
        <v>78400.526980512164</v>
      </c>
      <c r="AC35" s="196">
        <f t="shared" si="33"/>
        <v>203689.64913111585</v>
      </c>
      <c r="AD35" s="102">
        <f>+SUMIF('Monthly Energy Data'!$D$128:$D$595,'Tier 3 Data'!$A35,'Monthly Energy Data'!AA$128:AA$595)</f>
        <v>203689.64913111585</v>
      </c>
      <c r="AF35" s="58">
        <v>415717.94428490126</v>
      </c>
      <c r="AG35" s="58">
        <v>283693.70429160533</v>
      </c>
      <c r="AH35" s="58">
        <v>335589.99818894733</v>
      </c>
    </row>
    <row r="36" spans="1:34" ht="15" x14ac:dyDescent="0.25">
      <c r="A36" s="101">
        <f>+'Annual Energy Data'!A41</f>
        <v>2041</v>
      </c>
      <c r="B36" s="102">
        <f>+SUMIF('Monthly Energy Data'!$D$128:$D$595,'Tier 3 Data'!$A36,'Monthly Energy Data'!S$128:S$595)</f>
        <v>446241.10303902789</v>
      </c>
      <c r="C36" s="102">
        <f>+SUMIF('Monthly Energy Data'!$D$128:$D$595,'Tier 3 Data'!$A36,'Monthly Energy Data'!T$128:T$595)</f>
        <v>446241.10303902789</v>
      </c>
      <c r="D36" s="102">
        <f>+SUMIF('Monthly Energy Data'!$D$128:$D$595,'Tier 3 Data'!$A36,'Monthly Energy Data'!U$128:U$595)</f>
        <v>446241.10303902789</v>
      </c>
      <c r="E36" s="105">
        <f t="shared" si="21"/>
        <v>0.12000000000000001</v>
      </c>
      <c r="F36" s="102">
        <f>+SUMIF('Monthly Energy Data'!$D$128:$D$595,'Tier 3 Data'!$A36,'Monthly Energy Data'!AE$128:AE$595)</f>
        <v>722223.80304426048</v>
      </c>
      <c r="G36" s="102">
        <f>+SUMIF('Monthly Energy Data'!$D$128:$D$595,'Tier 3 Data'!$A36,'Monthly Energy Data'!AF$128:AF$595)</f>
        <v>793532.27899898123</v>
      </c>
      <c r="H36" s="102">
        <f>+SUMIF('Monthly Energy Data'!$D$128:$D$595,'Tier 3 Data'!$A36,'Monthly Energy Data'!AG$128:AG$595)</f>
        <v>660621.06578335713</v>
      </c>
      <c r="I36" s="102">
        <f>+SUMIF('Monthly Energy Data'!$D$128:$D$595,'Tier 3 Data'!$A36,'Monthly Energy Data'!AH$128:AH$595)</f>
        <v>727076.67239116912</v>
      </c>
      <c r="J36" s="102">
        <f t="shared" si="22"/>
        <v>446241.10303902789</v>
      </c>
      <c r="K36" s="102">
        <f t="shared" si="23"/>
        <v>446241.10303902789</v>
      </c>
      <c r="L36" s="102">
        <f t="shared" si="24"/>
        <v>446241.10303902789</v>
      </c>
      <c r="M36" s="102">
        <f t="shared" si="25"/>
        <v>722223.80304426048</v>
      </c>
      <c r="N36" s="102">
        <f t="shared" si="26"/>
        <v>793532.27899898123</v>
      </c>
      <c r="O36" s="102">
        <f t="shared" si="27"/>
        <v>660621.06578335713</v>
      </c>
      <c r="P36" s="192"/>
      <c r="Q36" s="89">
        <f t="shared" si="0"/>
        <v>2041</v>
      </c>
      <c r="R36" s="102">
        <f t="shared" si="28"/>
        <v>95223.873479877759</v>
      </c>
      <c r="S36" s="102">
        <f t="shared" si="29"/>
        <v>347291.17595995328</v>
      </c>
      <c r="T36" s="102">
        <f>+SUMIF('Monthly Energy Data'!$D$128:$D$595,'Tier 3 Data'!$A36,'Monthly Energy Data'!Z$128:Z$595)</f>
        <v>347291.17595995328</v>
      </c>
      <c r="U36" s="195"/>
      <c r="V36" s="89">
        <f t="shared" si="1"/>
        <v>2041</v>
      </c>
      <c r="W36" s="102">
        <f t="shared" si="30"/>
        <v>86666.856365311265</v>
      </c>
      <c r="X36" s="196">
        <f t="shared" si="31"/>
        <v>275982.70000523265</v>
      </c>
      <c r="Y36" s="102">
        <f>+SUMIF('Monthly Energy Data'!$D$128:$D$595,'Tier 3 Data'!$A36,'Monthly Energy Data'!Y$128:Y$595)</f>
        <v>275982.70000523265</v>
      </c>
      <c r="Z36" s="197"/>
      <c r="AA36" s="89">
        <f t="shared" si="2"/>
        <v>2041</v>
      </c>
      <c r="AB36" s="102">
        <f t="shared" si="32"/>
        <v>79274.527894002866</v>
      </c>
      <c r="AC36" s="196">
        <f t="shared" si="33"/>
        <v>214379.96274432936</v>
      </c>
      <c r="AD36" s="102">
        <f>+SUMIF('Monthly Energy Data'!$D$128:$D$595,'Tier 3 Data'!$A36,'Monthly Energy Data'!AA$128:AA$595)</f>
        <v>214379.96274432936</v>
      </c>
      <c r="AF36" s="58">
        <v>420072.55738872098</v>
      </c>
      <c r="AG36" s="58">
        <v>296435.63367750112</v>
      </c>
      <c r="AH36" s="58">
        <v>339288.79290546122</v>
      </c>
    </row>
    <row r="37" spans="1:34" ht="15" x14ac:dyDescent="0.25">
      <c r="A37" s="101">
        <f>+'Annual Energy Data'!A42</f>
        <v>2042</v>
      </c>
      <c r="B37" s="102">
        <f>+SUMIF('Monthly Energy Data'!$D$128:$D$595,'Tier 3 Data'!$A37,'Monthly Energy Data'!S$128:S$595)</f>
        <v>442878.42034922482</v>
      </c>
      <c r="C37" s="102">
        <f>+SUMIF('Monthly Energy Data'!$D$128:$D$595,'Tier 3 Data'!$A37,'Monthly Energy Data'!T$128:T$595)</f>
        <v>442878.42034922482</v>
      </c>
      <c r="D37" s="102">
        <f>+SUMIF('Monthly Energy Data'!$D$128:$D$595,'Tier 3 Data'!$A37,'Monthly Energy Data'!U$128:U$595)</f>
        <v>442878.42034922482</v>
      </c>
      <c r="E37" s="105">
        <f t="shared" si="21"/>
        <v>0.12000000000000001</v>
      </c>
      <c r="F37" s="102">
        <f>+SUMIF('Monthly Energy Data'!$D$128:$D$595,'Tier 3 Data'!$A37,'Monthly Energy Data'!AE$128:AE$595)</f>
        <v>723086.74512119894</v>
      </c>
      <c r="G37" s="102">
        <f>+SUMIF('Monthly Energy Data'!$D$128:$D$595,'Tier 3 Data'!$A37,'Monthly Energy Data'!AF$128:AF$595)</f>
        <v>803176.88283081586</v>
      </c>
      <c r="H37" s="102">
        <f>+SUMIF('Monthly Energy Data'!$D$128:$D$595,'Tier 3 Data'!$A37,'Monthly Energy Data'!AG$128:AG$595)</f>
        <v>666546.80842870963</v>
      </c>
      <c r="I37" s="102">
        <f>+SUMIF('Monthly Energy Data'!$D$128:$D$595,'Tier 3 Data'!$A37,'Monthly Energy Data'!AH$128:AH$595)</f>
        <v>734861.84562976263</v>
      </c>
      <c r="J37" s="102">
        <f t="shared" si="22"/>
        <v>442878.42034922482</v>
      </c>
      <c r="K37" s="102">
        <f t="shared" si="23"/>
        <v>442878.42034922482</v>
      </c>
      <c r="L37" s="102">
        <f t="shared" si="24"/>
        <v>442878.42034922482</v>
      </c>
      <c r="M37" s="102">
        <f t="shared" si="25"/>
        <v>723086.74512119894</v>
      </c>
      <c r="N37" s="102">
        <f t="shared" si="26"/>
        <v>803176.88283081586</v>
      </c>
      <c r="O37" s="102">
        <f t="shared" si="27"/>
        <v>666546.80842870963</v>
      </c>
      <c r="P37" s="192"/>
      <c r="Q37" s="89">
        <f t="shared" si="0"/>
        <v>2042</v>
      </c>
      <c r="R37" s="102">
        <f t="shared" si="28"/>
        <v>96381.225939697906</v>
      </c>
      <c r="S37" s="102">
        <f t="shared" si="29"/>
        <v>360298.46248159104</v>
      </c>
      <c r="T37" s="102">
        <f>+SUMIF('Monthly Energy Data'!$D$128:$D$595,'Tier 3 Data'!$A37,'Monthly Energy Data'!Z$128:Z$595)</f>
        <v>360298.46248159104</v>
      </c>
      <c r="U37" s="195"/>
      <c r="V37" s="89">
        <f t="shared" si="1"/>
        <v>2042</v>
      </c>
      <c r="W37" s="102">
        <f t="shared" si="30"/>
        <v>86770.409414543887</v>
      </c>
      <c r="X37" s="196">
        <f t="shared" si="31"/>
        <v>280208.32477197412</v>
      </c>
      <c r="Y37" s="102">
        <f>+SUMIF('Monthly Energy Data'!$D$128:$D$595,'Tier 3 Data'!$A37,'Monthly Energy Data'!Y$128:Y$595)</f>
        <v>280208.32477197412</v>
      </c>
      <c r="Z37" s="197"/>
      <c r="AA37" s="89">
        <f t="shared" si="2"/>
        <v>2042</v>
      </c>
      <c r="AB37" s="102">
        <f t="shared" si="32"/>
        <v>79985.617011445167</v>
      </c>
      <c r="AC37" s="196">
        <f t="shared" si="33"/>
        <v>223668.38807948469</v>
      </c>
      <c r="AD37" s="102">
        <f>+SUMIF('Monthly Energy Data'!$D$128:$D$595,'Tier 3 Data'!$A37,'Monthly Energy Data'!AA$128:AA$595)</f>
        <v>223668.38807948469</v>
      </c>
      <c r="AF37" s="58">
        <v>423028.23563407222</v>
      </c>
      <c r="AG37" s="58">
        <v>308040.39633821533</v>
      </c>
      <c r="AH37" s="58">
        <v>342078.23479401879</v>
      </c>
    </row>
    <row r="38" spans="1:34" ht="15.75" customHeight="1" x14ac:dyDescent="0.25">
      <c r="A38" s="101">
        <f>+'Annual Energy Data'!A43</f>
        <v>2043</v>
      </c>
      <c r="B38" s="102">
        <f>+SUMIF('Monthly Energy Data'!$D$128:$D$595,'Tier 3 Data'!$A38,'Monthly Energy Data'!S$128:S$595)</f>
        <v>439445.43328148097</v>
      </c>
      <c r="C38" s="102">
        <f>+SUMIF('Monthly Energy Data'!$D$128:$D$595,'Tier 3 Data'!$A38,'Monthly Energy Data'!T$128:T$595)</f>
        <v>439445.43328148097</v>
      </c>
      <c r="D38" s="102">
        <f>+SUMIF('Monthly Energy Data'!$D$128:$D$595,'Tier 3 Data'!$A38,'Monthly Energy Data'!U$128:U$595)</f>
        <v>439445.43328148097</v>
      </c>
      <c r="E38" s="105">
        <f t="shared" si="21"/>
        <v>0.12000000000000001</v>
      </c>
      <c r="F38" s="102">
        <f>+SUMIF('Monthly Energy Data'!$D$128:$D$595,'Tier 3 Data'!$A38,'Monthly Energy Data'!AE$128:AE$595)</f>
        <v>722234.8835808289</v>
      </c>
      <c r="G38" s="102">
        <f>+SUMIF('Monthly Energy Data'!$D$128:$D$595,'Tier 3 Data'!$A38,'Monthly Energy Data'!AF$128:AF$595)</f>
        <v>812434.2463305915</v>
      </c>
      <c r="H38" s="102">
        <f>+SUMIF('Monthly Energy Data'!$D$128:$D$595,'Tier 3 Data'!$A38,'Monthly Energy Data'!AG$128:AG$595)</f>
        <v>671206.74217600585</v>
      </c>
      <c r="I38" s="102">
        <f>+SUMIF('Monthly Energy Data'!$D$128:$D$595,'Tier 3 Data'!$A38,'Monthly Energy Data'!AH$128:AH$595)</f>
        <v>741820.4942532985</v>
      </c>
      <c r="J38" s="102">
        <f t="shared" si="22"/>
        <v>439445.43328148097</v>
      </c>
      <c r="K38" s="102">
        <f t="shared" si="23"/>
        <v>439445.43328148097</v>
      </c>
      <c r="L38" s="102">
        <f t="shared" si="24"/>
        <v>439445.43328148097</v>
      </c>
      <c r="M38" s="102">
        <f t="shared" si="25"/>
        <v>722234.8835808289</v>
      </c>
      <c r="N38" s="102">
        <f t="shared" si="26"/>
        <v>812434.2463305915</v>
      </c>
      <c r="O38" s="102">
        <f t="shared" si="27"/>
        <v>671206.74217600585</v>
      </c>
      <c r="P38" s="192"/>
      <c r="Q38" s="89">
        <f t="shared" si="0"/>
        <v>2043</v>
      </c>
      <c r="R38" s="102">
        <f t="shared" si="28"/>
        <v>97492.109559670993</v>
      </c>
      <c r="S38" s="102">
        <f t="shared" si="29"/>
        <v>372988.81304911023</v>
      </c>
      <c r="T38" s="102">
        <f>+SUMIF('Monthly Energy Data'!$D$128:$D$595,'Tier 3 Data'!$A38,'Monthly Energy Data'!Z$128:Z$595)</f>
        <v>372988.81304911023</v>
      </c>
      <c r="U38" s="195"/>
      <c r="V38" s="89">
        <f t="shared" si="1"/>
        <v>2043</v>
      </c>
      <c r="W38" s="102">
        <f t="shared" si="30"/>
        <v>86668.186029699471</v>
      </c>
      <c r="X38" s="196">
        <f t="shared" si="31"/>
        <v>282789.45029934793</v>
      </c>
      <c r="Y38" s="102">
        <f>+SUMIF('Monthly Energy Data'!$D$128:$D$595,'Tier 3 Data'!$A38,'Monthly Energy Data'!Y$128:Y$595)</f>
        <v>282789.45029934793</v>
      </c>
      <c r="Z38" s="197"/>
      <c r="AA38" s="89">
        <f t="shared" si="2"/>
        <v>2043</v>
      </c>
      <c r="AB38" s="102">
        <f t="shared" si="32"/>
        <v>80544.809061120715</v>
      </c>
      <c r="AC38" s="196">
        <f t="shared" si="33"/>
        <v>231761.30889452461</v>
      </c>
      <c r="AD38" s="102">
        <f>+SUMIF('Monthly Energy Data'!$D$128:$D$595,'Tier 3 Data'!$A38,'Monthly Energy Data'!AA$128:AA$595)</f>
        <v>231761.30889452461</v>
      </c>
    </row>
    <row r="39" spans="1:34" ht="15.75" customHeight="1" x14ac:dyDescent="0.25">
      <c r="A39" s="101">
        <f>+'Annual Energy Data'!A44</f>
        <v>2044</v>
      </c>
      <c r="B39" s="102">
        <f>+SUMIF('Monthly Energy Data'!$D$128:$D$595,'Tier 3 Data'!$A39,'Monthly Energy Data'!S$128:S$595)</f>
        <v>436058.31338560343</v>
      </c>
      <c r="C39" s="102">
        <f>+SUMIF('Monthly Energy Data'!$D$128:$D$595,'Tier 3 Data'!$A39,'Monthly Energy Data'!T$128:T$595)</f>
        <v>436058.31338560343</v>
      </c>
      <c r="D39" s="102">
        <f>+SUMIF('Monthly Energy Data'!$D$128:$D$595,'Tier 3 Data'!$A39,'Monthly Energy Data'!U$128:U$595)</f>
        <v>436058.31338560343</v>
      </c>
      <c r="E39" s="105">
        <f t="shared" si="21"/>
        <v>0.12000000000000001</v>
      </c>
      <c r="F39" s="102">
        <f>+SUMIF('Monthly Energy Data'!$D$128:$D$595,'Tier 3 Data'!$A39,'Monthly Energy Data'!AE$128:AE$595)</f>
        <v>721107.35357227386</v>
      </c>
      <c r="G39" s="102">
        <f>+SUMIF('Monthly Energy Data'!$D$128:$D$595,'Tier 3 Data'!$A39,'Monthly Energy Data'!AF$128:AF$595)</f>
        <v>821737.4770022328</v>
      </c>
      <c r="H39" s="102">
        <f>+SUMIF('Monthly Energy Data'!$D$128:$D$595,'Tier 3 Data'!$A39,'Monthly Energy Data'!AG$128:AG$595)</f>
        <v>674974.23564273154</v>
      </c>
      <c r="I39" s="102">
        <f>+SUMIF('Monthly Energy Data'!$D$128:$D$595,'Tier 3 Data'!$A39,'Monthly Energy Data'!AH$128:AH$595)</f>
        <v>748355.85632248223</v>
      </c>
      <c r="J39" s="102">
        <f t="shared" ref="J39:J45" si="34">+(B39)*(1-$A$2)</f>
        <v>436058.31338560343</v>
      </c>
      <c r="K39" s="102">
        <f t="shared" ref="K39:K45" si="35">+(C39)*(1-$A$2)</f>
        <v>436058.31338560343</v>
      </c>
      <c r="L39" s="102">
        <f t="shared" ref="L39:L45" si="36">+(D39)*(1-$A$2)</f>
        <v>436058.31338560343</v>
      </c>
      <c r="M39" s="102">
        <f t="shared" ref="M39:M45" si="37">+(F39)*(1-$A$2)</f>
        <v>721107.35357227386</v>
      </c>
      <c r="N39" s="102">
        <f t="shared" ref="N39:N45" si="38">+(G39)*(1-$A$2)</f>
        <v>821737.4770022328</v>
      </c>
      <c r="O39" s="102">
        <f t="shared" ref="O39:O45" si="39">+(H39)*(1-$A$2)</f>
        <v>674974.23564273154</v>
      </c>
      <c r="P39" s="192"/>
      <c r="Q39" s="89">
        <f t="shared" si="0"/>
        <v>2044</v>
      </c>
      <c r="R39" s="102">
        <f t="shared" ref="R39:R45" si="40">+N39*$E39</f>
        <v>98608.497240267941</v>
      </c>
      <c r="S39" s="102">
        <f t="shared" ref="S39:S45" si="41">+T39*(1-$A$2)</f>
        <v>385679.16361662943</v>
      </c>
      <c r="T39" s="102">
        <f>+SUMIF('Monthly Energy Data'!$D$128:$D$595,'Tier 3 Data'!$A39,'Monthly Energy Data'!Z$128:Z$595)</f>
        <v>385679.16361662943</v>
      </c>
      <c r="U39" s="195"/>
      <c r="V39" s="89">
        <f t="shared" si="1"/>
        <v>2044</v>
      </c>
      <c r="W39" s="102">
        <f t="shared" ref="W39:W45" si="42">+M39*$E39</f>
        <v>86532.882428672863</v>
      </c>
      <c r="X39" s="196">
        <f t="shared" ref="X39:X45" si="43">+Y39*(1-$A$2)</f>
        <v>285049.04018667038</v>
      </c>
      <c r="Y39" s="102">
        <f>+SUMIF('Monthly Energy Data'!$D$128:$D$595,'Tier 3 Data'!$A39,'Monthly Energy Data'!Y$128:Y$595)</f>
        <v>285049.04018667038</v>
      </c>
      <c r="Z39" s="197"/>
      <c r="AA39" s="89">
        <f t="shared" si="2"/>
        <v>2044</v>
      </c>
      <c r="AB39" s="102">
        <f t="shared" ref="AB39:AB45" si="44">+O39*$E39</f>
        <v>80996.90827712779</v>
      </c>
      <c r="AC39" s="196">
        <f t="shared" ref="AC39:AC45" si="45">+AD39*(1-$A$2)</f>
        <v>238915.92225712806</v>
      </c>
      <c r="AD39" s="102">
        <f>+SUMIF('Monthly Energy Data'!$D$128:$D$595,'Tier 3 Data'!$A39,'Monthly Energy Data'!AA$128:AA$595)</f>
        <v>238915.92225712806</v>
      </c>
    </row>
    <row r="40" spans="1:34" ht="15.75" customHeight="1" x14ac:dyDescent="0.25">
      <c r="A40" s="101">
        <f>+'Annual Energy Data'!A45</f>
        <v>2045</v>
      </c>
      <c r="B40" s="102">
        <f>+SUMIF('Monthly Energy Data'!$D$128:$D$595,'Tier 3 Data'!$A40,'Monthly Energy Data'!S$128:S$595)</f>
        <v>432653.77117503283</v>
      </c>
      <c r="C40" s="102">
        <f>+SUMIF('Monthly Energy Data'!$D$128:$D$595,'Tier 3 Data'!$A40,'Monthly Energy Data'!T$128:T$595)</f>
        <v>432653.77117503283</v>
      </c>
      <c r="D40" s="102">
        <f>+SUMIF('Monthly Energy Data'!$D$128:$D$595,'Tier 3 Data'!$A40,'Monthly Energy Data'!U$128:U$595)</f>
        <v>432653.77117503283</v>
      </c>
      <c r="E40" s="105">
        <f t="shared" si="21"/>
        <v>0.12000000000000001</v>
      </c>
      <c r="F40" s="102">
        <f>+SUMIF('Monthly Energy Data'!$D$128:$D$595,'Tier 3 Data'!$A40,'Monthly Energy Data'!AE$128:AE$595)</f>
        <v>719961.51587993989</v>
      </c>
      <c r="G40" s="102">
        <f>+SUMIF('Monthly Energy Data'!$D$128:$D$595,'Tier 3 Data'!$A40,'Monthly Energy Data'!AF$128:AF$595)</f>
        <v>831023.28535918146</v>
      </c>
      <c r="H40" s="102">
        <f>+SUMIF('Monthly Energy Data'!$D$128:$D$595,'Tier 3 Data'!$A40,'Monthly Energy Data'!AG$128:AG$595)</f>
        <v>678117.52073805872</v>
      </c>
      <c r="I40" s="102">
        <f>+SUMIF('Monthly Energy Data'!$D$128:$D$595,'Tier 3 Data'!$A40,'Monthly Energy Data'!AH$128:AH$595)</f>
        <v>754570.40304862009</v>
      </c>
      <c r="J40" s="102">
        <f t="shared" si="34"/>
        <v>432653.77117503283</v>
      </c>
      <c r="K40" s="102">
        <f t="shared" si="35"/>
        <v>432653.77117503283</v>
      </c>
      <c r="L40" s="102">
        <f t="shared" si="36"/>
        <v>432653.77117503283</v>
      </c>
      <c r="M40" s="102">
        <f t="shared" si="37"/>
        <v>719961.51587993989</v>
      </c>
      <c r="N40" s="102">
        <f t="shared" si="38"/>
        <v>831023.28535918146</v>
      </c>
      <c r="O40" s="102">
        <f t="shared" si="39"/>
        <v>678117.52073805872</v>
      </c>
      <c r="P40" s="192"/>
      <c r="Q40" s="89">
        <f t="shared" si="0"/>
        <v>2045</v>
      </c>
      <c r="R40" s="102">
        <f t="shared" si="40"/>
        <v>99722.794243101787</v>
      </c>
      <c r="S40" s="102">
        <f t="shared" si="41"/>
        <v>398369.51418414863</v>
      </c>
      <c r="T40" s="102">
        <f>+SUMIF('Monthly Energy Data'!$D$128:$D$595,'Tier 3 Data'!$A40,'Monthly Energy Data'!Z$128:Z$595)</f>
        <v>398369.51418414863</v>
      </c>
      <c r="U40" s="195"/>
      <c r="V40" s="89">
        <f t="shared" si="1"/>
        <v>2045</v>
      </c>
      <c r="W40" s="102">
        <f t="shared" si="42"/>
        <v>86395.381905592789</v>
      </c>
      <c r="X40" s="196">
        <f t="shared" si="43"/>
        <v>287307.744704907</v>
      </c>
      <c r="Y40" s="102">
        <f>+SUMIF('Monthly Energy Data'!$D$128:$D$595,'Tier 3 Data'!$A40,'Monthly Energy Data'!Y$128:Y$595)</f>
        <v>287307.744704907</v>
      </c>
      <c r="Z40" s="197"/>
      <c r="AA40" s="89">
        <f t="shared" si="2"/>
        <v>2045</v>
      </c>
      <c r="AB40" s="102">
        <f t="shared" si="44"/>
        <v>81374.102488567049</v>
      </c>
      <c r="AC40" s="196">
        <f t="shared" si="45"/>
        <v>245463.74956302595</v>
      </c>
      <c r="AD40" s="102">
        <f>+SUMIF('Monthly Energy Data'!$D$128:$D$595,'Tier 3 Data'!$A40,'Monthly Energy Data'!AA$128:AA$595)</f>
        <v>245463.74956302595</v>
      </c>
    </row>
    <row r="41" spans="1:34" ht="15.75" customHeight="1" x14ac:dyDescent="0.25">
      <c r="A41" s="101">
        <f>+'Annual Energy Data'!A46</f>
        <v>2046</v>
      </c>
      <c r="B41" s="102">
        <f>+SUMIF('Monthly Energy Data'!$D$128:$D$595,'Tier 3 Data'!$A41,'Monthly Energy Data'!S$128:S$595)</f>
        <v>-2845.5928739609021</v>
      </c>
      <c r="C41" s="102">
        <f>+SUMIF('Monthly Energy Data'!$D$128:$D$595,'Tier 3 Data'!$A41,'Monthly Energy Data'!T$128:T$595)</f>
        <v>-2845.5928739609021</v>
      </c>
      <c r="D41" s="102">
        <f>+SUMIF('Monthly Energy Data'!$D$128:$D$595,'Tier 3 Data'!$A41,'Monthly Energy Data'!U$128:U$595)</f>
        <v>-2845.5928739609021</v>
      </c>
      <c r="E41" s="105">
        <f t="shared" si="21"/>
        <v>0.12000000000000001</v>
      </c>
      <c r="F41" s="102">
        <f>+SUMIF('Monthly Energy Data'!$D$128:$D$595,'Tier 3 Data'!$A41,'Monthly Energy Data'!AE$128:AE$595)</f>
        <v>-2845.5928739609021</v>
      </c>
      <c r="G41" s="102">
        <f>+SUMIF('Monthly Energy Data'!$D$128:$D$595,'Tier 3 Data'!$A41,'Monthly Energy Data'!AF$128:AF$595)</f>
        <v>-2845.5928739609021</v>
      </c>
      <c r="H41" s="102">
        <f>+SUMIF('Monthly Energy Data'!$D$128:$D$595,'Tier 3 Data'!$A41,'Monthly Energy Data'!AG$128:AG$595)</f>
        <v>-2845.5928739609021</v>
      </c>
      <c r="I41" s="102">
        <f>+SUMIF('Monthly Energy Data'!$D$128:$D$595,'Tier 3 Data'!$A41,'Monthly Energy Data'!AH$128:AH$595)</f>
        <v>-2845.5928739609021</v>
      </c>
      <c r="J41" s="102">
        <f t="shared" si="34"/>
        <v>-2845.5928739609021</v>
      </c>
      <c r="K41" s="102">
        <f t="shared" si="35"/>
        <v>-2845.5928739609021</v>
      </c>
      <c r="L41" s="102">
        <f t="shared" si="36"/>
        <v>-2845.5928739609021</v>
      </c>
      <c r="M41" s="102">
        <f t="shared" si="37"/>
        <v>-2845.5928739609021</v>
      </c>
      <c r="N41" s="102">
        <f t="shared" si="38"/>
        <v>-2845.5928739609021</v>
      </c>
      <c r="O41" s="102">
        <f t="shared" si="39"/>
        <v>-2845.5928739609021</v>
      </c>
      <c r="P41" s="192"/>
      <c r="Q41" s="89">
        <f t="shared" si="0"/>
        <v>2046</v>
      </c>
      <c r="R41" s="102">
        <f t="shared" si="40"/>
        <v>-341.47114487530825</v>
      </c>
      <c r="S41" s="102">
        <f t="shared" si="41"/>
        <v>0</v>
      </c>
      <c r="T41" s="102">
        <f>+SUMIF('Monthly Energy Data'!$D$128:$D$595,'Tier 3 Data'!$A41,'Monthly Energy Data'!Z$128:Z$595)</f>
        <v>0</v>
      </c>
      <c r="U41" s="195"/>
      <c r="V41" s="89">
        <f t="shared" si="1"/>
        <v>2046</v>
      </c>
      <c r="W41" s="102">
        <f t="shared" si="42"/>
        <v>-341.47114487530825</v>
      </c>
      <c r="X41" s="196">
        <f t="shared" si="43"/>
        <v>0</v>
      </c>
      <c r="Y41" s="102">
        <f>+SUMIF('Monthly Energy Data'!$D$128:$D$595,'Tier 3 Data'!$A41,'Monthly Energy Data'!Y$128:Y$595)</f>
        <v>0</v>
      </c>
      <c r="Z41" s="197"/>
      <c r="AA41" s="89">
        <f t="shared" si="2"/>
        <v>2046</v>
      </c>
      <c r="AB41" s="102">
        <f t="shared" si="44"/>
        <v>-341.47114487530825</v>
      </c>
      <c r="AC41" s="196">
        <f t="shared" si="45"/>
        <v>0</v>
      </c>
      <c r="AD41" s="102">
        <f>+SUMIF('Monthly Energy Data'!$D$128:$D$595,'Tier 3 Data'!$A41,'Monthly Energy Data'!AA$128:AA$595)</f>
        <v>0</v>
      </c>
    </row>
    <row r="42" spans="1:34" ht="15.75" customHeight="1" x14ac:dyDescent="0.25">
      <c r="A42" s="101">
        <f>+'Annual Energy Data'!A47</f>
        <v>2047</v>
      </c>
      <c r="B42" s="102">
        <f>+SUMIF('Monthly Energy Data'!$D$128:$D$595,'Tier 3 Data'!$A42,'Monthly Energy Data'!S$128:S$595)</f>
        <v>0</v>
      </c>
      <c r="C42" s="102">
        <f>+SUMIF('Monthly Energy Data'!$D$128:$D$595,'Tier 3 Data'!$A42,'Monthly Energy Data'!T$128:T$595)</f>
        <v>0</v>
      </c>
      <c r="D42" s="102">
        <f>+SUMIF('Monthly Energy Data'!$D$128:$D$595,'Tier 3 Data'!$A42,'Monthly Energy Data'!U$128:U$595)</f>
        <v>0</v>
      </c>
      <c r="E42" s="105">
        <f t="shared" si="21"/>
        <v>0.12000000000000001</v>
      </c>
      <c r="F42" s="102">
        <f>+SUMIF('Monthly Energy Data'!$D$128:$D$595,'Tier 3 Data'!$A42,'Monthly Energy Data'!AE$128:AE$595)</f>
        <v>0</v>
      </c>
      <c r="G42" s="102">
        <f>+SUMIF('Monthly Energy Data'!$D$128:$D$595,'Tier 3 Data'!$A42,'Monthly Energy Data'!AF$128:AF$595)</f>
        <v>0</v>
      </c>
      <c r="H42" s="102">
        <f>+SUMIF('Monthly Energy Data'!$D$128:$D$595,'Tier 3 Data'!$A42,'Monthly Energy Data'!AG$128:AG$595)</f>
        <v>0</v>
      </c>
      <c r="I42" s="102">
        <f>+SUMIF('Monthly Energy Data'!$D$128:$D$595,'Tier 3 Data'!$A42,'Monthly Energy Data'!AH$128:AH$595)</f>
        <v>0</v>
      </c>
      <c r="J42" s="102">
        <f t="shared" si="34"/>
        <v>0</v>
      </c>
      <c r="K42" s="102">
        <f t="shared" si="35"/>
        <v>0</v>
      </c>
      <c r="L42" s="102">
        <f t="shared" si="36"/>
        <v>0</v>
      </c>
      <c r="M42" s="102">
        <f t="shared" si="37"/>
        <v>0</v>
      </c>
      <c r="N42" s="102">
        <f t="shared" si="38"/>
        <v>0</v>
      </c>
      <c r="O42" s="102">
        <f t="shared" si="39"/>
        <v>0</v>
      </c>
      <c r="P42" s="192"/>
      <c r="Q42" s="89">
        <f t="shared" si="0"/>
        <v>2047</v>
      </c>
      <c r="R42" s="102">
        <f t="shared" si="40"/>
        <v>0</v>
      </c>
      <c r="S42" s="102">
        <f t="shared" si="41"/>
        <v>0</v>
      </c>
      <c r="T42" s="102">
        <f>+SUMIF('Monthly Energy Data'!$D$128:$D$595,'Tier 3 Data'!$A42,'Monthly Energy Data'!Z$128:Z$595)</f>
        <v>0</v>
      </c>
      <c r="U42" s="195"/>
      <c r="V42" s="89">
        <f t="shared" si="1"/>
        <v>2047</v>
      </c>
      <c r="W42" s="102">
        <f t="shared" si="42"/>
        <v>0</v>
      </c>
      <c r="X42" s="196">
        <f t="shared" si="43"/>
        <v>0</v>
      </c>
      <c r="Y42" s="102">
        <f>+SUMIF('Monthly Energy Data'!$D$128:$D$595,'Tier 3 Data'!$A42,'Monthly Energy Data'!Y$128:Y$595)</f>
        <v>0</v>
      </c>
      <c r="Z42" s="197"/>
      <c r="AA42" s="89">
        <f t="shared" si="2"/>
        <v>2047</v>
      </c>
      <c r="AB42" s="102">
        <f t="shared" si="44"/>
        <v>0</v>
      </c>
      <c r="AC42" s="196">
        <f t="shared" si="45"/>
        <v>0</v>
      </c>
      <c r="AD42" s="102">
        <f>+SUMIF('Monthly Energy Data'!$D$128:$D$595,'Tier 3 Data'!$A42,'Monthly Energy Data'!AA$128:AA$595)</f>
        <v>0</v>
      </c>
    </row>
    <row r="43" spans="1:34" ht="15.75" customHeight="1" x14ac:dyDescent="0.25">
      <c r="A43" s="101">
        <f>+'Annual Energy Data'!A48</f>
        <v>2048</v>
      </c>
      <c r="B43" s="102">
        <f>+SUMIF('Monthly Energy Data'!$D$128:$D$595,'Tier 3 Data'!$A43,'Monthly Energy Data'!S$128:S$595)</f>
        <v>0</v>
      </c>
      <c r="C43" s="102">
        <f>+SUMIF('Monthly Energy Data'!$D$128:$D$595,'Tier 3 Data'!$A43,'Monthly Energy Data'!T$128:T$595)</f>
        <v>0</v>
      </c>
      <c r="D43" s="102">
        <f>+SUMIF('Monthly Energy Data'!$D$128:$D$595,'Tier 3 Data'!$A43,'Monthly Energy Data'!U$128:U$595)</f>
        <v>0</v>
      </c>
      <c r="E43" s="105">
        <f t="shared" si="21"/>
        <v>0.12000000000000001</v>
      </c>
      <c r="F43" s="102">
        <f>+SUMIF('Monthly Energy Data'!$D$128:$D$595,'Tier 3 Data'!$A43,'Monthly Energy Data'!AE$128:AE$595)</f>
        <v>0</v>
      </c>
      <c r="G43" s="102">
        <f>+SUMIF('Monthly Energy Data'!$D$128:$D$595,'Tier 3 Data'!$A43,'Monthly Energy Data'!AF$128:AF$595)</f>
        <v>0</v>
      </c>
      <c r="H43" s="102">
        <f>+SUMIF('Monthly Energy Data'!$D$128:$D$595,'Tier 3 Data'!$A43,'Monthly Energy Data'!AG$128:AG$595)</f>
        <v>0</v>
      </c>
      <c r="I43" s="102">
        <f>+SUMIF('Monthly Energy Data'!$D$128:$D$595,'Tier 3 Data'!$A43,'Monthly Energy Data'!AH$128:AH$595)</f>
        <v>0</v>
      </c>
      <c r="J43" s="102">
        <f t="shared" si="34"/>
        <v>0</v>
      </c>
      <c r="K43" s="102">
        <f t="shared" si="35"/>
        <v>0</v>
      </c>
      <c r="L43" s="102">
        <f t="shared" si="36"/>
        <v>0</v>
      </c>
      <c r="M43" s="102">
        <f t="shared" si="37"/>
        <v>0</v>
      </c>
      <c r="N43" s="102">
        <f t="shared" si="38"/>
        <v>0</v>
      </c>
      <c r="O43" s="102">
        <f t="shared" si="39"/>
        <v>0</v>
      </c>
      <c r="P43" s="192"/>
      <c r="Q43" s="89">
        <f t="shared" si="0"/>
        <v>2048</v>
      </c>
      <c r="R43" s="102">
        <f t="shared" si="40"/>
        <v>0</v>
      </c>
      <c r="S43" s="102">
        <f t="shared" si="41"/>
        <v>0</v>
      </c>
      <c r="T43" s="102">
        <f>+SUMIF('Monthly Energy Data'!$D$128:$D$595,'Tier 3 Data'!$A43,'Monthly Energy Data'!Z$128:Z$595)</f>
        <v>0</v>
      </c>
      <c r="U43" s="195"/>
      <c r="V43" s="89">
        <f t="shared" si="1"/>
        <v>2048</v>
      </c>
      <c r="W43" s="102">
        <f t="shared" si="42"/>
        <v>0</v>
      </c>
      <c r="X43" s="196">
        <f t="shared" si="43"/>
        <v>0</v>
      </c>
      <c r="Y43" s="102">
        <f>+SUMIF('Monthly Energy Data'!$D$128:$D$595,'Tier 3 Data'!$A43,'Monthly Energy Data'!Y$128:Y$595)</f>
        <v>0</v>
      </c>
      <c r="Z43" s="197"/>
      <c r="AA43" s="89">
        <f t="shared" si="2"/>
        <v>2048</v>
      </c>
      <c r="AB43" s="102">
        <f t="shared" si="44"/>
        <v>0</v>
      </c>
      <c r="AC43" s="196">
        <f t="shared" si="45"/>
        <v>0</v>
      </c>
      <c r="AD43" s="102">
        <f>+SUMIF('Monthly Energy Data'!$D$128:$D$595,'Tier 3 Data'!$A43,'Monthly Energy Data'!AA$128:AA$595)</f>
        <v>0</v>
      </c>
    </row>
    <row r="44" spans="1:34" ht="15.75" customHeight="1" x14ac:dyDescent="0.25">
      <c r="A44" s="101">
        <f>+'Annual Energy Data'!A49</f>
        <v>2049</v>
      </c>
      <c r="B44" s="102">
        <f>+SUMIF('Monthly Energy Data'!$D$128:$D$595,'Tier 3 Data'!$A44,'Monthly Energy Data'!S$128:S$595)</f>
        <v>0</v>
      </c>
      <c r="C44" s="102">
        <f>+SUMIF('Monthly Energy Data'!$D$128:$D$595,'Tier 3 Data'!$A44,'Monthly Energy Data'!T$128:T$595)</f>
        <v>0</v>
      </c>
      <c r="D44" s="102">
        <f>+SUMIF('Monthly Energy Data'!$D$128:$D$595,'Tier 3 Data'!$A44,'Monthly Energy Data'!U$128:U$595)</f>
        <v>0</v>
      </c>
      <c r="E44" s="105">
        <f t="shared" si="21"/>
        <v>0.12000000000000001</v>
      </c>
      <c r="F44" s="102">
        <f>+SUMIF('Monthly Energy Data'!$D$128:$D$595,'Tier 3 Data'!$A44,'Monthly Energy Data'!AE$128:AE$595)</f>
        <v>0</v>
      </c>
      <c r="G44" s="102">
        <f>+SUMIF('Monthly Energy Data'!$D$128:$D$595,'Tier 3 Data'!$A44,'Monthly Energy Data'!AF$128:AF$595)</f>
        <v>0</v>
      </c>
      <c r="H44" s="102">
        <f>+SUMIF('Monthly Energy Data'!$D$128:$D$595,'Tier 3 Data'!$A44,'Monthly Energy Data'!AG$128:AG$595)</f>
        <v>0</v>
      </c>
      <c r="I44" s="102">
        <f>+SUMIF('Monthly Energy Data'!$D$128:$D$595,'Tier 3 Data'!$A44,'Monthly Energy Data'!AH$128:AH$595)</f>
        <v>0</v>
      </c>
      <c r="J44" s="102">
        <f t="shared" si="34"/>
        <v>0</v>
      </c>
      <c r="K44" s="102">
        <f t="shared" si="35"/>
        <v>0</v>
      </c>
      <c r="L44" s="102">
        <f t="shared" si="36"/>
        <v>0</v>
      </c>
      <c r="M44" s="102">
        <f t="shared" si="37"/>
        <v>0</v>
      </c>
      <c r="N44" s="102">
        <f t="shared" si="38"/>
        <v>0</v>
      </c>
      <c r="O44" s="102">
        <f t="shared" si="39"/>
        <v>0</v>
      </c>
      <c r="P44" s="192"/>
      <c r="Q44" s="89">
        <f t="shared" si="0"/>
        <v>2049</v>
      </c>
      <c r="R44" s="102">
        <f t="shared" si="40"/>
        <v>0</v>
      </c>
      <c r="S44" s="102">
        <f t="shared" si="41"/>
        <v>0</v>
      </c>
      <c r="T44" s="102">
        <f>+SUMIF('Monthly Energy Data'!$D$128:$D$595,'Tier 3 Data'!$A44,'Monthly Energy Data'!Z$128:Z$595)</f>
        <v>0</v>
      </c>
      <c r="U44" s="195"/>
      <c r="V44" s="89">
        <f t="shared" si="1"/>
        <v>2049</v>
      </c>
      <c r="W44" s="102">
        <f t="shared" si="42"/>
        <v>0</v>
      </c>
      <c r="X44" s="196">
        <f t="shared" si="43"/>
        <v>0</v>
      </c>
      <c r="Y44" s="102">
        <f>+SUMIF('Monthly Energy Data'!$D$128:$D$595,'Tier 3 Data'!$A44,'Monthly Energy Data'!Y$128:Y$595)</f>
        <v>0</v>
      </c>
      <c r="Z44" s="197"/>
      <c r="AA44" s="89">
        <f t="shared" si="2"/>
        <v>2049</v>
      </c>
      <c r="AB44" s="102">
        <f t="shared" si="44"/>
        <v>0</v>
      </c>
      <c r="AC44" s="196">
        <f t="shared" si="45"/>
        <v>0</v>
      </c>
      <c r="AD44" s="102">
        <f>+SUMIF('Monthly Energy Data'!$D$128:$D$595,'Tier 3 Data'!$A44,'Monthly Energy Data'!AA$128:AA$595)</f>
        <v>0</v>
      </c>
    </row>
    <row r="45" spans="1:34" ht="15.75" customHeight="1" x14ac:dyDescent="0.25">
      <c r="A45" s="101">
        <f>+'Annual Energy Data'!A50</f>
        <v>2050</v>
      </c>
      <c r="B45" s="102">
        <f>+SUMIF('Monthly Energy Data'!$D$128:$D$595,'Tier 3 Data'!$A45,'Monthly Energy Data'!S$128:S$595)</f>
        <v>0</v>
      </c>
      <c r="C45" s="102">
        <f>+SUMIF('Monthly Energy Data'!$D$128:$D$595,'Tier 3 Data'!$A45,'Monthly Energy Data'!T$128:T$595)</f>
        <v>0</v>
      </c>
      <c r="D45" s="102">
        <f>+SUMIF('Monthly Energy Data'!$D$128:$D$595,'Tier 3 Data'!$A45,'Monthly Energy Data'!U$128:U$595)</f>
        <v>0</v>
      </c>
      <c r="E45" s="105">
        <f t="shared" si="21"/>
        <v>0.12000000000000001</v>
      </c>
      <c r="F45" s="102">
        <f>+SUMIF('Monthly Energy Data'!$D$128:$D$595,'Tier 3 Data'!$A45,'Monthly Energy Data'!AE$128:AE$595)</f>
        <v>0</v>
      </c>
      <c r="G45" s="102">
        <f>+SUMIF('Monthly Energy Data'!$D$128:$D$595,'Tier 3 Data'!$A45,'Monthly Energy Data'!AF$128:AF$595)</f>
        <v>0</v>
      </c>
      <c r="H45" s="102">
        <f>+SUMIF('Monthly Energy Data'!$D$128:$D$595,'Tier 3 Data'!$A45,'Monthly Energy Data'!AG$128:AG$595)</f>
        <v>0</v>
      </c>
      <c r="I45" s="102">
        <f>+SUMIF('Monthly Energy Data'!$D$128:$D$595,'Tier 3 Data'!$A45,'Monthly Energy Data'!AH$128:AH$595)</f>
        <v>0</v>
      </c>
      <c r="J45" s="102">
        <f t="shared" si="34"/>
        <v>0</v>
      </c>
      <c r="K45" s="102">
        <f t="shared" si="35"/>
        <v>0</v>
      </c>
      <c r="L45" s="102">
        <f t="shared" si="36"/>
        <v>0</v>
      </c>
      <c r="M45" s="102">
        <f t="shared" si="37"/>
        <v>0</v>
      </c>
      <c r="N45" s="102">
        <f t="shared" si="38"/>
        <v>0</v>
      </c>
      <c r="O45" s="102">
        <f t="shared" si="39"/>
        <v>0</v>
      </c>
      <c r="P45" s="192"/>
      <c r="Q45" s="89">
        <f t="shared" si="0"/>
        <v>2050</v>
      </c>
      <c r="R45" s="102">
        <f t="shared" si="40"/>
        <v>0</v>
      </c>
      <c r="S45" s="102">
        <f t="shared" si="41"/>
        <v>0</v>
      </c>
      <c r="T45" s="102">
        <f>+SUMIF('Monthly Energy Data'!$D$128:$D$595,'Tier 3 Data'!$A45,'Monthly Energy Data'!Z$128:Z$595)</f>
        <v>0</v>
      </c>
      <c r="U45" s="195"/>
      <c r="V45" s="89">
        <f t="shared" si="1"/>
        <v>2050</v>
      </c>
      <c r="W45" s="102">
        <f t="shared" si="42"/>
        <v>0</v>
      </c>
      <c r="X45" s="196">
        <f t="shared" si="43"/>
        <v>0</v>
      </c>
      <c r="Y45" s="102">
        <f>+SUMIF('Monthly Energy Data'!$D$128:$D$595,'Tier 3 Data'!$A45,'Monthly Energy Data'!Y$128:Y$595)</f>
        <v>0</v>
      </c>
      <c r="Z45" s="197"/>
      <c r="AA45" s="89">
        <f t="shared" si="2"/>
        <v>2050</v>
      </c>
      <c r="AB45" s="102">
        <f t="shared" si="44"/>
        <v>0</v>
      </c>
      <c r="AC45" s="196">
        <f t="shared" si="45"/>
        <v>0</v>
      </c>
      <c r="AD45" s="102">
        <f>+SUMIF('Monthly Energy Data'!$D$128:$D$595,'Tier 3 Data'!$A45,'Monthly Energy Data'!AA$128:AA$595)</f>
        <v>0</v>
      </c>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5C2D-72CB-4199-88DB-8074CC6649B4}">
  <sheetPr>
    <tabColor rgb="FF92D050"/>
  </sheetPr>
  <dimension ref="A1:AR78"/>
  <sheetViews>
    <sheetView topLeftCell="F6" workbookViewId="0">
      <selection activeCell="AD22" sqref="AD22:AD35"/>
    </sheetView>
  </sheetViews>
  <sheetFormatPr defaultRowHeight="12.75" x14ac:dyDescent="0.2"/>
  <cols>
    <col min="3" max="3" width="11.28515625" bestFit="1" customWidth="1"/>
    <col min="4" max="4" width="10" customWidth="1"/>
    <col min="5" max="5" width="10.7109375" customWidth="1"/>
    <col min="6" max="6" width="12.28515625" customWidth="1"/>
    <col min="7" max="7" width="13" customWidth="1"/>
    <col min="8" max="8" width="13.140625" customWidth="1"/>
    <col min="13" max="13" width="8.85546875" customWidth="1"/>
    <col min="14" max="14" width="9.85546875" customWidth="1"/>
    <col min="15" max="21" width="9.85546875" hidden="1" customWidth="1"/>
    <col min="22" max="25" width="9.85546875" customWidth="1"/>
    <col min="26" max="26" width="12.140625" customWidth="1"/>
    <col min="43" max="43" width="10.7109375" customWidth="1"/>
    <col min="44" max="44" width="10.42578125" customWidth="1"/>
  </cols>
  <sheetData>
    <row r="1" spans="1:44" x14ac:dyDescent="0.2">
      <c r="B1" s="61" t="s">
        <v>90</v>
      </c>
    </row>
    <row r="3" spans="1:44" x14ac:dyDescent="0.2">
      <c r="B3" s="106" t="s">
        <v>210</v>
      </c>
      <c r="N3" s="61" t="s">
        <v>256</v>
      </c>
      <c r="X3" s="23">
        <f>+'Tier 3 Data'!A2</f>
        <v>0</v>
      </c>
      <c r="Y3" s="23"/>
      <c r="AN3" s="23"/>
      <c r="AP3" s="75">
        <v>0.02</v>
      </c>
    </row>
    <row r="4" spans="1:44" x14ac:dyDescent="0.2">
      <c r="G4" s="98" t="s">
        <v>494</v>
      </c>
      <c r="I4">
        <v>2</v>
      </c>
      <c r="J4">
        <v>2</v>
      </c>
      <c r="K4">
        <v>2</v>
      </c>
      <c r="L4">
        <v>2</v>
      </c>
      <c r="M4">
        <v>2</v>
      </c>
      <c r="N4">
        <v>2</v>
      </c>
      <c r="V4">
        <v>0</v>
      </c>
      <c r="W4">
        <v>0</v>
      </c>
      <c r="X4">
        <v>2</v>
      </c>
      <c r="Y4">
        <v>2</v>
      </c>
      <c r="AD4" s="61" t="s">
        <v>495</v>
      </c>
      <c r="AN4" s="184"/>
      <c r="AP4" s="186">
        <v>1</v>
      </c>
    </row>
    <row r="5" spans="1:44" ht="153" x14ac:dyDescent="0.2">
      <c r="A5" s="61" t="s">
        <v>144</v>
      </c>
      <c r="B5" s="108" t="s">
        <v>8</v>
      </c>
      <c r="C5" s="122" t="s">
        <v>203</v>
      </c>
      <c r="D5" s="122" t="s">
        <v>204</v>
      </c>
      <c r="E5" s="122" t="s">
        <v>205</v>
      </c>
      <c r="F5" s="85" t="str">
        <f>+'Annual Energy Data'!U7</f>
        <v>VELCO Forecast</v>
      </c>
      <c r="G5" s="85" t="str">
        <f>+'Annual Energy Data'!V7</f>
        <v>Climate Action Plan Forecast</v>
      </c>
      <c r="H5" s="85" t="str">
        <f>+'Annual Energy Data'!W7</f>
        <v>VEC Forecast</v>
      </c>
      <c r="I5" s="122" t="s">
        <v>191</v>
      </c>
      <c r="J5" s="122" t="str">
        <f>+'Annual Energy Data'!BE7</f>
        <v>Alburgh Solar</v>
      </c>
      <c r="K5" s="122" t="str">
        <f>+'Annual Energy Data'!BF7</f>
        <v>Magee Hill Solar</v>
      </c>
      <c r="L5" s="122" t="str">
        <f>+'Annual Energy Data'!BG7</f>
        <v>Grand Isle Solar</v>
      </c>
      <c r="M5" s="122" t="str">
        <f>+'Annual Energy Data'!BH7</f>
        <v>Jericho - Gravel Pit Solar</v>
      </c>
      <c r="N5" s="122" t="str">
        <f>+'Annual Energy Data'!BI7</f>
        <v>Jericho - Landfill Solar</v>
      </c>
      <c r="O5" s="122" t="str">
        <f>+'Annual Energy Data'!CJ7</f>
        <v>Proposed New Tier 2 Renewable C</v>
      </c>
      <c r="P5" s="122" t="str">
        <f>+'Annual Energy Data'!CK7</f>
        <v>Proposed New Tier 2 Renewable D</v>
      </c>
      <c r="Q5" s="122" t="str">
        <f>+'Annual Energy Data'!CL7</f>
        <v>Proposed New Tier 2 Renewable E</v>
      </c>
      <c r="R5" s="122" t="str">
        <f>+'Annual Energy Data'!CM7</f>
        <v>Proposed New Tier 2 Renewable F</v>
      </c>
      <c r="S5" s="122" t="str">
        <f>+'Annual Energy Data'!CN7</f>
        <v>Proposed New Tier 2 Renewable G</v>
      </c>
      <c r="T5" s="122" t="str">
        <f>+'Annual Energy Data'!CO7</f>
        <v>Proposed New Tier 2 Renewable H</v>
      </c>
      <c r="U5" s="122" t="str">
        <f>+'Annual Energy Data'!CP7</f>
        <v xml:space="preserve">Proposed New Tier 2 Renewable  I </v>
      </c>
      <c r="V5" s="122" t="str">
        <f>+'Tier 1 Data - MOU I.4'!AF5</f>
        <v>Kingdom Wind</v>
      </c>
      <c r="W5" s="122" t="str">
        <f>+'Annual Energy Data'!AP7</f>
        <v>Sheffield - Fixed Price</v>
      </c>
      <c r="X5" s="122" t="s">
        <v>339</v>
      </c>
      <c r="Y5" s="122" t="s">
        <v>340</v>
      </c>
      <c r="Z5" s="85" t="s">
        <v>493</v>
      </c>
      <c r="AA5" s="100" t="s">
        <v>166</v>
      </c>
      <c r="AB5" s="100" t="s">
        <v>167</v>
      </c>
      <c r="AC5" s="100" t="s">
        <v>168</v>
      </c>
      <c r="AD5" s="100" t="str">
        <f>+F5</f>
        <v>VELCO Forecast</v>
      </c>
      <c r="AE5" s="100" t="str">
        <f t="shared" ref="AE5:AF5" si="0">+G5</f>
        <v>Climate Action Plan Forecast</v>
      </c>
      <c r="AF5" s="100" t="str">
        <f t="shared" si="0"/>
        <v>VEC Forecast</v>
      </c>
      <c r="AG5" s="59" t="s">
        <v>206</v>
      </c>
      <c r="AK5" s="59" t="s">
        <v>346</v>
      </c>
      <c r="AL5" s="59" t="s">
        <v>347</v>
      </c>
      <c r="AM5" s="59" t="s">
        <v>348</v>
      </c>
      <c r="AN5" s="59" t="s">
        <v>349</v>
      </c>
      <c r="AO5" s="59" t="s">
        <v>350</v>
      </c>
      <c r="AP5" s="59" t="s">
        <v>351</v>
      </c>
      <c r="AQ5" s="59" t="s">
        <v>352</v>
      </c>
      <c r="AR5" s="59" t="s">
        <v>353</v>
      </c>
    </row>
    <row r="6" spans="1:44" x14ac:dyDescent="0.2">
      <c r="A6" s="74"/>
      <c r="B6" s="89">
        <f>+'Annual Energy Data'!A16</f>
        <v>2016</v>
      </c>
      <c r="C6" s="119"/>
      <c r="D6" s="119"/>
      <c r="E6" s="119"/>
      <c r="F6" s="119"/>
      <c r="G6" s="119"/>
      <c r="H6" s="119"/>
      <c r="I6" s="102">
        <f>+'Annual Energy Data'!AW16</f>
        <v>0</v>
      </c>
      <c r="J6" s="102"/>
      <c r="K6" s="102">
        <f>+'Annual Energy Data'!CH16</f>
        <v>0</v>
      </c>
      <c r="L6" s="102" t="e">
        <f>+'Annual Energy Data'!#REF!</f>
        <v>#REF!</v>
      </c>
      <c r="M6" s="102" t="e">
        <f>+'Annual Energy Data'!#REF!</f>
        <v>#REF!</v>
      </c>
      <c r="N6" s="102">
        <f>+'Annual Energy Data'!CI16</f>
        <v>0</v>
      </c>
      <c r="O6" s="102">
        <f>+'Annual Energy Data'!CJ16</f>
        <v>0</v>
      </c>
      <c r="P6" s="102">
        <f>+'Annual Energy Data'!CK16</f>
        <v>0</v>
      </c>
      <c r="Q6" s="102">
        <f>+'Annual Energy Data'!CL16</f>
        <v>0</v>
      </c>
      <c r="R6" s="102">
        <f>+'Annual Energy Data'!CM16</f>
        <v>0</v>
      </c>
      <c r="S6" s="102">
        <f>+'Annual Energy Data'!CN16</f>
        <v>0</v>
      </c>
      <c r="T6" s="102">
        <f>+'Annual Energy Data'!CO16</f>
        <v>0</v>
      </c>
      <c r="U6" s="102">
        <f>+'Annual Energy Data'!CP16</f>
        <v>0</v>
      </c>
      <c r="V6" s="102"/>
      <c r="W6" s="102"/>
      <c r="X6" s="102"/>
      <c r="Y6" s="102"/>
      <c r="Z6" s="102" t="e">
        <f>+SUM(I6:U6)</f>
        <v>#REF!</v>
      </c>
      <c r="AA6" s="120"/>
      <c r="AB6" s="120"/>
      <c r="AC6" s="120"/>
      <c r="AD6" s="120"/>
      <c r="AE6" s="120"/>
      <c r="AF6" s="120"/>
      <c r="AG6" s="73"/>
    </row>
    <row r="7" spans="1:44" x14ac:dyDescent="0.2">
      <c r="A7" s="74">
        <v>0</v>
      </c>
      <c r="B7" s="89">
        <f>+'Annual Energy Data'!A17</f>
        <v>2017</v>
      </c>
      <c r="C7" s="102">
        <f>+'Annual Energy Data'!I17*(1-'Tier 3 Data'!$A$2)*'Tier 2 Data - MOU I.6'!$A7</f>
        <v>0</v>
      </c>
      <c r="D7" s="102">
        <f>+'Annual Energy Data'!M17*(1-'Tier 3 Data'!$A$2)*'Tier 2 Data - MOU I.6'!$A7</f>
        <v>0</v>
      </c>
      <c r="E7" s="102">
        <f>+'Annual Energy Data'!Q17*(1-'Tier 3 Data'!$A$2)*'Tier 2 Data - MOU I.6'!$A7</f>
        <v>0</v>
      </c>
      <c r="F7" s="102">
        <f>+'Annual Energy Data'!U17*(1-'Tier 3 Data'!$A$2)*'Tier 2 Data - MOU I.6'!$A7</f>
        <v>0</v>
      </c>
      <c r="G7" s="102">
        <f>+'Annual Energy Data'!V17*(1-'Tier 3 Data'!$A$2)*'Tier 2 Data - MOU I.6'!$A7</f>
        <v>0</v>
      </c>
      <c r="H7" s="102">
        <f>+'Annual Energy Data'!W17*(1-'Tier 3 Data'!$A$2)*'Tier 2 Data - MOU I.6'!$A7</f>
        <v>0</v>
      </c>
      <c r="I7" s="102">
        <f>+'Annual Energy Data'!AW17</f>
        <v>0</v>
      </c>
      <c r="J7" s="102" t="e">
        <f>+'Annual Energy Data'!#REF!</f>
        <v>#REF!</v>
      </c>
      <c r="K7" s="102">
        <f>+'Annual Energy Data'!BE17</f>
        <v>0</v>
      </c>
      <c r="L7" s="102" t="e">
        <f>+'Annual Energy Data'!#REF!</f>
        <v>#REF!</v>
      </c>
      <c r="M7" s="102" t="e">
        <f>+'Annual Energy Data'!#REF!</f>
        <v>#REF!</v>
      </c>
      <c r="N7" s="102">
        <f>+'Annual Energy Data'!CI17</f>
        <v>0</v>
      </c>
      <c r="O7" s="102">
        <f>+'Annual Energy Data'!CJ17</f>
        <v>0</v>
      </c>
      <c r="P7" s="102">
        <f>+'Annual Energy Data'!CK17</f>
        <v>0</v>
      </c>
      <c r="Q7" s="102">
        <f>+'Annual Energy Data'!CL17</f>
        <v>0</v>
      </c>
      <c r="R7" s="102">
        <f>+'Annual Energy Data'!CM17</f>
        <v>0</v>
      </c>
      <c r="S7" s="102">
        <f>+'Annual Energy Data'!CN17</f>
        <v>0</v>
      </c>
      <c r="T7" s="102">
        <f>+'Annual Energy Data'!CO17</f>
        <v>0</v>
      </c>
      <c r="U7" s="102">
        <f>+'Annual Energy Data'!CP17</f>
        <v>0</v>
      </c>
      <c r="V7" s="102"/>
      <c r="W7" s="102"/>
      <c r="X7" s="102"/>
      <c r="Y7" s="102"/>
      <c r="Z7" s="102" t="e">
        <f>+SUM(I7:U7)</f>
        <v>#REF!</v>
      </c>
      <c r="AA7" s="88" t="e">
        <f t="shared" ref="AA7:AA40" si="1">+C7-$Z7</f>
        <v>#REF!</v>
      </c>
      <c r="AB7" s="88" t="e">
        <f t="shared" ref="AB7:AB40" si="2">+D7-$Z7</f>
        <v>#REF!</v>
      </c>
      <c r="AC7" s="88" t="e">
        <f t="shared" ref="AC7:AC40" si="3">+E7-$Z7</f>
        <v>#REF!</v>
      </c>
      <c r="AD7" s="88" t="e">
        <f t="shared" ref="AD7:AD40" si="4">+F7-$Z7</f>
        <v>#REF!</v>
      </c>
      <c r="AE7" s="88" t="e">
        <f t="shared" ref="AE7:AE40" si="5">+G7-$Z7</f>
        <v>#REF!</v>
      </c>
      <c r="AF7" s="88" t="e">
        <f t="shared" ref="AF7:AF40" si="6">+H7-$Z7</f>
        <v>#REF!</v>
      </c>
      <c r="AG7" s="73" t="e">
        <f>+SUM(AA$7:AA7)</f>
        <v>#REF!</v>
      </c>
    </row>
    <row r="8" spans="1:44" x14ac:dyDescent="0.2">
      <c r="A8" s="74">
        <v>0</v>
      </c>
      <c r="B8" s="89">
        <f>+'Annual Energy Data'!A18</f>
        <v>2018</v>
      </c>
      <c r="C8" s="102">
        <f>+'Tier 3 Data'!J13*'Tier 4 Data'!$A8</f>
        <v>0</v>
      </c>
      <c r="D8" s="102">
        <f>+'Tier 3 Data'!K13*'Tier 4 Data'!$A8</f>
        <v>0</v>
      </c>
      <c r="E8" s="102">
        <f>+'Tier 3 Data'!L13*'Tier 4 Data'!$A8</f>
        <v>0</v>
      </c>
      <c r="F8" s="102">
        <f>+'Tier 3 Data'!M13*'Tier 4 Data'!$A8</f>
        <v>0</v>
      </c>
      <c r="G8" s="102">
        <f>+'Tier 3 Data'!N13*'Tier 4 Data'!$A8</f>
        <v>0</v>
      </c>
      <c r="H8" s="102">
        <f>+'Tier 3 Data'!O13*'Tier 4 Data'!$A8</f>
        <v>0</v>
      </c>
      <c r="I8" s="102">
        <f>+SUM('Annual Energy Data'!AW18:BC18)-'Annual Energy Data'!AZ18</f>
        <v>0</v>
      </c>
      <c r="J8" s="102">
        <f>+'Annual Energy Data'!BE18</f>
        <v>1563.5555385546877</v>
      </c>
      <c r="K8" s="102">
        <f>+'Annual Energy Data'!BF18</f>
        <v>2042.4462658448258</v>
      </c>
      <c r="L8" s="102">
        <f>+'Annual Energy Data'!BG18</f>
        <v>7391.9241895999985</v>
      </c>
      <c r="M8" s="102">
        <f>+'Annual Energy Data'!BH18</f>
        <v>0</v>
      </c>
      <c r="N8" s="102">
        <f>+'Annual Energy Data'!BI18</f>
        <v>0</v>
      </c>
      <c r="O8" s="102">
        <f>+'Annual Energy Data'!CJ18</f>
        <v>0</v>
      </c>
      <c r="P8" s="102">
        <f>+'Annual Energy Data'!CK18</f>
        <v>0</v>
      </c>
      <c r="Q8" s="102">
        <f>+'Annual Energy Data'!CL18</f>
        <v>0</v>
      </c>
      <c r="R8" s="102">
        <f>+'Annual Energy Data'!CM18</f>
        <v>0</v>
      </c>
      <c r="S8" s="102">
        <f>+'Annual Energy Data'!CN18</f>
        <v>0</v>
      </c>
      <c r="T8" s="102">
        <f>+'Annual Energy Data'!CO18</f>
        <v>0</v>
      </c>
      <c r="U8" s="102">
        <f>+'Annual Energy Data'!CP18</f>
        <v>0</v>
      </c>
      <c r="V8" s="102"/>
      <c r="W8" s="102"/>
      <c r="X8" s="125">
        <v>2500</v>
      </c>
      <c r="Y8" s="125"/>
      <c r="Z8" s="102">
        <f t="shared" ref="Z8:Z40" si="7">+SUM(I8:Y8)</f>
        <v>13497.925993999512</v>
      </c>
      <c r="AA8" s="88">
        <f t="shared" si="1"/>
        <v>-13497.925993999512</v>
      </c>
      <c r="AB8" s="88">
        <f t="shared" si="2"/>
        <v>-13497.925993999512</v>
      </c>
      <c r="AC8" s="88">
        <f t="shared" si="3"/>
        <v>-13497.925993999512</v>
      </c>
      <c r="AD8" s="88">
        <f t="shared" si="4"/>
        <v>-13497.925993999512</v>
      </c>
      <c r="AE8" s="88">
        <f t="shared" si="5"/>
        <v>-13497.925993999512</v>
      </c>
      <c r="AF8" s="88">
        <f t="shared" si="6"/>
        <v>-13497.925993999512</v>
      </c>
      <c r="AG8" s="73" t="e">
        <f>+SUM(AA$7:AA8)</f>
        <v>#REF!</v>
      </c>
      <c r="AK8" s="58">
        <f t="shared" ref="AK8:AK40" si="8">+F8-$J8-$X8-$Y8</f>
        <v>-4063.5555385546877</v>
      </c>
      <c r="AL8" s="58">
        <f t="shared" ref="AL8:AL40" si="9">+G8-$J8-$X8-$Y8</f>
        <v>-4063.5555385546877</v>
      </c>
      <c r="AM8" s="58">
        <f>+Z8-J8-X8-Y8</f>
        <v>9434.3704554448232</v>
      </c>
      <c r="AN8" s="58">
        <f>+$AM8-AK8</f>
        <v>13497.92599399951</v>
      </c>
      <c r="AO8" s="58">
        <f>+$AM8-AL8</f>
        <v>13497.92599399951</v>
      </c>
      <c r="AP8" s="184">
        <f>+AP4</f>
        <v>1</v>
      </c>
      <c r="AQ8" s="172">
        <f>+$AP8*AN8</f>
        <v>13497.92599399951</v>
      </c>
      <c r="AR8" s="172">
        <f>+$AP8*AO8</f>
        <v>13497.92599399951</v>
      </c>
    </row>
    <row r="9" spans="1:44" x14ac:dyDescent="0.2">
      <c r="A9" s="74">
        <v>0</v>
      </c>
      <c r="B9" s="89">
        <f>+'Annual Energy Data'!A19</f>
        <v>2019</v>
      </c>
      <c r="C9" s="102">
        <f>+'Tier 3 Data'!J14*'Tier 4 Data'!$A9</f>
        <v>0</v>
      </c>
      <c r="D9" s="102">
        <f>+'Tier 3 Data'!K14*'Tier 4 Data'!$A9</f>
        <v>0</v>
      </c>
      <c r="E9" s="102">
        <f>+'Tier 3 Data'!L14*'Tier 4 Data'!$A9</f>
        <v>0</v>
      </c>
      <c r="F9" s="102">
        <f>+'Tier 3 Data'!M14*'Tier 4 Data'!$A9</f>
        <v>0</v>
      </c>
      <c r="G9" s="102">
        <f>+'Tier 3 Data'!N14*'Tier 4 Data'!$A9</f>
        <v>0</v>
      </c>
      <c r="H9" s="102">
        <f>+'Tier 3 Data'!O14*'Tier 4 Data'!$A9</f>
        <v>0</v>
      </c>
      <c r="I9" s="102">
        <f>+SUM('Annual Energy Data'!AW19:BC19)-'Annual Energy Data'!AZ19</f>
        <v>0</v>
      </c>
      <c r="J9" s="102">
        <f>+'Annual Energy Data'!BE19</f>
        <v>1555.7377608619142</v>
      </c>
      <c r="K9" s="102">
        <f>+'Annual Energy Data'!BF19</f>
        <v>2032.2340345156022</v>
      </c>
      <c r="L9" s="102">
        <f>+'Annual Energy Data'!BG19</f>
        <v>7354.9645686519989</v>
      </c>
      <c r="M9" s="102">
        <f>+'Annual Energy Data'!BH19</f>
        <v>104.27841821299998</v>
      </c>
      <c r="N9" s="102">
        <f>+'Annual Energy Data'!BI19</f>
        <v>110.30647615900003</v>
      </c>
      <c r="O9" s="102">
        <f>+'Annual Energy Data'!CJ19</f>
        <v>0</v>
      </c>
      <c r="P9" s="102">
        <f>+'Annual Energy Data'!CK19</f>
        <v>0</v>
      </c>
      <c r="Q9" s="102">
        <f>+'Annual Energy Data'!CL19</f>
        <v>0</v>
      </c>
      <c r="R9" s="102">
        <f>+'Annual Energy Data'!CM19</f>
        <v>0</v>
      </c>
      <c r="S9" s="102">
        <f>+'Annual Energy Data'!CN19</f>
        <v>0</v>
      </c>
      <c r="T9" s="102">
        <f>+'Annual Energy Data'!CO19</f>
        <v>0</v>
      </c>
      <c r="U9" s="102">
        <f>+'Annual Energy Data'!CP19</f>
        <v>0</v>
      </c>
      <c r="V9" s="102">
        <f>+'Annual Energy Data'!AO19</f>
        <v>21852.818120600001</v>
      </c>
      <c r="W9" s="102">
        <f>+'Annual Energy Data'!AP19</f>
        <v>21870.601500000001</v>
      </c>
      <c r="X9" s="102">
        <f>+SUMIF('Monthly Energy Data'!$D$128:$D$595,$B9,'Monthly Energy Data'!N$128:N$595)/(1+$X$3)</f>
        <v>0</v>
      </c>
      <c r="Y9" s="102">
        <f>+SUMIF('Monthly Energy Data'!$D$128:$D$595,$B9,'Monthly Energy Data'!O$128:O$595)/(1+$X$3)</f>
        <v>0</v>
      </c>
      <c r="Z9" s="102">
        <f t="shared" si="7"/>
        <v>54880.940879001515</v>
      </c>
      <c r="AA9" s="88">
        <f t="shared" si="1"/>
        <v>-54880.940879001515</v>
      </c>
      <c r="AB9" s="88">
        <f t="shared" si="2"/>
        <v>-54880.940879001515</v>
      </c>
      <c r="AC9" s="88">
        <f t="shared" si="3"/>
        <v>-54880.940879001515</v>
      </c>
      <c r="AD9" s="88">
        <f t="shared" si="4"/>
        <v>-54880.940879001515</v>
      </c>
      <c r="AE9" s="88">
        <f t="shared" si="5"/>
        <v>-54880.940879001515</v>
      </c>
      <c r="AF9" s="88">
        <f t="shared" si="6"/>
        <v>-54880.940879001515</v>
      </c>
      <c r="AG9" s="73" t="e">
        <f>+SUM(AA$7:AA9)</f>
        <v>#REF!</v>
      </c>
      <c r="AH9" s="58">
        <f>+Y9+X9+M9+J9+0.5*K9</f>
        <v>2676.1331963327152</v>
      </c>
      <c r="AI9" s="58">
        <f t="shared" ref="AI9:AI40" si="10">+G9-AH9</f>
        <v>-2676.1331963327152</v>
      </c>
      <c r="AJ9" s="58"/>
      <c r="AK9" s="58">
        <f t="shared" si="8"/>
        <v>-1555.7377608619142</v>
      </c>
      <c r="AL9" s="58">
        <f t="shared" si="9"/>
        <v>-1555.7377608619142</v>
      </c>
      <c r="AM9" s="58">
        <f t="shared" ref="AM9:AM40" si="11">+Z9-J9-X9-Y9</f>
        <v>53325.203118139601</v>
      </c>
      <c r="AN9" s="58">
        <f t="shared" ref="AN9:AO28" si="12">+$AM9-AK9</f>
        <v>54880.940879001515</v>
      </c>
      <c r="AO9" s="58">
        <f t="shared" si="12"/>
        <v>54880.940879001515</v>
      </c>
      <c r="AP9" s="184">
        <f>+AP8*(1+$AP$3)</f>
        <v>1.02</v>
      </c>
      <c r="AQ9" s="172">
        <f t="shared" ref="AQ9:AR28" si="13">+$AP9*AN9</f>
        <v>55978.559696581549</v>
      </c>
      <c r="AR9" s="172">
        <f t="shared" si="13"/>
        <v>55978.559696581549</v>
      </c>
    </row>
    <row r="10" spans="1:44" x14ac:dyDescent="0.2">
      <c r="A10" s="74">
        <v>0</v>
      </c>
      <c r="B10" s="89">
        <f>+'Annual Energy Data'!A20</f>
        <v>2020</v>
      </c>
      <c r="C10" s="102">
        <f>+'Tier 3 Data'!J15*'Tier 4 Data'!$A10</f>
        <v>0</v>
      </c>
      <c r="D10" s="102">
        <f>+'Tier 3 Data'!K15*'Tier 4 Data'!$A10</f>
        <v>0</v>
      </c>
      <c r="E10" s="102">
        <f>+'Tier 3 Data'!L15*'Tier 4 Data'!$A10</f>
        <v>0</v>
      </c>
      <c r="F10" s="102">
        <f>+'Tier 3 Data'!M15*'Tier 4 Data'!$A10</f>
        <v>0</v>
      </c>
      <c r="G10" s="102">
        <f>+'Tier 3 Data'!N15*'Tier 4 Data'!$A10</f>
        <v>0</v>
      </c>
      <c r="H10" s="102">
        <f>+'Tier 3 Data'!O15*'Tier 4 Data'!$A10</f>
        <v>0</v>
      </c>
      <c r="I10" s="102">
        <f>+SUM('Annual Energy Data'!AW20:BC20)-'Annual Energy Data'!AZ20</f>
        <v>0</v>
      </c>
      <c r="J10" s="102">
        <f>+'Annual Energy Data'!BE20</f>
        <v>1547.9590720576043</v>
      </c>
      <c r="K10" s="102">
        <f>+'Annual Energy Data'!BF20</f>
        <v>2022.0728643430239</v>
      </c>
      <c r="L10" s="102">
        <f>+'Annual Energy Data'!BG20</f>
        <v>7318.1897458087387</v>
      </c>
      <c r="M10" s="102">
        <f>+'Annual Energy Data'!BH20</f>
        <v>2496.0633875839344</v>
      </c>
      <c r="N10" s="102">
        <f>+'Annual Energy Data'!BI20</f>
        <v>2730.1972840272051</v>
      </c>
      <c r="O10" s="102">
        <f>+'Annual Energy Data'!CJ20</f>
        <v>0</v>
      </c>
      <c r="P10" s="102">
        <f>+'Annual Energy Data'!CK20</f>
        <v>0</v>
      </c>
      <c r="Q10" s="102">
        <f>+'Annual Energy Data'!CL20</f>
        <v>0</v>
      </c>
      <c r="R10" s="102">
        <f>+'Annual Energy Data'!CM20</f>
        <v>0</v>
      </c>
      <c r="S10" s="102">
        <f>+'Annual Energy Data'!CN20</f>
        <v>0</v>
      </c>
      <c r="T10" s="102">
        <f>+'Annual Energy Data'!CO20</f>
        <v>0</v>
      </c>
      <c r="U10" s="102">
        <f>+'Annual Energy Data'!CP20</f>
        <v>0</v>
      </c>
      <c r="V10" s="102">
        <f>+'Annual Energy Data'!AO20</f>
        <v>21852.818120600001</v>
      </c>
      <c r="W10" s="102">
        <f>+'Annual Energy Data'!AP20</f>
        <v>21870.601500000001</v>
      </c>
      <c r="X10" s="102">
        <f>+SUMIF('Monthly Energy Data'!$D$128:$D$595,$B10,'Monthly Energy Data'!N$128:N$595)/(1+$X$3)</f>
        <v>0</v>
      </c>
      <c r="Y10" s="102">
        <f>+SUMIF('Monthly Energy Data'!$D$128:$D$595,$B10,'Monthly Energy Data'!O$128:O$595)/(1+$X$3)</f>
        <v>0</v>
      </c>
      <c r="Z10" s="102">
        <f t="shared" si="7"/>
        <v>59837.901974420514</v>
      </c>
      <c r="AA10" s="88">
        <f t="shared" si="1"/>
        <v>-59837.901974420514</v>
      </c>
      <c r="AB10" s="88">
        <f t="shared" si="2"/>
        <v>-59837.901974420514</v>
      </c>
      <c r="AC10" s="88">
        <f t="shared" si="3"/>
        <v>-59837.901974420514</v>
      </c>
      <c r="AD10" s="88">
        <f t="shared" si="4"/>
        <v>-59837.901974420514</v>
      </c>
      <c r="AE10" s="88">
        <f t="shared" si="5"/>
        <v>-59837.901974420514</v>
      </c>
      <c r="AF10" s="88">
        <f t="shared" si="6"/>
        <v>-59837.901974420514</v>
      </c>
      <c r="AG10" s="73" t="e">
        <f>+SUM(AA$7:AA10)</f>
        <v>#REF!</v>
      </c>
      <c r="AH10" s="58">
        <f t="shared" ref="AH10:AH40" si="14">+Y10+X10+M10+J10+0.5*K10</f>
        <v>5055.0588918130506</v>
      </c>
      <c r="AI10" s="58">
        <f t="shared" si="10"/>
        <v>-5055.0588918130506</v>
      </c>
      <c r="AK10" s="58">
        <f t="shared" si="8"/>
        <v>-1547.9590720576043</v>
      </c>
      <c r="AL10" s="58">
        <f t="shared" si="9"/>
        <v>-1547.9590720576043</v>
      </c>
      <c r="AM10" s="58">
        <f t="shared" si="11"/>
        <v>58289.942902362913</v>
      </c>
      <c r="AN10" s="58">
        <f t="shared" si="12"/>
        <v>59837.901974420514</v>
      </c>
      <c r="AO10" s="58">
        <f t="shared" si="12"/>
        <v>59837.901974420514</v>
      </c>
      <c r="AP10" s="184">
        <f t="shared" ref="AP10:AP40" si="15">+AP9*(1+$AP$3)</f>
        <v>1.0404</v>
      </c>
      <c r="AQ10" s="172">
        <f t="shared" si="13"/>
        <v>62255.353214187104</v>
      </c>
      <c r="AR10" s="172">
        <f t="shared" si="13"/>
        <v>62255.353214187104</v>
      </c>
    </row>
    <row r="11" spans="1:44" x14ac:dyDescent="0.2">
      <c r="A11" s="74">
        <v>0</v>
      </c>
      <c r="B11" s="89">
        <f>+'Annual Energy Data'!A21</f>
        <v>2021</v>
      </c>
      <c r="C11" s="102">
        <f>+'Tier 3 Data'!J16*'Tier 4 Data'!$A11</f>
        <v>0</v>
      </c>
      <c r="D11" s="102">
        <f>+'Tier 3 Data'!K16*'Tier 4 Data'!$A11</f>
        <v>0</v>
      </c>
      <c r="E11" s="102">
        <f>+'Tier 3 Data'!L16*'Tier 4 Data'!$A11</f>
        <v>0</v>
      </c>
      <c r="F11" s="102">
        <f>+'Tier 3 Data'!M16*'Tier 4 Data'!$A11</f>
        <v>0</v>
      </c>
      <c r="G11" s="102">
        <f>+'Tier 3 Data'!N16*'Tier 4 Data'!$A11</f>
        <v>0</v>
      </c>
      <c r="H11" s="102">
        <f>+'Tier 3 Data'!O16*'Tier 4 Data'!$A11</f>
        <v>0</v>
      </c>
      <c r="I11" s="102">
        <f>+SUM('Annual Energy Data'!AW21:BC21)-'Annual Energy Data'!AZ21</f>
        <v>0</v>
      </c>
      <c r="J11" s="102">
        <f>+'Annual Energy Data'!BE21</f>
        <v>1540.2192766973164</v>
      </c>
      <c r="K11" s="102">
        <f>+'Annual Energy Data'!BF21</f>
        <v>2011.9625000213089</v>
      </c>
      <c r="L11" s="102">
        <f>+'Annual Energy Data'!BG21</f>
        <v>7281.5987970796941</v>
      </c>
      <c r="M11" s="102">
        <f>+'Annual Energy Data'!BH21</f>
        <v>2483.5830706460142</v>
      </c>
      <c r="N11" s="102">
        <f>+'Annual Energy Data'!BI21</f>
        <v>2716.5462976070689</v>
      </c>
      <c r="O11" s="102">
        <f>+'Annual Energy Data'!CJ21</f>
        <v>0</v>
      </c>
      <c r="P11" s="102">
        <f>+'Annual Energy Data'!CK21</f>
        <v>0</v>
      </c>
      <c r="Q11" s="102">
        <f>+'Annual Energy Data'!CL21</f>
        <v>0</v>
      </c>
      <c r="R11" s="102">
        <f>+'Annual Energy Data'!CM21</f>
        <v>0</v>
      </c>
      <c r="S11" s="102">
        <f>+'Annual Energy Data'!CN21</f>
        <v>0</v>
      </c>
      <c r="T11" s="102">
        <f>+'Annual Energy Data'!CO21</f>
        <v>0</v>
      </c>
      <c r="U11" s="102">
        <f>+'Annual Energy Data'!CP21</f>
        <v>0</v>
      </c>
      <c r="V11" s="102">
        <f>+'Annual Energy Data'!AO21</f>
        <v>21852.818120600001</v>
      </c>
      <c r="W11" s="102">
        <f>+'Annual Energy Data'!AP21</f>
        <v>17159.5815</v>
      </c>
      <c r="X11" s="102">
        <f>+SUMIF('Monthly Energy Data'!$D$128:$D$595,$B11,'Monthly Energy Data'!N$128:N$595)/(1+$X$3)</f>
        <v>0</v>
      </c>
      <c r="Y11" s="102">
        <f>+SUMIF('Monthly Energy Data'!$D$128:$D$595,$B11,'Monthly Energy Data'!O$128:O$595)/(1+$X$3)</f>
        <v>0</v>
      </c>
      <c r="Z11" s="102">
        <f t="shared" si="7"/>
        <v>55046.309562651404</v>
      </c>
      <c r="AA11" s="88">
        <f t="shared" si="1"/>
        <v>-55046.309562651404</v>
      </c>
      <c r="AB11" s="88">
        <f t="shared" si="2"/>
        <v>-55046.309562651404</v>
      </c>
      <c r="AC11" s="88">
        <f t="shared" si="3"/>
        <v>-55046.309562651404</v>
      </c>
      <c r="AD11" s="88">
        <f t="shared" si="4"/>
        <v>-55046.309562651404</v>
      </c>
      <c r="AE11" s="88">
        <f t="shared" si="5"/>
        <v>-55046.309562651404</v>
      </c>
      <c r="AF11" s="88">
        <f t="shared" si="6"/>
        <v>-55046.309562651404</v>
      </c>
      <c r="AG11" s="73" t="e">
        <f>+SUM(AA$7:AA11)</f>
        <v>#REF!</v>
      </c>
      <c r="AH11" s="58">
        <f t="shared" si="14"/>
        <v>5029.783597353985</v>
      </c>
      <c r="AI11" s="58">
        <f t="shared" si="10"/>
        <v>-5029.783597353985</v>
      </c>
      <c r="AK11" s="58">
        <f t="shared" si="8"/>
        <v>-1540.2192766973164</v>
      </c>
      <c r="AL11" s="58">
        <f t="shared" si="9"/>
        <v>-1540.2192766973164</v>
      </c>
      <c r="AM11" s="58">
        <f t="shared" si="11"/>
        <v>53506.090285954087</v>
      </c>
      <c r="AN11" s="58">
        <f t="shared" si="12"/>
        <v>55046.309562651404</v>
      </c>
      <c r="AO11" s="58">
        <f t="shared" si="12"/>
        <v>55046.309562651404</v>
      </c>
      <c r="AP11" s="184">
        <f t="shared" si="15"/>
        <v>1.0612079999999999</v>
      </c>
      <c r="AQ11" s="172">
        <f t="shared" si="13"/>
        <v>58415.584078362168</v>
      </c>
      <c r="AR11" s="172">
        <f t="shared" si="13"/>
        <v>58415.584078362168</v>
      </c>
    </row>
    <row r="12" spans="1:44" x14ac:dyDescent="0.2">
      <c r="A12" s="74">
        <v>0</v>
      </c>
      <c r="B12" s="89">
        <f>+'Annual Energy Data'!A22</f>
        <v>2022</v>
      </c>
      <c r="C12" s="102">
        <f>+'Tier 3 Data'!J17*'Tier 4 Data'!$A12</f>
        <v>0</v>
      </c>
      <c r="D12" s="102">
        <f>+'Tier 3 Data'!K17*'Tier 4 Data'!$A12</f>
        <v>0</v>
      </c>
      <c r="E12" s="102">
        <f>+'Tier 3 Data'!L17*'Tier 4 Data'!$A12</f>
        <v>0</v>
      </c>
      <c r="F12" s="102">
        <f>+'Tier 3 Data'!M17*'Tier 4 Data'!$A12</f>
        <v>0</v>
      </c>
      <c r="G12" s="102">
        <f>+'Tier 3 Data'!N17*'Tier 4 Data'!$A12</f>
        <v>0</v>
      </c>
      <c r="H12" s="102">
        <f>+'Tier 3 Data'!O17*'Tier 4 Data'!$A12</f>
        <v>0</v>
      </c>
      <c r="I12" s="102">
        <f>+IF($I$4&gt;0,0,SUM('Annual Energy Data'!AQ22:BC22)-'Annual Energy Data'!AZ22-'Annual Energy Data'!AT22)</f>
        <v>0</v>
      </c>
      <c r="J12" s="102">
        <f>+'Annual Energy Data'!BE22</f>
        <v>1532.51818031383</v>
      </c>
      <c r="K12" s="102">
        <f>+'Annual Energy Data'!BF22</f>
        <v>2001.9026875212026</v>
      </c>
      <c r="L12" s="102">
        <f>+'Annual Energy Data'!BG22</f>
        <v>7245.1908030942959</v>
      </c>
      <c r="M12" s="102">
        <f>+'Annual Energy Data'!BH22</f>
        <v>2482.2026793876735</v>
      </c>
      <c r="N12" s="102">
        <f>+'Annual Energy Data'!BI22</f>
        <v>2723.0291845376846</v>
      </c>
      <c r="O12" s="102">
        <f>+'Annual Energy Data'!CJ22</f>
        <v>0</v>
      </c>
      <c r="P12" s="102">
        <f>+'Annual Energy Data'!CK22</f>
        <v>0</v>
      </c>
      <c r="Q12" s="102">
        <f>+'Annual Energy Data'!CL22</f>
        <v>0</v>
      </c>
      <c r="R12" s="102">
        <f>+'Annual Energy Data'!CM22</f>
        <v>0</v>
      </c>
      <c r="S12" s="102">
        <f>+'Annual Energy Data'!CN22</f>
        <v>0</v>
      </c>
      <c r="T12" s="102">
        <f>+'Annual Energy Data'!CO22</f>
        <v>0</v>
      </c>
      <c r="U12" s="102">
        <f>+'Annual Energy Data'!CP22</f>
        <v>0</v>
      </c>
      <c r="V12" s="102">
        <f>+'Annual Energy Data'!AO22</f>
        <v>21326.281999999999</v>
      </c>
      <c r="W12" s="102">
        <f>+'Annual Energy Data'!AP22</f>
        <v>0</v>
      </c>
      <c r="X12" s="102">
        <f>+SUMIF('Monthly Energy Data'!$D$128:$D$595,$B12,'Monthly Energy Data'!N$128:N$595)/(1+$X$3)</f>
        <v>0</v>
      </c>
      <c r="Y12" s="102">
        <f>+SUMIF('Monthly Energy Data'!$D$128:$D$595,$B12,'Monthly Energy Data'!O$128:O$595)/(1+$X$3)</f>
        <v>0</v>
      </c>
      <c r="Z12" s="102">
        <f t="shared" si="7"/>
        <v>37311.125534854684</v>
      </c>
      <c r="AA12" s="88">
        <f t="shared" si="1"/>
        <v>-37311.125534854684</v>
      </c>
      <c r="AB12" s="88">
        <f t="shared" si="2"/>
        <v>-37311.125534854684</v>
      </c>
      <c r="AC12" s="88">
        <f t="shared" si="3"/>
        <v>-37311.125534854684</v>
      </c>
      <c r="AD12" s="88">
        <f t="shared" si="4"/>
        <v>-37311.125534854684</v>
      </c>
      <c r="AE12" s="88">
        <f t="shared" si="5"/>
        <v>-37311.125534854684</v>
      </c>
      <c r="AF12" s="88">
        <f t="shared" si="6"/>
        <v>-37311.125534854684</v>
      </c>
      <c r="AG12" s="73" t="e">
        <f>+SUM(AA$7:AA12)</f>
        <v>#REF!</v>
      </c>
      <c r="AH12" s="58">
        <f t="shared" si="14"/>
        <v>5015.6722034621043</v>
      </c>
      <c r="AI12" s="58">
        <f t="shared" si="10"/>
        <v>-5015.6722034621043</v>
      </c>
      <c r="AJ12">
        <f>+AI12*40</f>
        <v>-200626.88813848418</v>
      </c>
      <c r="AK12" s="58">
        <f t="shared" si="8"/>
        <v>-1532.51818031383</v>
      </c>
      <c r="AL12" s="58">
        <f t="shared" si="9"/>
        <v>-1532.51818031383</v>
      </c>
      <c r="AM12" s="58">
        <f t="shared" si="11"/>
        <v>35778.607354540851</v>
      </c>
      <c r="AN12" s="58">
        <f t="shared" si="12"/>
        <v>37311.125534854684</v>
      </c>
      <c r="AO12" s="58">
        <f t="shared" si="12"/>
        <v>37311.125534854684</v>
      </c>
      <c r="AP12" s="184">
        <f t="shared" si="15"/>
        <v>1.08243216</v>
      </c>
      <c r="AQ12" s="172">
        <f t="shared" si="13"/>
        <v>40386.762204723913</v>
      </c>
      <c r="AR12" s="172">
        <f t="shared" si="13"/>
        <v>40386.762204723913</v>
      </c>
    </row>
    <row r="13" spans="1:44" x14ac:dyDescent="0.2">
      <c r="A13" s="74">
        <v>0</v>
      </c>
      <c r="B13" s="89">
        <f>+'Annual Energy Data'!A23</f>
        <v>2023</v>
      </c>
      <c r="C13" s="102">
        <f>+'Tier 3 Data'!J18*'Tier 4 Data'!$A13</f>
        <v>0</v>
      </c>
      <c r="D13" s="102">
        <f>+'Tier 3 Data'!K18*'Tier 4 Data'!$A13</f>
        <v>0</v>
      </c>
      <c r="E13" s="102">
        <f>+'Tier 3 Data'!L18*'Tier 4 Data'!$A13</f>
        <v>0</v>
      </c>
      <c r="F13" s="102">
        <f>+'Tier 3 Data'!M18*'Tier 4 Data'!$A13</f>
        <v>0</v>
      </c>
      <c r="G13" s="102">
        <f>+'Tier 3 Data'!N18*'Tier 4 Data'!$A13</f>
        <v>0</v>
      </c>
      <c r="H13" s="102">
        <f>+'Tier 3 Data'!O18*'Tier 4 Data'!$A13</f>
        <v>0</v>
      </c>
      <c r="I13" s="102">
        <f>+IF($I$4&gt;0,0,SUM('Annual Energy Data'!AQ23:BC23)-'Annual Energy Data'!AZ23-'Annual Energy Data'!AT23)</f>
        <v>0</v>
      </c>
      <c r="J13" s="102">
        <f>+'Annual Energy Data'!BE23</f>
        <v>1524.8555894122608</v>
      </c>
      <c r="K13" s="102">
        <f>+'Annual Energy Data'!BF23</f>
        <v>1991.8931740835963</v>
      </c>
      <c r="L13" s="102">
        <f>+'Annual Energy Data'!BG23</f>
        <v>7208.9648490788259</v>
      </c>
      <c r="M13" s="102">
        <f>+'Annual Energy Data'!BH23</f>
        <v>2469.7916659907355</v>
      </c>
      <c r="N13" s="102">
        <f>+'Annual Energy Data'!BI23</f>
        <v>2709.4140386149966</v>
      </c>
      <c r="O13" s="102">
        <f>+'Annual Energy Data'!CJ23</f>
        <v>0</v>
      </c>
      <c r="P13" s="102">
        <f>+'Annual Energy Data'!CK23</f>
        <v>0</v>
      </c>
      <c r="Q13" s="102">
        <f>+'Annual Energy Data'!CL23</f>
        <v>0</v>
      </c>
      <c r="R13" s="102">
        <f>+'Annual Energy Data'!CM23</f>
        <v>0</v>
      </c>
      <c r="S13" s="102">
        <f>+'Annual Energy Data'!CN23</f>
        <v>0</v>
      </c>
      <c r="T13" s="102">
        <f>+'Annual Energy Data'!CO23</f>
        <v>0</v>
      </c>
      <c r="U13" s="102">
        <f>+'Annual Energy Data'!CP23</f>
        <v>0</v>
      </c>
      <c r="V13" s="102">
        <f>+'Annual Energy Data'!AO23</f>
        <v>21326.281999999999</v>
      </c>
      <c r="W13" s="102">
        <f>+'Annual Energy Data'!AP23</f>
        <v>7822.4674999999988</v>
      </c>
      <c r="X13" s="102">
        <f>+SUMIF('Monthly Energy Data'!$D$128:$D$595,$B13,'Monthly Energy Data'!N$128:N$595)/(1+$X$3)</f>
        <v>0</v>
      </c>
      <c r="Y13" s="102">
        <f>+SUMIF('Monthly Energy Data'!$D$128:$D$595,$B13,'Monthly Energy Data'!O$128:O$595)/(1+$X$3)</f>
        <v>0</v>
      </c>
      <c r="Z13" s="102">
        <f t="shared" si="7"/>
        <v>45053.668817180413</v>
      </c>
      <c r="AA13" s="88">
        <f t="shared" si="1"/>
        <v>-45053.668817180413</v>
      </c>
      <c r="AB13" s="88">
        <f t="shared" si="2"/>
        <v>-45053.668817180413</v>
      </c>
      <c r="AC13" s="88">
        <f t="shared" si="3"/>
        <v>-45053.668817180413</v>
      </c>
      <c r="AD13" s="88">
        <f t="shared" si="4"/>
        <v>-45053.668817180413</v>
      </c>
      <c r="AE13" s="88">
        <f t="shared" si="5"/>
        <v>-45053.668817180413</v>
      </c>
      <c r="AF13" s="88">
        <f t="shared" si="6"/>
        <v>-45053.668817180413</v>
      </c>
      <c r="AG13" s="73" t="e">
        <f>+SUM(AA$7:AA13)</f>
        <v>#REF!</v>
      </c>
      <c r="AH13" s="58">
        <f t="shared" si="14"/>
        <v>4990.5938424447941</v>
      </c>
      <c r="AI13" s="58">
        <f t="shared" si="10"/>
        <v>-4990.5938424447941</v>
      </c>
      <c r="AJ13">
        <f t="shared" ref="AJ13:AJ29" si="16">+AI13*40</f>
        <v>-199623.75369779178</v>
      </c>
      <c r="AK13" s="58">
        <f t="shared" si="8"/>
        <v>-1524.8555894122608</v>
      </c>
      <c r="AL13" s="58">
        <f t="shared" si="9"/>
        <v>-1524.8555894122608</v>
      </c>
      <c r="AM13" s="58">
        <f t="shared" si="11"/>
        <v>43528.813227768151</v>
      </c>
      <c r="AN13" s="58">
        <f t="shared" si="12"/>
        <v>45053.668817180413</v>
      </c>
      <c r="AO13" s="58">
        <f t="shared" si="12"/>
        <v>45053.668817180413</v>
      </c>
      <c r="AP13" s="184">
        <f t="shared" si="15"/>
        <v>1.1040808032</v>
      </c>
      <c r="AQ13" s="172">
        <f t="shared" si="13"/>
        <v>49742.890854779347</v>
      </c>
      <c r="AR13" s="172">
        <f t="shared" si="13"/>
        <v>49742.890854779347</v>
      </c>
    </row>
    <row r="14" spans="1:44" x14ac:dyDescent="0.2">
      <c r="A14" s="74">
        <v>0</v>
      </c>
      <c r="B14" s="89">
        <f>+'Annual Energy Data'!A24</f>
        <v>2024</v>
      </c>
      <c r="C14" s="102">
        <f>+'Tier 3 Data'!J19*'Tier 4 Data'!$A14</f>
        <v>0</v>
      </c>
      <c r="D14" s="102">
        <f>+'Tier 3 Data'!K19*'Tier 4 Data'!$A14</f>
        <v>0</v>
      </c>
      <c r="E14" s="102">
        <f>+'Tier 3 Data'!L19*'Tier 4 Data'!$A14</f>
        <v>0</v>
      </c>
      <c r="F14" s="102">
        <f>+'Tier 3 Data'!M19*'Tier 4 Data'!$A14</f>
        <v>0</v>
      </c>
      <c r="G14" s="102">
        <f>+'Tier 3 Data'!N19*'Tier 4 Data'!$A14</f>
        <v>0</v>
      </c>
      <c r="H14" s="102">
        <f>+'Tier 3 Data'!O19*'Tier 4 Data'!$A14</f>
        <v>0</v>
      </c>
      <c r="I14" s="102">
        <f>+IF($I$4&gt;0,0,SUM('Annual Energy Data'!AQ24:BC24)-'Annual Energy Data'!AZ24-'Annual Energy Data'!AT24)</f>
        <v>0</v>
      </c>
      <c r="J14" s="102">
        <f>+IF($J$4&gt;0,0,'Annual Energy Data'!BE24)</f>
        <v>0</v>
      </c>
      <c r="K14" s="102">
        <f>+IF($K$4&gt;0,0,'Annual Energy Data'!BF24)</f>
        <v>0</v>
      </c>
      <c r="L14" s="102">
        <f>+IF($L$4&gt;0,0,'Annual Energy Data'!BG24)</f>
        <v>0</v>
      </c>
      <c r="M14" s="102">
        <f>+IF($M$4&gt;0,0,'Annual Energy Data'!BH24)</f>
        <v>0</v>
      </c>
      <c r="N14" s="102">
        <f>+IF($N$4&gt;0,0,'Annual Energy Data'!BI24)</f>
        <v>0</v>
      </c>
      <c r="O14" s="102">
        <f>+'Annual Energy Data'!CJ24</f>
        <v>0</v>
      </c>
      <c r="P14" s="102">
        <f>+'Annual Energy Data'!CK24</f>
        <v>0</v>
      </c>
      <c r="Q14" s="102">
        <f>+'Annual Energy Data'!CL24</f>
        <v>0</v>
      </c>
      <c r="R14" s="102">
        <f>+'Annual Energy Data'!CM24</f>
        <v>0</v>
      </c>
      <c r="S14" s="102">
        <f>+'Annual Energy Data'!CN24</f>
        <v>0</v>
      </c>
      <c r="T14" s="102">
        <f>+'Annual Energy Data'!CO24</f>
        <v>0</v>
      </c>
      <c r="U14" s="102">
        <f>+'Annual Energy Data'!CP24</f>
        <v>0</v>
      </c>
      <c r="V14" s="102">
        <f>+IF($V$4&gt;0,0,'Annual Energy Data'!AO24)</f>
        <v>21326.281999999999</v>
      </c>
      <c r="W14" s="102">
        <f>+IF($W$4&gt;0,0,'Annual Energy Data'!AP24)</f>
        <v>7822.4674999999988</v>
      </c>
      <c r="X14" s="102">
        <f>+IF($X$4&gt;0,0,SUMIF('Monthly Energy Data'!$D$128:$D$595,$B14,'Monthly Energy Data'!N$128:N$595)/(1+$X$3))</f>
        <v>0</v>
      </c>
      <c r="Y14" s="102">
        <f>+IF($Y$4&gt;0,0,SUMIF('Monthly Energy Data'!$D$128:$D$595,$B14,'Monthly Energy Data'!O$128:O$595)/(1+$X$3))</f>
        <v>0</v>
      </c>
      <c r="Z14" s="102">
        <f t="shared" si="7"/>
        <v>29148.749499999998</v>
      </c>
      <c r="AA14" s="88">
        <f t="shared" si="1"/>
        <v>-29148.749499999998</v>
      </c>
      <c r="AB14" s="88">
        <f t="shared" si="2"/>
        <v>-29148.749499999998</v>
      </c>
      <c r="AC14" s="88">
        <f t="shared" si="3"/>
        <v>-29148.749499999998</v>
      </c>
      <c r="AD14" s="88">
        <f t="shared" si="4"/>
        <v>-29148.749499999998</v>
      </c>
      <c r="AE14" s="88">
        <f t="shared" si="5"/>
        <v>-29148.749499999998</v>
      </c>
      <c r="AF14" s="88">
        <f t="shared" si="6"/>
        <v>-29148.749499999998</v>
      </c>
      <c r="AG14" s="73" t="e">
        <f>+SUM(AA$7:AA14)</f>
        <v>#REF!</v>
      </c>
      <c r="AH14" s="58">
        <f t="shared" si="14"/>
        <v>0</v>
      </c>
      <c r="AI14" s="58">
        <f t="shared" si="10"/>
        <v>0</v>
      </c>
      <c r="AJ14">
        <f t="shared" si="16"/>
        <v>0</v>
      </c>
      <c r="AK14" s="58">
        <f t="shared" si="8"/>
        <v>0</v>
      </c>
      <c r="AL14" s="58">
        <f t="shared" si="9"/>
        <v>0</v>
      </c>
      <c r="AM14" s="58">
        <f t="shared" si="11"/>
        <v>29148.749499999998</v>
      </c>
      <c r="AN14" s="58">
        <f t="shared" si="12"/>
        <v>29148.749499999998</v>
      </c>
      <c r="AO14" s="58">
        <f t="shared" si="12"/>
        <v>29148.749499999998</v>
      </c>
      <c r="AP14" s="184">
        <f t="shared" si="15"/>
        <v>1.1261624192640001</v>
      </c>
      <c r="AQ14" s="172">
        <f t="shared" si="13"/>
        <v>32826.226255440313</v>
      </c>
      <c r="AR14" s="172">
        <f t="shared" si="13"/>
        <v>32826.226255440313</v>
      </c>
    </row>
    <row r="15" spans="1:44" x14ac:dyDescent="0.2">
      <c r="A15" s="74">
        <v>0</v>
      </c>
      <c r="B15" s="89">
        <f>+'Annual Energy Data'!A25</f>
        <v>2025</v>
      </c>
      <c r="C15" s="102">
        <f>+'Tier 3 Data'!J20*'Tier 4 Data'!$A15</f>
        <v>0</v>
      </c>
      <c r="D15" s="102">
        <f>+'Tier 3 Data'!K20*'Tier 4 Data'!$A15</f>
        <v>0</v>
      </c>
      <c r="E15" s="102">
        <f>+'Tier 3 Data'!L20*'Tier 4 Data'!$A15</f>
        <v>0</v>
      </c>
      <c r="F15" s="102">
        <f>+'Tier 3 Data'!M20*'Tier 4 Data'!$A15</f>
        <v>0</v>
      </c>
      <c r="G15" s="102">
        <f>+'Tier 3 Data'!N20*'Tier 4 Data'!$A15</f>
        <v>0</v>
      </c>
      <c r="H15" s="102">
        <f>+'Tier 3 Data'!O20*'Tier 4 Data'!$A15</f>
        <v>0</v>
      </c>
      <c r="I15" s="102">
        <f>+IF($I$4&gt;0,0,SUM('Annual Energy Data'!AQ25:BC25)-'Annual Energy Data'!AZ25-'Annual Energy Data'!AT25)</f>
        <v>0</v>
      </c>
      <c r="J15" s="102">
        <f>+IF($J$4&gt;0,0,'Annual Energy Data'!BE25)</f>
        <v>0</v>
      </c>
      <c r="K15" s="102">
        <f>+IF($K$4&gt;0,0,'Annual Energy Data'!BF25)</f>
        <v>0</v>
      </c>
      <c r="L15" s="102">
        <f>+IF($L$4&gt;0,0,'Annual Energy Data'!BG25)</f>
        <v>0</v>
      </c>
      <c r="M15" s="102">
        <f>+IF($M$4&gt;0,0,'Annual Energy Data'!BH25)</f>
        <v>0</v>
      </c>
      <c r="N15" s="102">
        <f>+IF($N$4&gt;0,0,'Annual Energy Data'!BI25)</f>
        <v>0</v>
      </c>
      <c r="O15" s="102">
        <f>+'Annual Energy Data'!CJ25</f>
        <v>0</v>
      </c>
      <c r="P15" s="102">
        <f>+'Annual Energy Data'!CK25</f>
        <v>0</v>
      </c>
      <c r="Q15" s="102">
        <f>+'Annual Energy Data'!CL25</f>
        <v>0</v>
      </c>
      <c r="R15" s="102">
        <f>+'Annual Energy Data'!CM25</f>
        <v>0</v>
      </c>
      <c r="S15" s="102">
        <f>+'Annual Energy Data'!CN25</f>
        <v>0</v>
      </c>
      <c r="T15" s="102">
        <f>+'Annual Energy Data'!CO25</f>
        <v>0</v>
      </c>
      <c r="U15" s="102">
        <f>+'Annual Energy Data'!CP25</f>
        <v>0</v>
      </c>
      <c r="V15" s="102">
        <f>+IF($V$4&gt;0,0,'Annual Energy Data'!AO25)</f>
        <v>21326.281999999999</v>
      </c>
      <c r="W15" s="102">
        <f>+IF($W$4&gt;0,0,'Annual Energy Data'!AP25)</f>
        <v>7822.4674999999988</v>
      </c>
      <c r="X15" s="102">
        <f>+IF($X$4&gt;0,0,SUMIF('Monthly Energy Data'!$D$128:$D$595,$B15,'Monthly Energy Data'!N$128:N$595)/(1+$X$3))</f>
        <v>0</v>
      </c>
      <c r="Y15" s="102">
        <f>+IF($Y$4&gt;0,0,SUMIF('Monthly Energy Data'!$D$128:$D$595,$B15,'Monthly Energy Data'!O$128:O$595)/(1+$X$3))</f>
        <v>0</v>
      </c>
      <c r="Z15" s="102">
        <f t="shared" si="7"/>
        <v>29148.749499999998</v>
      </c>
      <c r="AA15" s="88">
        <f t="shared" si="1"/>
        <v>-29148.749499999998</v>
      </c>
      <c r="AB15" s="88">
        <f t="shared" si="2"/>
        <v>-29148.749499999998</v>
      </c>
      <c r="AC15" s="88">
        <f t="shared" si="3"/>
        <v>-29148.749499999998</v>
      </c>
      <c r="AD15" s="88">
        <f t="shared" si="4"/>
        <v>-29148.749499999998</v>
      </c>
      <c r="AE15" s="88">
        <f t="shared" si="5"/>
        <v>-29148.749499999998</v>
      </c>
      <c r="AF15" s="88">
        <f t="shared" si="6"/>
        <v>-29148.749499999998</v>
      </c>
      <c r="AG15" s="73" t="e">
        <f>+SUM(AA$7:AA15)</f>
        <v>#REF!</v>
      </c>
      <c r="AH15" s="58">
        <f t="shared" si="14"/>
        <v>0</v>
      </c>
      <c r="AI15" s="58">
        <f t="shared" si="10"/>
        <v>0</v>
      </c>
      <c r="AJ15">
        <f t="shared" si="16"/>
        <v>0</v>
      </c>
      <c r="AK15" s="58">
        <f t="shared" si="8"/>
        <v>0</v>
      </c>
      <c r="AL15" s="58">
        <f t="shared" si="9"/>
        <v>0</v>
      </c>
      <c r="AM15" s="58">
        <f t="shared" si="11"/>
        <v>29148.749499999998</v>
      </c>
      <c r="AN15" s="58">
        <f t="shared" si="12"/>
        <v>29148.749499999998</v>
      </c>
      <c r="AO15" s="58">
        <f t="shared" si="12"/>
        <v>29148.749499999998</v>
      </c>
      <c r="AP15" s="184">
        <f t="shared" si="15"/>
        <v>1.14868566764928</v>
      </c>
      <c r="AQ15" s="172">
        <f t="shared" si="13"/>
        <v>33482.750780549119</v>
      </c>
      <c r="AR15" s="172">
        <f t="shared" si="13"/>
        <v>33482.750780549119</v>
      </c>
    </row>
    <row r="16" spans="1:44" x14ac:dyDescent="0.2">
      <c r="A16" s="74">
        <v>0</v>
      </c>
      <c r="B16" s="89">
        <f>+'Annual Energy Data'!A26</f>
        <v>2026</v>
      </c>
      <c r="C16" s="102">
        <f>+'Tier 3 Data'!J21*'Tier 4 Data'!$A16</f>
        <v>0</v>
      </c>
      <c r="D16" s="102">
        <f>+'Tier 3 Data'!K21*'Tier 4 Data'!$A16</f>
        <v>0</v>
      </c>
      <c r="E16" s="102">
        <f>+'Tier 3 Data'!L21*'Tier 4 Data'!$A16</f>
        <v>0</v>
      </c>
      <c r="F16" s="102">
        <f>+'Tier 3 Data'!M21*'Tier 4 Data'!$A16</f>
        <v>0</v>
      </c>
      <c r="G16" s="102">
        <f>+'Tier 3 Data'!N21*'Tier 4 Data'!$A16</f>
        <v>0</v>
      </c>
      <c r="H16" s="102">
        <f>+'Tier 3 Data'!O21*'Tier 4 Data'!$A16</f>
        <v>0</v>
      </c>
      <c r="I16" s="102">
        <f>+IF($I$4&gt;0,0,SUM('Annual Energy Data'!AQ26:BC26)-'Annual Energy Data'!AZ26-'Annual Energy Data'!AT26)</f>
        <v>0</v>
      </c>
      <c r="J16" s="102">
        <f>+IF($J$4&gt;0,0,'Annual Energy Data'!BE26)</f>
        <v>0</v>
      </c>
      <c r="K16" s="102">
        <f>+IF($K$4&gt;0,0,'Annual Energy Data'!BF26)</f>
        <v>0</v>
      </c>
      <c r="L16" s="102">
        <f>+IF($L$4&gt;0,0,'Annual Energy Data'!BG26)</f>
        <v>0</v>
      </c>
      <c r="M16" s="102">
        <f>+IF($M$4&gt;0,0,'Annual Energy Data'!BH26)</f>
        <v>0</v>
      </c>
      <c r="N16" s="102">
        <f>+IF($N$4&gt;0,0,'Annual Energy Data'!BI26)</f>
        <v>0</v>
      </c>
      <c r="O16" s="102">
        <f>+'Annual Energy Data'!CJ26</f>
        <v>0</v>
      </c>
      <c r="P16" s="102">
        <f>+'Annual Energy Data'!CK26</f>
        <v>0</v>
      </c>
      <c r="Q16" s="102">
        <f>+'Annual Energy Data'!CL26</f>
        <v>0</v>
      </c>
      <c r="R16" s="102">
        <f>+'Annual Energy Data'!CM26</f>
        <v>0</v>
      </c>
      <c r="S16" s="102">
        <f>+'Annual Energy Data'!CN26</f>
        <v>0</v>
      </c>
      <c r="T16" s="102">
        <f>+'Annual Energy Data'!CO26</f>
        <v>0</v>
      </c>
      <c r="U16" s="102">
        <f>+'Annual Energy Data'!CP26</f>
        <v>0</v>
      </c>
      <c r="V16" s="102">
        <f>+IF($V$4&gt;0,0,'Annual Energy Data'!AO26)</f>
        <v>21326.281999999999</v>
      </c>
      <c r="W16" s="102">
        <f>+IF($W$4&gt;0,0,'Annual Energy Data'!AP26)</f>
        <v>15644.934999999998</v>
      </c>
      <c r="X16" s="102">
        <f>+IF($X$4&gt;0,0,SUMIF('Monthly Energy Data'!$D$128:$D$595,$B16,'Monthly Energy Data'!N$128:N$595)/(1+$X$3))</f>
        <v>0</v>
      </c>
      <c r="Y16" s="102">
        <f>+IF($Y$4&gt;0,0,SUMIF('Monthly Energy Data'!$D$128:$D$595,$B16,'Monthly Energy Data'!O$128:O$595)/(1+$X$3))</f>
        <v>0</v>
      </c>
      <c r="Z16" s="102">
        <f t="shared" si="7"/>
        <v>36971.216999999997</v>
      </c>
      <c r="AA16" s="88">
        <f t="shared" si="1"/>
        <v>-36971.216999999997</v>
      </c>
      <c r="AB16" s="88">
        <f t="shared" si="2"/>
        <v>-36971.216999999997</v>
      </c>
      <c r="AC16" s="88">
        <f t="shared" si="3"/>
        <v>-36971.216999999997</v>
      </c>
      <c r="AD16" s="88">
        <f t="shared" si="4"/>
        <v>-36971.216999999997</v>
      </c>
      <c r="AE16" s="88">
        <f t="shared" si="5"/>
        <v>-36971.216999999997</v>
      </c>
      <c r="AF16" s="88">
        <f t="shared" si="6"/>
        <v>-36971.216999999997</v>
      </c>
      <c r="AG16" s="73" t="e">
        <f>+SUM(AA$7:AA16)</f>
        <v>#REF!</v>
      </c>
      <c r="AH16" s="58">
        <f t="shared" si="14"/>
        <v>0</v>
      </c>
      <c r="AI16" s="58">
        <f t="shared" si="10"/>
        <v>0</v>
      </c>
      <c r="AJ16">
        <f t="shared" si="16"/>
        <v>0</v>
      </c>
      <c r="AK16" s="58">
        <f t="shared" si="8"/>
        <v>0</v>
      </c>
      <c r="AL16" s="58">
        <f t="shared" si="9"/>
        <v>0</v>
      </c>
      <c r="AM16" s="58">
        <f t="shared" si="11"/>
        <v>36971.216999999997</v>
      </c>
      <c r="AN16" s="58">
        <f t="shared" si="12"/>
        <v>36971.216999999997</v>
      </c>
      <c r="AO16" s="58">
        <f t="shared" si="12"/>
        <v>36971.216999999997</v>
      </c>
      <c r="AP16" s="184">
        <f t="shared" si="15"/>
        <v>1.1716593810022657</v>
      </c>
      <c r="AQ16" s="172">
        <f t="shared" si="13"/>
        <v>43317.673225120438</v>
      </c>
      <c r="AR16" s="172">
        <f t="shared" si="13"/>
        <v>43317.673225120438</v>
      </c>
    </row>
    <row r="17" spans="1:44" x14ac:dyDescent="0.2">
      <c r="A17" s="74">
        <v>0</v>
      </c>
      <c r="B17" s="89">
        <f>+'Annual Energy Data'!A27</f>
        <v>2027</v>
      </c>
      <c r="C17" s="102">
        <f>+'Tier 3 Data'!J22*'Tier 4 Data'!$A17</f>
        <v>0</v>
      </c>
      <c r="D17" s="102">
        <f>+'Tier 3 Data'!K22*'Tier 4 Data'!$A17</f>
        <v>0</v>
      </c>
      <c r="E17" s="102">
        <f>+'Tier 3 Data'!L22*'Tier 4 Data'!$A17</f>
        <v>0</v>
      </c>
      <c r="F17" s="102">
        <f>+'Tier 3 Data'!M22*'Tier 4 Data'!$A17</f>
        <v>0</v>
      </c>
      <c r="G17" s="102">
        <f>+'Tier 3 Data'!N22*'Tier 4 Data'!$A17</f>
        <v>0</v>
      </c>
      <c r="H17" s="102">
        <f>+'Tier 3 Data'!O22*'Tier 4 Data'!$A17</f>
        <v>0</v>
      </c>
      <c r="I17" s="102">
        <f>+IF($I$4&gt;0,0,SUM('Annual Energy Data'!AQ27:BC27)-'Annual Energy Data'!AZ27-'Annual Energy Data'!AT27)</f>
        <v>0</v>
      </c>
      <c r="J17" s="102">
        <f>+IF($J$4&gt;0,0,'Annual Energy Data'!BE27)</f>
        <v>0</v>
      </c>
      <c r="K17" s="102">
        <f>+IF($K$4&gt;0,0,'Annual Energy Data'!BF27)</f>
        <v>0</v>
      </c>
      <c r="L17" s="102">
        <f>+IF($L$4&gt;0,0,'Annual Energy Data'!BG27)</f>
        <v>0</v>
      </c>
      <c r="M17" s="102">
        <f>+IF($M$4&gt;0,0,'Annual Energy Data'!BH27)</f>
        <v>0</v>
      </c>
      <c r="N17" s="102">
        <f>+IF($N$4&gt;0,0,'Annual Energy Data'!BI27)</f>
        <v>0</v>
      </c>
      <c r="O17" s="102">
        <f>+'Annual Energy Data'!CJ27</f>
        <v>0</v>
      </c>
      <c r="P17" s="102">
        <f>+'Annual Energy Data'!CK27</f>
        <v>0</v>
      </c>
      <c r="Q17" s="102">
        <f>+'Annual Energy Data'!CL27</f>
        <v>0</v>
      </c>
      <c r="R17" s="102">
        <f>+'Annual Energy Data'!CM27</f>
        <v>0</v>
      </c>
      <c r="S17" s="102">
        <f>+'Annual Energy Data'!CN27</f>
        <v>0</v>
      </c>
      <c r="T17" s="102">
        <f>+'Annual Energy Data'!CO27</f>
        <v>0</v>
      </c>
      <c r="U17" s="102">
        <f>+'Annual Energy Data'!CP27</f>
        <v>0</v>
      </c>
      <c r="V17" s="102">
        <f>+IF($V$4&gt;0,0,'Annual Energy Data'!AO27)</f>
        <v>21326.281999999999</v>
      </c>
      <c r="W17" s="102">
        <f>+IF($W$4&gt;0,0,'Annual Energy Data'!AP27)</f>
        <v>15644.934999999998</v>
      </c>
      <c r="X17" s="102">
        <f>+IF($X$4&gt;0,0,SUMIF('Monthly Energy Data'!$D$128:$D$595,$B17,'Monthly Energy Data'!N$128:N$595)/(1+$X$3))</f>
        <v>0</v>
      </c>
      <c r="Y17" s="102">
        <f>+IF($Y$4&gt;0,0,SUMIF('Monthly Energy Data'!$D$128:$D$595,$B17,'Monthly Energy Data'!O$128:O$595)/(1+$X$3))</f>
        <v>0</v>
      </c>
      <c r="Z17" s="102">
        <f t="shared" si="7"/>
        <v>36971.216999999997</v>
      </c>
      <c r="AA17" s="88">
        <f t="shared" si="1"/>
        <v>-36971.216999999997</v>
      </c>
      <c r="AB17" s="88">
        <f t="shared" si="2"/>
        <v>-36971.216999999997</v>
      </c>
      <c r="AC17" s="88">
        <f t="shared" si="3"/>
        <v>-36971.216999999997</v>
      </c>
      <c r="AD17" s="88">
        <f t="shared" si="4"/>
        <v>-36971.216999999997</v>
      </c>
      <c r="AE17" s="88">
        <f t="shared" si="5"/>
        <v>-36971.216999999997</v>
      </c>
      <c r="AF17" s="88">
        <f t="shared" si="6"/>
        <v>-36971.216999999997</v>
      </c>
      <c r="AG17" s="73" t="e">
        <f>+SUM(AA$7:AA17)</f>
        <v>#REF!</v>
      </c>
      <c r="AH17" s="58">
        <f t="shared" si="14"/>
        <v>0</v>
      </c>
      <c r="AI17" s="58">
        <f t="shared" si="10"/>
        <v>0</v>
      </c>
      <c r="AJ17">
        <f t="shared" si="16"/>
        <v>0</v>
      </c>
      <c r="AK17" s="58">
        <f t="shared" si="8"/>
        <v>0</v>
      </c>
      <c r="AL17" s="58">
        <f t="shared" si="9"/>
        <v>0</v>
      </c>
      <c r="AM17" s="58">
        <f t="shared" si="11"/>
        <v>36971.216999999997</v>
      </c>
      <c r="AN17" s="58">
        <f t="shared" si="12"/>
        <v>36971.216999999997</v>
      </c>
      <c r="AO17" s="58">
        <f t="shared" si="12"/>
        <v>36971.216999999997</v>
      </c>
      <c r="AP17" s="184">
        <f t="shared" si="15"/>
        <v>1.1950925686223111</v>
      </c>
      <c r="AQ17" s="172">
        <f t="shared" si="13"/>
        <v>44184.02668962285</v>
      </c>
      <c r="AR17" s="172">
        <f t="shared" si="13"/>
        <v>44184.02668962285</v>
      </c>
    </row>
    <row r="18" spans="1:44" x14ac:dyDescent="0.2">
      <c r="A18" s="74">
        <v>0</v>
      </c>
      <c r="B18" s="89">
        <f>+'Annual Energy Data'!A28</f>
        <v>2028</v>
      </c>
      <c r="C18" s="102">
        <f>+'Tier 3 Data'!J23*'Tier 4 Data'!$A18</f>
        <v>0</v>
      </c>
      <c r="D18" s="102">
        <f>+'Tier 3 Data'!K23*'Tier 4 Data'!$A18</f>
        <v>0</v>
      </c>
      <c r="E18" s="102">
        <f>+'Tier 3 Data'!L23*'Tier 4 Data'!$A18</f>
        <v>0</v>
      </c>
      <c r="F18" s="102">
        <f>+'Tier 3 Data'!M23*'Tier 4 Data'!$A18</f>
        <v>0</v>
      </c>
      <c r="G18" s="102">
        <f>+'Tier 3 Data'!N23*'Tier 4 Data'!$A18</f>
        <v>0</v>
      </c>
      <c r="H18" s="102">
        <f>+'Tier 3 Data'!O23*'Tier 4 Data'!$A18</f>
        <v>0</v>
      </c>
      <c r="I18" s="102">
        <f>+IF($I$4&gt;0,0,SUM('Annual Energy Data'!AQ28:BC28)-'Annual Energy Data'!AZ28-'Annual Energy Data'!AT28)</f>
        <v>0</v>
      </c>
      <c r="J18" s="102">
        <f>+IF($J$4&gt;0,0,'Annual Energy Data'!BE28)</f>
        <v>0</v>
      </c>
      <c r="K18" s="102">
        <f>+IF($K$4&gt;0,0,'Annual Energy Data'!BF28)</f>
        <v>0</v>
      </c>
      <c r="L18" s="102">
        <f>+IF($L$4&gt;0,0,'Annual Energy Data'!BG28)</f>
        <v>0</v>
      </c>
      <c r="M18" s="102">
        <f>+IF($M$4&gt;0,0,'Annual Energy Data'!BH28)</f>
        <v>0</v>
      </c>
      <c r="N18" s="102">
        <f>+IF($N$4&gt;0,0,'Annual Energy Data'!BI28)</f>
        <v>0</v>
      </c>
      <c r="O18" s="102">
        <f>+'Annual Energy Data'!CJ28</f>
        <v>0</v>
      </c>
      <c r="P18" s="102">
        <f>+'Annual Energy Data'!CK28</f>
        <v>0</v>
      </c>
      <c r="Q18" s="102">
        <f>+'Annual Energy Data'!CL28</f>
        <v>0</v>
      </c>
      <c r="R18" s="102">
        <f>+'Annual Energy Data'!CM28</f>
        <v>0</v>
      </c>
      <c r="S18" s="102">
        <f>+'Annual Energy Data'!CN28</f>
        <v>0</v>
      </c>
      <c r="T18" s="102">
        <f>+'Annual Energy Data'!CO28</f>
        <v>0</v>
      </c>
      <c r="U18" s="102">
        <f>+'Annual Energy Data'!CP28</f>
        <v>0</v>
      </c>
      <c r="V18" s="102">
        <f>+IF($V$4&gt;0,0,'Annual Energy Data'!AO28)</f>
        <v>21326.281999999999</v>
      </c>
      <c r="W18" s="102">
        <f>+IF($W$4&gt;0,0,'Annual Energy Data'!AP28)</f>
        <v>15644.934999999998</v>
      </c>
      <c r="X18" s="102">
        <f>+IF($X$4&gt;0,0,SUMIF('Monthly Energy Data'!$D$128:$D$595,$B18,'Monthly Energy Data'!N$128:N$595)/(1+$X$3))</f>
        <v>0</v>
      </c>
      <c r="Y18" s="102">
        <f>+IF($Y$4&gt;0,0,SUMIF('Monthly Energy Data'!$D$128:$D$595,$B18,'Monthly Energy Data'!O$128:O$595)/(1+$X$3))</f>
        <v>0</v>
      </c>
      <c r="Z18" s="102">
        <f t="shared" si="7"/>
        <v>36971.216999999997</v>
      </c>
      <c r="AA18" s="88">
        <f t="shared" si="1"/>
        <v>-36971.216999999997</v>
      </c>
      <c r="AB18" s="88">
        <f t="shared" si="2"/>
        <v>-36971.216999999997</v>
      </c>
      <c r="AC18" s="88">
        <f t="shared" si="3"/>
        <v>-36971.216999999997</v>
      </c>
      <c r="AD18" s="88">
        <f t="shared" si="4"/>
        <v>-36971.216999999997</v>
      </c>
      <c r="AE18" s="88">
        <f t="shared" si="5"/>
        <v>-36971.216999999997</v>
      </c>
      <c r="AF18" s="88">
        <f t="shared" si="6"/>
        <v>-36971.216999999997</v>
      </c>
      <c r="AG18" s="73" t="e">
        <f>+SUM(AA$7:AA18)</f>
        <v>#REF!</v>
      </c>
      <c r="AH18" s="58">
        <f t="shared" si="14"/>
        <v>0</v>
      </c>
      <c r="AI18" s="58">
        <f t="shared" si="10"/>
        <v>0</v>
      </c>
      <c r="AJ18">
        <f t="shared" si="16"/>
        <v>0</v>
      </c>
      <c r="AK18" s="58">
        <f t="shared" si="8"/>
        <v>0</v>
      </c>
      <c r="AL18" s="58">
        <f t="shared" si="9"/>
        <v>0</v>
      </c>
      <c r="AM18" s="58">
        <f t="shared" si="11"/>
        <v>36971.216999999997</v>
      </c>
      <c r="AN18" s="58">
        <f t="shared" si="12"/>
        <v>36971.216999999997</v>
      </c>
      <c r="AO18" s="58">
        <f t="shared" si="12"/>
        <v>36971.216999999997</v>
      </c>
      <c r="AP18" s="184">
        <f t="shared" si="15"/>
        <v>1.2189944199947573</v>
      </c>
      <c r="AQ18" s="172">
        <f t="shared" si="13"/>
        <v>45067.707223415309</v>
      </c>
      <c r="AR18" s="172">
        <f t="shared" si="13"/>
        <v>45067.707223415309</v>
      </c>
    </row>
    <row r="19" spans="1:44" x14ac:dyDescent="0.2">
      <c r="A19" s="74">
        <v>0</v>
      </c>
      <c r="B19" s="89">
        <f>+'Annual Energy Data'!A29</f>
        <v>2029</v>
      </c>
      <c r="C19" s="102">
        <f>+'Tier 3 Data'!J24*'Tier 4 Data'!$A19</f>
        <v>0</v>
      </c>
      <c r="D19" s="102">
        <f>+'Tier 3 Data'!K24*'Tier 4 Data'!$A19</f>
        <v>0</v>
      </c>
      <c r="E19" s="102">
        <f>+'Tier 3 Data'!L24*'Tier 4 Data'!$A19</f>
        <v>0</v>
      </c>
      <c r="F19" s="102">
        <f>+'Tier 3 Data'!M24*'Tier 4 Data'!$A19</f>
        <v>0</v>
      </c>
      <c r="G19" s="102">
        <f>+'Tier 3 Data'!N24*'Tier 4 Data'!$A19</f>
        <v>0</v>
      </c>
      <c r="H19" s="102">
        <f>+'Tier 3 Data'!O24*'Tier 4 Data'!$A19</f>
        <v>0</v>
      </c>
      <c r="I19" s="102">
        <f>+IF($I$4&gt;0,0,SUM('Annual Energy Data'!AQ29:BC29)-'Annual Energy Data'!AZ29-'Annual Energy Data'!AT29)</f>
        <v>0</v>
      </c>
      <c r="J19" s="102">
        <f>+IF($J$4&gt;0,0,'Annual Energy Data'!BE29)</f>
        <v>0</v>
      </c>
      <c r="K19" s="102">
        <f>+IF($K$4&gt;0,0,'Annual Energy Data'!BF29)</f>
        <v>0</v>
      </c>
      <c r="L19" s="102">
        <f>+IF($L$4&gt;0,0,'Annual Energy Data'!BG29)</f>
        <v>0</v>
      </c>
      <c r="M19" s="102">
        <f>+IF($M$4&gt;0,0,'Annual Energy Data'!BH29)</f>
        <v>0</v>
      </c>
      <c r="N19" s="102">
        <f>+IF($N$4&gt;0,0,'Annual Energy Data'!BI29)</f>
        <v>0</v>
      </c>
      <c r="O19" s="102">
        <f>+'Annual Energy Data'!CJ29</f>
        <v>0</v>
      </c>
      <c r="P19" s="102">
        <f>+'Annual Energy Data'!CK29</f>
        <v>0</v>
      </c>
      <c r="Q19" s="102">
        <f>+'Annual Energy Data'!CL29</f>
        <v>0</v>
      </c>
      <c r="R19" s="102">
        <f>+'Annual Energy Data'!CM29</f>
        <v>0</v>
      </c>
      <c r="S19" s="102">
        <f>+'Annual Energy Data'!CN29</f>
        <v>0</v>
      </c>
      <c r="T19" s="102">
        <f>+'Annual Energy Data'!CO29</f>
        <v>0</v>
      </c>
      <c r="U19" s="102">
        <f>+'Annual Energy Data'!CP29</f>
        <v>0</v>
      </c>
      <c r="V19" s="102">
        <f>+IF($V$4&gt;0,0,'Annual Energy Data'!AO29)</f>
        <v>21326.281999999999</v>
      </c>
      <c r="W19" s="102">
        <f>+IF($W$4&gt;0,0,'Annual Energy Data'!AP29)</f>
        <v>15644.934999999998</v>
      </c>
      <c r="X19" s="102">
        <f>+IF($X$4&gt;0,0,SUMIF('Monthly Energy Data'!$D$128:$D$595,$B19,'Monthly Energy Data'!N$128:N$595)/(1+$X$3))</f>
        <v>0</v>
      </c>
      <c r="Y19" s="102">
        <f>+IF($Y$4&gt;0,0,SUMIF('Monthly Energy Data'!$D$128:$D$595,$B19,'Monthly Energy Data'!O$128:O$595)/(1+$X$3))</f>
        <v>0</v>
      </c>
      <c r="Z19" s="102">
        <f t="shared" si="7"/>
        <v>36971.216999999997</v>
      </c>
      <c r="AA19" s="88">
        <f t="shared" si="1"/>
        <v>-36971.216999999997</v>
      </c>
      <c r="AB19" s="88">
        <f t="shared" si="2"/>
        <v>-36971.216999999997</v>
      </c>
      <c r="AC19" s="88">
        <f t="shared" si="3"/>
        <v>-36971.216999999997</v>
      </c>
      <c r="AD19" s="88">
        <f t="shared" si="4"/>
        <v>-36971.216999999997</v>
      </c>
      <c r="AE19" s="88">
        <f t="shared" si="5"/>
        <v>-36971.216999999997</v>
      </c>
      <c r="AF19" s="88">
        <f t="shared" si="6"/>
        <v>-36971.216999999997</v>
      </c>
      <c r="AG19" s="73" t="e">
        <f>+SUM(AA$7:AA19)</f>
        <v>#REF!</v>
      </c>
      <c r="AH19" s="58">
        <f t="shared" si="14"/>
        <v>0</v>
      </c>
      <c r="AI19" s="58">
        <f t="shared" si="10"/>
        <v>0</v>
      </c>
      <c r="AJ19">
        <f t="shared" si="16"/>
        <v>0</v>
      </c>
      <c r="AK19" s="58">
        <f t="shared" si="8"/>
        <v>0</v>
      </c>
      <c r="AL19" s="58">
        <f t="shared" si="9"/>
        <v>0</v>
      </c>
      <c r="AM19" s="58">
        <f t="shared" si="11"/>
        <v>36971.216999999997</v>
      </c>
      <c r="AN19" s="58">
        <f t="shared" si="12"/>
        <v>36971.216999999997</v>
      </c>
      <c r="AO19" s="58">
        <f t="shared" si="12"/>
        <v>36971.216999999997</v>
      </c>
      <c r="AP19" s="184">
        <f t="shared" si="15"/>
        <v>1.2433743083946525</v>
      </c>
      <c r="AQ19" s="172">
        <f t="shared" si="13"/>
        <v>45969.061367883616</v>
      </c>
      <c r="AR19" s="172">
        <f t="shared" si="13"/>
        <v>45969.061367883616</v>
      </c>
    </row>
    <row r="20" spans="1:44" x14ac:dyDescent="0.2">
      <c r="A20" s="74">
        <v>0.05</v>
      </c>
      <c r="B20" s="89">
        <f>+'Annual Energy Data'!A30</f>
        <v>2030</v>
      </c>
      <c r="C20" s="102">
        <f>+'Tier 3 Data'!J25*'Tier 4 Data'!$A20</f>
        <v>24204.179139314769</v>
      </c>
      <c r="D20" s="102">
        <f>+'Tier 3 Data'!K25*'Tier 4 Data'!$A20</f>
        <v>24204.179139314769</v>
      </c>
      <c r="E20" s="102">
        <f>+'Tier 3 Data'!L25*'Tier 4 Data'!$A20</f>
        <v>24204.179139314769</v>
      </c>
      <c r="F20" s="102">
        <f>+'Tier 3 Data'!M25*'Tier 4 Data'!$A20</f>
        <v>29876.860445802158</v>
      </c>
      <c r="G20" s="102">
        <f>+'Tier 3 Data'!N25*'Tier 4 Data'!$A20</f>
        <v>30218.563434498497</v>
      </c>
      <c r="H20" s="102">
        <f>+'Tier 3 Data'!O25*'Tier 4 Data'!$A20</f>
        <v>26662.683817220946</v>
      </c>
      <c r="I20" s="102">
        <f>+IF($I$4&gt;0,0,SUM('Annual Energy Data'!AQ30:BC30)-'Annual Energy Data'!AZ30-'Annual Energy Data'!AT30)</f>
        <v>0</v>
      </c>
      <c r="J20" s="102">
        <f>+IF($J$4&gt;0,0,'Annual Energy Data'!BE30)</f>
        <v>0</v>
      </c>
      <c r="K20" s="102">
        <f>+IF($K$4&gt;0,0,'Annual Energy Data'!BF30)</f>
        <v>0</v>
      </c>
      <c r="L20" s="102">
        <f>+IF($L$4&gt;0,0,'Annual Energy Data'!BG30)</f>
        <v>0</v>
      </c>
      <c r="M20" s="102">
        <f>+IF($M$4&gt;0,0,'Annual Energy Data'!BH30)</f>
        <v>0</v>
      </c>
      <c r="N20" s="102">
        <f>+IF($N$4&gt;0,0,'Annual Energy Data'!BI30)</f>
        <v>0</v>
      </c>
      <c r="O20" s="102">
        <f>+'Annual Energy Data'!CJ30</f>
        <v>0</v>
      </c>
      <c r="P20" s="102">
        <f>+'Annual Energy Data'!CK30</f>
        <v>0</v>
      </c>
      <c r="Q20" s="102">
        <f>+'Annual Energy Data'!CL30</f>
        <v>0</v>
      </c>
      <c r="R20" s="102">
        <f>+'Annual Energy Data'!CM30</f>
        <v>0</v>
      </c>
      <c r="S20" s="102">
        <f>+'Annual Energy Data'!CN30</f>
        <v>0</v>
      </c>
      <c r="T20" s="102">
        <f>+'Annual Energy Data'!CO30</f>
        <v>0</v>
      </c>
      <c r="U20" s="102">
        <f>+'Annual Energy Data'!CP30</f>
        <v>0</v>
      </c>
      <c r="V20" s="102">
        <f>+IF($V$4&gt;0,0,'Annual Energy Data'!AO30)</f>
        <v>21326.281999999999</v>
      </c>
      <c r="W20" s="102">
        <f>+IF($W$4&gt;0,0,'Annual Energy Data'!AP30)</f>
        <v>15644.934999999998</v>
      </c>
      <c r="X20" s="102">
        <f>+IF($X$4&gt;0,0,SUMIF('Monthly Energy Data'!$D$128:$D$595,$B20,'Monthly Energy Data'!N$128:N$595)/(1+$X$3))</f>
        <v>0</v>
      </c>
      <c r="Y20" s="102">
        <f>+IF($Y$4&gt;0,0,SUMIF('Monthly Energy Data'!$D$128:$D$595,$B20,'Monthly Energy Data'!O$128:O$595)/(1+$X$3))</f>
        <v>0</v>
      </c>
      <c r="Z20" s="102">
        <f t="shared" si="7"/>
        <v>36971.216999999997</v>
      </c>
      <c r="AA20" s="88">
        <f t="shared" si="1"/>
        <v>-12767.037860685228</v>
      </c>
      <c r="AB20" s="88">
        <f t="shared" si="2"/>
        <v>-12767.037860685228</v>
      </c>
      <c r="AC20" s="88">
        <f t="shared" si="3"/>
        <v>-12767.037860685228</v>
      </c>
      <c r="AD20" s="88">
        <f t="shared" si="4"/>
        <v>-7094.3565541978387</v>
      </c>
      <c r="AE20" s="88">
        <f t="shared" si="5"/>
        <v>-6752.6535655014995</v>
      </c>
      <c r="AF20" s="88">
        <f t="shared" si="6"/>
        <v>-10308.533182779051</v>
      </c>
      <c r="AG20" s="73" t="e">
        <f>+SUM(AA$7:AA20)</f>
        <v>#REF!</v>
      </c>
      <c r="AH20" s="58">
        <f t="shared" si="14"/>
        <v>0</v>
      </c>
      <c r="AI20" s="58">
        <f t="shared" si="10"/>
        <v>30218.563434498497</v>
      </c>
      <c r="AJ20">
        <f t="shared" si="16"/>
        <v>1208742.5373799398</v>
      </c>
      <c r="AK20" s="58">
        <f t="shared" si="8"/>
        <v>29876.860445802158</v>
      </c>
      <c r="AL20" s="58">
        <f t="shared" si="9"/>
        <v>30218.563434498497</v>
      </c>
      <c r="AM20" s="58">
        <f t="shared" si="11"/>
        <v>36971.216999999997</v>
      </c>
      <c r="AN20" s="58">
        <f t="shared" si="12"/>
        <v>7094.3565541978387</v>
      </c>
      <c r="AO20" s="58">
        <f t="shared" si="12"/>
        <v>6752.6535655014995</v>
      </c>
      <c r="AP20" s="184">
        <f t="shared" si="15"/>
        <v>1.2682417945625455</v>
      </c>
      <c r="AQ20" s="172">
        <f t="shared" si="13"/>
        <v>8997.359487562424</v>
      </c>
      <c r="AR20" s="172">
        <f t="shared" si="13"/>
        <v>8563.9974759707929</v>
      </c>
    </row>
    <row r="21" spans="1:44" x14ac:dyDescent="0.2">
      <c r="A21" s="74">
        <v>0.05</v>
      </c>
      <c r="B21" s="89">
        <f>+'Annual Energy Data'!A31</f>
        <v>2031</v>
      </c>
      <c r="C21" s="102">
        <f>+'Tier 3 Data'!J26*'Tier 4 Data'!$A21</f>
        <v>24026.291590735778</v>
      </c>
      <c r="D21" s="102">
        <f>+'Tier 3 Data'!K26*'Tier 4 Data'!$A21</f>
        <v>24026.291590735778</v>
      </c>
      <c r="E21" s="102">
        <f>+'Tier 3 Data'!L26*'Tier 4 Data'!$A21</f>
        <v>24026.291590735778</v>
      </c>
      <c r="F21" s="102">
        <f>+'Tier 3 Data'!M26*'Tier 4 Data'!$A21</f>
        <v>30806.344020219916</v>
      </c>
      <c r="G21" s="102">
        <f>+'Tier 3 Data'!N26*'Tier 4 Data'!$A21</f>
        <v>31043.673669562264</v>
      </c>
      <c r="H21" s="102">
        <f>+'Tier 3 Data'!O26*'Tier 4 Data'!$A21</f>
        <v>27131.282129971587</v>
      </c>
      <c r="I21" s="102">
        <f>+IF($I$4&gt;0,0,SUM('Annual Energy Data'!AQ31:BC31)-'Annual Energy Data'!AZ31-'Annual Energy Data'!AT31)</f>
        <v>0</v>
      </c>
      <c r="J21" s="102">
        <f>+IF($J$4&gt;0,0,'Annual Energy Data'!BE31)</f>
        <v>0</v>
      </c>
      <c r="K21" s="102">
        <f>+IF($K$4&gt;0,0,'Annual Energy Data'!BF31)</f>
        <v>0</v>
      </c>
      <c r="L21" s="102">
        <f>+IF($L$4&gt;0,0,'Annual Energy Data'!BG31)</f>
        <v>0</v>
      </c>
      <c r="M21" s="102">
        <f>+IF($M$4&gt;0,0,'Annual Energy Data'!BH31)</f>
        <v>0</v>
      </c>
      <c r="N21" s="102">
        <f>+IF($N$4&gt;0,0,'Annual Energy Data'!BI31)</f>
        <v>0</v>
      </c>
      <c r="O21" s="102">
        <f>+'Annual Energy Data'!CJ31</f>
        <v>0</v>
      </c>
      <c r="P21" s="102">
        <f>+'Annual Energy Data'!CK31</f>
        <v>0</v>
      </c>
      <c r="Q21" s="102">
        <f>+'Annual Energy Data'!CL31</f>
        <v>0</v>
      </c>
      <c r="R21" s="102">
        <f>+'Annual Energy Data'!CM31</f>
        <v>0</v>
      </c>
      <c r="S21" s="102">
        <f>+'Annual Energy Data'!CN31</f>
        <v>0</v>
      </c>
      <c r="T21" s="102">
        <f>+'Annual Energy Data'!CO31</f>
        <v>0</v>
      </c>
      <c r="U21" s="102">
        <f>+'Annual Energy Data'!CP31</f>
        <v>0</v>
      </c>
      <c r="V21" s="102">
        <f>+IF($V$4&gt;0,0,'Annual Energy Data'!AO31)</f>
        <v>21326.281999999999</v>
      </c>
      <c r="W21" s="102">
        <f>+IF($W$4&gt;0,0,'Annual Energy Data'!AP31)</f>
        <v>10215.179999999998</v>
      </c>
      <c r="X21" s="102">
        <f>+IF($X$4&gt;0,0,SUMIF('Monthly Energy Data'!$D$128:$D$595,$B21,'Monthly Energy Data'!N$128:N$595)/(1+$X$3))</f>
        <v>0</v>
      </c>
      <c r="Y21" s="102">
        <f>+IF($Y$4&gt;0,0,SUMIF('Monthly Energy Data'!$D$128:$D$595,$B21,'Monthly Energy Data'!O$128:O$595)/(1+$X$3))</f>
        <v>0</v>
      </c>
      <c r="Z21" s="102">
        <f t="shared" si="7"/>
        <v>31541.462</v>
      </c>
      <c r="AA21" s="88">
        <f t="shared" si="1"/>
        <v>-7515.1704092642212</v>
      </c>
      <c r="AB21" s="88">
        <f t="shared" si="2"/>
        <v>-7515.1704092642212</v>
      </c>
      <c r="AC21" s="88">
        <f t="shared" si="3"/>
        <v>-7515.1704092642212</v>
      </c>
      <c r="AD21" s="88">
        <f t="shared" si="4"/>
        <v>-735.11797978008326</v>
      </c>
      <c r="AE21" s="88">
        <f t="shared" si="5"/>
        <v>-497.78833043773557</v>
      </c>
      <c r="AF21" s="88">
        <f t="shared" si="6"/>
        <v>-4410.1798700284126</v>
      </c>
      <c r="AG21" s="73" t="e">
        <f>+SUM(AA$7:AA21)</f>
        <v>#REF!</v>
      </c>
      <c r="AH21" s="58">
        <f t="shared" si="14"/>
        <v>0</v>
      </c>
      <c r="AI21" s="58">
        <f t="shared" si="10"/>
        <v>31043.673669562264</v>
      </c>
      <c r="AJ21">
        <f t="shared" si="16"/>
        <v>1241746.9467824905</v>
      </c>
      <c r="AK21" s="58">
        <f t="shared" si="8"/>
        <v>30806.344020219916</v>
      </c>
      <c r="AL21" s="58">
        <f t="shared" si="9"/>
        <v>31043.673669562264</v>
      </c>
      <c r="AM21" s="58">
        <f t="shared" si="11"/>
        <v>31541.462</v>
      </c>
      <c r="AN21" s="58">
        <f t="shared" si="12"/>
        <v>735.11797978008326</v>
      </c>
      <c r="AO21" s="58">
        <f t="shared" si="12"/>
        <v>497.78833043773557</v>
      </c>
      <c r="AP21" s="184">
        <f t="shared" si="15"/>
        <v>1.2936066304537963</v>
      </c>
      <c r="AQ21" s="172">
        <f t="shared" si="13"/>
        <v>950.95349280931543</v>
      </c>
      <c r="AR21" s="172">
        <f t="shared" si="13"/>
        <v>643.94228481677999</v>
      </c>
    </row>
    <row r="22" spans="1:44" x14ac:dyDescent="0.2">
      <c r="A22" s="74">
        <v>0.05</v>
      </c>
      <c r="B22" s="89">
        <f>+'Annual Energy Data'!A32</f>
        <v>2032</v>
      </c>
      <c r="C22" s="102">
        <f>+'Tier 3 Data'!J27*'Tier 4 Data'!$A22</f>
        <v>23848.716492793665</v>
      </c>
      <c r="D22" s="102">
        <f>+'Tier 3 Data'!K27*'Tier 4 Data'!$A22</f>
        <v>23848.716492793665</v>
      </c>
      <c r="E22" s="102">
        <f>+'Tier 3 Data'!L27*'Tier 4 Data'!$A22</f>
        <v>23848.716492793665</v>
      </c>
      <c r="F22" s="102">
        <f>+'Tier 3 Data'!M27*'Tier 4 Data'!$A22</f>
        <v>31733.751317863262</v>
      </c>
      <c r="G22" s="102">
        <f>+'Tier 3 Data'!N27*'Tier 4 Data'!$A22</f>
        <v>31934.412335302462</v>
      </c>
      <c r="H22" s="102">
        <f>+'Tier 3 Data'!O27*'Tier 4 Data'!$A22</f>
        <v>27662.957721588959</v>
      </c>
      <c r="I22" s="102">
        <f>+IF($I$4&gt;0,0,SUM('Annual Energy Data'!AQ32:BC32)-'Annual Energy Data'!AZ32-'Annual Energy Data'!AT32)</f>
        <v>0</v>
      </c>
      <c r="J22" s="102">
        <f>+IF($J$4&gt;0,0,'Annual Energy Data'!BE32)</f>
        <v>0</v>
      </c>
      <c r="K22" s="102">
        <f>+IF($K$4&gt;0,0,'Annual Energy Data'!BF32)</f>
        <v>0</v>
      </c>
      <c r="L22" s="102">
        <f>+IF($L$4&gt;0,0,'Annual Energy Data'!BG32)</f>
        <v>0</v>
      </c>
      <c r="M22" s="102">
        <f>+IF($M$4&gt;0,0,'Annual Energy Data'!BH32)</f>
        <v>0</v>
      </c>
      <c r="N22" s="102">
        <f>+IF($N$4&gt;0,0,'Annual Energy Data'!BI32)</f>
        <v>0</v>
      </c>
      <c r="O22" s="102">
        <f>+'Annual Energy Data'!CJ32</f>
        <v>0</v>
      </c>
      <c r="P22" s="102">
        <f>+'Annual Energy Data'!CK32</f>
        <v>0</v>
      </c>
      <c r="Q22" s="102">
        <f>+'Annual Energy Data'!CL32</f>
        <v>0</v>
      </c>
      <c r="R22" s="102">
        <f>+'Annual Energy Data'!CM32</f>
        <v>0</v>
      </c>
      <c r="S22" s="102">
        <f>+'Annual Energy Data'!CN32</f>
        <v>0</v>
      </c>
      <c r="T22" s="102">
        <f>+'Annual Energy Data'!CO32</f>
        <v>0</v>
      </c>
      <c r="U22" s="102">
        <f>+'Annual Energy Data'!CP32</f>
        <v>0</v>
      </c>
      <c r="V22" s="102">
        <f>+IF($V$4&gt;0,0,'Annual Energy Data'!AO32)</f>
        <v>21326.281999999999</v>
      </c>
      <c r="W22" s="102">
        <f>+IF($W$4&gt;0,0,'Annual Energy Data'!AP32)</f>
        <v>0</v>
      </c>
      <c r="X22" s="102">
        <f>+IF($X$4&gt;0,0,SUMIF('Monthly Energy Data'!$D$128:$D$595,$B22,'Monthly Energy Data'!N$128:N$595)/(1+$X$3))</f>
        <v>0</v>
      </c>
      <c r="Y22" s="102">
        <f>+IF($Y$4&gt;0,0,SUMIF('Monthly Energy Data'!$D$128:$D$595,$B22,'Monthly Energy Data'!O$128:O$595)/(1+$X$3))</f>
        <v>0</v>
      </c>
      <c r="Z22" s="102">
        <f t="shared" si="7"/>
        <v>21326.281999999999</v>
      </c>
      <c r="AA22" s="88">
        <f t="shared" si="1"/>
        <v>2522.4344927936654</v>
      </c>
      <c r="AB22" s="88">
        <f t="shared" si="2"/>
        <v>2522.4344927936654</v>
      </c>
      <c r="AC22" s="88">
        <f t="shared" si="3"/>
        <v>2522.4344927936654</v>
      </c>
      <c r="AD22" s="88">
        <f t="shared" si="4"/>
        <v>10407.469317863262</v>
      </c>
      <c r="AE22" s="88">
        <f t="shared" si="5"/>
        <v>10608.130335302463</v>
      </c>
      <c r="AF22" s="88">
        <f t="shared" si="6"/>
        <v>6336.6757215889593</v>
      </c>
      <c r="AG22" s="73" t="e">
        <f>+SUM(AA$7:AA22)</f>
        <v>#REF!</v>
      </c>
      <c r="AH22" s="58">
        <f t="shared" si="14"/>
        <v>0</v>
      </c>
      <c r="AI22" s="58">
        <f t="shared" si="10"/>
        <v>31934.412335302462</v>
      </c>
      <c r="AJ22">
        <f t="shared" si="16"/>
        <v>1277376.4934120984</v>
      </c>
      <c r="AK22" s="58">
        <f t="shared" si="8"/>
        <v>31733.751317863262</v>
      </c>
      <c r="AL22" s="58">
        <f t="shared" si="9"/>
        <v>31934.412335302462</v>
      </c>
      <c r="AM22" s="58">
        <f t="shared" si="11"/>
        <v>21326.281999999999</v>
      </c>
      <c r="AN22" s="58">
        <f t="shared" si="12"/>
        <v>-10407.469317863262</v>
      </c>
      <c r="AO22" s="58">
        <f t="shared" si="12"/>
        <v>-10608.130335302463</v>
      </c>
      <c r="AP22" s="184">
        <f t="shared" si="15"/>
        <v>1.3194787630628724</v>
      </c>
      <c r="AQ22" s="172">
        <f t="shared" si="13"/>
        <v>-13732.434742149013</v>
      </c>
      <c r="AR22" s="172">
        <f t="shared" si="13"/>
        <v>-13997.202693234627</v>
      </c>
    </row>
    <row r="23" spans="1:44" x14ac:dyDescent="0.2">
      <c r="A23" s="74">
        <v>0.05</v>
      </c>
      <c r="B23" s="89">
        <f>+'Annual Energy Data'!A33</f>
        <v>2033</v>
      </c>
      <c r="C23" s="102">
        <f>+'Tier 3 Data'!J28*'Tier 4 Data'!$A23</f>
        <v>23673.615874891704</v>
      </c>
      <c r="D23" s="102">
        <f>+'Tier 3 Data'!K28*'Tier 4 Data'!$A23</f>
        <v>23673.615874891704</v>
      </c>
      <c r="E23" s="102">
        <f>+'Tier 3 Data'!L28*'Tier 4 Data'!$A23</f>
        <v>23673.615874891704</v>
      </c>
      <c r="F23" s="102">
        <f>+'Tier 3 Data'!M28*'Tier 4 Data'!$A23</f>
        <v>32631.509311360209</v>
      </c>
      <c r="G23" s="102">
        <f>+'Tier 3 Data'!N28*'Tier 4 Data'!$A23</f>
        <v>32858.21416370025</v>
      </c>
      <c r="H23" s="102">
        <f>+'Tier 3 Data'!O28*'Tier 4 Data'!$A23</f>
        <v>28261.576027562907</v>
      </c>
      <c r="I23" s="102">
        <f>+IF($I$4&gt;0,0,SUM('Annual Energy Data'!AQ33:BC33)-'Annual Energy Data'!AZ33-'Annual Energy Data'!AT33)</f>
        <v>0</v>
      </c>
      <c r="J23" s="102">
        <f>+IF($J$4&gt;0,0,'Annual Energy Data'!BE33)</f>
        <v>0</v>
      </c>
      <c r="K23" s="102">
        <f>+IF($K$4&gt;0,0,'Annual Energy Data'!BF33)</f>
        <v>0</v>
      </c>
      <c r="L23" s="102">
        <f>+IF($L$4&gt;0,0,'Annual Energy Data'!BG33)</f>
        <v>0</v>
      </c>
      <c r="M23" s="102">
        <f>+IF($M$4&gt;0,0,'Annual Energy Data'!BH33)</f>
        <v>0</v>
      </c>
      <c r="N23" s="102">
        <f>+IF($N$4&gt;0,0,'Annual Energy Data'!BI33)</f>
        <v>0</v>
      </c>
      <c r="O23" s="102">
        <f>+'Annual Energy Data'!CJ33</f>
        <v>0</v>
      </c>
      <c r="P23" s="102">
        <f>+'Annual Energy Data'!CK33</f>
        <v>0</v>
      </c>
      <c r="Q23" s="102">
        <f>+'Annual Energy Data'!CL33</f>
        <v>0</v>
      </c>
      <c r="R23" s="102">
        <f>+'Annual Energy Data'!CM33</f>
        <v>0</v>
      </c>
      <c r="S23" s="102">
        <f>+'Annual Energy Data'!CN33</f>
        <v>0</v>
      </c>
      <c r="T23" s="102">
        <f>+'Annual Energy Data'!CO33</f>
        <v>0</v>
      </c>
      <c r="U23" s="102">
        <f>+'Annual Energy Data'!CP33</f>
        <v>0</v>
      </c>
      <c r="V23" s="102">
        <f>+IF($V$4&gt;0,0,'Annual Energy Data'!AO33)</f>
        <v>21326.281999999999</v>
      </c>
      <c r="W23" s="102">
        <f>+IF($W$4&gt;0,0,'Annual Energy Data'!AP33)</f>
        <v>0</v>
      </c>
      <c r="X23" s="102">
        <f>+IF($X$4&gt;0,0,SUMIF('Monthly Energy Data'!$D$128:$D$595,$B23,'Monthly Energy Data'!N$128:N$595)/(1+$X$3))</f>
        <v>0</v>
      </c>
      <c r="Y23" s="102">
        <f>+IF($Y$4&gt;0,0,SUMIF('Monthly Energy Data'!$D$128:$D$595,$B23,'Monthly Energy Data'!O$128:O$595)/(1+$X$3))</f>
        <v>0</v>
      </c>
      <c r="Z23" s="102">
        <f t="shared" si="7"/>
        <v>21326.281999999999</v>
      </c>
      <c r="AA23" s="88">
        <f t="shared" si="1"/>
        <v>2347.3338748917049</v>
      </c>
      <c r="AB23" s="88">
        <f t="shared" si="2"/>
        <v>2347.3338748917049</v>
      </c>
      <c r="AC23" s="88">
        <f t="shared" si="3"/>
        <v>2347.3338748917049</v>
      </c>
      <c r="AD23" s="88">
        <f t="shared" si="4"/>
        <v>11305.22731136021</v>
      </c>
      <c r="AE23" s="88">
        <f t="shared" si="5"/>
        <v>11531.93216370025</v>
      </c>
      <c r="AF23" s="88">
        <f t="shared" si="6"/>
        <v>6935.294027562908</v>
      </c>
      <c r="AG23" s="73" t="e">
        <f>+SUM(AA$7:AA23)</f>
        <v>#REF!</v>
      </c>
      <c r="AH23" s="58">
        <f t="shared" si="14"/>
        <v>0</v>
      </c>
      <c r="AI23" s="58">
        <f t="shared" si="10"/>
        <v>32858.21416370025</v>
      </c>
      <c r="AJ23">
        <f t="shared" si="16"/>
        <v>1314328.5665480099</v>
      </c>
      <c r="AK23" s="58">
        <f t="shared" si="8"/>
        <v>32631.509311360209</v>
      </c>
      <c r="AL23" s="58">
        <f t="shared" si="9"/>
        <v>32858.21416370025</v>
      </c>
      <c r="AM23" s="58">
        <f t="shared" si="11"/>
        <v>21326.281999999999</v>
      </c>
      <c r="AN23" s="58">
        <f t="shared" si="12"/>
        <v>-11305.22731136021</v>
      </c>
      <c r="AO23" s="58">
        <f t="shared" si="12"/>
        <v>-11531.93216370025</v>
      </c>
      <c r="AP23" s="184">
        <f t="shared" si="15"/>
        <v>1.3458683383241299</v>
      </c>
      <c r="AQ23" s="172">
        <f t="shared" si="13"/>
        <v>-15215.347495916936</v>
      </c>
      <c r="AR23" s="172">
        <f t="shared" si="13"/>
        <v>-15520.462378825843</v>
      </c>
    </row>
    <row r="24" spans="1:44" x14ac:dyDescent="0.2">
      <c r="A24" s="74">
        <v>0.05</v>
      </c>
      <c r="B24" s="89">
        <f>+'Annual Energy Data'!A34</f>
        <v>2034</v>
      </c>
      <c r="C24" s="102">
        <f>+'Tier 3 Data'!J29*'Tier 4 Data'!$A24</f>
        <v>23500.580602466507</v>
      </c>
      <c r="D24" s="102">
        <f>+'Tier 3 Data'!K29*'Tier 4 Data'!$A24</f>
        <v>23500.580602466507</v>
      </c>
      <c r="E24" s="102">
        <f>+'Tier 3 Data'!L29*'Tier 4 Data'!$A24</f>
        <v>23500.580602466507</v>
      </c>
      <c r="F24" s="102">
        <f>+'Tier 3 Data'!M29*'Tier 4 Data'!$A24</f>
        <v>33491.19930856771</v>
      </c>
      <c r="G24" s="102">
        <f>+'Tier 3 Data'!N29*'Tier 4 Data'!$A24</f>
        <v>33812.548278229282</v>
      </c>
      <c r="H24" s="102">
        <f>+'Tier 3 Data'!O29*'Tier 4 Data'!$A24</f>
        <v>28922.250117873587</v>
      </c>
      <c r="I24" s="102">
        <f>+IF($I$4&gt;0,0,SUM('Annual Energy Data'!AQ34:BC34)-'Annual Energy Data'!AZ34-'Annual Energy Data'!AT34)</f>
        <v>0</v>
      </c>
      <c r="J24" s="102">
        <f>+IF($J$4&gt;0,0,'Annual Energy Data'!BE34)</f>
        <v>0</v>
      </c>
      <c r="K24" s="102">
        <f>+IF($K$4&gt;0,0,'Annual Energy Data'!BF34)</f>
        <v>0</v>
      </c>
      <c r="L24" s="102">
        <f>+IF($L$4&gt;0,0,'Annual Energy Data'!BG34)</f>
        <v>0</v>
      </c>
      <c r="M24" s="102">
        <f>+IF($M$4&gt;0,0,'Annual Energy Data'!BH34)</f>
        <v>0</v>
      </c>
      <c r="N24" s="102">
        <f>+IF($N$4&gt;0,0,'Annual Energy Data'!BI34)</f>
        <v>0</v>
      </c>
      <c r="O24" s="102">
        <f>+'Annual Energy Data'!CJ34</f>
        <v>0</v>
      </c>
      <c r="P24" s="102">
        <f>+'Annual Energy Data'!CK34</f>
        <v>0</v>
      </c>
      <c r="Q24" s="102">
        <f>+'Annual Energy Data'!CL34</f>
        <v>0</v>
      </c>
      <c r="R24" s="102">
        <f>+'Annual Energy Data'!CM34</f>
        <v>0</v>
      </c>
      <c r="S24" s="102">
        <f>+'Annual Energy Data'!CN34</f>
        <v>0</v>
      </c>
      <c r="T24" s="102">
        <f>+'Annual Energy Data'!CO34</f>
        <v>0</v>
      </c>
      <c r="U24" s="102">
        <f>+'Annual Energy Data'!CP34</f>
        <v>0</v>
      </c>
      <c r="V24" s="102">
        <f>+IF($V$4&gt;0,0,'Annual Energy Data'!AO34)</f>
        <v>21326.281999999999</v>
      </c>
      <c r="W24" s="102">
        <f>+IF($W$4&gt;0,0,'Annual Energy Data'!AP34)</f>
        <v>0</v>
      </c>
      <c r="X24" s="102">
        <f>+IF($X$4&gt;0,0,SUMIF('Monthly Energy Data'!$D$128:$D$595,$B24,'Monthly Energy Data'!N$128:N$595)/(1+$X$3))</f>
        <v>0</v>
      </c>
      <c r="Y24" s="102">
        <f>+IF($Y$4&gt;0,0,SUMIF('Monthly Energy Data'!$D$128:$D$595,$B24,'Monthly Energy Data'!O$128:O$595)/(1+$X$3))</f>
        <v>0</v>
      </c>
      <c r="Z24" s="102">
        <f t="shared" si="7"/>
        <v>21326.281999999999</v>
      </c>
      <c r="AA24" s="88">
        <f t="shared" si="1"/>
        <v>2174.2986024665079</v>
      </c>
      <c r="AB24" s="88">
        <f t="shared" si="2"/>
        <v>2174.2986024665079</v>
      </c>
      <c r="AC24" s="88">
        <f t="shared" si="3"/>
        <v>2174.2986024665079</v>
      </c>
      <c r="AD24" s="88">
        <f t="shared" si="4"/>
        <v>12164.91730856771</v>
      </c>
      <c r="AE24" s="88">
        <f t="shared" si="5"/>
        <v>12486.266278229283</v>
      </c>
      <c r="AF24" s="88">
        <f t="shared" si="6"/>
        <v>7595.9681178735882</v>
      </c>
      <c r="AG24" s="73" t="e">
        <f>+SUM(AA$7:AA24)</f>
        <v>#REF!</v>
      </c>
      <c r="AH24" s="58">
        <f t="shared" si="14"/>
        <v>0</v>
      </c>
      <c r="AI24" s="58">
        <f t="shared" si="10"/>
        <v>33812.548278229282</v>
      </c>
      <c r="AJ24">
        <f t="shared" si="16"/>
        <v>1352501.9311291713</v>
      </c>
      <c r="AK24" s="58">
        <f t="shared" si="8"/>
        <v>33491.19930856771</v>
      </c>
      <c r="AL24" s="58">
        <f t="shared" si="9"/>
        <v>33812.548278229282</v>
      </c>
      <c r="AM24" s="58">
        <f t="shared" si="11"/>
        <v>21326.281999999999</v>
      </c>
      <c r="AN24" s="58">
        <f t="shared" si="12"/>
        <v>-12164.91730856771</v>
      </c>
      <c r="AO24" s="58">
        <f t="shared" si="12"/>
        <v>-12486.266278229283</v>
      </c>
      <c r="AP24" s="184">
        <f t="shared" si="15"/>
        <v>1.3727857050906125</v>
      </c>
      <c r="AQ24" s="172">
        <f t="shared" si="13"/>
        <v>-16699.824584811122</v>
      </c>
      <c r="AR24" s="172">
        <f t="shared" si="13"/>
        <v>-17140.967856708125</v>
      </c>
    </row>
    <row r="25" spans="1:44" x14ac:dyDescent="0.2">
      <c r="A25" s="74">
        <v>0.1</v>
      </c>
      <c r="B25" s="89">
        <f>+'Annual Energy Data'!A35</f>
        <v>2035</v>
      </c>
      <c r="C25" s="102">
        <f>+'Tier 3 Data'!J30*'Tier 4 Data'!$A25</f>
        <v>46655.550545202219</v>
      </c>
      <c r="D25" s="102">
        <f>+'Tier 3 Data'!K30*'Tier 4 Data'!$A25</f>
        <v>46655.550545202219</v>
      </c>
      <c r="E25" s="102">
        <f>+'Tier 3 Data'!L30*'Tier 4 Data'!$A25</f>
        <v>46655.550545202219</v>
      </c>
      <c r="F25" s="102">
        <f>+'Tier 3 Data'!M30*'Tier 4 Data'!$A25</f>
        <v>68463.491834434346</v>
      </c>
      <c r="G25" s="102">
        <f>+'Tier 3 Data'!N30*'Tier 4 Data'!$A25</f>
        <v>69504.341941483333</v>
      </c>
      <c r="H25" s="102">
        <f>+'Tier 3 Data'!O30*'Tier 4 Data'!$A25</f>
        <v>59261.244988284016</v>
      </c>
      <c r="I25" s="102">
        <f>+IF($I$4&gt;0,0,SUM('Annual Energy Data'!AQ35:BC35)-'Annual Energy Data'!AZ35-'Annual Energy Data'!AT35)</f>
        <v>0</v>
      </c>
      <c r="J25" s="102">
        <f>+IF($J$4&gt;0,0,'Annual Energy Data'!BE35)</f>
        <v>0</v>
      </c>
      <c r="K25" s="102">
        <f>+IF($K$4&gt;0,0,'Annual Energy Data'!BF35)</f>
        <v>0</v>
      </c>
      <c r="L25" s="102">
        <f>+IF($L$4&gt;0,0,'Annual Energy Data'!BG35)</f>
        <v>0</v>
      </c>
      <c r="M25" s="102">
        <f>+IF($M$4&gt;0,0,'Annual Energy Data'!BH35)</f>
        <v>0</v>
      </c>
      <c r="N25" s="102">
        <f>+IF($N$4&gt;0,0,'Annual Energy Data'!BI35)</f>
        <v>0</v>
      </c>
      <c r="O25" s="102">
        <f>+'Annual Energy Data'!CJ35</f>
        <v>0</v>
      </c>
      <c r="P25" s="102">
        <f>+'Annual Energy Data'!CK35</f>
        <v>0</v>
      </c>
      <c r="Q25" s="102">
        <f>+'Annual Energy Data'!CL35</f>
        <v>0</v>
      </c>
      <c r="R25" s="102">
        <f>+'Annual Energy Data'!CM35</f>
        <v>0</v>
      </c>
      <c r="S25" s="102">
        <f>+'Annual Energy Data'!CN35</f>
        <v>0</v>
      </c>
      <c r="T25" s="102">
        <f>+'Annual Energy Data'!CO35</f>
        <v>0</v>
      </c>
      <c r="U25" s="102">
        <f>+'Annual Energy Data'!CP35</f>
        <v>0</v>
      </c>
      <c r="V25" s="102">
        <f>+IF($V$4&gt;0,0,'Annual Energy Data'!AO35)</f>
        <v>21326.281999999999</v>
      </c>
      <c r="W25" s="102">
        <f>+IF($W$4&gt;0,0,'Annual Energy Data'!AP35)</f>
        <v>0</v>
      </c>
      <c r="X25" s="102">
        <f>+IF($X$4&gt;0,0,SUMIF('Monthly Energy Data'!$D$128:$D$595,$B25,'Monthly Energy Data'!N$128:N$595)/(1+$X$3))</f>
        <v>0</v>
      </c>
      <c r="Y25" s="102">
        <f>+IF($Y$4&gt;0,0,SUMIF('Monthly Energy Data'!$D$128:$D$595,$B25,'Monthly Energy Data'!O$128:O$595)/(1+$X$3))</f>
        <v>0</v>
      </c>
      <c r="Z25" s="102">
        <f t="shared" si="7"/>
        <v>21326.281999999999</v>
      </c>
      <c r="AA25" s="88">
        <f t="shared" si="1"/>
        <v>25329.26854520222</v>
      </c>
      <c r="AB25" s="88">
        <f t="shared" si="2"/>
        <v>25329.26854520222</v>
      </c>
      <c r="AC25" s="88">
        <f t="shared" si="3"/>
        <v>25329.26854520222</v>
      </c>
      <c r="AD25" s="88">
        <f t="shared" si="4"/>
        <v>47137.209834434347</v>
      </c>
      <c r="AE25" s="88">
        <f t="shared" si="5"/>
        <v>48178.059941483334</v>
      </c>
      <c r="AF25" s="88">
        <f t="shared" si="6"/>
        <v>37934.962988284016</v>
      </c>
      <c r="AG25" s="73" t="e">
        <f>+SUM(AA$7:AA25)</f>
        <v>#REF!</v>
      </c>
      <c r="AH25" s="58">
        <f t="shared" si="14"/>
        <v>0</v>
      </c>
      <c r="AI25" s="58">
        <f t="shared" si="10"/>
        <v>69504.341941483333</v>
      </c>
      <c r="AJ25">
        <f t="shared" si="16"/>
        <v>2780173.6776593332</v>
      </c>
      <c r="AK25" s="58">
        <f t="shared" si="8"/>
        <v>68463.491834434346</v>
      </c>
      <c r="AL25" s="58">
        <f t="shared" si="9"/>
        <v>69504.341941483333</v>
      </c>
      <c r="AM25" s="58">
        <f t="shared" si="11"/>
        <v>21326.281999999999</v>
      </c>
      <c r="AN25" s="58">
        <f t="shared" si="12"/>
        <v>-47137.209834434347</v>
      </c>
      <c r="AO25" s="58">
        <f t="shared" si="12"/>
        <v>-48178.059941483334</v>
      </c>
      <c r="AP25" s="184">
        <f t="shared" si="15"/>
        <v>1.4002414191924248</v>
      </c>
      <c r="AQ25" s="172">
        <f t="shared" si="13"/>
        <v>-66003.47359533947</v>
      </c>
      <c r="AR25" s="172">
        <f t="shared" si="13"/>
        <v>-67460.91502640034</v>
      </c>
    </row>
    <row r="26" spans="1:44" x14ac:dyDescent="0.2">
      <c r="A26" s="74">
        <f t="shared" ref="A26:A40" si="17">+A25</f>
        <v>0.1</v>
      </c>
      <c r="B26" s="89">
        <f>+'Annual Energy Data'!A36</f>
        <v>2036</v>
      </c>
      <c r="C26" s="102">
        <f>+'Tier 3 Data'!J31*'Tier 4 Data'!$A26</f>
        <v>46316.55637878066</v>
      </c>
      <c r="D26" s="102">
        <f>+'Tier 3 Data'!K31*'Tier 4 Data'!$A26</f>
        <v>46316.55637878066</v>
      </c>
      <c r="E26" s="102">
        <f>+'Tier 3 Data'!L31*'Tier 4 Data'!$A26</f>
        <v>46316.55637878066</v>
      </c>
      <c r="F26" s="102">
        <f>+'Tier 3 Data'!M31*'Tier 4 Data'!$A26</f>
        <v>69615.257991366452</v>
      </c>
      <c r="G26" s="102">
        <f>+'Tier 3 Data'!N31*'Tier 4 Data'!$A26</f>
        <v>71397.543825101122</v>
      </c>
      <c r="H26" s="102">
        <f>+'Tier 3 Data'!O31*'Tier 4 Data'!$A26</f>
        <v>60694.302648805518</v>
      </c>
      <c r="I26" s="102">
        <f>+IF($I$4&gt;0,0,SUM('Annual Energy Data'!AQ36:BC36)-'Annual Energy Data'!AZ36-'Annual Energy Data'!AT36)</f>
        <v>0</v>
      </c>
      <c r="J26" s="102">
        <f>+IF($J$4&gt;0,0,'Annual Energy Data'!BE36)</f>
        <v>0</v>
      </c>
      <c r="K26" s="102">
        <f>+IF($K$4&gt;0,0,'Annual Energy Data'!BF36)</f>
        <v>0</v>
      </c>
      <c r="L26" s="102">
        <f>+IF($L$4&gt;0,0,'Annual Energy Data'!BG36)</f>
        <v>0</v>
      </c>
      <c r="M26" s="102">
        <f>+IF($M$4&gt;0,0,'Annual Energy Data'!BH36)</f>
        <v>0</v>
      </c>
      <c r="N26" s="102">
        <f>+IF($N$4&gt;0,0,'Annual Energy Data'!BI36)</f>
        <v>0</v>
      </c>
      <c r="O26" s="102">
        <f>+'Annual Energy Data'!CJ36</f>
        <v>0</v>
      </c>
      <c r="P26" s="102">
        <f>+'Annual Energy Data'!CK36</f>
        <v>0</v>
      </c>
      <c r="Q26" s="102">
        <f>+'Annual Energy Data'!CL36</f>
        <v>0</v>
      </c>
      <c r="R26" s="102">
        <f>+'Annual Energy Data'!CM36</f>
        <v>0</v>
      </c>
      <c r="S26" s="102">
        <f>+'Annual Energy Data'!CN36</f>
        <v>0</v>
      </c>
      <c r="T26" s="102">
        <f>+'Annual Energy Data'!CO36</f>
        <v>0</v>
      </c>
      <c r="U26" s="102">
        <f>+'Annual Energy Data'!CP36</f>
        <v>0</v>
      </c>
      <c r="V26" s="102">
        <f>+IF($V$4&gt;0,0,'Annual Energy Data'!AO36)</f>
        <v>21326.281999999999</v>
      </c>
      <c r="W26" s="102">
        <f>+IF($W$4&gt;0,0,'Annual Energy Data'!AP36)</f>
        <v>0</v>
      </c>
      <c r="X26" s="102">
        <f>+IF($X$4&gt;0,0,SUMIF('Monthly Energy Data'!$D$128:$D$595,$B26,'Monthly Energy Data'!N$128:N$595)/(1+$X$3))</f>
        <v>0</v>
      </c>
      <c r="Y26" s="102">
        <f>+IF($Y$4&gt;0,0,SUMIF('Monthly Energy Data'!$D$128:$D$595,$B26,'Monthly Energy Data'!O$128:O$595)/(1+$X$3))</f>
        <v>0</v>
      </c>
      <c r="Z26" s="102">
        <f t="shared" si="7"/>
        <v>21326.281999999999</v>
      </c>
      <c r="AA26" s="88">
        <f t="shared" si="1"/>
        <v>24990.274378780661</v>
      </c>
      <c r="AB26" s="88">
        <f t="shared" si="2"/>
        <v>24990.274378780661</v>
      </c>
      <c r="AC26" s="88">
        <f t="shared" si="3"/>
        <v>24990.274378780661</v>
      </c>
      <c r="AD26" s="88">
        <f t="shared" si="4"/>
        <v>48288.975991366453</v>
      </c>
      <c r="AE26" s="88">
        <f t="shared" si="5"/>
        <v>50071.261825101123</v>
      </c>
      <c r="AF26" s="88">
        <f t="shared" si="6"/>
        <v>39368.020648805519</v>
      </c>
      <c r="AG26" s="73" t="e">
        <f>+SUM(AA$7:AA26)</f>
        <v>#REF!</v>
      </c>
      <c r="AH26" s="58">
        <f t="shared" si="14"/>
        <v>0</v>
      </c>
      <c r="AI26" s="58">
        <f t="shared" si="10"/>
        <v>71397.543825101122</v>
      </c>
      <c r="AJ26">
        <f t="shared" si="16"/>
        <v>2855901.7530040448</v>
      </c>
      <c r="AK26" s="58">
        <f t="shared" si="8"/>
        <v>69615.257991366452</v>
      </c>
      <c r="AL26" s="58">
        <f t="shared" si="9"/>
        <v>71397.543825101122</v>
      </c>
      <c r="AM26" s="58">
        <f t="shared" si="11"/>
        <v>21326.281999999999</v>
      </c>
      <c r="AN26" s="58">
        <f t="shared" si="12"/>
        <v>-48288.975991366453</v>
      </c>
      <c r="AO26" s="58">
        <f t="shared" si="12"/>
        <v>-50071.261825101123</v>
      </c>
      <c r="AP26" s="184">
        <f t="shared" si="15"/>
        <v>1.4282462475762734</v>
      </c>
      <c r="AQ26" s="172">
        <f t="shared" si="13"/>
        <v>-68968.54875896989</v>
      </c>
      <c r="AR26" s="172">
        <f t="shared" si="13"/>
        <v>-71514.091813109786</v>
      </c>
    </row>
    <row r="27" spans="1:44" x14ac:dyDescent="0.2">
      <c r="A27" s="74">
        <f t="shared" si="17"/>
        <v>0.1</v>
      </c>
      <c r="B27" s="89">
        <f>+'Annual Energy Data'!A37</f>
        <v>2037</v>
      </c>
      <c r="C27" s="102">
        <f>+'Tier 3 Data'!J32*'Tier 4 Data'!$A27</f>
        <v>45977.508900650209</v>
      </c>
      <c r="D27" s="102">
        <f>+'Tier 3 Data'!K32*'Tier 4 Data'!$A27</f>
        <v>45977.508900650209</v>
      </c>
      <c r="E27" s="102">
        <f>+'Tier 3 Data'!L32*'Tier 4 Data'!$A27</f>
        <v>45977.508900650209</v>
      </c>
      <c r="F27" s="102">
        <f>+'Tier 3 Data'!M32*'Tier 4 Data'!$A27</f>
        <v>70488.109830864923</v>
      </c>
      <c r="G27" s="102">
        <f>+'Tier 3 Data'!N32*'Tier 4 Data'!$A27</f>
        <v>73314.130112139042</v>
      </c>
      <c r="H27" s="102">
        <f>+'Tier 3 Data'!O32*'Tier 4 Data'!$A27</f>
        <v>62068.45030036987</v>
      </c>
      <c r="I27" s="102">
        <f>+IF($I$4&gt;0,0,SUM('Annual Energy Data'!AQ37:BC37)-'Annual Energy Data'!AZ37-'Annual Energy Data'!AT37)</f>
        <v>0</v>
      </c>
      <c r="J27" s="102">
        <f>+IF($J$4&gt;0,0,'Annual Energy Data'!BE37)</f>
        <v>0</v>
      </c>
      <c r="K27" s="102">
        <f>+IF($K$4&gt;0,0,'Annual Energy Data'!BF37)</f>
        <v>0</v>
      </c>
      <c r="L27" s="102">
        <f>+IF($L$4&gt;0,0,'Annual Energy Data'!BG37)</f>
        <v>0</v>
      </c>
      <c r="M27" s="102">
        <f>+IF($M$4&gt;0,0,'Annual Energy Data'!BH37)</f>
        <v>0</v>
      </c>
      <c r="N27" s="102">
        <f>+IF($N$4&gt;0,0,'Annual Energy Data'!BI37)</f>
        <v>0</v>
      </c>
      <c r="O27" s="102">
        <f>+'Annual Energy Data'!CJ37</f>
        <v>0</v>
      </c>
      <c r="P27" s="102">
        <f>+'Annual Energy Data'!CK37</f>
        <v>0</v>
      </c>
      <c r="Q27" s="102">
        <f>+'Annual Energy Data'!CL37</f>
        <v>0</v>
      </c>
      <c r="R27" s="102">
        <f>+'Annual Energy Data'!CM37</f>
        <v>0</v>
      </c>
      <c r="S27" s="102">
        <f>+'Annual Energy Data'!CN37</f>
        <v>0</v>
      </c>
      <c r="T27" s="102">
        <f>+'Annual Energy Data'!CO37</f>
        <v>0</v>
      </c>
      <c r="U27" s="102">
        <f>+'Annual Energy Data'!CP37</f>
        <v>0</v>
      </c>
      <c r="V27" s="102">
        <f>+IF($V$4&gt;0,0,'Annual Energy Data'!AO37)</f>
        <v>21188.506000000001</v>
      </c>
      <c r="W27" s="102">
        <f>+IF($W$4&gt;0,0,'Annual Energy Data'!AP37)</f>
        <v>0</v>
      </c>
      <c r="X27" s="102">
        <f>+IF($X$4&gt;0,0,SUMIF('Monthly Energy Data'!$D$128:$D$595,$B27,'Monthly Energy Data'!N$128:N$595)/(1+$X$3))</f>
        <v>0</v>
      </c>
      <c r="Y27" s="102">
        <f>+IF($Y$4&gt;0,0,SUMIF('Monthly Energy Data'!$D$128:$D$595,$B27,'Monthly Energy Data'!O$128:O$595)/(1+$X$3))</f>
        <v>0</v>
      </c>
      <c r="Z27" s="102">
        <f t="shared" si="7"/>
        <v>21188.506000000001</v>
      </c>
      <c r="AA27" s="88">
        <f t="shared" si="1"/>
        <v>24789.002900650208</v>
      </c>
      <c r="AB27" s="88">
        <f t="shared" si="2"/>
        <v>24789.002900650208</v>
      </c>
      <c r="AC27" s="88">
        <f t="shared" si="3"/>
        <v>24789.002900650208</v>
      </c>
      <c r="AD27" s="88">
        <f t="shared" si="4"/>
        <v>49299.603830864922</v>
      </c>
      <c r="AE27" s="88">
        <f t="shared" si="5"/>
        <v>52125.624112139041</v>
      </c>
      <c r="AF27" s="88">
        <f t="shared" si="6"/>
        <v>40879.944300369869</v>
      </c>
      <c r="AG27" s="73" t="e">
        <f>+SUM(AA$7:AA27)</f>
        <v>#REF!</v>
      </c>
      <c r="AH27" s="58">
        <f t="shared" si="14"/>
        <v>0</v>
      </c>
      <c r="AI27" s="58">
        <f t="shared" si="10"/>
        <v>73314.130112139042</v>
      </c>
      <c r="AJ27">
        <f t="shared" si="16"/>
        <v>2932565.2044855617</v>
      </c>
      <c r="AK27" s="58">
        <f t="shared" si="8"/>
        <v>70488.109830864923</v>
      </c>
      <c r="AL27" s="58">
        <f t="shared" si="9"/>
        <v>73314.130112139042</v>
      </c>
      <c r="AM27" s="58">
        <f t="shared" si="11"/>
        <v>21188.506000000001</v>
      </c>
      <c r="AN27" s="58">
        <f t="shared" si="12"/>
        <v>-49299.603830864922</v>
      </c>
      <c r="AO27" s="58">
        <f t="shared" si="12"/>
        <v>-52125.624112139041</v>
      </c>
      <c r="AP27" s="184">
        <f t="shared" si="15"/>
        <v>1.4568111725277988</v>
      </c>
      <c r="AQ27" s="172">
        <f t="shared" si="13"/>
        <v>-71820.213661998292</v>
      </c>
      <c r="AR27" s="172">
        <f t="shared" si="13"/>
        <v>-75937.191581548585</v>
      </c>
    </row>
    <row r="28" spans="1:44" x14ac:dyDescent="0.2">
      <c r="A28" s="74">
        <f t="shared" si="17"/>
        <v>0.1</v>
      </c>
      <c r="B28" s="89">
        <f>+'Annual Energy Data'!A38</f>
        <v>2038</v>
      </c>
      <c r="C28" s="102">
        <f>+'Tier 3 Data'!J33*'Tier 4 Data'!$A28</f>
        <v>45639.275929748474</v>
      </c>
      <c r="D28" s="102">
        <f>+'Tier 3 Data'!K33*'Tier 4 Data'!$A28</f>
        <v>45639.275929748474</v>
      </c>
      <c r="E28" s="102">
        <f>+'Tier 3 Data'!L33*'Tier 4 Data'!$A28</f>
        <v>45639.275929748474</v>
      </c>
      <c r="F28" s="102">
        <f>+'Tier 3 Data'!M33*'Tier 4 Data'!$A28</f>
        <v>71133.067528154963</v>
      </c>
      <c r="G28" s="102">
        <f>+'Tier 3 Data'!N33*'Tier 4 Data'!$A28</f>
        <v>75152.819713254212</v>
      </c>
      <c r="H28" s="102">
        <f>+'Tier 3 Data'!O33*'Tier 4 Data'!$A28</f>
        <v>63324.993557360562</v>
      </c>
      <c r="I28" s="102">
        <f>+IF($I$4&gt;0,0,SUM('Annual Energy Data'!AQ38:BC38)-'Annual Energy Data'!AZ38-'Annual Energy Data'!AT38)</f>
        <v>0</v>
      </c>
      <c r="J28" s="102">
        <f>+IF($J$4&gt;0,0,'Annual Energy Data'!BE38)</f>
        <v>0</v>
      </c>
      <c r="K28" s="102">
        <f>+IF($K$4&gt;0,0,'Annual Energy Data'!BF38)</f>
        <v>0</v>
      </c>
      <c r="L28" s="102">
        <f>+IF($L$4&gt;0,0,'Annual Energy Data'!BG38)</f>
        <v>0</v>
      </c>
      <c r="M28" s="102">
        <f>+IF($M$4&gt;0,0,'Annual Energy Data'!BH38)</f>
        <v>0</v>
      </c>
      <c r="N28" s="102">
        <f>+IF($N$4&gt;0,0,'Annual Energy Data'!BI38)</f>
        <v>0</v>
      </c>
      <c r="O28" s="102">
        <f>+'Annual Energy Data'!CJ38</f>
        <v>0</v>
      </c>
      <c r="P28" s="102">
        <f>+'Annual Energy Data'!CK38</f>
        <v>0</v>
      </c>
      <c r="Q28" s="102">
        <f>+'Annual Energy Data'!CL38</f>
        <v>0</v>
      </c>
      <c r="R28" s="102">
        <f>+'Annual Energy Data'!CM38</f>
        <v>0</v>
      </c>
      <c r="S28" s="102">
        <f>+'Annual Energy Data'!CN38</f>
        <v>0</v>
      </c>
      <c r="T28" s="102">
        <f>+'Annual Energy Data'!CO38</f>
        <v>0</v>
      </c>
      <c r="U28" s="102">
        <f>+'Annual Energy Data'!CP38</f>
        <v>0</v>
      </c>
      <c r="V28" s="102">
        <f>+IF($V$4&gt;0,0,'Annual Energy Data'!AO38)</f>
        <v>0</v>
      </c>
      <c r="W28" s="102">
        <f>+IF($W$4&gt;0,0,'Annual Energy Data'!AP38)</f>
        <v>0</v>
      </c>
      <c r="X28" s="102">
        <f>+IF($X$4&gt;0,0,SUMIF('Monthly Energy Data'!$D$128:$D$595,$B28,'Monthly Energy Data'!N$128:N$595)/(1+$X$3))</f>
        <v>0</v>
      </c>
      <c r="Y28" s="102">
        <f>+IF($Y$4&gt;0,0,SUMIF('Monthly Energy Data'!$D$128:$D$595,$B28,'Monthly Energy Data'!O$128:O$595)/(1+$X$3))</f>
        <v>0</v>
      </c>
      <c r="Z28" s="102">
        <f t="shared" si="7"/>
        <v>0</v>
      </c>
      <c r="AA28" s="88">
        <f t="shared" si="1"/>
        <v>45639.275929748474</v>
      </c>
      <c r="AB28" s="88">
        <f t="shared" si="2"/>
        <v>45639.275929748474</v>
      </c>
      <c r="AC28" s="88">
        <f t="shared" si="3"/>
        <v>45639.275929748474</v>
      </c>
      <c r="AD28" s="88">
        <f t="shared" si="4"/>
        <v>71133.067528154963</v>
      </c>
      <c r="AE28" s="88">
        <f t="shared" si="5"/>
        <v>75152.819713254212</v>
      </c>
      <c r="AF28" s="88">
        <f t="shared" si="6"/>
        <v>63324.993557360562</v>
      </c>
      <c r="AG28" s="73" t="e">
        <f>+SUM(AA$7:AA28)</f>
        <v>#REF!</v>
      </c>
      <c r="AH28" s="58">
        <f t="shared" si="14"/>
        <v>0</v>
      </c>
      <c r="AI28" s="58">
        <f t="shared" si="10"/>
        <v>75152.819713254212</v>
      </c>
      <c r="AJ28">
        <f t="shared" si="16"/>
        <v>3006112.7885301686</v>
      </c>
      <c r="AK28" s="58">
        <f t="shared" si="8"/>
        <v>71133.067528154963</v>
      </c>
      <c r="AL28" s="58">
        <f t="shared" si="9"/>
        <v>75152.819713254212</v>
      </c>
      <c r="AM28" s="58">
        <f t="shared" si="11"/>
        <v>0</v>
      </c>
      <c r="AN28" s="58">
        <f t="shared" si="12"/>
        <v>-71133.067528154963</v>
      </c>
      <c r="AO28" s="58">
        <f t="shared" si="12"/>
        <v>-75152.819713254212</v>
      </c>
      <c r="AP28" s="184">
        <f t="shared" si="15"/>
        <v>1.4859473959783549</v>
      </c>
      <c r="AQ28" s="172">
        <f t="shared" si="13"/>
        <v>-105699.99646141434</v>
      </c>
      <c r="AR28" s="172">
        <f t="shared" si="13"/>
        <v>-111673.13675334088</v>
      </c>
    </row>
    <row r="29" spans="1:44" x14ac:dyDescent="0.2">
      <c r="A29" s="74">
        <f t="shared" si="17"/>
        <v>0.1</v>
      </c>
      <c r="B29" s="89">
        <f>+'Annual Energy Data'!A39</f>
        <v>2039</v>
      </c>
      <c r="C29" s="102">
        <f>+'Tier 3 Data'!J34*'Tier 4 Data'!$A29</f>
        <v>45302.266593123684</v>
      </c>
      <c r="D29" s="102">
        <f>+'Tier 3 Data'!K34*'Tier 4 Data'!$A29</f>
        <v>45302.266593123684</v>
      </c>
      <c r="E29" s="102">
        <f>+'Tier 3 Data'!L34*'Tier 4 Data'!$A29</f>
        <v>45302.266593123684</v>
      </c>
      <c r="F29" s="102">
        <f>+'Tier 3 Data'!M34*'Tier 4 Data'!$A29</f>
        <v>71612.086595409201</v>
      </c>
      <c r="G29" s="102">
        <f>+'Tier 3 Data'!N34*'Tier 4 Data'!$A29</f>
        <v>76855.228858287519</v>
      </c>
      <c r="H29" s="102">
        <f>+'Tier 3 Data'!O34*'Tier 4 Data'!$A29</f>
        <v>64421.349095807112</v>
      </c>
      <c r="I29" s="102">
        <f>+IF($I$4&gt;0,0,SUM('Annual Energy Data'!AQ39:BC39)-'Annual Energy Data'!AZ39-'Annual Energy Data'!AT39)</f>
        <v>0</v>
      </c>
      <c r="J29" s="102">
        <f>+IF($J$4&gt;0,0,'Annual Energy Data'!BE39)</f>
        <v>0</v>
      </c>
      <c r="K29" s="102">
        <f>+IF($K$4&gt;0,0,'Annual Energy Data'!BF39)</f>
        <v>0</v>
      </c>
      <c r="L29" s="102">
        <f>+IF($L$4&gt;0,0,'Annual Energy Data'!BG39)</f>
        <v>0</v>
      </c>
      <c r="M29" s="102">
        <f>+IF($M$4&gt;0,0,'Annual Energy Data'!BH39)</f>
        <v>0</v>
      </c>
      <c r="N29" s="102">
        <f>+IF($N$4&gt;0,0,'Annual Energy Data'!BI39)</f>
        <v>0</v>
      </c>
      <c r="O29" s="102">
        <f>+'Annual Energy Data'!CJ39</f>
        <v>0</v>
      </c>
      <c r="P29" s="102">
        <f>+'Annual Energy Data'!CK39</f>
        <v>0</v>
      </c>
      <c r="Q29" s="102">
        <f>+'Annual Energy Data'!CL39</f>
        <v>0</v>
      </c>
      <c r="R29" s="102">
        <f>+'Annual Energy Data'!CM39</f>
        <v>0</v>
      </c>
      <c r="S29" s="102">
        <f>+'Annual Energy Data'!CN39</f>
        <v>0</v>
      </c>
      <c r="T29" s="102">
        <f>+'Annual Energy Data'!CO39</f>
        <v>0</v>
      </c>
      <c r="U29" s="102">
        <f>+'Annual Energy Data'!CP39</f>
        <v>0</v>
      </c>
      <c r="V29" s="102">
        <f>+IF($V$4&gt;0,0,'Annual Energy Data'!AO39)</f>
        <v>0</v>
      </c>
      <c r="W29" s="102">
        <f>+IF($W$4&gt;0,0,'Annual Energy Data'!AP39)</f>
        <v>0</v>
      </c>
      <c r="X29" s="102">
        <f>+IF($X$4&gt;0,0,SUMIF('Monthly Energy Data'!$D$128:$D$595,$B29,'Monthly Energy Data'!N$128:N$595)/(1+$X$3))</f>
        <v>0</v>
      </c>
      <c r="Y29" s="102">
        <f>+IF($Y$4&gt;0,0,SUMIF('Monthly Energy Data'!$D$128:$D$595,$B29,'Monthly Energy Data'!O$128:O$595)/(1+$X$3))</f>
        <v>0</v>
      </c>
      <c r="Z29" s="102">
        <f t="shared" si="7"/>
        <v>0</v>
      </c>
      <c r="AA29" s="88">
        <f t="shared" si="1"/>
        <v>45302.266593123684</v>
      </c>
      <c r="AB29" s="88">
        <f t="shared" si="2"/>
        <v>45302.266593123684</v>
      </c>
      <c r="AC29" s="88">
        <f t="shared" si="3"/>
        <v>45302.266593123684</v>
      </c>
      <c r="AD29" s="88">
        <f t="shared" si="4"/>
        <v>71612.086595409201</v>
      </c>
      <c r="AE29" s="88">
        <f t="shared" si="5"/>
        <v>76855.228858287519</v>
      </c>
      <c r="AF29" s="88">
        <f t="shared" si="6"/>
        <v>64421.349095807112</v>
      </c>
      <c r="AG29" s="73" t="e">
        <f>+SUM(AA$7:AA29)</f>
        <v>#REF!</v>
      </c>
      <c r="AH29" s="58">
        <f t="shared" si="14"/>
        <v>0</v>
      </c>
      <c r="AI29" s="58">
        <f t="shared" si="10"/>
        <v>76855.228858287519</v>
      </c>
      <c r="AJ29">
        <f t="shared" si="16"/>
        <v>3074209.1543315006</v>
      </c>
      <c r="AK29" s="58">
        <f t="shared" si="8"/>
        <v>71612.086595409201</v>
      </c>
      <c r="AL29" s="58">
        <f t="shared" si="9"/>
        <v>76855.228858287519</v>
      </c>
      <c r="AM29" s="58">
        <f t="shared" si="11"/>
        <v>0</v>
      </c>
      <c r="AN29" s="58">
        <f t="shared" ref="AN29:AO40" si="18">+$AM29-AK29</f>
        <v>-71612.086595409201</v>
      </c>
      <c r="AO29" s="58">
        <f t="shared" si="18"/>
        <v>-76855.228858287519</v>
      </c>
      <c r="AP29" s="184">
        <f t="shared" si="15"/>
        <v>1.5156663438979221</v>
      </c>
      <c r="AQ29" s="172">
        <f t="shared" ref="AQ29:AR40" si="19">+$AP29*AN29</f>
        <v>-108540.02946896527</v>
      </c>
      <c r="AR29" s="172">
        <f t="shared" si="19"/>
        <v>-116486.88373307872</v>
      </c>
    </row>
    <row r="30" spans="1:44" x14ac:dyDescent="0.2">
      <c r="A30" s="74">
        <f t="shared" si="17"/>
        <v>0.1</v>
      </c>
      <c r="B30" s="89">
        <f>+'Annual Energy Data'!A40</f>
        <v>2040</v>
      </c>
      <c r="C30" s="102">
        <f>+'Tier 3 Data'!J35*'Tier 4 Data'!$A30</f>
        <v>44964.80757064854</v>
      </c>
      <c r="D30" s="102">
        <f>+'Tier 3 Data'!K35*'Tier 4 Data'!$A30</f>
        <v>44964.80757064854</v>
      </c>
      <c r="E30" s="102">
        <f>+'Tier 3 Data'!L35*'Tier 4 Data'!$A30</f>
        <v>44964.80757064854</v>
      </c>
      <c r="F30" s="102">
        <f>+'Tier 3 Data'!M35*'Tier 4 Data'!$A30</f>
        <v>71962.063688443974</v>
      </c>
      <c r="G30" s="102">
        <f>+'Tier 3 Data'!N35*'Tier 4 Data'!$A30</f>
        <v>78258.765066748529</v>
      </c>
      <c r="H30" s="102">
        <f>+'Tier 3 Data'!O35*'Tier 4 Data'!$A30</f>
        <v>65333.772483760134</v>
      </c>
      <c r="I30" s="102">
        <f>+IF($I$4&gt;0,0,SUM('Annual Energy Data'!AQ40:BC40)-'Annual Energy Data'!AZ40-'Annual Energy Data'!AT40)</f>
        <v>0</v>
      </c>
      <c r="J30" s="102">
        <f>+IF($J$4&gt;0,0,'Annual Energy Data'!BE40)</f>
        <v>0</v>
      </c>
      <c r="K30" s="102">
        <f>+IF($K$4&gt;0,0,'Annual Energy Data'!BF40)</f>
        <v>0</v>
      </c>
      <c r="L30" s="102">
        <f>+IF($L$4&gt;0,0,'Annual Energy Data'!BG40)</f>
        <v>0</v>
      </c>
      <c r="M30" s="102">
        <f>+IF($M$4&gt;0,0,'Annual Energy Data'!BH40)</f>
        <v>0</v>
      </c>
      <c r="N30" s="102">
        <f>+IF($N$4&gt;0,0,'Annual Energy Data'!BI40)</f>
        <v>0</v>
      </c>
      <c r="O30" s="102">
        <f>+'Annual Energy Data'!CJ40</f>
        <v>0</v>
      </c>
      <c r="P30" s="102">
        <f>+'Annual Energy Data'!CK40</f>
        <v>0</v>
      </c>
      <c r="Q30" s="102">
        <f>+'Annual Energy Data'!CL40</f>
        <v>0</v>
      </c>
      <c r="R30" s="102">
        <f>+'Annual Energy Data'!CM40</f>
        <v>0</v>
      </c>
      <c r="S30" s="102">
        <f>+'Annual Energy Data'!CN40</f>
        <v>0</v>
      </c>
      <c r="T30" s="102">
        <f>+'Annual Energy Data'!CO40</f>
        <v>0</v>
      </c>
      <c r="U30" s="102">
        <f>+'Annual Energy Data'!CP40</f>
        <v>0</v>
      </c>
      <c r="V30" s="102">
        <f>+IF($V$4&gt;0,0,'Annual Energy Data'!AO40)</f>
        <v>0</v>
      </c>
      <c r="W30" s="102">
        <f>+IF($W$4&gt;0,0,'Annual Energy Data'!AP40)</f>
        <v>0</v>
      </c>
      <c r="X30" s="102">
        <f>+IF($X$4&gt;0,0,SUMIF('Monthly Energy Data'!$D$128:$D$595,$B30,'Monthly Energy Data'!N$128:N$595)/(1+$X$3))</f>
        <v>0</v>
      </c>
      <c r="Y30" s="102">
        <f>+IF($Y$4&gt;0,0,SUMIF('Monthly Energy Data'!$D$128:$D$595,$B30,'Monthly Energy Data'!O$128:O$595)/(1+$X$3))</f>
        <v>0</v>
      </c>
      <c r="Z30" s="102">
        <f t="shared" si="7"/>
        <v>0</v>
      </c>
      <c r="AA30" s="88">
        <f t="shared" si="1"/>
        <v>44964.80757064854</v>
      </c>
      <c r="AB30" s="88">
        <f t="shared" si="2"/>
        <v>44964.80757064854</v>
      </c>
      <c r="AC30" s="88">
        <f t="shared" si="3"/>
        <v>44964.80757064854</v>
      </c>
      <c r="AD30" s="88">
        <f t="shared" si="4"/>
        <v>71962.063688443974</v>
      </c>
      <c r="AE30" s="88">
        <f t="shared" si="5"/>
        <v>78258.765066748529</v>
      </c>
      <c r="AF30" s="88">
        <f t="shared" si="6"/>
        <v>65333.772483760134</v>
      </c>
      <c r="AG30" s="73" t="e">
        <f>+SUM(AA$7:AA30)</f>
        <v>#REF!</v>
      </c>
      <c r="AH30" s="58">
        <f t="shared" si="14"/>
        <v>0</v>
      </c>
      <c r="AI30" s="58">
        <f t="shared" si="10"/>
        <v>78258.765066748529</v>
      </c>
      <c r="AK30" s="58">
        <f t="shared" si="8"/>
        <v>71962.063688443974</v>
      </c>
      <c r="AL30" s="58">
        <f t="shared" si="9"/>
        <v>78258.765066748529</v>
      </c>
      <c r="AM30" s="58">
        <f t="shared" si="11"/>
        <v>0</v>
      </c>
      <c r="AN30" s="58">
        <f t="shared" si="18"/>
        <v>-71962.063688443974</v>
      </c>
      <c r="AO30" s="58">
        <f t="shared" si="18"/>
        <v>-78258.765066748529</v>
      </c>
      <c r="AP30" s="184">
        <f t="shared" si="15"/>
        <v>1.5459796707758806</v>
      </c>
      <c r="AQ30" s="172">
        <f t="shared" si="19"/>
        <v>-111251.88752941357</v>
      </c>
      <c r="AR30" s="172">
        <f t="shared" si="19"/>
        <v>-120986.45985321888</v>
      </c>
    </row>
    <row r="31" spans="1:44" x14ac:dyDescent="0.2">
      <c r="A31" s="74">
        <f t="shared" si="17"/>
        <v>0.1</v>
      </c>
      <c r="B31" s="89">
        <f>+'Annual Energy Data'!A41</f>
        <v>2041</v>
      </c>
      <c r="C31" s="102">
        <f>+'Tier 3 Data'!J36*'Tier 4 Data'!$A31</f>
        <v>44624.110303902795</v>
      </c>
      <c r="D31" s="102">
        <f>+'Tier 3 Data'!K36*'Tier 4 Data'!$A31</f>
        <v>44624.110303902795</v>
      </c>
      <c r="E31" s="102">
        <f>+'Tier 3 Data'!L36*'Tier 4 Data'!$A31</f>
        <v>44624.110303902795</v>
      </c>
      <c r="F31" s="102">
        <f>+'Tier 3 Data'!M36*'Tier 4 Data'!$A31</f>
        <v>72222.380304426057</v>
      </c>
      <c r="G31" s="102">
        <f>+'Tier 3 Data'!N36*'Tier 4 Data'!$A31</f>
        <v>79353.227899898135</v>
      </c>
      <c r="H31" s="102">
        <f>+'Tier 3 Data'!O36*'Tier 4 Data'!$A31</f>
        <v>66062.106578335719</v>
      </c>
      <c r="I31" s="102">
        <f>+IF($I$4&gt;0,0,SUM('Annual Energy Data'!AQ41:BC41)-'Annual Energy Data'!AZ41-'Annual Energy Data'!AT41)</f>
        <v>0</v>
      </c>
      <c r="J31" s="102">
        <f>+IF($J$4&gt;0,0,'Annual Energy Data'!BE41)</f>
        <v>0</v>
      </c>
      <c r="K31" s="102">
        <f>+IF($K$4&gt;0,0,'Annual Energy Data'!BF41)</f>
        <v>0</v>
      </c>
      <c r="L31" s="102">
        <f>+IF($L$4&gt;0,0,'Annual Energy Data'!BG41)</f>
        <v>0</v>
      </c>
      <c r="M31" s="102">
        <f>+IF($M$4&gt;0,0,'Annual Energy Data'!BH41)</f>
        <v>0</v>
      </c>
      <c r="N31" s="102">
        <f>+IF($N$4&gt;0,0,'Annual Energy Data'!BI41)</f>
        <v>0</v>
      </c>
      <c r="O31" s="102">
        <f>+'Annual Energy Data'!CJ41</f>
        <v>0</v>
      </c>
      <c r="P31" s="102">
        <f>+'Annual Energy Data'!CK41</f>
        <v>0</v>
      </c>
      <c r="Q31" s="102">
        <f>+'Annual Energy Data'!CL41</f>
        <v>0</v>
      </c>
      <c r="R31" s="102">
        <f>+'Annual Energy Data'!CM41</f>
        <v>0</v>
      </c>
      <c r="S31" s="102">
        <f>+'Annual Energy Data'!CN41</f>
        <v>0</v>
      </c>
      <c r="T31" s="102">
        <f>+'Annual Energy Data'!CO41</f>
        <v>0</v>
      </c>
      <c r="U31" s="102">
        <f>+'Annual Energy Data'!CP41</f>
        <v>0</v>
      </c>
      <c r="V31" s="102">
        <f>+IF($V$4&gt;0,0,'Annual Energy Data'!AO41)</f>
        <v>0</v>
      </c>
      <c r="W31" s="102">
        <f>+IF($W$4&gt;0,0,'Annual Energy Data'!AP41)</f>
        <v>0</v>
      </c>
      <c r="X31" s="102">
        <f>+IF($X$4&gt;0,0,SUMIF('Monthly Energy Data'!$D$128:$D$595,$B31,'Monthly Energy Data'!N$128:N$595)/(1+$X$3))</f>
        <v>0</v>
      </c>
      <c r="Y31" s="102">
        <f>+IF($Y$4&gt;0,0,SUMIF('Monthly Energy Data'!$D$128:$D$595,$B31,'Monthly Energy Data'!O$128:O$595)/(1+$X$3))</f>
        <v>0</v>
      </c>
      <c r="Z31" s="102">
        <f t="shared" si="7"/>
        <v>0</v>
      </c>
      <c r="AA31" s="88">
        <f t="shared" si="1"/>
        <v>44624.110303902795</v>
      </c>
      <c r="AB31" s="88">
        <f t="shared" si="2"/>
        <v>44624.110303902795</v>
      </c>
      <c r="AC31" s="88">
        <f t="shared" si="3"/>
        <v>44624.110303902795</v>
      </c>
      <c r="AD31" s="88">
        <f t="shared" si="4"/>
        <v>72222.380304426057</v>
      </c>
      <c r="AE31" s="88">
        <f t="shared" si="5"/>
        <v>79353.227899898135</v>
      </c>
      <c r="AF31" s="88">
        <f t="shared" si="6"/>
        <v>66062.106578335719</v>
      </c>
      <c r="AG31" s="73" t="e">
        <f>+SUM(AA$7:AA31)</f>
        <v>#REF!</v>
      </c>
      <c r="AH31" s="58">
        <f t="shared" si="14"/>
        <v>0</v>
      </c>
      <c r="AI31" s="58">
        <f t="shared" si="10"/>
        <v>79353.227899898135</v>
      </c>
      <c r="AK31" s="58">
        <f t="shared" si="8"/>
        <v>72222.380304426057</v>
      </c>
      <c r="AL31" s="58">
        <f t="shared" si="9"/>
        <v>79353.227899898135</v>
      </c>
      <c r="AM31" s="58">
        <f t="shared" si="11"/>
        <v>0</v>
      </c>
      <c r="AN31" s="58">
        <f t="shared" si="18"/>
        <v>-72222.380304426057</v>
      </c>
      <c r="AO31" s="58">
        <f t="shared" si="18"/>
        <v>-79353.227899898135</v>
      </c>
      <c r="AP31" s="184">
        <f t="shared" si="15"/>
        <v>1.5768992641913981</v>
      </c>
      <c r="AQ31" s="172">
        <f t="shared" si="19"/>
        <v>-113887.41836020077</v>
      </c>
      <c r="AR31" s="172">
        <f t="shared" si="19"/>
        <v>-125132.04668656169</v>
      </c>
    </row>
    <row r="32" spans="1:44" x14ac:dyDescent="0.2">
      <c r="A32" s="74">
        <f t="shared" si="17"/>
        <v>0.1</v>
      </c>
      <c r="B32" s="89">
        <f>+'Annual Energy Data'!A42</f>
        <v>2042</v>
      </c>
      <c r="C32" s="102">
        <f>+'Tier 3 Data'!J37*'Tier 4 Data'!$A32</f>
        <v>44287.842034922483</v>
      </c>
      <c r="D32" s="102">
        <f>+'Tier 3 Data'!K37*'Tier 4 Data'!$A32</f>
        <v>44287.842034922483</v>
      </c>
      <c r="E32" s="102">
        <f>+'Tier 3 Data'!L37*'Tier 4 Data'!$A32</f>
        <v>44287.842034922483</v>
      </c>
      <c r="F32" s="102">
        <f>+'Tier 3 Data'!M37*'Tier 4 Data'!$A32</f>
        <v>72308.674512119891</v>
      </c>
      <c r="G32" s="102">
        <f>+'Tier 3 Data'!N37*'Tier 4 Data'!$A32</f>
        <v>80317.688283081588</v>
      </c>
      <c r="H32" s="102">
        <f>+'Tier 3 Data'!O37*'Tier 4 Data'!$A32</f>
        <v>66654.680842870963</v>
      </c>
      <c r="I32" s="102">
        <f>+IF($I$4&gt;0,0,SUM('Annual Energy Data'!AQ42:BC42)-'Annual Energy Data'!AZ42-'Annual Energy Data'!AT42)</f>
        <v>0</v>
      </c>
      <c r="J32" s="102">
        <f>+IF($J$4&gt;0,0,'Annual Energy Data'!BE42)</f>
        <v>0</v>
      </c>
      <c r="K32" s="102">
        <f>+IF($K$4&gt;0,0,'Annual Energy Data'!BF42)</f>
        <v>0</v>
      </c>
      <c r="L32" s="102">
        <f>+IF($L$4&gt;0,0,'Annual Energy Data'!BG42)</f>
        <v>0</v>
      </c>
      <c r="M32" s="102">
        <f>+IF($M$4&gt;0,0,'Annual Energy Data'!BH42)</f>
        <v>0</v>
      </c>
      <c r="N32" s="102">
        <f>+IF($N$4&gt;0,0,'Annual Energy Data'!BI42)</f>
        <v>0</v>
      </c>
      <c r="O32" s="102">
        <f>+'Annual Energy Data'!CJ42</f>
        <v>0</v>
      </c>
      <c r="P32" s="102">
        <f>+'Annual Energy Data'!CK42</f>
        <v>0</v>
      </c>
      <c r="Q32" s="102">
        <f>+'Annual Energy Data'!CL42</f>
        <v>0</v>
      </c>
      <c r="R32" s="102">
        <f>+'Annual Energy Data'!CM42</f>
        <v>0</v>
      </c>
      <c r="S32" s="102">
        <f>+'Annual Energy Data'!CN42</f>
        <v>0</v>
      </c>
      <c r="T32" s="102">
        <f>+'Annual Energy Data'!CO42</f>
        <v>0</v>
      </c>
      <c r="U32" s="102">
        <f>+'Annual Energy Data'!CP42</f>
        <v>0</v>
      </c>
      <c r="V32" s="102">
        <f>+IF($V$4&gt;0,0,'Annual Energy Data'!AO42)</f>
        <v>0</v>
      </c>
      <c r="W32" s="102">
        <f>+IF($W$4&gt;0,0,'Annual Energy Data'!AP42)</f>
        <v>0</v>
      </c>
      <c r="X32" s="102">
        <f>+IF($X$4&gt;0,0,SUMIF('Monthly Energy Data'!$D$128:$D$595,$B32,'Monthly Energy Data'!N$128:N$595)/(1+$X$3))</f>
        <v>0</v>
      </c>
      <c r="Y32" s="102">
        <f>+IF($Y$4&gt;0,0,SUMIF('Monthly Energy Data'!$D$128:$D$595,$B32,'Monthly Energy Data'!O$128:O$595)/(1+$X$3))</f>
        <v>0</v>
      </c>
      <c r="Z32" s="102">
        <f t="shared" si="7"/>
        <v>0</v>
      </c>
      <c r="AA32" s="88">
        <f t="shared" si="1"/>
        <v>44287.842034922483</v>
      </c>
      <c r="AB32" s="88">
        <f t="shared" si="2"/>
        <v>44287.842034922483</v>
      </c>
      <c r="AC32" s="88">
        <f t="shared" si="3"/>
        <v>44287.842034922483</v>
      </c>
      <c r="AD32" s="88">
        <f t="shared" si="4"/>
        <v>72308.674512119891</v>
      </c>
      <c r="AE32" s="88">
        <f t="shared" si="5"/>
        <v>80317.688283081588</v>
      </c>
      <c r="AF32" s="88">
        <f t="shared" si="6"/>
        <v>66654.680842870963</v>
      </c>
      <c r="AG32" s="73" t="e">
        <f>+SUM(AA$7:AA32)</f>
        <v>#REF!</v>
      </c>
      <c r="AH32" s="58">
        <f t="shared" si="14"/>
        <v>0</v>
      </c>
      <c r="AI32" s="58">
        <f t="shared" si="10"/>
        <v>80317.688283081588</v>
      </c>
      <c r="AK32" s="58">
        <f t="shared" si="8"/>
        <v>72308.674512119891</v>
      </c>
      <c r="AL32" s="58">
        <f t="shared" si="9"/>
        <v>80317.688283081588</v>
      </c>
      <c r="AM32" s="58">
        <f t="shared" si="11"/>
        <v>0</v>
      </c>
      <c r="AN32" s="58">
        <f t="shared" si="18"/>
        <v>-72308.674512119891</v>
      </c>
      <c r="AO32" s="58">
        <f t="shared" si="18"/>
        <v>-80317.688283081588</v>
      </c>
      <c r="AP32" s="184">
        <f t="shared" si="15"/>
        <v>1.6084372494752261</v>
      </c>
      <c r="AQ32" s="172">
        <f t="shared" si="19"/>
        <v>-116303.9655454735</v>
      </c>
      <c r="AR32" s="172">
        <f t="shared" si="19"/>
        <v>-129185.96162624835</v>
      </c>
    </row>
    <row r="33" spans="1:44" x14ac:dyDescent="0.2">
      <c r="A33" s="74">
        <f t="shared" si="17"/>
        <v>0.1</v>
      </c>
      <c r="B33" s="89">
        <f>+'Annual Energy Data'!A43</f>
        <v>2043</v>
      </c>
      <c r="C33" s="102">
        <f>+'Tier 3 Data'!J38*'Tier 4 Data'!$A33</f>
        <v>43944.543328148102</v>
      </c>
      <c r="D33" s="102">
        <f>+'Tier 3 Data'!K38*'Tier 4 Data'!$A33</f>
        <v>43944.543328148102</v>
      </c>
      <c r="E33" s="102">
        <f>+'Tier 3 Data'!L38*'Tier 4 Data'!$A33</f>
        <v>43944.543328148102</v>
      </c>
      <c r="F33" s="102">
        <f>+'Tier 3 Data'!M38*'Tier 4 Data'!$A33</f>
        <v>72223.48835808289</v>
      </c>
      <c r="G33" s="102">
        <f>+'Tier 3 Data'!N38*'Tier 4 Data'!$A33</f>
        <v>81243.424633059156</v>
      </c>
      <c r="H33" s="102">
        <f>+'Tier 3 Data'!O38*'Tier 4 Data'!$A33</f>
        <v>67120.674217600594</v>
      </c>
      <c r="I33" s="102">
        <f>+IF($I$4&gt;0,0,SUM('Annual Energy Data'!AQ43:BC43)-'Annual Energy Data'!AZ43-'Annual Energy Data'!AT43)</f>
        <v>0</v>
      </c>
      <c r="J33" s="102">
        <f>+IF($J$4&gt;0,0,'Annual Energy Data'!BE43)</f>
        <v>0</v>
      </c>
      <c r="K33" s="102">
        <f>+IF($K$4&gt;0,0,'Annual Energy Data'!BF43)</f>
        <v>0</v>
      </c>
      <c r="L33" s="102">
        <f>+IF($L$4&gt;0,0,'Annual Energy Data'!BG43)</f>
        <v>0</v>
      </c>
      <c r="M33" s="102">
        <f>+IF($M$4&gt;0,0,'Annual Energy Data'!BH43)</f>
        <v>0</v>
      </c>
      <c r="N33" s="102">
        <f>+IF($N$4&gt;0,0,'Annual Energy Data'!BI43)</f>
        <v>0</v>
      </c>
      <c r="O33" s="102">
        <f>+'Annual Energy Data'!CJ43</f>
        <v>0</v>
      </c>
      <c r="P33" s="102">
        <f>+'Annual Energy Data'!CK43</f>
        <v>0</v>
      </c>
      <c r="Q33" s="102">
        <f>+'Annual Energy Data'!CL43</f>
        <v>0</v>
      </c>
      <c r="R33" s="102">
        <f>+'Annual Energy Data'!CM43</f>
        <v>0</v>
      </c>
      <c r="S33" s="102">
        <f>+'Annual Energy Data'!CN43</f>
        <v>0</v>
      </c>
      <c r="T33" s="102">
        <f>+'Annual Energy Data'!CO43</f>
        <v>0</v>
      </c>
      <c r="U33" s="102">
        <f>+'Annual Energy Data'!CP43</f>
        <v>0</v>
      </c>
      <c r="V33" s="102">
        <f>+IF($V$4&gt;0,0,'Annual Energy Data'!AO43)</f>
        <v>0</v>
      </c>
      <c r="W33" s="102">
        <f>+IF($W$4&gt;0,0,'Annual Energy Data'!AP43)</f>
        <v>0</v>
      </c>
      <c r="X33" s="102">
        <f>+IF($X$4&gt;0,0,SUMIF('Monthly Energy Data'!$D$128:$D$595,$B33,'Monthly Energy Data'!N$128:N$595)/(1+$X$3))</f>
        <v>0</v>
      </c>
      <c r="Y33" s="102">
        <f>+IF($Y$4&gt;0,0,SUMIF('Monthly Energy Data'!$D$128:$D$595,$B33,'Monthly Energy Data'!O$128:O$595)/(1+$X$3))</f>
        <v>0</v>
      </c>
      <c r="Z33" s="102">
        <f t="shared" si="7"/>
        <v>0</v>
      </c>
      <c r="AA33" s="88">
        <f t="shared" si="1"/>
        <v>43944.543328148102</v>
      </c>
      <c r="AB33" s="88">
        <f t="shared" si="2"/>
        <v>43944.543328148102</v>
      </c>
      <c r="AC33" s="88">
        <f t="shared" si="3"/>
        <v>43944.543328148102</v>
      </c>
      <c r="AD33" s="88">
        <f t="shared" si="4"/>
        <v>72223.48835808289</v>
      </c>
      <c r="AE33" s="88">
        <f t="shared" si="5"/>
        <v>81243.424633059156</v>
      </c>
      <c r="AF33" s="88">
        <f t="shared" si="6"/>
        <v>67120.674217600594</v>
      </c>
      <c r="AG33" s="73" t="e">
        <f>+SUM(AA$7:AA33)</f>
        <v>#REF!</v>
      </c>
      <c r="AH33" s="58">
        <f t="shared" si="14"/>
        <v>0</v>
      </c>
      <c r="AI33" s="58">
        <f t="shared" si="10"/>
        <v>81243.424633059156</v>
      </c>
      <c r="AK33" s="58">
        <f t="shared" si="8"/>
        <v>72223.48835808289</v>
      </c>
      <c r="AL33" s="58">
        <f t="shared" si="9"/>
        <v>81243.424633059156</v>
      </c>
      <c r="AM33" s="58">
        <f t="shared" si="11"/>
        <v>0</v>
      </c>
      <c r="AN33" s="58">
        <f t="shared" si="18"/>
        <v>-72223.48835808289</v>
      </c>
      <c r="AO33" s="58">
        <f t="shared" si="18"/>
        <v>-81243.424633059156</v>
      </c>
      <c r="AP33" s="184">
        <f t="shared" si="15"/>
        <v>1.6406059944647307</v>
      </c>
      <c r="AQ33" s="172">
        <f t="shared" si="19"/>
        <v>-118490.28794142448</v>
      </c>
      <c r="AR33" s="172">
        <f t="shared" si="19"/>
        <v>-133288.4494638404</v>
      </c>
    </row>
    <row r="34" spans="1:44" x14ac:dyDescent="0.2">
      <c r="A34" s="74">
        <f t="shared" si="17"/>
        <v>0.1</v>
      </c>
      <c r="B34" s="89">
        <f>+'Annual Energy Data'!A44</f>
        <v>2044</v>
      </c>
      <c r="C34" s="102">
        <f>+'Tier 3 Data'!J39*'Tier 4 Data'!$A34</f>
        <v>43605.831338560347</v>
      </c>
      <c r="D34" s="102">
        <f>+'Tier 3 Data'!K39*'Tier 4 Data'!$A34</f>
        <v>43605.831338560347</v>
      </c>
      <c r="E34" s="102">
        <f>+'Tier 3 Data'!L39*'Tier 4 Data'!$A34</f>
        <v>43605.831338560347</v>
      </c>
      <c r="F34" s="102">
        <f>+'Tier 3 Data'!M39*'Tier 4 Data'!$A34</f>
        <v>72110.735357227386</v>
      </c>
      <c r="G34" s="102">
        <f>+'Tier 3 Data'!N39*'Tier 4 Data'!$A34</f>
        <v>82173.747700223292</v>
      </c>
      <c r="H34" s="102">
        <f>+'Tier 3 Data'!O39*'Tier 4 Data'!$A34</f>
        <v>67497.423564273151</v>
      </c>
      <c r="I34" s="102">
        <f>+IF($I$4&gt;0,0,SUM('Annual Energy Data'!AQ44:BC44)-'Annual Energy Data'!AZ44-'Annual Energy Data'!AT44)</f>
        <v>0</v>
      </c>
      <c r="J34" s="102">
        <f>+IF($J$4&gt;0,0,'Annual Energy Data'!BE44)</f>
        <v>0</v>
      </c>
      <c r="K34" s="102">
        <f>+IF($K$4&gt;0,0,'Annual Energy Data'!BF44)</f>
        <v>0</v>
      </c>
      <c r="L34" s="102">
        <f>+IF($L$4&gt;0,0,'Annual Energy Data'!BG44)</f>
        <v>0</v>
      </c>
      <c r="M34" s="102">
        <f>+IF($M$4&gt;0,0,'Annual Energy Data'!BH44)</f>
        <v>0</v>
      </c>
      <c r="N34" s="102">
        <f>+IF($N$4&gt;0,0,'Annual Energy Data'!BI44)</f>
        <v>0</v>
      </c>
      <c r="O34" s="102">
        <f>+'Annual Energy Data'!CJ44</f>
        <v>0</v>
      </c>
      <c r="P34" s="102">
        <f>+'Annual Energy Data'!CK44</f>
        <v>0</v>
      </c>
      <c r="Q34" s="102">
        <f>+'Annual Energy Data'!CL44</f>
        <v>0</v>
      </c>
      <c r="R34" s="102">
        <f>+'Annual Energy Data'!CM44</f>
        <v>0</v>
      </c>
      <c r="S34" s="102">
        <f>+'Annual Energy Data'!CN44</f>
        <v>0</v>
      </c>
      <c r="T34" s="102">
        <f>+'Annual Energy Data'!CO44</f>
        <v>0</v>
      </c>
      <c r="U34" s="102">
        <f>+'Annual Energy Data'!CP44</f>
        <v>0</v>
      </c>
      <c r="V34" s="102">
        <f>+IF($V$4&gt;0,0,'Annual Energy Data'!AO44)</f>
        <v>0</v>
      </c>
      <c r="W34" s="102">
        <f>+IF($W$4&gt;0,0,'Annual Energy Data'!AP44)</f>
        <v>0</v>
      </c>
      <c r="X34" s="102">
        <f>+IF($X$4&gt;0,0,SUMIF('Monthly Energy Data'!$D$128:$D$595,$B34,'Monthly Energy Data'!N$128:N$595)/(1+$X$3))</f>
        <v>0</v>
      </c>
      <c r="Y34" s="102">
        <f>+IF($Y$4&gt;0,0,SUMIF('Monthly Energy Data'!$D$128:$D$595,$B34,'Monthly Energy Data'!O$128:O$595)/(1+$X$3))</f>
        <v>0</v>
      </c>
      <c r="Z34" s="102">
        <f t="shared" si="7"/>
        <v>0</v>
      </c>
      <c r="AA34" s="88">
        <f t="shared" si="1"/>
        <v>43605.831338560347</v>
      </c>
      <c r="AB34" s="88">
        <f t="shared" si="2"/>
        <v>43605.831338560347</v>
      </c>
      <c r="AC34" s="88">
        <f t="shared" si="3"/>
        <v>43605.831338560347</v>
      </c>
      <c r="AD34" s="88">
        <f t="shared" si="4"/>
        <v>72110.735357227386</v>
      </c>
      <c r="AE34" s="88">
        <f t="shared" si="5"/>
        <v>82173.747700223292</v>
      </c>
      <c r="AF34" s="88">
        <f t="shared" si="6"/>
        <v>67497.423564273151</v>
      </c>
      <c r="AG34" s="73" t="e">
        <f>+SUM(AA$7:AA34)</f>
        <v>#REF!</v>
      </c>
      <c r="AH34" s="58">
        <f t="shared" si="14"/>
        <v>0</v>
      </c>
      <c r="AI34" s="58">
        <f t="shared" si="10"/>
        <v>82173.747700223292</v>
      </c>
      <c r="AK34" s="58">
        <f t="shared" si="8"/>
        <v>72110.735357227386</v>
      </c>
      <c r="AL34" s="58">
        <f t="shared" si="9"/>
        <v>82173.747700223292</v>
      </c>
      <c r="AM34" s="58">
        <f t="shared" si="11"/>
        <v>0</v>
      </c>
      <c r="AN34" s="58">
        <f t="shared" si="18"/>
        <v>-72110.735357227386</v>
      </c>
      <c r="AO34" s="58">
        <f t="shared" si="18"/>
        <v>-82173.747700223292</v>
      </c>
      <c r="AP34" s="184">
        <f t="shared" si="15"/>
        <v>1.6734181143540252</v>
      </c>
      <c r="AQ34" s="172">
        <f t="shared" si="19"/>
        <v>-120671.41078617358</v>
      </c>
      <c r="AR34" s="172">
        <f t="shared" si="19"/>
        <v>-137511.03792591108</v>
      </c>
    </row>
    <row r="35" spans="1:44" x14ac:dyDescent="0.2">
      <c r="A35" s="74">
        <f t="shared" si="17"/>
        <v>0.1</v>
      </c>
      <c r="B35" s="89">
        <f>+'Annual Energy Data'!A45</f>
        <v>2045</v>
      </c>
      <c r="C35" s="102">
        <f>+'Tier 3 Data'!J40*'Tier 4 Data'!$A35</f>
        <v>43265.377117503289</v>
      </c>
      <c r="D35" s="102">
        <f>+'Tier 3 Data'!K40*'Tier 4 Data'!$A35</f>
        <v>43265.377117503289</v>
      </c>
      <c r="E35" s="102">
        <f>+'Tier 3 Data'!L40*'Tier 4 Data'!$A35</f>
        <v>43265.377117503289</v>
      </c>
      <c r="F35" s="102">
        <f>+'Tier 3 Data'!M40*'Tier 4 Data'!$A35</f>
        <v>71996.151587993998</v>
      </c>
      <c r="G35" s="102">
        <f>+'Tier 3 Data'!N40*'Tier 4 Data'!$A35</f>
        <v>83102.328535918146</v>
      </c>
      <c r="H35" s="102">
        <f>+'Tier 3 Data'!O40*'Tier 4 Data'!$A35</f>
        <v>67811.752073805881</v>
      </c>
      <c r="I35" s="102">
        <f>+IF($I$4&gt;0,0,SUM('Annual Energy Data'!AQ45:BC45)-'Annual Energy Data'!AZ45-'Annual Energy Data'!AT45)</f>
        <v>0</v>
      </c>
      <c r="J35" s="102">
        <f>+IF($J$4&gt;0,0,'Annual Energy Data'!BE45)</f>
        <v>0</v>
      </c>
      <c r="K35" s="102">
        <f>+IF($K$4&gt;0,0,'Annual Energy Data'!BF45)</f>
        <v>0</v>
      </c>
      <c r="L35" s="102">
        <f>+IF($L$4&gt;0,0,'Annual Energy Data'!BG45)</f>
        <v>0</v>
      </c>
      <c r="M35" s="102">
        <f>+IF($M$4&gt;0,0,'Annual Energy Data'!BH45)</f>
        <v>0</v>
      </c>
      <c r="N35" s="102">
        <f>+IF($N$4&gt;0,0,'Annual Energy Data'!BI45)</f>
        <v>0</v>
      </c>
      <c r="O35" s="102">
        <f>+'Annual Energy Data'!CJ45</f>
        <v>0</v>
      </c>
      <c r="P35" s="102">
        <f>+'Annual Energy Data'!CK45</f>
        <v>0</v>
      </c>
      <c r="Q35" s="102">
        <f>+'Annual Energy Data'!CL45</f>
        <v>0</v>
      </c>
      <c r="R35" s="102">
        <f>+'Annual Energy Data'!CM45</f>
        <v>0</v>
      </c>
      <c r="S35" s="102">
        <f>+'Annual Energy Data'!CN45</f>
        <v>0</v>
      </c>
      <c r="T35" s="102">
        <f>+'Annual Energy Data'!CO45</f>
        <v>0</v>
      </c>
      <c r="U35" s="102">
        <f>+'Annual Energy Data'!CP45</f>
        <v>0</v>
      </c>
      <c r="V35" s="102">
        <f>+IF($V$4&gt;0,0,'Annual Energy Data'!AO45)</f>
        <v>0</v>
      </c>
      <c r="W35" s="102">
        <f>+IF($W$4&gt;0,0,'Annual Energy Data'!AP45)</f>
        <v>0</v>
      </c>
      <c r="X35" s="102">
        <f>+IF($X$4&gt;0,0,SUMIF('Monthly Energy Data'!$D$128:$D$595,$B35,'Monthly Energy Data'!N$128:N$595)/(1+$X$3))</f>
        <v>0</v>
      </c>
      <c r="Y35" s="102">
        <f>+IF($Y$4&gt;0,0,SUMIF('Monthly Energy Data'!$D$128:$D$595,$B35,'Monthly Energy Data'!O$128:O$595)/(1+$X$3))</f>
        <v>0</v>
      </c>
      <c r="Z35" s="102">
        <f t="shared" si="7"/>
        <v>0</v>
      </c>
      <c r="AA35" s="88">
        <f t="shared" si="1"/>
        <v>43265.377117503289</v>
      </c>
      <c r="AB35" s="88">
        <f t="shared" si="2"/>
        <v>43265.377117503289</v>
      </c>
      <c r="AC35" s="88">
        <f t="shared" si="3"/>
        <v>43265.377117503289</v>
      </c>
      <c r="AD35" s="88">
        <f t="shared" si="4"/>
        <v>71996.151587993998</v>
      </c>
      <c r="AE35" s="88">
        <f t="shared" si="5"/>
        <v>83102.328535918146</v>
      </c>
      <c r="AF35" s="88">
        <f t="shared" si="6"/>
        <v>67811.752073805881</v>
      </c>
      <c r="AG35" s="73" t="e">
        <f>+SUM(AA$7:AA35)</f>
        <v>#REF!</v>
      </c>
      <c r="AH35" s="58">
        <f t="shared" si="14"/>
        <v>0</v>
      </c>
      <c r="AI35" s="58">
        <f t="shared" si="10"/>
        <v>83102.328535918146</v>
      </c>
      <c r="AK35" s="58">
        <f t="shared" si="8"/>
        <v>71996.151587993998</v>
      </c>
      <c r="AL35" s="58">
        <f t="shared" si="9"/>
        <v>83102.328535918146</v>
      </c>
      <c r="AM35" s="58">
        <f t="shared" si="11"/>
        <v>0</v>
      </c>
      <c r="AN35" s="58">
        <f t="shared" si="18"/>
        <v>-71996.151587993998</v>
      </c>
      <c r="AO35" s="58">
        <f t="shared" si="18"/>
        <v>-83102.328535918146</v>
      </c>
      <c r="AP35" s="184">
        <f t="shared" si="15"/>
        <v>1.7068864766411058</v>
      </c>
      <c r="AQ35" s="172">
        <f t="shared" si="19"/>
        <v>-122889.25751575003</v>
      </c>
      <c r="AR35" s="172">
        <f t="shared" si="19"/>
        <v>-141846.24075534494</v>
      </c>
    </row>
    <row r="36" spans="1:44" x14ac:dyDescent="0.2">
      <c r="A36" s="74">
        <f t="shared" si="17"/>
        <v>0.1</v>
      </c>
      <c r="B36" s="89">
        <f>+'Annual Energy Data'!A46</f>
        <v>2046</v>
      </c>
      <c r="C36" s="102">
        <f>+'Tier 3 Data'!J41*'Tier 4 Data'!$A36</f>
        <v>-284.55928739609021</v>
      </c>
      <c r="D36" s="102">
        <f>+'Tier 3 Data'!K41*'Tier 4 Data'!$A36</f>
        <v>-284.55928739609021</v>
      </c>
      <c r="E36" s="102">
        <f>+'Tier 3 Data'!L41*'Tier 4 Data'!$A36</f>
        <v>-284.55928739609021</v>
      </c>
      <c r="F36" s="102">
        <f>+'Tier 3 Data'!M41*'Tier 4 Data'!$A36</f>
        <v>-284.55928739609021</v>
      </c>
      <c r="G36" s="102">
        <f>+'Tier 3 Data'!N41*'Tier 4 Data'!$A36</f>
        <v>-284.55928739609021</v>
      </c>
      <c r="H36" s="102">
        <f>+'Tier 3 Data'!O41*'Tier 4 Data'!$A36</f>
        <v>-284.55928739609021</v>
      </c>
      <c r="I36" s="102">
        <f>+IF($I$4&gt;0,0,SUM('Annual Energy Data'!AQ46:BC46)-'Annual Energy Data'!AZ46-'Annual Energy Data'!AT46)</f>
        <v>0</v>
      </c>
      <c r="J36" s="102">
        <f>+IF($J$4&gt;0,0,'Annual Energy Data'!BE46)</f>
        <v>0</v>
      </c>
      <c r="K36" s="102">
        <f>+IF($K$4&gt;0,0,'Annual Energy Data'!BF46)</f>
        <v>0</v>
      </c>
      <c r="L36" s="102">
        <f>+IF($L$4&gt;0,0,'Annual Energy Data'!BG46)</f>
        <v>0</v>
      </c>
      <c r="M36" s="102">
        <f>+IF($M$4&gt;0,0,'Annual Energy Data'!BH46)</f>
        <v>0</v>
      </c>
      <c r="N36" s="102">
        <f>+IF($N$4&gt;0,0,'Annual Energy Data'!BI46)</f>
        <v>0</v>
      </c>
      <c r="O36" s="102">
        <f>+'Annual Energy Data'!CJ46</f>
        <v>0</v>
      </c>
      <c r="P36" s="102">
        <f>+'Annual Energy Data'!CK46</f>
        <v>0</v>
      </c>
      <c r="Q36" s="102">
        <f>+'Annual Energy Data'!CL46</f>
        <v>0</v>
      </c>
      <c r="R36" s="102">
        <f>+'Annual Energy Data'!CM46</f>
        <v>0</v>
      </c>
      <c r="S36" s="102">
        <f>+'Annual Energy Data'!CN46</f>
        <v>0</v>
      </c>
      <c r="T36" s="102">
        <f>+'Annual Energy Data'!CO46</f>
        <v>0</v>
      </c>
      <c r="U36" s="102">
        <f>+'Annual Energy Data'!CP46</f>
        <v>0</v>
      </c>
      <c r="V36" s="102">
        <f>+IF($V$4&gt;0,0,'Annual Energy Data'!AO46)</f>
        <v>0</v>
      </c>
      <c r="W36" s="102">
        <f>+IF($W$4&gt;0,0,'Annual Energy Data'!AP46)</f>
        <v>0</v>
      </c>
      <c r="X36" s="102">
        <f>+IF($X$4&gt;0,0,SUMIF('Monthly Energy Data'!$D$128:$D$595,$B36,'Monthly Energy Data'!N$128:N$595)/(1+$X$3))</f>
        <v>0</v>
      </c>
      <c r="Y36" s="102">
        <f>+IF($Y$4&gt;0,0,SUMIF('Monthly Energy Data'!$D$128:$D$595,$B36,'Monthly Energy Data'!O$128:O$595)/(1+$X$3))</f>
        <v>0</v>
      </c>
      <c r="Z36" s="102">
        <f t="shared" si="7"/>
        <v>0</v>
      </c>
      <c r="AA36" s="88">
        <f t="shared" si="1"/>
        <v>-284.55928739609021</v>
      </c>
      <c r="AB36" s="88">
        <f t="shared" si="2"/>
        <v>-284.55928739609021</v>
      </c>
      <c r="AC36" s="88">
        <f t="shared" si="3"/>
        <v>-284.55928739609021</v>
      </c>
      <c r="AD36" s="88">
        <f t="shared" si="4"/>
        <v>-284.55928739609021</v>
      </c>
      <c r="AE36" s="88">
        <f t="shared" si="5"/>
        <v>-284.55928739609021</v>
      </c>
      <c r="AF36" s="88">
        <f t="shared" si="6"/>
        <v>-284.55928739609021</v>
      </c>
      <c r="AG36" s="73" t="e">
        <f>+SUM(AA$7:AA36)</f>
        <v>#REF!</v>
      </c>
      <c r="AH36" s="58">
        <f t="shared" si="14"/>
        <v>0</v>
      </c>
      <c r="AI36" s="58">
        <f t="shared" si="10"/>
        <v>-284.55928739609021</v>
      </c>
      <c r="AK36" s="58">
        <f t="shared" si="8"/>
        <v>-284.55928739609021</v>
      </c>
      <c r="AL36" s="58">
        <f t="shared" si="9"/>
        <v>-284.55928739609021</v>
      </c>
      <c r="AM36" s="58">
        <f t="shared" si="11"/>
        <v>0</v>
      </c>
      <c r="AN36" s="58">
        <f t="shared" si="18"/>
        <v>284.55928739609021</v>
      </c>
      <c r="AO36" s="58">
        <f t="shared" si="18"/>
        <v>284.55928739609021</v>
      </c>
      <c r="AP36" s="184">
        <f t="shared" si="15"/>
        <v>1.7410242061739281</v>
      </c>
      <c r="AQ36" s="172">
        <f t="shared" si="19"/>
        <v>495.42460744819664</v>
      </c>
      <c r="AR36" s="172">
        <f t="shared" si="19"/>
        <v>495.42460744819664</v>
      </c>
    </row>
    <row r="37" spans="1:44" x14ac:dyDescent="0.2">
      <c r="A37" s="74">
        <f t="shared" si="17"/>
        <v>0.1</v>
      </c>
      <c r="B37" s="89">
        <f>+'Annual Energy Data'!A47</f>
        <v>2047</v>
      </c>
      <c r="C37" s="102">
        <f>+'Tier 3 Data'!J42*'Tier 4 Data'!$A37</f>
        <v>0</v>
      </c>
      <c r="D37" s="102">
        <f>+'Tier 3 Data'!K42*'Tier 4 Data'!$A37</f>
        <v>0</v>
      </c>
      <c r="E37" s="102">
        <f>+'Tier 3 Data'!L42*'Tier 4 Data'!$A37</f>
        <v>0</v>
      </c>
      <c r="F37" s="102">
        <f>+'Tier 3 Data'!M42*'Tier 4 Data'!$A37</f>
        <v>0</v>
      </c>
      <c r="G37" s="102">
        <f>+'Tier 3 Data'!N42*'Tier 4 Data'!$A37</f>
        <v>0</v>
      </c>
      <c r="H37" s="102">
        <f>+'Tier 3 Data'!O42*'Tier 4 Data'!$A37</f>
        <v>0</v>
      </c>
      <c r="I37" s="102">
        <f>+IF($I$4&gt;0,0,SUM('Annual Energy Data'!AQ47:BC47)-'Annual Energy Data'!AZ47-'Annual Energy Data'!AT47)</f>
        <v>0</v>
      </c>
      <c r="J37" s="102">
        <f>+IF($J$4&gt;0,0,'Annual Energy Data'!BE47)</f>
        <v>0</v>
      </c>
      <c r="K37" s="102">
        <f>+IF($K$4&gt;0,0,'Annual Energy Data'!BF47)</f>
        <v>0</v>
      </c>
      <c r="L37" s="102">
        <f>+IF($L$4&gt;0,0,'Annual Energy Data'!BG47)</f>
        <v>0</v>
      </c>
      <c r="M37" s="102">
        <f>+IF($M$4&gt;0,0,'Annual Energy Data'!BH47)</f>
        <v>0</v>
      </c>
      <c r="N37" s="102">
        <f>+IF($N$4&gt;0,0,'Annual Energy Data'!BI47)</f>
        <v>0</v>
      </c>
      <c r="O37" s="102">
        <f>+'Annual Energy Data'!CJ47</f>
        <v>0</v>
      </c>
      <c r="P37" s="102">
        <f>+'Annual Energy Data'!CK47</f>
        <v>0</v>
      </c>
      <c r="Q37" s="102">
        <f>+'Annual Energy Data'!CL47</f>
        <v>0</v>
      </c>
      <c r="R37" s="102">
        <f>+'Annual Energy Data'!CM47</f>
        <v>0</v>
      </c>
      <c r="S37" s="102">
        <f>+'Annual Energy Data'!CN47</f>
        <v>0</v>
      </c>
      <c r="T37" s="102">
        <f>+'Annual Energy Data'!CO47</f>
        <v>0</v>
      </c>
      <c r="U37" s="102">
        <f>+'Annual Energy Data'!CP47</f>
        <v>0</v>
      </c>
      <c r="V37" s="102">
        <f>+IF($V$4&gt;0,0,'Annual Energy Data'!AO47)</f>
        <v>0</v>
      </c>
      <c r="W37" s="102">
        <f>+IF($W$4&gt;0,0,'Annual Energy Data'!AP47)</f>
        <v>0</v>
      </c>
      <c r="X37" s="102">
        <f>+IF($X$4&gt;0,0,SUMIF('Monthly Energy Data'!$D$128:$D$595,$B37,'Monthly Energy Data'!N$128:N$595)/(1+$X$3))</f>
        <v>0</v>
      </c>
      <c r="Y37" s="102">
        <f>+IF($Y$4&gt;0,0,SUMIF('Monthly Energy Data'!$D$128:$D$595,$B37,'Monthly Energy Data'!O$128:O$595)/(1+$X$3))</f>
        <v>0</v>
      </c>
      <c r="Z37" s="102">
        <f t="shared" si="7"/>
        <v>0</v>
      </c>
      <c r="AA37" s="88">
        <f t="shared" si="1"/>
        <v>0</v>
      </c>
      <c r="AB37" s="88">
        <f t="shared" si="2"/>
        <v>0</v>
      </c>
      <c r="AC37" s="88">
        <f t="shared" si="3"/>
        <v>0</v>
      </c>
      <c r="AD37" s="88">
        <f t="shared" si="4"/>
        <v>0</v>
      </c>
      <c r="AE37" s="88">
        <f t="shared" si="5"/>
        <v>0</v>
      </c>
      <c r="AF37" s="88">
        <f t="shared" si="6"/>
        <v>0</v>
      </c>
      <c r="AG37" s="73" t="e">
        <f>+SUM(AA$7:AA37)</f>
        <v>#REF!</v>
      </c>
      <c r="AH37" s="58">
        <f t="shared" si="14"/>
        <v>0</v>
      </c>
      <c r="AI37" s="58">
        <f t="shared" si="10"/>
        <v>0</v>
      </c>
      <c r="AK37" s="58">
        <f t="shared" si="8"/>
        <v>0</v>
      </c>
      <c r="AL37" s="58">
        <f t="shared" si="9"/>
        <v>0</v>
      </c>
      <c r="AM37" s="58">
        <f t="shared" si="11"/>
        <v>0</v>
      </c>
      <c r="AN37" s="58">
        <f t="shared" si="18"/>
        <v>0</v>
      </c>
      <c r="AO37" s="58">
        <f t="shared" si="18"/>
        <v>0</v>
      </c>
      <c r="AP37" s="184">
        <f t="shared" si="15"/>
        <v>1.7758446902974065</v>
      </c>
      <c r="AQ37" s="172">
        <f t="shared" si="19"/>
        <v>0</v>
      </c>
      <c r="AR37" s="172">
        <f t="shared" si="19"/>
        <v>0</v>
      </c>
    </row>
    <row r="38" spans="1:44" x14ac:dyDescent="0.2">
      <c r="A38" s="74">
        <f t="shared" si="17"/>
        <v>0.1</v>
      </c>
      <c r="B38" s="89">
        <f>+'Annual Energy Data'!A48</f>
        <v>2048</v>
      </c>
      <c r="C38" s="102">
        <f>+'Tier 3 Data'!J43*'Tier 4 Data'!$A38</f>
        <v>0</v>
      </c>
      <c r="D38" s="102">
        <f>+'Tier 3 Data'!K43*'Tier 4 Data'!$A38</f>
        <v>0</v>
      </c>
      <c r="E38" s="102">
        <f>+'Tier 3 Data'!L43*'Tier 4 Data'!$A38</f>
        <v>0</v>
      </c>
      <c r="F38" s="102">
        <f>+'Tier 3 Data'!M43*'Tier 4 Data'!$A38</f>
        <v>0</v>
      </c>
      <c r="G38" s="102">
        <f>+'Tier 3 Data'!N43*'Tier 4 Data'!$A38</f>
        <v>0</v>
      </c>
      <c r="H38" s="102">
        <f>+'Tier 3 Data'!O43*'Tier 4 Data'!$A38</f>
        <v>0</v>
      </c>
      <c r="I38" s="102">
        <f>+IF($I$4&gt;0,0,SUM('Annual Energy Data'!AQ48:BC48)-'Annual Energy Data'!AZ48-'Annual Energy Data'!AT48)</f>
        <v>0</v>
      </c>
      <c r="J38" s="102">
        <f>+IF($J$4&gt;0,0,'Annual Energy Data'!BE48)</f>
        <v>0</v>
      </c>
      <c r="K38" s="102">
        <f>+IF($K$4&gt;0,0,'Annual Energy Data'!BF48)</f>
        <v>0</v>
      </c>
      <c r="L38" s="102">
        <f>+IF($L$4&gt;0,0,'Annual Energy Data'!BG48)</f>
        <v>0</v>
      </c>
      <c r="M38" s="102">
        <f>+IF($M$4&gt;0,0,'Annual Energy Data'!BH48)</f>
        <v>0</v>
      </c>
      <c r="N38" s="102">
        <f>+IF($N$4&gt;0,0,'Annual Energy Data'!BI48)</f>
        <v>0</v>
      </c>
      <c r="O38" s="102">
        <f>+'Annual Energy Data'!CJ48</f>
        <v>0</v>
      </c>
      <c r="P38" s="102">
        <f>+'Annual Energy Data'!CK48</f>
        <v>0</v>
      </c>
      <c r="Q38" s="102">
        <f>+'Annual Energy Data'!CL48</f>
        <v>0</v>
      </c>
      <c r="R38" s="102">
        <f>+'Annual Energy Data'!CM48</f>
        <v>0</v>
      </c>
      <c r="S38" s="102">
        <f>+'Annual Energy Data'!CN48</f>
        <v>0</v>
      </c>
      <c r="T38" s="102">
        <f>+'Annual Energy Data'!CO48</f>
        <v>0</v>
      </c>
      <c r="U38" s="102">
        <f>+'Annual Energy Data'!CP48</f>
        <v>0</v>
      </c>
      <c r="V38" s="102">
        <f>+IF($V$4&gt;0,0,'Annual Energy Data'!AO48)</f>
        <v>0</v>
      </c>
      <c r="W38" s="102">
        <f>+IF($W$4&gt;0,0,'Annual Energy Data'!AP48)</f>
        <v>0</v>
      </c>
      <c r="X38" s="102">
        <f>+IF($X$4&gt;0,0,SUMIF('Monthly Energy Data'!$D$128:$D$595,$B38,'Monthly Energy Data'!N$128:N$595)/(1+$X$3))</f>
        <v>0</v>
      </c>
      <c r="Y38" s="102">
        <f>+IF($Y$4&gt;0,0,SUMIF('Monthly Energy Data'!$D$128:$D$595,$B38,'Monthly Energy Data'!O$128:O$595)/(1+$X$3))</f>
        <v>0</v>
      </c>
      <c r="Z38" s="102">
        <f t="shared" si="7"/>
        <v>0</v>
      </c>
      <c r="AA38" s="88">
        <f t="shared" si="1"/>
        <v>0</v>
      </c>
      <c r="AB38" s="88">
        <f t="shared" si="2"/>
        <v>0</v>
      </c>
      <c r="AC38" s="88">
        <f t="shared" si="3"/>
        <v>0</v>
      </c>
      <c r="AD38" s="88">
        <f t="shared" si="4"/>
        <v>0</v>
      </c>
      <c r="AE38" s="88">
        <f t="shared" si="5"/>
        <v>0</v>
      </c>
      <c r="AF38" s="88">
        <f t="shared" si="6"/>
        <v>0</v>
      </c>
      <c r="AG38" s="73" t="e">
        <f>+SUM(AA$7:AA38)</f>
        <v>#REF!</v>
      </c>
      <c r="AH38" s="58">
        <f t="shared" si="14"/>
        <v>0</v>
      </c>
      <c r="AI38" s="58">
        <f t="shared" si="10"/>
        <v>0</v>
      </c>
      <c r="AK38" s="58">
        <f t="shared" si="8"/>
        <v>0</v>
      </c>
      <c r="AL38" s="58">
        <f t="shared" si="9"/>
        <v>0</v>
      </c>
      <c r="AM38" s="58">
        <f t="shared" si="11"/>
        <v>0</v>
      </c>
      <c r="AN38" s="58">
        <f t="shared" si="18"/>
        <v>0</v>
      </c>
      <c r="AO38" s="58">
        <f t="shared" si="18"/>
        <v>0</v>
      </c>
      <c r="AP38" s="184">
        <f t="shared" si="15"/>
        <v>1.8113615841033548</v>
      </c>
      <c r="AQ38" s="172">
        <f t="shared" si="19"/>
        <v>0</v>
      </c>
      <c r="AR38" s="172">
        <f t="shared" si="19"/>
        <v>0</v>
      </c>
    </row>
    <row r="39" spans="1:44" x14ac:dyDescent="0.2">
      <c r="A39" s="74">
        <f t="shared" si="17"/>
        <v>0.1</v>
      </c>
      <c r="B39" s="89">
        <f>+'Annual Energy Data'!A49</f>
        <v>2049</v>
      </c>
      <c r="C39" s="102">
        <f>+'Tier 3 Data'!J44*'Tier 4 Data'!$A39</f>
        <v>0</v>
      </c>
      <c r="D39" s="102">
        <f>+'Tier 3 Data'!K44*'Tier 4 Data'!$A39</f>
        <v>0</v>
      </c>
      <c r="E39" s="102">
        <f>+'Tier 3 Data'!L44*'Tier 4 Data'!$A39</f>
        <v>0</v>
      </c>
      <c r="F39" s="102">
        <f>+'Tier 3 Data'!M44*'Tier 4 Data'!$A39</f>
        <v>0</v>
      </c>
      <c r="G39" s="102">
        <f>+'Tier 3 Data'!N44*'Tier 4 Data'!$A39</f>
        <v>0</v>
      </c>
      <c r="H39" s="102">
        <f>+'Tier 3 Data'!O44*'Tier 4 Data'!$A39</f>
        <v>0</v>
      </c>
      <c r="I39" s="102">
        <f>+IF($I$4&gt;0,0,SUM('Annual Energy Data'!AQ49:BC49)-'Annual Energy Data'!AZ49-'Annual Energy Data'!AT49)</f>
        <v>0</v>
      </c>
      <c r="J39" s="102">
        <f>+IF($J$4&gt;0,0,'Annual Energy Data'!BE49)</f>
        <v>0</v>
      </c>
      <c r="K39" s="102">
        <f>+IF($K$4&gt;0,0,'Annual Energy Data'!BF49)</f>
        <v>0</v>
      </c>
      <c r="L39" s="102">
        <f>+IF($L$4&gt;0,0,'Annual Energy Data'!BG49)</f>
        <v>0</v>
      </c>
      <c r="M39" s="102">
        <f>+IF($M$4&gt;0,0,'Annual Energy Data'!BH49)</f>
        <v>0</v>
      </c>
      <c r="N39" s="102">
        <f>+IF($N$4&gt;0,0,'Annual Energy Data'!BI49)</f>
        <v>0</v>
      </c>
      <c r="O39" s="102">
        <f>+'Annual Energy Data'!CJ49</f>
        <v>0</v>
      </c>
      <c r="P39" s="102">
        <f>+'Annual Energy Data'!CK49</f>
        <v>0</v>
      </c>
      <c r="Q39" s="102">
        <f>+'Annual Energy Data'!CL49</f>
        <v>0</v>
      </c>
      <c r="R39" s="102">
        <f>+'Annual Energy Data'!CM49</f>
        <v>0</v>
      </c>
      <c r="S39" s="102">
        <f>+'Annual Energy Data'!CN49</f>
        <v>0</v>
      </c>
      <c r="T39" s="102">
        <f>+'Annual Energy Data'!CO49</f>
        <v>0</v>
      </c>
      <c r="U39" s="102">
        <f>+'Annual Energy Data'!CP49</f>
        <v>0</v>
      </c>
      <c r="V39" s="102">
        <f>+IF($V$4&gt;0,0,'Annual Energy Data'!AO49)</f>
        <v>0</v>
      </c>
      <c r="W39" s="102">
        <f>+IF($W$4&gt;0,0,'Annual Energy Data'!AP49)</f>
        <v>0</v>
      </c>
      <c r="X39" s="102">
        <f>+IF($X$4&gt;0,0,SUMIF('Monthly Energy Data'!$D$128:$D$595,$B39,'Monthly Energy Data'!N$128:N$595)/(1+$X$3))</f>
        <v>0</v>
      </c>
      <c r="Y39" s="102">
        <f>+IF($Y$4&gt;0,0,SUMIF('Monthly Energy Data'!$D$128:$D$595,$B39,'Monthly Energy Data'!O$128:O$595)/(1+$X$3))</f>
        <v>0</v>
      </c>
      <c r="Z39" s="102">
        <f t="shared" si="7"/>
        <v>0</v>
      </c>
      <c r="AA39" s="88">
        <f t="shared" si="1"/>
        <v>0</v>
      </c>
      <c r="AB39" s="88">
        <f t="shared" si="2"/>
        <v>0</v>
      </c>
      <c r="AC39" s="88">
        <f t="shared" si="3"/>
        <v>0</v>
      </c>
      <c r="AD39" s="88">
        <f t="shared" si="4"/>
        <v>0</v>
      </c>
      <c r="AE39" s="88">
        <f t="shared" si="5"/>
        <v>0</v>
      </c>
      <c r="AF39" s="88">
        <f t="shared" si="6"/>
        <v>0</v>
      </c>
      <c r="AG39" s="73" t="e">
        <f>+SUM(AA$7:AA39)</f>
        <v>#REF!</v>
      </c>
      <c r="AH39" s="58">
        <f t="shared" si="14"/>
        <v>0</v>
      </c>
      <c r="AI39" s="58">
        <f t="shared" si="10"/>
        <v>0</v>
      </c>
      <c r="AK39" s="58">
        <f t="shared" si="8"/>
        <v>0</v>
      </c>
      <c r="AL39" s="58">
        <f t="shared" si="9"/>
        <v>0</v>
      </c>
      <c r="AM39" s="58">
        <f t="shared" si="11"/>
        <v>0</v>
      </c>
      <c r="AN39" s="58">
        <f t="shared" si="18"/>
        <v>0</v>
      </c>
      <c r="AO39" s="58">
        <f t="shared" si="18"/>
        <v>0</v>
      </c>
      <c r="AP39" s="184">
        <f t="shared" si="15"/>
        <v>1.8475888157854219</v>
      </c>
      <c r="AQ39" s="172">
        <f t="shared" si="19"/>
        <v>0</v>
      </c>
      <c r="AR39" s="172">
        <f t="shared" si="19"/>
        <v>0</v>
      </c>
    </row>
    <row r="40" spans="1:44" x14ac:dyDescent="0.2">
      <c r="A40" s="74">
        <f t="shared" si="17"/>
        <v>0.1</v>
      </c>
      <c r="B40" s="89">
        <f>+'Annual Energy Data'!A50</f>
        <v>2050</v>
      </c>
      <c r="C40" s="102">
        <f>+'Tier 3 Data'!J45*'Tier 4 Data'!$A40</f>
        <v>0</v>
      </c>
      <c r="D40" s="102">
        <f>+'Tier 3 Data'!K45*'Tier 4 Data'!$A40</f>
        <v>0</v>
      </c>
      <c r="E40" s="102">
        <f>+'Tier 3 Data'!L45*'Tier 4 Data'!$A40</f>
        <v>0</v>
      </c>
      <c r="F40" s="102">
        <f>+'Tier 3 Data'!M45*'Tier 4 Data'!$A40</f>
        <v>0</v>
      </c>
      <c r="G40" s="102">
        <f>+'Tier 3 Data'!N45*'Tier 4 Data'!$A40</f>
        <v>0</v>
      </c>
      <c r="H40" s="102">
        <f>+'Tier 3 Data'!O45*'Tier 4 Data'!$A40</f>
        <v>0</v>
      </c>
      <c r="I40" s="102">
        <f>+IF($I$4&gt;0,0,SUM('Annual Energy Data'!AQ50:BC50)-'Annual Energy Data'!AZ50-'Annual Energy Data'!AT50)</f>
        <v>0</v>
      </c>
      <c r="J40" s="102">
        <f>+IF($J$4&gt;0,0,'Annual Energy Data'!BE50)</f>
        <v>0</v>
      </c>
      <c r="K40" s="102">
        <f>+IF($K$4&gt;0,0,'Annual Energy Data'!BF50)</f>
        <v>0</v>
      </c>
      <c r="L40" s="102">
        <f>+IF($L$4&gt;0,0,'Annual Energy Data'!BG50)</f>
        <v>0</v>
      </c>
      <c r="M40" s="102">
        <f>+IF($M$4&gt;0,0,'Annual Energy Data'!BH50)</f>
        <v>0</v>
      </c>
      <c r="N40" s="102">
        <f>+IF($N$4&gt;0,0,'Annual Energy Data'!BI50)</f>
        <v>0</v>
      </c>
      <c r="O40" s="102">
        <f>+'Annual Energy Data'!CJ50</f>
        <v>0</v>
      </c>
      <c r="P40" s="102">
        <f>+'Annual Energy Data'!CK50</f>
        <v>0</v>
      </c>
      <c r="Q40" s="102">
        <f>+'Annual Energy Data'!CL50</f>
        <v>0</v>
      </c>
      <c r="R40" s="102">
        <f>+'Annual Energy Data'!CM50</f>
        <v>0</v>
      </c>
      <c r="S40" s="102">
        <f>+'Annual Energy Data'!CN50</f>
        <v>0</v>
      </c>
      <c r="T40" s="102">
        <f>+'Annual Energy Data'!CO50</f>
        <v>0</v>
      </c>
      <c r="U40" s="102">
        <f>+'Annual Energy Data'!CP50</f>
        <v>0</v>
      </c>
      <c r="V40" s="102">
        <f>+IF($V$4&gt;0,0,'Annual Energy Data'!AO50)</f>
        <v>0</v>
      </c>
      <c r="W40" s="102">
        <f>+IF($W$4&gt;0,0,'Annual Energy Data'!AP50)</f>
        <v>0</v>
      </c>
      <c r="X40" s="102">
        <f>+IF($X$4&gt;0,0,SUMIF('Monthly Energy Data'!$D$128:$D$595,$B40,'Monthly Energy Data'!N$128:N$595)/(1+$X$3))</f>
        <v>0</v>
      </c>
      <c r="Y40" s="102">
        <f>+IF($Y$4&gt;0,0,SUMIF('Monthly Energy Data'!$D$128:$D$595,$B40,'Monthly Energy Data'!O$128:O$595)/(1+$X$3))</f>
        <v>0</v>
      </c>
      <c r="Z40" s="102">
        <f t="shared" si="7"/>
        <v>0</v>
      </c>
      <c r="AA40" s="88">
        <f t="shared" si="1"/>
        <v>0</v>
      </c>
      <c r="AB40" s="88">
        <f t="shared" si="2"/>
        <v>0</v>
      </c>
      <c r="AC40" s="88">
        <f t="shared" si="3"/>
        <v>0</v>
      </c>
      <c r="AD40" s="88">
        <f t="shared" si="4"/>
        <v>0</v>
      </c>
      <c r="AE40" s="88">
        <f t="shared" si="5"/>
        <v>0</v>
      </c>
      <c r="AF40" s="88">
        <f t="shared" si="6"/>
        <v>0</v>
      </c>
      <c r="AG40" s="73" t="e">
        <f>+SUM(AA$7:AA40)</f>
        <v>#REF!</v>
      </c>
      <c r="AH40" s="58">
        <f t="shared" si="14"/>
        <v>0</v>
      </c>
      <c r="AI40" s="58">
        <f t="shared" si="10"/>
        <v>0</v>
      </c>
      <c r="AK40" s="58">
        <f t="shared" si="8"/>
        <v>0</v>
      </c>
      <c r="AL40" s="58">
        <f t="shared" si="9"/>
        <v>0</v>
      </c>
      <c r="AM40" s="58">
        <f t="shared" si="11"/>
        <v>0</v>
      </c>
      <c r="AN40" s="58">
        <f t="shared" si="18"/>
        <v>0</v>
      </c>
      <c r="AO40" s="58">
        <f t="shared" si="18"/>
        <v>0</v>
      </c>
      <c r="AP40" s="184">
        <f t="shared" si="15"/>
        <v>1.8845405921011305</v>
      </c>
      <c r="AQ40" s="172">
        <f t="shared" si="19"/>
        <v>0</v>
      </c>
      <c r="AR40" s="172">
        <f t="shared" si="19"/>
        <v>0</v>
      </c>
    </row>
    <row r="41" spans="1:44" x14ac:dyDescent="0.2">
      <c r="A41" s="75"/>
      <c r="C41" s="58"/>
      <c r="D41" s="58"/>
      <c r="E41" s="58"/>
      <c r="F41" s="58"/>
      <c r="G41" s="58"/>
      <c r="H41" s="58"/>
      <c r="I41" s="58"/>
      <c r="J41" s="58"/>
      <c r="K41" s="58"/>
      <c r="L41" s="58"/>
      <c r="M41" s="58"/>
      <c r="N41" s="58"/>
      <c r="O41" s="58"/>
      <c r="P41" s="58"/>
      <c r="Q41" s="58"/>
      <c r="R41" s="58"/>
      <c r="S41" s="58"/>
      <c r="T41" s="58"/>
      <c r="U41" s="58"/>
      <c r="V41" s="58"/>
      <c r="W41" s="58"/>
      <c r="X41" s="58"/>
      <c r="Y41" s="58"/>
      <c r="Z41" s="58"/>
      <c r="AA41" s="73"/>
      <c r="AB41" s="73"/>
      <c r="AC41" s="73"/>
      <c r="AD41" s="73"/>
      <c r="AE41" s="73"/>
      <c r="AF41" s="73"/>
      <c r="AG41" s="73"/>
      <c r="AK41" s="58"/>
      <c r="AL41" s="58"/>
      <c r="AM41" s="58"/>
      <c r="AN41" s="58"/>
      <c r="AO41" s="58"/>
      <c r="AP41" s="184"/>
      <c r="AQ41" s="172"/>
      <c r="AR41" s="172"/>
    </row>
    <row r="42" spans="1:44" x14ac:dyDescent="0.2">
      <c r="A42" s="75"/>
      <c r="C42" s="58"/>
      <c r="D42" s="58"/>
      <c r="E42" s="58"/>
      <c r="F42" s="58"/>
      <c r="G42" s="58"/>
      <c r="H42" s="58"/>
      <c r="I42" s="58"/>
      <c r="J42" s="58"/>
      <c r="K42" s="58"/>
      <c r="L42" s="58"/>
      <c r="M42" s="58"/>
      <c r="N42" s="58"/>
      <c r="O42" s="58"/>
      <c r="P42" s="58"/>
      <c r="Q42" s="58"/>
      <c r="R42" s="58"/>
      <c r="S42" s="58"/>
      <c r="T42" s="58"/>
      <c r="U42" s="58"/>
      <c r="V42" s="58"/>
      <c r="W42" s="58"/>
      <c r="X42" s="58"/>
      <c r="Y42" s="58"/>
      <c r="Z42" s="58"/>
      <c r="AA42" s="73"/>
      <c r="AB42" s="73"/>
      <c r="AC42" s="73"/>
      <c r="AD42" s="73"/>
      <c r="AE42" s="73"/>
      <c r="AF42" s="73"/>
      <c r="AG42" s="73"/>
      <c r="AK42" s="58"/>
      <c r="AL42" s="58"/>
      <c r="AM42" s="58"/>
      <c r="AN42" s="58"/>
      <c r="AO42" s="58"/>
      <c r="AP42" s="184"/>
      <c r="AQ42" s="172"/>
      <c r="AR42" s="172"/>
    </row>
    <row r="43" spans="1:44" x14ac:dyDescent="0.2">
      <c r="A43" s="75"/>
      <c r="C43" s="58"/>
      <c r="D43" s="58"/>
      <c r="E43" s="58"/>
      <c r="F43" s="58"/>
      <c r="G43" s="58"/>
      <c r="H43" s="58"/>
      <c r="I43" s="58"/>
      <c r="J43" s="58"/>
      <c r="K43" s="58"/>
      <c r="L43" s="58"/>
      <c r="M43" s="58"/>
      <c r="N43" s="58"/>
      <c r="O43" s="58"/>
      <c r="P43" s="58"/>
      <c r="Q43" s="58"/>
      <c r="R43" s="58"/>
      <c r="S43" s="58"/>
      <c r="T43" s="58"/>
      <c r="U43" s="58"/>
      <c r="V43" s="58"/>
      <c r="W43" s="58"/>
      <c r="X43" s="58"/>
      <c r="Y43" s="58"/>
      <c r="Z43" s="58"/>
      <c r="AA43" s="73"/>
      <c r="AB43" s="73"/>
      <c r="AC43" s="73"/>
      <c r="AD43" s="73"/>
      <c r="AE43" s="73"/>
      <c r="AF43" s="73"/>
      <c r="AG43" s="73"/>
      <c r="AK43" s="58"/>
      <c r="AL43" s="58"/>
      <c r="AM43" s="58"/>
      <c r="AN43" s="58"/>
      <c r="AO43" s="58"/>
      <c r="AP43" s="184"/>
      <c r="AQ43" s="172"/>
      <c r="AR43" s="172"/>
    </row>
    <row r="44" spans="1:44" x14ac:dyDescent="0.2">
      <c r="A44" s="75"/>
      <c r="C44" s="58"/>
      <c r="D44" s="58"/>
      <c r="E44" s="58"/>
      <c r="F44" s="58"/>
      <c r="G44" s="58"/>
      <c r="H44" s="58"/>
      <c r="I44" s="58"/>
      <c r="J44" s="58"/>
      <c r="K44" s="58"/>
      <c r="L44" s="58"/>
      <c r="M44" s="58"/>
      <c r="N44" s="58"/>
      <c r="O44" s="58"/>
      <c r="P44" s="58"/>
      <c r="Q44" s="58"/>
      <c r="R44" s="58"/>
      <c r="S44" s="58"/>
      <c r="T44" s="58"/>
      <c r="U44" s="58"/>
      <c r="V44" s="58"/>
      <c r="W44" s="58"/>
      <c r="X44" s="58"/>
      <c r="Y44" s="58"/>
      <c r="Z44" s="58"/>
      <c r="AA44" s="73"/>
      <c r="AB44" s="73"/>
      <c r="AC44" s="73"/>
      <c r="AD44" s="73"/>
      <c r="AE44" s="73"/>
      <c r="AF44" s="73"/>
      <c r="AG44" s="73"/>
      <c r="AK44" s="58"/>
      <c r="AL44" s="58"/>
      <c r="AM44" s="58"/>
      <c r="AN44" s="58"/>
      <c r="AO44" s="58"/>
      <c r="AP44" s="184"/>
      <c r="AQ44" s="172"/>
      <c r="AR44" s="172"/>
    </row>
    <row r="45" spans="1:44" x14ac:dyDescent="0.2">
      <c r="A45" s="75"/>
      <c r="C45" s="58"/>
      <c r="D45" s="58"/>
      <c r="E45" s="58"/>
      <c r="F45" s="58"/>
      <c r="G45" s="58"/>
      <c r="H45" s="58"/>
      <c r="I45" s="58"/>
      <c r="J45" s="58"/>
      <c r="K45" s="58"/>
      <c r="L45" s="58"/>
      <c r="M45" s="58"/>
      <c r="N45" s="58"/>
      <c r="O45" s="58"/>
      <c r="P45" s="58"/>
      <c r="Q45" s="58"/>
      <c r="R45" s="58"/>
      <c r="S45" s="58"/>
      <c r="T45" s="58"/>
      <c r="U45" s="58"/>
      <c r="V45" s="58"/>
      <c r="W45" s="58"/>
      <c r="X45" s="58"/>
      <c r="Y45" s="58"/>
      <c r="Z45" s="58"/>
      <c r="AA45" s="73"/>
      <c r="AB45" s="73"/>
      <c r="AC45" s="73"/>
      <c r="AD45" s="73"/>
      <c r="AE45" s="73"/>
      <c r="AF45" s="73"/>
      <c r="AG45" s="73"/>
      <c r="AK45" s="58"/>
      <c r="AL45" s="58"/>
      <c r="AM45" s="58"/>
      <c r="AN45" s="58"/>
      <c r="AO45" s="58"/>
      <c r="AP45" s="184"/>
      <c r="AQ45" s="172"/>
      <c r="AR45" s="172"/>
    </row>
    <row r="46" spans="1:44" x14ac:dyDescent="0.2">
      <c r="A46" s="75"/>
      <c r="C46" s="58"/>
      <c r="D46" s="58"/>
      <c r="E46" s="58"/>
      <c r="F46" s="58"/>
      <c r="G46" s="58"/>
      <c r="H46" s="58"/>
      <c r="I46" s="58"/>
      <c r="J46" s="58"/>
      <c r="K46" s="58"/>
      <c r="L46" s="58"/>
      <c r="M46" s="58"/>
      <c r="N46" s="58"/>
      <c r="O46" s="58"/>
      <c r="P46" s="58"/>
      <c r="Q46" s="58"/>
      <c r="R46" s="58"/>
      <c r="S46" s="58"/>
      <c r="T46" s="58"/>
      <c r="U46" s="58"/>
      <c r="V46" s="58"/>
      <c r="W46" s="58"/>
      <c r="X46" s="58"/>
      <c r="Y46" s="58"/>
      <c r="Z46" s="58"/>
      <c r="AA46" s="73"/>
      <c r="AB46" s="73"/>
      <c r="AC46" s="73"/>
      <c r="AD46" s="73"/>
      <c r="AE46" s="73"/>
      <c r="AF46" s="73"/>
      <c r="AG46" s="73"/>
      <c r="AK46" s="58"/>
      <c r="AL46" s="58"/>
      <c r="AM46" s="58"/>
      <c r="AN46" s="58"/>
      <c r="AO46" s="58"/>
      <c r="AP46" s="184"/>
      <c r="AQ46" s="172"/>
      <c r="AR46" s="172"/>
    </row>
    <row r="47" spans="1:44" x14ac:dyDescent="0.2">
      <c r="A47" s="75"/>
      <c r="C47" s="58"/>
      <c r="D47" s="58"/>
      <c r="E47" s="58"/>
      <c r="F47" s="58"/>
      <c r="G47" s="58"/>
      <c r="H47" s="58"/>
      <c r="I47" s="58"/>
      <c r="J47" s="58"/>
      <c r="K47" s="58"/>
      <c r="L47" s="58"/>
      <c r="M47" s="58"/>
      <c r="N47" s="58"/>
      <c r="O47" s="58"/>
      <c r="P47" s="58"/>
      <c r="Q47" s="58"/>
      <c r="R47" s="58"/>
      <c r="S47" s="58"/>
      <c r="T47" s="58"/>
      <c r="U47" s="58"/>
      <c r="V47" s="58"/>
      <c r="W47" s="58"/>
      <c r="X47" s="58"/>
      <c r="Y47" s="58"/>
      <c r="Z47" s="58"/>
      <c r="AA47" s="73"/>
      <c r="AB47" s="73"/>
      <c r="AC47" s="73"/>
      <c r="AD47" s="73"/>
      <c r="AE47" s="73"/>
      <c r="AF47" s="73"/>
      <c r="AG47" s="73"/>
      <c r="AK47" s="58"/>
      <c r="AL47" s="58"/>
      <c r="AM47" s="58"/>
      <c r="AN47" s="58"/>
      <c r="AO47" s="58"/>
      <c r="AP47" s="184"/>
      <c r="AQ47" s="172"/>
      <c r="AR47" s="172"/>
    </row>
    <row r="48" spans="1:44" x14ac:dyDescent="0.2">
      <c r="A48" s="75"/>
      <c r="C48" s="58"/>
      <c r="D48" s="58"/>
      <c r="E48" s="58"/>
      <c r="F48" s="58"/>
      <c r="G48" s="58"/>
      <c r="H48" s="58"/>
      <c r="I48" s="58"/>
      <c r="J48" s="58"/>
      <c r="K48" s="58"/>
      <c r="L48" s="58"/>
      <c r="M48" s="58"/>
      <c r="N48" s="58"/>
      <c r="O48" s="58"/>
      <c r="P48" s="58"/>
      <c r="Q48" s="58"/>
      <c r="R48" s="58"/>
      <c r="S48" s="58"/>
      <c r="T48" s="58"/>
      <c r="U48" s="58"/>
      <c r="V48" s="58"/>
      <c r="W48" s="58"/>
      <c r="X48" s="58"/>
      <c r="Y48" s="58"/>
      <c r="Z48" s="58"/>
      <c r="AA48" s="73"/>
      <c r="AB48" s="73"/>
      <c r="AC48" s="73"/>
      <c r="AD48" s="73"/>
      <c r="AE48" s="73"/>
      <c r="AF48" s="73"/>
      <c r="AG48" s="73"/>
      <c r="AK48" s="58"/>
      <c r="AL48" s="58"/>
      <c r="AM48" s="58"/>
      <c r="AN48" s="58"/>
      <c r="AO48" s="58"/>
      <c r="AP48" s="184"/>
      <c r="AQ48" s="172"/>
      <c r="AR48" s="172"/>
    </row>
    <row r="49" spans="1:44" x14ac:dyDescent="0.2">
      <c r="A49" s="75"/>
      <c r="C49" s="58"/>
      <c r="D49" s="58"/>
      <c r="E49" s="58"/>
      <c r="F49" s="58"/>
      <c r="G49" s="58"/>
      <c r="H49" s="58"/>
      <c r="I49" s="58"/>
      <c r="J49" s="58"/>
      <c r="K49" s="58"/>
      <c r="L49" s="58"/>
      <c r="M49" s="58"/>
      <c r="N49" s="58"/>
      <c r="O49" s="58"/>
      <c r="P49" s="58"/>
      <c r="Q49" s="58"/>
      <c r="R49" s="58"/>
      <c r="S49" s="58"/>
      <c r="T49" s="58"/>
      <c r="U49" s="58"/>
      <c r="V49" s="58"/>
      <c r="W49" s="58"/>
      <c r="X49" s="58"/>
      <c r="Y49" s="58"/>
      <c r="Z49" s="58"/>
      <c r="AA49" s="73"/>
      <c r="AB49" s="73"/>
      <c r="AC49" s="73"/>
      <c r="AD49" s="73"/>
      <c r="AE49" s="73"/>
      <c r="AF49" s="73"/>
      <c r="AG49" s="73"/>
      <c r="AK49" s="58"/>
      <c r="AL49" s="58"/>
      <c r="AM49" s="58"/>
      <c r="AN49" s="58"/>
      <c r="AO49" s="58"/>
      <c r="AP49" s="184"/>
      <c r="AQ49" s="172"/>
      <c r="AR49" s="172"/>
    </row>
    <row r="50" spans="1:44" x14ac:dyDescent="0.2">
      <c r="A50" s="75"/>
      <c r="C50" s="58"/>
      <c r="D50" s="58"/>
      <c r="E50" s="58"/>
      <c r="F50" s="58"/>
      <c r="G50" s="58"/>
      <c r="H50" s="58"/>
      <c r="I50" s="58"/>
      <c r="J50" s="58"/>
      <c r="K50" s="58"/>
      <c r="L50" s="58"/>
      <c r="M50" s="58"/>
      <c r="N50" s="58"/>
      <c r="O50" s="58"/>
      <c r="P50" s="58"/>
      <c r="Q50" s="58"/>
      <c r="R50" s="58"/>
      <c r="S50" s="58"/>
      <c r="T50" s="58"/>
      <c r="U50" s="58"/>
      <c r="V50" s="58"/>
      <c r="W50" s="58"/>
      <c r="X50" s="58"/>
      <c r="Y50" s="58"/>
      <c r="Z50" s="58"/>
      <c r="AA50" s="73"/>
      <c r="AB50" s="73"/>
      <c r="AC50" s="73"/>
      <c r="AD50" s="73"/>
      <c r="AE50" s="73"/>
      <c r="AF50" s="73"/>
      <c r="AG50" s="73"/>
      <c r="AK50" s="58"/>
      <c r="AL50" s="58"/>
      <c r="AM50" s="58"/>
      <c r="AN50" s="58"/>
      <c r="AO50" s="58"/>
      <c r="AP50" s="184"/>
      <c r="AQ50" s="172"/>
      <c r="AR50" s="172"/>
    </row>
    <row r="51" spans="1:44" x14ac:dyDescent="0.2">
      <c r="AQ51" s="187">
        <f>+NPV('Renewable Analysis'!D34,'Tier 2 Data - MOU I.6'!AT9:AT28)</f>
        <v>-8301.704124503367</v>
      </c>
      <c r="AR51" s="187">
        <f>+NPV('Renewable Analysis'!E34,'Tier 2 Data - MOU I.6'!AU9:AU28)</f>
        <v>-272629.38359514176</v>
      </c>
    </row>
    <row r="53" spans="1:44" x14ac:dyDescent="0.2">
      <c r="B53" s="61" t="s">
        <v>249</v>
      </c>
    </row>
    <row r="54" spans="1:44" x14ac:dyDescent="0.2">
      <c r="AA54" s="61" t="s">
        <v>245</v>
      </c>
      <c r="AB54" s="61" t="s">
        <v>246</v>
      </c>
      <c r="AC54" s="61" t="s">
        <v>241</v>
      </c>
      <c r="AD54" s="61" t="s">
        <v>242</v>
      </c>
      <c r="AE54" s="61" t="s">
        <v>243</v>
      </c>
      <c r="AF54" s="61" t="s">
        <v>244</v>
      </c>
      <c r="AG54" s="61" t="s">
        <v>247</v>
      </c>
      <c r="AH54" s="61" t="s">
        <v>248</v>
      </c>
      <c r="AI54" s="61"/>
      <c r="AJ54" s="61"/>
    </row>
    <row r="55" spans="1:44" x14ac:dyDescent="0.2">
      <c r="B55">
        <f t="shared" ref="B55:B74" si="20">+B9</f>
        <v>2019</v>
      </c>
      <c r="D55" s="58">
        <f>+SUM(D9:$D$9)</f>
        <v>0</v>
      </c>
      <c r="G55" s="58">
        <f t="shared" ref="G55:G74" si="21">+G9</f>
        <v>0</v>
      </c>
      <c r="Z55" s="58">
        <f t="shared" ref="Z55:Z74" si="22">+Z9</f>
        <v>54880.940879001515</v>
      </c>
      <c r="AA55" s="58">
        <f t="shared" ref="AA55:AA71" si="23">+IF(G55-SUM(AC55:AE55)&gt;=0,G55-SUM(AC55:AE55),0)</f>
        <v>0</v>
      </c>
      <c r="AB55" s="58">
        <f>+IF(Z55-AA55&gt;0,Z55-AA55,0)</f>
        <v>54880.940879001515</v>
      </c>
      <c r="AC55" s="64">
        <v>0</v>
      </c>
      <c r="AD55" s="64">
        <v>0</v>
      </c>
      <c r="AE55" s="64">
        <v>0</v>
      </c>
      <c r="AF55">
        <v>11375</v>
      </c>
      <c r="AH55" s="73">
        <f t="shared" ref="AH55:AH74" si="24">+AA55+SUM(AC55:AE55)-G55</f>
        <v>0</v>
      </c>
      <c r="AI55" s="73"/>
      <c r="AJ55" s="73"/>
    </row>
    <row r="56" spans="1:44" x14ac:dyDescent="0.2">
      <c r="B56">
        <f t="shared" si="20"/>
        <v>2020</v>
      </c>
      <c r="D56" s="58">
        <f>+SUM(D$9:$D10)</f>
        <v>0</v>
      </c>
      <c r="G56" s="58">
        <f t="shared" si="21"/>
        <v>0</v>
      </c>
      <c r="Z56" s="58">
        <f t="shared" si="22"/>
        <v>59837.901974420514</v>
      </c>
      <c r="AA56" s="58">
        <f t="shared" si="23"/>
        <v>0</v>
      </c>
      <c r="AB56" s="58">
        <f>+Z56-SUM(AC56:AE56,AA56)</f>
        <v>59837.901974420514</v>
      </c>
      <c r="AC56" s="58">
        <f t="shared" ref="AC56:AC74" si="25">+IF(G56-AD56-AE56&lt;=0,0,IF(G56-AD56-AE56&gt;AB55,AB55,G56-AD56-AE56))</f>
        <v>0</v>
      </c>
      <c r="AD56" s="64">
        <v>0</v>
      </c>
      <c r="AE56" s="64">
        <v>0</v>
      </c>
      <c r="AF56" s="58">
        <f>+AF55+AB56-AC56-AD56-AE56</f>
        <v>71212.901974420514</v>
      </c>
      <c r="AH56" s="73">
        <f t="shared" si="24"/>
        <v>0</v>
      </c>
      <c r="AI56" s="73"/>
      <c r="AJ56" s="73"/>
    </row>
    <row r="57" spans="1:44" x14ac:dyDescent="0.2">
      <c r="B57">
        <f t="shared" si="20"/>
        <v>2021</v>
      </c>
      <c r="D57" s="58">
        <f>+SUM(D$9:$D11)</f>
        <v>0</v>
      </c>
      <c r="G57" s="58">
        <f t="shared" si="21"/>
        <v>0</v>
      </c>
      <c r="Z57" s="58">
        <f t="shared" si="22"/>
        <v>55046.309562651404</v>
      </c>
      <c r="AA57" s="58">
        <f t="shared" si="23"/>
        <v>0</v>
      </c>
      <c r="AB57" s="58">
        <f t="shared" ref="AB57:AB74" si="26">+IF(Z57-AA57&gt;0,Z57-AA57,0)</f>
        <v>55046.309562651404</v>
      </c>
      <c r="AC57" s="58">
        <f t="shared" si="25"/>
        <v>0</v>
      </c>
      <c r="AD57" s="58" t="b">
        <f>+IF($AB55-$AC56&gt;0,IF($G56-AE56&gt;0,IF($G56&gt;$AB55-$AC56,$AB55-$AC56,$G56)),0)</f>
        <v>0</v>
      </c>
      <c r="AE57" s="64">
        <v>0</v>
      </c>
      <c r="AF57" s="58">
        <f>+AF56+AB57-AC57-AD57-AE57</f>
        <v>126259.21153707191</v>
      </c>
      <c r="AH57" s="73">
        <f t="shared" si="24"/>
        <v>0</v>
      </c>
      <c r="AI57" s="73"/>
      <c r="AJ57" s="73"/>
      <c r="AK57" s="58"/>
    </row>
    <row r="58" spans="1:44" x14ac:dyDescent="0.2">
      <c r="B58">
        <f t="shared" si="20"/>
        <v>2022</v>
      </c>
      <c r="D58" s="58">
        <f>+SUM(D$9:$D12)</f>
        <v>0</v>
      </c>
      <c r="G58" s="58">
        <f t="shared" si="21"/>
        <v>0</v>
      </c>
      <c r="Z58" s="58">
        <f t="shared" si="22"/>
        <v>37311.125534854684</v>
      </c>
      <c r="AA58" s="58">
        <f t="shared" si="23"/>
        <v>0</v>
      </c>
      <c r="AB58" s="58">
        <f t="shared" si="26"/>
        <v>37311.125534854684</v>
      </c>
      <c r="AC58" s="58">
        <f t="shared" si="25"/>
        <v>0</v>
      </c>
      <c r="AD58" s="58" t="b">
        <f>+IF($AB56-$AC57&gt;0,IF($G58-AE58&gt;0,IF($G58&gt;$AB56-$AC57,$AB56-$AC57,$G58)),0)</f>
        <v>0</v>
      </c>
      <c r="AE58" s="58">
        <f t="shared" ref="AE58:AE74" si="27">+IF($AB55-$AC56-$AD57&gt;0,IF($G58&gt;$AB55-$AC56-$AD57,$AB55-$AC56-$AD57,$G58),0)</f>
        <v>0</v>
      </c>
      <c r="AF58" s="58">
        <f>+AF57+AB58-AC58-AD58-AE58-(AB55-AC56-AD57-AE58)</f>
        <v>108689.39619292508</v>
      </c>
      <c r="AG58" s="58">
        <f>+AB55-AC56-AD57-AE58</f>
        <v>54880.940879001515</v>
      </c>
      <c r="AH58" s="73">
        <f t="shared" si="24"/>
        <v>0</v>
      </c>
      <c r="AI58" s="73"/>
      <c r="AJ58" s="73"/>
      <c r="AK58" s="58"/>
    </row>
    <row r="59" spans="1:44" x14ac:dyDescent="0.2">
      <c r="B59">
        <f t="shared" si="20"/>
        <v>2023</v>
      </c>
      <c r="D59" s="58">
        <f>+SUM(D$9:$D13)</f>
        <v>0</v>
      </c>
      <c r="G59" s="58">
        <f t="shared" si="21"/>
        <v>0</v>
      </c>
      <c r="Z59" s="58">
        <f t="shared" si="22"/>
        <v>45053.668817180413</v>
      </c>
      <c r="AA59" s="58">
        <f t="shared" si="23"/>
        <v>0</v>
      </c>
      <c r="AB59" s="58">
        <f t="shared" si="26"/>
        <v>45053.668817180413</v>
      </c>
      <c r="AC59" s="58">
        <f t="shared" si="25"/>
        <v>0</v>
      </c>
      <c r="AD59" s="58" t="b">
        <f>+IF($AB57-$AC58&gt;0,IF($G59-AE59&gt;0,IF($G59&gt;$AB57-$AC58,$AB57-$AC58,$G59)),0)</f>
        <v>0</v>
      </c>
      <c r="AE59" s="58">
        <f t="shared" si="27"/>
        <v>0</v>
      </c>
      <c r="AF59" s="58">
        <f t="shared" ref="AF59:AF74" si="28">+AF58+AB59-AC59-AD59-AE59-(AB56-AC57-AD58-AE59)</f>
        <v>93905.163035684978</v>
      </c>
      <c r="AG59" s="58">
        <f t="shared" ref="AG59:AG74" si="29">+AB56-AC57-AD58-AE59</f>
        <v>59837.901974420514</v>
      </c>
      <c r="AH59" s="73">
        <f t="shared" si="24"/>
        <v>0</v>
      </c>
      <c r="AI59" s="73"/>
      <c r="AJ59" s="73"/>
      <c r="AK59" s="58"/>
    </row>
    <row r="60" spans="1:44" x14ac:dyDescent="0.2">
      <c r="B60">
        <f t="shared" si="20"/>
        <v>2024</v>
      </c>
      <c r="D60" s="58">
        <f>+SUM(D$9:$D14)</f>
        <v>0</v>
      </c>
      <c r="G60" s="58">
        <f t="shared" si="21"/>
        <v>0</v>
      </c>
      <c r="Z60" s="58">
        <f t="shared" si="22"/>
        <v>29148.749499999998</v>
      </c>
      <c r="AA60" s="58">
        <f t="shared" si="23"/>
        <v>0</v>
      </c>
      <c r="AB60" s="58">
        <f t="shared" si="26"/>
        <v>29148.749499999998</v>
      </c>
      <c r="AC60" s="58">
        <f t="shared" si="25"/>
        <v>0</v>
      </c>
      <c r="AD60" s="58">
        <f t="shared" ref="AD60:AD74" si="30">+IF($AB58-$AC59&gt;0,IF($G60-AE60&gt;0,IF($G60-AE60&gt;$AB58-$AC59,$AB58-$AC59,$G60-AE60),0),0)</f>
        <v>0</v>
      </c>
      <c r="AE60" s="58">
        <f t="shared" si="27"/>
        <v>0</v>
      </c>
      <c r="AF60" s="58">
        <f t="shared" si="28"/>
        <v>68007.602973033558</v>
      </c>
      <c r="AG60" s="58">
        <f t="shared" si="29"/>
        <v>55046.309562651404</v>
      </c>
      <c r="AH60" s="73">
        <f t="shared" si="24"/>
        <v>0</v>
      </c>
      <c r="AI60" s="73"/>
      <c r="AJ60" s="73"/>
      <c r="AK60" s="58"/>
    </row>
    <row r="61" spans="1:44" x14ac:dyDescent="0.2">
      <c r="B61">
        <f t="shared" si="20"/>
        <v>2025</v>
      </c>
      <c r="D61" s="58">
        <f>+SUM(D$9:$D15)</f>
        <v>0</v>
      </c>
      <c r="G61" s="58">
        <f t="shared" si="21"/>
        <v>0</v>
      </c>
      <c r="Z61" s="58">
        <f t="shared" si="22"/>
        <v>29148.749499999998</v>
      </c>
      <c r="AA61" s="58">
        <f t="shared" si="23"/>
        <v>0</v>
      </c>
      <c r="AB61" s="58">
        <f t="shared" si="26"/>
        <v>29148.749499999998</v>
      </c>
      <c r="AC61" s="58">
        <f t="shared" si="25"/>
        <v>0</v>
      </c>
      <c r="AD61" s="58">
        <f t="shared" si="30"/>
        <v>0</v>
      </c>
      <c r="AE61" s="58">
        <f t="shared" si="27"/>
        <v>0</v>
      </c>
      <c r="AF61" s="58">
        <f t="shared" si="28"/>
        <v>59845.226938178879</v>
      </c>
      <c r="AG61" s="58">
        <f t="shared" si="29"/>
        <v>37311.125534854684</v>
      </c>
      <c r="AH61" s="73">
        <f t="shared" si="24"/>
        <v>0</v>
      </c>
      <c r="AI61" s="73"/>
      <c r="AJ61" s="73"/>
      <c r="AK61" s="58"/>
    </row>
    <row r="62" spans="1:44" x14ac:dyDescent="0.2">
      <c r="B62">
        <f t="shared" si="20"/>
        <v>2026</v>
      </c>
      <c r="D62" s="58">
        <f>+SUM(D$9:$D16)</f>
        <v>0</v>
      </c>
      <c r="G62" s="58">
        <f t="shared" si="21"/>
        <v>0</v>
      </c>
      <c r="Z62" s="58">
        <f t="shared" si="22"/>
        <v>36971.216999999997</v>
      </c>
      <c r="AA62" s="58">
        <f t="shared" si="23"/>
        <v>0</v>
      </c>
      <c r="AB62" s="58">
        <f t="shared" si="26"/>
        <v>36971.216999999997</v>
      </c>
      <c r="AC62" s="58">
        <f t="shared" si="25"/>
        <v>0</v>
      </c>
      <c r="AD62" s="58">
        <f t="shared" si="30"/>
        <v>0</v>
      </c>
      <c r="AE62" s="58">
        <f t="shared" si="27"/>
        <v>0</v>
      </c>
      <c r="AF62" s="58">
        <f t="shared" si="28"/>
        <v>51762.775120998471</v>
      </c>
      <c r="AG62" s="58">
        <f t="shared" si="29"/>
        <v>45053.668817180413</v>
      </c>
      <c r="AH62" s="73">
        <f t="shared" si="24"/>
        <v>0</v>
      </c>
      <c r="AI62" s="73"/>
      <c r="AJ62" s="73"/>
      <c r="AK62" s="58"/>
    </row>
    <row r="63" spans="1:44" x14ac:dyDescent="0.2">
      <c r="B63">
        <f t="shared" si="20"/>
        <v>2027</v>
      </c>
      <c r="D63" s="58">
        <f>+SUM(D$9:$D17)</f>
        <v>0</v>
      </c>
      <c r="G63" s="58">
        <f t="shared" si="21"/>
        <v>0</v>
      </c>
      <c r="Z63" s="58">
        <f t="shared" si="22"/>
        <v>36971.216999999997</v>
      </c>
      <c r="AA63" s="58">
        <f t="shared" si="23"/>
        <v>0</v>
      </c>
      <c r="AB63" s="58">
        <f t="shared" si="26"/>
        <v>36971.216999999997</v>
      </c>
      <c r="AC63" s="58">
        <f t="shared" si="25"/>
        <v>0</v>
      </c>
      <c r="AD63" s="58">
        <f t="shared" si="30"/>
        <v>0</v>
      </c>
      <c r="AE63" s="58">
        <f t="shared" si="27"/>
        <v>0</v>
      </c>
      <c r="AF63" s="58">
        <f t="shared" si="28"/>
        <v>59585.242620998477</v>
      </c>
      <c r="AG63" s="58">
        <f t="shared" si="29"/>
        <v>29148.749499999998</v>
      </c>
      <c r="AH63" s="73">
        <f t="shared" si="24"/>
        <v>0</v>
      </c>
      <c r="AI63" s="73"/>
      <c r="AJ63" s="73"/>
      <c r="AK63" s="58"/>
    </row>
    <row r="64" spans="1:44" x14ac:dyDescent="0.2">
      <c r="B64">
        <f t="shared" si="20"/>
        <v>2028</v>
      </c>
      <c r="D64" s="58">
        <f>+SUM(D$9:$D18)</f>
        <v>0</v>
      </c>
      <c r="G64" s="58">
        <f t="shared" si="21"/>
        <v>0</v>
      </c>
      <c r="Z64" s="58">
        <f t="shared" si="22"/>
        <v>36971.216999999997</v>
      </c>
      <c r="AA64" s="58">
        <f t="shared" si="23"/>
        <v>0</v>
      </c>
      <c r="AB64" s="58">
        <f t="shared" si="26"/>
        <v>36971.216999999997</v>
      </c>
      <c r="AC64" s="58">
        <f t="shared" si="25"/>
        <v>0</v>
      </c>
      <c r="AD64" s="58">
        <f t="shared" si="30"/>
        <v>0</v>
      </c>
      <c r="AE64" s="58">
        <f t="shared" si="27"/>
        <v>0</v>
      </c>
      <c r="AF64" s="58">
        <f t="shared" si="28"/>
        <v>67407.710120998468</v>
      </c>
      <c r="AG64" s="58">
        <f t="shared" si="29"/>
        <v>29148.749499999998</v>
      </c>
      <c r="AH64" s="73">
        <f t="shared" si="24"/>
        <v>0</v>
      </c>
      <c r="AI64" s="73"/>
      <c r="AJ64" s="73"/>
      <c r="AK64" s="58"/>
    </row>
    <row r="65" spans="2:37" x14ac:dyDescent="0.2">
      <c r="B65">
        <f t="shared" si="20"/>
        <v>2029</v>
      </c>
      <c r="D65" s="58">
        <f>+SUM(D$9:$D19)</f>
        <v>0</v>
      </c>
      <c r="G65" s="58">
        <f t="shared" si="21"/>
        <v>0</v>
      </c>
      <c r="Z65" s="58">
        <f t="shared" si="22"/>
        <v>36971.216999999997</v>
      </c>
      <c r="AA65" s="58">
        <f t="shared" si="23"/>
        <v>0</v>
      </c>
      <c r="AB65" s="58">
        <f t="shared" si="26"/>
        <v>36971.216999999997</v>
      </c>
      <c r="AC65" s="58">
        <f t="shared" si="25"/>
        <v>0</v>
      </c>
      <c r="AD65" s="58">
        <f t="shared" si="30"/>
        <v>0</v>
      </c>
      <c r="AE65" s="58">
        <f t="shared" si="27"/>
        <v>0</v>
      </c>
      <c r="AF65" s="58">
        <f t="shared" si="28"/>
        <v>67407.710120998468</v>
      </c>
      <c r="AG65" s="58">
        <f t="shared" si="29"/>
        <v>36971.216999999997</v>
      </c>
      <c r="AH65" s="73">
        <f t="shared" si="24"/>
        <v>0</v>
      </c>
      <c r="AI65" s="73"/>
      <c r="AJ65" s="73"/>
      <c r="AK65" s="58"/>
    </row>
    <row r="66" spans="2:37" x14ac:dyDescent="0.2">
      <c r="B66">
        <f t="shared" si="20"/>
        <v>2030</v>
      </c>
      <c r="D66" s="58">
        <f>+SUM(D$9:$D20)</f>
        <v>24204.179139314769</v>
      </c>
      <c r="G66" s="58">
        <f t="shared" si="21"/>
        <v>30218.563434498497</v>
      </c>
      <c r="H66" s="131"/>
      <c r="Z66" s="58">
        <f t="shared" si="22"/>
        <v>36971.216999999997</v>
      </c>
      <c r="AA66" s="58">
        <f t="shared" si="23"/>
        <v>0</v>
      </c>
      <c r="AB66" s="58">
        <f t="shared" si="26"/>
        <v>36971.216999999997</v>
      </c>
      <c r="AC66" s="58">
        <f t="shared" si="25"/>
        <v>0</v>
      </c>
      <c r="AD66" s="58">
        <f t="shared" si="30"/>
        <v>0</v>
      </c>
      <c r="AE66" s="58">
        <f t="shared" si="27"/>
        <v>30218.563434498497</v>
      </c>
      <c r="AF66" s="58">
        <f t="shared" si="28"/>
        <v>67407.710120998468</v>
      </c>
      <c r="AG66" s="58">
        <f t="shared" si="29"/>
        <v>6752.6535655014995</v>
      </c>
      <c r="AH66" s="73">
        <f t="shared" si="24"/>
        <v>0</v>
      </c>
      <c r="AI66" s="73"/>
      <c r="AJ66" s="73"/>
      <c r="AK66" s="58"/>
    </row>
    <row r="67" spans="2:37" x14ac:dyDescent="0.2">
      <c r="B67">
        <f t="shared" si="20"/>
        <v>2031</v>
      </c>
      <c r="D67" s="58">
        <f>+SUM(D$9:$D21)</f>
        <v>48230.470730050547</v>
      </c>
      <c r="G67" s="58">
        <f t="shared" si="21"/>
        <v>31043.673669562264</v>
      </c>
      <c r="H67" s="131"/>
      <c r="Z67" s="58">
        <f t="shared" si="22"/>
        <v>31541.462</v>
      </c>
      <c r="AA67" s="58">
        <f t="shared" si="23"/>
        <v>0</v>
      </c>
      <c r="AB67" s="58">
        <f t="shared" si="26"/>
        <v>31541.462</v>
      </c>
      <c r="AC67" s="58">
        <f t="shared" si="25"/>
        <v>0</v>
      </c>
      <c r="AD67" s="58">
        <f t="shared" si="30"/>
        <v>0</v>
      </c>
      <c r="AE67" s="58">
        <f t="shared" si="27"/>
        <v>31043.673669562264</v>
      </c>
      <c r="AF67" s="58">
        <f t="shared" si="28"/>
        <v>61977.955120998464</v>
      </c>
      <c r="AG67" s="58">
        <f t="shared" si="29"/>
        <v>5927.5433304377329</v>
      </c>
      <c r="AH67" s="73">
        <f t="shared" si="24"/>
        <v>0</v>
      </c>
      <c r="AI67" s="73"/>
      <c r="AJ67" s="73"/>
      <c r="AK67" s="58"/>
    </row>
    <row r="68" spans="2:37" x14ac:dyDescent="0.2">
      <c r="B68">
        <f t="shared" si="20"/>
        <v>2032</v>
      </c>
      <c r="D68" s="58">
        <f>+SUM(D$9:$D22)</f>
        <v>72079.187222844208</v>
      </c>
      <c r="G68" s="58">
        <f t="shared" si="21"/>
        <v>31934.412335302462</v>
      </c>
      <c r="Z68" s="58">
        <f t="shared" si="22"/>
        <v>21326.281999999999</v>
      </c>
      <c r="AA68" s="58">
        <f t="shared" si="23"/>
        <v>0</v>
      </c>
      <c r="AB68" s="58">
        <f t="shared" si="26"/>
        <v>21326.281999999999</v>
      </c>
      <c r="AC68" s="58">
        <f t="shared" si="25"/>
        <v>0</v>
      </c>
      <c r="AD68" s="58">
        <f t="shared" si="30"/>
        <v>0</v>
      </c>
      <c r="AE68" s="58">
        <f t="shared" si="27"/>
        <v>31934.412335302462</v>
      </c>
      <c r="AF68" s="58">
        <f t="shared" si="28"/>
        <v>46333.020120998473</v>
      </c>
      <c r="AG68" s="58">
        <f t="shared" si="29"/>
        <v>5036.8046646975345</v>
      </c>
      <c r="AH68" s="73">
        <f t="shared" si="24"/>
        <v>0</v>
      </c>
      <c r="AI68" s="73"/>
      <c r="AJ68" s="73"/>
      <c r="AK68" s="58"/>
    </row>
    <row r="69" spans="2:37" x14ac:dyDescent="0.2">
      <c r="B69">
        <f t="shared" si="20"/>
        <v>2033</v>
      </c>
      <c r="D69" s="58">
        <f>+SUM(D$9:$D23)</f>
        <v>95752.803097735916</v>
      </c>
      <c r="G69" s="58">
        <f t="shared" si="21"/>
        <v>32858.21416370025</v>
      </c>
      <c r="Z69" s="58">
        <f t="shared" si="22"/>
        <v>21326.281999999999</v>
      </c>
      <c r="AA69" s="58">
        <f t="shared" si="23"/>
        <v>0</v>
      </c>
      <c r="AB69" s="58">
        <f t="shared" si="26"/>
        <v>21326.281999999999</v>
      </c>
      <c r="AC69" s="58">
        <f t="shared" si="25"/>
        <v>0</v>
      </c>
      <c r="AD69" s="58">
        <f t="shared" si="30"/>
        <v>0</v>
      </c>
      <c r="AE69" s="58">
        <f t="shared" si="27"/>
        <v>32858.21416370025</v>
      </c>
      <c r="AF69" s="58">
        <f t="shared" si="28"/>
        <v>30688.085120998476</v>
      </c>
      <c r="AG69" s="58">
        <f t="shared" si="29"/>
        <v>4113.0028362997473</v>
      </c>
      <c r="AH69" s="73">
        <f t="shared" si="24"/>
        <v>0</v>
      </c>
      <c r="AI69" s="73"/>
      <c r="AJ69" s="73"/>
      <c r="AK69" s="58"/>
    </row>
    <row r="70" spans="2:37" x14ac:dyDescent="0.2">
      <c r="B70">
        <f t="shared" si="20"/>
        <v>2034</v>
      </c>
      <c r="D70" s="58">
        <f>+SUM(D$9:$D24)</f>
        <v>119253.38370020242</v>
      </c>
      <c r="G70" s="58">
        <f t="shared" si="21"/>
        <v>33812.548278229282</v>
      </c>
      <c r="Z70" s="58">
        <f t="shared" si="22"/>
        <v>21326.281999999999</v>
      </c>
      <c r="AA70" s="58">
        <f t="shared" si="23"/>
        <v>0</v>
      </c>
      <c r="AB70" s="58">
        <f t="shared" si="26"/>
        <v>21326.281999999999</v>
      </c>
      <c r="AC70" s="58">
        <f t="shared" si="25"/>
        <v>0</v>
      </c>
      <c r="AD70" s="58">
        <f t="shared" si="30"/>
        <v>2271.0862782292825</v>
      </c>
      <c r="AE70" s="58">
        <f t="shared" si="27"/>
        <v>31541.462</v>
      </c>
      <c r="AF70" s="58">
        <f t="shared" si="28"/>
        <v>18201.818842769193</v>
      </c>
      <c r="AG70" s="58">
        <f t="shared" si="29"/>
        <v>0</v>
      </c>
      <c r="AH70" s="73">
        <f t="shared" si="24"/>
        <v>0</v>
      </c>
      <c r="AI70" s="73"/>
      <c r="AJ70" s="73"/>
      <c r="AK70" s="58"/>
    </row>
    <row r="71" spans="2:37" x14ac:dyDescent="0.2">
      <c r="B71">
        <f t="shared" si="20"/>
        <v>2035</v>
      </c>
      <c r="D71" s="58">
        <f>+SUM(D$9:$D25)</f>
        <v>165908.93424540464</v>
      </c>
      <c r="G71" s="58">
        <f t="shared" si="21"/>
        <v>69504.341941483333</v>
      </c>
      <c r="Z71" s="58">
        <f t="shared" si="22"/>
        <v>21326.281999999999</v>
      </c>
      <c r="AA71" s="58">
        <f t="shared" si="23"/>
        <v>7796.5822197126181</v>
      </c>
      <c r="AB71" s="58">
        <f t="shared" si="26"/>
        <v>13529.699780287381</v>
      </c>
      <c r="AC71" s="58">
        <f t="shared" si="25"/>
        <v>21326.281999999999</v>
      </c>
      <c r="AD71" s="58">
        <f t="shared" si="30"/>
        <v>21326.281999999999</v>
      </c>
      <c r="AE71" s="58">
        <f t="shared" si="27"/>
        <v>19055.195721770717</v>
      </c>
      <c r="AF71" s="58">
        <f t="shared" si="28"/>
        <v>-29976.241098714141</v>
      </c>
      <c r="AG71" s="58">
        <f t="shared" si="29"/>
        <v>0</v>
      </c>
      <c r="AH71" s="73">
        <f t="shared" si="24"/>
        <v>0</v>
      </c>
      <c r="AI71" s="73"/>
      <c r="AJ71" s="73"/>
      <c r="AK71" s="58"/>
    </row>
    <row r="72" spans="2:37" x14ac:dyDescent="0.2">
      <c r="B72">
        <f t="shared" si="20"/>
        <v>2036</v>
      </c>
      <c r="D72" s="58">
        <f>+SUM(D$9:$D26)</f>
        <v>212225.4906241853</v>
      </c>
      <c r="G72" s="58">
        <f t="shared" si="21"/>
        <v>71397.543825101122</v>
      </c>
      <c r="Z72" s="58">
        <f t="shared" si="22"/>
        <v>21326.281999999999</v>
      </c>
      <c r="AA72" s="58">
        <f>+IF(G72-SUM(AC72:AE72)&gt;=0,IF(G72-SUM(AC72:AE72)&gt;Z72,Z72,G72-SUM(AC72:AE72)),0)</f>
        <v>21326.281999999999</v>
      </c>
      <c r="AB72" s="58">
        <f t="shared" si="26"/>
        <v>0</v>
      </c>
      <c r="AC72" s="58">
        <f t="shared" si="25"/>
        <v>13529.699780287381</v>
      </c>
      <c r="AD72" s="58">
        <f t="shared" si="30"/>
        <v>0</v>
      </c>
      <c r="AE72" s="58">
        <f t="shared" si="27"/>
        <v>0</v>
      </c>
      <c r="AF72" s="58">
        <f t="shared" si="28"/>
        <v>-43505.940879001522</v>
      </c>
      <c r="AG72" s="58">
        <f t="shared" si="29"/>
        <v>0</v>
      </c>
      <c r="AH72" s="73">
        <f t="shared" si="24"/>
        <v>-36541.562044813742</v>
      </c>
      <c r="AI72" s="73"/>
      <c r="AJ72" s="73"/>
      <c r="AK72" s="58"/>
    </row>
    <row r="73" spans="2:37" x14ac:dyDescent="0.2">
      <c r="B73">
        <f t="shared" si="20"/>
        <v>2037</v>
      </c>
      <c r="D73" s="132">
        <f>+SUM(D$9:$D27)</f>
        <v>258202.9995248355</v>
      </c>
      <c r="G73" s="58">
        <f t="shared" si="21"/>
        <v>73314.130112139042</v>
      </c>
      <c r="Z73" s="58">
        <f t="shared" si="22"/>
        <v>21188.506000000001</v>
      </c>
      <c r="AA73" s="58">
        <f>+IF(G73-SUM(AC73:AE73)&gt;=0,IF(G73-SUM(AC73:AE73)&gt;Z73,Z73,G73-SUM(AC73:AE73)),0)</f>
        <v>21188.506000000001</v>
      </c>
      <c r="AB73" s="58">
        <f t="shared" si="26"/>
        <v>0</v>
      </c>
      <c r="AC73" s="58">
        <f t="shared" si="25"/>
        <v>0</v>
      </c>
      <c r="AD73" s="58">
        <f t="shared" si="30"/>
        <v>0</v>
      </c>
      <c r="AE73" s="58">
        <f t="shared" si="27"/>
        <v>0</v>
      </c>
      <c r="AF73" s="58">
        <f t="shared" si="28"/>
        <v>-43505.940879001522</v>
      </c>
      <c r="AG73" s="58">
        <f t="shared" si="29"/>
        <v>0</v>
      </c>
      <c r="AH73" s="73">
        <f t="shared" si="24"/>
        <v>-52125.624112139041</v>
      </c>
      <c r="AI73" s="73"/>
      <c r="AJ73" s="73"/>
      <c r="AK73" s="58"/>
    </row>
    <row r="74" spans="2:37" x14ac:dyDescent="0.2">
      <c r="B74">
        <f t="shared" si="20"/>
        <v>2038</v>
      </c>
      <c r="D74" s="58">
        <f>+SUM(D$9:$D28)</f>
        <v>303842.27545458399</v>
      </c>
      <c r="G74" s="58">
        <f t="shared" si="21"/>
        <v>75152.819713254212</v>
      </c>
      <c r="Z74" s="58">
        <f t="shared" si="22"/>
        <v>0</v>
      </c>
      <c r="AA74" s="58">
        <f>+IF(G74-SUM(AC74:AE74)&gt;=0,IF(G74-SUM(AC74:AE74)&gt;Z74,Z74,G74-SUM(AC74:AE74)),0)</f>
        <v>0</v>
      </c>
      <c r="AB74" s="58">
        <f t="shared" si="26"/>
        <v>0</v>
      </c>
      <c r="AC74" s="58">
        <f t="shared" si="25"/>
        <v>0</v>
      </c>
      <c r="AD74" s="58">
        <f t="shared" si="30"/>
        <v>0</v>
      </c>
      <c r="AE74" s="58">
        <f t="shared" si="27"/>
        <v>0</v>
      </c>
      <c r="AF74" s="58">
        <f t="shared" si="28"/>
        <v>-43505.940879001522</v>
      </c>
      <c r="AG74" s="58">
        <f t="shared" si="29"/>
        <v>0</v>
      </c>
      <c r="AH74" s="73">
        <f t="shared" si="24"/>
        <v>-75152.819713254212</v>
      </c>
      <c r="AI74" s="73"/>
      <c r="AJ74" s="73"/>
    </row>
    <row r="76" spans="2:37" x14ac:dyDescent="0.2">
      <c r="AA76" s="107"/>
    </row>
    <row r="77" spans="2:37" x14ac:dyDescent="0.2">
      <c r="AA77" s="107"/>
    </row>
    <row r="78" spans="2:37" x14ac:dyDescent="0.2">
      <c r="AA78" s="107"/>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E3:AH28"/>
  <sheetViews>
    <sheetView topLeftCell="A2" zoomScaleNormal="100" workbookViewId="0">
      <selection activeCell="L16" sqref="L16"/>
    </sheetView>
  </sheetViews>
  <sheetFormatPr defaultRowHeight="12.75" x14ac:dyDescent="0.2"/>
  <cols>
    <col min="5" max="7" width="10" bestFit="1" customWidth="1"/>
    <col min="8" max="8" width="10" customWidth="1"/>
    <col min="16" max="16" width="12.5703125" customWidth="1"/>
    <col min="20" max="20" width="10.28515625" bestFit="1" customWidth="1"/>
    <col min="21" max="21" width="10.5703125" customWidth="1"/>
    <col min="22" max="22" width="13.42578125" customWidth="1"/>
  </cols>
  <sheetData>
    <row r="3" spans="5:34" x14ac:dyDescent="0.2">
      <c r="U3">
        <v>0.15</v>
      </c>
    </row>
    <row r="4" spans="5:34" x14ac:dyDescent="0.2">
      <c r="E4" s="61" t="s">
        <v>174</v>
      </c>
      <c r="J4" s="61" t="s">
        <v>177</v>
      </c>
      <c r="O4" s="61" t="s">
        <v>178</v>
      </c>
      <c r="P4" s="61"/>
      <c r="AA4" s="61" t="s">
        <v>179</v>
      </c>
      <c r="AF4" s="61" t="s">
        <v>180</v>
      </c>
    </row>
    <row r="6" spans="5:34" ht="63.75" x14ac:dyDescent="0.2">
      <c r="E6" s="108" t="s">
        <v>8</v>
      </c>
      <c r="F6" s="108" t="s">
        <v>172</v>
      </c>
      <c r="G6" s="108" t="s">
        <v>173</v>
      </c>
      <c r="H6" s="85" t="s">
        <v>176</v>
      </c>
      <c r="J6" s="108" t="s">
        <v>8</v>
      </c>
      <c r="K6" s="108" t="s">
        <v>172</v>
      </c>
      <c r="L6" s="108" t="s">
        <v>173</v>
      </c>
      <c r="M6" s="85" t="s">
        <v>176</v>
      </c>
      <c r="O6" s="108" t="s">
        <v>8</v>
      </c>
      <c r="P6" s="85" t="s">
        <v>185</v>
      </c>
      <c r="Q6" s="108" t="s">
        <v>172</v>
      </c>
      <c r="R6" s="108" t="s">
        <v>173</v>
      </c>
      <c r="S6" s="85" t="s">
        <v>176</v>
      </c>
      <c r="T6" s="85" t="s">
        <v>182</v>
      </c>
      <c r="U6" s="85" t="s">
        <v>183</v>
      </c>
      <c r="V6" s="85" t="s">
        <v>184</v>
      </c>
      <c r="W6" s="83"/>
      <c r="X6" s="83"/>
      <c r="Y6" s="83"/>
      <c r="AA6" s="108" t="s">
        <v>8</v>
      </c>
      <c r="AB6" s="108" t="s">
        <v>172</v>
      </c>
      <c r="AC6" s="108" t="s">
        <v>173</v>
      </c>
      <c r="AD6" s="85" t="s">
        <v>176</v>
      </c>
      <c r="AF6" s="108" t="s">
        <v>8</v>
      </c>
      <c r="AG6" s="108" t="s">
        <v>172</v>
      </c>
      <c r="AH6" s="108" t="s">
        <v>173</v>
      </c>
    </row>
    <row r="7" spans="5:34" x14ac:dyDescent="0.2">
      <c r="E7" s="109">
        <f>+'Annual Energy Data'!$A16</f>
        <v>2016</v>
      </c>
      <c r="F7" s="102">
        <f>+'Annual Energy Data'!M16</f>
        <v>0</v>
      </c>
      <c r="G7" s="102">
        <f>+'Annual Energy Data'!V16</f>
        <v>0</v>
      </c>
      <c r="H7" s="110" t="e">
        <f>+G7/F7-1</f>
        <v>#DIV/0!</v>
      </c>
      <c r="J7" s="109">
        <f>+'Annual Energy Data'!$A16</f>
        <v>2016</v>
      </c>
      <c r="K7" s="111"/>
      <c r="L7" s="111"/>
      <c r="M7" s="112"/>
      <c r="O7" s="109">
        <f>+'Annual Energy Data'!$A16</f>
        <v>2016</v>
      </c>
      <c r="P7" s="116"/>
      <c r="Q7" s="111"/>
      <c r="R7" s="111"/>
      <c r="S7" s="112"/>
      <c r="T7" s="112"/>
      <c r="U7" s="112"/>
      <c r="V7" s="113"/>
      <c r="W7" s="113"/>
      <c r="X7" s="113"/>
      <c r="Y7" s="113"/>
      <c r="AA7" s="109">
        <f>+'Annual Energy Data'!$A16</f>
        <v>2016</v>
      </c>
      <c r="AB7" s="111"/>
      <c r="AC7" s="111"/>
      <c r="AD7" s="112"/>
      <c r="AF7" s="89">
        <f>+AA7</f>
        <v>2016</v>
      </c>
      <c r="AG7" s="89"/>
      <c r="AH7" s="89"/>
    </row>
    <row r="8" spans="5:34" x14ac:dyDescent="0.2">
      <c r="E8" s="109">
        <f>+'Annual Energy Data'!$A17</f>
        <v>2017</v>
      </c>
      <c r="F8" s="102">
        <f>+'Annual Energy Data'!M17</f>
        <v>0</v>
      </c>
      <c r="G8" s="102">
        <f>+'Annual Energy Data'!V17</f>
        <v>0</v>
      </c>
      <c r="H8" s="110" t="e">
        <f t="shared" ref="H8:H26" si="0">+G8/F8-1</f>
        <v>#DIV/0!</v>
      </c>
      <c r="J8" s="109">
        <f>+'Annual Energy Data'!$A17</f>
        <v>2017</v>
      </c>
      <c r="K8" s="102">
        <f>+'Tier 1 Data - MOU I.4'!R7</f>
        <v>0</v>
      </c>
      <c r="L8" s="102">
        <f>+'Tier 1 Data - MOU I.4'!U7</f>
        <v>0</v>
      </c>
      <c r="M8" s="110" t="e">
        <f t="shared" ref="M8:M26" si="1">+L8/K8-1</f>
        <v>#DIV/0!</v>
      </c>
      <c r="O8" s="109">
        <f>+'Annual Energy Data'!$A17</f>
        <v>2017</v>
      </c>
      <c r="P8" s="114">
        <f>+'Tier 2 Data - MOU I.6'!A7</f>
        <v>0.01</v>
      </c>
      <c r="Q8" s="102">
        <f>+'Tier 2 Data - MOU I.6'!D7</f>
        <v>0</v>
      </c>
      <c r="R8" s="102">
        <f>+'Tier 2 Data - MOU I.6'!H7</f>
        <v>0</v>
      </c>
      <c r="S8" s="110" t="e">
        <f t="shared" ref="S8:S26" si="2">+R8/Q8-1</f>
        <v>#DIV/0!</v>
      </c>
      <c r="T8" s="102">
        <f>+R8-R7</f>
        <v>0</v>
      </c>
      <c r="U8" s="115">
        <f>+T8/(8760*$U$3)</f>
        <v>0</v>
      </c>
      <c r="V8" s="115">
        <f>+SUM($U$8:U8)</f>
        <v>0</v>
      </c>
      <c r="W8" s="68"/>
      <c r="X8" s="68"/>
      <c r="Y8" s="68"/>
      <c r="AA8" s="109">
        <f>+'Annual Energy Data'!$A17</f>
        <v>2017</v>
      </c>
      <c r="AB8" s="102" t="e">
        <f>+#REF!</f>
        <v>#REF!</v>
      </c>
      <c r="AC8" s="102" t="e">
        <f>+#REF!</f>
        <v>#REF!</v>
      </c>
      <c r="AD8" s="110" t="e">
        <f t="shared" ref="AD8:AD26" si="3">+AC8/AB8-1</f>
        <v>#REF!</v>
      </c>
      <c r="AF8" s="89">
        <f t="shared" ref="AF8:AF26" si="4">+AA8</f>
        <v>2017</v>
      </c>
      <c r="AG8" s="102" t="e">
        <f t="shared" ref="AG8:AG26" si="5">+F8-K8-Q8-AB8</f>
        <v>#REF!</v>
      </c>
      <c r="AH8" s="102" t="e">
        <f t="shared" ref="AH8:AH26" si="6">+G8-L8-R8-AC8</f>
        <v>#REF!</v>
      </c>
    </row>
    <row r="9" spans="5:34" x14ac:dyDescent="0.2">
      <c r="E9" s="109">
        <f>+'Annual Energy Data'!$A18</f>
        <v>2018</v>
      </c>
      <c r="F9" s="102">
        <f>+'Annual Energy Data'!M18</f>
        <v>0</v>
      </c>
      <c r="G9" s="102">
        <f>+'Annual Energy Data'!V18</f>
        <v>0</v>
      </c>
      <c r="H9" s="110" t="e">
        <f t="shared" si="0"/>
        <v>#DIV/0!</v>
      </c>
      <c r="J9" s="109">
        <f>+'Annual Energy Data'!$A18</f>
        <v>2018</v>
      </c>
      <c r="K9" s="102">
        <f>+'Tier 1 Data - MOU I.4'!R8</f>
        <v>0</v>
      </c>
      <c r="L9" s="102">
        <f>+'Tier 1 Data - MOU I.4'!U8</f>
        <v>0</v>
      </c>
      <c r="M9" s="110" t="e">
        <f t="shared" si="1"/>
        <v>#DIV/0!</v>
      </c>
      <c r="O9" s="109">
        <f>+'Annual Energy Data'!$A18</f>
        <v>2018</v>
      </c>
      <c r="P9" s="114">
        <f>+'Tier 2 Data - MOU I.6'!A8</f>
        <v>1.6E-2</v>
      </c>
      <c r="Q9" s="102">
        <f>+'Tier 2 Data - MOU I.6'!D8</f>
        <v>0</v>
      </c>
      <c r="R9" s="102">
        <f>+'Tier 2 Data - MOU I.6'!H8</f>
        <v>0</v>
      </c>
      <c r="S9" s="110" t="e">
        <f t="shared" si="2"/>
        <v>#DIV/0!</v>
      </c>
      <c r="T9" s="102">
        <f t="shared" ref="T9:T26" si="7">+R9-R8</f>
        <v>0</v>
      </c>
      <c r="U9" s="115">
        <f t="shared" ref="U9:U26" si="8">+T9/(8760*$U$3)</f>
        <v>0</v>
      </c>
      <c r="V9" s="115">
        <f>+SUM($U$8:U9)</f>
        <v>0</v>
      </c>
      <c r="W9" s="68"/>
      <c r="X9" s="68"/>
      <c r="Y9" s="68"/>
      <c r="AA9" s="109">
        <f>+'Annual Energy Data'!$A18</f>
        <v>2018</v>
      </c>
      <c r="AB9" s="102" t="e">
        <f>+#REF!</f>
        <v>#REF!</v>
      </c>
      <c r="AC9" s="102" t="e">
        <f>+#REF!</f>
        <v>#REF!</v>
      </c>
      <c r="AD9" s="110" t="e">
        <f t="shared" si="3"/>
        <v>#REF!</v>
      </c>
      <c r="AF9" s="89">
        <f t="shared" si="4"/>
        <v>2018</v>
      </c>
      <c r="AG9" s="102" t="e">
        <f t="shared" si="5"/>
        <v>#REF!</v>
      </c>
      <c r="AH9" s="102" t="e">
        <f t="shared" si="6"/>
        <v>#REF!</v>
      </c>
    </row>
    <row r="10" spans="5:34" x14ac:dyDescent="0.2">
      <c r="E10" s="109">
        <f>+'Annual Energy Data'!$A19</f>
        <v>2019</v>
      </c>
      <c r="F10" s="102">
        <f>+'Annual Energy Data'!M19</f>
        <v>0</v>
      </c>
      <c r="G10" s="102">
        <f>+'Annual Energy Data'!V19</f>
        <v>0</v>
      </c>
      <c r="H10" s="110" t="e">
        <f t="shared" si="0"/>
        <v>#DIV/0!</v>
      </c>
      <c r="J10" s="109">
        <f>+'Annual Energy Data'!$A19</f>
        <v>2019</v>
      </c>
      <c r="K10" s="102">
        <f>+'Tier 1 Data - MOU I.4'!R9</f>
        <v>0</v>
      </c>
      <c r="L10" s="102">
        <f>+'Tier 1 Data - MOU I.4'!U9</f>
        <v>0</v>
      </c>
      <c r="M10" s="110" t="e">
        <f t="shared" si="1"/>
        <v>#DIV/0!</v>
      </c>
      <c r="O10" s="109">
        <f>+'Annual Energy Data'!$A19</f>
        <v>2019</v>
      </c>
      <c r="P10" s="114">
        <f>+'Tier 2 Data - MOU I.6'!A9</f>
        <v>2.1999999999999999E-2</v>
      </c>
      <c r="Q10" s="102">
        <f>+'Tier 2 Data - MOU I.6'!D9</f>
        <v>0</v>
      </c>
      <c r="R10" s="102">
        <f>+'Tier 2 Data - MOU I.6'!H9</f>
        <v>0</v>
      </c>
      <c r="S10" s="110" t="e">
        <f t="shared" si="2"/>
        <v>#DIV/0!</v>
      </c>
      <c r="T10" s="102">
        <f t="shared" si="7"/>
        <v>0</v>
      </c>
      <c r="U10" s="115">
        <f t="shared" si="8"/>
        <v>0</v>
      </c>
      <c r="V10" s="115">
        <f>+SUM($U$8:U10)</f>
        <v>0</v>
      </c>
      <c r="W10" s="68"/>
      <c r="X10" s="68"/>
      <c r="Y10" s="68"/>
      <c r="AA10" s="109">
        <f>+'Annual Energy Data'!$A19</f>
        <v>2019</v>
      </c>
      <c r="AB10" s="102" t="e">
        <f>+#REF!</f>
        <v>#REF!</v>
      </c>
      <c r="AC10" s="102" t="e">
        <f>+#REF!</f>
        <v>#REF!</v>
      </c>
      <c r="AD10" s="110" t="e">
        <f t="shared" si="3"/>
        <v>#REF!</v>
      </c>
      <c r="AF10" s="89">
        <f t="shared" si="4"/>
        <v>2019</v>
      </c>
      <c r="AG10" s="102" t="e">
        <f t="shared" si="5"/>
        <v>#REF!</v>
      </c>
      <c r="AH10" s="102" t="e">
        <f t="shared" si="6"/>
        <v>#REF!</v>
      </c>
    </row>
    <row r="11" spans="5:34" x14ac:dyDescent="0.2">
      <c r="E11" s="109">
        <f>+'Annual Energy Data'!$A20</f>
        <v>2020</v>
      </c>
      <c r="F11" s="102">
        <f>+'Annual Energy Data'!M20</f>
        <v>0</v>
      </c>
      <c r="G11" s="102">
        <f>+'Annual Energy Data'!V20</f>
        <v>0</v>
      </c>
      <c r="H11" s="110" t="e">
        <f t="shared" si="0"/>
        <v>#DIV/0!</v>
      </c>
      <c r="J11" s="109">
        <f>+'Annual Energy Data'!$A20</f>
        <v>2020</v>
      </c>
      <c r="K11" s="102">
        <f>+'Tier 1 Data - MOU I.4'!R10</f>
        <v>0</v>
      </c>
      <c r="L11" s="102">
        <f>+'Tier 1 Data - MOU I.4'!U10</f>
        <v>0</v>
      </c>
      <c r="M11" s="110" t="e">
        <f t="shared" si="1"/>
        <v>#DIV/0!</v>
      </c>
      <c r="O11" s="109">
        <f>+'Annual Energy Data'!$A20</f>
        <v>2020</v>
      </c>
      <c r="P11" s="114">
        <f>+'Tier 2 Data - MOU I.6'!A10</f>
        <v>2.7999999999999997E-2</v>
      </c>
      <c r="Q11" s="102">
        <f>+'Tier 2 Data - MOU I.6'!D10</f>
        <v>0</v>
      </c>
      <c r="R11" s="102">
        <f>+'Tier 2 Data - MOU I.6'!H10</f>
        <v>0</v>
      </c>
      <c r="S11" s="110" t="e">
        <f t="shared" si="2"/>
        <v>#DIV/0!</v>
      </c>
      <c r="T11" s="102">
        <f t="shared" si="7"/>
        <v>0</v>
      </c>
      <c r="U11" s="115">
        <f t="shared" si="8"/>
        <v>0</v>
      </c>
      <c r="V11" s="115">
        <f>+SUM($U$8:U11)</f>
        <v>0</v>
      </c>
      <c r="W11" s="68"/>
      <c r="X11" s="68"/>
      <c r="Y11" s="68"/>
      <c r="AA11" s="109">
        <f>+'Annual Energy Data'!$A20</f>
        <v>2020</v>
      </c>
      <c r="AB11" s="102" t="e">
        <f>+#REF!</f>
        <v>#REF!</v>
      </c>
      <c r="AC11" s="102" t="e">
        <f>+#REF!</f>
        <v>#REF!</v>
      </c>
      <c r="AD11" s="110" t="e">
        <f t="shared" si="3"/>
        <v>#REF!</v>
      </c>
      <c r="AF11" s="89">
        <f t="shared" si="4"/>
        <v>2020</v>
      </c>
      <c r="AG11" s="102" t="e">
        <f t="shared" si="5"/>
        <v>#REF!</v>
      </c>
      <c r="AH11" s="102" t="e">
        <f t="shared" si="6"/>
        <v>#REF!</v>
      </c>
    </row>
    <row r="12" spans="5:34" x14ac:dyDescent="0.2">
      <c r="E12" s="109">
        <f>+'Annual Energy Data'!$A21</f>
        <v>2021</v>
      </c>
      <c r="F12" s="102">
        <f>+'Annual Energy Data'!M21</f>
        <v>0</v>
      </c>
      <c r="G12" s="102">
        <f>+'Annual Energy Data'!V21</f>
        <v>0</v>
      </c>
      <c r="H12" s="110" t="e">
        <f t="shared" si="0"/>
        <v>#DIV/0!</v>
      </c>
      <c r="J12" s="109">
        <f>+'Annual Energy Data'!$A21</f>
        <v>2021</v>
      </c>
      <c r="K12" s="102">
        <f>+'Tier 1 Data - MOU I.4'!R11</f>
        <v>0</v>
      </c>
      <c r="L12" s="102">
        <f>+'Tier 1 Data - MOU I.4'!U11</f>
        <v>0</v>
      </c>
      <c r="M12" s="110" t="e">
        <f t="shared" si="1"/>
        <v>#DIV/0!</v>
      </c>
      <c r="O12" s="109">
        <f>+'Annual Energy Data'!$A21</f>
        <v>2021</v>
      </c>
      <c r="P12" s="114">
        <f>+'Tier 2 Data - MOU I.6'!A11</f>
        <v>3.3999999999999996E-2</v>
      </c>
      <c r="Q12" s="102">
        <f>+'Tier 2 Data - MOU I.6'!D11</f>
        <v>0</v>
      </c>
      <c r="R12" s="102">
        <f>+'Tier 2 Data - MOU I.6'!H11</f>
        <v>0</v>
      </c>
      <c r="S12" s="110" t="e">
        <f t="shared" si="2"/>
        <v>#DIV/0!</v>
      </c>
      <c r="T12" s="102">
        <f t="shared" si="7"/>
        <v>0</v>
      </c>
      <c r="U12" s="115">
        <f t="shared" si="8"/>
        <v>0</v>
      </c>
      <c r="V12" s="115">
        <f>+SUM($U$8:U12)</f>
        <v>0</v>
      </c>
      <c r="W12" s="68"/>
      <c r="X12" s="68"/>
      <c r="Y12" s="68"/>
      <c r="AA12" s="109">
        <f>+'Annual Energy Data'!$A21</f>
        <v>2021</v>
      </c>
      <c r="AB12" s="102" t="e">
        <f>+#REF!</f>
        <v>#REF!</v>
      </c>
      <c r="AC12" s="102" t="e">
        <f>+#REF!</f>
        <v>#REF!</v>
      </c>
      <c r="AD12" s="110" t="e">
        <f t="shared" si="3"/>
        <v>#REF!</v>
      </c>
      <c r="AF12" s="89">
        <f t="shared" si="4"/>
        <v>2021</v>
      </c>
      <c r="AG12" s="102" t="e">
        <f t="shared" si="5"/>
        <v>#REF!</v>
      </c>
      <c r="AH12" s="102" t="e">
        <f t="shared" si="6"/>
        <v>#REF!</v>
      </c>
    </row>
    <row r="13" spans="5:34" x14ac:dyDescent="0.2">
      <c r="E13" s="109">
        <f>+'Annual Energy Data'!$A22</f>
        <v>2022</v>
      </c>
      <c r="F13" s="102">
        <f>+'Annual Energy Data'!M22</f>
        <v>0</v>
      </c>
      <c r="G13" s="102">
        <f>+'Annual Energy Data'!V22</f>
        <v>0</v>
      </c>
      <c r="H13" s="110" t="e">
        <f t="shared" si="0"/>
        <v>#DIV/0!</v>
      </c>
      <c r="J13" s="109">
        <f>+'Annual Energy Data'!$A22</f>
        <v>2022</v>
      </c>
      <c r="K13" s="102">
        <f>+'Tier 1 Data - MOU I.4'!R12</f>
        <v>0</v>
      </c>
      <c r="L13" s="102">
        <f>+'Tier 1 Data - MOU I.4'!U12</f>
        <v>0</v>
      </c>
      <c r="M13" s="110" t="e">
        <f t="shared" si="1"/>
        <v>#DIV/0!</v>
      </c>
      <c r="O13" s="109">
        <f>+'Annual Energy Data'!$A22</f>
        <v>2022</v>
      </c>
      <c r="P13" s="114">
        <f>+'Tier 2 Data - MOU I.6'!A12</f>
        <v>3.9999999999999994E-2</v>
      </c>
      <c r="Q13" s="102">
        <f>+'Tier 2 Data - MOU I.6'!D12</f>
        <v>0</v>
      </c>
      <c r="R13" s="102">
        <f>+'Tier 2 Data - MOU I.6'!H12</f>
        <v>0</v>
      </c>
      <c r="S13" s="110" t="e">
        <f t="shared" si="2"/>
        <v>#DIV/0!</v>
      </c>
      <c r="T13" s="102">
        <f t="shared" si="7"/>
        <v>0</v>
      </c>
      <c r="U13" s="115">
        <f t="shared" si="8"/>
        <v>0</v>
      </c>
      <c r="V13" s="115">
        <f>+SUM($U$8:U13)</f>
        <v>0</v>
      </c>
      <c r="W13" s="68"/>
      <c r="X13" s="68"/>
      <c r="Y13" s="68"/>
      <c r="AA13" s="109">
        <f>+'Annual Energy Data'!$A22</f>
        <v>2022</v>
      </c>
      <c r="AB13" s="102" t="e">
        <f>+#REF!</f>
        <v>#REF!</v>
      </c>
      <c r="AC13" s="102" t="e">
        <f>+#REF!</f>
        <v>#REF!</v>
      </c>
      <c r="AD13" s="110" t="e">
        <f t="shared" si="3"/>
        <v>#REF!</v>
      </c>
      <c r="AF13" s="89">
        <f t="shared" si="4"/>
        <v>2022</v>
      </c>
      <c r="AG13" s="102" t="e">
        <f t="shared" si="5"/>
        <v>#REF!</v>
      </c>
      <c r="AH13" s="102" t="e">
        <f t="shared" si="6"/>
        <v>#REF!</v>
      </c>
    </row>
    <row r="14" spans="5:34" x14ac:dyDescent="0.2">
      <c r="E14" s="109">
        <f>+'Annual Energy Data'!$A23</f>
        <v>2023</v>
      </c>
      <c r="F14" s="102">
        <f>+'Annual Energy Data'!M23</f>
        <v>0</v>
      </c>
      <c r="G14" s="102">
        <f>+'Annual Energy Data'!V23</f>
        <v>0</v>
      </c>
      <c r="H14" s="110" t="e">
        <f t="shared" si="0"/>
        <v>#DIV/0!</v>
      </c>
      <c r="J14" s="109">
        <f>+'Annual Energy Data'!$A23</f>
        <v>2023</v>
      </c>
      <c r="K14" s="102">
        <f>+'Tier 1 Data - MOU I.4'!R13</f>
        <v>0</v>
      </c>
      <c r="L14" s="102">
        <f>+'Tier 1 Data - MOU I.4'!U13</f>
        <v>0</v>
      </c>
      <c r="M14" s="110" t="e">
        <f t="shared" si="1"/>
        <v>#DIV/0!</v>
      </c>
      <c r="O14" s="109">
        <f>+'Annual Energy Data'!$A23</f>
        <v>2023</v>
      </c>
      <c r="P14" s="114">
        <f>+'Tier 2 Data - MOU I.6'!A13</f>
        <v>4.5999999999999992E-2</v>
      </c>
      <c r="Q14" s="102">
        <f>+'Tier 2 Data - MOU I.6'!D13</f>
        <v>0</v>
      </c>
      <c r="R14" s="102">
        <f>+'Tier 2 Data - MOU I.6'!H13</f>
        <v>0</v>
      </c>
      <c r="S14" s="110" t="e">
        <f t="shared" si="2"/>
        <v>#DIV/0!</v>
      </c>
      <c r="T14" s="102">
        <f t="shared" si="7"/>
        <v>0</v>
      </c>
      <c r="U14" s="115">
        <f t="shared" si="8"/>
        <v>0</v>
      </c>
      <c r="V14" s="115">
        <f>+SUM($U$8:U14)</f>
        <v>0</v>
      </c>
      <c r="W14" s="68"/>
      <c r="X14" s="68"/>
      <c r="Y14" s="68"/>
      <c r="AA14" s="109">
        <f>+'Annual Energy Data'!$A23</f>
        <v>2023</v>
      </c>
      <c r="AB14" s="102" t="e">
        <f>+#REF!</f>
        <v>#REF!</v>
      </c>
      <c r="AC14" s="102" t="e">
        <f>+#REF!</f>
        <v>#REF!</v>
      </c>
      <c r="AD14" s="110" t="e">
        <f t="shared" si="3"/>
        <v>#REF!</v>
      </c>
      <c r="AF14" s="89">
        <f t="shared" si="4"/>
        <v>2023</v>
      </c>
      <c r="AG14" s="102" t="e">
        <f t="shared" si="5"/>
        <v>#REF!</v>
      </c>
      <c r="AH14" s="102" t="e">
        <f t="shared" si="6"/>
        <v>#REF!</v>
      </c>
    </row>
    <row r="15" spans="5:34" x14ac:dyDescent="0.2">
      <c r="E15" s="109">
        <f>+'Annual Energy Data'!$A24</f>
        <v>2024</v>
      </c>
      <c r="F15" s="102">
        <f>+'Annual Energy Data'!M24</f>
        <v>0</v>
      </c>
      <c r="G15" s="102">
        <f>+'Annual Energy Data'!V24</f>
        <v>0</v>
      </c>
      <c r="H15" s="110" t="e">
        <f t="shared" si="0"/>
        <v>#DIV/0!</v>
      </c>
      <c r="J15" s="109">
        <f>+'Annual Energy Data'!$A24</f>
        <v>2024</v>
      </c>
      <c r="K15" s="102">
        <f>+'Tier 1 Data - MOU I.4'!R14</f>
        <v>0</v>
      </c>
      <c r="L15" s="102">
        <f>+'Tier 1 Data - MOU I.4'!U14</f>
        <v>0</v>
      </c>
      <c r="M15" s="110" t="e">
        <f t="shared" si="1"/>
        <v>#DIV/0!</v>
      </c>
      <c r="O15" s="109">
        <f>+'Annual Energy Data'!$A24</f>
        <v>2024</v>
      </c>
      <c r="P15" s="114">
        <f>+'Tier 2 Data - MOU I.6'!A14</f>
        <v>5.1999999999999991E-2</v>
      </c>
      <c r="Q15" s="102">
        <f>+'Tier 2 Data - MOU I.6'!D14</f>
        <v>0</v>
      </c>
      <c r="R15" s="102">
        <f>+'Tier 2 Data - MOU I.6'!H14</f>
        <v>0</v>
      </c>
      <c r="S15" s="110" t="e">
        <f t="shared" si="2"/>
        <v>#DIV/0!</v>
      </c>
      <c r="T15" s="102">
        <f t="shared" si="7"/>
        <v>0</v>
      </c>
      <c r="U15" s="115">
        <f t="shared" si="8"/>
        <v>0</v>
      </c>
      <c r="V15" s="115">
        <f>+SUM($U$8:U15)</f>
        <v>0</v>
      </c>
      <c r="W15" s="68"/>
      <c r="X15" s="68"/>
      <c r="Y15" s="68"/>
      <c r="AA15" s="109">
        <f>+'Annual Energy Data'!$A24</f>
        <v>2024</v>
      </c>
      <c r="AB15" s="102" t="e">
        <f>+#REF!</f>
        <v>#REF!</v>
      </c>
      <c r="AC15" s="102" t="e">
        <f>+#REF!</f>
        <v>#REF!</v>
      </c>
      <c r="AD15" s="110" t="e">
        <f t="shared" si="3"/>
        <v>#REF!</v>
      </c>
      <c r="AF15" s="89">
        <f t="shared" si="4"/>
        <v>2024</v>
      </c>
      <c r="AG15" s="102" t="e">
        <f t="shared" si="5"/>
        <v>#REF!</v>
      </c>
      <c r="AH15" s="102" t="e">
        <f t="shared" si="6"/>
        <v>#REF!</v>
      </c>
    </row>
    <row r="16" spans="5:34" x14ac:dyDescent="0.2">
      <c r="E16" s="109">
        <f>+'Annual Energy Data'!$A25</f>
        <v>2025</v>
      </c>
      <c r="F16" s="102">
        <f>+'Annual Energy Data'!M25</f>
        <v>502408.97670733777</v>
      </c>
      <c r="G16" s="102">
        <f>+'Annual Energy Data'!V25</f>
        <v>526009.68119384581</v>
      </c>
      <c r="H16" s="110">
        <f t="shared" si="0"/>
        <v>4.6975085200867905E-2</v>
      </c>
      <c r="J16" s="109">
        <f>+'Annual Energy Data'!$A25</f>
        <v>2025</v>
      </c>
      <c r="K16" s="102">
        <f>+'Tier 1 Data - MOU I.4'!R15</f>
        <v>287377.93467659724</v>
      </c>
      <c r="L16" s="102">
        <f>+'Tier 1 Data - MOU I.4'!U15</f>
        <v>300877.53764287982</v>
      </c>
      <c r="M16" s="110">
        <f t="shared" si="1"/>
        <v>4.6975085200867683E-2</v>
      </c>
      <c r="O16" s="109">
        <f>+'Annual Energy Data'!$A25</f>
        <v>2025</v>
      </c>
      <c r="P16" s="114">
        <f>+'Tier 2 Data - MOU I.6'!A15</f>
        <v>5.8000000000000003E-2</v>
      </c>
      <c r="Q16" s="102">
        <f>+'Tier 2 Data - MOU I.6'!D15</f>
        <v>29139.720649025592</v>
      </c>
      <c r="R16" s="102">
        <f>+'Tier 2 Data - MOU I.6'!H15</f>
        <v>30508.56150924306</v>
      </c>
      <c r="S16" s="110">
        <f t="shared" si="2"/>
        <v>4.6975085200867905E-2</v>
      </c>
      <c r="T16" s="102">
        <f t="shared" si="7"/>
        <v>30508.56150924306</v>
      </c>
      <c r="U16" s="115">
        <f t="shared" si="8"/>
        <v>23.218083340367624</v>
      </c>
      <c r="V16" s="115">
        <f>+SUM($U$8:U16)</f>
        <v>23.218083340367624</v>
      </c>
      <c r="W16" s="68"/>
      <c r="X16" s="68"/>
      <c r="Y16" s="68"/>
      <c r="AA16" s="109">
        <f>+'Annual Energy Data'!$A25</f>
        <v>2025</v>
      </c>
      <c r="AB16" s="102" t="e">
        <f>+#REF!</f>
        <v>#REF!</v>
      </c>
      <c r="AC16" s="102" t="e">
        <f>+#REF!</f>
        <v>#REF!</v>
      </c>
      <c r="AD16" s="110" t="e">
        <f t="shared" si="3"/>
        <v>#REF!</v>
      </c>
      <c r="AF16" s="89">
        <f t="shared" si="4"/>
        <v>2025</v>
      </c>
      <c r="AG16" s="102" t="e">
        <f t="shared" si="5"/>
        <v>#REF!</v>
      </c>
      <c r="AH16" s="102" t="e">
        <f t="shared" si="6"/>
        <v>#REF!</v>
      </c>
    </row>
    <row r="17" spans="5:34" x14ac:dyDescent="0.2">
      <c r="E17" s="109">
        <f>+'Annual Energy Data'!$A26</f>
        <v>2026</v>
      </c>
      <c r="F17" s="102">
        <f>+'Annual Energy Data'!M26</f>
        <v>498756.69135139242</v>
      </c>
      <c r="G17" s="102">
        <f>+'Annual Energy Data'!V26</f>
        <v>551119.24048483884</v>
      </c>
      <c r="H17" s="110">
        <f t="shared" si="0"/>
        <v>0.10498615866499739</v>
      </c>
      <c r="J17" s="109">
        <f>+'Annual Energy Data'!$A26</f>
        <v>2026</v>
      </c>
      <c r="K17" s="102">
        <f>+'Tier 1 Data - MOU I.4'!R16</f>
        <v>275313.69362596871</v>
      </c>
      <c r="L17" s="102">
        <f>+'Tier 1 Data - MOU I.4'!U16</f>
        <v>304217.82074763114</v>
      </c>
      <c r="M17" s="110">
        <f t="shared" si="1"/>
        <v>0.10498615866499739</v>
      </c>
      <c r="O17" s="109">
        <f>+'Annual Energy Data'!$A26</f>
        <v>2026</v>
      </c>
      <c r="P17" s="114">
        <f>+'Tier 2 Data - MOU I.6'!A16</f>
        <v>7.8E-2</v>
      </c>
      <c r="Q17" s="102">
        <f>+'Tier 2 Data - MOU I.6'!D16</f>
        <v>38903.021925408611</v>
      </c>
      <c r="R17" s="102">
        <f>+'Tier 2 Data - MOU I.6'!H16</f>
        <v>29892.79220558938</v>
      </c>
      <c r="S17" s="110">
        <f t="shared" si="2"/>
        <v>-0.23160745036966934</v>
      </c>
      <c r="T17" s="102">
        <f t="shared" si="7"/>
        <v>-615.76930365368025</v>
      </c>
      <c r="U17" s="115">
        <f t="shared" si="8"/>
        <v>-0.46862199669229854</v>
      </c>
      <c r="V17" s="115">
        <f>+SUM($U$8:U17)</f>
        <v>22.749461343675325</v>
      </c>
      <c r="W17" s="68"/>
      <c r="X17" s="68"/>
      <c r="Y17" s="68"/>
      <c r="AA17" s="109">
        <f>+'Annual Energy Data'!$A26</f>
        <v>2026</v>
      </c>
      <c r="AB17" s="102" t="e">
        <f>+#REF!</f>
        <v>#REF!</v>
      </c>
      <c r="AC17" s="102" t="e">
        <f>+#REF!</f>
        <v>#REF!</v>
      </c>
      <c r="AD17" s="110" t="e">
        <f t="shared" si="3"/>
        <v>#REF!</v>
      </c>
      <c r="AF17" s="89">
        <f t="shared" si="4"/>
        <v>2026</v>
      </c>
      <c r="AG17" s="102" t="e">
        <f t="shared" si="5"/>
        <v>#REF!</v>
      </c>
      <c r="AH17" s="102" t="e">
        <f t="shared" si="6"/>
        <v>#REF!</v>
      </c>
    </row>
    <row r="18" spans="5:34" x14ac:dyDescent="0.2">
      <c r="E18" s="109">
        <f>+'Annual Energy Data'!$A27</f>
        <v>2027</v>
      </c>
      <c r="F18" s="102">
        <f>+'Annual Energy Data'!M27</f>
        <v>494988.49712604441</v>
      </c>
      <c r="G18" s="102">
        <f>+'Annual Energy Data'!V27</f>
        <v>561801.20006497123</v>
      </c>
      <c r="H18" s="110">
        <f t="shared" si="0"/>
        <v>0.13497829409541517</v>
      </c>
      <c r="J18" s="109">
        <f>+'Annual Energy Data'!$A27</f>
        <v>2027</v>
      </c>
      <c r="K18" s="102">
        <f>+'Tier 1 Data - MOU I.4'!R17</f>
        <v>263333.88047105569</v>
      </c>
      <c r="L18" s="102">
        <f>+'Tier 1 Data - MOU I.4'!U17</f>
        <v>298878.23843456479</v>
      </c>
      <c r="M18" s="110">
        <f t="shared" si="1"/>
        <v>0.1349782940954154</v>
      </c>
      <c r="O18" s="109">
        <f>+'Annual Energy Data'!$A27</f>
        <v>2027</v>
      </c>
      <c r="P18" s="114">
        <f>+'Tier 2 Data - MOU I.6'!A17</f>
        <v>9.8000000000000004E-2</v>
      </c>
      <c r="Q18" s="102">
        <f>+'Tier 2 Data - MOU I.6'!D17</f>
        <v>48508.872718352352</v>
      </c>
      <c r="R18" s="102">
        <f>+'Tier 2 Data - MOU I.6'!H17</f>
        <v>41962.009054139133</v>
      </c>
      <c r="S18" s="110">
        <f t="shared" si="2"/>
        <v>-0.13496218933441317</v>
      </c>
      <c r="T18" s="102">
        <f t="shared" si="7"/>
        <v>12069.216848549753</v>
      </c>
      <c r="U18" s="115">
        <f t="shared" si="8"/>
        <v>9.1850965361870269</v>
      </c>
      <c r="V18" s="115">
        <f>+SUM($U$8:U18)</f>
        <v>31.934557879862354</v>
      </c>
      <c r="W18" s="68"/>
      <c r="X18" s="68"/>
      <c r="Y18" s="68"/>
      <c r="AA18" s="109">
        <f>+'Annual Energy Data'!$A27</f>
        <v>2027</v>
      </c>
      <c r="AB18" s="102" t="e">
        <f>+#REF!</f>
        <v>#REF!</v>
      </c>
      <c r="AC18" s="102" t="e">
        <f>+#REF!</f>
        <v>#REF!</v>
      </c>
      <c r="AD18" s="110" t="e">
        <f t="shared" si="3"/>
        <v>#REF!</v>
      </c>
      <c r="AF18" s="89">
        <f t="shared" si="4"/>
        <v>2027</v>
      </c>
      <c r="AG18" s="102" t="e">
        <f t="shared" si="5"/>
        <v>#REF!</v>
      </c>
      <c r="AH18" s="102" t="e">
        <f t="shared" si="6"/>
        <v>#REF!</v>
      </c>
    </row>
    <row r="19" spans="5:34" x14ac:dyDescent="0.2">
      <c r="E19" s="109">
        <f>+'Annual Energy Data'!$A28</f>
        <v>2028</v>
      </c>
      <c r="F19" s="102">
        <f>+'Annual Energy Data'!M28</f>
        <v>491289.09820659156</v>
      </c>
      <c r="G19" s="102">
        <f>+'Annual Energy Data'!V28</f>
        <v>574238.09425297996</v>
      </c>
      <c r="H19" s="110">
        <f t="shared" si="0"/>
        <v>0.16883948035726126</v>
      </c>
      <c r="J19" s="109">
        <f>+'Annual Energy Data'!$A28</f>
        <v>2028</v>
      </c>
      <c r="K19" s="102">
        <f>+'Tier 1 Data - MOU I.4'!R18</f>
        <v>271191.58221003856</v>
      </c>
      <c r="L19" s="102">
        <f>+'Tier 1 Data - MOU I.4'!U18</f>
        <v>316979.42802764499</v>
      </c>
      <c r="M19" s="110">
        <f t="shared" si="1"/>
        <v>0.16883948035726126</v>
      </c>
      <c r="O19" s="109">
        <f>+'Annual Energy Data'!$A28</f>
        <v>2028</v>
      </c>
      <c r="P19" s="114">
        <f>+'Tier 2 Data - MOU I.6'!A18</f>
        <v>0.11800000000000001</v>
      </c>
      <c r="Q19" s="102">
        <f>+'Tier 2 Data - MOU I.6'!D18</f>
        <v>57972.113588377804</v>
      </c>
      <c r="R19" s="102">
        <f>+'Tier 2 Data - MOU I.6'!H18</f>
        <v>54638.510584366726</v>
      </c>
      <c r="S19" s="110">
        <f t="shared" si="2"/>
        <v>-5.7503561586193297E-2</v>
      </c>
      <c r="T19" s="102">
        <f t="shared" si="7"/>
        <v>12676.501530227593</v>
      </c>
      <c r="U19" s="115">
        <f t="shared" si="8"/>
        <v>9.6472614385293713</v>
      </c>
      <c r="V19" s="115">
        <f>+SUM($U$8:U19)</f>
        <v>41.581819318391723</v>
      </c>
      <c r="W19" s="68"/>
      <c r="X19" s="68"/>
      <c r="Y19" s="68"/>
      <c r="AA19" s="109">
        <f>+'Annual Energy Data'!$A28</f>
        <v>2028</v>
      </c>
      <c r="AB19" s="102" t="e">
        <f>+#REF!</f>
        <v>#REF!</v>
      </c>
      <c r="AC19" s="102" t="e">
        <f>+#REF!</f>
        <v>#REF!</v>
      </c>
      <c r="AD19" s="110" t="e">
        <f t="shared" si="3"/>
        <v>#REF!</v>
      </c>
      <c r="AF19" s="89">
        <f t="shared" si="4"/>
        <v>2028</v>
      </c>
      <c r="AG19" s="102" t="e">
        <f t="shared" si="5"/>
        <v>#REF!</v>
      </c>
      <c r="AH19" s="102" t="e">
        <f t="shared" si="6"/>
        <v>#REF!</v>
      </c>
    </row>
    <row r="20" spans="5:34" x14ac:dyDescent="0.2">
      <c r="E20" s="109">
        <f>+'Annual Energy Data'!$A29</f>
        <v>2029</v>
      </c>
      <c r="F20" s="102">
        <f>+'Annual Energy Data'!M29</f>
        <v>487644.46278569341</v>
      </c>
      <c r="G20" s="102">
        <f>+'Annual Energy Data'!V29</f>
        <v>588925.42292387283</v>
      </c>
      <c r="H20" s="110">
        <f t="shared" si="0"/>
        <v>0.20769426881135256</v>
      </c>
      <c r="J20" s="109">
        <f>+'Annual Energy Data'!$A29</f>
        <v>2029</v>
      </c>
      <c r="K20" s="102">
        <f>+'Tier 1 Data - MOU I.4'!R19</f>
        <v>259426.8542019889</v>
      </c>
      <c r="L20" s="102">
        <f>+'Tier 1 Data - MOU I.4'!U19</f>
        <v>313308.32499550038</v>
      </c>
      <c r="M20" s="110">
        <f t="shared" si="1"/>
        <v>0.20769426881135278</v>
      </c>
      <c r="O20" s="109">
        <f>+'Annual Energy Data'!$A29</f>
        <v>2029</v>
      </c>
      <c r="P20" s="114">
        <f>+'Tier 2 Data - MOU I.6'!A19</f>
        <v>0.13800000000000001</v>
      </c>
      <c r="Q20" s="102">
        <f>+'Tier 2 Data - MOU I.6'!D19</f>
        <v>67294.935864425701</v>
      </c>
      <c r="R20" s="102">
        <f>+'Tier 2 Data - MOU I.6'!H19</f>
        <v>68177.199811266415</v>
      </c>
      <c r="S20" s="110">
        <f t="shared" si="2"/>
        <v>1.3110406236483296E-2</v>
      </c>
      <c r="T20" s="102">
        <f t="shared" si="7"/>
        <v>13538.689226899689</v>
      </c>
      <c r="U20" s="115">
        <f t="shared" si="8"/>
        <v>10.303416458827769</v>
      </c>
      <c r="V20" s="115">
        <f>+SUM($U$8:U20)</f>
        <v>51.885235777219492</v>
      </c>
      <c r="W20" s="68"/>
      <c r="X20" s="68"/>
      <c r="Y20" s="68"/>
      <c r="AA20" s="109">
        <f>+'Annual Energy Data'!$A29</f>
        <v>2029</v>
      </c>
      <c r="AB20" s="102" t="e">
        <f>+#REF!</f>
        <v>#REF!</v>
      </c>
      <c r="AC20" s="102" t="e">
        <f>+#REF!</f>
        <v>#REF!</v>
      </c>
      <c r="AD20" s="110" t="e">
        <f t="shared" si="3"/>
        <v>#REF!</v>
      </c>
      <c r="AF20" s="89">
        <f t="shared" si="4"/>
        <v>2029</v>
      </c>
      <c r="AG20" s="102" t="e">
        <f t="shared" si="5"/>
        <v>#REF!</v>
      </c>
      <c r="AH20" s="102" t="e">
        <f t="shared" si="6"/>
        <v>#REF!</v>
      </c>
    </row>
    <row r="21" spans="5:34" x14ac:dyDescent="0.2">
      <c r="E21" s="109">
        <f>+'Annual Energy Data'!$A30</f>
        <v>2030</v>
      </c>
      <c r="F21" s="102">
        <f>+'Annual Energy Data'!M30</f>
        <v>484083.58278629533</v>
      </c>
      <c r="G21" s="102">
        <f>+'Annual Energy Data'!V30</f>
        <v>604371.2686899699</v>
      </c>
      <c r="H21" s="110">
        <f t="shared" si="0"/>
        <v>0.24848536529853171</v>
      </c>
      <c r="J21" s="109">
        <f>+'Annual Energy Data'!$A30</f>
        <v>2030</v>
      </c>
      <c r="K21" s="102">
        <f>+'Tier 1 Data - MOU I.4'!R20</f>
        <v>407598.37670606066</v>
      </c>
      <c r="L21" s="102">
        <f>+'Tier 1 Data - MOU I.4'!U20</f>
        <v>508880.60823695466</v>
      </c>
      <c r="M21" s="110">
        <f t="shared" si="1"/>
        <v>0.24848536529853171</v>
      </c>
      <c r="O21" s="109">
        <f>+'Annual Energy Data'!$A30</f>
        <v>2030</v>
      </c>
      <c r="P21" s="114">
        <f>+'Tier 2 Data - MOU I.6'!A20</f>
        <v>0.158</v>
      </c>
      <c r="Q21" s="102">
        <f>+'Tier 2 Data - MOU I.6'!D20</f>
        <v>76485.206080234668</v>
      </c>
      <c r="R21" s="102">
        <f>+'Tier 2 Data - MOU I.6'!H20</f>
        <v>82396.151900787198</v>
      </c>
      <c r="S21" s="110">
        <f t="shared" si="2"/>
        <v>7.728221081540676E-2</v>
      </c>
      <c r="T21" s="102">
        <f t="shared" si="7"/>
        <v>14218.952089520782</v>
      </c>
      <c r="U21" s="115">
        <f t="shared" si="8"/>
        <v>10.821120311659651</v>
      </c>
      <c r="V21" s="115">
        <f>+SUM($U$8:U21)</f>
        <v>62.706356088879147</v>
      </c>
      <c r="W21" s="68"/>
      <c r="X21" s="68"/>
      <c r="Y21" s="68"/>
      <c r="AA21" s="109">
        <f>+'Annual Energy Data'!$A30</f>
        <v>2030</v>
      </c>
      <c r="AB21" s="102" t="e">
        <f>+#REF!</f>
        <v>#REF!</v>
      </c>
      <c r="AC21" s="102" t="e">
        <f>+#REF!</f>
        <v>#REF!</v>
      </c>
      <c r="AD21" s="110" t="e">
        <f t="shared" si="3"/>
        <v>#REF!</v>
      </c>
      <c r="AF21" s="89">
        <f t="shared" si="4"/>
        <v>2030</v>
      </c>
      <c r="AG21" s="102" t="e">
        <f t="shared" si="5"/>
        <v>#REF!</v>
      </c>
      <c r="AH21" s="102" t="e">
        <f t="shared" si="6"/>
        <v>#REF!</v>
      </c>
    </row>
    <row r="22" spans="5:34" x14ac:dyDescent="0.2">
      <c r="E22" s="109">
        <f>+'Annual Energy Data'!$A31</f>
        <v>2031</v>
      </c>
      <c r="F22" s="102">
        <f>+'Annual Energy Data'!M31</f>
        <v>480525.83181471552</v>
      </c>
      <c r="G22" s="102">
        <f>+'Annual Energy Data'!V31</f>
        <v>620873.47339124524</v>
      </c>
      <c r="H22" s="110">
        <f t="shared" si="0"/>
        <v>0.29207096119370735</v>
      </c>
      <c r="J22" s="109">
        <f>+'Annual Energy Data'!$A31</f>
        <v>2031</v>
      </c>
      <c r="K22" s="102">
        <f>+'Tier 1 Data - MOU I.4'!R21</f>
        <v>394992.23375169619</v>
      </c>
      <c r="L22" s="102">
        <f>+'Tier 1 Data - MOU I.4'!U21</f>
        <v>510357.99512760364</v>
      </c>
      <c r="M22" s="110">
        <f t="shared" si="1"/>
        <v>0.29207096119370735</v>
      </c>
      <c r="O22" s="109">
        <f>+'Annual Energy Data'!$A31</f>
        <v>2031</v>
      </c>
      <c r="P22" s="114">
        <f>+'Tier 2 Data - MOU I.6'!A21</f>
        <v>0.17799999999999999</v>
      </c>
      <c r="Q22" s="102">
        <f>+'Tier 2 Data - MOU I.6'!D21</f>
        <v>85533.598063019352</v>
      </c>
      <c r="R22" s="102">
        <f>+'Tier 2 Data - MOU I.6'!H21</f>
        <v>97420.969711413607</v>
      </c>
      <c r="S22" s="110">
        <f t="shared" si="2"/>
        <v>0.13897897338114884</v>
      </c>
      <c r="T22" s="102">
        <f t="shared" si="7"/>
        <v>15024.817810626409</v>
      </c>
      <c r="U22" s="115">
        <f t="shared" si="8"/>
        <v>11.434412336854193</v>
      </c>
      <c r="V22" s="115">
        <f>+SUM($U$8:U22)</f>
        <v>74.140768425733341</v>
      </c>
      <c r="W22" s="68"/>
      <c r="X22" s="68"/>
      <c r="Y22" s="68"/>
      <c r="AA22" s="109">
        <f>+'Annual Energy Data'!$A31</f>
        <v>2031</v>
      </c>
      <c r="AB22" s="102" t="e">
        <f>+#REF!</f>
        <v>#REF!</v>
      </c>
      <c r="AC22" s="102" t="e">
        <f>+#REF!</f>
        <v>#REF!</v>
      </c>
      <c r="AD22" s="110" t="e">
        <f t="shared" si="3"/>
        <v>#REF!</v>
      </c>
      <c r="AF22" s="89">
        <f t="shared" si="4"/>
        <v>2031</v>
      </c>
      <c r="AG22" s="102" t="e">
        <f t="shared" si="5"/>
        <v>#REF!</v>
      </c>
      <c r="AH22" s="102" t="e">
        <f t="shared" si="6"/>
        <v>#REF!</v>
      </c>
    </row>
    <row r="23" spans="5:34" x14ac:dyDescent="0.2">
      <c r="E23" s="109">
        <f>+'Annual Energy Data'!$A32</f>
        <v>2032</v>
      </c>
      <c r="F23" s="102">
        <f>+'Annual Energy Data'!M32</f>
        <v>476974.32985587325</v>
      </c>
      <c r="G23" s="102">
        <f>+'Annual Energy Data'!V32</f>
        <v>638688.24670604919</v>
      </c>
      <c r="H23" s="110">
        <f t="shared" si="0"/>
        <v>0.33904113225347121</v>
      </c>
      <c r="J23" s="109">
        <f>+'Annual Energy Data'!$A32</f>
        <v>2032</v>
      </c>
      <c r="K23" s="102">
        <f>+'Tier 1 Data - MOU I.4'!R22</f>
        <v>381579.46388469863</v>
      </c>
      <c r="L23" s="102">
        <f>+'Tier 1 Data - MOU I.4'!U22</f>
        <v>510950.5973648394</v>
      </c>
      <c r="M23" s="110">
        <f t="shared" si="1"/>
        <v>0.33904113225347121</v>
      </c>
      <c r="O23" s="109">
        <f>+'Annual Energy Data'!$A32</f>
        <v>2032</v>
      </c>
      <c r="P23" s="114">
        <f>+'Tier 2 Data - MOU I.6'!A22</f>
        <v>0.2</v>
      </c>
      <c r="Q23" s="102">
        <f>+'Tier 2 Data - MOU I.6'!D22</f>
        <v>95394.865971174659</v>
      </c>
      <c r="R23" s="102">
        <f>+'Tier 2 Data - MOU I.6'!H22</f>
        <v>114616.06480372493</v>
      </c>
      <c r="S23" s="110">
        <f t="shared" si="2"/>
        <v>0.20149091501798755</v>
      </c>
      <c r="T23" s="102">
        <f t="shared" si="7"/>
        <v>17195.095092311327</v>
      </c>
      <c r="U23" s="115">
        <f t="shared" si="8"/>
        <v>13.086069324437844</v>
      </c>
      <c r="V23" s="115">
        <f>+SUM($U$8:U23)</f>
        <v>87.226837750171185</v>
      </c>
      <c r="W23" s="68"/>
      <c r="X23" s="68"/>
      <c r="Y23" s="68"/>
      <c r="AA23" s="109">
        <f>+'Annual Energy Data'!$A32</f>
        <v>2032</v>
      </c>
      <c r="AB23" s="102" t="e">
        <f>+#REF!</f>
        <v>#REF!</v>
      </c>
      <c r="AC23" s="102" t="e">
        <f>+#REF!</f>
        <v>#REF!</v>
      </c>
      <c r="AD23" s="110" t="e">
        <f t="shared" si="3"/>
        <v>#REF!</v>
      </c>
      <c r="AF23" s="89">
        <f t="shared" si="4"/>
        <v>2032</v>
      </c>
      <c r="AG23" s="102" t="e">
        <f t="shared" si="5"/>
        <v>#REF!</v>
      </c>
      <c r="AH23" s="102" t="e">
        <f t="shared" si="6"/>
        <v>#REF!</v>
      </c>
    </row>
    <row r="24" spans="5:34" x14ac:dyDescent="0.2">
      <c r="E24" s="109">
        <f>+'Annual Energy Data'!$A33</f>
        <v>2033</v>
      </c>
      <c r="F24" s="102">
        <f>+'Annual Energy Data'!M33</f>
        <v>473472.31749783404</v>
      </c>
      <c r="G24" s="102">
        <f>+'Annual Energy Data'!V33</f>
        <v>657164.28327400493</v>
      </c>
      <c r="H24" s="110">
        <f t="shared" si="0"/>
        <v>0.38796769945691967</v>
      </c>
      <c r="J24" s="109">
        <f>+'Annual Energy Data'!$A33</f>
        <v>2033</v>
      </c>
      <c r="K24" s="102">
        <f>+'Tier 1 Data - MOU I.4'!R23</f>
        <v>378777.85399826727</v>
      </c>
      <c r="L24" s="102">
        <f>+'Tier 1 Data - MOU I.4'!U23</f>
        <v>525731.42661920399</v>
      </c>
      <c r="M24" s="110">
        <f t="shared" si="1"/>
        <v>0.38796769945691967</v>
      </c>
      <c r="O24" s="109">
        <f>+'Annual Energy Data'!$A33</f>
        <v>2033</v>
      </c>
      <c r="P24" s="114">
        <f>+'Tier 2 Data - MOU I.6'!A23</f>
        <v>0.2</v>
      </c>
      <c r="Q24" s="102">
        <f>+'Tier 2 Data - MOU I.6'!D23</f>
        <v>94694.463499566817</v>
      </c>
      <c r="R24" s="102">
        <f>+'Tier 2 Data - MOU I.6'!H23</f>
        <v>118338.34810257296</v>
      </c>
      <c r="S24" s="110">
        <f t="shared" si="2"/>
        <v>0.24968602945951845</v>
      </c>
      <c r="T24" s="102">
        <f t="shared" si="7"/>
        <v>3722.2832988480222</v>
      </c>
      <c r="U24" s="115">
        <f t="shared" si="8"/>
        <v>2.8327878986666835</v>
      </c>
      <c r="V24" s="115">
        <f>+SUM($U$8:U24)</f>
        <v>90.059625648837866</v>
      </c>
      <c r="W24" s="68"/>
      <c r="X24" s="68"/>
      <c r="Y24" s="68"/>
      <c r="AA24" s="109">
        <f>+'Annual Energy Data'!$A33</f>
        <v>2033</v>
      </c>
      <c r="AB24" s="102" t="e">
        <f>+#REF!</f>
        <v>#REF!</v>
      </c>
      <c r="AC24" s="102" t="e">
        <f>+#REF!</f>
        <v>#REF!</v>
      </c>
      <c r="AD24" s="110" t="e">
        <f t="shared" si="3"/>
        <v>#REF!</v>
      </c>
      <c r="AF24" s="89">
        <f t="shared" si="4"/>
        <v>2033</v>
      </c>
      <c r="AG24" s="102" t="e">
        <f t="shared" si="5"/>
        <v>#REF!</v>
      </c>
      <c r="AH24" s="102" t="e">
        <f t="shared" si="6"/>
        <v>#REF!</v>
      </c>
    </row>
    <row r="25" spans="5:34" x14ac:dyDescent="0.2">
      <c r="E25" s="109">
        <f>+'Annual Energy Data'!$A34</f>
        <v>2034</v>
      </c>
      <c r="F25" s="102">
        <f>+'Annual Energy Data'!M34</f>
        <v>470011.61204933014</v>
      </c>
      <c r="G25" s="102">
        <f>+'Annual Energy Data'!V34</f>
        <v>676250.96556458564</v>
      </c>
      <c r="H25" s="110">
        <f t="shared" si="0"/>
        <v>0.43879629402349662</v>
      </c>
      <c r="J25" s="109">
        <f>+'Annual Energy Data'!$A34</f>
        <v>2034</v>
      </c>
      <c r="K25" s="102">
        <f>+'Tier 1 Data - MOU I.4'!R24</f>
        <v>376009.28963946411</v>
      </c>
      <c r="L25" s="102">
        <f>+'Tier 1 Data - MOU I.4'!U24</f>
        <v>541000.77245166851</v>
      </c>
      <c r="M25" s="110">
        <f t="shared" si="1"/>
        <v>0.43879629402349662</v>
      </c>
      <c r="O25" s="109">
        <f>+'Annual Energy Data'!$A34</f>
        <v>2034</v>
      </c>
      <c r="P25" s="114">
        <f>+'Tier 2 Data - MOU I.6'!A24</f>
        <v>0.2</v>
      </c>
      <c r="Q25" s="102">
        <f>+'Tier 2 Data - MOU I.6'!D24</f>
        <v>94002.322409866028</v>
      </c>
      <c r="R25" s="102">
        <f>+'Tier 2 Data - MOU I.6'!H24</f>
        <v>122155.68456068909</v>
      </c>
      <c r="S25" s="110">
        <f t="shared" si="2"/>
        <v>0.29949645316282325</v>
      </c>
      <c r="T25" s="102">
        <f t="shared" si="7"/>
        <v>3817.3364581161295</v>
      </c>
      <c r="U25" s="115">
        <f t="shared" si="8"/>
        <v>2.9051266804536753</v>
      </c>
      <c r="V25" s="115">
        <f>+SUM($U$8:U25)</f>
        <v>92.964752329291542</v>
      </c>
      <c r="W25" s="68"/>
      <c r="X25" s="68"/>
      <c r="Y25" s="68"/>
      <c r="AA25" s="109">
        <f>+'Annual Energy Data'!$A34</f>
        <v>2034</v>
      </c>
      <c r="AB25" s="102" t="e">
        <f>+#REF!</f>
        <v>#REF!</v>
      </c>
      <c r="AC25" s="102" t="e">
        <f>+#REF!</f>
        <v>#REF!</v>
      </c>
      <c r="AD25" s="110" t="e">
        <f t="shared" si="3"/>
        <v>#REF!</v>
      </c>
      <c r="AF25" s="89">
        <f t="shared" si="4"/>
        <v>2034</v>
      </c>
      <c r="AG25" s="102" t="e">
        <f t="shared" si="5"/>
        <v>#REF!</v>
      </c>
      <c r="AH25" s="102" t="e">
        <f t="shared" si="6"/>
        <v>#REF!</v>
      </c>
    </row>
    <row r="26" spans="5:34" x14ac:dyDescent="0.2">
      <c r="E26" s="109">
        <f>+'Annual Energy Data'!$A35</f>
        <v>2035</v>
      </c>
      <c r="F26" s="102">
        <f>+'Annual Energy Data'!M35</f>
        <v>466555.50545202213</v>
      </c>
      <c r="G26" s="102">
        <f>+'Annual Energy Data'!V35</f>
        <v>695043.4194148333</v>
      </c>
      <c r="H26" s="110">
        <f t="shared" si="0"/>
        <v>0.48973361431335105</v>
      </c>
      <c r="J26" s="109">
        <f>+'Annual Energy Data'!$A35</f>
        <v>2035</v>
      </c>
      <c r="K26" s="102">
        <f>+'Tier 1 Data - MOU I.4'!R25</f>
        <v>373244.40436161775</v>
      </c>
      <c r="L26" s="102">
        <f>+'Tier 1 Data - MOU I.4'!U25</f>
        <v>556034.73553186667</v>
      </c>
      <c r="M26" s="110">
        <f t="shared" si="1"/>
        <v>0.48973361431335105</v>
      </c>
      <c r="O26" s="109">
        <f>+'Annual Energy Data'!$A35</f>
        <v>2035</v>
      </c>
      <c r="P26" s="114">
        <f>+'Tier 2 Data - MOU I.6'!A25</f>
        <v>0.2</v>
      </c>
      <c r="Q26" s="102">
        <f>+'Tier 2 Data - MOU I.6'!D25</f>
        <v>93311.101090404438</v>
      </c>
      <c r="R26" s="102">
        <f>+'Tier 2 Data - MOU I.6'!H25</f>
        <v>125914.17533073862</v>
      </c>
      <c r="S26" s="110">
        <f t="shared" si="2"/>
        <v>0.34940188101249281</v>
      </c>
      <c r="T26" s="102">
        <f t="shared" si="7"/>
        <v>3758.4907700495387</v>
      </c>
      <c r="U26" s="115">
        <f t="shared" si="8"/>
        <v>2.8603430517880812</v>
      </c>
      <c r="V26" s="115">
        <f>+SUM($U$8:U26)</f>
        <v>95.82509538107962</v>
      </c>
      <c r="W26" s="68"/>
      <c r="X26" s="68"/>
      <c r="Y26" s="68"/>
      <c r="AA26" s="109">
        <f>+'Annual Energy Data'!$A35</f>
        <v>2035</v>
      </c>
      <c r="AB26" s="102" t="e">
        <f>+#REF!</f>
        <v>#REF!</v>
      </c>
      <c r="AC26" s="102" t="e">
        <f>+#REF!</f>
        <v>#REF!</v>
      </c>
      <c r="AD26" s="110" t="e">
        <f t="shared" si="3"/>
        <v>#REF!</v>
      </c>
      <c r="AF26" s="89">
        <f t="shared" si="4"/>
        <v>2035</v>
      </c>
      <c r="AG26" s="102" t="e">
        <f t="shared" si="5"/>
        <v>#REF!</v>
      </c>
      <c r="AH26" s="102" t="e">
        <f t="shared" si="6"/>
        <v>#REF!</v>
      </c>
    </row>
    <row r="27" spans="5:34" x14ac:dyDescent="0.2">
      <c r="F27" s="58"/>
      <c r="G27" s="58"/>
    </row>
    <row r="28" spans="5:34" x14ac:dyDescent="0.2">
      <c r="F28" s="58"/>
      <c r="G28" s="5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T55"/>
  <sheetViews>
    <sheetView workbookViewId="0">
      <pane xSplit="2" ySplit="4" topLeftCell="C5" activePane="bottomRight" state="frozen"/>
      <selection pane="topRight" activeCell="C1" sqref="C1"/>
      <selection pane="bottomLeft" activeCell="A5" sqref="A5"/>
      <selection pane="bottomRight" activeCell="AJ4" sqref="AJ4"/>
    </sheetView>
  </sheetViews>
  <sheetFormatPr defaultRowHeight="12.75" x14ac:dyDescent="0.2"/>
  <cols>
    <col min="1" max="1" width="1.7109375" customWidth="1"/>
    <col min="2" max="2" width="9.140625" customWidth="1"/>
    <col min="3" max="3" width="11.140625" customWidth="1"/>
    <col min="4" max="5" width="11.28515625" customWidth="1"/>
    <col min="6" max="6" width="10.42578125" customWidth="1"/>
    <col min="7" max="7" width="7.28515625" customWidth="1"/>
    <col min="8" max="8" width="12.85546875" customWidth="1"/>
    <col min="9" max="9" width="13.140625" customWidth="1"/>
    <col min="10" max="10" width="13" customWidth="1"/>
    <col min="11" max="11" width="14.140625" customWidth="1"/>
    <col min="12" max="12" width="12.85546875" customWidth="1"/>
    <col min="13" max="13" width="13.5703125" customWidth="1"/>
    <col min="14" max="14" width="13.42578125" customWidth="1"/>
    <col min="15" max="15" width="13.28515625" customWidth="1"/>
    <col min="16" max="16" width="13.5703125" customWidth="1"/>
    <col min="17" max="17" width="15" customWidth="1"/>
    <col min="18" max="19" width="13.5703125" customWidth="1"/>
    <col min="20" max="20" width="16.42578125" customWidth="1"/>
    <col min="21" max="21" width="12.5703125" customWidth="1"/>
    <col min="23" max="24" width="12.5703125" customWidth="1"/>
    <col min="27" max="31" width="10.28515625" customWidth="1"/>
    <col min="32" max="32" width="12.7109375" customWidth="1"/>
    <col min="33" max="33" width="13" customWidth="1"/>
    <col min="34" max="34" width="12.140625" customWidth="1"/>
    <col min="35" max="35" width="12.5703125" customWidth="1"/>
    <col min="36" max="36" width="12.28515625" customWidth="1"/>
    <col min="37" max="37" width="11.85546875" customWidth="1"/>
    <col min="38" max="40" width="12.42578125" customWidth="1"/>
    <col min="41" max="46" width="14" bestFit="1" customWidth="1"/>
    <col min="47" max="48" width="11.85546875" customWidth="1"/>
    <col min="49" max="49" width="12.140625" customWidth="1"/>
    <col min="50" max="50" width="11.85546875" customWidth="1"/>
    <col min="51" max="51" width="10.140625" customWidth="1"/>
    <col min="53" max="53" width="13.140625" customWidth="1"/>
    <col min="54" max="54" width="12.140625" customWidth="1"/>
    <col min="55" max="55" width="12.85546875" customWidth="1"/>
    <col min="56" max="56" width="12.5703125" customWidth="1"/>
    <col min="57" max="60" width="13.42578125" customWidth="1"/>
    <col min="61" max="61" width="14.42578125" customWidth="1"/>
    <col min="62" max="62" width="13" customWidth="1"/>
    <col min="63" max="63" width="12.28515625" customWidth="1"/>
    <col min="64" max="64" width="13" customWidth="1"/>
    <col min="65" max="65" width="12" customWidth="1"/>
    <col min="66" max="66" width="12.7109375" customWidth="1"/>
    <col min="67" max="67" width="13" customWidth="1"/>
    <col min="68" max="68" width="12" customWidth="1"/>
    <col min="69" max="69" width="12.7109375" customWidth="1"/>
    <col min="70" max="72" width="10.7109375" bestFit="1" customWidth="1"/>
  </cols>
  <sheetData>
    <row r="1" spans="2:72" x14ac:dyDescent="0.2">
      <c r="H1" t="s">
        <v>473</v>
      </c>
      <c r="K1" t="s">
        <v>474</v>
      </c>
      <c r="N1" t="s">
        <v>475</v>
      </c>
      <c r="Q1" s="228" t="s">
        <v>372</v>
      </c>
      <c r="R1" s="227"/>
      <c r="S1" s="227"/>
      <c r="T1" s="227"/>
      <c r="U1" s="227"/>
      <c r="V1" s="227"/>
      <c r="W1" s="227"/>
      <c r="X1" s="227"/>
      <c r="Y1" s="228" t="s">
        <v>386</v>
      </c>
      <c r="Z1" s="227"/>
      <c r="AA1" s="227"/>
      <c r="AB1" s="227"/>
      <c r="AC1" s="227"/>
      <c r="AD1" s="227"/>
      <c r="AE1" s="227"/>
      <c r="AF1" t="s">
        <v>476</v>
      </c>
      <c r="AI1" t="s">
        <v>477</v>
      </c>
      <c r="BB1" s="107" t="s">
        <v>396</v>
      </c>
    </row>
    <row r="3" spans="2:72" ht="14.25" customHeight="1" x14ac:dyDescent="0.2">
      <c r="Q3" s="145">
        <v>0.02</v>
      </c>
      <c r="R3" s="145"/>
      <c r="S3" s="145">
        <v>0.02</v>
      </c>
      <c r="T3" s="145">
        <v>0.02</v>
      </c>
      <c r="U3" s="145"/>
      <c r="V3" s="145">
        <v>0.02</v>
      </c>
      <c r="W3" s="145"/>
      <c r="X3" s="145"/>
      <c r="Y3" s="145">
        <v>0.02</v>
      </c>
      <c r="Z3" s="145">
        <v>0.01</v>
      </c>
      <c r="AA3" s="145"/>
      <c r="AB3" s="145"/>
      <c r="AC3" s="145">
        <v>0.02</v>
      </c>
      <c r="AD3" s="145"/>
      <c r="AE3" s="145"/>
      <c r="AF3" s="285" t="s">
        <v>398</v>
      </c>
      <c r="AG3" s="286"/>
      <c r="AH3" s="287"/>
      <c r="AI3" s="289" t="s">
        <v>316</v>
      </c>
      <c r="AJ3" s="289"/>
      <c r="AK3" s="289"/>
      <c r="AL3" s="290" t="s">
        <v>317</v>
      </c>
      <c r="AM3" s="290"/>
      <c r="AN3" s="290"/>
      <c r="AO3" s="288" t="s">
        <v>322</v>
      </c>
      <c r="AP3" s="288"/>
      <c r="AQ3" s="288"/>
      <c r="AR3" s="283" t="s">
        <v>399</v>
      </c>
      <c r="AS3" s="283"/>
      <c r="AT3" s="283"/>
      <c r="BB3" s="23">
        <v>0.02</v>
      </c>
      <c r="BF3" s="284" t="s">
        <v>398</v>
      </c>
      <c r="BG3" s="284"/>
      <c r="BH3" s="284"/>
      <c r="BI3" s="289" t="s">
        <v>18</v>
      </c>
      <c r="BJ3" s="289"/>
      <c r="BK3" s="289"/>
      <c r="BL3" s="290" t="s">
        <v>318</v>
      </c>
      <c r="BM3" s="290"/>
      <c r="BN3" s="290"/>
      <c r="BO3" s="288" t="s">
        <v>385</v>
      </c>
      <c r="BP3" s="288"/>
      <c r="BQ3" s="288"/>
      <c r="BR3" s="283" t="s">
        <v>400</v>
      </c>
      <c r="BS3" s="283"/>
      <c r="BT3" s="283"/>
    </row>
    <row r="4" spans="2:72" ht="102" x14ac:dyDescent="0.2">
      <c r="B4" s="146" t="str">
        <f>'Tier 3 Data'!A11</f>
        <v>Year</v>
      </c>
      <c r="C4" s="146" t="str">
        <f>'Tier 3 Data'!F11</f>
        <v>VELCO Forecast</v>
      </c>
      <c r="D4" s="146" t="str">
        <f>'Tier 3 Data'!G11</f>
        <v>Climate Action Plan Forecast</v>
      </c>
      <c r="E4" s="146" t="str">
        <f>'Tier 3 Data'!H11</f>
        <v>VEC Forecast</v>
      </c>
      <c r="F4" s="147" t="str">
        <f>'Annual Energy Data'!BL7</f>
        <v>Next Era - Seabrook</v>
      </c>
      <c r="G4" s="146" t="s">
        <v>296</v>
      </c>
      <c r="H4" s="146" t="str">
        <f>$H$1&amp;" "&amp;C4</f>
        <v>Tier I Requirement VELCO Forecast</v>
      </c>
      <c r="I4" s="146" t="str">
        <f t="shared" ref="I4:J4" si="0">$H$1&amp;" "&amp;D4</f>
        <v>Tier I Requirement Climate Action Plan Forecast</v>
      </c>
      <c r="J4" s="146" t="str">
        <f t="shared" si="0"/>
        <v>Tier I Requirement VEC Forecast</v>
      </c>
      <c r="K4" s="147" t="str">
        <f>$K$1&amp;" "&amp;C4</f>
        <v>Additional MWh Needed to be 100% Carbon Free VELCO Forecast</v>
      </c>
      <c r="L4" s="147" t="str">
        <f t="shared" ref="L4:M4" si="1">$K$1&amp;" "&amp;D4</f>
        <v>Additional MWh Needed to be 100% Carbon Free Climate Action Plan Forecast</v>
      </c>
      <c r="M4" s="147" t="str">
        <f t="shared" si="1"/>
        <v>Additional MWh Needed to be 100% Carbon Free VEC Forecast</v>
      </c>
      <c r="N4" s="148" t="str">
        <f>$N$1&amp;" "&amp;C4</f>
        <v>Additional MWh Needed to be 100% Renewable VELCO Forecast</v>
      </c>
      <c r="O4" s="148" t="str">
        <f t="shared" ref="O4:P4" si="2">$N$1&amp;" "&amp;D4</f>
        <v>Additional MWh Needed to be 100% Renewable Climate Action Plan Forecast</v>
      </c>
      <c r="P4" s="148" t="str">
        <f t="shared" si="2"/>
        <v>Additional MWh Needed to be 100% Renewable VEC Forecast</v>
      </c>
      <c r="Q4" s="168" t="s">
        <v>307</v>
      </c>
      <c r="R4" s="168" t="s">
        <v>397</v>
      </c>
      <c r="S4" s="168" t="s">
        <v>308</v>
      </c>
      <c r="T4" s="148" t="s">
        <v>309</v>
      </c>
      <c r="U4" s="148" t="s">
        <v>397</v>
      </c>
      <c r="V4" s="148" t="s">
        <v>299</v>
      </c>
      <c r="W4" s="243" t="s">
        <v>297</v>
      </c>
      <c r="X4" s="243" t="s">
        <v>397</v>
      </c>
      <c r="Y4" s="243" t="s">
        <v>298</v>
      </c>
      <c r="Z4" s="232" t="s">
        <v>388</v>
      </c>
      <c r="AA4" s="232" t="s">
        <v>389</v>
      </c>
      <c r="AB4" s="232" t="s">
        <v>387</v>
      </c>
      <c r="AC4" s="238" t="s">
        <v>390</v>
      </c>
      <c r="AD4" s="238" t="s">
        <v>391</v>
      </c>
      <c r="AE4" s="238" t="s">
        <v>392</v>
      </c>
      <c r="AF4" s="168" t="str">
        <f>$AF$1&amp;" "&amp;C4</f>
        <v>Additional Cost to be 100% Carbon Free VELCO Forecast</v>
      </c>
      <c r="AG4" s="168" t="str">
        <f t="shared" ref="AG4:AH4" si="3">$AF$1&amp;" "&amp;D4</f>
        <v>Additional Cost to be 100% Carbon Free Climate Action Plan Forecast</v>
      </c>
      <c r="AH4" s="168" t="str">
        <f t="shared" si="3"/>
        <v>Additional Cost to be 100% Carbon Free VEC Forecast</v>
      </c>
      <c r="AI4" s="148" t="str">
        <f>$AI$1&amp;" "&amp;C4</f>
        <v>Additional Cost to be 100% Renewable VELCO Forecast</v>
      </c>
      <c r="AJ4" s="148" t="str">
        <f>$AI$1&amp;" "&amp;D4</f>
        <v>Additional Cost to be 100% Renewable Climate Action Plan Forecast</v>
      </c>
      <c r="AK4" s="148" t="str">
        <f>$AI$1&amp;" "&amp;E4</f>
        <v>Additional Cost to be 100% Renewable VEC Forecast</v>
      </c>
      <c r="AL4" s="243" t="s">
        <v>373</v>
      </c>
      <c r="AM4" s="243" t="s">
        <v>374</v>
      </c>
      <c r="AN4" s="243" t="s">
        <v>375</v>
      </c>
      <c r="AO4" s="232" t="s">
        <v>373</v>
      </c>
      <c r="AP4" s="232" t="s">
        <v>374</v>
      </c>
      <c r="AQ4" s="232" t="s">
        <v>375</v>
      </c>
      <c r="AR4" s="238" t="s">
        <v>373</v>
      </c>
      <c r="AS4" s="238" t="s">
        <v>374</v>
      </c>
      <c r="AT4" s="238" t="s">
        <v>375</v>
      </c>
      <c r="AU4" s="146" t="s">
        <v>304</v>
      </c>
      <c r="AV4" s="146" t="s">
        <v>376</v>
      </c>
      <c r="AW4" s="146" t="s">
        <v>377</v>
      </c>
      <c r="AX4" s="146" t="s">
        <v>378</v>
      </c>
      <c r="AY4" s="146" t="s">
        <v>300</v>
      </c>
      <c r="AZ4" s="146" t="s">
        <v>301</v>
      </c>
      <c r="BA4" s="146" t="s">
        <v>302</v>
      </c>
      <c r="BB4" s="146" t="s">
        <v>303</v>
      </c>
      <c r="BC4" s="146" t="s">
        <v>393</v>
      </c>
      <c r="BD4" s="146" t="s">
        <v>394</v>
      </c>
      <c r="BE4" s="146" t="s">
        <v>395</v>
      </c>
      <c r="BF4" s="168" t="s">
        <v>379</v>
      </c>
      <c r="BG4" s="168" t="s">
        <v>380</v>
      </c>
      <c r="BH4" s="168" t="s">
        <v>381</v>
      </c>
      <c r="BI4" s="148" t="s">
        <v>382</v>
      </c>
      <c r="BJ4" s="148" t="s">
        <v>383</v>
      </c>
      <c r="BK4" s="148" t="s">
        <v>384</v>
      </c>
      <c r="BL4" s="243" t="s">
        <v>382</v>
      </c>
      <c r="BM4" s="243" t="s">
        <v>383</v>
      </c>
      <c r="BN4" s="243" t="s">
        <v>384</v>
      </c>
      <c r="BO4" s="232" t="s">
        <v>382</v>
      </c>
      <c r="BP4" s="232" t="s">
        <v>383</v>
      </c>
      <c r="BQ4" s="232" t="s">
        <v>384</v>
      </c>
      <c r="BR4" s="238" t="s">
        <v>382</v>
      </c>
      <c r="BS4" s="238" t="s">
        <v>383</v>
      </c>
      <c r="BT4" s="238" t="s">
        <v>384</v>
      </c>
    </row>
    <row r="5" spans="2:72" x14ac:dyDescent="0.2">
      <c r="B5" s="146">
        <f>'Tier 3 Data'!A12</f>
        <v>2017</v>
      </c>
      <c r="C5" s="161">
        <f>'Tier 3 Data'!F12</f>
        <v>0</v>
      </c>
      <c r="D5" s="161">
        <f>'Tier 3 Data'!G12</f>
        <v>0</v>
      </c>
      <c r="E5" s="161">
        <f>'Tier 3 Data'!H12</f>
        <v>0</v>
      </c>
      <c r="F5" s="149">
        <f>'Annual Energy Data'!BL17</f>
        <v>0</v>
      </c>
      <c r="G5" s="178">
        <f>+'Tier 1 Data - MOU I.4'!A7</f>
        <v>0.55000000000000004</v>
      </c>
      <c r="H5" s="161">
        <f t="shared" ref="H5:H30" si="4">+C5*$G5</f>
        <v>0</v>
      </c>
      <c r="I5" s="161">
        <f t="shared" ref="I5:I30" si="5">+D5*$G5</f>
        <v>0</v>
      </c>
      <c r="J5" s="161">
        <f t="shared" ref="J5:J30" si="6">+E5*$G5</f>
        <v>0</v>
      </c>
      <c r="K5" s="152"/>
      <c r="L5" s="152"/>
      <c r="M5" s="152"/>
      <c r="N5" s="152"/>
      <c r="O5" s="152"/>
      <c r="P5" s="152"/>
      <c r="Q5" s="119"/>
      <c r="R5" s="119"/>
      <c r="S5" s="119"/>
      <c r="T5" s="119"/>
      <c r="U5" s="119"/>
      <c r="V5" s="119"/>
      <c r="W5" s="119"/>
      <c r="X5" s="119"/>
      <c r="Y5" s="119"/>
      <c r="Z5" s="119"/>
      <c r="AA5" s="119"/>
      <c r="AB5" s="119"/>
      <c r="AC5" s="119"/>
      <c r="AD5" s="119"/>
      <c r="AE5" s="119"/>
      <c r="AF5" s="253"/>
      <c r="AG5" s="253"/>
      <c r="AH5" s="253"/>
      <c r="AI5" s="119"/>
      <c r="AJ5" s="119"/>
      <c r="AK5" s="119"/>
      <c r="AL5" s="119"/>
      <c r="AM5" s="119"/>
      <c r="AN5" s="119"/>
      <c r="AO5" s="119"/>
      <c r="AP5" s="119"/>
      <c r="AQ5" s="119"/>
      <c r="AR5" s="119"/>
      <c r="AS5" s="119"/>
      <c r="AT5" s="119"/>
      <c r="AU5" s="119"/>
      <c r="AV5" s="119"/>
      <c r="AW5" s="118"/>
      <c r="AX5" s="118"/>
      <c r="AY5" s="119"/>
      <c r="AZ5" s="119"/>
      <c r="BA5" s="157"/>
      <c r="BB5" s="119"/>
      <c r="BC5" s="158"/>
      <c r="BD5" s="158"/>
      <c r="BE5" s="158"/>
      <c r="BF5" s="169"/>
      <c r="BG5" s="169"/>
      <c r="BH5" s="169"/>
      <c r="BI5" s="119"/>
      <c r="BJ5" s="119"/>
      <c r="BK5" s="119"/>
      <c r="BL5" s="252"/>
      <c r="BM5" s="252"/>
      <c r="BN5" s="252"/>
      <c r="BO5" s="248"/>
      <c r="BP5" s="248"/>
      <c r="BQ5" s="248"/>
      <c r="BR5" s="240"/>
      <c r="BS5" s="240"/>
      <c r="BT5" s="240"/>
    </row>
    <row r="6" spans="2:72" x14ac:dyDescent="0.2">
      <c r="B6" s="146">
        <f>'Tier 3 Data'!A13</f>
        <v>2018</v>
      </c>
      <c r="C6" s="161">
        <f>'Tier 3 Data'!F13</f>
        <v>0</v>
      </c>
      <c r="D6" s="161">
        <f>'Tier 3 Data'!G13</f>
        <v>0</v>
      </c>
      <c r="E6" s="161">
        <f>'Tier 3 Data'!H13</f>
        <v>0</v>
      </c>
      <c r="F6" s="149">
        <f>'Annual Energy Data'!BL18</f>
        <v>78156</v>
      </c>
      <c r="G6" s="178">
        <f>+'Tier 1 Data - MOU I.4'!A8</f>
        <v>0.55000000000000004</v>
      </c>
      <c r="H6" s="161">
        <f t="shared" si="4"/>
        <v>0</v>
      </c>
      <c r="I6" s="161">
        <f t="shared" si="5"/>
        <v>0</v>
      </c>
      <c r="J6" s="161">
        <f t="shared" si="6"/>
        <v>0</v>
      </c>
      <c r="K6" s="152"/>
      <c r="L6" s="152"/>
      <c r="M6" s="152"/>
      <c r="N6" s="152"/>
      <c r="O6" s="152"/>
      <c r="P6" s="152"/>
      <c r="Q6" s="119"/>
      <c r="R6" s="119"/>
      <c r="S6" s="119"/>
      <c r="T6" s="119"/>
      <c r="U6" s="119"/>
      <c r="V6" s="119"/>
      <c r="W6" s="119"/>
      <c r="X6" s="119"/>
      <c r="Y6" s="119"/>
      <c r="Z6" s="119"/>
      <c r="AA6" s="119"/>
      <c r="AB6" s="119"/>
      <c r="AC6" s="119"/>
      <c r="AD6" s="119"/>
      <c r="AE6" s="119"/>
      <c r="AF6" s="253"/>
      <c r="AG6" s="253"/>
      <c r="AH6" s="253"/>
      <c r="AI6" s="119"/>
      <c r="AJ6" s="119"/>
      <c r="AK6" s="119"/>
      <c r="AL6" s="119"/>
      <c r="AM6" s="119"/>
      <c r="AN6" s="119"/>
      <c r="AO6" s="119"/>
      <c r="AP6" s="119"/>
      <c r="AQ6" s="119"/>
      <c r="AR6" s="119"/>
      <c r="AS6" s="119"/>
      <c r="AT6" s="119"/>
      <c r="AU6" s="162">
        <f>+'Tier 3 Data'!E13</f>
        <v>2.6666666666666665E-2</v>
      </c>
      <c r="AV6" s="163" t="e">
        <f>+$AU6*#REF!</f>
        <v>#REF!</v>
      </c>
      <c r="AW6" s="163" t="e">
        <f>+$AU6*#REF!</f>
        <v>#REF!</v>
      </c>
      <c r="AX6" s="163" t="e">
        <f>+$AU6*#REF!</f>
        <v>#REF!</v>
      </c>
      <c r="AY6" s="155">
        <v>22701.733295883547</v>
      </c>
      <c r="AZ6" s="155">
        <v>25811.675067377713</v>
      </c>
      <c r="BA6" s="161">
        <f t="shared" ref="BA6:BA26" si="7">+AZ6-AY6</f>
        <v>3109.9417714941665</v>
      </c>
      <c r="BB6" s="119"/>
      <c r="BC6" s="158"/>
      <c r="BD6" s="158"/>
      <c r="BE6" s="158"/>
      <c r="BF6" s="169"/>
      <c r="BG6" s="169"/>
      <c r="BH6" s="169"/>
      <c r="BI6" s="119"/>
      <c r="BJ6" s="119"/>
      <c r="BK6" s="119"/>
      <c r="BL6" s="252"/>
      <c r="BM6" s="252"/>
      <c r="BN6" s="252"/>
      <c r="BO6" s="248"/>
      <c r="BP6" s="248"/>
      <c r="BQ6" s="248"/>
      <c r="BR6" s="240"/>
      <c r="BS6" s="240"/>
      <c r="BT6" s="240"/>
    </row>
    <row r="7" spans="2:72" x14ac:dyDescent="0.2">
      <c r="B7" s="146">
        <f>'Tier 3 Data'!A14</f>
        <v>2019</v>
      </c>
      <c r="C7" s="161">
        <f>'Tier 3 Data'!F14</f>
        <v>0</v>
      </c>
      <c r="D7" s="161">
        <f>'Tier 3 Data'!G14</f>
        <v>0</v>
      </c>
      <c r="E7" s="161">
        <f>'Tier 3 Data'!H14</f>
        <v>0</v>
      </c>
      <c r="F7" s="149">
        <f>'Annual Energy Data'!BL19</f>
        <v>85410</v>
      </c>
      <c r="G7" s="178">
        <f>+'Tier 1 Data - MOU I.4'!A9</f>
        <v>0.55000000000000004</v>
      </c>
      <c r="H7" s="161">
        <f t="shared" si="4"/>
        <v>0</v>
      </c>
      <c r="I7" s="161">
        <f t="shared" si="5"/>
        <v>0</v>
      </c>
      <c r="J7" s="161">
        <f t="shared" si="6"/>
        <v>0</v>
      </c>
      <c r="K7" s="150">
        <f t="shared" ref="K7:K30" si="8">C7-H7-$F7</f>
        <v>-85410</v>
      </c>
      <c r="L7" s="150">
        <f t="shared" ref="L7:L30" si="9">D7-I7-$F7</f>
        <v>-85410</v>
      </c>
      <c r="M7" s="150">
        <f t="shared" ref="M7:M30" si="10">E7-J7-$F7</f>
        <v>-85410</v>
      </c>
      <c r="N7" s="151">
        <f t="shared" ref="N7:N30" si="11">C7-H7</f>
        <v>0</v>
      </c>
      <c r="O7" s="151">
        <f t="shared" ref="O7:O30" si="12">D7-I7</f>
        <v>0</v>
      </c>
      <c r="P7" s="151">
        <f t="shared" ref="P7:P30" si="13">E7-J7</f>
        <v>0</v>
      </c>
      <c r="Q7" s="233"/>
      <c r="R7" s="233"/>
      <c r="S7" s="233"/>
      <c r="T7" s="233"/>
      <c r="U7" s="233"/>
      <c r="V7" s="156"/>
      <c r="W7" s="89"/>
      <c r="X7" s="156"/>
      <c r="Y7" s="164"/>
      <c r="Z7" s="156"/>
      <c r="AA7" s="156"/>
      <c r="AB7" s="156"/>
      <c r="AC7" s="156"/>
      <c r="AD7" s="156"/>
      <c r="AE7" s="156"/>
      <c r="AF7" s="169">
        <f t="shared" ref="AF7:AF30" si="14">-K7*(($Q7-$R7)+$S7)</f>
        <v>0</v>
      </c>
      <c r="AG7" s="169">
        <f t="shared" ref="AG7:AG30" si="15">-L7*(($Q7-$R7)+$S7)</f>
        <v>0</v>
      </c>
      <c r="AH7" s="169">
        <f t="shared" ref="AH7:AH30" si="16">-M7*(($Q7-$R7)+$S7)</f>
        <v>0</v>
      </c>
      <c r="AI7" s="154">
        <f>-N7*(($T7-$U7)+$V7)</f>
        <v>0</v>
      </c>
      <c r="AJ7" s="154">
        <f t="shared" ref="AJ7:AJ30" si="17">-O7*(($T7-$U7)+$V7)</f>
        <v>0</v>
      </c>
      <c r="AK7" s="154">
        <f t="shared" ref="AK7:AK30" si="18">-P7*(($T7-$U7)+$V7)</f>
        <v>0</v>
      </c>
      <c r="AL7" s="119"/>
      <c r="AM7" s="119"/>
      <c r="AN7" s="119"/>
      <c r="AO7" s="237">
        <f>-T7*(($Q7-$R7)+$S7)</f>
        <v>0</v>
      </c>
      <c r="AP7" s="119">
        <f t="shared" ref="AP7" si="19">-U7*(($Q7-$R7)+$S7)</f>
        <v>0</v>
      </c>
      <c r="AQ7" s="119">
        <f t="shared" ref="AQ7" si="20">-V7*(($Q7-$R7)+$S7)</f>
        <v>0</v>
      </c>
      <c r="AR7" s="119"/>
      <c r="AS7" s="119"/>
      <c r="AT7" s="119"/>
      <c r="AU7" s="162">
        <f>+'Tier 3 Data'!E14</f>
        <v>3.3333333333333333E-2</v>
      </c>
      <c r="AV7" s="163" t="e">
        <f>+$AU7*#REF!</f>
        <v>#REF!</v>
      </c>
      <c r="AW7" s="163" t="e">
        <f>+$AU7*#REF!</f>
        <v>#REF!</v>
      </c>
      <c r="AX7" s="163" t="e">
        <f>+$AU7*#REF!</f>
        <v>#REF!</v>
      </c>
      <c r="AY7" s="155">
        <v>25281.255561783866</v>
      </c>
      <c r="AZ7" s="155">
        <v>29250.06342354757</v>
      </c>
      <c r="BA7" s="161">
        <f t="shared" si="7"/>
        <v>3968.8078617637038</v>
      </c>
      <c r="BB7" s="153"/>
      <c r="BC7" s="164" t="e">
        <f>IF(AV7&gt;$AZ7,$BA7*$BB7,IF(AV7&gt;$AY7,(AV7-$AY7)*$BB7,0))</f>
        <v>#REF!</v>
      </c>
      <c r="BD7" s="164" t="e">
        <f t="shared" ref="BD7:BE10" si="21">IF(AW7&gt;$AZ7,$BA7*$BB7,IF(AW7&gt;$AY7,(AW7-$AY7)*$BB7,0))</f>
        <v>#REF!</v>
      </c>
      <c r="BE7" s="164" t="e">
        <f t="shared" si="21"/>
        <v>#REF!</v>
      </c>
      <c r="BF7" s="169" t="e">
        <f>AF7-BC7</f>
        <v>#REF!</v>
      </c>
      <c r="BG7" s="169" t="e">
        <f>AG7-BD7</f>
        <v>#REF!</v>
      </c>
      <c r="BH7" s="169" t="e">
        <f>AH7-BE7</f>
        <v>#REF!</v>
      </c>
      <c r="BI7" s="154" t="e">
        <f t="shared" ref="BI7:BI11" si="22">+AI7-BC7</f>
        <v>#REF!</v>
      </c>
      <c r="BJ7" s="154" t="e">
        <f t="shared" ref="BJ7:BJ12" si="23">+AJ7-BD7</f>
        <v>#REF!</v>
      </c>
      <c r="BK7" s="154" t="e">
        <f t="shared" ref="BK7:BK12" si="24">+AK7-BE7</f>
        <v>#REF!</v>
      </c>
      <c r="BL7" s="244" t="e">
        <f>+AL7-BC7</f>
        <v>#REF!</v>
      </c>
      <c r="BM7" s="244" t="e">
        <f>+AM7-BD7</f>
        <v>#REF!</v>
      </c>
      <c r="BN7" s="244" t="e">
        <f>+AN7-BE7</f>
        <v>#REF!</v>
      </c>
      <c r="BO7" s="249" t="e">
        <f>+AO7-BC7</f>
        <v>#REF!</v>
      </c>
      <c r="BP7" s="249" t="e">
        <f>+AP7-BD7</f>
        <v>#REF!</v>
      </c>
      <c r="BQ7" s="249" t="e">
        <f>+AQ7-BE7</f>
        <v>#REF!</v>
      </c>
      <c r="BR7" s="239" t="e">
        <f>+AR7-BC7</f>
        <v>#REF!</v>
      </c>
      <c r="BS7" s="239" t="e">
        <f>+AS7-BD7</f>
        <v>#REF!</v>
      </c>
      <c r="BT7" s="239" t="e">
        <f>+AT7-BE7</f>
        <v>#REF!</v>
      </c>
    </row>
    <row r="8" spans="2:72" x14ac:dyDescent="0.2">
      <c r="B8" s="146">
        <f>'Tier 3 Data'!A15</f>
        <v>2020</v>
      </c>
      <c r="C8" s="161">
        <f>'Tier 3 Data'!F15</f>
        <v>0</v>
      </c>
      <c r="D8" s="161">
        <f>'Tier 3 Data'!G15</f>
        <v>0</v>
      </c>
      <c r="E8" s="161">
        <f>'Tier 3 Data'!H15</f>
        <v>0</v>
      </c>
      <c r="F8" s="149">
        <f>'Annual Energy Data'!BL20</f>
        <v>78624</v>
      </c>
      <c r="G8" s="178">
        <f>+'Tier 1 Data - MOU I.4'!A10</f>
        <v>0.59000000000000008</v>
      </c>
      <c r="H8" s="161">
        <f t="shared" si="4"/>
        <v>0</v>
      </c>
      <c r="I8" s="161">
        <f t="shared" si="5"/>
        <v>0</v>
      </c>
      <c r="J8" s="161">
        <f t="shared" si="6"/>
        <v>0</v>
      </c>
      <c r="K8" s="150">
        <f t="shared" si="8"/>
        <v>-78624</v>
      </c>
      <c r="L8" s="150">
        <f t="shared" si="9"/>
        <v>-78624</v>
      </c>
      <c r="M8" s="150">
        <f t="shared" si="10"/>
        <v>-78624</v>
      </c>
      <c r="N8" s="151">
        <f t="shared" si="11"/>
        <v>0</v>
      </c>
      <c r="O8" s="151">
        <f t="shared" si="12"/>
        <v>0</v>
      </c>
      <c r="P8" s="151">
        <f t="shared" si="13"/>
        <v>0</v>
      </c>
      <c r="Q8" s="233"/>
      <c r="R8" s="233"/>
      <c r="S8" s="233"/>
      <c r="T8" s="233"/>
      <c r="U8" s="233"/>
      <c r="V8" s="156"/>
      <c r="W8" s="89"/>
      <c r="X8" s="156"/>
      <c r="Y8" s="164"/>
      <c r="Z8" s="156"/>
      <c r="AA8" s="156"/>
      <c r="AB8" s="156"/>
      <c r="AC8" s="156"/>
      <c r="AD8" s="156"/>
      <c r="AE8" s="156"/>
      <c r="AF8" s="169">
        <f t="shared" si="14"/>
        <v>0</v>
      </c>
      <c r="AG8" s="169">
        <f t="shared" si="15"/>
        <v>0</v>
      </c>
      <c r="AH8" s="169">
        <f t="shared" si="16"/>
        <v>0</v>
      </c>
      <c r="AI8" s="154">
        <f t="shared" ref="AI8:AI30" si="25">-N8*(($T8-$U8)+$V8)</f>
        <v>0</v>
      </c>
      <c r="AJ8" s="154">
        <f t="shared" si="17"/>
        <v>0</v>
      </c>
      <c r="AK8" s="154">
        <f t="shared" si="18"/>
        <v>0</v>
      </c>
      <c r="AL8" s="119"/>
      <c r="AM8" s="119"/>
      <c r="AN8" s="119"/>
      <c r="AO8" s="119"/>
      <c r="AP8" s="119"/>
      <c r="AQ8" s="119"/>
      <c r="AR8" s="119"/>
      <c r="AS8" s="119"/>
      <c r="AT8" s="119"/>
      <c r="AU8" s="162">
        <f>+'Tier 3 Data'!E15</f>
        <v>0.04</v>
      </c>
      <c r="AV8" s="163" t="e">
        <f>+$AU8*#REF!</f>
        <v>#REF!</v>
      </c>
      <c r="AW8" s="163" t="e">
        <f>+$AU8*#REF!</f>
        <v>#REF!</v>
      </c>
      <c r="AX8" s="163" t="e">
        <f>+$AU8*#REF!</f>
        <v>#REF!</v>
      </c>
      <c r="AY8" s="155">
        <v>26637.148900317152</v>
      </c>
      <c r="AZ8" s="155">
        <v>30639.932967736113</v>
      </c>
      <c r="BA8" s="161">
        <f t="shared" si="7"/>
        <v>4002.7840674189611</v>
      </c>
      <c r="BB8" s="153"/>
      <c r="BC8" s="164" t="e">
        <f t="shared" ref="BC8:BC10" si="26">IF(AV8&gt;$AZ8,$BA8*$BB8,IF(AV8&gt;$AY8,(AV8-$AY8)*$BB8,0))</f>
        <v>#REF!</v>
      </c>
      <c r="BD8" s="164" t="e">
        <f t="shared" si="21"/>
        <v>#REF!</v>
      </c>
      <c r="BE8" s="164" t="e">
        <f t="shared" si="21"/>
        <v>#REF!</v>
      </c>
      <c r="BF8" s="169" t="e">
        <f t="shared" ref="BF8:BF26" si="27">AF8-BC8</f>
        <v>#REF!</v>
      </c>
      <c r="BG8" s="169" t="e">
        <f t="shared" ref="BG8:BG26" si="28">AG8-BD8</f>
        <v>#REF!</v>
      </c>
      <c r="BH8" s="169" t="e">
        <f t="shared" ref="BH8:BH26" si="29">AH8-BE8</f>
        <v>#REF!</v>
      </c>
      <c r="BI8" s="154" t="e">
        <f t="shared" si="22"/>
        <v>#REF!</v>
      </c>
      <c r="BJ8" s="154" t="e">
        <f t="shared" si="23"/>
        <v>#REF!</v>
      </c>
      <c r="BK8" s="154" t="e">
        <f t="shared" si="24"/>
        <v>#REF!</v>
      </c>
      <c r="BL8" s="244" t="e">
        <f t="shared" ref="BL8:BL26" si="30">+AL8-BC8</f>
        <v>#REF!</v>
      </c>
      <c r="BM8" s="244" t="e">
        <f t="shared" ref="BM8:BM26" si="31">+AM8-BD8</f>
        <v>#REF!</v>
      </c>
      <c r="BN8" s="244" t="e">
        <f t="shared" ref="BN8:BN26" si="32">+AN8-BE8</f>
        <v>#REF!</v>
      </c>
      <c r="BO8" s="249" t="e">
        <f t="shared" ref="BO8:BO30" si="33">+AO8-BC8</f>
        <v>#REF!</v>
      </c>
      <c r="BP8" s="249" t="e">
        <f t="shared" ref="BP8:BP30" si="34">+AP8-BD8</f>
        <v>#REF!</v>
      </c>
      <c r="BQ8" s="249" t="e">
        <f t="shared" ref="BQ8:BQ30" si="35">+AQ8-BE8</f>
        <v>#REF!</v>
      </c>
      <c r="BR8" s="239" t="e">
        <f t="shared" ref="BR8:BR30" si="36">+AR8-BC8</f>
        <v>#REF!</v>
      </c>
      <c r="BS8" s="239" t="e">
        <f t="shared" ref="BS8:BS30" si="37">+AS8-BD8</f>
        <v>#REF!</v>
      </c>
      <c r="BT8" s="239" t="e">
        <f t="shared" ref="BT8:BT30" si="38">+AT8-BE8</f>
        <v>#REF!</v>
      </c>
    </row>
    <row r="9" spans="2:72" x14ac:dyDescent="0.2">
      <c r="B9" s="146">
        <f>'Tier 3 Data'!A16</f>
        <v>2021</v>
      </c>
      <c r="C9" s="161">
        <f>'Tier 3 Data'!F16</f>
        <v>0</v>
      </c>
      <c r="D9" s="161">
        <f>'Tier 3 Data'!G16</f>
        <v>0</v>
      </c>
      <c r="E9" s="161">
        <f>'Tier 3 Data'!H16</f>
        <v>0</v>
      </c>
      <c r="F9" s="149">
        <f>'Annual Energy Data'!BL21</f>
        <v>78156</v>
      </c>
      <c r="G9" s="178">
        <f>+'Tier 1 Data - MOU I.4'!A11</f>
        <v>0.59000000000000008</v>
      </c>
      <c r="H9" s="161">
        <f t="shared" si="4"/>
        <v>0</v>
      </c>
      <c r="I9" s="161">
        <f t="shared" si="5"/>
        <v>0</v>
      </c>
      <c r="J9" s="161">
        <f t="shared" si="6"/>
        <v>0</v>
      </c>
      <c r="K9" s="150">
        <f t="shared" si="8"/>
        <v>-78156</v>
      </c>
      <c r="L9" s="150">
        <f t="shared" si="9"/>
        <v>-78156</v>
      </c>
      <c r="M9" s="150">
        <f t="shared" si="10"/>
        <v>-78156</v>
      </c>
      <c r="N9" s="151">
        <f t="shared" si="11"/>
        <v>0</v>
      </c>
      <c r="O9" s="151">
        <f t="shared" si="12"/>
        <v>0</v>
      </c>
      <c r="P9" s="151">
        <f t="shared" si="13"/>
        <v>0</v>
      </c>
      <c r="Q9" s="233"/>
      <c r="R9" s="233"/>
      <c r="S9" s="233"/>
      <c r="T9" s="233"/>
      <c r="U9" s="233"/>
      <c r="V9" s="156"/>
      <c r="W9" s="89"/>
      <c r="X9" s="156"/>
      <c r="Y9" s="164"/>
      <c r="Z9" s="156"/>
      <c r="AA9" s="156"/>
      <c r="AB9" s="156"/>
      <c r="AC9" s="156"/>
      <c r="AD9" s="156"/>
      <c r="AE9" s="156"/>
      <c r="AF9" s="169">
        <f t="shared" si="14"/>
        <v>0</v>
      </c>
      <c r="AG9" s="169">
        <f t="shared" si="15"/>
        <v>0</v>
      </c>
      <c r="AH9" s="169">
        <f t="shared" si="16"/>
        <v>0</v>
      </c>
      <c r="AI9" s="154">
        <f t="shared" si="25"/>
        <v>0</v>
      </c>
      <c r="AJ9" s="154">
        <f t="shared" si="17"/>
        <v>0</v>
      </c>
      <c r="AK9" s="154">
        <f t="shared" si="18"/>
        <v>0</v>
      </c>
      <c r="AL9" s="119"/>
      <c r="AM9" s="119"/>
      <c r="AN9" s="119"/>
      <c r="AO9" s="119"/>
      <c r="AP9" s="119"/>
      <c r="AQ9" s="119"/>
      <c r="AR9" s="119"/>
      <c r="AS9" s="119"/>
      <c r="AT9" s="119"/>
      <c r="AU9" s="162">
        <f>+'Tier 3 Data'!E16</f>
        <v>4.6666666666666669E-2</v>
      </c>
      <c r="AV9" s="163" t="e">
        <f>+$AU9*#REF!</f>
        <v>#REF!</v>
      </c>
      <c r="AW9" s="163" t="e">
        <f>+$AU9*#REF!</f>
        <v>#REF!</v>
      </c>
      <c r="AX9" s="163" t="e">
        <f>+$AU9*#REF!</f>
        <v>#REF!</v>
      </c>
      <c r="AY9" s="155">
        <v>28764.622843965954</v>
      </c>
      <c r="AZ9" s="155">
        <v>33034.581975146219</v>
      </c>
      <c r="BA9" s="161">
        <f t="shared" si="7"/>
        <v>4269.9591311802651</v>
      </c>
      <c r="BB9" s="153"/>
      <c r="BC9" s="164" t="e">
        <f t="shared" si="26"/>
        <v>#REF!</v>
      </c>
      <c r="BD9" s="164" t="e">
        <f t="shared" si="21"/>
        <v>#REF!</v>
      </c>
      <c r="BE9" s="164" t="e">
        <f t="shared" si="21"/>
        <v>#REF!</v>
      </c>
      <c r="BF9" s="169" t="e">
        <f t="shared" si="27"/>
        <v>#REF!</v>
      </c>
      <c r="BG9" s="169" t="e">
        <f t="shared" si="28"/>
        <v>#REF!</v>
      </c>
      <c r="BH9" s="169" t="e">
        <f t="shared" si="29"/>
        <v>#REF!</v>
      </c>
      <c r="BI9" s="154" t="e">
        <f t="shared" si="22"/>
        <v>#REF!</v>
      </c>
      <c r="BJ9" s="154" t="e">
        <f t="shared" si="23"/>
        <v>#REF!</v>
      </c>
      <c r="BK9" s="154" t="e">
        <f t="shared" si="24"/>
        <v>#REF!</v>
      </c>
      <c r="BL9" s="244" t="e">
        <f t="shared" si="30"/>
        <v>#REF!</v>
      </c>
      <c r="BM9" s="244" t="e">
        <f t="shared" si="31"/>
        <v>#REF!</v>
      </c>
      <c r="BN9" s="244" t="e">
        <f t="shared" si="32"/>
        <v>#REF!</v>
      </c>
      <c r="BO9" s="249" t="e">
        <f t="shared" si="33"/>
        <v>#REF!</v>
      </c>
      <c r="BP9" s="249" t="e">
        <f t="shared" si="34"/>
        <v>#REF!</v>
      </c>
      <c r="BQ9" s="249" t="e">
        <f t="shared" si="35"/>
        <v>#REF!</v>
      </c>
      <c r="BR9" s="239" t="e">
        <f t="shared" si="36"/>
        <v>#REF!</v>
      </c>
      <c r="BS9" s="239" t="e">
        <f t="shared" si="37"/>
        <v>#REF!</v>
      </c>
      <c r="BT9" s="239" t="e">
        <f t="shared" si="38"/>
        <v>#REF!</v>
      </c>
    </row>
    <row r="10" spans="2:72" x14ac:dyDescent="0.2">
      <c r="B10" s="146">
        <f>'Tier 3 Data'!A17</f>
        <v>2022</v>
      </c>
      <c r="C10" s="161">
        <f>'Tier 3 Data'!F17</f>
        <v>0</v>
      </c>
      <c r="D10" s="161">
        <f>'Tier 3 Data'!G17</f>
        <v>0</v>
      </c>
      <c r="E10" s="161">
        <f>'Tier 3 Data'!H17</f>
        <v>0</v>
      </c>
      <c r="F10" s="149">
        <f>'Annual Energy Data'!BL22</f>
        <v>85410</v>
      </c>
      <c r="G10" s="178">
        <f>+'Tier 1 Data - MOU I.4'!A12</f>
        <v>0.59000000000000008</v>
      </c>
      <c r="H10" s="161">
        <f t="shared" si="4"/>
        <v>0</v>
      </c>
      <c r="I10" s="161">
        <f t="shared" si="5"/>
        <v>0</v>
      </c>
      <c r="J10" s="161">
        <f t="shared" si="6"/>
        <v>0</v>
      </c>
      <c r="K10" s="150">
        <f t="shared" si="8"/>
        <v>-85410</v>
      </c>
      <c r="L10" s="150">
        <f t="shared" si="9"/>
        <v>-85410</v>
      </c>
      <c r="M10" s="150">
        <f t="shared" si="10"/>
        <v>-85410</v>
      </c>
      <c r="N10" s="151">
        <f t="shared" si="11"/>
        <v>0</v>
      </c>
      <c r="O10" s="151">
        <f t="shared" si="12"/>
        <v>0</v>
      </c>
      <c r="P10" s="151">
        <f t="shared" si="13"/>
        <v>0</v>
      </c>
      <c r="Q10" s="223">
        <f>+R10*(1+Q$3)</f>
        <v>44.002800000000001</v>
      </c>
      <c r="R10" s="230">
        <v>43.14</v>
      </c>
      <c r="S10" s="230">
        <v>3.83</v>
      </c>
      <c r="T10" s="223">
        <f>+U10*(1+T$3)</f>
        <v>43.4724</v>
      </c>
      <c r="U10" s="230">
        <v>42.62</v>
      </c>
      <c r="V10" s="231">
        <v>10.5</v>
      </c>
      <c r="W10" s="224"/>
      <c r="X10" s="231">
        <v>43.77</v>
      </c>
      <c r="Y10" s="234">
        <v>35</v>
      </c>
      <c r="Z10" s="225"/>
      <c r="AA10" s="231">
        <v>42.63</v>
      </c>
      <c r="AB10" s="225">
        <f>+Y10</f>
        <v>35</v>
      </c>
      <c r="AC10" s="225">
        <f>$AD10*(1+$AC$3)</f>
        <v>39.9024</v>
      </c>
      <c r="AD10" s="231">
        <v>39.119999999999997</v>
      </c>
      <c r="AE10" s="225">
        <f>Y10</f>
        <v>35</v>
      </c>
      <c r="AF10" s="169">
        <f>-K10*(($Q10-$R10)+$S10)</f>
        <v>400812.04800000001</v>
      </c>
      <c r="AG10" s="169">
        <f t="shared" si="15"/>
        <v>400812.04800000001</v>
      </c>
      <c r="AH10" s="169">
        <f t="shared" si="16"/>
        <v>400812.04800000001</v>
      </c>
      <c r="AI10" s="154">
        <f>-N10*(($T10-$U10)+$V10)</f>
        <v>0</v>
      </c>
      <c r="AJ10" s="154">
        <f t="shared" si="17"/>
        <v>0</v>
      </c>
      <c r="AK10" s="154">
        <f t="shared" si="18"/>
        <v>0</v>
      </c>
      <c r="AL10" s="119"/>
      <c r="AM10" s="119"/>
      <c r="AN10" s="119"/>
      <c r="AO10" s="165">
        <f>IF($Z10&gt;0,-N10*($Z10-($AA10+$AB10)),0)</f>
        <v>0</v>
      </c>
      <c r="AP10" s="165">
        <f t="shared" ref="AP10:AQ10" si="39">IF($Z10&gt;0,-O10*($Z10-($AA10+$AB10)),0)</f>
        <v>0</v>
      </c>
      <c r="AQ10" s="165">
        <f t="shared" si="39"/>
        <v>0</v>
      </c>
      <c r="AR10" s="241">
        <f>-N10*(($AC10-$AD10)+$AE10)</f>
        <v>0</v>
      </c>
      <c r="AS10" s="241">
        <f t="shared" ref="AS10:AT10" si="40">-O10*(($AC10-$AD10)+$AE10)</f>
        <v>0</v>
      </c>
      <c r="AT10" s="241">
        <f t="shared" si="40"/>
        <v>0</v>
      </c>
      <c r="AU10" s="162">
        <f>+'Tier 3 Data'!E17</f>
        <v>5.3333333333333337E-2</v>
      </c>
      <c r="AV10" s="163" t="e">
        <f>+$AU10*#REF!</f>
        <v>#REF!</v>
      </c>
      <c r="AW10" s="163" t="e">
        <f>+$AU10*#REF!</f>
        <v>#REF!</v>
      </c>
      <c r="AX10" s="163" t="e">
        <f>+$AU10*#REF!</f>
        <v>#REF!</v>
      </c>
      <c r="AY10" s="229">
        <v>30917.763018925129</v>
      </c>
      <c r="AZ10" s="229">
        <v>35334.716448892555</v>
      </c>
      <c r="BA10" s="229">
        <f t="shared" si="7"/>
        <v>4416.9534299674269</v>
      </c>
      <c r="BB10" s="153">
        <v>62.28</v>
      </c>
      <c r="BC10" s="164" t="e">
        <f t="shared" si="26"/>
        <v>#REF!</v>
      </c>
      <c r="BD10" s="164" t="e">
        <f t="shared" si="21"/>
        <v>#REF!</v>
      </c>
      <c r="BE10" s="164" t="e">
        <f t="shared" si="21"/>
        <v>#REF!</v>
      </c>
      <c r="BF10" s="169" t="e">
        <f>AF10-BC10</f>
        <v>#REF!</v>
      </c>
      <c r="BG10" s="169" t="e">
        <f t="shared" si="28"/>
        <v>#REF!</v>
      </c>
      <c r="BH10" s="169" t="e">
        <f t="shared" si="29"/>
        <v>#REF!</v>
      </c>
      <c r="BI10" s="154" t="e">
        <f>+AI10-BC10</f>
        <v>#REF!</v>
      </c>
      <c r="BJ10" s="154" t="e">
        <f t="shared" si="23"/>
        <v>#REF!</v>
      </c>
      <c r="BK10" s="154" t="e">
        <f t="shared" si="24"/>
        <v>#REF!</v>
      </c>
      <c r="BL10" s="244" t="e">
        <f t="shared" si="30"/>
        <v>#REF!</v>
      </c>
      <c r="BM10" s="244" t="e">
        <f t="shared" si="31"/>
        <v>#REF!</v>
      </c>
      <c r="BN10" s="244" t="e">
        <f t="shared" si="32"/>
        <v>#REF!</v>
      </c>
      <c r="BO10" s="249" t="e">
        <f t="shared" si="33"/>
        <v>#REF!</v>
      </c>
      <c r="BP10" s="249" t="e">
        <f t="shared" si="34"/>
        <v>#REF!</v>
      </c>
      <c r="BQ10" s="249" t="e">
        <f t="shared" si="35"/>
        <v>#REF!</v>
      </c>
      <c r="BR10" s="239" t="e">
        <f t="shared" si="36"/>
        <v>#REF!</v>
      </c>
      <c r="BS10" s="239" t="e">
        <f t="shared" si="37"/>
        <v>#REF!</v>
      </c>
      <c r="BT10" s="239" t="e">
        <f t="shared" si="38"/>
        <v>#REF!</v>
      </c>
    </row>
    <row r="11" spans="2:72" x14ac:dyDescent="0.2">
      <c r="B11" s="146">
        <f>'Tier 3 Data'!A18</f>
        <v>2023</v>
      </c>
      <c r="C11" s="161">
        <f>'Tier 3 Data'!F18</f>
        <v>0</v>
      </c>
      <c r="D11" s="161">
        <f>'Tier 3 Data'!G18</f>
        <v>0</v>
      </c>
      <c r="E11" s="161">
        <f>'Tier 3 Data'!H18</f>
        <v>0</v>
      </c>
      <c r="F11" s="149">
        <f>'Annual Energy Data'!BL23</f>
        <v>78390</v>
      </c>
      <c r="G11" s="178">
        <f>+'Tier 1 Data - MOU I.4'!A13</f>
        <v>0.63000000000000012</v>
      </c>
      <c r="H11" s="161">
        <f t="shared" si="4"/>
        <v>0</v>
      </c>
      <c r="I11" s="161">
        <f t="shared" si="5"/>
        <v>0</v>
      </c>
      <c r="J11" s="161">
        <f t="shared" si="6"/>
        <v>0</v>
      </c>
      <c r="K11" s="150">
        <f t="shared" si="8"/>
        <v>-78390</v>
      </c>
      <c r="L11" s="150">
        <f t="shared" si="9"/>
        <v>-78390</v>
      </c>
      <c r="M11" s="150">
        <f t="shared" si="10"/>
        <v>-78390</v>
      </c>
      <c r="N11" s="151">
        <f t="shared" si="11"/>
        <v>0</v>
      </c>
      <c r="O11" s="151">
        <f t="shared" si="12"/>
        <v>0</v>
      </c>
      <c r="P11" s="151">
        <f t="shared" si="13"/>
        <v>0</v>
      </c>
      <c r="Q11" s="223">
        <f>+R11*(1+Q$3)</f>
        <v>50.079196611143018</v>
      </c>
      <c r="R11" s="223">
        <f>+R10*R36</f>
        <v>49.09725157955198</v>
      </c>
      <c r="S11" s="223">
        <f>+S10*(1+S$3)</f>
        <v>3.9066000000000001</v>
      </c>
      <c r="T11" s="223">
        <f t="shared" ref="T11:T26" si="41">+U11*(1+T$3)</f>
        <v>49.475553072946582</v>
      </c>
      <c r="U11" s="223">
        <f>+U10*R36</f>
        <v>48.505444189163313</v>
      </c>
      <c r="V11" s="225">
        <f>+V10*(1+V$3)</f>
        <v>10.71</v>
      </c>
      <c r="W11" s="224"/>
      <c r="X11" s="225">
        <f t="shared" ref="X11:X26" si="42">+X10*R36</f>
        <v>49.814248994830557</v>
      </c>
      <c r="Y11" s="234">
        <v>30</v>
      </c>
      <c r="Z11" s="225"/>
      <c r="AA11" s="225">
        <f>+AA10*R36</f>
        <v>48.516825100516947</v>
      </c>
      <c r="AB11" s="225">
        <f t="shared" ref="AB11:AB30" si="43">+Y11</f>
        <v>30</v>
      </c>
      <c r="AC11" s="225">
        <f t="shared" ref="AC11:AC30" si="44">$AD11*(1+$AC$3)</f>
        <v>45.412567719701315</v>
      </c>
      <c r="AD11" s="225">
        <f>+AD10*R36</f>
        <v>44.522125215393444</v>
      </c>
      <c r="AE11" s="225">
        <f t="shared" ref="AE11:AE30" si="45">Y11</f>
        <v>30</v>
      </c>
      <c r="AF11" s="169">
        <f t="shared" si="14"/>
        <v>383213.04502642155</v>
      </c>
      <c r="AG11" s="169">
        <f t="shared" si="15"/>
        <v>383213.04502642155</v>
      </c>
      <c r="AH11" s="169">
        <f t="shared" si="16"/>
        <v>383213.04502642155</v>
      </c>
      <c r="AI11" s="154">
        <f t="shared" si="25"/>
        <v>0</v>
      </c>
      <c r="AJ11" s="154">
        <f t="shared" si="17"/>
        <v>0</v>
      </c>
      <c r="AK11" s="154">
        <f t="shared" si="18"/>
        <v>0</v>
      </c>
      <c r="AL11" s="119"/>
      <c r="AM11" s="119"/>
      <c r="AN11" s="119"/>
      <c r="AO11" s="165">
        <f t="shared" ref="AO11:AO30" si="46">IF($Z11&gt;0,-N11*($Z11-($AA11+$AB11)),0)</f>
        <v>0</v>
      </c>
      <c r="AP11" s="165">
        <f t="shared" ref="AP11:AP30" si="47">IF($Z11&gt;0,-O11*($Z11-($AA11+$AB11)),0)</f>
        <v>0</v>
      </c>
      <c r="AQ11" s="165">
        <f t="shared" ref="AQ11:AQ30" si="48">IF($Z11&gt;0,-P11*($Z11-($AA11+$AB11)),0)</f>
        <v>0</v>
      </c>
      <c r="AR11" s="241">
        <f t="shared" ref="AR11:AR30" si="49">-N11*(($AC11-$AD11)+$AE11)</f>
        <v>0</v>
      </c>
      <c r="AS11" s="241">
        <f t="shared" ref="AS11:AS30" si="50">-O11*(($AC11-$AD11)+$AE11)</f>
        <v>0</v>
      </c>
      <c r="AT11" s="241">
        <f t="shared" ref="AT11:AT30" si="51">-P11*(($AC11-$AD11)+$AE11)</f>
        <v>0</v>
      </c>
      <c r="AU11" s="162">
        <f>+'Tier 3 Data'!E18</f>
        <v>6.0000000000000005E-2</v>
      </c>
      <c r="AV11" s="163" t="e">
        <f>+$AU11*#REF!</f>
        <v>#REF!</v>
      </c>
      <c r="AW11" s="163" t="e">
        <f>+$AU11*#REF!</f>
        <v>#REF!</v>
      </c>
      <c r="AX11" s="163" t="e">
        <f>+$AU11*#REF!</f>
        <v>#REF!</v>
      </c>
      <c r="AY11" s="229">
        <v>34316.152695174998</v>
      </c>
      <c r="AZ11" s="229">
        <v>38996.789108499834</v>
      </c>
      <c r="BA11" s="229">
        <f t="shared" si="7"/>
        <v>4680.6364133248353</v>
      </c>
      <c r="BB11" s="156">
        <f>BB10*(1+$BB$3)</f>
        <v>63.525600000000004</v>
      </c>
      <c r="BC11" s="164" t="e">
        <f>IF(AV11&gt;$AZ11,$BA11*$BB11,IF(AV11&gt;$AY11,(AV11-$AY11)*$Y11,0))</f>
        <v>#REF!</v>
      </c>
      <c r="BD11" s="164" t="e">
        <f>IF(AW11&gt;$AZ11,$BA11*$BB11,IF(AW11&gt;$AY11,(AW11-$AY11)*$Y11,0))</f>
        <v>#REF!</v>
      </c>
      <c r="BE11" s="164" t="e">
        <f>IF(AX11&gt;$AZ11,$BA11*$BB11,IF(AX11&gt;$AY11,(AX11-$AY11)*$Y11,0))</f>
        <v>#REF!</v>
      </c>
      <c r="BF11" s="169" t="e">
        <f t="shared" si="27"/>
        <v>#REF!</v>
      </c>
      <c r="BG11" s="169" t="e">
        <f t="shared" si="28"/>
        <v>#REF!</v>
      </c>
      <c r="BH11" s="169" t="e">
        <f t="shared" si="29"/>
        <v>#REF!</v>
      </c>
      <c r="BI11" s="154" t="e">
        <f t="shared" si="22"/>
        <v>#REF!</v>
      </c>
      <c r="BJ11" s="154" t="e">
        <f t="shared" si="23"/>
        <v>#REF!</v>
      </c>
      <c r="BK11" s="154" t="e">
        <f t="shared" si="24"/>
        <v>#REF!</v>
      </c>
      <c r="BL11" s="244" t="e">
        <f t="shared" si="30"/>
        <v>#REF!</v>
      </c>
      <c r="BM11" s="244" t="e">
        <f t="shared" si="31"/>
        <v>#REF!</v>
      </c>
      <c r="BN11" s="244" t="e">
        <f t="shared" si="32"/>
        <v>#REF!</v>
      </c>
      <c r="BO11" s="249" t="e">
        <f t="shared" si="33"/>
        <v>#REF!</v>
      </c>
      <c r="BP11" s="249" t="e">
        <f t="shared" si="34"/>
        <v>#REF!</v>
      </c>
      <c r="BQ11" s="249" t="e">
        <f t="shared" si="35"/>
        <v>#REF!</v>
      </c>
      <c r="BR11" s="239" t="e">
        <f t="shared" si="36"/>
        <v>#REF!</v>
      </c>
      <c r="BS11" s="239" t="e">
        <f t="shared" si="37"/>
        <v>#REF!</v>
      </c>
      <c r="BT11" s="239" t="e">
        <f t="shared" si="38"/>
        <v>#REF!</v>
      </c>
    </row>
    <row r="12" spans="2:72" x14ac:dyDescent="0.2">
      <c r="B12" s="146">
        <f>'Tier 3 Data'!A19</f>
        <v>2024</v>
      </c>
      <c r="C12" s="161">
        <f>'Tier 3 Data'!F19</f>
        <v>0</v>
      </c>
      <c r="D12" s="161">
        <f>'Tier 3 Data'!G19</f>
        <v>0</v>
      </c>
      <c r="E12" s="161">
        <f>'Tier 3 Data'!H19</f>
        <v>0</v>
      </c>
      <c r="F12" s="149">
        <f>'Annual Energy Data'!BL24</f>
        <v>78390</v>
      </c>
      <c r="G12" s="178">
        <f>+'Tier 1 Data - MOU I.4'!A14</f>
        <v>0.63000000000000012</v>
      </c>
      <c r="H12" s="161">
        <f t="shared" si="4"/>
        <v>0</v>
      </c>
      <c r="I12" s="161">
        <f t="shared" si="5"/>
        <v>0</v>
      </c>
      <c r="J12" s="161">
        <f t="shared" si="6"/>
        <v>0</v>
      </c>
      <c r="K12" s="150">
        <f t="shared" si="8"/>
        <v>-78390</v>
      </c>
      <c r="L12" s="150">
        <f t="shared" si="9"/>
        <v>-78390</v>
      </c>
      <c r="M12" s="150">
        <f t="shared" si="10"/>
        <v>-78390</v>
      </c>
      <c r="N12" s="151">
        <f t="shared" si="11"/>
        <v>0</v>
      </c>
      <c r="O12" s="151">
        <f t="shared" si="12"/>
        <v>0</v>
      </c>
      <c r="P12" s="151">
        <f t="shared" si="13"/>
        <v>0</v>
      </c>
      <c r="Q12" s="223">
        <f t="shared" ref="Q12:Q26" si="52">+R12*(1+Q$3)</f>
        <v>44.201836214819068</v>
      </c>
      <c r="R12" s="223">
        <f t="shared" ref="R12:R26" si="53">+R11*R37</f>
        <v>43.335133543940259</v>
      </c>
      <c r="S12" s="223">
        <f t="shared" ref="S12:S30" si="54">+S11*(1+S$3)</f>
        <v>3.9847320000000002</v>
      </c>
      <c r="T12" s="223">
        <f t="shared" si="41"/>
        <v>43.669037076392875</v>
      </c>
      <c r="U12" s="223">
        <f t="shared" ref="U12:U26" si="55">+U11*R37</f>
        <v>42.812781447443996</v>
      </c>
      <c r="V12" s="225">
        <f t="shared" ref="V12:V30" si="56">+V11*(1+V$3)</f>
        <v>10.924200000000001</v>
      </c>
      <c r="W12" s="223"/>
      <c r="X12" s="225">
        <f t="shared" si="42"/>
        <v>43.967983199310737</v>
      </c>
      <c r="Y12" s="234">
        <v>25</v>
      </c>
      <c r="Z12" s="231">
        <v>88</v>
      </c>
      <c r="AA12" s="225">
        <f t="shared" ref="AA12:AA29" si="57">+AA11*R37</f>
        <v>42.822826680068928</v>
      </c>
      <c r="AB12" s="225">
        <f t="shared" si="43"/>
        <v>25</v>
      </c>
      <c r="AC12" s="225">
        <f t="shared" si="44"/>
        <v>40.082889029293497</v>
      </c>
      <c r="AD12" s="225">
        <f t="shared" ref="AD12:AD30" si="58">+AD11*R37</f>
        <v>39.296950028719117</v>
      </c>
      <c r="AE12" s="225">
        <f t="shared" si="45"/>
        <v>25</v>
      </c>
      <c r="AF12" s="169">
        <f t="shared" si="14"/>
        <v>380303.96385018982</v>
      </c>
      <c r="AG12" s="169">
        <f t="shared" si="15"/>
        <v>380303.96385018982</v>
      </c>
      <c r="AH12" s="169">
        <f t="shared" si="16"/>
        <v>380303.96385018982</v>
      </c>
      <c r="AI12" s="154">
        <f t="shared" si="25"/>
        <v>0</v>
      </c>
      <c r="AJ12" s="154">
        <f t="shared" si="17"/>
        <v>0</v>
      </c>
      <c r="AK12" s="154">
        <f t="shared" si="18"/>
        <v>0</v>
      </c>
      <c r="AL12" s="244">
        <f t="shared" ref="AL12:AL30" si="59">IF($W12&gt;0,-N12*($W12-($X12+$Y12)),0)</f>
        <v>0</v>
      </c>
      <c r="AM12" s="244">
        <f t="shared" ref="AM12:AM30" si="60">IF($W12&gt;0,-O12*($W12-($X12+$Y12)),0)</f>
        <v>0</v>
      </c>
      <c r="AN12" s="244">
        <f t="shared" ref="AN12:AN30" si="61">IF($W12&gt;0,-P12*($W12-($X12+$Y12)),0)</f>
        <v>0</v>
      </c>
      <c r="AO12" s="246">
        <f>-N12*($Z12-($AA12+$AB12))</f>
        <v>0</v>
      </c>
      <c r="AP12" s="246">
        <f t="shared" si="47"/>
        <v>0</v>
      </c>
      <c r="AQ12" s="246">
        <f t="shared" si="48"/>
        <v>0</v>
      </c>
      <c r="AR12" s="241">
        <f t="shared" si="49"/>
        <v>0</v>
      </c>
      <c r="AS12" s="241">
        <f t="shared" si="50"/>
        <v>0</v>
      </c>
      <c r="AT12" s="241">
        <f t="shared" si="51"/>
        <v>0</v>
      </c>
      <c r="AU12" s="162">
        <f>+'Tier 3 Data'!E19</f>
        <v>6.6666666666666666E-2</v>
      </c>
      <c r="AV12" s="163" t="e">
        <f>+$AU12*#REF!</f>
        <v>#REF!</v>
      </c>
      <c r="AW12" s="163" t="e">
        <f>+$AU12*#REF!</f>
        <v>#REF!</v>
      </c>
      <c r="AX12" s="163" t="e">
        <f>+$AU12*#REF!</f>
        <v>#REF!</v>
      </c>
      <c r="AY12" s="229">
        <v>39840.317057698354</v>
      </c>
      <c r="AZ12" s="229">
        <v>44986.970708017485</v>
      </c>
      <c r="BA12" s="229">
        <f t="shared" si="7"/>
        <v>5146.653650319131</v>
      </c>
      <c r="BB12" s="156">
        <f t="shared" ref="BB12:BB30" si="62">BB11*(1+$BB$3)</f>
        <v>64.796112000000008</v>
      </c>
      <c r="BC12" s="164" t="e">
        <f t="shared" ref="BC12:BC30" si="63">IF(AV12&gt;$AZ12,$BA12*$BB12,IF(AV12&gt;$AY12,(AV12-$AY12)*$Y12,0))</f>
        <v>#REF!</v>
      </c>
      <c r="BD12" s="164" t="e">
        <f t="shared" ref="BD12:BD30" si="64">IF(AW12&gt;$AZ12,$BA12*$BB12,IF(AW12&gt;$AY12,(AW12-$AY12)*$Y12,0))</f>
        <v>#REF!</v>
      </c>
      <c r="BE12" s="164" t="e">
        <f t="shared" ref="BE12:BE30" si="65">IF(AX12&gt;$AZ12,$BA12*$BB12,IF(AX12&gt;$AY12,(AX12-$AY12)*$Y12,0))</f>
        <v>#REF!</v>
      </c>
      <c r="BF12" s="169" t="e">
        <f t="shared" si="27"/>
        <v>#REF!</v>
      </c>
      <c r="BG12" s="169" t="e">
        <f t="shared" si="28"/>
        <v>#REF!</v>
      </c>
      <c r="BH12" s="169" t="e">
        <f t="shared" si="29"/>
        <v>#REF!</v>
      </c>
      <c r="BI12" s="154" t="e">
        <f>+AI12-BC12</f>
        <v>#REF!</v>
      </c>
      <c r="BJ12" s="154" t="e">
        <f t="shared" si="23"/>
        <v>#REF!</v>
      </c>
      <c r="BK12" s="154" t="e">
        <f t="shared" si="24"/>
        <v>#REF!</v>
      </c>
      <c r="BL12" s="244" t="e">
        <f t="shared" si="30"/>
        <v>#REF!</v>
      </c>
      <c r="BM12" s="244" t="e">
        <f t="shared" si="31"/>
        <v>#REF!</v>
      </c>
      <c r="BN12" s="244" t="e">
        <f t="shared" si="32"/>
        <v>#REF!</v>
      </c>
      <c r="BO12" s="249" t="e">
        <f t="shared" si="33"/>
        <v>#REF!</v>
      </c>
      <c r="BP12" s="249" t="e">
        <f t="shared" si="34"/>
        <v>#REF!</v>
      </c>
      <c r="BQ12" s="249" t="e">
        <f t="shared" si="35"/>
        <v>#REF!</v>
      </c>
      <c r="BR12" s="239" t="e">
        <f t="shared" si="36"/>
        <v>#REF!</v>
      </c>
      <c r="BS12" s="239" t="e">
        <f t="shared" si="37"/>
        <v>#REF!</v>
      </c>
      <c r="BT12" s="239" t="e">
        <f t="shared" si="38"/>
        <v>#REF!</v>
      </c>
    </row>
    <row r="13" spans="2:72" x14ac:dyDescent="0.2">
      <c r="B13" s="146">
        <f>'Tier 3 Data'!A20</f>
        <v>2025</v>
      </c>
      <c r="C13" s="161">
        <f>'Tier 3 Data'!F20</f>
        <v>516859.55797777255</v>
      </c>
      <c r="D13" s="161">
        <f>'Tier 3 Data'!G20</f>
        <v>526009.68119384581</v>
      </c>
      <c r="E13" s="161">
        <f>'Tier 3 Data'!H20</f>
        <v>505793.67081498448</v>
      </c>
      <c r="F13" s="149">
        <f>'Annual Energy Data'!BL25</f>
        <v>85410</v>
      </c>
      <c r="G13" s="178">
        <f>+'Tier 1 Data - MOU I.4'!A15</f>
        <v>0.63000000000000012</v>
      </c>
      <c r="H13" s="161">
        <f t="shared" si="4"/>
        <v>325621.5215259968</v>
      </c>
      <c r="I13" s="161">
        <f t="shared" si="5"/>
        <v>331386.09915212292</v>
      </c>
      <c r="J13" s="161">
        <f t="shared" si="6"/>
        <v>318650.01261344028</v>
      </c>
      <c r="K13" s="150">
        <f t="shared" si="8"/>
        <v>105828.03645177576</v>
      </c>
      <c r="L13" s="150">
        <f t="shared" si="9"/>
        <v>109213.5820417229</v>
      </c>
      <c r="M13" s="150">
        <f t="shared" si="10"/>
        <v>101733.6582015442</v>
      </c>
      <c r="N13" s="151">
        <f t="shared" si="11"/>
        <v>191238.03645177576</v>
      </c>
      <c r="O13" s="151">
        <f t="shared" si="12"/>
        <v>194623.5820417229</v>
      </c>
      <c r="P13" s="151">
        <f t="shared" si="13"/>
        <v>187143.6582015442</v>
      </c>
      <c r="Q13" s="223">
        <f t="shared" si="52"/>
        <v>43.594196553704769</v>
      </c>
      <c r="R13" s="223">
        <f t="shared" si="53"/>
        <v>42.739408385985065</v>
      </c>
      <c r="S13" s="223">
        <f t="shared" si="54"/>
        <v>4.0644266400000006</v>
      </c>
      <c r="T13" s="223">
        <f t="shared" si="41"/>
        <v>43.068721769098225</v>
      </c>
      <c r="U13" s="223">
        <f t="shared" si="55"/>
        <v>42.224237028527668</v>
      </c>
      <c r="V13" s="225">
        <f t="shared" si="56"/>
        <v>11.142684000000001</v>
      </c>
      <c r="W13" s="223"/>
      <c r="X13" s="225">
        <f t="shared" si="42"/>
        <v>43.363558299827687</v>
      </c>
      <c r="Y13" s="226">
        <f>Y12</f>
        <v>25</v>
      </c>
      <c r="Z13" s="225">
        <f>+Z12*(1+$Z$3)</f>
        <v>88.88</v>
      </c>
      <c r="AA13" s="225">
        <f t="shared" si="57"/>
        <v>42.234144170017238</v>
      </c>
      <c r="AB13" s="225">
        <f t="shared" si="43"/>
        <v>25</v>
      </c>
      <c r="AC13" s="225">
        <f t="shared" si="44"/>
        <v>39.531872257323364</v>
      </c>
      <c r="AD13" s="225">
        <f t="shared" si="58"/>
        <v>38.756737507179771</v>
      </c>
      <c r="AE13" s="225">
        <f t="shared" si="45"/>
        <v>25</v>
      </c>
      <c r="AF13" s="169">
        <f t="shared" si="14"/>
        <v>-520590.84398547595</v>
      </c>
      <c r="AG13" s="169">
        <f t="shared" si="15"/>
        <v>-537245.06998375407</v>
      </c>
      <c r="AH13" s="169">
        <f t="shared" si="16"/>
        <v>-500449.71786853141</v>
      </c>
      <c r="AI13" s="154">
        <f t="shared" si="25"/>
        <v>-2292402.6125628194</v>
      </c>
      <c r="AJ13" s="154">
        <f t="shared" si="17"/>
        <v>-2332985.7188284104</v>
      </c>
      <c r="AK13" s="154">
        <f t="shared" si="18"/>
        <v>-2243322.6095895716</v>
      </c>
      <c r="AL13" s="244">
        <f t="shared" si="59"/>
        <v>0</v>
      </c>
      <c r="AM13" s="244">
        <f t="shared" si="60"/>
        <v>0</v>
      </c>
      <c r="AN13" s="244">
        <f t="shared" si="61"/>
        <v>0</v>
      </c>
      <c r="AO13" s="246">
        <f t="shared" si="46"/>
        <v>-4139510.9662441267</v>
      </c>
      <c r="AP13" s="246">
        <f t="shared" si="47"/>
        <v>-4212793.9979899563</v>
      </c>
      <c r="AQ13" s="246">
        <f t="shared" si="48"/>
        <v>-4050884.6449261974</v>
      </c>
      <c r="AR13" s="241">
        <f t="shared" si="49"/>
        <v>-4929186.1588973925</v>
      </c>
      <c r="AS13" s="241">
        <f t="shared" si="50"/>
        <v>-5016449.0526810344</v>
      </c>
      <c r="AT13" s="241">
        <f t="shared" si="51"/>
        <v>-4823653.0077796169</v>
      </c>
      <c r="AU13" s="162">
        <f>+'Tier 3 Data'!E20</f>
        <v>7.3333333333333334E-2</v>
      </c>
      <c r="AV13" s="163" t="e">
        <f>+$AU13*#REF!</f>
        <v>#REF!</v>
      </c>
      <c r="AW13" s="163" t="e">
        <f>+$AU13*#REF!</f>
        <v>#REF!</v>
      </c>
      <c r="AX13" s="163" t="e">
        <f>+$AU13*#REF!</f>
        <v>#REF!</v>
      </c>
      <c r="AY13" s="229">
        <v>47907.580428528272</v>
      </c>
      <c r="AZ13" s="229">
        <v>53535.43320894731</v>
      </c>
      <c r="BA13" s="229">
        <f t="shared" si="7"/>
        <v>5627.852780419038</v>
      </c>
      <c r="BB13" s="156">
        <f t="shared" si="62"/>
        <v>66.092034240000004</v>
      </c>
      <c r="BC13" s="164" t="e">
        <f t="shared" si="63"/>
        <v>#REF!</v>
      </c>
      <c r="BD13" s="164" t="e">
        <f t="shared" si="64"/>
        <v>#REF!</v>
      </c>
      <c r="BE13" s="164" t="e">
        <f t="shared" si="65"/>
        <v>#REF!</v>
      </c>
      <c r="BF13" s="169" t="e">
        <f t="shared" si="27"/>
        <v>#REF!</v>
      </c>
      <c r="BG13" s="169" t="e">
        <f t="shared" si="28"/>
        <v>#REF!</v>
      </c>
      <c r="BH13" s="169" t="e">
        <f t="shared" si="29"/>
        <v>#REF!</v>
      </c>
      <c r="BI13" s="154" t="e">
        <f t="shared" ref="BI13:BI26" si="66">+AI13-BC13</f>
        <v>#REF!</v>
      </c>
      <c r="BJ13" s="154" t="e">
        <f t="shared" ref="BJ13:BJ26" si="67">+AJ13-BD13</f>
        <v>#REF!</v>
      </c>
      <c r="BK13" s="154" t="e">
        <f t="shared" ref="BK13:BK26" si="68">+AK13-BE13</f>
        <v>#REF!</v>
      </c>
      <c r="BL13" s="244" t="e">
        <f t="shared" si="30"/>
        <v>#REF!</v>
      </c>
      <c r="BM13" s="244" t="e">
        <f t="shared" si="31"/>
        <v>#REF!</v>
      </c>
      <c r="BN13" s="244" t="e">
        <f t="shared" si="32"/>
        <v>#REF!</v>
      </c>
      <c r="BO13" s="249" t="e">
        <f t="shared" si="33"/>
        <v>#REF!</v>
      </c>
      <c r="BP13" s="249" t="e">
        <f t="shared" si="34"/>
        <v>#REF!</v>
      </c>
      <c r="BQ13" s="249" t="e">
        <f t="shared" si="35"/>
        <v>#REF!</v>
      </c>
      <c r="BR13" s="239" t="e">
        <f t="shared" si="36"/>
        <v>#REF!</v>
      </c>
      <c r="BS13" s="239" t="e">
        <f t="shared" si="37"/>
        <v>#REF!</v>
      </c>
      <c r="BT13" s="239" t="e">
        <f t="shared" si="38"/>
        <v>#REF!</v>
      </c>
    </row>
    <row r="14" spans="2:72" x14ac:dyDescent="0.2">
      <c r="B14" s="146">
        <f>'Tier 3 Data'!A21</f>
        <v>2026</v>
      </c>
      <c r="C14" s="161">
        <f>'Tier 3 Data'!F21</f>
        <v>534404.08729551674</v>
      </c>
      <c r="D14" s="161">
        <f>'Tier 3 Data'!G21</f>
        <v>551119.24048483884</v>
      </c>
      <c r="E14" s="161">
        <f>'Tier 3 Data'!H21</f>
        <v>509047.36339775816</v>
      </c>
      <c r="F14" s="149">
        <f>'Annual Energy Data'!BL26</f>
        <v>78390</v>
      </c>
      <c r="G14" s="178">
        <f>+'Tier 1 Data - MOU I.4'!A16</f>
        <v>0.63000000000000012</v>
      </c>
      <c r="H14" s="161">
        <f t="shared" si="4"/>
        <v>336674.57499617559</v>
      </c>
      <c r="I14" s="161">
        <f t="shared" si="5"/>
        <v>347205.12150544854</v>
      </c>
      <c r="J14" s="161">
        <f t="shared" si="6"/>
        <v>320699.83894058771</v>
      </c>
      <c r="K14" s="150">
        <f t="shared" si="8"/>
        <v>119339.51229934115</v>
      </c>
      <c r="L14" s="150">
        <f t="shared" si="9"/>
        <v>125524.1189793903</v>
      </c>
      <c r="M14" s="150">
        <f t="shared" si="10"/>
        <v>109957.52445717045</v>
      </c>
      <c r="N14" s="151">
        <f t="shared" si="11"/>
        <v>197729.51229934115</v>
      </c>
      <c r="O14" s="151">
        <f t="shared" si="12"/>
        <v>203914.1189793903</v>
      </c>
      <c r="P14" s="151">
        <f t="shared" si="13"/>
        <v>188347.52445717045</v>
      </c>
      <c r="Q14" s="223">
        <f t="shared" si="52"/>
        <v>44.088101234922455</v>
      </c>
      <c r="R14" s="223">
        <f t="shared" si="53"/>
        <v>43.223628661688679</v>
      </c>
      <c r="S14" s="223">
        <f t="shared" si="54"/>
        <v>4.145715172800001</v>
      </c>
      <c r="T14" s="223">
        <f t="shared" si="41"/>
        <v>43.556673032739809</v>
      </c>
      <c r="U14" s="223">
        <f t="shared" si="55"/>
        <v>42.702620620333143</v>
      </c>
      <c r="V14" s="225">
        <f t="shared" si="56"/>
        <v>11.365537680000001</v>
      </c>
      <c r="W14" s="223"/>
      <c r="X14" s="225">
        <f t="shared" si="42"/>
        <v>43.854849942561742</v>
      </c>
      <c r="Y14" s="226">
        <f t="shared" ref="Y14:Y30" si="69">Y13</f>
        <v>25</v>
      </c>
      <c r="Z14" s="225">
        <f>+Z13*(1+$Z$3)</f>
        <v>89.768799999999999</v>
      </c>
      <c r="AA14" s="225">
        <f t="shared" si="57"/>
        <v>42.712640005743829</v>
      </c>
      <c r="AB14" s="225">
        <f t="shared" si="43"/>
        <v>25</v>
      </c>
      <c r="AC14" s="225">
        <f t="shared" si="44"/>
        <v>39.979752441125775</v>
      </c>
      <c r="AD14" s="225">
        <f t="shared" si="58"/>
        <v>39.195835726593899</v>
      </c>
      <c r="AE14" s="225">
        <f t="shared" si="45"/>
        <v>25</v>
      </c>
      <c r="AF14" s="169">
        <f t="shared" si="14"/>
        <v>-597913.36213980627</v>
      </c>
      <c r="AG14" s="169">
        <f t="shared" si="15"/>
        <v>-628899.40274222719</v>
      </c>
      <c r="AH14" s="169">
        <f t="shared" si="16"/>
        <v>-550907.84161952476</v>
      </c>
      <c r="AI14" s="154">
        <f t="shared" si="25"/>
        <v>-2416173.5894694314</v>
      </c>
      <c r="AJ14" s="154">
        <f t="shared" si="17"/>
        <v>-2491746.9479823923</v>
      </c>
      <c r="AK14" s="154">
        <f t="shared" si="18"/>
        <v>-2301529.5437861625</v>
      </c>
      <c r="AL14" s="244">
        <f t="shared" si="59"/>
        <v>0</v>
      </c>
      <c r="AM14" s="244">
        <f t="shared" si="60"/>
        <v>0</v>
      </c>
      <c r="AN14" s="244">
        <f t="shared" si="61"/>
        <v>0</v>
      </c>
      <c r="AO14" s="246">
        <f t="shared" si="46"/>
        <v>-4361153.7588605126</v>
      </c>
      <c r="AP14" s="246">
        <f t="shared" si="47"/>
        <v>-4497562.4332972225</v>
      </c>
      <c r="AQ14" s="246">
        <f t="shared" si="48"/>
        <v>-4154223.1339494297</v>
      </c>
      <c r="AR14" s="241">
        <f t="shared" si="49"/>
        <v>-5098241.2771312185</v>
      </c>
      <c r="AS14" s="241">
        <f t="shared" si="50"/>
        <v>-5257704.6606817432</v>
      </c>
      <c r="AT14" s="241">
        <f t="shared" si="51"/>
        <v>-4856336.883991939</v>
      </c>
      <c r="AU14" s="162">
        <f>+'Tier 3 Data'!E21</f>
        <v>0.08</v>
      </c>
      <c r="AV14" s="163" t="e">
        <f>+$AU14*#REF!</f>
        <v>#REF!</v>
      </c>
      <c r="AW14" s="163" t="e">
        <f>+$AU14*#REF!</f>
        <v>#REF!</v>
      </c>
      <c r="AX14" s="163" t="e">
        <f>+$AU14*#REF!</f>
        <v>#REF!</v>
      </c>
      <c r="AY14" s="229">
        <v>60695.58464844861</v>
      </c>
      <c r="AZ14" s="229">
        <v>67089.251853122565</v>
      </c>
      <c r="BA14" s="229">
        <f t="shared" si="7"/>
        <v>6393.667204673955</v>
      </c>
      <c r="BB14" s="156">
        <f t="shared" si="62"/>
        <v>67.413874924799998</v>
      </c>
      <c r="BC14" s="164" t="e">
        <f t="shared" si="63"/>
        <v>#REF!</v>
      </c>
      <c r="BD14" s="164" t="e">
        <f t="shared" si="64"/>
        <v>#REF!</v>
      </c>
      <c r="BE14" s="164" t="e">
        <f t="shared" si="65"/>
        <v>#REF!</v>
      </c>
      <c r="BF14" s="169" t="e">
        <f t="shared" si="27"/>
        <v>#REF!</v>
      </c>
      <c r="BG14" s="169" t="e">
        <f t="shared" si="28"/>
        <v>#REF!</v>
      </c>
      <c r="BH14" s="169" t="e">
        <f t="shared" si="29"/>
        <v>#REF!</v>
      </c>
      <c r="BI14" s="154" t="e">
        <f t="shared" si="66"/>
        <v>#REF!</v>
      </c>
      <c r="BJ14" s="154" t="e">
        <f t="shared" si="67"/>
        <v>#REF!</v>
      </c>
      <c r="BK14" s="154" t="e">
        <f t="shared" si="68"/>
        <v>#REF!</v>
      </c>
      <c r="BL14" s="244" t="e">
        <f t="shared" si="30"/>
        <v>#REF!</v>
      </c>
      <c r="BM14" s="244" t="e">
        <f t="shared" si="31"/>
        <v>#REF!</v>
      </c>
      <c r="BN14" s="244" t="e">
        <f t="shared" si="32"/>
        <v>#REF!</v>
      </c>
      <c r="BO14" s="249" t="e">
        <f t="shared" si="33"/>
        <v>#REF!</v>
      </c>
      <c r="BP14" s="249" t="e">
        <f t="shared" si="34"/>
        <v>#REF!</v>
      </c>
      <c r="BQ14" s="249" t="e">
        <f t="shared" si="35"/>
        <v>#REF!</v>
      </c>
      <c r="BR14" s="239" t="e">
        <f t="shared" si="36"/>
        <v>#REF!</v>
      </c>
      <c r="BS14" s="239" t="e">
        <f t="shared" si="37"/>
        <v>#REF!</v>
      </c>
      <c r="BT14" s="239" t="e">
        <f t="shared" si="38"/>
        <v>#REF!</v>
      </c>
    </row>
    <row r="15" spans="2:72" x14ac:dyDescent="0.2">
      <c r="B15" s="146">
        <f>'Tier 3 Data'!A22</f>
        <v>2027</v>
      </c>
      <c r="C15" s="161">
        <f>'Tier 3 Data'!F22</f>
        <v>547481.26902155788</v>
      </c>
      <c r="D15" s="161">
        <f>'Tier 3 Data'!G22</f>
        <v>561801.20006497123</v>
      </c>
      <c r="E15" s="161">
        <f>'Tier 3 Data'!H22</f>
        <v>513021.74839042296</v>
      </c>
      <c r="F15" s="149">
        <f>'Annual Energy Data'!BL27</f>
        <v>78156</v>
      </c>
      <c r="G15" s="178">
        <f>+'Tier 1 Data - MOU I.4'!A17</f>
        <v>0.63000000000000012</v>
      </c>
      <c r="H15" s="161">
        <f t="shared" si="4"/>
        <v>344913.19948358153</v>
      </c>
      <c r="I15" s="161">
        <f t="shared" si="5"/>
        <v>353934.75604093191</v>
      </c>
      <c r="J15" s="161">
        <f t="shared" si="6"/>
        <v>323203.70148596651</v>
      </c>
      <c r="K15" s="150">
        <f t="shared" si="8"/>
        <v>124412.06953797635</v>
      </c>
      <c r="L15" s="150">
        <f t="shared" si="9"/>
        <v>129710.44402403932</v>
      </c>
      <c r="M15" s="150">
        <f t="shared" si="10"/>
        <v>111662.04690445645</v>
      </c>
      <c r="N15" s="151">
        <f t="shared" si="11"/>
        <v>202568.06953797635</v>
      </c>
      <c r="O15" s="151">
        <f t="shared" si="12"/>
        <v>207866.44402403932</v>
      </c>
      <c r="P15" s="151">
        <f t="shared" si="13"/>
        <v>189818.04690445645</v>
      </c>
      <c r="Q15" s="223">
        <f t="shared" si="52"/>
        <v>44.887405399195863</v>
      </c>
      <c r="R15" s="223">
        <f t="shared" si="53"/>
        <v>44.007260195290058</v>
      </c>
      <c r="S15" s="223">
        <f t="shared" si="54"/>
        <v>4.2286294762560015</v>
      </c>
      <c r="T15" s="223">
        <f t="shared" si="41"/>
        <v>44.346342561746127</v>
      </c>
      <c r="U15" s="223">
        <f t="shared" si="55"/>
        <v>43.476806433084434</v>
      </c>
      <c r="V15" s="225">
        <f t="shared" si="56"/>
        <v>11.5928484336</v>
      </c>
      <c r="W15" s="223"/>
      <c r="X15" s="225">
        <f t="shared" si="42"/>
        <v>44.649925330269959</v>
      </c>
      <c r="Y15" s="226">
        <f t="shared" si="69"/>
        <v>25</v>
      </c>
      <c r="Z15" s="225">
        <f t="shared" ref="Z15:Z30" si="70">+Z14*(1+$Z$3)</f>
        <v>90.666488000000001</v>
      </c>
      <c r="AA15" s="225">
        <f t="shared" si="57"/>
        <v>43.487007466973012</v>
      </c>
      <c r="AB15" s="225">
        <f t="shared" si="43"/>
        <v>25</v>
      </c>
      <c r="AC15" s="225">
        <f t="shared" si="44"/>
        <v>40.7045734635267</v>
      </c>
      <c r="AD15" s="225">
        <f t="shared" si="58"/>
        <v>39.906444572085</v>
      </c>
      <c r="AE15" s="225">
        <f t="shared" si="45"/>
        <v>25</v>
      </c>
      <c r="AF15" s="169">
        <f t="shared" si="14"/>
        <v>-635593.2307621435</v>
      </c>
      <c r="AG15" s="169">
        <f t="shared" si="15"/>
        <v>-662661.4321825573</v>
      </c>
      <c r="AH15" s="169">
        <f t="shared" si="16"/>
        <v>-570456.23796052719</v>
      </c>
      <c r="AI15" s="154">
        <f t="shared" si="25"/>
        <v>-2524481.1826172294</v>
      </c>
      <c r="AJ15" s="154">
        <f t="shared" si="17"/>
        <v>-2590511.5630174219</v>
      </c>
      <c r="AK15" s="154">
        <f t="shared" si="18"/>
        <v>-2365585.4973807642</v>
      </c>
      <c r="AL15" s="244">
        <f t="shared" si="59"/>
        <v>0</v>
      </c>
      <c r="AM15" s="244">
        <f t="shared" si="60"/>
        <v>0</v>
      </c>
      <c r="AN15" s="244">
        <f t="shared" si="61"/>
        <v>0</v>
      </c>
      <c r="AO15" s="246">
        <f t="shared" si="46"/>
        <v>-4492854.5549304038</v>
      </c>
      <c r="AP15" s="246">
        <f t="shared" si="47"/>
        <v>-4610369.748700724</v>
      </c>
      <c r="AQ15" s="246">
        <f t="shared" si="48"/>
        <v>-4210065.6761345956</v>
      </c>
      <c r="AR15" s="241">
        <f t="shared" si="49"/>
        <v>-5225877.1672312384</v>
      </c>
      <c r="AS15" s="241">
        <f t="shared" si="50"/>
        <v>-5362565.3151378175</v>
      </c>
      <c r="AT15" s="241">
        <f t="shared" si="51"/>
        <v>-4896950.4399628937</v>
      </c>
      <c r="AU15" s="162">
        <f>+'Tier 3 Data'!E22</f>
        <v>8.666666666666667E-2</v>
      </c>
      <c r="AV15" s="163" t="e">
        <f>+$AU15*#REF!</f>
        <v>#REF!</v>
      </c>
      <c r="AW15" s="163" t="e">
        <f>+$AU15*#REF!</f>
        <v>#REF!</v>
      </c>
      <c r="AX15" s="163" t="e">
        <f>+$AU15*#REF!</f>
        <v>#REF!</v>
      </c>
      <c r="AY15" s="229">
        <v>78211.600028512883</v>
      </c>
      <c r="AZ15" s="229">
        <v>85521.117938317708</v>
      </c>
      <c r="BA15" s="229">
        <f t="shared" si="7"/>
        <v>7309.5179098048247</v>
      </c>
      <c r="BB15" s="156">
        <f t="shared" si="62"/>
        <v>68.762152423296001</v>
      </c>
      <c r="BC15" s="164" t="e">
        <f t="shared" si="63"/>
        <v>#REF!</v>
      </c>
      <c r="BD15" s="164" t="e">
        <f t="shared" si="64"/>
        <v>#REF!</v>
      </c>
      <c r="BE15" s="164" t="e">
        <f t="shared" si="65"/>
        <v>#REF!</v>
      </c>
      <c r="BF15" s="169" t="e">
        <f t="shared" si="27"/>
        <v>#REF!</v>
      </c>
      <c r="BG15" s="169" t="e">
        <f t="shared" si="28"/>
        <v>#REF!</v>
      </c>
      <c r="BH15" s="169" t="e">
        <f t="shared" si="29"/>
        <v>#REF!</v>
      </c>
      <c r="BI15" s="154" t="e">
        <f t="shared" si="66"/>
        <v>#REF!</v>
      </c>
      <c r="BJ15" s="154" t="e">
        <f t="shared" si="67"/>
        <v>#REF!</v>
      </c>
      <c r="BK15" s="154" t="e">
        <f t="shared" si="68"/>
        <v>#REF!</v>
      </c>
      <c r="BL15" s="244" t="e">
        <f t="shared" si="30"/>
        <v>#REF!</v>
      </c>
      <c r="BM15" s="244" t="e">
        <f t="shared" si="31"/>
        <v>#REF!</v>
      </c>
      <c r="BN15" s="244" t="e">
        <f t="shared" si="32"/>
        <v>#REF!</v>
      </c>
      <c r="BO15" s="249" t="e">
        <f t="shared" si="33"/>
        <v>#REF!</v>
      </c>
      <c r="BP15" s="249" t="e">
        <f t="shared" si="34"/>
        <v>#REF!</v>
      </c>
      <c r="BQ15" s="249" t="e">
        <f t="shared" si="35"/>
        <v>#REF!</v>
      </c>
      <c r="BR15" s="239" t="e">
        <f t="shared" si="36"/>
        <v>#REF!</v>
      </c>
      <c r="BS15" s="239" t="e">
        <f t="shared" si="37"/>
        <v>#REF!</v>
      </c>
      <c r="BT15" s="239" t="e">
        <f t="shared" si="38"/>
        <v>#REF!</v>
      </c>
    </row>
    <row r="16" spans="2:72" x14ac:dyDescent="0.2">
      <c r="B16" s="146">
        <f>'Tier 3 Data'!A23</f>
        <v>2028</v>
      </c>
      <c r="C16" s="161">
        <f>'Tier 3 Data'!F23</f>
        <v>562334.2564463201</v>
      </c>
      <c r="D16" s="161">
        <f>'Tier 3 Data'!G23</f>
        <v>574238.09425297996</v>
      </c>
      <c r="E16" s="161">
        <f>'Tier 3 Data'!H23</f>
        <v>518347.88756713568</v>
      </c>
      <c r="F16" s="149">
        <f>'Annual Energy Data'!BL28</f>
        <v>85644</v>
      </c>
      <c r="G16" s="178">
        <f>+'Tier 1 Data - MOU I.4'!A18</f>
        <v>0.67</v>
      </c>
      <c r="H16" s="161">
        <f t="shared" si="4"/>
        <v>376763.95181903447</v>
      </c>
      <c r="I16" s="161">
        <f t="shared" si="5"/>
        <v>384739.52314949658</v>
      </c>
      <c r="J16" s="161">
        <f t="shared" si="6"/>
        <v>347293.08466998092</v>
      </c>
      <c r="K16" s="150">
        <f t="shared" si="8"/>
        <v>99926.30462728563</v>
      </c>
      <c r="L16" s="150">
        <f t="shared" si="9"/>
        <v>103854.57110348338</v>
      </c>
      <c r="M16" s="150">
        <f t="shared" si="10"/>
        <v>85410.802897154761</v>
      </c>
      <c r="N16" s="151">
        <f t="shared" si="11"/>
        <v>185570.30462728563</v>
      </c>
      <c r="O16" s="151">
        <f t="shared" si="12"/>
        <v>189498.57110348338</v>
      </c>
      <c r="P16" s="151">
        <f t="shared" si="13"/>
        <v>171054.80289715476</v>
      </c>
      <c r="Q16" s="223">
        <f t="shared" si="52"/>
        <v>46.262756174612285</v>
      </c>
      <c r="R16" s="223">
        <f t="shared" si="53"/>
        <v>45.355643308443419</v>
      </c>
      <c r="S16" s="223">
        <f t="shared" si="54"/>
        <v>4.3132020657811214</v>
      </c>
      <c r="T16" s="223">
        <f t="shared" si="41"/>
        <v>45.70511516369902</v>
      </c>
      <c r="U16" s="223">
        <f t="shared" si="55"/>
        <v>44.80893643499904</v>
      </c>
      <c r="V16" s="225">
        <f t="shared" si="56"/>
        <v>11.824705402272</v>
      </c>
      <c r="W16" s="230">
        <v>77</v>
      </c>
      <c r="X16" s="225">
        <f t="shared" si="42"/>
        <v>46.017999712808731</v>
      </c>
      <c r="Y16" s="226">
        <f t="shared" si="69"/>
        <v>25</v>
      </c>
      <c r="Z16" s="225">
        <f t="shared" si="70"/>
        <v>91.573152879999995</v>
      </c>
      <c r="AA16" s="225">
        <f t="shared" si="57"/>
        <v>44.819450028719132</v>
      </c>
      <c r="AB16" s="225">
        <f t="shared" si="43"/>
        <v>25</v>
      </c>
      <c r="AC16" s="225">
        <f t="shared" si="44"/>
        <v>41.951762205628938</v>
      </c>
      <c r="AD16" s="225">
        <f t="shared" si="58"/>
        <v>41.129178632969548</v>
      </c>
      <c r="AE16" s="225">
        <f t="shared" si="45"/>
        <v>25</v>
      </c>
      <c r="AF16" s="169">
        <f t="shared" si="14"/>
        <v>-521646.78014040232</v>
      </c>
      <c r="AG16" s="169">
        <f t="shared" si="15"/>
        <v>-542153.56828277593</v>
      </c>
      <c r="AH16" s="169">
        <f t="shared" si="16"/>
        <v>-445871.28971385426</v>
      </c>
      <c r="AI16" s="154">
        <f t="shared" si="25"/>
        <v>-2360618.343312874</v>
      </c>
      <c r="AJ16" s="154">
        <f t="shared" si="17"/>
        <v>-2410589.365992167</v>
      </c>
      <c r="AK16" s="154">
        <f t="shared" si="18"/>
        <v>-2175968.3277009558</v>
      </c>
      <c r="AL16" s="244">
        <f>IF($W16&gt;0,-N16*($W16-($X16+$Y16)),0)</f>
        <v>-1110081.6155745939</v>
      </c>
      <c r="AM16" s="244">
        <f t="shared" si="60"/>
        <v>-1133580.5067633728</v>
      </c>
      <c r="AN16" s="244">
        <f t="shared" si="61"/>
        <v>-1023249.8800562257</v>
      </c>
      <c r="AO16" s="246">
        <f t="shared" si="46"/>
        <v>-4036841.2648836416</v>
      </c>
      <c r="AP16" s="246">
        <f t="shared" si="47"/>
        <v>-4122295.6065274957</v>
      </c>
      <c r="AQ16" s="246">
        <f t="shared" si="48"/>
        <v>-3721075.3535091216</v>
      </c>
      <c r="AR16" s="241">
        <f t="shared" si="49"/>
        <v>-4791904.6998419445</v>
      </c>
      <c r="AS16" s="241">
        <f t="shared" si="50"/>
        <v>-4893342.6892192373</v>
      </c>
      <c r="AT16" s="241">
        <f t="shared" si="51"/>
        <v>-4417076.9433165584</v>
      </c>
      <c r="AU16" s="162">
        <f>+'Tier 3 Data'!E23</f>
        <v>9.3333333333333338E-2</v>
      </c>
      <c r="AV16" s="163" t="e">
        <f>+$AU16*#REF!</f>
        <v>#REF!</v>
      </c>
      <c r="AW16" s="163" t="e">
        <f>+$AU16*#REF!</f>
        <v>#REF!</v>
      </c>
      <c r="AX16" s="163" t="e">
        <f>+$AU16*#REF!</f>
        <v>#REF!</v>
      </c>
      <c r="AY16" s="229">
        <v>105705.13753846222</v>
      </c>
      <c r="AZ16" s="229">
        <v>115520.76045763296</v>
      </c>
      <c r="BA16" s="229">
        <f t="shared" si="7"/>
        <v>9815.6229191707389</v>
      </c>
      <c r="BB16" s="156">
        <f t="shared" si="62"/>
        <v>70.13739547176192</v>
      </c>
      <c r="BC16" s="164" t="e">
        <f t="shared" si="63"/>
        <v>#REF!</v>
      </c>
      <c r="BD16" s="164" t="e">
        <f t="shared" si="64"/>
        <v>#REF!</v>
      </c>
      <c r="BE16" s="164" t="e">
        <f t="shared" si="65"/>
        <v>#REF!</v>
      </c>
      <c r="BF16" s="169" t="e">
        <f t="shared" si="27"/>
        <v>#REF!</v>
      </c>
      <c r="BG16" s="169" t="e">
        <f t="shared" si="28"/>
        <v>#REF!</v>
      </c>
      <c r="BH16" s="169" t="e">
        <f t="shared" si="29"/>
        <v>#REF!</v>
      </c>
      <c r="BI16" s="154" t="e">
        <f t="shared" si="66"/>
        <v>#REF!</v>
      </c>
      <c r="BJ16" s="154" t="e">
        <f t="shared" si="67"/>
        <v>#REF!</v>
      </c>
      <c r="BK16" s="154" t="e">
        <f t="shared" si="68"/>
        <v>#REF!</v>
      </c>
      <c r="BL16" s="244" t="e">
        <f>+AL16-BC16</f>
        <v>#REF!</v>
      </c>
      <c r="BM16" s="244" t="e">
        <f t="shared" si="31"/>
        <v>#REF!</v>
      </c>
      <c r="BN16" s="244" t="e">
        <f t="shared" si="32"/>
        <v>#REF!</v>
      </c>
      <c r="BO16" s="249" t="e">
        <f t="shared" si="33"/>
        <v>#REF!</v>
      </c>
      <c r="BP16" s="249" t="e">
        <f t="shared" si="34"/>
        <v>#REF!</v>
      </c>
      <c r="BQ16" s="249" t="e">
        <f t="shared" si="35"/>
        <v>#REF!</v>
      </c>
      <c r="BR16" s="239" t="e">
        <f t="shared" si="36"/>
        <v>#REF!</v>
      </c>
      <c r="BS16" s="239" t="e">
        <f t="shared" si="37"/>
        <v>#REF!</v>
      </c>
      <c r="BT16" s="239" t="e">
        <f t="shared" si="38"/>
        <v>#REF!</v>
      </c>
    </row>
    <row r="17" spans="2:72" x14ac:dyDescent="0.2">
      <c r="B17" s="146">
        <f>'Tier 3 Data'!A24</f>
        <v>2029</v>
      </c>
      <c r="C17" s="161">
        <f>'Tier 3 Data'!F24</f>
        <v>579139.85812221037</v>
      </c>
      <c r="D17" s="161">
        <f>'Tier 3 Data'!G24</f>
        <v>588925.42292387283</v>
      </c>
      <c r="E17" s="161">
        <f>'Tier 3 Data'!H24</f>
        <v>525077.80000335269</v>
      </c>
      <c r="F17" s="149">
        <f>'Annual Energy Data'!BL29</f>
        <v>78390</v>
      </c>
      <c r="G17" s="178">
        <f>+'Tier 1 Data - MOU I.4'!A19</f>
        <v>0.67</v>
      </c>
      <c r="H17" s="161">
        <f t="shared" si="4"/>
        <v>388023.70494188095</v>
      </c>
      <c r="I17" s="161">
        <f t="shared" si="5"/>
        <v>394580.03335899481</v>
      </c>
      <c r="J17" s="161">
        <f t="shared" si="6"/>
        <v>351802.12600224634</v>
      </c>
      <c r="K17" s="150">
        <f t="shared" si="8"/>
        <v>112726.15318032942</v>
      </c>
      <c r="L17" s="150">
        <f t="shared" si="9"/>
        <v>115955.38956487802</v>
      </c>
      <c r="M17" s="150">
        <f t="shared" si="10"/>
        <v>94885.674001106352</v>
      </c>
      <c r="N17" s="151">
        <f t="shared" si="11"/>
        <v>191116.15318032942</v>
      </c>
      <c r="O17" s="151">
        <f t="shared" si="12"/>
        <v>194345.38956487802</v>
      </c>
      <c r="P17" s="151">
        <f t="shared" si="13"/>
        <v>173275.67400110635</v>
      </c>
      <c r="Q17" s="223">
        <f t="shared" si="52"/>
        <v>48.003533228029873</v>
      </c>
      <c r="R17" s="223">
        <f t="shared" si="53"/>
        <v>47.062287478460661</v>
      </c>
      <c r="S17" s="223">
        <f t="shared" si="54"/>
        <v>4.3994661070967442</v>
      </c>
      <c r="T17" s="223">
        <f t="shared" si="41"/>
        <v>47.424909276278008</v>
      </c>
      <c r="U17" s="223">
        <f t="shared" si="55"/>
        <v>46.495009094390205</v>
      </c>
      <c r="V17" s="225">
        <f t="shared" si="56"/>
        <v>12.06119951031744</v>
      </c>
      <c r="W17" s="223">
        <f t="shared" ref="W17:W30" si="71">+W16*(1+W$3)</f>
        <v>77</v>
      </c>
      <c r="X17" s="225">
        <f t="shared" si="42"/>
        <v>47.749567059161407</v>
      </c>
      <c r="Y17" s="226">
        <f t="shared" si="69"/>
        <v>25</v>
      </c>
      <c r="Z17" s="225">
        <f t="shared" si="70"/>
        <v>92.48888440879999</v>
      </c>
      <c r="AA17" s="225">
        <f t="shared" si="57"/>
        <v>46.505918294083877</v>
      </c>
      <c r="AB17" s="225">
        <f t="shared" si="43"/>
        <v>25</v>
      </c>
      <c r="AC17" s="225">
        <f t="shared" si="44"/>
        <v>43.530324985640441</v>
      </c>
      <c r="AD17" s="225">
        <f t="shared" si="58"/>
        <v>42.676789201608273</v>
      </c>
      <c r="AE17" s="225">
        <f t="shared" si="45"/>
        <v>25</v>
      </c>
      <c r="AF17" s="169">
        <f t="shared" si="14"/>
        <v>-602037.90284652822</v>
      </c>
      <c r="AG17" s="169">
        <f t="shared" si="15"/>
        <v>-619284.32389346394</v>
      </c>
      <c r="AH17" s="169">
        <f t="shared" si="16"/>
        <v>-506757.04416544939</v>
      </c>
      <c r="AI17" s="154">
        <f t="shared" si="25"/>
        <v>-2482808.9987564273</v>
      </c>
      <c r="AJ17" s="154">
        <f t="shared" si="17"/>
        <v>-2524760.3305577948</v>
      </c>
      <c r="AK17" s="154">
        <f t="shared" si="18"/>
        <v>-2251041.5551824286</v>
      </c>
      <c r="AL17" s="244">
        <f t="shared" si="59"/>
        <v>-812326.39300402661</v>
      </c>
      <c r="AM17" s="244">
        <f t="shared" si="60"/>
        <v>-826052.04570666642</v>
      </c>
      <c r="AN17" s="244">
        <f t="shared" si="61"/>
        <v>-736496.63262031181</v>
      </c>
      <c r="AO17" s="246">
        <f t="shared" si="46"/>
        <v>-4010183.7661577477</v>
      </c>
      <c r="AP17" s="246">
        <f t="shared" si="47"/>
        <v>-4077942.7237911392</v>
      </c>
      <c r="AQ17" s="246">
        <f t="shared" si="48"/>
        <v>-3635837.5960698118</v>
      </c>
      <c r="AR17" s="241">
        <f t="shared" si="49"/>
        <v>-4941028.3051542202</v>
      </c>
      <c r="AS17" s="241">
        <f t="shared" si="50"/>
        <v>-5024515.4835772458</v>
      </c>
      <c r="AT17" s="241">
        <f t="shared" si="51"/>
        <v>-4479788.8382898951</v>
      </c>
      <c r="AU17" s="162">
        <f>+'Tier 3 Data'!E24</f>
        <v>0.1</v>
      </c>
      <c r="AV17" s="163" t="e">
        <f>+$AU17*#REF!</f>
        <v>#REF!</v>
      </c>
      <c r="AW17" s="163" t="e">
        <f>+$AU17*#REF!</f>
        <v>#REF!</v>
      </c>
      <c r="AX17" s="163" t="e">
        <f>+$AU17*#REF!</f>
        <v>#REF!</v>
      </c>
      <c r="AY17" s="229">
        <v>147170.61138558661</v>
      </c>
      <c r="AZ17" s="229">
        <v>161326.60764168997</v>
      </c>
      <c r="BA17" s="229">
        <f t="shared" si="7"/>
        <v>14155.996256103361</v>
      </c>
      <c r="BB17" s="156">
        <f t="shared" si="62"/>
        <v>71.540143381197154</v>
      </c>
      <c r="BC17" s="164" t="e">
        <f t="shared" si="63"/>
        <v>#REF!</v>
      </c>
      <c r="BD17" s="164" t="e">
        <f t="shared" si="64"/>
        <v>#REF!</v>
      </c>
      <c r="BE17" s="164" t="e">
        <f t="shared" si="65"/>
        <v>#REF!</v>
      </c>
      <c r="BF17" s="169" t="e">
        <f t="shared" si="27"/>
        <v>#REF!</v>
      </c>
      <c r="BG17" s="169" t="e">
        <f t="shared" si="28"/>
        <v>#REF!</v>
      </c>
      <c r="BH17" s="169" t="e">
        <f t="shared" si="29"/>
        <v>#REF!</v>
      </c>
      <c r="BI17" s="154" t="e">
        <f t="shared" si="66"/>
        <v>#REF!</v>
      </c>
      <c r="BJ17" s="154" t="e">
        <f t="shared" si="67"/>
        <v>#REF!</v>
      </c>
      <c r="BK17" s="154" t="e">
        <f t="shared" si="68"/>
        <v>#REF!</v>
      </c>
      <c r="BL17" s="244" t="e">
        <f t="shared" si="30"/>
        <v>#REF!</v>
      </c>
      <c r="BM17" s="244" t="e">
        <f t="shared" si="31"/>
        <v>#REF!</v>
      </c>
      <c r="BN17" s="244" t="e">
        <f t="shared" si="32"/>
        <v>#REF!</v>
      </c>
      <c r="BO17" s="249" t="e">
        <f t="shared" si="33"/>
        <v>#REF!</v>
      </c>
      <c r="BP17" s="249" t="e">
        <f t="shared" si="34"/>
        <v>#REF!</v>
      </c>
      <c r="BQ17" s="249" t="e">
        <f t="shared" si="35"/>
        <v>#REF!</v>
      </c>
      <c r="BR17" s="239" t="e">
        <f t="shared" si="36"/>
        <v>#REF!</v>
      </c>
      <c r="BS17" s="239" t="e">
        <f t="shared" si="37"/>
        <v>#REF!</v>
      </c>
      <c r="BT17" s="239" t="e">
        <f t="shared" si="38"/>
        <v>#REF!</v>
      </c>
    </row>
    <row r="18" spans="2:72" x14ac:dyDescent="0.2">
      <c r="B18" s="146">
        <f>'Tier 3 Data'!A25</f>
        <v>2030</v>
      </c>
      <c r="C18" s="161">
        <f>'Tier 3 Data'!F25</f>
        <v>597537.20891604316</v>
      </c>
      <c r="D18" s="161">
        <f>'Tier 3 Data'!G25</f>
        <v>604371.2686899699</v>
      </c>
      <c r="E18" s="161">
        <f>'Tier 3 Data'!H25</f>
        <v>533253.6763444189</v>
      </c>
      <c r="F18" s="149">
        <f>'Annual Energy Data'!BL30</f>
        <v>78156</v>
      </c>
      <c r="G18" s="178">
        <f>+'Tier 1 Data - MOU I.4'!A20</f>
        <v>1</v>
      </c>
      <c r="H18" s="161">
        <f t="shared" si="4"/>
        <v>597537.20891604316</v>
      </c>
      <c r="I18" s="161">
        <f t="shared" si="5"/>
        <v>604371.2686899699</v>
      </c>
      <c r="J18" s="161">
        <f t="shared" si="6"/>
        <v>533253.6763444189</v>
      </c>
      <c r="K18" s="150">
        <f t="shared" si="8"/>
        <v>-78156</v>
      </c>
      <c r="L18" s="150">
        <f t="shared" si="9"/>
        <v>-78156</v>
      </c>
      <c r="M18" s="150">
        <f t="shared" si="10"/>
        <v>-78156</v>
      </c>
      <c r="N18" s="151">
        <f t="shared" si="11"/>
        <v>0</v>
      </c>
      <c r="O18" s="151">
        <f t="shared" si="12"/>
        <v>0</v>
      </c>
      <c r="P18" s="151">
        <f t="shared" si="13"/>
        <v>0</v>
      </c>
      <c r="Q18" s="223">
        <f t="shared" si="52"/>
        <v>50.101311746122917</v>
      </c>
      <c r="R18" s="223">
        <f t="shared" si="53"/>
        <v>49.118933084434232</v>
      </c>
      <c r="S18" s="223">
        <f t="shared" si="54"/>
        <v>4.487455429238679</v>
      </c>
      <c r="T18" s="223">
        <f t="shared" si="41"/>
        <v>49.49740163699024</v>
      </c>
      <c r="U18" s="223">
        <f t="shared" si="55"/>
        <v>48.526864349990433</v>
      </c>
      <c r="V18" s="225">
        <f t="shared" si="56"/>
        <v>12.302423500523789</v>
      </c>
      <c r="W18" s="223">
        <f t="shared" si="71"/>
        <v>77</v>
      </c>
      <c r="X18" s="225">
        <f t="shared" si="42"/>
        <v>49.836247128087308</v>
      </c>
      <c r="Y18" s="226">
        <f t="shared" si="69"/>
        <v>25</v>
      </c>
      <c r="Z18" s="225">
        <f t="shared" si="70"/>
        <v>93.413773252887992</v>
      </c>
      <c r="AA18" s="225">
        <f t="shared" si="57"/>
        <v>48.538250287191282</v>
      </c>
      <c r="AB18" s="225">
        <f t="shared" si="43"/>
        <v>25</v>
      </c>
      <c r="AC18" s="225">
        <f t="shared" si="44"/>
        <v>45.432622056289489</v>
      </c>
      <c r="AD18" s="225">
        <f t="shared" si="58"/>
        <v>44.541786329695576</v>
      </c>
      <c r="AE18" s="225">
        <f t="shared" si="45"/>
        <v>25</v>
      </c>
      <c r="AF18" s="169">
        <f t="shared" si="14"/>
        <v>427500.35321051907</v>
      </c>
      <c r="AG18" s="169">
        <f t="shared" si="15"/>
        <v>427500.35321051907</v>
      </c>
      <c r="AH18" s="169">
        <f t="shared" si="16"/>
        <v>427500.35321051907</v>
      </c>
      <c r="AI18" s="154">
        <f t="shared" si="25"/>
        <v>0</v>
      </c>
      <c r="AJ18" s="154">
        <f t="shared" si="17"/>
        <v>0</v>
      </c>
      <c r="AK18" s="154">
        <f t="shared" si="18"/>
        <v>0</v>
      </c>
      <c r="AL18" s="244">
        <f t="shared" si="59"/>
        <v>0</v>
      </c>
      <c r="AM18" s="244">
        <f t="shared" si="60"/>
        <v>0</v>
      </c>
      <c r="AN18" s="244">
        <f t="shared" si="61"/>
        <v>0</v>
      </c>
      <c r="AO18" s="246">
        <f t="shared" si="46"/>
        <v>0</v>
      </c>
      <c r="AP18" s="246">
        <f t="shared" si="47"/>
        <v>0</v>
      </c>
      <c r="AQ18" s="246">
        <f t="shared" si="48"/>
        <v>0</v>
      </c>
      <c r="AR18" s="241">
        <f t="shared" si="49"/>
        <v>0</v>
      </c>
      <c r="AS18" s="241">
        <f t="shared" si="50"/>
        <v>0</v>
      </c>
      <c r="AT18" s="241">
        <f t="shared" si="51"/>
        <v>0</v>
      </c>
      <c r="AU18" s="162">
        <f>+'Tier 3 Data'!E25</f>
        <v>0.10666666666666667</v>
      </c>
      <c r="AV18" s="163" t="e">
        <f>+$AU18*#REF!</f>
        <v>#REF!</v>
      </c>
      <c r="AW18" s="163" t="e">
        <f>+$AU18*#REF!</f>
        <v>#REF!</v>
      </c>
      <c r="AX18" s="163" t="e">
        <f>+$AU18*#REF!</f>
        <v>#REF!</v>
      </c>
      <c r="AY18" s="229">
        <v>206789.8737744333</v>
      </c>
      <c r="AZ18" s="229">
        <v>228115.90820456675</v>
      </c>
      <c r="BA18" s="229">
        <f t="shared" si="7"/>
        <v>21326.034430133441</v>
      </c>
      <c r="BB18" s="156">
        <f t="shared" si="62"/>
        <v>72.970946248821093</v>
      </c>
      <c r="BC18" s="164" t="e">
        <f t="shared" si="63"/>
        <v>#REF!</v>
      </c>
      <c r="BD18" s="164" t="e">
        <f t="shared" si="64"/>
        <v>#REF!</v>
      </c>
      <c r="BE18" s="164" t="e">
        <f t="shared" si="65"/>
        <v>#REF!</v>
      </c>
      <c r="BF18" s="169" t="e">
        <f t="shared" si="27"/>
        <v>#REF!</v>
      </c>
      <c r="BG18" s="169" t="e">
        <f t="shared" si="28"/>
        <v>#REF!</v>
      </c>
      <c r="BH18" s="169" t="e">
        <f t="shared" si="29"/>
        <v>#REF!</v>
      </c>
      <c r="BI18" s="154" t="e">
        <f t="shared" si="66"/>
        <v>#REF!</v>
      </c>
      <c r="BJ18" s="154" t="e">
        <f t="shared" si="67"/>
        <v>#REF!</v>
      </c>
      <c r="BK18" s="154" t="e">
        <f t="shared" si="68"/>
        <v>#REF!</v>
      </c>
      <c r="BL18" s="244" t="e">
        <f t="shared" si="30"/>
        <v>#REF!</v>
      </c>
      <c r="BM18" s="244" t="e">
        <f t="shared" si="31"/>
        <v>#REF!</v>
      </c>
      <c r="BN18" s="244" t="e">
        <f t="shared" si="32"/>
        <v>#REF!</v>
      </c>
      <c r="BO18" s="249" t="e">
        <f t="shared" si="33"/>
        <v>#REF!</v>
      </c>
      <c r="BP18" s="249" t="e">
        <f t="shared" si="34"/>
        <v>#REF!</v>
      </c>
      <c r="BQ18" s="249" t="e">
        <f t="shared" si="35"/>
        <v>#REF!</v>
      </c>
      <c r="BR18" s="239" t="e">
        <f t="shared" si="36"/>
        <v>#REF!</v>
      </c>
      <c r="BS18" s="239" t="e">
        <f t="shared" si="37"/>
        <v>#REF!</v>
      </c>
      <c r="BT18" s="239" t="e">
        <f t="shared" si="38"/>
        <v>#REF!</v>
      </c>
    </row>
    <row r="19" spans="2:72" x14ac:dyDescent="0.2">
      <c r="B19" s="146">
        <f>'Tier 3 Data'!A26</f>
        <v>2031</v>
      </c>
      <c r="C19" s="161">
        <f>'Tier 3 Data'!F26</f>
        <v>616126.88040439831</v>
      </c>
      <c r="D19" s="161">
        <f>'Tier 3 Data'!G26</f>
        <v>620873.47339124524</v>
      </c>
      <c r="E19" s="161">
        <f>'Tier 3 Data'!H26</f>
        <v>542625.64259943168</v>
      </c>
      <c r="F19" s="149">
        <f>'Annual Energy Data'!BL31</f>
        <v>85410</v>
      </c>
      <c r="G19" s="178">
        <f>+'Tier 1 Data - MOU I.4'!A21</f>
        <v>1</v>
      </c>
      <c r="H19" s="161">
        <f t="shared" si="4"/>
        <v>616126.88040439831</v>
      </c>
      <c r="I19" s="161">
        <f t="shared" si="5"/>
        <v>620873.47339124524</v>
      </c>
      <c r="J19" s="161">
        <f t="shared" si="6"/>
        <v>542625.64259943168</v>
      </c>
      <c r="K19" s="150">
        <f t="shared" si="8"/>
        <v>-85410</v>
      </c>
      <c r="L19" s="150">
        <f t="shared" si="9"/>
        <v>-85410</v>
      </c>
      <c r="M19" s="150">
        <f t="shared" si="10"/>
        <v>-85410</v>
      </c>
      <c r="N19" s="151">
        <f t="shared" si="11"/>
        <v>0</v>
      </c>
      <c r="O19" s="151">
        <f t="shared" si="12"/>
        <v>0</v>
      </c>
      <c r="P19" s="151">
        <f t="shared" si="13"/>
        <v>0</v>
      </c>
      <c r="Q19" s="223">
        <f t="shared" si="52"/>
        <v>51.480874928202169</v>
      </c>
      <c r="R19" s="223">
        <f t="shared" si="53"/>
        <v>50.47144600804134</v>
      </c>
      <c r="S19" s="223">
        <f t="shared" si="54"/>
        <v>4.5772045378234525</v>
      </c>
      <c r="T19" s="223">
        <f t="shared" si="41"/>
        <v>50.860335870189537</v>
      </c>
      <c r="U19" s="223">
        <f t="shared" si="55"/>
        <v>49.863074382538763</v>
      </c>
      <c r="V19" s="225">
        <f t="shared" si="56"/>
        <v>12.548471970534266</v>
      </c>
      <c r="W19" s="223">
        <f t="shared" si="71"/>
        <v>77</v>
      </c>
      <c r="X19" s="225">
        <f t="shared" si="42"/>
        <v>51.208511631246402</v>
      </c>
      <c r="Y19" s="226">
        <f t="shared" si="69"/>
        <v>25</v>
      </c>
      <c r="Z19" s="225">
        <f t="shared" si="70"/>
        <v>94.347910985416874</v>
      </c>
      <c r="AA19" s="225">
        <f t="shared" si="57"/>
        <v>49.874773836875363</v>
      </c>
      <c r="AB19" s="225">
        <f t="shared" si="43"/>
        <v>25</v>
      </c>
      <c r="AC19" s="225">
        <f t="shared" si="44"/>
        <v>46.683630672027554</v>
      </c>
      <c r="AD19" s="225">
        <f t="shared" si="58"/>
        <v>45.768265364732898</v>
      </c>
      <c r="AE19" s="225">
        <f t="shared" si="45"/>
        <v>25</v>
      </c>
      <c r="AF19" s="169">
        <f t="shared" si="14"/>
        <v>477154.36364643747</v>
      </c>
      <c r="AG19" s="169">
        <f t="shared" si="15"/>
        <v>477154.36364643747</v>
      </c>
      <c r="AH19" s="169">
        <f t="shared" si="16"/>
        <v>477154.36364643747</v>
      </c>
      <c r="AI19" s="154">
        <f t="shared" si="25"/>
        <v>0</v>
      </c>
      <c r="AJ19" s="154">
        <f t="shared" si="17"/>
        <v>0</v>
      </c>
      <c r="AK19" s="154">
        <f t="shared" si="18"/>
        <v>0</v>
      </c>
      <c r="AL19" s="244">
        <f t="shared" si="59"/>
        <v>0</v>
      </c>
      <c r="AM19" s="244">
        <f t="shared" si="60"/>
        <v>0</v>
      </c>
      <c r="AN19" s="244">
        <f t="shared" si="61"/>
        <v>0</v>
      </c>
      <c r="AO19" s="246">
        <f t="shared" si="46"/>
        <v>0</v>
      </c>
      <c r="AP19" s="246">
        <f t="shared" si="47"/>
        <v>0</v>
      </c>
      <c r="AQ19" s="246">
        <f t="shared" si="48"/>
        <v>0</v>
      </c>
      <c r="AR19" s="241">
        <f t="shared" si="49"/>
        <v>0</v>
      </c>
      <c r="AS19" s="241">
        <f t="shared" si="50"/>
        <v>0</v>
      </c>
      <c r="AT19" s="241">
        <f t="shared" si="51"/>
        <v>0</v>
      </c>
      <c r="AU19" s="162">
        <f>+'Tier 3 Data'!E26</f>
        <v>0.11333333333333334</v>
      </c>
      <c r="AV19" s="163" t="e">
        <f>+$AU19*#REF!</f>
        <v>#REF!</v>
      </c>
      <c r="AW19" s="163" t="e">
        <f>+$AU19*#REF!</f>
        <v>#REF!</v>
      </c>
      <c r="AX19" s="163" t="e">
        <f>+$AU19*#REF!</f>
        <v>#REF!</v>
      </c>
      <c r="AY19" s="229">
        <v>274036.28005534766</v>
      </c>
      <c r="AZ19" s="229">
        <v>304805.96707893256</v>
      </c>
      <c r="BA19" s="229">
        <f t="shared" si="7"/>
        <v>30769.687023584906</v>
      </c>
      <c r="BB19" s="156">
        <f t="shared" si="62"/>
        <v>74.430365173797512</v>
      </c>
      <c r="BC19" s="164" t="e">
        <f t="shared" si="63"/>
        <v>#REF!</v>
      </c>
      <c r="BD19" s="164" t="e">
        <f t="shared" si="64"/>
        <v>#REF!</v>
      </c>
      <c r="BE19" s="164" t="e">
        <f t="shared" si="65"/>
        <v>#REF!</v>
      </c>
      <c r="BF19" s="169" t="e">
        <f t="shared" si="27"/>
        <v>#REF!</v>
      </c>
      <c r="BG19" s="169" t="e">
        <f t="shared" si="28"/>
        <v>#REF!</v>
      </c>
      <c r="BH19" s="169" t="e">
        <f t="shared" si="29"/>
        <v>#REF!</v>
      </c>
      <c r="BI19" s="154" t="e">
        <f t="shared" si="66"/>
        <v>#REF!</v>
      </c>
      <c r="BJ19" s="154" t="e">
        <f t="shared" si="67"/>
        <v>#REF!</v>
      </c>
      <c r="BK19" s="154" t="e">
        <f t="shared" si="68"/>
        <v>#REF!</v>
      </c>
      <c r="BL19" s="244" t="e">
        <f t="shared" si="30"/>
        <v>#REF!</v>
      </c>
      <c r="BM19" s="244" t="e">
        <f t="shared" si="31"/>
        <v>#REF!</v>
      </c>
      <c r="BN19" s="244" t="e">
        <f t="shared" si="32"/>
        <v>#REF!</v>
      </c>
      <c r="BO19" s="249" t="e">
        <f t="shared" si="33"/>
        <v>#REF!</v>
      </c>
      <c r="BP19" s="249" t="e">
        <f t="shared" si="34"/>
        <v>#REF!</v>
      </c>
      <c r="BQ19" s="249" t="e">
        <f t="shared" si="35"/>
        <v>#REF!</v>
      </c>
      <c r="BR19" s="239" t="e">
        <f t="shared" si="36"/>
        <v>#REF!</v>
      </c>
      <c r="BS19" s="239" t="e">
        <f t="shared" si="37"/>
        <v>#REF!</v>
      </c>
      <c r="BT19" s="239" t="e">
        <f t="shared" si="38"/>
        <v>#REF!</v>
      </c>
    </row>
    <row r="20" spans="2:72" x14ac:dyDescent="0.2">
      <c r="B20" s="146">
        <f>'Tier 3 Data'!A27</f>
        <v>2032</v>
      </c>
      <c r="C20" s="161">
        <f>'Tier 3 Data'!F27</f>
        <v>634675.02635726519</v>
      </c>
      <c r="D20" s="161">
        <f>'Tier 3 Data'!G27</f>
        <v>638688.24670604919</v>
      </c>
      <c r="E20" s="161">
        <f>'Tier 3 Data'!H27</f>
        <v>553259.15443177917</v>
      </c>
      <c r="F20" s="149">
        <f>'Annual Energy Data'!BL32</f>
        <v>78624</v>
      </c>
      <c r="G20" s="178">
        <f>+'Tier 1 Data - MOU I.4'!A22</f>
        <v>1</v>
      </c>
      <c r="H20" s="161">
        <f t="shared" si="4"/>
        <v>634675.02635726519</v>
      </c>
      <c r="I20" s="161">
        <f t="shared" si="5"/>
        <v>638688.24670604919</v>
      </c>
      <c r="J20" s="161">
        <f t="shared" si="6"/>
        <v>553259.15443177917</v>
      </c>
      <c r="K20" s="150">
        <f t="shared" si="8"/>
        <v>-78624</v>
      </c>
      <c r="L20" s="150">
        <f t="shared" si="9"/>
        <v>-78624</v>
      </c>
      <c r="M20" s="150">
        <f t="shared" si="10"/>
        <v>-78624</v>
      </c>
      <c r="N20" s="151">
        <f t="shared" si="11"/>
        <v>0</v>
      </c>
      <c r="O20" s="151">
        <f t="shared" si="12"/>
        <v>0</v>
      </c>
      <c r="P20" s="151">
        <f t="shared" si="13"/>
        <v>0</v>
      </c>
      <c r="Q20" s="223">
        <f t="shared" si="52"/>
        <v>53.094226680068935</v>
      </c>
      <c r="R20" s="223">
        <f t="shared" si="53"/>
        <v>52.053163411832287</v>
      </c>
      <c r="S20" s="223">
        <f t="shared" si="54"/>
        <v>4.6687486285799213</v>
      </c>
      <c r="T20" s="223">
        <f t="shared" si="41"/>
        <v>52.454240637564631</v>
      </c>
      <c r="U20" s="223">
        <f t="shared" si="55"/>
        <v>51.425726115259444</v>
      </c>
      <c r="V20" s="225">
        <f t="shared" si="56"/>
        <v>12.799441409944951</v>
      </c>
      <c r="W20" s="223">
        <f t="shared" si="71"/>
        <v>77</v>
      </c>
      <c r="X20" s="225">
        <f t="shared" si="42"/>
        <v>52.813327828834019</v>
      </c>
      <c r="Y20" s="226">
        <f t="shared" si="69"/>
        <v>25</v>
      </c>
      <c r="Z20" s="225">
        <f t="shared" si="70"/>
        <v>95.291390095271041</v>
      </c>
      <c r="AA20" s="225">
        <f t="shared" si="57"/>
        <v>51.437792217116623</v>
      </c>
      <c r="AB20" s="225">
        <f t="shared" si="43"/>
        <v>25</v>
      </c>
      <c r="AC20" s="225">
        <f t="shared" si="44"/>
        <v>48.146642274554857</v>
      </c>
      <c r="AD20" s="225">
        <f t="shared" si="58"/>
        <v>47.202590465249862</v>
      </c>
      <c r="AE20" s="225">
        <f t="shared" si="45"/>
        <v>25</v>
      </c>
      <c r="AF20" s="169">
        <f t="shared" si="14"/>
        <v>448928.25057530595</v>
      </c>
      <c r="AG20" s="169">
        <f t="shared" si="15"/>
        <v>448928.25057530595</v>
      </c>
      <c r="AH20" s="169">
        <f t="shared" si="16"/>
        <v>448928.25057530595</v>
      </c>
      <c r="AI20" s="154">
        <f t="shared" si="25"/>
        <v>0</v>
      </c>
      <c r="AJ20" s="154">
        <f t="shared" si="17"/>
        <v>0</v>
      </c>
      <c r="AK20" s="154">
        <f t="shared" si="18"/>
        <v>0</v>
      </c>
      <c r="AL20" s="244">
        <f t="shared" si="59"/>
        <v>0</v>
      </c>
      <c r="AM20" s="244">
        <f t="shared" si="60"/>
        <v>0</v>
      </c>
      <c r="AN20" s="244">
        <f t="shared" si="61"/>
        <v>0</v>
      </c>
      <c r="AO20" s="246">
        <f t="shared" si="46"/>
        <v>0</v>
      </c>
      <c r="AP20" s="246">
        <f t="shared" si="47"/>
        <v>0</v>
      </c>
      <c r="AQ20" s="246">
        <f t="shared" si="48"/>
        <v>0</v>
      </c>
      <c r="AR20" s="241">
        <f t="shared" si="49"/>
        <v>0</v>
      </c>
      <c r="AS20" s="241">
        <f t="shared" si="50"/>
        <v>0</v>
      </c>
      <c r="AT20" s="241">
        <f t="shared" si="51"/>
        <v>0</v>
      </c>
      <c r="AU20" s="162">
        <f>+'Tier 3 Data'!E27</f>
        <v>0.12000000000000001</v>
      </c>
      <c r="AV20" s="163" t="e">
        <f>+$AU20*#REF!</f>
        <v>#REF!</v>
      </c>
      <c r="AW20" s="163" t="e">
        <f>+$AU20*#REF!</f>
        <v>#REF!</v>
      </c>
      <c r="AX20" s="163" t="e">
        <f>+$AU20*#REF!</f>
        <v>#REF!</v>
      </c>
      <c r="AY20" s="229">
        <v>279943.14185122092</v>
      </c>
      <c r="AZ20" s="229">
        <v>315044.4473089177</v>
      </c>
      <c r="BA20" s="229">
        <f t="shared" si="7"/>
        <v>35101.305457696784</v>
      </c>
      <c r="BB20" s="156">
        <f t="shared" si="62"/>
        <v>75.918972477273456</v>
      </c>
      <c r="BC20" s="164" t="e">
        <f t="shared" si="63"/>
        <v>#REF!</v>
      </c>
      <c r="BD20" s="164" t="e">
        <f t="shared" si="64"/>
        <v>#REF!</v>
      </c>
      <c r="BE20" s="164" t="e">
        <f t="shared" si="65"/>
        <v>#REF!</v>
      </c>
      <c r="BF20" s="169" t="e">
        <f t="shared" si="27"/>
        <v>#REF!</v>
      </c>
      <c r="BG20" s="169" t="e">
        <f t="shared" si="28"/>
        <v>#REF!</v>
      </c>
      <c r="BH20" s="169" t="e">
        <f t="shared" si="29"/>
        <v>#REF!</v>
      </c>
      <c r="BI20" s="154" t="e">
        <f t="shared" si="66"/>
        <v>#REF!</v>
      </c>
      <c r="BJ20" s="154" t="e">
        <f t="shared" si="67"/>
        <v>#REF!</v>
      </c>
      <c r="BK20" s="154" t="e">
        <f t="shared" si="68"/>
        <v>#REF!</v>
      </c>
      <c r="BL20" s="244" t="e">
        <f t="shared" si="30"/>
        <v>#REF!</v>
      </c>
      <c r="BM20" s="244" t="e">
        <f t="shared" si="31"/>
        <v>#REF!</v>
      </c>
      <c r="BN20" s="244" t="e">
        <f t="shared" si="32"/>
        <v>#REF!</v>
      </c>
      <c r="BO20" s="249" t="e">
        <f t="shared" si="33"/>
        <v>#REF!</v>
      </c>
      <c r="BP20" s="249" t="e">
        <f t="shared" si="34"/>
        <v>#REF!</v>
      </c>
      <c r="BQ20" s="249" t="e">
        <f t="shared" si="35"/>
        <v>#REF!</v>
      </c>
      <c r="BR20" s="239" t="e">
        <f t="shared" si="36"/>
        <v>#REF!</v>
      </c>
      <c r="BS20" s="239" t="e">
        <f t="shared" si="37"/>
        <v>#REF!</v>
      </c>
      <c r="BT20" s="239" t="e">
        <f t="shared" si="38"/>
        <v>#REF!</v>
      </c>
    </row>
    <row r="21" spans="2:72" x14ac:dyDescent="0.2">
      <c r="B21" s="146">
        <f>'Tier 3 Data'!A28</f>
        <v>2033</v>
      </c>
      <c r="C21" s="161">
        <f>'Tier 3 Data'!F28</f>
        <v>652630.18622720416</v>
      </c>
      <c r="D21" s="161">
        <f>'Tier 3 Data'!G28</f>
        <v>657164.28327400493</v>
      </c>
      <c r="E21" s="161">
        <f>'Tier 3 Data'!H28</f>
        <v>565231.52055125812</v>
      </c>
      <c r="F21" s="149">
        <f>'Annual Energy Data'!BL33</f>
        <v>78156</v>
      </c>
      <c r="G21" s="178">
        <f>+'Tier 1 Data - MOU I.4'!A23</f>
        <v>1</v>
      </c>
      <c r="H21" s="161">
        <f t="shared" si="4"/>
        <v>652630.18622720416</v>
      </c>
      <c r="I21" s="161">
        <f t="shared" si="5"/>
        <v>657164.28327400493</v>
      </c>
      <c r="J21" s="161">
        <f t="shared" si="6"/>
        <v>565231.52055125812</v>
      </c>
      <c r="K21" s="150">
        <f t="shared" si="8"/>
        <v>-78156</v>
      </c>
      <c r="L21" s="150">
        <f t="shared" si="9"/>
        <v>-78156</v>
      </c>
      <c r="M21" s="150">
        <f t="shared" si="10"/>
        <v>-78156</v>
      </c>
      <c r="N21" s="151">
        <f t="shared" si="11"/>
        <v>0</v>
      </c>
      <c r="O21" s="151">
        <f t="shared" si="12"/>
        <v>0</v>
      </c>
      <c r="P21" s="151">
        <f t="shared" si="13"/>
        <v>0</v>
      </c>
      <c r="Q21" s="223">
        <f t="shared" si="52"/>
        <v>54.793932768523838</v>
      </c>
      <c r="R21" s="223">
        <f t="shared" si="53"/>
        <v>53.719541929925327</v>
      </c>
      <c r="S21" s="223">
        <f t="shared" si="54"/>
        <v>4.7621236011515196</v>
      </c>
      <c r="T21" s="223">
        <f t="shared" si="41"/>
        <v>54.133458845491099</v>
      </c>
      <c r="U21" s="223">
        <f t="shared" si="55"/>
        <v>53.072018475971667</v>
      </c>
      <c r="V21" s="225">
        <f t="shared" si="56"/>
        <v>13.055430238143851</v>
      </c>
      <c r="W21" s="223">
        <f t="shared" si="71"/>
        <v>77</v>
      </c>
      <c r="X21" s="225">
        <f t="shared" si="42"/>
        <v>54.504041499138431</v>
      </c>
      <c r="Y21" s="226">
        <f t="shared" si="69"/>
        <v>25</v>
      </c>
      <c r="Z21" s="225">
        <f t="shared" si="70"/>
        <v>96.244303996223749</v>
      </c>
      <c r="AA21" s="225">
        <f t="shared" si="57"/>
        <v>53.08447085008617</v>
      </c>
      <c r="AB21" s="225">
        <f t="shared" si="43"/>
        <v>25</v>
      </c>
      <c r="AC21" s="225">
        <f t="shared" si="44"/>
        <v>49.687961286616883</v>
      </c>
      <c r="AD21" s="225">
        <f t="shared" si="58"/>
        <v>48.713687535898906</v>
      </c>
      <c r="AE21" s="225">
        <f t="shared" si="45"/>
        <v>25</v>
      </c>
      <c r="AF21" s="169">
        <f t="shared" si="14"/>
        <v>456158.62255310337</v>
      </c>
      <c r="AG21" s="169">
        <f t="shared" si="15"/>
        <v>456158.62255310337</v>
      </c>
      <c r="AH21" s="169">
        <f t="shared" si="16"/>
        <v>456158.62255310337</v>
      </c>
      <c r="AI21" s="154">
        <f t="shared" si="25"/>
        <v>0</v>
      </c>
      <c r="AJ21" s="154">
        <f t="shared" si="17"/>
        <v>0</v>
      </c>
      <c r="AK21" s="154">
        <f t="shared" si="18"/>
        <v>0</v>
      </c>
      <c r="AL21" s="244">
        <f t="shared" si="59"/>
        <v>0</v>
      </c>
      <c r="AM21" s="244">
        <f t="shared" si="60"/>
        <v>0</v>
      </c>
      <c r="AN21" s="244">
        <f t="shared" si="61"/>
        <v>0</v>
      </c>
      <c r="AO21" s="246">
        <f t="shared" si="46"/>
        <v>0</v>
      </c>
      <c r="AP21" s="246">
        <f t="shared" si="47"/>
        <v>0</v>
      </c>
      <c r="AQ21" s="246">
        <f t="shared" si="48"/>
        <v>0</v>
      </c>
      <c r="AR21" s="241">
        <f t="shared" si="49"/>
        <v>0</v>
      </c>
      <c r="AS21" s="241">
        <f t="shared" si="50"/>
        <v>0</v>
      </c>
      <c r="AT21" s="241">
        <f t="shared" si="51"/>
        <v>0</v>
      </c>
      <c r="AU21" s="162">
        <f>+'Tier 3 Data'!E28</f>
        <v>0.12000000000000001</v>
      </c>
      <c r="AV21" s="163" t="e">
        <f>+$AU21*#REF!</f>
        <v>#REF!</v>
      </c>
      <c r="AW21" s="163" t="e">
        <f>+$AU21*#REF!</f>
        <v>#REF!</v>
      </c>
      <c r="AX21" s="163" t="e">
        <f>+$AU21*#REF!</f>
        <v>#REF!</v>
      </c>
      <c r="AY21" s="229">
        <v>273875.81696486869</v>
      </c>
      <c r="AZ21" s="229">
        <v>312587.65035239951</v>
      </c>
      <c r="BA21" s="229">
        <f t="shared" si="7"/>
        <v>38711.833387530816</v>
      </c>
      <c r="BB21" s="156">
        <f t="shared" si="62"/>
        <v>77.43735192681892</v>
      </c>
      <c r="BC21" s="164" t="e">
        <f t="shared" si="63"/>
        <v>#REF!</v>
      </c>
      <c r="BD21" s="164" t="e">
        <f t="shared" si="64"/>
        <v>#REF!</v>
      </c>
      <c r="BE21" s="164" t="e">
        <f t="shared" si="65"/>
        <v>#REF!</v>
      </c>
      <c r="BF21" s="169" t="e">
        <f t="shared" si="27"/>
        <v>#REF!</v>
      </c>
      <c r="BG21" s="169" t="e">
        <f t="shared" si="28"/>
        <v>#REF!</v>
      </c>
      <c r="BH21" s="169" t="e">
        <f t="shared" si="29"/>
        <v>#REF!</v>
      </c>
      <c r="BI21" s="154" t="e">
        <f t="shared" si="66"/>
        <v>#REF!</v>
      </c>
      <c r="BJ21" s="154" t="e">
        <f t="shared" si="67"/>
        <v>#REF!</v>
      </c>
      <c r="BK21" s="154" t="e">
        <f t="shared" si="68"/>
        <v>#REF!</v>
      </c>
      <c r="BL21" s="244" t="e">
        <f t="shared" si="30"/>
        <v>#REF!</v>
      </c>
      <c r="BM21" s="244" t="e">
        <f t="shared" si="31"/>
        <v>#REF!</v>
      </c>
      <c r="BN21" s="244" t="e">
        <f t="shared" si="32"/>
        <v>#REF!</v>
      </c>
      <c r="BO21" s="249" t="e">
        <f t="shared" si="33"/>
        <v>#REF!</v>
      </c>
      <c r="BP21" s="249" t="e">
        <f t="shared" si="34"/>
        <v>#REF!</v>
      </c>
      <c r="BQ21" s="249" t="e">
        <f t="shared" si="35"/>
        <v>#REF!</v>
      </c>
      <c r="BR21" s="239" t="e">
        <f t="shared" si="36"/>
        <v>#REF!</v>
      </c>
      <c r="BS21" s="239" t="e">
        <f t="shared" si="37"/>
        <v>#REF!</v>
      </c>
      <c r="BT21" s="239" t="e">
        <f t="shared" si="38"/>
        <v>#REF!</v>
      </c>
    </row>
    <row r="22" spans="2:72" x14ac:dyDescent="0.2">
      <c r="B22" s="146">
        <f>'Tier 3 Data'!A29</f>
        <v>2034</v>
      </c>
      <c r="C22" s="161">
        <f>'Tier 3 Data'!F29</f>
        <v>669823.98617135419</v>
      </c>
      <c r="D22" s="161">
        <f>'Tier 3 Data'!G29</f>
        <v>676250.96556458564</v>
      </c>
      <c r="E22" s="161">
        <f>'Tier 3 Data'!H29</f>
        <v>578445.00235747173</v>
      </c>
      <c r="F22" s="149">
        <f>'Annual Energy Data'!BL34</f>
        <v>85410</v>
      </c>
      <c r="G22" s="178">
        <f>+'Tier 1 Data - MOU I.4'!A24</f>
        <v>1</v>
      </c>
      <c r="H22" s="161">
        <f t="shared" si="4"/>
        <v>669823.98617135419</v>
      </c>
      <c r="I22" s="161">
        <f t="shared" si="5"/>
        <v>676250.96556458564</v>
      </c>
      <c r="J22" s="161">
        <f t="shared" si="6"/>
        <v>578445.00235747173</v>
      </c>
      <c r="K22" s="150">
        <f t="shared" si="8"/>
        <v>-85410</v>
      </c>
      <c r="L22" s="150">
        <f t="shared" si="9"/>
        <v>-85410</v>
      </c>
      <c r="M22" s="150">
        <f t="shared" si="10"/>
        <v>-85410</v>
      </c>
      <c r="N22" s="151">
        <f t="shared" si="11"/>
        <v>0</v>
      </c>
      <c r="O22" s="151">
        <f t="shared" si="12"/>
        <v>0</v>
      </c>
      <c r="P22" s="151">
        <f t="shared" si="13"/>
        <v>0</v>
      </c>
      <c r="Q22" s="223">
        <f t="shared" si="52"/>
        <v>56.607373836875347</v>
      </c>
      <c r="R22" s="223">
        <f t="shared" si="53"/>
        <v>55.497425330269948</v>
      </c>
      <c r="S22" s="223">
        <f t="shared" si="54"/>
        <v>4.8573660731745498</v>
      </c>
      <c r="T22" s="223">
        <f t="shared" si="41"/>
        <v>55.925041097070647</v>
      </c>
      <c r="U22" s="223">
        <f t="shared" si="55"/>
        <v>54.828471663794751</v>
      </c>
      <c r="V22" s="225">
        <f t="shared" si="56"/>
        <v>13.316538842906729</v>
      </c>
      <c r="W22" s="223">
        <f t="shared" si="71"/>
        <v>77</v>
      </c>
      <c r="X22" s="225">
        <f t="shared" si="42"/>
        <v>56.307888426191838</v>
      </c>
      <c r="Y22" s="226">
        <f t="shared" si="69"/>
        <v>25</v>
      </c>
      <c r="Z22" s="225">
        <f t="shared" si="70"/>
        <v>97.206747036185988</v>
      </c>
      <c r="AA22" s="225">
        <f t="shared" si="57"/>
        <v>54.841336157380816</v>
      </c>
      <c r="AB22" s="225">
        <f t="shared" si="43"/>
        <v>25</v>
      </c>
      <c r="AC22" s="225">
        <f t="shared" si="44"/>
        <v>51.33241688684663</v>
      </c>
      <c r="AD22" s="225">
        <f t="shared" si="58"/>
        <v>50.325898908673167</v>
      </c>
      <c r="AE22" s="225">
        <f t="shared" si="45"/>
        <v>25</v>
      </c>
      <c r="AF22" s="169">
        <f t="shared" si="14"/>
        <v>509668.3382590054</v>
      </c>
      <c r="AG22" s="169">
        <f t="shared" si="15"/>
        <v>509668.3382590054</v>
      </c>
      <c r="AH22" s="169">
        <f t="shared" si="16"/>
        <v>509668.3382590054</v>
      </c>
      <c r="AI22" s="154">
        <f t="shared" si="25"/>
        <v>0</v>
      </c>
      <c r="AJ22" s="154">
        <f t="shared" si="17"/>
        <v>0</v>
      </c>
      <c r="AK22" s="154">
        <f t="shared" si="18"/>
        <v>0</v>
      </c>
      <c r="AL22" s="244">
        <f t="shared" si="59"/>
        <v>0</v>
      </c>
      <c r="AM22" s="244">
        <f t="shared" si="60"/>
        <v>0</v>
      </c>
      <c r="AN22" s="244">
        <f t="shared" si="61"/>
        <v>0</v>
      </c>
      <c r="AO22" s="246">
        <f t="shared" si="46"/>
        <v>0</v>
      </c>
      <c r="AP22" s="246">
        <f t="shared" si="47"/>
        <v>0</v>
      </c>
      <c r="AQ22" s="246">
        <f t="shared" si="48"/>
        <v>0</v>
      </c>
      <c r="AR22" s="241">
        <f t="shared" si="49"/>
        <v>0</v>
      </c>
      <c r="AS22" s="241">
        <f t="shared" si="50"/>
        <v>0</v>
      </c>
      <c r="AT22" s="241">
        <f t="shared" si="51"/>
        <v>0</v>
      </c>
      <c r="AU22" s="162">
        <f>+'Tier 3 Data'!E29</f>
        <v>0.12000000000000001</v>
      </c>
      <c r="AV22" s="163" t="e">
        <f>+$AU22*#REF!</f>
        <v>#REF!</v>
      </c>
      <c r="AW22" s="163" t="e">
        <f>+$AU22*#REF!</f>
        <v>#REF!</v>
      </c>
      <c r="AX22" s="163" t="e">
        <f>+$AU22*#REF!</f>
        <v>#REF!</v>
      </c>
      <c r="AY22" s="229">
        <v>266729.19047694246</v>
      </c>
      <c r="AZ22" s="229">
        <v>308799.41838093626</v>
      </c>
      <c r="BA22" s="229">
        <f t="shared" si="7"/>
        <v>42070.2279039938</v>
      </c>
      <c r="BB22" s="156">
        <f t="shared" si="62"/>
        <v>78.986098965355296</v>
      </c>
      <c r="BC22" s="164" t="e">
        <f t="shared" si="63"/>
        <v>#REF!</v>
      </c>
      <c r="BD22" s="164" t="e">
        <f t="shared" si="64"/>
        <v>#REF!</v>
      </c>
      <c r="BE22" s="164" t="e">
        <f t="shared" si="65"/>
        <v>#REF!</v>
      </c>
      <c r="BF22" s="169" t="e">
        <f t="shared" si="27"/>
        <v>#REF!</v>
      </c>
      <c r="BG22" s="169" t="e">
        <f t="shared" si="28"/>
        <v>#REF!</v>
      </c>
      <c r="BH22" s="169" t="e">
        <f t="shared" si="29"/>
        <v>#REF!</v>
      </c>
      <c r="BI22" s="154" t="e">
        <f t="shared" si="66"/>
        <v>#REF!</v>
      </c>
      <c r="BJ22" s="154" t="e">
        <f t="shared" si="67"/>
        <v>#REF!</v>
      </c>
      <c r="BK22" s="154" t="e">
        <f t="shared" si="68"/>
        <v>#REF!</v>
      </c>
      <c r="BL22" s="244" t="e">
        <f t="shared" si="30"/>
        <v>#REF!</v>
      </c>
      <c r="BM22" s="244" t="e">
        <f t="shared" si="31"/>
        <v>#REF!</v>
      </c>
      <c r="BN22" s="244" t="e">
        <f t="shared" si="32"/>
        <v>#REF!</v>
      </c>
      <c r="BO22" s="249" t="e">
        <f t="shared" si="33"/>
        <v>#REF!</v>
      </c>
      <c r="BP22" s="249" t="e">
        <f t="shared" si="34"/>
        <v>#REF!</v>
      </c>
      <c r="BQ22" s="249" t="e">
        <f t="shared" si="35"/>
        <v>#REF!</v>
      </c>
      <c r="BR22" s="239" t="e">
        <f t="shared" si="36"/>
        <v>#REF!</v>
      </c>
      <c r="BS22" s="239" t="e">
        <f t="shared" si="37"/>
        <v>#REF!</v>
      </c>
      <c r="BT22" s="239" t="e">
        <f t="shared" si="38"/>
        <v>#REF!</v>
      </c>
    </row>
    <row r="23" spans="2:72" x14ac:dyDescent="0.2">
      <c r="B23" s="146">
        <f>'Tier 3 Data'!A30</f>
        <v>2035</v>
      </c>
      <c r="C23" s="161">
        <f>'Tier 3 Data'!F30</f>
        <v>684634.91834434343</v>
      </c>
      <c r="D23" s="161">
        <f>'Tier 3 Data'!G30</f>
        <v>695043.4194148333</v>
      </c>
      <c r="E23" s="161">
        <f>'Tier 3 Data'!H30</f>
        <v>592612.44988284016</v>
      </c>
      <c r="F23" s="149">
        <f>'Annual Energy Data'!BL35</f>
        <v>0</v>
      </c>
      <c r="G23" s="178">
        <f>+'Tier 1 Data - MOU I.4'!A25</f>
        <v>1</v>
      </c>
      <c r="H23" s="161">
        <f t="shared" si="4"/>
        <v>684634.91834434343</v>
      </c>
      <c r="I23" s="161">
        <f t="shared" si="5"/>
        <v>695043.4194148333</v>
      </c>
      <c r="J23" s="161">
        <f t="shared" si="6"/>
        <v>592612.44988284016</v>
      </c>
      <c r="K23" s="150">
        <f t="shared" si="8"/>
        <v>0</v>
      </c>
      <c r="L23" s="150">
        <f t="shared" si="9"/>
        <v>0</v>
      </c>
      <c r="M23" s="150">
        <f t="shared" si="10"/>
        <v>0</v>
      </c>
      <c r="N23" s="151">
        <f t="shared" si="11"/>
        <v>0</v>
      </c>
      <c r="O23" s="151">
        <f t="shared" si="12"/>
        <v>0</v>
      </c>
      <c r="P23" s="151">
        <f t="shared" si="13"/>
        <v>0</v>
      </c>
      <c r="Q23" s="223">
        <f t="shared" si="52"/>
        <v>56.607373836875347</v>
      </c>
      <c r="R23" s="223">
        <f t="shared" si="53"/>
        <v>55.497425330269948</v>
      </c>
      <c r="S23" s="223">
        <f t="shared" si="54"/>
        <v>4.9545133946380409</v>
      </c>
      <c r="T23" s="223">
        <f t="shared" si="41"/>
        <v>55.925041097070647</v>
      </c>
      <c r="U23" s="223">
        <f t="shared" si="55"/>
        <v>54.828471663794751</v>
      </c>
      <c r="V23" s="225">
        <f t="shared" si="56"/>
        <v>13.582869619764864</v>
      </c>
      <c r="W23" s="223">
        <f t="shared" si="71"/>
        <v>77</v>
      </c>
      <c r="X23" s="225">
        <f t="shared" si="42"/>
        <v>56.307888426191838</v>
      </c>
      <c r="Y23" s="226">
        <f t="shared" si="69"/>
        <v>25</v>
      </c>
      <c r="Z23" s="225">
        <f t="shared" si="70"/>
        <v>98.178814506547852</v>
      </c>
      <c r="AA23" s="225">
        <f t="shared" si="57"/>
        <v>54.841336157380816</v>
      </c>
      <c r="AB23" s="225">
        <f t="shared" si="43"/>
        <v>25</v>
      </c>
      <c r="AC23" s="225">
        <f t="shared" si="44"/>
        <v>51.33241688684663</v>
      </c>
      <c r="AD23" s="225">
        <f t="shared" si="58"/>
        <v>50.325898908673167</v>
      </c>
      <c r="AE23" s="225">
        <f t="shared" si="45"/>
        <v>25</v>
      </c>
      <c r="AF23" s="169">
        <f t="shared" si="14"/>
        <v>0</v>
      </c>
      <c r="AG23" s="169">
        <f t="shared" si="15"/>
        <v>0</v>
      </c>
      <c r="AH23" s="169">
        <f t="shared" si="16"/>
        <v>0</v>
      </c>
      <c r="AI23" s="154">
        <f t="shared" si="25"/>
        <v>0</v>
      </c>
      <c r="AJ23" s="154">
        <f t="shared" si="17"/>
        <v>0</v>
      </c>
      <c r="AK23" s="154">
        <f t="shared" si="18"/>
        <v>0</v>
      </c>
      <c r="AL23" s="244">
        <f t="shared" si="59"/>
        <v>0</v>
      </c>
      <c r="AM23" s="244">
        <f t="shared" si="60"/>
        <v>0</v>
      </c>
      <c r="AN23" s="244">
        <f t="shared" si="61"/>
        <v>0</v>
      </c>
      <c r="AO23" s="246">
        <f t="shared" si="46"/>
        <v>0</v>
      </c>
      <c r="AP23" s="246">
        <f t="shared" si="47"/>
        <v>0</v>
      </c>
      <c r="AQ23" s="246">
        <f t="shared" si="48"/>
        <v>0</v>
      </c>
      <c r="AR23" s="241">
        <f t="shared" si="49"/>
        <v>0</v>
      </c>
      <c r="AS23" s="241">
        <f t="shared" si="50"/>
        <v>0</v>
      </c>
      <c r="AT23" s="241">
        <f t="shared" si="51"/>
        <v>0</v>
      </c>
      <c r="AU23" s="162">
        <f>+'Tier 3 Data'!E30</f>
        <v>0.12000000000000001</v>
      </c>
      <c r="AV23" s="163" t="e">
        <f>+$AU23*#REF!</f>
        <v>#REF!</v>
      </c>
      <c r="AW23" s="163" t="e">
        <f>+$AU23*#REF!</f>
        <v>#REF!</v>
      </c>
      <c r="AX23" s="163" t="e">
        <f>+$AU23*#REF!</f>
        <v>#REF!</v>
      </c>
      <c r="AY23" s="229">
        <v>245103.90498514473</v>
      </c>
      <c r="AZ23" s="229">
        <v>288313.25976470567</v>
      </c>
      <c r="BA23" s="229">
        <f t="shared" si="7"/>
        <v>43209.354779560934</v>
      </c>
      <c r="BB23" s="156">
        <f t="shared" si="62"/>
        <v>80.565820944662406</v>
      </c>
      <c r="BC23" s="164" t="e">
        <f t="shared" si="63"/>
        <v>#REF!</v>
      </c>
      <c r="BD23" s="164" t="e">
        <f t="shared" si="64"/>
        <v>#REF!</v>
      </c>
      <c r="BE23" s="164" t="e">
        <f t="shared" si="65"/>
        <v>#REF!</v>
      </c>
      <c r="BF23" s="169" t="e">
        <f t="shared" si="27"/>
        <v>#REF!</v>
      </c>
      <c r="BG23" s="169" t="e">
        <f t="shared" si="28"/>
        <v>#REF!</v>
      </c>
      <c r="BH23" s="169" t="e">
        <f t="shared" si="29"/>
        <v>#REF!</v>
      </c>
      <c r="BI23" s="154" t="e">
        <f t="shared" si="66"/>
        <v>#REF!</v>
      </c>
      <c r="BJ23" s="154" t="e">
        <f t="shared" si="67"/>
        <v>#REF!</v>
      </c>
      <c r="BK23" s="154" t="e">
        <f t="shared" si="68"/>
        <v>#REF!</v>
      </c>
      <c r="BL23" s="244" t="e">
        <f t="shared" si="30"/>
        <v>#REF!</v>
      </c>
      <c r="BM23" s="244" t="e">
        <f t="shared" si="31"/>
        <v>#REF!</v>
      </c>
      <c r="BN23" s="244" t="e">
        <f t="shared" si="32"/>
        <v>#REF!</v>
      </c>
      <c r="BO23" s="249" t="e">
        <f t="shared" si="33"/>
        <v>#REF!</v>
      </c>
      <c r="BP23" s="249" t="e">
        <f t="shared" si="34"/>
        <v>#REF!</v>
      </c>
      <c r="BQ23" s="249" t="e">
        <f t="shared" si="35"/>
        <v>#REF!</v>
      </c>
      <c r="BR23" s="239" t="e">
        <f t="shared" si="36"/>
        <v>#REF!</v>
      </c>
      <c r="BS23" s="239" t="e">
        <f t="shared" si="37"/>
        <v>#REF!</v>
      </c>
      <c r="BT23" s="239" t="e">
        <f t="shared" si="38"/>
        <v>#REF!</v>
      </c>
    </row>
    <row r="24" spans="2:72" x14ac:dyDescent="0.2">
      <c r="B24" s="146">
        <f>'Tier 3 Data'!A31</f>
        <v>2036</v>
      </c>
      <c r="C24" s="161">
        <f>'Tier 3 Data'!F31</f>
        <v>696152.57991366449</v>
      </c>
      <c r="D24" s="161">
        <f>'Tier 3 Data'!G31</f>
        <v>713975.43825101119</v>
      </c>
      <c r="E24" s="161">
        <f>'Tier 3 Data'!H31</f>
        <v>606943.02648805513</v>
      </c>
      <c r="F24" s="149">
        <f>'Annual Energy Data'!BL36</f>
        <v>0</v>
      </c>
      <c r="G24" s="178">
        <f>+'Tier 1 Data - MOU I.4'!A26</f>
        <v>1</v>
      </c>
      <c r="H24" s="161">
        <f t="shared" si="4"/>
        <v>696152.57991366449</v>
      </c>
      <c r="I24" s="161">
        <f t="shared" si="5"/>
        <v>713975.43825101119</v>
      </c>
      <c r="J24" s="161">
        <f t="shared" si="6"/>
        <v>606943.02648805513</v>
      </c>
      <c r="K24" s="150">
        <f t="shared" si="8"/>
        <v>0</v>
      </c>
      <c r="L24" s="150">
        <f t="shared" si="9"/>
        <v>0</v>
      </c>
      <c r="M24" s="150">
        <f t="shared" si="10"/>
        <v>0</v>
      </c>
      <c r="N24" s="151">
        <f t="shared" si="11"/>
        <v>0</v>
      </c>
      <c r="O24" s="151">
        <f t="shared" si="12"/>
        <v>0</v>
      </c>
      <c r="P24" s="151">
        <f t="shared" si="13"/>
        <v>0</v>
      </c>
      <c r="Q24" s="223">
        <f t="shared" si="52"/>
        <v>58.305595051981626</v>
      </c>
      <c r="R24" s="223">
        <f t="shared" si="53"/>
        <v>57.162348090178064</v>
      </c>
      <c r="S24" s="223">
        <f t="shared" si="54"/>
        <v>5.0536036625308016</v>
      </c>
      <c r="T24" s="223">
        <f t="shared" si="41"/>
        <v>57.602792329982776</v>
      </c>
      <c r="U24" s="223">
        <f t="shared" si="55"/>
        <v>56.473325813708605</v>
      </c>
      <c r="V24" s="225">
        <f t="shared" si="56"/>
        <v>13.854527012160162</v>
      </c>
      <c r="W24" s="223">
        <f t="shared" si="71"/>
        <v>77</v>
      </c>
      <c r="X24" s="225">
        <f t="shared" si="42"/>
        <v>57.997125078977604</v>
      </c>
      <c r="Y24" s="226">
        <f t="shared" si="69"/>
        <v>25</v>
      </c>
      <c r="Z24" s="225">
        <f t="shared" si="70"/>
        <v>99.160602651613331</v>
      </c>
      <c r="AA24" s="225">
        <f t="shared" si="57"/>
        <v>56.486576242102252</v>
      </c>
      <c r="AB24" s="225">
        <f t="shared" si="43"/>
        <v>25</v>
      </c>
      <c r="AC24" s="225">
        <f t="shared" si="44"/>
        <v>52.872389393452046</v>
      </c>
      <c r="AD24" s="225">
        <f t="shared" si="58"/>
        <v>51.835675875933376</v>
      </c>
      <c r="AE24" s="225">
        <f t="shared" si="45"/>
        <v>25</v>
      </c>
      <c r="AF24" s="169">
        <f t="shared" si="14"/>
        <v>0</v>
      </c>
      <c r="AG24" s="169">
        <f t="shared" si="15"/>
        <v>0</v>
      </c>
      <c r="AH24" s="169">
        <f t="shared" si="16"/>
        <v>0</v>
      </c>
      <c r="AI24" s="154">
        <f t="shared" si="25"/>
        <v>0</v>
      </c>
      <c r="AJ24" s="154">
        <f t="shared" si="17"/>
        <v>0</v>
      </c>
      <c r="AK24" s="154">
        <f t="shared" si="18"/>
        <v>0</v>
      </c>
      <c r="AL24" s="244">
        <f t="shared" si="59"/>
        <v>0</v>
      </c>
      <c r="AM24" s="244">
        <f t="shared" si="60"/>
        <v>0</v>
      </c>
      <c r="AN24" s="244">
        <f t="shared" si="61"/>
        <v>0</v>
      </c>
      <c r="AO24" s="246">
        <f t="shared" si="46"/>
        <v>0</v>
      </c>
      <c r="AP24" s="246">
        <f t="shared" si="47"/>
        <v>0</v>
      </c>
      <c r="AQ24" s="246">
        <f t="shared" si="48"/>
        <v>0</v>
      </c>
      <c r="AR24" s="241">
        <f t="shared" si="49"/>
        <v>0</v>
      </c>
      <c r="AS24" s="241">
        <f t="shared" si="50"/>
        <v>0</v>
      </c>
      <c r="AT24" s="241">
        <f t="shared" si="51"/>
        <v>0</v>
      </c>
      <c r="AU24" s="162">
        <f>+'Tier 3 Data'!E31</f>
        <v>0.12000000000000001</v>
      </c>
      <c r="AV24" s="163" t="e">
        <f>+$AU24*#REF!</f>
        <v>#REF!</v>
      </c>
      <c r="AW24" s="163" t="e">
        <f>+$AU24*#REF!</f>
        <v>#REF!</v>
      </c>
      <c r="AX24" s="163" t="e">
        <f>+$AU24*#REF!</f>
        <v>#REF!</v>
      </c>
      <c r="AY24" s="229">
        <v>218544.18091536147</v>
      </c>
      <c r="AZ24" s="229">
        <v>257151.91623115176</v>
      </c>
      <c r="BA24" s="229">
        <f t="shared" si="7"/>
        <v>38607.735315790283</v>
      </c>
      <c r="BB24" s="156">
        <f t="shared" si="62"/>
        <v>82.177137363555659</v>
      </c>
      <c r="BC24" s="164" t="e">
        <f t="shared" si="63"/>
        <v>#REF!</v>
      </c>
      <c r="BD24" s="164" t="e">
        <f t="shared" si="64"/>
        <v>#REF!</v>
      </c>
      <c r="BE24" s="164" t="e">
        <f t="shared" si="65"/>
        <v>#REF!</v>
      </c>
      <c r="BF24" s="169" t="e">
        <f t="shared" si="27"/>
        <v>#REF!</v>
      </c>
      <c r="BG24" s="169" t="e">
        <f t="shared" si="28"/>
        <v>#REF!</v>
      </c>
      <c r="BH24" s="169" t="e">
        <f t="shared" si="29"/>
        <v>#REF!</v>
      </c>
      <c r="BI24" s="154" t="e">
        <f t="shared" si="66"/>
        <v>#REF!</v>
      </c>
      <c r="BJ24" s="154" t="e">
        <f t="shared" si="67"/>
        <v>#REF!</v>
      </c>
      <c r="BK24" s="154" t="e">
        <f t="shared" si="68"/>
        <v>#REF!</v>
      </c>
      <c r="BL24" s="244" t="e">
        <f t="shared" si="30"/>
        <v>#REF!</v>
      </c>
      <c r="BM24" s="244" t="e">
        <f t="shared" si="31"/>
        <v>#REF!</v>
      </c>
      <c r="BN24" s="244" t="e">
        <f t="shared" si="32"/>
        <v>#REF!</v>
      </c>
      <c r="BO24" s="249" t="e">
        <f t="shared" si="33"/>
        <v>#REF!</v>
      </c>
      <c r="BP24" s="249" t="e">
        <f t="shared" si="34"/>
        <v>#REF!</v>
      </c>
      <c r="BQ24" s="249" t="e">
        <f t="shared" si="35"/>
        <v>#REF!</v>
      </c>
      <c r="BR24" s="239" t="e">
        <f t="shared" si="36"/>
        <v>#REF!</v>
      </c>
      <c r="BS24" s="239" t="e">
        <f t="shared" si="37"/>
        <v>#REF!</v>
      </c>
      <c r="BT24" s="239" t="e">
        <f t="shared" si="38"/>
        <v>#REF!</v>
      </c>
    </row>
    <row r="25" spans="2:72" x14ac:dyDescent="0.2">
      <c r="B25" s="146">
        <f>'Tier 3 Data'!A32</f>
        <v>2037</v>
      </c>
      <c r="C25" s="161">
        <f>'Tier 3 Data'!F32</f>
        <v>704881.09830864915</v>
      </c>
      <c r="D25" s="161">
        <f>'Tier 3 Data'!G32</f>
        <v>733141.30112139042</v>
      </c>
      <c r="E25" s="161">
        <f>'Tier 3 Data'!H32</f>
        <v>620684.50300369866</v>
      </c>
      <c r="F25" s="149">
        <f>'Annual Energy Data'!BL37</f>
        <v>0</v>
      </c>
      <c r="G25" s="178">
        <f>+'Tier 1 Data - MOU I.4'!A27</f>
        <v>1</v>
      </c>
      <c r="H25" s="161">
        <f t="shared" si="4"/>
        <v>704881.09830864915</v>
      </c>
      <c r="I25" s="161">
        <f t="shared" si="5"/>
        <v>733141.30112139042</v>
      </c>
      <c r="J25" s="161">
        <f t="shared" si="6"/>
        <v>620684.50300369866</v>
      </c>
      <c r="K25" s="150">
        <f t="shared" si="8"/>
        <v>0</v>
      </c>
      <c r="L25" s="150">
        <f t="shared" si="9"/>
        <v>0</v>
      </c>
      <c r="M25" s="150">
        <f t="shared" si="10"/>
        <v>0</v>
      </c>
      <c r="N25" s="151">
        <f t="shared" si="11"/>
        <v>0</v>
      </c>
      <c r="O25" s="151">
        <f t="shared" si="12"/>
        <v>0</v>
      </c>
      <c r="P25" s="151">
        <f t="shared" si="13"/>
        <v>0</v>
      </c>
      <c r="Q25" s="223">
        <f t="shared" si="52"/>
        <v>60.054762903541075</v>
      </c>
      <c r="R25" s="223">
        <f t="shared" si="53"/>
        <v>58.877218532883404</v>
      </c>
      <c r="S25" s="223">
        <f t="shared" si="54"/>
        <v>5.1546757357814181</v>
      </c>
      <c r="T25" s="223">
        <f t="shared" si="41"/>
        <v>59.330876099882261</v>
      </c>
      <c r="U25" s="223">
        <f t="shared" si="55"/>
        <v>58.167525588119865</v>
      </c>
      <c r="V25" s="225">
        <f t="shared" si="56"/>
        <v>14.131617552403366</v>
      </c>
      <c r="W25" s="223">
        <f t="shared" si="71"/>
        <v>77</v>
      </c>
      <c r="X25" s="225">
        <f t="shared" si="42"/>
        <v>59.737038831346936</v>
      </c>
      <c r="Y25" s="226">
        <f t="shared" si="69"/>
        <v>25</v>
      </c>
      <c r="Z25" s="225">
        <f t="shared" si="70"/>
        <v>100.15220867812947</v>
      </c>
      <c r="AA25" s="225">
        <f t="shared" si="57"/>
        <v>58.181173529365324</v>
      </c>
      <c r="AB25" s="225">
        <f t="shared" si="43"/>
        <v>25</v>
      </c>
      <c r="AC25" s="225">
        <f t="shared" si="44"/>
        <v>54.458561075255609</v>
      </c>
      <c r="AD25" s="225">
        <f t="shared" si="58"/>
        <v>53.390746152211378</v>
      </c>
      <c r="AE25" s="225">
        <f t="shared" si="45"/>
        <v>25</v>
      </c>
      <c r="AF25" s="169">
        <f t="shared" si="14"/>
        <v>0</v>
      </c>
      <c r="AG25" s="169">
        <f t="shared" si="15"/>
        <v>0</v>
      </c>
      <c r="AH25" s="169">
        <f t="shared" si="16"/>
        <v>0</v>
      </c>
      <c r="AI25" s="154">
        <f t="shared" si="25"/>
        <v>0</v>
      </c>
      <c r="AJ25" s="154">
        <f t="shared" si="17"/>
        <v>0</v>
      </c>
      <c r="AK25" s="154">
        <f t="shared" si="18"/>
        <v>0</v>
      </c>
      <c r="AL25" s="244">
        <f t="shared" si="59"/>
        <v>0</v>
      </c>
      <c r="AM25" s="244">
        <f t="shared" si="60"/>
        <v>0</v>
      </c>
      <c r="AN25" s="244">
        <f t="shared" si="61"/>
        <v>0</v>
      </c>
      <c r="AO25" s="246">
        <f t="shared" si="46"/>
        <v>0</v>
      </c>
      <c r="AP25" s="246">
        <f t="shared" si="47"/>
        <v>0</v>
      </c>
      <c r="AQ25" s="246">
        <f t="shared" si="48"/>
        <v>0</v>
      </c>
      <c r="AR25" s="241">
        <f t="shared" si="49"/>
        <v>0</v>
      </c>
      <c r="AS25" s="241">
        <f t="shared" si="50"/>
        <v>0</v>
      </c>
      <c r="AT25" s="241">
        <f t="shared" si="51"/>
        <v>0</v>
      </c>
      <c r="AU25" s="162">
        <f>+'Tier 3 Data'!E32</f>
        <v>0.12000000000000001</v>
      </c>
      <c r="AV25" s="163" t="e">
        <f>+$AU25*#REF!</f>
        <v>#REF!</v>
      </c>
      <c r="AW25" s="163" t="e">
        <f>+$AU25*#REF!</f>
        <v>#REF!</v>
      </c>
      <c r="AX25" s="163" t="e">
        <f>+$AU25*#REF!</f>
        <v>#REF!</v>
      </c>
      <c r="AY25" s="229">
        <v>178270.82637577524</v>
      </c>
      <c r="AZ25" s="229">
        <v>209864.46332455039</v>
      </c>
      <c r="BA25" s="229">
        <f t="shared" si="7"/>
        <v>31593.636948775151</v>
      </c>
      <c r="BB25" s="156">
        <f t="shared" si="62"/>
        <v>83.820680110826771</v>
      </c>
      <c r="BC25" s="164" t="e">
        <f t="shared" si="63"/>
        <v>#REF!</v>
      </c>
      <c r="BD25" s="164" t="e">
        <f t="shared" si="64"/>
        <v>#REF!</v>
      </c>
      <c r="BE25" s="164" t="e">
        <f t="shared" si="65"/>
        <v>#REF!</v>
      </c>
      <c r="BF25" s="169" t="e">
        <f t="shared" si="27"/>
        <v>#REF!</v>
      </c>
      <c r="BG25" s="169" t="e">
        <f t="shared" si="28"/>
        <v>#REF!</v>
      </c>
      <c r="BH25" s="169" t="e">
        <f t="shared" si="29"/>
        <v>#REF!</v>
      </c>
      <c r="BI25" s="154" t="e">
        <f t="shared" si="66"/>
        <v>#REF!</v>
      </c>
      <c r="BJ25" s="154" t="e">
        <f t="shared" si="67"/>
        <v>#REF!</v>
      </c>
      <c r="BK25" s="154" t="e">
        <f t="shared" si="68"/>
        <v>#REF!</v>
      </c>
      <c r="BL25" s="244" t="e">
        <f t="shared" si="30"/>
        <v>#REF!</v>
      </c>
      <c r="BM25" s="244" t="e">
        <f t="shared" si="31"/>
        <v>#REF!</v>
      </c>
      <c r="BN25" s="244" t="e">
        <f t="shared" si="32"/>
        <v>#REF!</v>
      </c>
      <c r="BO25" s="249" t="e">
        <f t="shared" si="33"/>
        <v>#REF!</v>
      </c>
      <c r="BP25" s="249" t="e">
        <f t="shared" si="34"/>
        <v>#REF!</v>
      </c>
      <c r="BQ25" s="249" t="e">
        <f t="shared" si="35"/>
        <v>#REF!</v>
      </c>
      <c r="BR25" s="239" t="e">
        <f t="shared" si="36"/>
        <v>#REF!</v>
      </c>
      <c r="BS25" s="239" t="e">
        <f t="shared" si="37"/>
        <v>#REF!</v>
      </c>
      <c r="BT25" s="239" t="e">
        <f t="shared" si="38"/>
        <v>#REF!</v>
      </c>
    </row>
    <row r="26" spans="2:72" x14ac:dyDescent="0.2">
      <c r="B26" s="146">
        <f>'Tier 3 Data'!A33</f>
        <v>2038</v>
      </c>
      <c r="C26" s="161">
        <f>'Tier 3 Data'!F33</f>
        <v>711330.67528154957</v>
      </c>
      <c r="D26" s="161">
        <f>'Tier 3 Data'!G33</f>
        <v>751528.19713254215</v>
      </c>
      <c r="E26" s="161">
        <f>'Tier 3 Data'!H33</f>
        <v>633249.93557360559</v>
      </c>
      <c r="F26" s="149">
        <f>'Annual Energy Data'!BL38</f>
        <v>0</v>
      </c>
      <c r="G26" s="178">
        <f>+'Tier 1 Data - MOU I.4'!A28</f>
        <v>1</v>
      </c>
      <c r="H26" s="161">
        <f t="shared" si="4"/>
        <v>711330.67528154957</v>
      </c>
      <c r="I26" s="161">
        <f t="shared" si="5"/>
        <v>751528.19713254215</v>
      </c>
      <c r="J26" s="161">
        <f t="shared" si="6"/>
        <v>633249.93557360559</v>
      </c>
      <c r="K26" s="150">
        <f t="shared" si="8"/>
        <v>0</v>
      </c>
      <c r="L26" s="150">
        <f t="shared" si="9"/>
        <v>0</v>
      </c>
      <c r="M26" s="150">
        <f t="shared" si="10"/>
        <v>0</v>
      </c>
      <c r="N26" s="151">
        <f t="shared" si="11"/>
        <v>0</v>
      </c>
      <c r="O26" s="151">
        <f t="shared" si="12"/>
        <v>0</v>
      </c>
      <c r="P26" s="151">
        <f t="shared" si="13"/>
        <v>0</v>
      </c>
      <c r="Q26" s="223">
        <f t="shared" si="52"/>
        <v>61.856405790647315</v>
      </c>
      <c r="R26" s="223">
        <f t="shared" si="53"/>
        <v>60.643535088869918</v>
      </c>
      <c r="S26" s="223">
        <f t="shared" si="54"/>
        <v>5.2577692504970468</v>
      </c>
      <c r="T26" s="223">
        <f t="shared" si="41"/>
        <v>61.110802382878745</v>
      </c>
      <c r="U26" s="223">
        <f t="shared" si="55"/>
        <v>59.912551355763476</v>
      </c>
      <c r="V26" s="225">
        <f t="shared" si="56"/>
        <v>14.414249903451434</v>
      </c>
      <c r="W26" s="223">
        <f t="shared" si="71"/>
        <v>77</v>
      </c>
      <c r="X26" s="225">
        <f t="shared" si="42"/>
        <v>61.529149996287359</v>
      </c>
      <c r="Y26" s="226">
        <f t="shared" si="69"/>
        <v>25</v>
      </c>
      <c r="Z26" s="225">
        <f t="shared" si="70"/>
        <v>101.15373076491076</v>
      </c>
      <c r="AA26" s="225">
        <f t="shared" si="57"/>
        <v>59.926608735246297</v>
      </c>
      <c r="AB26" s="225">
        <f t="shared" si="43"/>
        <v>25</v>
      </c>
      <c r="AC26" s="225">
        <f t="shared" si="44"/>
        <v>56.092317907513291</v>
      </c>
      <c r="AD26" s="225">
        <f t="shared" si="58"/>
        <v>54.992468536777736</v>
      </c>
      <c r="AE26" s="225">
        <f t="shared" si="45"/>
        <v>25</v>
      </c>
      <c r="AF26" s="169">
        <f t="shared" si="14"/>
        <v>0</v>
      </c>
      <c r="AG26" s="169">
        <f t="shared" si="15"/>
        <v>0</v>
      </c>
      <c r="AH26" s="169">
        <f t="shared" si="16"/>
        <v>0</v>
      </c>
      <c r="AI26" s="154">
        <f t="shared" si="25"/>
        <v>0</v>
      </c>
      <c r="AJ26" s="154">
        <f t="shared" si="17"/>
        <v>0</v>
      </c>
      <c r="AK26" s="154">
        <f t="shared" si="18"/>
        <v>0</v>
      </c>
      <c r="AL26" s="244">
        <f t="shared" si="59"/>
        <v>0</v>
      </c>
      <c r="AM26" s="244">
        <f t="shared" si="60"/>
        <v>0</v>
      </c>
      <c r="AN26" s="244">
        <f t="shared" si="61"/>
        <v>0</v>
      </c>
      <c r="AO26" s="246">
        <f t="shared" si="46"/>
        <v>0</v>
      </c>
      <c r="AP26" s="246">
        <f t="shared" si="47"/>
        <v>0</v>
      </c>
      <c r="AQ26" s="246">
        <f t="shared" si="48"/>
        <v>0</v>
      </c>
      <c r="AR26" s="241">
        <f t="shared" si="49"/>
        <v>0</v>
      </c>
      <c r="AS26" s="241">
        <f t="shared" si="50"/>
        <v>0</v>
      </c>
      <c r="AT26" s="241">
        <f t="shared" si="51"/>
        <v>0</v>
      </c>
      <c r="AU26" s="162">
        <f>+'Tier 3 Data'!E33</f>
        <v>0.12000000000000001</v>
      </c>
      <c r="AV26" s="163" t="e">
        <f>+$AU26*#REF!</f>
        <v>#REF!</v>
      </c>
      <c r="AW26" s="163" t="e">
        <f>+$AU26*#REF!</f>
        <v>#REF!</v>
      </c>
      <c r="AX26" s="163" t="e">
        <f>+$AU26*#REF!</f>
        <v>#REF!</v>
      </c>
      <c r="AY26" s="229">
        <v>119174.36526481909</v>
      </c>
      <c r="AZ26" s="229">
        <v>140627.65984519382</v>
      </c>
      <c r="BA26" s="229">
        <f t="shared" si="7"/>
        <v>21453.294580374728</v>
      </c>
      <c r="BB26" s="156">
        <f t="shared" si="62"/>
        <v>85.497093713043313</v>
      </c>
      <c r="BC26" s="164" t="e">
        <f t="shared" si="63"/>
        <v>#REF!</v>
      </c>
      <c r="BD26" s="164" t="e">
        <f t="shared" si="64"/>
        <v>#REF!</v>
      </c>
      <c r="BE26" s="164" t="e">
        <f t="shared" si="65"/>
        <v>#REF!</v>
      </c>
      <c r="BF26" s="169" t="e">
        <f t="shared" si="27"/>
        <v>#REF!</v>
      </c>
      <c r="BG26" s="169" t="e">
        <f t="shared" si="28"/>
        <v>#REF!</v>
      </c>
      <c r="BH26" s="169" t="e">
        <f t="shared" si="29"/>
        <v>#REF!</v>
      </c>
      <c r="BI26" s="154" t="e">
        <f t="shared" si="66"/>
        <v>#REF!</v>
      </c>
      <c r="BJ26" s="154" t="e">
        <f t="shared" si="67"/>
        <v>#REF!</v>
      </c>
      <c r="BK26" s="154" t="e">
        <f t="shared" si="68"/>
        <v>#REF!</v>
      </c>
      <c r="BL26" s="244" t="e">
        <f t="shared" si="30"/>
        <v>#REF!</v>
      </c>
      <c r="BM26" s="244" t="e">
        <f t="shared" si="31"/>
        <v>#REF!</v>
      </c>
      <c r="BN26" s="244" t="e">
        <f t="shared" si="32"/>
        <v>#REF!</v>
      </c>
      <c r="BO26" s="249" t="e">
        <f t="shared" si="33"/>
        <v>#REF!</v>
      </c>
      <c r="BP26" s="249" t="e">
        <f t="shared" si="34"/>
        <v>#REF!</v>
      </c>
      <c r="BQ26" s="249" t="e">
        <f t="shared" si="35"/>
        <v>#REF!</v>
      </c>
      <c r="BR26" s="239" t="e">
        <f t="shared" si="36"/>
        <v>#REF!</v>
      </c>
      <c r="BS26" s="239" t="e">
        <f t="shared" si="37"/>
        <v>#REF!</v>
      </c>
      <c r="BT26" s="239" t="e">
        <f t="shared" si="38"/>
        <v>#REF!</v>
      </c>
    </row>
    <row r="27" spans="2:72" x14ac:dyDescent="0.2">
      <c r="B27" s="146">
        <f>'Tier 3 Data'!A34</f>
        <v>2039</v>
      </c>
      <c r="C27" s="161">
        <f>'Tier 3 Data'!F34</f>
        <v>716120.86595409201</v>
      </c>
      <c r="D27" s="161">
        <f>'Tier 3 Data'!G34</f>
        <v>768552.28858287516</v>
      </c>
      <c r="E27" s="161">
        <f>'Tier 3 Data'!H34</f>
        <v>644213.49095807108</v>
      </c>
      <c r="F27" s="149">
        <f>'Annual Energy Data'!BL39</f>
        <v>0</v>
      </c>
      <c r="G27" s="178">
        <f>+'Tier 1 Data - MOU I.4'!A29</f>
        <v>1</v>
      </c>
      <c r="H27" s="161">
        <f t="shared" si="4"/>
        <v>716120.86595409201</v>
      </c>
      <c r="I27" s="161">
        <f t="shared" si="5"/>
        <v>768552.28858287516</v>
      </c>
      <c r="J27" s="161">
        <f t="shared" si="6"/>
        <v>644213.49095807108</v>
      </c>
      <c r="K27" s="150">
        <f t="shared" si="8"/>
        <v>0</v>
      </c>
      <c r="L27" s="150">
        <f t="shared" si="9"/>
        <v>0</v>
      </c>
      <c r="M27" s="150">
        <f t="shared" si="10"/>
        <v>0</v>
      </c>
      <c r="N27" s="151">
        <f t="shared" si="11"/>
        <v>0</v>
      </c>
      <c r="O27" s="151">
        <f t="shared" si="12"/>
        <v>0</v>
      </c>
      <c r="P27" s="151">
        <f t="shared" si="13"/>
        <v>0</v>
      </c>
      <c r="Q27" s="223">
        <f t="shared" ref="Q27:Q30" si="72">+R27*(1+Q$3)</f>
        <v>63.712097964366741</v>
      </c>
      <c r="R27" s="223">
        <f t="shared" ref="R27:R30" si="73">+R26*R52</f>
        <v>62.462841141536018</v>
      </c>
      <c r="S27" s="223">
        <f t="shared" si="54"/>
        <v>5.3629246355069879</v>
      </c>
      <c r="T27" s="223">
        <f t="shared" ref="T27:T30" si="74">+U27*(1+T$3)</f>
        <v>62.944126454365112</v>
      </c>
      <c r="U27" s="223">
        <f t="shared" ref="U27:U30" si="75">+U26*R52</f>
        <v>61.709927896436383</v>
      </c>
      <c r="V27" s="225">
        <f t="shared" si="56"/>
        <v>14.702534901520464</v>
      </c>
      <c r="W27" s="223">
        <f t="shared" si="71"/>
        <v>77</v>
      </c>
      <c r="X27" s="225">
        <f t="shared" ref="X27:X30" si="76">+X26*R52</f>
        <v>63.375024496175982</v>
      </c>
      <c r="Y27" s="226">
        <f t="shared" si="69"/>
        <v>25</v>
      </c>
      <c r="Z27" s="225">
        <f t="shared" si="70"/>
        <v>102.16526807255987</v>
      </c>
      <c r="AA27" s="225">
        <f t="shared" si="57"/>
        <v>61.724406997303689</v>
      </c>
      <c r="AB27" s="225">
        <f t="shared" si="43"/>
        <v>25</v>
      </c>
      <c r="AC27" s="225">
        <f t="shared" si="44"/>
        <v>57.775087444738688</v>
      </c>
      <c r="AD27" s="225">
        <f t="shared" si="58"/>
        <v>56.642242592881068</v>
      </c>
      <c r="AE27" s="225">
        <f t="shared" si="45"/>
        <v>25</v>
      </c>
      <c r="AF27" s="169">
        <f t="shared" si="14"/>
        <v>0</v>
      </c>
      <c r="AG27" s="169">
        <f t="shared" si="15"/>
        <v>0</v>
      </c>
      <c r="AH27" s="169">
        <f t="shared" si="16"/>
        <v>0</v>
      </c>
      <c r="AI27" s="154">
        <f t="shared" si="25"/>
        <v>0</v>
      </c>
      <c r="AJ27" s="154">
        <f t="shared" si="17"/>
        <v>0</v>
      </c>
      <c r="AK27" s="154">
        <f t="shared" si="18"/>
        <v>0</v>
      </c>
      <c r="AL27" s="244">
        <f t="shared" si="59"/>
        <v>0</v>
      </c>
      <c r="AM27" s="244">
        <f t="shared" si="60"/>
        <v>0</v>
      </c>
      <c r="AN27" s="244">
        <f t="shared" si="61"/>
        <v>0</v>
      </c>
      <c r="AO27" s="246">
        <f t="shared" si="46"/>
        <v>0</v>
      </c>
      <c r="AP27" s="246">
        <f t="shared" si="47"/>
        <v>0</v>
      </c>
      <c r="AQ27" s="246">
        <f t="shared" si="48"/>
        <v>0</v>
      </c>
      <c r="AR27" s="241">
        <f t="shared" si="49"/>
        <v>0</v>
      </c>
      <c r="AS27" s="241">
        <f t="shared" si="50"/>
        <v>0</v>
      </c>
      <c r="AT27" s="241">
        <f t="shared" si="51"/>
        <v>0</v>
      </c>
      <c r="AU27" s="162">
        <f>+'Tier 3 Data'!E34</f>
        <v>0.12000000000000001</v>
      </c>
      <c r="AV27" s="163" t="e">
        <f>+$AU27*#REF!</f>
        <v>#REF!</v>
      </c>
      <c r="AW27" s="163" t="e">
        <f>+$AU27*#REF!</f>
        <v>#REF!</v>
      </c>
      <c r="AX27" s="163" t="e">
        <f>+$AU27*#REF!</f>
        <v>#REF!</v>
      </c>
      <c r="AY27" s="229">
        <v>119174.36526481909</v>
      </c>
      <c r="AZ27" s="229">
        <v>140627.65984519382</v>
      </c>
      <c r="BA27" s="229">
        <f t="shared" ref="BA27:BA30" si="77">+AZ27-AY27</f>
        <v>21453.294580374728</v>
      </c>
      <c r="BB27" s="156">
        <f t="shared" si="62"/>
        <v>87.207035587304176</v>
      </c>
      <c r="BC27" s="164" t="e">
        <f t="shared" si="63"/>
        <v>#REF!</v>
      </c>
      <c r="BD27" s="164" t="e">
        <f t="shared" si="64"/>
        <v>#REF!</v>
      </c>
      <c r="BE27" s="164" t="e">
        <f t="shared" si="65"/>
        <v>#REF!</v>
      </c>
      <c r="BF27" s="169" t="e">
        <f t="shared" ref="BF27:BF30" si="78">AF27-BC27</f>
        <v>#REF!</v>
      </c>
      <c r="BG27" s="169" t="e">
        <f t="shared" ref="BG27:BG30" si="79">AG27-BD27</f>
        <v>#REF!</v>
      </c>
      <c r="BH27" s="169" t="e">
        <f t="shared" ref="BH27:BH30" si="80">AH27-BE27</f>
        <v>#REF!</v>
      </c>
      <c r="BI27" s="154" t="e">
        <f t="shared" ref="BI27:BI30" si="81">+AI27-BC27</f>
        <v>#REF!</v>
      </c>
      <c r="BJ27" s="154" t="e">
        <f t="shared" ref="BJ27:BJ30" si="82">+AJ27-BD27</f>
        <v>#REF!</v>
      </c>
      <c r="BK27" s="154" t="e">
        <f t="shared" ref="BK27:BK30" si="83">+AK27-BE27</f>
        <v>#REF!</v>
      </c>
      <c r="BL27" s="244" t="e">
        <f t="shared" ref="BL27:BL30" si="84">+AL27-BC27</f>
        <v>#REF!</v>
      </c>
      <c r="BM27" s="244" t="e">
        <f t="shared" ref="BM27:BM30" si="85">+AM27-BD27</f>
        <v>#REF!</v>
      </c>
      <c r="BN27" s="244" t="e">
        <f t="shared" ref="BN27:BN30" si="86">+AN27-BE27</f>
        <v>#REF!</v>
      </c>
      <c r="BO27" s="249" t="e">
        <f t="shared" si="33"/>
        <v>#REF!</v>
      </c>
      <c r="BP27" s="249" t="e">
        <f t="shared" si="34"/>
        <v>#REF!</v>
      </c>
      <c r="BQ27" s="249" t="e">
        <f t="shared" si="35"/>
        <v>#REF!</v>
      </c>
      <c r="BR27" s="239" t="e">
        <f t="shared" si="36"/>
        <v>#REF!</v>
      </c>
      <c r="BS27" s="239" t="e">
        <f t="shared" si="37"/>
        <v>#REF!</v>
      </c>
      <c r="BT27" s="239" t="e">
        <f t="shared" si="38"/>
        <v>#REF!</v>
      </c>
    </row>
    <row r="28" spans="2:72" x14ac:dyDescent="0.2">
      <c r="B28" s="146">
        <f>'Tier 3 Data'!A35</f>
        <v>2040</v>
      </c>
      <c r="C28" s="161">
        <f>'Tier 3 Data'!F35</f>
        <v>719620.63688443974</v>
      </c>
      <c r="D28" s="161">
        <f>'Tier 3 Data'!G35</f>
        <v>782587.65066748532</v>
      </c>
      <c r="E28" s="161">
        <f>'Tier 3 Data'!H35</f>
        <v>653337.7248376013</v>
      </c>
      <c r="F28" s="149">
        <f>'Annual Energy Data'!BL40</f>
        <v>0</v>
      </c>
      <c r="G28" s="178">
        <f>+'Tier 1 Data - MOU I.4'!A30</f>
        <v>1</v>
      </c>
      <c r="H28" s="161">
        <f t="shared" si="4"/>
        <v>719620.63688443974</v>
      </c>
      <c r="I28" s="161">
        <f t="shared" si="5"/>
        <v>782587.65066748532</v>
      </c>
      <c r="J28" s="161">
        <f t="shared" si="6"/>
        <v>653337.7248376013</v>
      </c>
      <c r="K28" s="150">
        <f t="shared" si="8"/>
        <v>0</v>
      </c>
      <c r="L28" s="150">
        <f t="shared" si="9"/>
        <v>0</v>
      </c>
      <c r="M28" s="150">
        <f t="shared" si="10"/>
        <v>0</v>
      </c>
      <c r="N28" s="151">
        <f t="shared" si="11"/>
        <v>0</v>
      </c>
      <c r="O28" s="151">
        <f t="shared" si="12"/>
        <v>0</v>
      </c>
      <c r="P28" s="151">
        <f t="shared" si="13"/>
        <v>0</v>
      </c>
      <c r="Q28" s="223">
        <f t="shared" si="72"/>
        <v>65.62346090329774</v>
      </c>
      <c r="R28" s="223">
        <f t="shared" si="73"/>
        <v>64.336726375782092</v>
      </c>
      <c r="S28" s="223">
        <f t="shared" si="54"/>
        <v>5.470183128217128</v>
      </c>
      <c r="T28" s="223">
        <f t="shared" si="74"/>
        <v>64.83245024799605</v>
      </c>
      <c r="U28" s="223">
        <f t="shared" si="75"/>
        <v>63.561225733329465</v>
      </c>
      <c r="V28" s="225">
        <f t="shared" si="56"/>
        <v>14.996585599550873</v>
      </c>
      <c r="W28" s="223">
        <f t="shared" si="71"/>
        <v>77</v>
      </c>
      <c r="X28" s="225">
        <f t="shared" si="76"/>
        <v>65.276275231061248</v>
      </c>
      <c r="Y28" s="226">
        <f t="shared" si="69"/>
        <v>25</v>
      </c>
      <c r="Z28" s="225">
        <f t="shared" si="70"/>
        <v>103.18692075328546</v>
      </c>
      <c r="AA28" s="225">
        <f t="shared" si="57"/>
        <v>63.576139207222788</v>
      </c>
      <c r="AB28" s="225">
        <f t="shared" si="43"/>
        <v>25</v>
      </c>
      <c r="AC28" s="225">
        <f t="shared" si="44"/>
        <v>59.508340068080841</v>
      </c>
      <c r="AD28" s="225">
        <f t="shared" si="58"/>
        <v>58.341509870667487</v>
      </c>
      <c r="AE28" s="225">
        <f t="shared" si="45"/>
        <v>25</v>
      </c>
      <c r="AF28" s="169">
        <f t="shared" si="14"/>
        <v>0</v>
      </c>
      <c r="AG28" s="169">
        <f t="shared" si="15"/>
        <v>0</v>
      </c>
      <c r="AH28" s="169">
        <f t="shared" si="16"/>
        <v>0</v>
      </c>
      <c r="AI28" s="154">
        <f t="shared" si="25"/>
        <v>0</v>
      </c>
      <c r="AJ28" s="154">
        <f t="shared" si="17"/>
        <v>0</v>
      </c>
      <c r="AK28" s="154">
        <f t="shared" si="18"/>
        <v>0</v>
      </c>
      <c r="AL28" s="244">
        <f t="shared" si="59"/>
        <v>0</v>
      </c>
      <c r="AM28" s="244">
        <f t="shared" si="60"/>
        <v>0</v>
      </c>
      <c r="AN28" s="244">
        <f t="shared" si="61"/>
        <v>0</v>
      </c>
      <c r="AO28" s="246">
        <f t="shared" si="46"/>
        <v>0</v>
      </c>
      <c r="AP28" s="246">
        <f t="shared" si="47"/>
        <v>0</v>
      </c>
      <c r="AQ28" s="246">
        <f t="shared" si="48"/>
        <v>0</v>
      </c>
      <c r="AR28" s="241">
        <f t="shared" si="49"/>
        <v>0</v>
      </c>
      <c r="AS28" s="241">
        <f t="shared" si="50"/>
        <v>0</v>
      </c>
      <c r="AT28" s="241">
        <f t="shared" si="51"/>
        <v>0</v>
      </c>
      <c r="AU28" s="162">
        <f>+'Tier 3 Data'!E35</f>
        <v>0.12000000000000001</v>
      </c>
      <c r="AV28" s="163" t="e">
        <f>+$AU28*#REF!</f>
        <v>#REF!</v>
      </c>
      <c r="AW28" s="163" t="e">
        <f>+$AU28*#REF!</f>
        <v>#REF!</v>
      </c>
      <c r="AX28" s="163" t="e">
        <f>+$AU28*#REF!</f>
        <v>#REF!</v>
      </c>
      <c r="AY28" s="229">
        <v>119174.36526481909</v>
      </c>
      <c r="AZ28" s="229">
        <v>140627.65984519382</v>
      </c>
      <c r="BA28" s="229">
        <f t="shared" si="77"/>
        <v>21453.294580374728</v>
      </c>
      <c r="BB28" s="156">
        <f t="shared" si="62"/>
        <v>88.95117629905026</v>
      </c>
      <c r="BC28" s="164" t="e">
        <f t="shared" si="63"/>
        <v>#REF!</v>
      </c>
      <c r="BD28" s="164" t="e">
        <f t="shared" si="64"/>
        <v>#REF!</v>
      </c>
      <c r="BE28" s="164" t="e">
        <f t="shared" si="65"/>
        <v>#REF!</v>
      </c>
      <c r="BF28" s="169" t="e">
        <f t="shared" si="78"/>
        <v>#REF!</v>
      </c>
      <c r="BG28" s="169" t="e">
        <f t="shared" si="79"/>
        <v>#REF!</v>
      </c>
      <c r="BH28" s="169" t="e">
        <f t="shared" si="80"/>
        <v>#REF!</v>
      </c>
      <c r="BI28" s="154" t="e">
        <f t="shared" si="81"/>
        <v>#REF!</v>
      </c>
      <c r="BJ28" s="154" t="e">
        <f t="shared" si="82"/>
        <v>#REF!</v>
      </c>
      <c r="BK28" s="154" t="e">
        <f t="shared" si="83"/>
        <v>#REF!</v>
      </c>
      <c r="BL28" s="244" t="e">
        <f t="shared" si="84"/>
        <v>#REF!</v>
      </c>
      <c r="BM28" s="244" t="e">
        <f t="shared" si="85"/>
        <v>#REF!</v>
      </c>
      <c r="BN28" s="244" t="e">
        <f t="shared" si="86"/>
        <v>#REF!</v>
      </c>
      <c r="BO28" s="249" t="e">
        <f t="shared" si="33"/>
        <v>#REF!</v>
      </c>
      <c r="BP28" s="249" t="e">
        <f t="shared" si="34"/>
        <v>#REF!</v>
      </c>
      <c r="BQ28" s="249" t="e">
        <f t="shared" si="35"/>
        <v>#REF!</v>
      </c>
      <c r="BR28" s="239" t="e">
        <f t="shared" si="36"/>
        <v>#REF!</v>
      </c>
      <c r="BS28" s="239" t="e">
        <f t="shared" si="37"/>
        <v>#REF!</v>
      </c>
      <c r="BT28" s="239" t="e">
        <f t="shared" si="38"/>
        <v>#REF!</v>
      </c>
    </row>
    <row r="29" spans="2:72" x14ac:dyDescent="0.2">
      <c r="B29" s="146">
        <f>'Tier 3 Data'!A36</f>
        <v>2041</v>
      </c>
      <c r="C29" s="161">
        <f>'Tier 3 Data'!F36</f>
        <v>722223.80304426048</v>
      </c>
      <c r="D29" s="161">
        <f>'Tier 3 Data'!G36</f>
        <v>793532.27899898123</v>
      </c>
      <c r="E29" s="161">
        <f>'Tier 3 Data'!H36</f>
        <v>660621.06578335713</v>
      </c>
      <c r="F29" s="149">
        <f>'Annual Energy Data'!BL41</f>
        <v>0</v>
      </c>
      <c r="G29" s="178">
        <f>+'Tier 1 Data - MOU I.4'!A31</f>
        <v>1</v>
      </c>
      <c r="H29" s="161">
        <f t="shared" si="4"/>
        <v>722223.80304426048</v>
      </c>
      <c r="I29" s="161">
        <f t="shared" si="5"/>
        <v>793532.27899898123</v>
      </c>
      <c r="J29" s="161">
        <f t="shared" si="6"/>
        <v>660621.06578335713</v>
      </c>
      <c r="K29" s="150">
        <f t="shared" si="8"/>
        <v>0</v>
      </c>
      <c r="L29" s="150">
        <f t="shared" si="9"/>
        <v>0</v>
      </c>
      <c r="M29" s="150">
        <f t="shared" si="10"/>
        <v>0</v>
      </c>
      <c r="N29" s="151">
        <f t="shared" si="11"/>
        <v>0</v>
      </c>
      <c r="O29" s="151">
        <f t="shared" si="12"/>
        <v>0</v>
      </c>
      <c r="P29" s="151">
        <f t="shared" si="13"/>
        <v>0</v>
      </c>
      <c r="Q29" s="223">
        <f t="shared" si="72"/>
        <v>67.592164730396661</v>
      </c>
      <c r="R29" s="223">
        <f t="shared" si="73"/>
        <v>66.26682816705555</v>
      </c>
      <c r="S29" s="223">
        <f t="shared" si="54"/>
        <v>5.5795867907814705</v>
      </c>
      <c r="T29" s="223">
        <f t="shared" si="74"/>
        <v>66.777423755435947</v>
      </c>
      <c r="U29" s="223">
        <f t="shared" si="75"/>
        <v>65.468062505329357</v>
      </c>
      <c r="V29" s="225">
        <f t="shared" si="56"/>
        <v>15.296517311541891</v>
      </c>
      <c r="W29" s="223">
        <f t="shared" si="71"/>
        <v>77</v>
      </c>
      <c r="X29" s="225">
        <f t="shared" si="76"/>
        <v>67.234563487993086</v>
      </c>
      <c r="Y29" s="226">
        <f t="shared" si="69"/>
        <v>25</v>
      </c>
      <c r="Z29" s="225">
        <f t="shared" si="70"/>
        <v>104.21878996081831</v>
      </c>
      <c r="AA29" s="225">
        <f t="shared" si="57"/>
        <v>65.483423383439472</v>
      </c>
      <c r="AB29" s="225">
        <f t="shared" si="43"/>
        <v>25</v>
      </c>
      <c r="AC29" s="225">
        <f t="shared" si="44"/>
        <v>61.293590270123268</v>
      </c>
      <c r="AD29" s="225">
        <f t="shared" si="58"/>
        <v>60.091755166787514</v>
      </c>
      <c r="AE29" s="225">
        <f t="shared" si="45"/>
        <v>25</v>
      </c>
      <c r="AF29" s="169">
        <f t="shared" si="14"/>
        <v>0</v>
      </c>
      <c r="AG29" s="169">
        <f t="shared" si="15"/>
        <v>0</v>
      </c>
      <c r="AH29" s="169">
        <f t="shared" si="16"/>
        <v>0</v>
      </c>
      <c r="AI29" s="154">
        <f t="shared" si="25"/>
        <v>0</v>
      </c>
      <c r="AJ29" s="154">
        <f t="shared" si="17"/>
        <v>0</v>
      </c>
      <c r="AK29" s="154">
        <f t="shared" si="18"/>
        <v>0</v>
      </c>
      <c r="AL29" s="244">
        <f t="shared" si="59"/>
        <v>0</v>
      </c>
      <c r="AM29" s="244">
        <f t="shared" si="60"/>
        <v>0</v>
      </c>
      <c r="AN29" s="244">
        <f t="shared" si="61"/>
        <v>0</v>
      </c>
      <c r="AO29" s="246">
        <f t="shared" si="46"/>
        <v>0</v>
      </c>
      <c r="AP29" s="246">
        <f t="shared" si="47"/>
        <v>0</v>
      </c>
      <c r="AQ29" s="246">
        <f t="shared" si="48"/>
        <v>0</v>
      </c>
      <c r="AR29" s="241">
        <f t="shared" si="49"/>
        <v>0</v>
      </c>
      <c r="AS29" s="241">
        <f t="shared" si="50"/>
        <v>0</v>
      </c>
      <c r="AT29" s="241">
        <f t="shared" si="51"/>
        <v>0</v>
      </c>
      <c r="AU29" s="162">
        <f>+'Tier 3 Data'!E36</f>
        <v>0.12000000000000001</v>
      </c>
      <c r="AV29" s="163" t="e">
        <f>+$AU29*#REF!</f>
        <v>#REF!</v>
      </c>
      <c r="AW29" s="163" t="e">
        <f>+$AU29*#REF!</f>
        <v>#REF!</v>
      </c>
      <c r="AX29" s="163" t="e">
        <f>+$AU29*#REF!</f>
        <v>#REF!</v>
      </c>
      <c r="AY29" s="229">
        <v>119174.36526481909</v>
      </c>
      <c r="AZ29" s="229">
        <v>140627.65984519382</v>
      </c>
      <c r="BA29" s="229">
        <f t="shared" si="77"/>
        <v>21453.294580374728</v>
      </c>
      <c r="BB29" s="156">
        <f t="shared" si="62"/>
        <v>90.730199825031264</v>
      </c>
      <c r="BC29" s="164" t="e">
        <f t="shared" si="63"/>
        <v>#REF!</v>
      </c>
      <c r="BD29" s="164" t="e">
        <f t="shared" si="64"/>
        <v>#REF!</v>
      </c>
      <c r="BE29" s="164" t="e">
        <f t="shared" si="65"/>
        <v>#REF!</v>
      </c>
      <c r="BF29" s="169" t="e">
        <f t="shared" si="78"/>
        <v>#REF!</v>
      </c>
      <c r="BG29" s="169" t="e">
        <f t="shared" si="79"/>
        <v>#REF!</v>
      </c>
      <c r="BH29" s="169" t="e">
        <f t="shared" si="80"/>
        <v>#REF!</v>
      </c>
      <c r="BI29" s="154" t="e">
        <f t="shared" si="81"/>
        <v>#REF!</v>
      </c>
      <c r="BJ29" s="154" t="e">
        <f t="shared" si="82"/>
        <v>#REF!</v>
      </c>
      <c r="BK29" s="154" t="e">
        <f t="shared" si="83"/>
        <v>#REF!</v>
      </c>
      <c r="BL29" s="244" t="e">
        <f t="shared" si="84"/>
        <v>#REF!</v>
      </c>
      <c r="BM29" s="244" t="e">
        <f t="shared" si="85"/>
        <v>#REF!</v>
      </c>
      <c r="BN29" s="244" t="e">
        <f t="shared" si="86"/>
        <v>#REF!</v>
      </c>
      <c r="BO29" s="249" t="e">
        <f t="shared" si="33"/>
        <v>#REF!</v>
      </c>
      <c r="BP29" s="249" t="e">
        <f t="shared" si="34"/>
        <v>#REF!</v>
      </c>
      <c r="BQ29" s="249" t="e">
        <f t="shared" si="35"/>
        <v>#REF!</v>
      </c>
      <c r="BR29" s="239" t="e">
        <f t="shared" si="36"/>
        <v>#REF!</v>
      </c>
      <c r="BS29" s="239" t="e">
        <f t="shared" si="37"/>
        <v>#REF!</v>
      </c>
      <c r="BT29" s="239" t="e">
        <f t="shared" si="38"/>
        <v>#REF!</v>
      </c>
    </row>
    <row r="30" spans="2:72" x14ac:dyDescent="0.2">
      <c r="B30" s="146">
        <f>'Tier 3 Data'!A37</f>
        <v>2042</v>
      </c>
      <c r="C30" s="161">
        <f>'Tier 3 Data'!F37</f>
        <v>723086.74512119894</v>
      </c>
      <c r="D30" s="161">
        <f>'Tier 3 Data'!G37</f>
        <v>803176.88283081586</v>
      </c>
      <c r="E30" s="161">
        <f>'Tier 3 Data'!H37</f>
        <v>666546.80842870963</v>
      </c>
      <c r="F30" s="149">
        <f>'Annual Energy Data'!BL42</f>
        <v>0</v>
      </c>
      <c r="G30" s="178">
        <f>+'Tier 1 Data - MOU I.4'!A32</f>
        <v>1</v>
      </c>
      <c r="H30" s="161">
        <f t="shared" si="4"/>
        <v>723086.74512119894</v>
      </c>
      <c r="I30" s="161">
        <f t="shared" si="5"/>
        <v>803176.88283081586</v>
      </c>
      <c r="J30" s="161">
        <f t="shared" si="6"/>
        <v>666546.80842870963</v>
      </c>
      <c r="K30" s="150">
        <f t="shared" si="8"/>
        <v>0</v>
      </c>
      <c r="L30" s="150">
        <f t="shared" si="9"/>
        <v>0</v>
      </c>
      <c r="M30" s="150">
        <f t="shared" si="10"/>
        <v>0</v>
      </c>
      <c r="N30" s="151">
        <f t="shared" si="11"/>
        <v>0</v>
      </c>
      <c r="O30" s="151">
        <f t="shared" si="12"/>
        <v>0</v>
      </c>
      <c r="P30" s="151">
        <f t="shared" si="13"/>
        <v>0</v>
      </c>
      <c r="Q30" s="223">
        <f t="shared" si="72"/>
        <v>69.619929672308572</v>
      </c>
      <c r="R30" s="223">
        <f t="shared" si="73"/>
        <v>68.254833012067223</v>
      </c>
      <c r="S30" s="223">
        <f t="shared" si="54"/>
        <v>5.6911785265971</v>
      </c>
      <c r="T30" s="223">
        <f t="shared" si="74"/>
        <v>68.780746468099025</v>
      </c>
      <c r="U30" s="223">
        <f t="shared" si="75"/>
        <v>67.432104380489235</v>
      </c>
      <c r="V30" s="225">
        <f t="shared" si="56"/>
        <v>15.602447657772728</v>
      </c>
      <c r="W30" s="223">
        <f t="shared" si="71"/>
        <v>77</v>
      </c>
      <c r="X30" s="225">
        <f t="shared" si="76"/>
        <v>69.251600392632881</v>
      </c>
      <c r="Y30" s="226">
        <f t="shared" si="69"/>
        <v>25</v>
      </c>
      <c r="Z30" s="225">
        <f t="shared" si="70"/>
        <v>105.26097786042649</v>
      </c>
      <c r="AA30" s="225">
        <f>+AA29*R55</f>
        <v>67.447926084942665</v>
      </c>
      <c r="AB30" s="225">
        <f t="shared" si="43"/>
        <v>25</v>
      </c>
      <c r="AC30" s="225">
        <f t="shared" si="44"/>
        <v>63.132397978226969</v>
      </c>
      <c r="AD30" s="225">
        <f t="shared" si="58"/>
        <v>61.894507821791144</v>
      </c>
      <c r="AE30" s="225">
        <f t="shared" si="45"/>
        <v>25</v>
      </c>
      <c r="AF30" s="169">
        <f t="shared" si="14"/>
        <v>0</v>
      </c>
      <c r="AG30" s="169">
        <f t="shared" si="15"/>
        <v>0</v>
      </c>
      <c r="AH30" s="169">
        <f t="shared" si="16"/>
        <v>0</v>
      </c>
      <c r="AI30" s="154">
        <f t="shared" si="25"/>
        <v>0</v>
      </c>
      <c r="AJ30" s="154">
        <f t="shared" si="17"/>
        <v>0</v>
      </c>
      <c r="AK30" s="154">
        <f t="shared" si="18"/>
        <v>0</v>
      </c>
      <c r="AL30" s="244">
        <f t="shared" si="59"/>
        <v>0</v>
      </c>
      <c r="AM30" s="244">
        <f t="shared" si="60"/>
        <v>0</v>
      </c>
      <c r="AN30" s="244">
        <f t="shared" si="61"/>
        <v>0</v>
      </c>
      <c r="AO30" s="246">
        <f t="shared" si="46"/>
        <v>0</v>
      </c>
      <c r="AP30" s="246">
        <f t="shared" si="47"/>
        <v>0</v>
      </c>
      <c r="AQ30" s="246">
        <f t="shared" si="48"/>
        <v>0</v>
      </c>
      <c r="AR30" s="241">
        <f t="shared" si="49"/>
        <v>0</v>
      </c>
      <c r="AS30" s="241">
        <f t="shared" si="50"/>
        <v>0</v>
      </c>
      <c r="AT30" s="241">
        <f t="shared" si="51"/>
        <v>0</v>
      </c>
      <c r="AU30" s="162">
        <f>+'Tier 3 Data'!E37</f>
        <v>0.12000000000000001</v>
      </c>
      <c r="AV30" s="163" t="e">
        <f>+$AU30*#REF!</f>
        <v>#REF!</v>
      </c>
      <c r="AW30" s="163" t="e">
        <f>+$AU30*#REF!</f>
        <v>#REF!</v>
      </c>
      <c r="AX30" s="163" t="e">
        <f>+$AU30*#REF!</f>
        <v>#REF!</v>
      </c>
      <c r="AY30" s="229">
        <v>119174.36526481909</v>
      </c>
      <c r="AZ30" s="229">
        <v>140627.65984519382</v>
      </c>
      <c r="BA30" s="229">
        <f t="shared" si="77"/>
        <v>21453.294580374728</v>
      </c>
      <c r="BB30" s="156">
        <f t="shared" si="62"/>
        <v>92.544803821531886</v>
      </c>
      <c r="BC30" s="164" t="e">
        <f t="shared" si="63"/>
        <v>#REF!</v>
      </c>
      <c r="BD30" s="164" t="e">
        <f t="shared" si="64"/>
        <v>#REF!</v>
      </c>
      <c r="BE30" s="164" t="e">
        <f t="shared" si="65"/>
        <v>#REF!</v>
      </c>
      <c r="BF30" s="169" t="e">
        <f t="shared" si="78"/>
        <v>#REF!</v>
      </c>
      <c r="BG30" s="169" t="e">
        <f t="shared" si="79"/>
        <v>#REF!</v>
      </c>
      <c r="BH30" s="169" t="e">
        <f t="shared" si="80"/>
        <v>#REF!</v>
      </c>
      <c r="BI30" s="154" t="e">
        <f t="shared" si="81"/>
        <v>#REF!</v>
      </c>
      <c r="BJ30" s="154" t="e">
        <f t="shared" si="82"/>
        <v>#REF!</v>
      </c>
      <c r="BK30" s="154" t="e">
        <f t="shared" si="83"/>
        <v>#REF!</v>
      </c>
      <c r="BL30" s="244" t="e">
        <f t="shared" si="84"/>
        <v>#REF!</v>
      </c>
      <c r="BM30" s="244" t="e">
        <f t="shared" si="85"/>
        <v>#REF!</v>
      </c>
      <c r="BN30" s="244" t="e">
        <f t="shared" si="86"/>
        <v>#REF!</v>
      </c>
      <c r="BO30" s="249" t="e">
        <f t="shared" si="33"/>
        <v>#REF!</v>
      </c>
      <c r="BP30" s="249" t="e">
        <f t="shared" si="34"/>
        <v>#REF!</v>
      </c>
      <c r="BQ30" s="249" t="e">
        <f t="shared" si="35"/>
        <v>#REF!</v>
      </c>
      <c r="BR30" s="239" t="e">
        <f t="shared" si="36"/>
        <v>#REF!</v>
      </c>
      <c r="BS30" s="239" t="e">
        <f t="shared" si="37"/>
        <v>#REF!</v>
      </c>
      <c r="BT30" s="239" t="e">
        <f t="shared" si="38"/>
        <v>#REF!</v>
      </c>
    </row>
    <row r="31" spans="2:72" x14ac:dyDescent="0.2">
      <c r="B31" s="208"/>
      <c r="C31" s="209"/>
      <c r="D31" s="209"/>
      <c r="E31" s="209"/>
      <c r="F31" s="210"/>
      <c r="G31" s="211"/>
      <c r="H31" s="209"/>
      <c r="I31" s="209"/>
      <c r="J31" s="209"/>
      <c r="K31" s="212"/>
      <c r="L31" s="212"/>
      <c r="M31" s="212"/>
      <c r="N31" s="213"/>
      <c r="O31" s="213"/>
      <c r="P31" s="213"/>
      <c r="Q31" s="214"/>
      <c r="R31" s="214"/>
      <c r="S31" s="214"/>
      <c r="T31" s="215"/>
      <c r="U31" s="215"/>
      <c r="V31" s="216"/>
      <c r="W31" s="255"/>
      <c r="X31" s="256"/>
      <c r="Y31" s="245"/>
      <c r="Z31" s="257"/>
      <c r="AA31" s="257"/>
      <c r="AB31" s="257"/>
      <c r="AC31" s="258"/>
      <c r="AD31" s="258"/>
      <c r="AE31" s="258"/>
      <c r="AF31" s="217"/>
      <c r="AG31" s="217"/>
      <c r="AH31" s="217"/>
      <c r="AI31" s="218"/>
      <c r="AJ31" s="218"/>
      <c r="AK31" s="218"/>
      <c r="AL31" s="245"/>
      <c r="AM31" s="245"/>
      <c r="AN31" s="245"/>
      <c r="AO31" s="247"/>
      <c r="AP31" s="247"/>
      <c r="AQ31" s="247"/>
      <c r="AR31" s="254"/>
      <c r="AS31" s="254"/>
      <c r="AT31" s="254"/>
      <c r="AU31" s="220"/>
      <c r="AV31" s="221"/>
      <c r="AW31" s="221"/>
      <c r="AX31" s="221"/>
      <c r="AY31" s="222"/>
      <c r="AZ31" s="222"/>
      <c r="BA31" s="209"/>
      <c r="BB31" s="242"/>
      <c r="BC31" s="170"/>
      <c r="BD31" s="170"/>
      <c r="BE31" s="170"/>
      <c r="BF31" s="219"/>
      <c r="BG31" s="219"/>
      <c r="BH31" s="219"/>
      <c r="BI31" s="218"/>
      <c r="BJ31" s="218"/>
      <c r="BK31" s="218"/>
      <c r="BL31" s="245"/>
      <c r="BM31" s="245"/>
      <c r="BN31" s="245"/>
      <c r="BO31" s="250"/>
      <c r="BP31" s="250"/>
      <c r="BQ31" s="250"/>
      <c r="BR31" s="251"/>
      <c r="BS31" s="251"/>
      <c r="BT31" s="251"/>
    </row>
    <row r="33" spans="2:46" x14ac:dyDescent="0.2">
      <c r="B33" t="s">
        <v>323</v>
      </c>
      <c r="R33" s="235">
        <v>1.0738397094538892</v>
      </c>
      <c r="U33" s="107"/>
      <c r="W33" s="107"/>
      <c r="X33" s="107"/>
      <c r="AF33" s="170">
        <f>-NPV($D$34,AF10:AF30)</f>
        <v>-265431.60272226814</v>
      </c>
      <c r="AG33" s="170">
        <f t="shared" ref="AG33:AK33" si="87">-NPV($D$34,AG10:AG30)</f>
        <v>-180818.21474287446</v>
      </c>
      <c r="AH33" s="170">
        <f t="shared" si="87"/>
        <v>-486327.55877899396</v>
      </c>
      <c r="AI33" s="170">
        <f t="shared" si="87"/>
        <v>9041426.5336882379</v>
      </c>
      <c r="AJ33" s="170">
        <f t="shared" si="87"/>
        <v>9247666.8784527052</v>
      </c>
      <c r="AK33" s="170">
        <f t="shared" si="87"/>
        <v>8503220.9968907591</v>
      </c>
      <c r="AL33" s="170">
        <f>-NPV($D$34,AL10:AL30)</f>
        <v>1478994.4510753818</v>
      </c>
      <c r="AM33" s="170">
        <f t="shared" ref="AM33:AT33" si="88">-NPV($D$34,AM10:AM30)</f>
        <v>1507707.2933680231</v>
      </c>
      <c r="AN33" s="170">
        <f t="shared" si="88"/>
        <v>1354114.9303705278</v>
      </c>
      <c r="AO33" s="170">
        <f>-NPV($D$34,AO10:AO30)</f>
        <v>15793791.453170041</v>
      </c>
      <c r="AP33" s="170">
        <f t="shared" si="88"/>
        <v>16156044.414937224</v>
      </c>
      <c r="AQ33" s="170">
        <f t="shared" si="88"/>
        <v>14867664.006738666</v>
      </c>
      <c r="AR33" s="170">
        <f t="shared" si="88"/>
        <v>18741321.712947778</v>
      </c>
      <c r="AS33" s="170">
        <f t="shared" si="88"/>
        <v>19169599.393942993</v>
      </c>
      <c r="AT33" s="170">
        <f t="shared" si="88"/>
        <v>17638222.467309389</v>
      </c>
    </row>
    <row r="34" spans="2:46" x14ac:dyDescent="0.2">
      <c r="B34" t="s">
        <v>324</v>
      </c>
      <c r="D34" s="75">
        <v>4.9599999999999998E-2</v>
      </c>
      <c r="R34" s="235">
        <v>0.93281460732441113</v>
      </c>
      <c r="U34" s="107"/>
      <c r="W34" s="107"/>
      <c r="X34" s="107"/>
      <c r="Z34" s="61" t="s">
        <v>327</v>
      </c>
      <c r="AA34" s="61" t="s">
        <v>326</v>
      </c>
      <c r="AB34" s="61"/>
      <c r="AC34" s="61"/>
      <c r="AD34" s="61"/>
      <c r="AE34" s="61"/>
    </row>
    <row r="35" spans="2:46" x14ac:dyDescent="0.2">
      <c r="B35" s="61" t="s">
        <v>325</v>
      </c>
      <c r="R35" s="235">
        <v>1.0104989211913609</v>
      </c>
      <c r="U35" s="107"/>
      <c r="V35">
        <v>2018</v>
      </c>
      <c r="W35" s="107"/>
      <c r="X35" s="107"/>
      <c r="AA35" s="173">
        <v>750000</v>
      </c>
      <c r="AB35" s="173"/>
      <c r="AC35" s="173"/>
      <c r="AD35" s="173"/>
      <c r="AE35" s="173"/>
      <c r="AF35" s="175">
        <f>+AVERAGE(AF36:AF55)</f>
        <v>-2.6657672513384883E-4</v>
      </c>
      <c r="AG35" s="175">
        <f t="shared" ref="AG35:AQ35" si="89">+AVERAGE(AG36:AG55)</f>
        <v>-2.0559317252818082E-4</v>
      </c>
      <c r="AH35" s="175">
        <f t="shared" si="89"/>
        <v>-4.2835219263334114E-4</v>
      </c>
      <c r="AI35" s="175">
        <f t="shared" si="89"/>
        <v>6.5315506592298761E-3</v>
      </c>
      <c r="AJ35" s="175">
        <f t="shared" si="89"/>
        <v>6.6801920808364015E-3</v>
      </c>
      <c r="AK35" s="175">
        <f t="shared" si="89"/>
        <v>6.1374007109249321E-3</v>
      </c>
      <c r="AL35" s="175">
        <f t="shared" si="89"/>
        <v>1.3386411091743356E-3</v>
      </c>
      <c r="AM35" s="175">
        <f t="shared" si="89"/>
        <v>1.3645962708002937E-3</v>
      </c>
      <c r="AN35" s="175">
        <f t="shared" si="89"/>
        <v>1.2254958938984232E-3</v>
      </c>
      <c r="AO35" s="175">
        <f t="shared" si="89"/>
        <v>1.1395010484945739E-2</v>
      </c>
      <c r="AP35" s="175">
        <f t="shared" si="89"/>
        <v>1.1655819198493683E-2</v>
      </c>
      <c r="AQ35" s="175">
        <f t="shared" si="89"/>
        <v>1.0717621098417417E-2</v>
      </c>
      <c r="AR35" s="175">
        <f t="shared" ref="AR35:AT35" si="90">+AVERAGE(AR36:AR55)</f>
        <v>1.3526535386156686E-2</v>
      </c>
      <c r="AS35" s="175">
        <f t="shared" si="90"/>
        <v>1.3834971922771427E-2</v>
      </c>
      <c r="AT35" s="175">
        <f t="shared" si="90"/>
        <v>1.2719292939146592E-2</v>
      </c>
    </row>
    <row r="36" spans="2:46" x14ac:dyDescent="0.2">
      <c r="Q36">
        <v>2023</v>
      </c>
      <c r="R36" s="236">
        <v>1.1380911353628183</v>
      </c>
      <c r="V36">
        <f t="shared" ref="V36:V55" si="91">+B7</f>
        <v>2019</v>
      </c>
      <c r="Z36" s="171">
        <v>0.02</v>
      </c>
      <c r="AA36" s="172">
        <f>+AA35*(1+Z36)</f>
        <v>765000</v>
      </c>
      <c r="AB36" s="172"/>
      <c r="AC36" s="172"/>
      <c r="AD36" s="172"/>
      <c r="AE36" s="172"/>
      <c r="AF36" s="68">
        <f>-AF7/$AA36/100</f>
        <v>0</v>
      </c>
      <c r="AG36" s="68">
        <f t="shared" ref="AG36:AQ36" si="92">-AG7/$AA36/100</f>
        <v>0</v>
      </c>
      <c r="AH36" s="68">
        <f t="shared" si="92"/>
        <v>0</v>
      </c>
      <c r="AI36" s="68">
        <f t="shared" si="92"/>
        <v>0</v>
      </c>
      <c r="AJ36" s="68">
        <f t="shared" si="92"/>
        <v>0</v>
      </c>
      <c r="AK36" s="68">
        <f t="shared" si="92"/>
        <v>0</v>
      </c>
      <c r="AL36" s="174"/>
      <c r="AM36" s="174"/>
      <c r="AN36" s="174"/>
      <c r="AO36" s="68">
        <f t="shared" si="92"/>
        <v>0</v>
      </c>
      <c r="AP36" s="68">
        <f t="shared" si="92"/>
        <v>0</v>
      </c>
      <c r="AQ36" s="68">
        <f t="shared" si="92"/>
        <v>0</v>
      </c>
      <c r="AR36" s="68">
        <f t="shared" ref="AR36:AT36" si="93">-AR7/$AA36/100</f>
        <v>0</v>
      </c>
      <c r="AS36" s="68">
        <f t="shared" si="93"/>
        <v>0</v>
      </c>
      <c r="AT36" s="68">
        <f t="shared" si="93"/>
        <v>0</v>
      </c>
    </row>
    <row r="37" spans="2:46" x14ac:dyDescent="0.2">
      <c r="Q37">
        <v>2024</v>
      </c>
      <c r="R37" s="236">
        <v>0.88263868444294902</v>
      </c>
      <c r="V37">
        <f t="shared" si="91"/>
        <v>2020</v>
      </c>
      <c r="Z37" s="171">
        <v>0.02</v>
      </c>
      <c r="AA37" s="172">
        <f t="shared" ref="AA37:AA55" si="94">+AA36*(1+Z37)</f>
        <v>780300</v>
      </c>
      <c r="AB37" s="172"/>
      <c r="AC37" s="172"/>
      <c r="AD37" s="172"/>
      <c r="AE37" s="172"/>
      <c r="AF37" s="68">
        <f t="shared" ref="AF37:AQ37" si="95">-AF8/$AA37/100</f>
        <v>0</v>
      </c>
      <c r="AG37" s="68">
        <f t="shared" si="95"/>
        <v>0</v>
      </c>
      <c r="AH37" s="68">
        <f t="shared" si="95"/>
        <v>0</v>
      </c>
      <c r="AI37" s="68">
        <f t="shared" si="95"/>
        <v>0</v>
      </c>
      <c r="AJ37" s="68">
        <f t="shared" si="95"/>
        <v>0</v>
      </c>
      <c r="AK37" s="68">
        <f t="shared" si="95"/>
        <v>0</v>
      </c>
      <c r="AL37" s="174"/>
      <c r="AM37" s="174"/>
      <c r="AN37" s="174"/>
      <c r="AO37" s="68">
        <f t="shared" si="95"/>
        <v>0</v>
      </c>
      <c r="AP37" s="68">
        <f t="shared" si="95"/>
        <v>0</v>
      </c>
      <c r="AQ37" s="68">
        <f t="shared" si="95"/>
        <v>0</v>
      </c>
      <c r="AR37" s="68">
        <f t="shared" ref="AR37:AT37" si="96">-AR8/$AA37/100</f>
        <v>0</v>
      </c>
      <c r="AS37" s="68">
        <f t="shared" si="96"/>
        <v>0</v>
      </c>
      <c r="AT37" s="68">
        <f t="shared" si="96"/>
        <v>0</v>
      </c>
    </row>
    <row r="38" spans="2:46" x14ac:dyDescent="0.2">
      <c r="Q38">
        <v>2025</v>
      </c>
      <c r="R38" s="236">
        <v>0.98625306744812147</v>
      </c>
      <c r="V38">
        <f t="shared" si="91"/>
        <v>2021</v>
      </c>
      <c r="Z38" s="171">
        <v>0.02</v>
      </c>
      <c r="AA38" s="172">
        <f t="shared" si="94"/>
        <v>795906</v>
      </c>
      <c r="AB38" s="172"/>
      <c r="AC38" s="172"/>
      <c r="AD38" s="172"/>
      <c r="AE38" s="172"/>
      <c r="AF38" s="68">
        <f t="shared" ref="AF38:AQ38" si="97">-AF9/$AA38/100</f>
        <v>0</v>
      </c>
      <c r="AG38" s="68">
        <f t="shared" si="97"/>
        <v>0</v>
      </c>
      <c r="AH38" s="68">
        <f t="shared" si="97"/>
        <v>0</v>
      </c>
      <c r="AI38" s="68">
        <f t="shared" si="97"/>
        <v>0</v>
      </c>
      <c r="AJ38" s="68">
        <f t="shared" si="97"/>
        <v>0</v>
      </c>
      <c r="AK38" s="68">
        <f t="shared" si="97"/>
        <v>0</v>
      </c>
      <c r="AL38" s="174"/>
      <c r="AM38" s="174"/>
      <c r="AN38" s="174"/>
      <c r="AO38" s="68">
        <f t="shared" si="97"/>
        <v>0</v>
      </c>
      <c r="AP38" s="68">
        <f t="shared" si="97"/>
        <v>0</v>
      </c>
      <c r="AQ38" s="68">
        <f t="shared" si="97"/>
        <v>0</v>
      </c>
      <c r="AR38" s="68">
        <f t="shared" ref="AR38:AT38" si="98">-AR9/$AA38/100</f>
        <v>0</v>
      </c>
      <c r="AS38" s="68">
        <f t="shared" si="98"/>
        <v>0</v>
      </c>
      <c r="AT38" s="68">
        <f t="shared" si="98"/>
        <v>0</v>
      </c>
    </row>
    <row r="39" spans="2:46" x14ac:dyDescent="0.2">
      <c r="Q39">
        <v>2026</v>
      </c>
      <c r="R39" s="236">
        <v>1.011329597062518</v>
      </c>
      <c r="V39">
        <f t="shared" si="91"/>
        <v>2022</v>
      </c>
      <c r="Z39" s="171"/>
      <c r="AA39" s="173">
        <v>777893.29</v>
      </c>
      <c r="AB39" s="172"/>
      <c r="AC39" s="172"/>
      <c r="AD39" s="172"/>
      <c r="AE39" s="172"/>
      <c r="AF39" s="68">
        <f t="shared" ref="AF39:AQ39" si="99">-AF10/$AA39/100</f>
        <v>-5.1525325279512309E-3</v>
      </c>
      <c r="AG39" s="68">
        <f t="shared" si="99"/>
        <v>-5.1525325279512309E-3</v>
      </c>
      <c r="AH39" s="68">
        <f t="shared" si="99"/>
        <v>-5.1525325279512309E-3</v>
      </c>
      <c r="AI39" s="68">
        <f t="shared" si="99"/>
        <v>0</v>
      </c>
      <c r="AJ39" s="68">
        <f t="shared" si="99"/>
        <v>0</v>
      </c>
      <c r="AK39" s="68">
        <f t="shared" si="99"/>
        <v>0</v>
      </c>
      <c r="AL39" s="174"/>
      <c r="AM39" s="174"/>
      <c r="AN39" s="174"/>
      <c r="AO39" s="68">
        <f t="shared" si="99"/>
        <v>0</v>
      </c>
      <c r="AP39" s="68">
        <f t="shared" si="99"/>
        <v>0</v>
      </c>
      <c r="AQ39" s="68">
        <f t="shared" si="99"/>
        <v>0</v>
      </c>
      <c r="AR39" s="68">
        <f t="shared" ref="AR39:AT39" si="100">-AR10/$AA39/100</f>
        <v>0</v>
      </c>
      <c r="AS39" s="68">
        <f t="shared" si="100"/>
        <v>0</v>
      </c>
      <c r="AT39" s="68">
        <f t="shared" si="100"/>
        <v>0</v>
      </c>
    </row>
    <row r="40" spans="2:46" x14ac:dyDescent="0.2">
      <c r="Q40">
        <v>2027</v>
      </c>
      <c r="R40" s="236">
        <v>1.01812970261555</v>
      </c>
      <c r="V40">
        <f t="shared" si="91"/>
        <v>2023</v>
      </c>
      <c r="Z40" s="171">
        <v>4.3999999999999997E-2</v>
      </c>
      <c r="AA40" s="172">
        <f t="shared" si="94"/>
        <v>812120.59476000012</v>
      </c>
      <c r="AB40" s="172"/>
      <c r="AC40" s="172"/>
      <c r="AD40" s="172"/>
      <c r="AE40" s="172"/>
      <c r="AF40" s="68">
        <f t="shared" ref="AF40:AQ40" si="101">-AF11/$AA40/100</f>
        <v>-4.7186716787999891E-3</v>
      </c>
      <c r="AG40" s="68">
        <f t="shared" si="101"/>
        <v>-4.7186716787999891E-3</v>
      </c>
      <c r="AH40" s="68">
        <f t="shared" si="101"/>
        <v>-4.7186716787999891E-3</v>
      </c>
      <c r="AI40" s="68">
        <f t="shared" si="101"/>
        <v>0</v>
      </c>
      <c r="AJ40" s="68">
        <f t="shared" si="101"/>
        <v>0</v>
      </c>
      <c r="AK40" s="68">
        <f t="shared" si="101"/>
        <v>0</v>
      </c>
      <c r="AL40" s="174"/>
      <c r="AM40" s="174"/>
      <c r="AN40" s="174"/>
      <c r="AO40" s="68">
        <f t="shared" si="101"/>
        <v>0</v>
      </c>
      <c r="AP40" s="68">
        <f t="shared" si="101"/>
        <v>0</v>
      </c>
      <c r="AQ40" s="68">
        <f t="shared" si="101"/>
        <v>0</v>
      </c>
      <c r="AR40" s="68">
        <f t="shared" ref="AR40:AT40" si="102">-AR11/$AA40/100</f>
        <v>0</v>
      </c>
      <c r="AS40" s="68">
        <f t="shared" si="102"/>
        <v>0</v>
      </c>
      <c r="AT40" s="68">
        <f t="shared" si="102"/>
        <v>0</v>
      </c>
    </row>
    <row r="41" spans="2:46" x14ac:dyDescent="0.2">
      <c r="Q41">
        <v>2028</v>
      </c>
      <c r="R41" s="236">
        <v>1.030640015015015</v>
      </c>
      <c r="V41">
        <f t="shared" si="91"/>
        <v>2024</v>
      </c>
      <c r="Z41" s="171">
        <v>5.7000000000000002E-2</v>
      </c>
      <c r="AA41" s="172">
        <f t="shared" si="94"/>
        <v>858411.46866132005</v>
      </c>
      <c r="AB41" s="172"/>
      <c r="AC41" s="172"/>
      <c r="AD41" s="172"/>
      <c r="AE41" s="172"/>
      <c r="AF41" s="68">
        <f t="shared" ref="AF41:AQ41" si="103">-AF12/$AA41/100</f>
        <v>-4.4303224937484609E-3</v>
      </c>
      <c r="AG41" s="68">
        <f t="shared" si="103"/>
        <v>-4.4303224937484609E-3</v>
      </c>
      <c r="AH41" s="68">
        <f t="shared" si="103"/>
        <v>-4.4303224937484609E-3</v>
      </c>
      <c r="AI41" s="68">
        <f t="shared" si="103"/>
        <v>0</v>
      </c>
      <c r="AJ41" s="68">
        <f t="shared" si="103"/>
        <v>0</v>
      </c>
      <c r="AK41" s="68">
        <f t="shared" si="103"/>
        <v>0</v>
      </c>
      <c r="AL41" s="68">
        <f t="shared" si="103"/>
        <v>0</v>
      </c>
      <c r="AM41" s="68">
        <f t="shared" si="103"/>
        <v>0</v>
      </c>
      <c r="AN41" s="68">
        <f t="shared" si="103"/>
        <v>0</v>
      </c>
      <c r="AO41" s="68">
        <f t="shared" si="103"/>
        <v>0</v>
      </c>
      <c r="AP41" s="68">
        <f t="shared" si="103"/>
        <v>0</v>
      </c>
      <c r="AQ41" s="68">
        <f t="shared" si="103"/>
        <v>0</v>
      </c>
      <c r="AR41" s="68">
        <f t="shared" ref="AR41:AT41" si="104">-AR12/$AA41/100</f>
        <v>0</v>
      </c>
      <c r="AS41" s="68">
        <f t="shared" si="104"/>
        <v>0</v>
      </c>
      <c r="AT41" s="68">
        <f t="shared" si="104"/>
        <v>0</v>
      </c>
    </row>
    <row r="42" spans="2:46" x14ac:dyDescent="0.2">
      <c r="Q42">
        <v>2029</v>
      </c>
      <c r="R42" s="236">
        <v>1.0376280446164354</v>
      </c>
      <c r="V42">
        <f t="shared" si="91"/>
        <v>2025</v>
      </c>
      <c r="Z42" s="171">
        <v>2.5000000000000001E-2</v>
      </c>
      <c r="AA42" s="172">
        <f t="shared" si="94"/>
        <v>879871.75537785294</v>
      </c>
      <c r="AB42" s="172"/>
      <c r="AC42" s="172"/>
      <c r="AD42" s="172"/>
      <c r="AE42" s="172"/>
      <c r="AF42" s="68">
        <f t="shared" ref="AF42:AQ42" si="105">-AF13/$AA42/100</f>
        <v>5.9166672961551417E-3</v>
      </c>
      <c r="AG42" s="68">
        <f t="shared" si="105"/>
        <v>6.1059474485919722E-3</v>
      </c>
      <c r="AH42" s="68">
        <f t="shared" si="105"/>
        <v>5.6877575034059123E-3</v>
      </c>
      <c r="AI42" s="68">
        <f t="shared" si="105"/>
        <v>2.6053826578151359E-2</v>
      </c>
      <c r="AJ42" s="68">
        <f t="shared" si="105"/>
        <v>2.6515065457766974E-2</v>
      </c>
      <c r="AK42" s="68">
        <f t="shared" si="105"/>
        <v>2.5496017980781726E-2</v>
      </c>
      <c r="AL42" s="68">
        <f t="shared" si="105"/>
        <v>0</v>
      </c>
      <c r="AM42" s="68">
        <f t="shared" si="105"/>
        <v>0</v>
      </c>
      <c r="AN42" s="68">
        <f t="shared" si="105"/>
        <v>0</v>
      </c>
      <c r="AO42" s="68">
        <f t="shared" si="105"/>
        <v>4.7046753585884248E-2</v>
      </c>
      <c r="AP42" s="68">
        <f t="shared" si="105"/>
        <v>4.7879636688426375E-2</v>
      </c>
      <c r="AQ42" s="68">
        <f t="shared" si="105"/>
        <v>4.6039489507042779E-2</v>
      </c>
      <c r="AR42" s="68">
        <f t="shared" ref="AR42:AT42" si="106">-AR13/$AA42/100</f>
        <v>5.6021643253914864E-2</v>
      </c>
      <c r="AS42" s="68">
        <f t="shared" si="106"/>
        <v>5.7013411579813315E-2</v>
      </c>
      <c r="AT42" s="68">
        <f t="shared" si="106"/>
        <v>5.4822228106505617E-2</v>
      </c>
    </row>
    <row r="43" spans="2:46" x14ac:dyDescent="0.2">
      <c r="Q43">
        <v>2030</v>
      </c>
      <c r="R43" s="236">
        <v>1.0437005023802732</v>
      </c>
      <c r="V43">
        <f t="shared" si="91"/>
        <v>2026</v>
      </c>
      <c r="Z43" s="171">
        <v>2.5000000000000001E-2</v>
      </c>
      <c r="AA43" s="172">
        <f t="shared" si="94"/>
        <v>901868.5492622992</v>
      </c>
      <c r="AB43" s="172"/>
      <c r="AC43" s="172"/>
      <c r="AD43" s="172"/>
      <c r="AE43" s="172"/>
      <c r="AF43" s="68">
        <f t="shared" ref="AF43:AQ43" si="107">-AF14/$AA43/100</f>
        <v>6.6297174086942167E-3</v>
      </c>
      <c r="AG43" s="68">
        <f t="shared" si="107"/>
        <v>6.9732934279241425E-3</v>
      </c>
      <c r="AH43" s="68">
        <f t="shared" si="107"/>
        <v>6.1085159480297919E-3</v>
      </c>
      <c r="AI43" s="68">
        <f t="shared" si="107"/>
        <v>2.6790751173724679E-2</v>
      </c>
      <c r="AJ43" s="68">
        <f t="shared" si="107"/>
        <v>2.762871540448511E-2</v>
      </c>
      <c r="AK43" s="68">
        <f t="shared" si="107"/>
        <v>2.5519567631765661E-2</v>
      </c>
      <c r="AL43" s="68">
        <f t="shared" si="107"/>
        <v>0</v>
      </c>
      <c r="AM43" s="68">
        <f t="shared" si="107"/>
        <v>0</v>
      </c>
      <c r="AN43" s="68">
        <f t="shared" si="107"/>
        <v>0</v>
      </c>
      <c r="AO43" s="68">
        <f t="shared" si="107"/>
        <v>4.8356867111374519E-2</v>
      </c>
      <c r="AP43" s="68">
        <f t="shared" si="107"/>
        <v>4.9869378824398417E-2</v>
      </c>
      <c r="AQ43" s="68">
        <f t="shared" si="107"/>
        <v>4.6062401636551759E-2</v>
      </c>
      <c r="AR43" s="68">
        <f t="shared" ref="AR43:AT43" si="108">-AR14/$AA43/100</f>
        <v>5.6529760144107738E-2</v>
      </c>
      <c r="AS43" s="68">
        <f t="shared" si="108"/>
        <v>5.829790455585112E-2</v>
      </c>
      <c r="AT43" s="68">
        <f t="shared" si="108"/>
        <v>5.3847502365663748E-2</v>
      </c>
    </row>
    <row r="44" spans="2:46" x14ac:dyDescent="0.2">
      <c r="Q44">
        <v>2031</v>
      </c>
      <c r="R44" s="236">
        <v>1.0275354703100366</v>
      </c>
      <c r="V44">
        <f t="shared" si="91"/>
        <v>2027</v>
      </c>
      <c r="Z44" s="171">
        <v>2.5000000000000001E-2</v>
      </c>
      <c r="AA44" s="172">
        <f t="shared" si="94"/>
        <v>924415.26299385657</v>
      </c>
      <c r="AB44" s="172"/>
      <c r="AC44" s="172"/>
      <c r="AD44" s="172"/>
      <c r="AE44" s="172"/>
      <c r="AF44" s="68">
        <f t="shared" ref="AF44:AQ44" si="109">-AF15/$AA44/100</f>
        <v>6.8756245835197493E-3</v>
      </c>
      <c r="AG44" s="68">
        <f t="shared" si="109"/>
        <v>7.1684388900766253E-3</v>
      </c>
      <c r="AH44" s="68">
        <f t="shared" si="109"/>
        <v>6.1709954475764458E-3</v>
      </c>
      <c r="AI44" s="68">
        <f t="shared" si="109"/>
        <v>2.7308951763099637E-2</v>
      </c>
      <c r="AJ44" s="68">
        <f t="shared" si="109"/>
        <v>2.8023245252654788E-2</v>
      </c>
      <c r="AK44" s="68">
        <f t="shared" si="109"/>
        <v>2.5590073986007794E-2</v>
      </c>
      <c r="AL44" s="68">
        <f t="shared" si="109"/>
        <v>0</v>
      </c>
      <c r="AM44" s="68">
        <f t="shared" si="109"/>
        <v>0</v>
      </c>
      <c r="AN44" s="68">
        <f t="shared" si="109"/>
        <v>0</v>
      </c>
      <c r="AO44" s="68">
        <f t="shared" si="109"/>
        <v>4.8602124335113475E-2</v>
      </c>
      <c r="AP44" s="68">
        <f t="shared" si="109"/>
        <v>4.9873362473152535E-2</v>
      </c>
      <c r="AQ44" s="68">
        <f t="shared" si="109"/>
        <v>4.5543013455875567E-2</v>
      </c>
      <c r="AR44" s="68">
        <f t="shared" ref="AR44:AT44" si="110">-AR15/$AA44/100</f>
        <v>5.6531705786709498E-2</v>
      </c>
      <c r="AS44" s="68">
        <f t="shared" si="110"/>
        <v>5.8010350216096074E-2</v>
      </c>
      <c r="AT44" s="68">
        <f t="shared" si="110"/>
        <v>5.2973491849359886E-2</v>
      </c>
    </row>
    <row r="45" spans="2:46" x14ac:dyDescent="0.2">
      <c r="Q45">
        <v>2032</v>
      </c>
      <c r="R45" s="236">
        <v>1.0313388564999493</v>
      </c>
      <c r="V45">
        <f t="shared" si="91"/>
        <v>2028</v>
      </c>
      <c r="Z45" s="171">
        <v>2.5000000000000001E-2</v>
      </c>
      <c r="AA45" s="172">
        <f t="shared" si="94"/>
        <v>947525.6445687029</v>
      </c>
      <c r="AB45" s="172"/>
      <c r="AC45" s="172"/>
      <c r="AD45" s="172"/>
      <c r="AE45" s="172"/>
      <c r="AF45" s="68">
        <f t="shared" ref="AF45:AQ45" si="111">-AF16/$AA45/100</f>
        <v>5.505357909102785E-3</v>
      </c>
      <c r="AG45" s="68">
        <f t="shared" si="111"/>
        <v>5.7217825331741254E-3</v>
      </c>
      <c r="AH45" s="68">
        <f t="shared" si="111"/>
        <v>4.7056382301590063E-3</v>
      </c>
      <c r="AI45" s="68">
        <f t="shared" si="111"/>
        <v>2.4913503469210969E-2</v>
      </c>
      <c r="AJ45" s="68">
        <f t="shared" si="111"/>
        <v>2.5440887851530661E-2</v>
      </c>
      <c r="AK45" s="68">
        <f t="shared" si="111"/>
        <v>2.2964743383715156E-2</v>
      </c>
      <c r="AL45" s="68">
        <f t="shared" si="111"/>
        <v>1.1715583867705064E-2</v>
      </c>
      <c r="AM45" s="68">
        <f t="shared" si="111"/>
        <v>1.1963586561072537E-2</v>
      </c>
      <c r="AN45" s="68">
        <f t="shared" si="111"/>
        <v>1.0799178744359907E-2</v>
      </c>
      <c r="AO45" s="68">
        <f t="shared" si="111"/>
        <v>4.2604031753896654E-2</v>
      </c>
      <c r="AP45" s="68">
        <f t="shared" si="111"/>
        <v>4.3505900132168901E-2</v>
      </c>
      <c r="AQ45" s="68">
        <f t="shared" si="111"/>
        <v>3.9271500194624179E-2</v>
      </c>
      <c r="AR45" s="68">
        <f t="shared" ref="AR45:AT45" si="112">-AR16/$AA45/100</f>
        <v>5.0572823303617662E-2</v>
      </c>
      <c r="AS45" s="68">
        <f t="shared" si="112"/>
        <v>5.1643379968323716E-2</v>
      </c>
      <c r="AT45" s="68">
        <f t="shared" si="112"/>
        <v>4.6616964602864491E-2</v>
      </c>
    </row>
    <row r="46" spans="2:46" x14ac:dyDescent="0.2">
      <c r="Q46">
        <v>2033</v>
      </c>
      <c r="R46" s="236">
        <v>1.0320130114842214</v>
      </c>
      <c r="V46">
        <f t="shared" si="91"/>
        <v>2029</v>
      </c>
      <c r="Z46" s="171">
        <v>2.5000000000000001E-2</v>
      </c>
      <c r="AA46" s="172">
        <f t="shared" si="94"/>
        <v>971213.78568292037</v>
      </c>
      <c r="AB46" s="172"/>
      <c r="AC46" s="172"/>
      <c r="AD46" s="172"/>
      <c r="AE46" s="172"/>
      <c r="AF46" s="68">
        <f t="shared" ref="AF46:AQ46" si="113">-AF17/$AA46/100</f>
        <v>6.1988195773312483E-3</v>
      </c>
      <c r="AG46" s="68">
        <f t="shared" si="113"/>
        <v>6.3763955271496364E-3</v>
      </c>
      <c r="AH46" s="68">
        <f t="shared" si="113"/>
        <v>5.2177702956421402E-3</v>
      </c>
      <c r="AI46" s="68">
        <f t="shared" si="113"/>
        <v>2.5563980200410882E-2</v>
      </c>
      <c r="AJ46" s="68">
        <f t="shared" si="113"/>
        <v>2.5995927650290507E-2</v>
      </c>
      <c r="AK46" s="68">
        <f t="shared" si="113"/>
        <v>2.3177611236228305E-2</v>
      </c>
      <c r="AL46" s="68">
        <f t="shared" si="113"/>
        <v>8.3640327699099713E-3</v>
      </c>
      <c r="AM46" s="68">
        <f t="shared" si="113"/>
        <v>8.5053575009318687E-3</v>
      </c>
      <c r="AN46" s="68">
        <f t="shared" si="113"/>
        <v>7.58325966411644E-3</v>
      </c>
      <c r="AO46" s="68">
        <f t="shared" si="113"/>
        <v>4.1290432912645905E-2</v>
      </c>
      <c r="AP46" s="68">
        <f t="shared" si="113"/>
        <v>4.1988105851727436E-2</v>
      </c>
      <c r="AQ46" s="68">
        <f t="shared" si="113"/>
        <v>3.7436017174254071E-2</v>
      </c>
      <c r="AR46" s="68">
        <f t="shared" ref="AR46:AT46" si="114">-AR17/$AA46/100</f>
        <v>5.0874775234783946E-2</v>
      </c>
      <c r="AS46" s="68">
        <f t="shared" si="114"/>
        <v>5.1734392135344323E-2</v>
      </c>
      <c r="AT46" s="68">
        <f t="shared" si="114"/>
        <v>4.6125671858538116E-2</v>
      </c>
    </row>
    <row r="47" spans="2:46" x14ac:dyDescent="0.2">
      <c r="Q47">
        <v>2034</v>
      </c>
      <c r="R47" s="236">
        <v>1.0330956545136551</v>
      </c>
      <c r="V47">
        <f t="shared" si="91"/>
        <v>2030</v>
      </c>
      <c r="Z47" s="171">
        <v>2.5000000000000001E-2</v>
      </c>
      <c r="AA47" s="172">
        <f t="shared" si="94"/>
        <v>995494.13032499328</v>
      </c>
      <c r="AB47" s="172"/>
      <c r="AC47" s="172"/>
      <c r="AD47" s="172"/>
      <c r="AE47" s="172"/>
      <c r="AF47" s="68">
        <f t="shared" ref="AF47:AQ47" si="115">-AF18/$AA47/100</f>
        <v>-4.294353328542032E-3</v>
      </c>
      <c r="AG47" s="68">
        <f t="shared" si="115"/>
        <v>-4.294353328542032E-3</v>
      </c>
      <c r="AH47" s="68">
        <f t="shared" si="115"/>
        <v>-4.294353328542032E-3</v>
      </c>
      <c r="AI47" s="68">
        <f t="shared" si="115"/>
        <v>0</v>
      </c>
      <c r="AJ47" s="68">
        <f t="shared" si="115"/>
        <v>0</v>
      </c>
      <c r="AK47" s="68">
        <f t="shared" si="115"/>
        <v>0</v>
      </c>
      <c r="AL47" s="68">
        <f t="shared" si="115"/>
        <v>0</v>
      </c>
      <c r="AM47" s="68">
        <f t="shared" si="115"/>
        <v>0</v>
      </c>
      <c r="AN47" s="68">
        <f t="shared" si="115"/>
        <v>0</v>
      </c>
      <c r="AO47" s="68">
        <f t="shared" si="115"/>
        <v>0</v>
      </c>
      <c r="AP47" s="68">
        <f t="shared" si="115"/>
        <v>0</v>
      </c>
      <c r="AQ47" s="68">
        <f t="shared" si="115"/>
        <v>0</v>
      </c>
      <c r="AR47" s="68">
        <f t="shared" ref="AR47:AT47" si="116">-AR18/$AA47/100</f>
        <v>0</v>
      </c>
      <c r="AS47" s="68">
        <f t="shared" si="116"/>
        <v>0</v>
      </c>
      <c r="AT47" s="68">
        <f t="shared" si="116"/>
        <v>0</v>
      </c>
    </row>
    <row r="48" spans="2:46" x14ac:dyDescent="0.2">
      <c r="Q48">
        <v>2035</v>
      </c>
      <c r="R48" s="236">
        <v>1</v>
      </c>
      <c r="V48">
        <f t="shared" si="91"/>
        <v>2031</v>
      </c>
      <c r="Z48" s="171">
        <v>2.5000000000000001E-2</v>
      </c>
      <c r="AA48" s="172">
        <f t="shared" si="94"/>
        <v>1020381.4835831181</v>
      </c>
      <c r="AB48" s="172"/>
      <c r="AC48" s="172"/>
      <c r="AD48" s="172"/>
      <c r="AE48" s="172"/>
      <c r="AF48" s="68">
        <f t="shared" ref="AF48:AQ48" si="117">-AF19/$AA48/100</f>
        <v>-4.6762350289902095E-3</v>
      </c>
      <c r="AG48" s="68">
        <f t="shared" si="117"/>
        <v>-4.6762350289902095E-3</v>
      </c>
      <c r="AH48" s="68">
        <f t="shared" si="117"/>
        <v>-4.6762350289902095E-3</v>
      </c>
      <c r="AI48" s="68">
        <f t="shared" si="117"/>
        <v>0</v>
      </c>
      <c r="AJ48" s="68">
        <f t="shared" si="117"/>
        <v>0</v>
      </c>
      <c r="AK48" s="68">
        <f t="shared" si="117"/>
        <v>0</v>
      </c>
      <c r="AL48" s="68">
        <f t="shared" si="117"/>
        <v>0</v>
      </c>
      <c r="AM48" s="68">
        <f t="shared" si="117"/>
        <v>0</v>
      </c>
      <c r="AN48" s="68">
        <f t="shared" si="117"/>
        <v>0</v>
      </c>
      <c r="AO48" s="68">
        <f t="shared" si="117"/>
        <v>0</v>
      </c>
      <c r="AP48" s="68">
        <f t="shared" si="117"/>
        <v>0</v>
      </c>
      <c r="AQ48" s="68">
        <f t="shared" si="117"/>
        <v>0</v>
      </c>
      <c r="AR48" s="68">
        <f t="shared" ref="AR48:AT48" si="118">-AR19/$AA48/100</f>
        <v>0</v>
      </c>
      <c r="AS48" s="68">
        <f t="shared" si="118"/>
        <v>0</v>
      </c>
      <c r="AT48" s="68">
        <f t="shared" si="118"/>
        <v>0</v>
      </c>
    </row>
    <row r="49" spans="17:46" x14ac:dyDescent="0.2">
      <c r="Q49">
        <v>2036</v>
      </c>
      <c r="R49" s="236">
        <v>1.0300000000000002</v>
      </c>
      <c r="V49">
        <f t="shared" si="91"/>
        <v>2032</v>
      </c>
      <c r="Z49" s="171">
        <v>2.5000000000000001E-2</v>
      </c>
      <c r="AA49" s="172">
        <f t="shared" si="94"/>
        <v>1045891.0206726959</v>
      </c>
      <c r="AB49" s="172"/>
      <c r="AC49" s="172"/>
      <c r="AD49" s="172"/>
      <c r="AE49" s="172"/>
      <c r="AF49" s="68">
        <f t="shared" ref="AF49:AQ49" si="119">-AF20/$AA49/100</f>
        <v>-4.2923042812487711E-3</v>
      </c>
      <c r="AG49" s="68">
        <f t="shared" si="119"/>
        <v>-4.2923042812487711E-3</v>
      </c>
      <c r="AH49" s="68">
        <f t="shared" si="119"/>
        <v>-4.2923042812487711E-3</v>
      </c>
      <c r="AI49" s="68">
        <f t="shared" si="119"/>
        <v>0</v>
      </c>
      <c r="AJ49" s="68">
        <f t="shared" si="119"/>
        <v>0</v>
      </c>
      <c r="AK49" s="68">
        <f t="shared" si="119"/>
        <v>0</v>
      </c>
      <c r="AL49" s="68">
        <f t="shared" si="119"/>
        <v>0</v>
      </c>
      <c r="AM49" s="68">
        <f t="shared" si="119"/>
        <v>0</v>
      </c>
      <c r="AN49" s="68">
        <f t="shared" si="119"/>
        <v>0</v>
      </c>
      <c r="AO49" s="68">
        <f t="shared" si="119"/>
        <v>0</v>
      </c>
      <c r="AP49" s="68">
        <f t="shared" si="119"/>
        <v>0</v>
      </c>
      <c r="AQ49" s="68">
        <f t="shared" si="119"/>
        <v>0</v>
      </c>
      <c r="AR49" s="68">
        <f t="shared" ref="AR49:AT49" si="120">-AR20/$AA49/100</f>
        <v>0</v>
      </c>
      <c r="AS49" s="68">
        <f t="shared" si="120"/>
        <v>0</v>
      </c>
      <c r="AT49" s="68">
        <f t="shared" si="120"/>
        <v>0</v>
      </c>
    </row>
    <row r="50" spans="17:46" x14ac:dyDescent="0.2">
      <c r="Q50">
        <v>2037</v>
      </c>
      <c r="R50" s="236">
        <v>1.03</v>
      </c>
      <c r="V50">
        <f t="shared" si="91"/>
        <v>2033</v>
      </c>
      <c r="Z50" s="171">
        <v>2.5000000000000001E-2</v>
      </c>
      <c r="AA50" s="172">
        <f t="shared" si="94"/>
        <v>1072038.2961895133</v>
      </c>
      <c r="AB50" s="172"/>
      <c r="AC50" s="172"/>
      <c r="AD50" s="172"/>
      <c r="AE50" s="172"/>
      <c r="AF50" s="68">
        <f t="shared" ref="AF50:AQ50" si="121">-AF21/$AA50/100</f>
        <v>-4.2550590233062383E-3</v>
      </c>
      <c r="AG50" s="68">
        <f t="shared" si="121"/>
        <v>-4.2550590233062383E-3</v>
      </c>
      <c r="AH50" s="68">
        <f t="shared" si="121"/>
        <v>-4.2550590233062383E-3</v>
      </c>
      <c r="AI50" s="68">
        <f t="shared" si="121"/>
        <v>0</v>
      </c>
      <c r="AJ50" s="68">
        <f t="shared" si="121"/>
        <v>0</v>
      </c>
      <c r="AK50" s="68">
        <f t="shared" si="121"/>
        <v>0</v>
      </c>
      <c r="AL50" s="68">
        <f t="shared" si="121"/>
        <v>0</v>
      </c>
      <c r="AM50" s="68">
        <f t="shared" si="121"/>
        <v>0</v>
      </c>
      <c r="AN50" s="68">
        <f t="shared" si="121"/>
        <v>0</v>
      </c>
      <c r="AO50" s="68">
        <f t="shared" si="121"/>
        <v>0</v>
      </c>
      <c r="AP50" s="68">
        <f t="shared" si="121"/>
        <v>0</v>
      </c>
      <c r="AQ50" s="68">
        <f t="shared" si="121"/>
        <v>0</v>
      </c>
      <c r="AR50" s="68">
        <f t="shared" ref="AR50:AT50" si="122">-AR21/$AA50/100</f>
        <v>0</v>
      </c>
      <c r="AS50" s="68">
        <f t="shared" si="122"/>
        <v>0</v>
      </c>
      <c r="AT50" s="68">
        <f t="shared" si="122"/>
        <v>0</v>
      </c>
    </row>
    <row r="51" spans="17:46" x14ac:dyDescent="0.2">
      <c r="Q51">
        <v>2038</v>
      </c>
      <c r="R51" s="236">
        <v>1.0300000000000002</v>
      </c>
      <c r="V51">
        <f t="shared" si="91"/>
        <v>2034</v>
      </c>
      <c r="Z51" s="171">
        <v>2.5000000000000001E-2</v>
      </c>
      <c r="AA51" s="172">
        <f t="shared" si="94"/>
        <v>1098839.2535942511</v>
      </c>
      <c r="AB51" s="172"/>
      <c r="AC51" s="172"/>
      <c r="AD51" s="172"/>
      <c r="AE51" s="172"/>
      <c r="AF51" s="68">
        <f t="shared" ref="AF51:AQ51" si="123">-AF22/$AA51/100</f>
        <v>-4.6382429148931871E-3</v>
      </c>
      <c r="AG51" s="68">
        <f t="shared" si="123"/>
        <v>-4.6382429148931871E-3</v>
      </c>
      <c r="AH51" s="68">
        <f t="shared" si="123"/>
        <v>-4.6382429148931871E-3</v>
      </c>
      <c r="AI51" s="68">
        <f t="shared" si="123"/>
        <v>0</v>
      </c>
      <c r="AJ51" s="68">
        <f t="shared" si="123"/>
        <v>0</v>
      </c>
      <c r="AK51" s="68">
        <f t="shared" si="123"/>
        <v>0</v>
      </c>
      <c r="AL51" s="68">
        <f t="shared" si="123"/>
        <v>0</v>
      </c>
      <c r="AM51" s="68">
        <f t="shared" si="123"/>
        <v>0</v>
      </c>
      <c r="AN51" s="68">
        <f t="shared" si="123"/>
        <v>0</v>
      </c>
      <c r="AO51" s="68">
        <f t="shared" si="123"/>
        <v>0</v>
      </c>
      <c r="AP51" s="68">
        <f t="shared" si="123"/>
        <v>0</v>
      </c>
      <c r="AQ51" s="68">
        <f t="shared" si="123"/>
        <v>0</v>
      </c>
      <c r="AR51" s="68">
        <f t="shared" ref="AR51:AT51" si="124">-AR22/$AA51/100</f>
        <v>0</v>
      </c>
      <c r="AS51" s="68">
        <f t="shared" si="124"/>
        <v>0</v>
      </c>
      <c r="AT51" s="68">
        <f t="shared" si="124"/>
        <v>0</v>
      </c>
    </row>
    <row r="52" spans="17:46" x14ac:dyDescent="0.2">
      <c r="Q52">
        <v>2039</v>
      </c>
      <c r="R52" s="236">
        <v>1.03</v>
      </c>
      <c r="V52">
        <f t="shared" si="91"/>
        <v>2035</v>
      </c>
      <c r="Z52" s="171">
        <v>2.5000000000000001E-2</v>
      </c>
      <c r="AA52" s="172">
        <f t="shared" si="94"/>
        <v>1126310.2349341074</v>
      </c>
      <c r="AB52" s="172"/>
      <c r="AC52" s="172"/>
      <c r="AD52" s="172"/>
      <c r="AE52" s="172"/>
      <c r="AF52" s="68">
        <f t="shared" ref="AF52:AQ52" si="125">-AF23/$AA52/100</f>
        <v>0</v>
      </c>
      <c r="AG52" s="68">
        <f t="shared" si="125"/>
        <v>0</v>
      </c>
      <c r="AH52" s="68">
        <f t="shared" si="125"/>
        <v>0</v>
      </c>
      <c r="AI52" s="68">
        <f t="shared" si="125"/>
        <v>0</v>
      </c>
      <c r="AJ52" s="68">
        <f t="shared" si="125"/>
        <v>0</v>
      </c>
      <c r="AK52" s="68">
        <f t="shared" si="125"/>
        <v>0</v>
      </c>
      <c r="AL52" s="68">
        <f t="shared" si="125"/>
        <v>0</v>
      </c>
      <c r="AM52" s="68">
        <f t="shared" si="125"/>
        <v>0</v>
      </c>
      <c r="AN52" s="68">
        <f t="shared" si="125"/>
        <v>0</v>
      </c>
      <c r="AO52" s="68">
        <f t="shared" si="125"/>
        <v>0</v>
      </c>
      <c r="AP52" s="68">
        <f t="shared" si="125"/>
        <v>0</v>
      </c>
      <c r="AQ52" s="68">
        <f t="shared" si="125"/>
        <v>0</v>
      </c>
      <c r="AR52" s="68">
        <f t="shared" ref="AR52:AT52" si="126">-AR23/$AA52/100</f>
        <v>0</v>
      </c>
      <c r="AS52" s="68">
        <f t="shared" si="126"/>
        <v>0</v>
      </c>
      <c r="AT52" s="68">
        <f t="shared" si="126"/>
        <v>0</v>
      </c>
    </row>
    <row r="53" spans="17:46" x14ac:dyDescent="0.2">
      <c r="Q53">
        <v>2040</v>
      </c>
      <c r="R53" s="236">
        <v>1.0299999999999998</v>
      </c>
      <c r="V53">
        <f t="shared" si="91"/>
        <v>2036</v>
      </c>
      <c r="Z53" s="171">
        <v>2.5000000000000001E-2</v>
      </c>
      <c r="AA53" s="172">
        <f t="shared" si="94"/>
        <v>1154467.9908074599</v>
      </c>
      <c r="AB53" s="172"/>
      <c r="AC53" s="172"/>
      <c r="AD53" s="172"/>
      <c r="AE53" s="172"/>
      <c r="AF53" s="68">
        <f t="shared" ref="AF53:AQ53" si="127">-AF24/$AA53/100</f>
        <v>0</v>
      </c>
      <c r="AG53" s="68">
        <f t="shared" si="127"/>
        <v>0</v>
      </c>
      <c r="AH53" s="68">
        <f t="shared" si="127"/>
        <v>0</v>
      </c>
      <c r="AI53" s="68">
        <f t="shared" si="127"/>
        <v>0</v>
      </c>
      <c r="AJ53" s="68">
        <f t="shared" si="127"/>
        <v>0</v>
      </c>
      <c r="AK53" s="68">
        <f t="shared" si="127"/>
        <v>0</v>
      </c>
      <c r="AL53" s="68">
        <f t="shared" si="127"/>
        <v>0</v>
      </c>
      <c r="AM53" s="68">
        <f t="shared" si="127"/>
        <v>0</v>
      </c>
      <c r="AN53" s="68">
        <f t="shared" si="127"/>
        <v>0</v>
      </c>
      <c r="AO53" s="68">
        <f t="shared" si="127"/>
        <v>0</v>
      </c>
      <c r="AP53" s="68">
        <f t="shared" si="127"/>
        <v>0</v>
      </c>
      <c r="AQ53" s="68">
        <f t="shared" si="127"/>
        <v>0</v>
      </c>
      <c r="AR53" s="68">
        <f t="shared" ref="AR53:AT53" si="128">-AR24/$AA53/100</f>
        <v>0</v>
      </c>
      <c r="AS53" s="68">
        <f t="shared" si="128"/>
        <v>0</v>
      </c>
      <c r="AT53" s="68">
        <f t="shared" si="128"/>
        <v>0</v>
      </c>
    </row>
    <row r="54" spans="17:46" x14ac:dyDescent="0.2">
      <c r="Q54">
        <v>2041</v>
      </c>
      <c r="R54" s="236">
        <v>1.03</v>
      </c>
      <c r="V54">
        <f t="shared" si="91"/>
        <v>2037</v>
      </c>
      <c r="Z54" s="171">
        <v>2.5000000000000001E-2</v>
      </c>
      <c r="AA54" s="172">
        <f t="shared" si="94"/>
        <v>1183329.6905776463</v>
      </c>
      <c r="AB54" s="172"/>
      <c r="AC54" s="172"/>
      <c r="AD54" s="172"/>
      <c r="AE54" s="172"/>
      <c r="AF54" s="68">
        <f t="shared" ref="AF54:AQ54" si="129">-AF25/$AA54/100</f>
        <v>0</v>
      </c>
      <c r="AG54" s="68">
        <f t="shared" si="129"/>
        <v>0</v>
      </c>
      <c r="AH54" s="68">
        <f t="shared" si="129"/>
        <v>0</v>
      </c>
      <c r="AI54" s="68">
        <f t="shared" si="129"/>
        <v>0</v>
      </c>
      <c r="AJ54" s="68">
        <f t="shared" si="129"/>
        <v>0</v>
      </c>
      <c r="AK54" s="68">
        <f t="shared" si="129"/>
        <v>0</v>
      </c>
      <c r="AL54" s="68">
        <f t="shared" si="129"/>
        <v>0</v>
      </c>
      <c r="AM54" s="68">
        <f t="shared" si="129"/>
        <v>0</v>
      </c>
      <c r="AN54" s="68">
        <f t="shared" si="129"/>
        <v>0</v>
      </c>
      <c r="AO54" s="68">
        <f t="shared" si="129"/>
        <v>0</v>
      </c>
      <c r="AP54" s="68">
        <f t="shared" si="129"/>
        <v>0</v>
      </c>
      <c r="AQ54" s="68">
        <f t="shared" si="129"/>
        <v>0</v>
      </c>
      <c r="AR54" s="68">
        <f t="shared" ref="AR54:AT54" si="130">-AR25/$AA54/100</f>
        <v>0</v>
      </c>
      <c r="AS54" s="68">
        <f t="shared" si="130"/>
        <v>0</v>
      </c>
      <c r="AT54" s="68">
        <f t="shared" si="130"/>
        <v>0</v>
      </c>
    </row>
    <row r="55" spans="17:46" x14ac:dyDescent="0.2">
      <c r="Q55">
        <v>2042</v>
      </c>
      <c r="R55" s="236">
        <v>1.03</v>
      </c>
      <c r="V55">
        <f t="shared" si="91"/>
        <v>2038</v>
      </c>
      <c r="Z55" s="171">
        <v>2.5000000000000001E-2</v>
      </c>
      <c r="AA55" s="172">
        <f t="shared" si="94"/>
        <v>1212912.9328420872</v>
      </c>
      <c r="AB55" s="172"/>
      <c r="AC55" s="172"/>
      <c r="AD55" s="172"/>
      <c r="AE55" s="172"/>
      <c r="AF55" s="68">
        <f t="shared" ref="AF55:AQ55" si="131">-AF26/$AA55/100</f>
        <v>0</v>
      </c>
      <c r="AG55" s="68">
        <f t="shared" si="131"/>
        <v>0</v>
      </c>
      <c r="AH55" s="68">
        <f t="shared" si="131"/>
        <v>0</v>
      </c>
      <c r="AI55" s="68">
        <f t="shared" si="131"/>
        <v>0</v>
      </c>
      <c r="AJ55" s="68">
        <f t="shared" si="131"/>
        <v>0</v>
      </c>
      <c r="AK55" s="68">
        <f t="shared" si="131"/>
        <v>0</v>
      </c>
      <c r="AL55" s="68">
        <f t="shared" si="131"/>
        <v>0</v>
      </c>
      <c r="AM55" s="68">
        <f t="shared" si="131"/>
        <v>0</v>
      </c>
      <c r="AN55" s="68">
        <f t="shared" si="131"/>
        <v>0</v>
      </c>
      <c r="AO55" s="68">
        <f t="shared" si="131"/>
        <v>0</v>
      </c>
      <c r="AP55" s="68">
        <f t="shared" si="131"/>
        <v>0</v>
      </c>
      <c r="AQ55" s="68">
        <f t="shared" si="131"/>
        <v>0</v>
      </c>
      <c r="AR55" s="68">
        <f t="shared" ref="AR55:AT55" si="132">-AR26/$AA55/100</f>
        <v>0</v>
      </c>
      <c r="AS55" s="68">
        <f t="shared" si="132"/>
        <v>0</v>
      </c>
      <c r="AT55" s="68">
        <f t="shared" si="132"/>
        <v>0</v>
      </c>
    </row>
  </sheetData>
  <mergeCells count="10">
    <mergeCell ref="BR3:BT3"/>
    <mergeCell ref="BF3:BH3"/>
    <mergeCell ref="AF3:AH3"/>
    <mergeCell ref="AR3:AT3"/>
    <mergeCell ref="BO3:BQ3"/>
    <mergeCell ref="AI3:AK3"/>
    <mergeCell ref="AL3:AN3"/>
    <mergeCell ref="BI3:BK3"/>
    <mergeCell ref="BL3:BN3"/>
    <mergeCell ref="AO3:AQ3"/>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K13"/>
  <sheetViews>
    <sheetView workbookViewId="0">
      <selection activeCell="C7" sqref="C7:J7"/>
    </sheetView>
  </sheetViews>
  <sheetFormatPr defaultRowHeight="12.75" x14ac:dyDescent="0.2"/>
  <cols>
    <col min="2" max="2" width="17.7109375" customWidth="1"/>
  </cols>
  <sheetData>
    <row r="2" spans="2:11" x14ac:dyDescent="0.2">
      <c r="C2" s="61" t="s">
        <v>259</v>
      </c>
    </row>
    <row r="3" spans="2:11" x14ac:dyDescent="0.2">
      <c r="C3" s="61" t="s">
        <v>478</v>
      </c>
    </row>
    <row r="5" spans="2:11" x14ac:dyDescent="0.2">
      <c r="B5" s="61"/>
    </row>
    <row r="6" spans="2:11" ht="36" x14ac:dyDescent="0.2">
      <c r="C6" s="140" t="s">
        <v>260</v>
      </c>
      <c r="D6" s="140" t="s">
        <v>261</v>
      </c>
      <c r="E6" s="140" t="s">
        <v>262</v>
      </c>
      <c r="F6" s="140" t="s">
        <v>263</v>
      </c>
      <c r="G6" s="140" t="s">
        <v>264</v>
      </c>
      <c r="H6" s="140" t="s">
        <v>265</v>
      </c>
      <c r="I6" s="140" t="s">
        <v>266</v>
      </c>
      <c r="J6" s="140" t="s">
        <v>267</v>
      </c>
    </row>
    <row r="7" spans="2:11" x14ac:dyDescent="0.2">
      <c r="B7" s="142" t="s">
        <v>268</v>
      </c>
      <c r="C7" s="167">
        <v>719.12478999999996</v>
      </c>
      <c r="D7" s="167">
        <v>0.58445000000000003</v>
      </c>
      <c r="E7" s="167">
        <v>6.0000000000000002E-5</v>
      </c>
      <c r="F7" s="167">
        <v>0.56405000000000005</v>
      </c>
      <c r="G7" s="167">
        <v>0.29802000000000001</v>
      </c>
      <c r="H7" s="167">
        <v>0.26218999999999998</v>
      </c>
      <c r="I7" s="167">
        <v>0.20763000000000001</v>
      </c>
      <c r="J7" s="167">
        <v>3.3829999999999999E-2</v>
      </c>
    </row>
    <row r="8" spans="2:11" x14ac:dyDescent="0.2">
      <c r="B8" s="142" t="s">
        <v>406</v>
      </c>
      <c r="C8" s="279">
        <v>753.08325000000002</v>
      </c>
      <c r="D8" s="279">
        <v>1.30016</v>
      </c>
      <c r="E8" s="279">
        <v>1.0000000000000001E-5</v>
      </c>
      <c r="F8" s="279">
        <v>0.66978000000000004</v>
      </c>
      <c r="G8" s="279">
        <v>0.32368999999999998</v>
      </c>
      <c r="H8" s="279">
        <v>0.25874999999999998</v>
      </c>
      <c r="I8" s="279">
        <v>0.51351999999999998</v>
      </c>
      <c r="J8" s="279">
        <v>4.3369999999999999E-2</v>
      </c>
    </row>
    <row r="9" spans="2:11" x14ac:dyDescent="0.2">
      <c r="B9" s="142" t="s">
        <v>269</v>
      </c>
      <c r="C9" s="259">
        <v>890.10806000000002</v>
      </c>
      <c r="D9" s="259">
        <v>0.78183000000000002</v>
      </c>
      <c r="E9" s="259">
        <v>3.5E-4</v>
      </c>
      <c r="F9" s="259">
        <v>0.68684999999999996</v>
      </c>
      <c r="G9" s="259">
        <v>0.31977</v>
      </c>
      <c r="H9" s="259">
        <v>0.27700999999999998</v>
      </c>
      <c r="I9" s="259">
        <v>0.30229</v>
      </c>
      <c r="J9" s="259">
        <v>5.092E-2</v>
      </c>
      <c r="K9" s="183"/>
    </row>
    <row r="11" spans="2:11" x14ac:dyDescent="0.2">
      <c r="C11" s="141"/>
      <c r="D11" s="141"/>
      <c r="E11" s="141"/>
      <c r="F11" s="141"/>
      <c r="G11" s="141"/>
      <c r="H11" s="141"/>
      <c r="I11" s="141"/>
      <c r="J11" s="141"/>
    </row>
    <row r="13" spans="2:11" x14ac:dyDescent="0.2">
      <c r="C13" s="183"/>
      <c r="D13" s="183"/>
      <c r="E13" s="183"/>
      <c r="F13" s="183"/>
      <c r="G13" s="183"/>
      <c r="H13" s="183"/>
      <c r="I13" s="183"/>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57"/>
  <sheetViews>
    <sheetView workbookViewId="0">
      <selection activeCell="G11" sqref="G11"/>
    </sheetView>
  </sheetViews>
  <sheetFormatPr defaultRowHeight="12.75" x14ac:dyDescent="0.2"/>
  <cols>
    <col min="1" max="1" width="14.5703125" customWidth="1"/>
    <col min="7" max="7" width="12.28515625" bestFit="1" customWidth="1"/>
    <col min="8" max="8" width="12.28515625" customWidth="1"/>
    <col min="9" max="9" width="9.42578125" customWidth="1"/>
    <col min="10" max="10" width="8.7109375" customWidth="1"/>
    <col min="11" max="11" width="9.5703125" customWidth="1"/>
    <col min="12" max="12" width="10.7109375" customWidth="1"/>
    <col min="13" max="13" width="11.28515625" customWidth="1"/>
    <col min="14" max="14" width="9" customWidth="1"/>
    <col min="15" max="15" width="10.7109375" customWidth="1"/>
    <col min="17" max="17" width="10.140625" bestFit="1" customWidth="1"/>
    <col min="19" max="19" width="10.7109375" customWidth="1"/>
    <col min="34" max="34" width="8.5703125" customWidth="1"/>
    <col min="35" max="36" width="10.140625" bestFit="1" customWidth="1"/>
    <col min="37" max="38" width="11.140625" bestFit="1" customWidth="1"/>
  </cols>
  <sheetData>
    <row r="1" spans="1:38" x14ac:dyDescent="0.2">
      <c r="A1" s="61" t="s">
        <v>320</v>
      </c>
      <c r="B1" s="76">
        <v>3.41</v>
      </c>
    </row>
    <row r="2" spans="1:38" x14ac:dyDescent="0.2">
      <c r="A2" s="61" t="s">
        <v>321</v>
      </c>
      <c r="B2" s="74">
        <v>0.02</v>
      </c>
    </row>
    <row r="3" spans="1:38" x14ac:dyDescent="0.2">
      <c r="A3" s="61" t="s">
        <v>324</v>
      </c>
      <c r="B3" s="23">
        <f>+'Renewable Analysis'!D34</f>
        <v>4.9599999999999998E-2</v>
      </c>
      <c r="AH3">
        <v>1</v>
      </c>
      <c r="AI3">
        <v>5</v>
      </c>
      <c r="AJ3">
        <v>10</v>
      </c>
      <c r="AK3">
        <v>50</v>
      </c>
      <c r="AL3">
        <v>100</v>
      </c>
    </row>
    <row r="4" spans="1:38" ht="51" x14ac:dyDescent="0.2">
      <c r="C4" s="89"/>
      <c r="D4" s="176" t="s">
        <v>270</v>
      </c>
      <c r="E4" s="176" t="s">
        <v>271</v>
      </c>
      <c r="F4" s="176" t="s">
        <v>280</v>
      </c>
      <c r="G4" s="176" t="s">
        <v>281</v>
      </c>
      <c r="H4" s="182" t="s">
        <v>338</v>
      </c>
      <c r="I4" s="177" t="s">
        <v>275</v>
      </c>
      <c r="J4" s="177" t="s">
        <v>272</v>
      </c>
      <c r="K4" s="177" t="s">
        <v>276</v>
      </c>
      <c r="L4" s="177" t="s">
        <v>279</v>
      </c>
      <c r="M4" s="177" t="s">
        <v>277</v>
      </c>
      <c r="N4" s="177" t="s">
        <v>278</v>
      </c>
      <c r="O4" s="177" t="s">
        <v>273</v>
      </c>
      <c r="P4" s="177" t="s">
        <v>274</v>
      </c>
      <c r="Q4" s="177" t="s">
        <v>282</v>
      </c>
      <c r="R4" s="177" t="s">
        <v>283</v>
      </c>
      <c r="S4" s="177" t="s">
        <v>284</v>
      </c>
      <c r="T4" s="177" t="s">
        <v>285</v>
      </c>
      <c r="U4" s="177" t="s">
        <v>286</v>
      </c>
      <c r="V4" s="177" t="s">
        <v>287</v>
      </c>
      <c r="W4" s="177" t="s">
        <v>288</v>
      </c>
      <c r="X4" s="177" t="s">
        <v>289</v>
      </c>
      <c r="Y4" s="177" t="s">
        <v>330</v>
      </c>
      <c r="Z4" s="177" t="s">
        <v>331</v>
      </c>
      <c r="AA4" s="177" t="s">
        <v>332</v>
      </c>
      <c r="AB4" s="177" t="s">
        <v>333</v>
      </c>
      <c r="AC4" s="177" t="s">
        <v>334</v>
      </c>
      <c r="AD4" s="177" t="s">
        <v>335</v>
      </c>
      <c r="AE4" s="177" t="s">
        <v>336</v>
      </c>
      <c r="AF4" s="177" t="s">
        <v>337</v>
      </c>
      <c r="AG4" s="177" t="s">
        <v>328</v>
      </c>
      <c r="AH4" s="177" t="s">
        <v>329</v>
      </c>
      <c r="AI4" s="177" t="s">
        <v>341</v>
      </c>
      <c r="AJ4" s="177" t="s">
        <v>342</v>
      </c>
      <c r="AK4" s="177" t="s">
        <v>343</v>
      </c>
      <c r="AL4" s="177" t="s">
        <v>344</v>
      </c>
    </row>
    <row r="5" spans="1:38" x14ac:dyDescent="0.2">
      <c r="C5" s="89">
        <f>+'Annual Energy Data'!A19</f>
        <v>2019</v>
      </c>
      <c r="D5" s="102">
        <f>+'Annual Energy Data'!V19</f>
        <v>0</v>
      </c>
      <c r="E5" s="102">
        <f>+D5*'Tier 1 Data - MOU I.4'!A9</f>
        <v>0</v>
      </c>
      <c r="F5" s="102">
        <f>+'Annual Energy Data'!BL19</f>
        <v>85410</v>
      </c>
      <c r="G5" s="102">
        <f>+D5-E5-F5</f>
        <v>-85410</v>
      </c>
      <c r="H5" s="178" t="e">
        <f>+G5/D5</f>
        <v>#DIV/0!</v>
      </c>
      <c r="I5" s="180">
        <f>+'Emissions Data'!C9</f>
        <v>890.10806000000002</v>
      </c>
      <c r="J5" s="180">
        <f>+'Emissions Data'!D9</f>
        <v>0.78183000000000002</v>
      </c>
      <c r="K5" s="180">
        <f>+'Emissions Data'!E9</f>
        <v>3.5E-4</v>
      </c>
      <c r="L5" s="180">
        <f>+'Emissions Data'!F9</f>
        <v>0.68684999999999996</v>
      </c>
      <c r="M5" s="180">
        <f>+'Emissions Data'!G9</f>
        <v>0.31977</v>
      </c>
      <c r="N5" s="180">
        <f>+'Emissions Data'!H9</f>
        <v>0.27700999999999998</v>
      </c>
      <c r="O5" s="180">
        <f>+'Emissions Data'!I9</f>
        <v>0.30229</v>
      </c>
      <c r="P5" s="180">
        <f>+'Emissions Data'!J9</f>
        <v>5.092E-2</v>
      </c>
      <c r="Q5" s="102">
        <f>+I5*$G5/2000</f>
        <v>-38012.064702300006</v>
      </c>
      <c r="R5" s="102">
        <f t="shared" ref="R5:X5" si="0">+J5*$G5/2000</f>
        <v>-33.388050150000005</v>
      </c>
      <c r="S5" s="102">
        <f t="shared" si="0"/>
        <v>-1.494675E-2</v>
      </c>
      <c r="T5" s="102">
        <f t="shared" si="0"/>
        <v>-29.331929249999998</v>
      </c>
      <c r="U5" s="102">
        <f t="shared" si="0"/>
        <v>-13.65577785</v>
      </c>
      <c r="V5" s="102">
        <f t="shared" si="0"/>
        <v>-11.829712049999998</v>
      </c>
      <c r="W5" s="102">
        <f t="shared" si="0"/>
        <v>-12.909294449999999</v>
      </c>
      <c r="X5" s="102">
        <f t="shared" si="0"/>
        <v>-2.1745386</v>
      </c>
      <c r="Y5" s="181" t="e">
        <f>+Q5*2000/$D5</f>
        <v>#DIV/0!</v>
      </c>
      <c r="Z5" s="181" t="e">
        <f t="shared" ref="Z5:Z24" si="1">+R5*2000/$D5</f>
        <v>#DIV/0!</v>
      </c>
      <c r="AA5" s="181" t="e">
        <f t="shared" ref="AA5:AA24" si="2">+S5*2000/$D5</f>
        <v>#DIV/0!</v>
      </c>
      <c r="AB5" s="181" t="e">
        <f t="shared" ref="AB5:AB24" si="3">+T5*2000/$D5</f>
        <v>#DIV/0!</v>
      </c>
      <c r="AC5" s="181" t="e">
        <f t="shared" ref="AC5:AC24" si="4">+U5*2000/$D5</f>
        <v>#DIV/0!</v>
      </c>
      <c r="AD5" s="181" t="e">
        <f t="shared" ref="AD5:AD24" si="5">+V5*2000/$D5</f>
        <v>#DIV/0!</v>
      </c>
      <c r="AE5" s="181" t="e">
        <f t="shared" ref="AE5:AE24" si="6">+W5*2000/$D5</f>
        <v>#DIV/0!</v>
      </c>
      <c r="AF5" s="181" t="e">
        <f t="shared" ref="AF5:AF24" si="7">+X5*2000/$D5</f>
        <v>#DIV/0!</v>
      </c>
      <c r="AG5" s="102">
        <f>+SUM(Q5:X5)</f>
        <v>-38115.368951400007</v>
      </c>
      <c r="AH5" s="185">
        <f t="shared" ref="AH5:AH24" si="8">+$Q5*D34</f>
        <v>-38012.064702300006</v>
      </c>
      <c r="AI5" s="185">
        <f t="shared" ref="AI5:AI24" si="9">+$Q5*E34</f>
        <v>-190060.32351150003</v>
      </c>
      <c r="AJ5" s="185">
        <f t="shared" ref="AJ5:AJ24" si="10">+$Q5*F34</f>
        <v>-380120.64702300006</v>
      </c>
      <c r="AK5" s="185">
        <f t="shared" ref="AK5:AK24" si="11">+$Q5*G34</f>
        <v>-1900603.2351150003</v>
      </c>
      <c r="AL5" s="185">
        <f t="shared" ref="AL5:AL24" si="12">+$Q5*H34</f>
        <v>-3801206.4702300006</v>
      </c>
    </row>
    <row r="6" spans="1:38" x14ac:dyDescent="0.2">
      <c r="C6" s="89">
        <f>+'Annual Energy Data'!A20</f>
        <v>2020</v>
      </c>
      <c r="D6" s="102">
        <f>+'Annual Energy Data'!V20</f>
        <v>0</v>
      </c>
      <c r="E6" s="102">
        <f>+D6*'Tier 1 Data - MOU I.4'!A10</f>
        <v>0</v>
      </c>
      <c r="F6" s="102">
        <f>+'Annual Energy Data'!BL20</f>
        <v>78624</v>
      </c>
      <c r="G6" s="102">
        <f t="shared" ref="G6:G24" si="13">+D6-E6-F6</f>
        <v>-78624</v>
      </c>
      <c r="H6" s="178" t="e">
        <f t="shared" ref="H6:H24" si="14">+G6/D6</f>
        <v>#DIV/0!</v>
      </c>
      <c r="I6" s="179">
        <f>+I5</f>
        <v>890.10806000000002</v>
      </c>
      <c r="J6" s="179">
        <f t="shared" ref="J6:J7" si="15">+J5</f>
        <v>0.78183000000000002</v>
      </c>
      <c r="K6" s="179">
        <f t="shared" ref="K6:K7" si="16">+K5</f>
        <v>3.5E-4</v>
      </c>
      <c r="L6" s="179">
        <f t="shared" ref="L6:L7" si="17">+L5</f>
        <v>0.68684999999999996</v>
      </c>
      <c r="M6" s="179">
        <f t="shared" ref="M6:M7" si="18">+M5</f>
        <v>0.31977</v>
      </c>
      <c r="N6" s="179">
        <f t="shared" ref="N6:N7" si="19">+N5</f>
        <v>0.27700999999999998</v>
      </c>
      <c r="O6" s="179">
        <f t="shared" ref="O6:O7" si="20">+O5</f>
        <v>0.30229</v>
      </c>
      <c r="P6" s="179">
        <f t="shared" ref="P6:P7" si="21">+P5</f>
        <v>5.092E-2</v>
      </c>
      <c r="Q6" s="102">
        <f t="shared" ref="Q6:Q7" si="22">+I6*$G6/2000</f>
        <v>-34991.928054719996</v>
      </c>
      <c r="R6" s="102">
        <f t="shared" ref="R6:R7" si="23">+J6*$G6/2000</f>
        <v>-30.73530096</v>
      </c>
      <c r="S6" s="102">
        <f t="shared" ref="S6:S7" si="24">+K6*$G6/2000</f>
        <v>-1.3759199999999999E-2</v>
      </c>
      <c r="T6" s="102">
        <f t="shared" ref="T6:T7" si="25">+L6*$G6/2000</f>
        <v>-27.001447199999998</v>
      </c>
      <c r="U6" s="102">
        <f t="shared" ref="U6:U7" si="26">+M6*$G6/2000</f>
        <v>-12.57079824</v>
      </c>
      <c r="V6" s="102">
        <f t="shared" ref="V6:V7" si="27">+N6*$G6/2000</f>
        <v>-10.88981712</v>
      </c>
      <c r="W6" s="102">
        <f t="shared" ref="W6:W7" si="28">+O6*$G6/2000</f>
        <v>-11.88362448</v>
      </c>
      <c r="X6" s="102">
        <f t="shared" ref="X6:X7" si="29">+P6*$G6/2000</f>
        <v>-2.0017670399999998</v>
      </c>
      <c r="Y6" s="181" t="e">
        <f t="shared" ref="Y6:Y24" si="30">+Q6*2000/$D6</f>
        <v>#DIV/0!</v>
      </c>
      <c r="Z6" s="181" t="e">
        <f t="shared" si="1"/>
        <v>#DIV/0!</v>
      </c>
      <c r="AA6" s="181" t="e">
        <f t="shared" si="2"/>
        <v>#DIV/0!</v>
      </c>
      <c r="AB6" s="181" t="e">
        <f t="shared" si="3"/>
        <v>#DIV/0!</v>
      </c>
      <c r="AC6" s="181" t="e">
        <f t="shared" si="4"/>
        <v>#DIV/0!</v>
      </c>
      <c r="AD6" s="181" t="e">
        <f t="shared" si="5"/>
        <v>#DIV/0!</v>
      </c>
      <c r="AE6" s="181" t="e">
        <f t="shared" si="6"/>
        <v>#DIV/0!</v>
      </c>
      <c r="AF6" s="181" t="e">
        <f t="shared" si="7"/>
        <v>#DIV/0!</v>
      </c>
      <c r="AG6" s="102">
        <f t="shared" ref="AG6:AG24" si="31">+SUM(Q6:X6)</f>
        <v>-35087.024568959983</v>
      </c>
      <c r="AH6" s="185">
        <f t="shared" si="8"/>
        <v>-35691.766615814398</v>
      </c>
      <c r="AI6" s="185">
        <f t="shared" si="9"/>
        <v>-178458.83307907198</v>
      </c>
      <c r="AJ6" s="185">
        <f t="shared" si="10"/>
        <v>-356917.66615814395</v>
      </c>
      <c r="AK6" s="185">
        <f t="shared" si="11"/>
        <v>-1784588.3307907197</v>
      </c>
      <c r="AL6" s="185">
        <f t="shared" si="12"/>
        <v>-3569176.6615814394</v>
      </c>
    </row>
    <row r="7" spans="1:38" x14ac:dyDescent="0.2">
      <c r="C7" s="89">
        <f>+'Annual Energy Data'!A21</f>
        <v>2021</v>
      </c>
      <c r="D7" s="102">
        <f>+'Annual Energy Data'!V21</f>
        <v>0</v>
      </c>
      <c r="E7" s="102">
        <f>+D7*'Tier 1 Data - MOU I.4'!A11</f>
        <v>0</v>
      </c>
      <c r="F7" s="102">
        <f>+'Annual Energy Data'!BL21</f>
        <v>78156</v>
      </c>
      <c r="G7" s="102">
        <f t="shared" si="13"/>
        <v>-78156</v>
      </c>
      <c r="H7" s="178" t="e">
        <f t="shared" si="14"/>
        <v>#DIV/0!</v>
      </c>
      <c r="I7" s="179">
        <f t="shared" ref="I7" si="32">+I6</f>
        <v>890.10806000000002</v>
      </c>
      <c r="J7" s="179">
        <f t="shared" si="15"/>
        <v>0.78183000000000002</v>
      </c>
      <c r="K7" s="179">
        <f t="shared" si="16"/>
        <v>3.5E-4</v>
      </c>
      <c r="L7" s="179">
        <f t="shared" si="17"/>
        <v>0.68684999999999996</v>
      </c>
      <c r="M7" s="179">
        <f t="shared" si="18"/>
        <v>0.31977</v>
      </c>
      <c r="N7" s="179">
        <f t="shared" si="19"/>
        <v>0.27700999999999998</v>
      </c>
      <c r="O7" s="179">
        <f t="shared" si="20"/>
        <v>0.30229</v>
      </c>
      <c r="P7" s="179">
        <f t="shared" si="21"/>
        <v>5.092E-2</v>
      </c>
      <c r="Q7" s="102">
        <f t="shared" si="22"/>
        <v>-34783.642768680002</v>
      </c>
      <c r="R7" s="102">
        <f t="shared" si="23"/>
        <v>-30.552352740000003</v>
      </c>
      <c r="S7" s="102">
        <f t="shared" si="24"/>
        <v>-1.36773E-2</v>
      </c>
      <c r="T7" s="102">
        <f t="shared" si="25"/>
        <v>-26.840724299999998</v>
      </c>
      <c r="U7" s="102">
        <f t="shared" si="26"/>
        <v>-12.49597206</v>
      </c>
      <c r="V7" s="102">
        <f t="shared" si="27"/>
        <v>-10.824996779999999</v>
      </c>
      <c r="W7" s="102">
        <f t="shared" si="28"/>
        <v>-11.812888619999999</v>
      </c>
      <c r="X7" s="102">
        <f t="shared" si="29"/>
        <v>-1.9898517600000001</v>
      </c>
      <c r="Y7" s="181" t="e">
        <f t="shared" si="30"/>
        <v>#DIV/0!</v>
      </c>
      <c r="Z7" s="181" t="e">
        <f t="shared" si="1"/>
        <v>#DIV/0!</v>
      </c>
      <c r="AA7" s="181" t="e">
        <f t="shared" si="2"/>
        <v>#DIV/0!</v>
      </c>
      <c r="AB7" s="181" t="e">
        <f t="shared" si="3"/>
        <v>#DIV/0!</v>
      </c>
      <c r="AC7" s="181" t="e">
        <f t="shared" si="4"/>
        <v>#DIV/0!</v>
      </c>
      <c r="AD7" s="181" t="e">
        <f t="shared" si="5"/>
        <v>#DIV/0!</v>
      </c>
      <c r="AE7" s="181" t="e">
        <f t="shared" si="6"/>
        <v>#DIV/0!</v>
      </c>
      <c r="AF7" s="181" t="e">
        <f t="shared" si="7"/>
        <v>#DIV/0!</v>
      </c>
      <c r="AG7" s="102">
        <f t="shared" si="31"/>
        <v>-34878.173232239998</v>
      </c>
      <c r="AH7" s="185">
        <f t="shared" si="8"/>
        <v>-36188.901936534676</v>
      </c>
      <c r="AI7" s="185">
        <f t="shared" si="9"/>
        <v>-180944.50968267338</v>
      </c>
      <c r="AJ7" s="185">
        <f t="shared" si="10"/>
        <v>-361889.01936534676</v>
      </c>
      <c r="AK7" s="185">
        <f t="shared" si="11"/>
        <v>-1809445.0968267338</v>
      </c>
      <c r="AL7" s="185">
        <f t="shared" si="12"/>
        <v>-3618890.1936534676</v>
      </c>
    </row>
    <row r="8" spans="1:38" x14ac:dyDescent="0.2">
      <c r="C8" s="89">
        <f>+'Annual Energy Data'!A22</f>
        <v>2022</v>
      </c>
      <c r="D8" s="102">
        <f>+'Annual Energy Data'!V22</f>
        <v>0</v>
      </c>
      <c r="E8" s="102">
        <f>+D8*'Tier 1 Data - MOU I.4'!A12</f>
        <v>0</v>
      </c>
      <c r="F8" s="102">
        <f>+'Annual Energy Data'!BL22</f>
        <v>85410</v>
      </c>
      <c r="G8" s="102">
        <f t="shared" si="13"/>
        <v>-85410</v>
      </c>
      <c r="H8" s="178" t="e">
        <f t="shared" si="14"/>
        <v>#DIV/0!</v>
      </c>
      <c r="I8" s="179">
        <f t="shared" ref="I8:I28" si="33">+I7</f>
        <v>890.10806000000002</v>
      </c>
      <c r="J8" s="179">
        <f t="shared" ref="J8:J28" si="34">+J7</f>
        <v>0.78183000000000002</v>
      </c>
      <c r="K8" s="179">
        <f t="shared" ref="K8:K28" si="35">+K7</f>
        <v>3.5E-4</v>
      </c>
      <c r="L8" s="179">
        <f t="shared" ref="L8:L28" si="36">+L7</f>
        <v>0.68684999999999996</v>
      </c>
      <c r="M8" s="179">
        <f t="shared" ref="M8:M28" si="37">+M7</f>
        <v>0.31977</v>
      </c>
      <c r="N8" s="179">
        <f t="shared" ref="N8:N28" si="38">+N7</f>
        <v>0.27700999999999998</v>
      </c>
      <c r="O8" s="179">
        <f t="shared" ref="O8:O28" si="39">+O7</f>
        <v>0.30229</v>
      </c>
      <c r="P8" s="179">
        <f t="shared" ref="P8:P28" si="40">+P7</f>
        <v>5.092E-2</v>
      </c>
      <c r="Q8" s="102">
        <f t="shared" ref="Q8:Q24" si="41">+I8*$G8/2000</f>
        <v>-38012.064702300006</v>
      </c>
      <c r="R8" s="102">
        <f t="shared" ref="R8:R24" si="42">+J8*$G8/2000</f>
        <v>-33.388050150000005</v>
      </c>
      <c r="S8" s="102">
        <f t="shared" ref="S8:S24" si="43">+K8*$G8/2000</f>
        <v>-1.494675E-2</v>
      </c>
      <c r="T8" s="102">
        <f t="shared" ref="T8:T24" si="44">+L8*$G8/2000</f>
        <v>-29.331929249999998</v>
      </c>
      <c r="U8" s="102">
        <f t="shared" ref="U8:U24" si="45">+M8*$G8/2000</f>
        <v>-13.65577785</v>
      </c>
      <c r="V8" s="102">
        <f t="shared" ref="V8:V24" si="46">+N8*$G8/2000</f>
        <v>-11.829712049999998</v>
      </c>
      <c r="W8" s="102">
        <f t="shared" ref="W8:W24" si="47">+O8*$G8/2000</f>
        <v>-12.909294449999999</v>
      </c>
      <c r="X8" s="102">
        <f t="shared" ref="X8:X24" si="48">+P8*$G8/2000</f>
        <v>-2.1745386</v>
      </c>
      <c r="Y8" s="181" t="e">
        <f t="shared" si="30"/>
        <v>#DIV/0!</v>
      </c>
      <c r="Z8" s="181" t="e">
        <f t="shared" si="1"/>
        <v>#DIV/0!</v>
      </c>
      <c r="AA8" s="181" t="e">
        <f t="shared" si="2"/>
        <v>#DIV/0!</v>
      </c>
      <c r="AB8" s="181" t="e">
        <f t="shared" si="3"/>
        <v>#DIV/0!</v>
      </c>
      <c r="AC8" s="181" t="e">
        <f t="shared" si="4"/>
        <v>#DIV/0!</v>
      </c>
      <c r="AD8" s="181" t="e">
        <f t="shared" si="5"/>
        <v>#DIV/0!</v>
      </c>
      <c r="AE8" s="181" t="e">
        <f t="shared" si="6"/>
        <v>#DIV/0!</v>
      </c>
      <c r="AF8" s="181" t="e">
        <f t="shared" si="7"/>
        <v>#DIV/0!</v>
      </c>
      <c r="AG8" s="102">
        <f t="shared" si="31"/>
        <v>-38115.368951400007</v>
      </c>
      <c r="AH8" s="185">
        <f t="shared" si="8"/>
        <v>-40338.707158598379</v>
      </c>
      <c r="AI8" s="185">
        <f t="shared" si="9"/>
        <v>-201693.53579299193</v>
      </c>
      <c r="AJ8" s="185">
        <f t="shared" si="10"/>
        <v>-403387.07158598385</v>
      </c>
      <c r="AK8" s="185">
        <f t="shared" si="11"/>
        <v>-2016935.3579299194</v>
      </c>
      <c r="AL8" s="185">
        <f t="shared" si="12"/>
        <v>-4033870.7158598388</v>
      </c>
    </row>
    <row r="9" spans="1:38" x14ac:dyDescent="0.2">
      <c r="C9" s="89">
        <f>+'Annual Energy Data'!A23</f>
        <v>2023</v>
      </c>
      <c r="D9" s="102">
        <f>+'Annual Energy Data'!V23</f>
        <v>0</v>
      </c>
      <c r="E9" s="102">
        <f>+D9*'Tier 1 Data - MOU I.4'!A13</f>
        <v>0</v>
      </c>
      <c r="F9" s="102">
        <f>+'Annual Energy Data'!BL23</f>
        <v>78390</v>
      </c>
      <c r="G9" s="102">
        <f t="shared" si="13"/>
        <v>-78390</v>
      </c>
      <c r="H9" s="178" t="e">
        <f t="shared" si="14"/>
        <v>#DIV/0!</v>
      </c>
      <c r="I9" s="179">
        <f t="shared" si="33"/>
        <v>890.10806000000002</v>
      </c>
      <c r="J9" s="179">
        <f t="shared" si="34"/>
        <v>0.78183000000000002</v>
      </c>
      <c r="K9" s="179">
        <f t="shared" si="35"/>
        <v>3.5E-4</v>
      </c>
      <c r="L9" s="179">
        <f t="shared" si="36"/>
        <v>0.68684999999999996</v>
      </c>
      <c r="M9" s="179">
        <f t="shared" si="37"/>
        <v>0.31977</v>
      </c>
      <c r="N9" s="179">
        <f t="shared" si="38"/>
        <v>0.27700999999999998</v>
      </c>
      <c r="O9" s="179">
        <f t="shared" si="39"/>
        <v>0.30229</v>
      </c>
      <c r="P9" s="179">
        <f t="shared" si="40"/>
        <v>5.092E-2</v>
      </c>
      <c r="Q9" s="102">
        <f t="shared" si="41"/>
        <v>-34887.785411700002</v>
      </c>
      <c r="R9" s="102">
        <f t="shared" si="42"/>
        <v>-30.64382685</v>
      </c>
      <c r="S9" s="102">
        <f t="shared" si="43"/>
        <v>-1.371825E-2</v>
      </c>
      <c r="T9" s="102">
        <f t="shared" si="44"/>
        <v>-26.92108575</v>
      </c>
      <c r="U9" s="102">
        <f t="shared" si="45"/>
        <v>-12.533385150000001</v>
      </c>
      <c r="V9" s="102">
        <f t="shared" si="46"/>
        <v>-10.857406949999998</v>
      </c>
      <c r="W9" s="102">
        <f t="shared" si="47"/>
        <v>-11.84825655</v>
      </c>
      <c r="X9" s="102">
        <f t="shared" si="48"/>
        <v>-1.9958094000000002</v>
      </c>
      <c r="Y9" s="181" t="e">
        <f t="shared" si="30"/>
        <v>#DIV/0!</v>
      </c>
      <c r="Z9" s="181" t="e">
        <f t="shared" si="1"/>
        <v>#DIV/0!</v>
      </c>
      <c r="AA9" s="181" t="e">
        <f t="shared" si="2"/>
        <v>#DIV/0!</v>
      </c>
      <c r="AB9" s="181" t="e">
        <f t="shared" si="3"/>
        <v>#DIV/0!</v>
      </c>
      <c r="AC9" s="181" t="e">
        <f t="shared" si="4"/>
        <v>#DIV/0!</v>
      </c>
      <c r="AD9" s="181" t="e">
        <f t="shared" si="5"/>
        <v>#DIV/0!</v>
      </c>
      <c r="AE9" s="181" t="e">
        <f t="shared" si="6"/>
        <v>#DIV/0!</v>
      </c>
      <c r="AF9" s="181" t="e">
        <f t="shared" si="7"/>
        <v>#DIV/0!</v>
      </c>
      <c r="AG9" s="102">
        <f t="shared" si="31"/>
        <v>-34982.598900600009</v>
      </c>
      <c r="AH9" s="185">
        <f t="shared" si="8"/>
        <v>-37763.660920802919</v>
      </c>
      <c r="AI9" s="185">
        <f t="shared" si="9"/>
        <v>-174438.9270585</v>
      </c>
      <c r="AJ9" s="185">
        <f t="shared" si="10"/>
        <v>-348877.85411700001</v>
      </c>
      <c r="AK9" s="185">
        <f t="shared" si="11"/>
        <v>-1744389.270585</v>
      </c>
      <c r="AL9" s="185">
        <f t="shared" si="12"/>
        <v>-3488778.5411700001</v>
      </c>
    </row>
    <row r="10" spans="1:38" x14ac:dyDescent="0.2">
      <c r="C10" s="89">
        <f>+'Annual Energy Data'!A24</f>
        <v>2024</v>
      </c>
      <c r="D10" s="102">
        <f>+'Annual Energy Data'!V24</f>
        <v>0</v>
      </c>
      <c r="E10" s="102">
        <f>+D10*'Tier 1 Data - MOU I.4'!A14</f>
        <v>0</v>
      </c>
      <c r="F10" s="102">
        <f>+'Annual Energy Data'!BL24</f>
        <v>78390</v>
      </c>
      <c r="G10" s="102">
        <f t="shared" si="13"/>
        <v>-78390</v>
      </c>
      <c r="H10" s="178" t="e">
        <f t="shared" si="14"/>
        <v>#DIV/0!</v>
      </c>
      <c r="I10" s="179">
        <f t="shared" si="33"/>
        <v>890.10806000000002</v>
      </c>
      <c r="J10" s="179">
        <f t="shared" si="34"/>
        <v>0.78183000000000002</v>
      </c>
      <c r="K10" s="179">
        <f t="shared" si="35"/>
        <v>3.5E-4</v>
      </c>
      <c r="L10" s="179">
        <f t="shared" si="36"/>
        <v>0.68684999999999996</v>
      </c>
      <c r="M10" s="179">
        <f t="shared" si="37"/>
        <v>0.31977</v>
      </c>
      <c r="N10" s="179">
        <f t="shared" si="38"/>
        <v>0.27700999999999998</v>
      </c>
      <c r="O10" s="179">
        <f t="shared" si="39"/>
        <v>0.30229</v>
      </c>
      <c r="P10" s="179">
        <f t="shared" si="40"/>
        <v>5.092E-2</v>
      </c>
      <c r="Q10" s="102">
        <f t="shared" si="41"/>
        <v>-34887.785411700002</v>
      </c>
      <c r="R10" s="102">
        <f t="shared" si="42"/>
        <v>-30.64382685</v>
      </c>
      <c r="S10" s="102">
        <f t="shared" si="43"/>
        <v>-1.371825E-2</v>
      </c>
      <c r="T10" s="102">
        <f t="shared" si="44"/>
        <v>-26.92108575</v>
      </c>
      <c r="U10" s="102">
        <f t="shared" si="45"/>
        <v>-12.533385150000001</v>
      </c>
      <c r="V10" s="102">
        <f t="shared" si="46"/>
        <v>-10.857406949999998</v>
      </c>
      <c r="W10" s="102">
        <f t="shared" si="47"/>
        <v>-11.84825655</v>
      </c>
      <c r="X10" s="102">
        <f t="shared" si="48"/>
        <v>-1.9958094000000002</v>
      </c>
      <c r="Y10" s="181" t="e">
        <f t="shared" si="30"/>
        <v>#DIV/0!</v>
      </c>
      <c r="Z10" s="181" t="e">
        <f t="shared" si="1"/>
        <v>#DIV/0!</v>
      </c>
      <c r="AA10" s="181" t="e">
        <f t="shared" si="2"/>
        <v>#DIV/0!</v>
      </c>
      <c r="AB10" s="181" t="e">
        <f t="shared" si="3"/>
        <v>#DIV/0!</v>
      </c>
      <c r="AC10" s="181" t="e">
        <f t="shared" si="4"/>
        <v>#DIV/0!</v>
      </c>
      <c r="AD10" s="181" t="e">
        <f t="shared" si="5"/>
        <v>#DIV/0!</v>
      </c>
      <c r="AE10" s="181" t="e">
        <f t="shared" si="6"/>
        <v>#DIV/0!</v>
      </c>
      <c r="AF10" s="181" t="e">
        <f t="shared" si="7"/>
        <v>#DIV/0!</v>
      </c>
      <c r="AG10" s="102">
        <f t="shared" si="31"/>
        <v>-34982.598900600009</v>
      </c>
      <c r="AH10" s="185">
        <f t="shared" si="8"/>
        <v>-38518.934139218982</v>
      </c>
      <c r="AI10" s="185">
        <f t="shared" si="9"/>
        <v>-177927.70559967001</v>
      </c>
      <c r="AJ10" s="185">
        <f t="shared" si="10"/>
        <v>-355855.41119934001</v>
      </c>
      <c r="AK10" s="185">
        <f t="shared" si="11"/>
        <v>-1779277.0559967002</v>
      </c>
      <c r="AL10" s="185">
        <f t="shared" si="12"/>
        <v>-3558554.1119934004</v>
      </c>
    </row>
    <row r="11" spans="1:38" x14ac:dyDescent="0.2">
      <c r="C11" s="89">
        <f>+'Annual Energy Data'!A25</f>
        <v>2025</v>
      </c>
      <c r="D11" s="102">
        <f>+'Annual Energy Data'!V25</f>
        <v>526009.68119384581</v>
      </c>
      <c r="E11" s="102">
        <f>+D11*'Tier 1 Data - MOU I.4'!A15</f>
        <v>331386.09915212292</v>
      </c>
      <c r="F11" s="102">
        <f>+'Annual Energy Data'!BL25</f>
        <v>85410</v>
      </c>
      <c r="G11" s="102">
        <f t="shared" si="13"/>
        <v>109213.5820417229</v>
      </c>
      <c r="H11" s="178">
        <f t="shared" si="14"/>
        <v>0.20762656267817883</v>
      </c>
      <c r="I11" s="179">
        <f t="shared" si="33"/>
        <v>890.10806000000002</v>
      </c>
      <c r="J11" s="179">
        <f t="shared" si="34"/>
        <v>0.78183000000000002</v>
      </c>
      <c r="K11" s="179">
        <f t="shared" si="35"/>
        <v>3.5E-4</v>
      </c>
      <c r="L11" s="179">
        <f t="shared" si="36"/>
        <v>0.68684999999999996</v>
      </c>
      <c r="M11" s="179">
        <f t="shared" si="37"/>
        <v>0.31977</v>
      </c>
      <c r="N11" s="179">
        <f t="shared" si="38"/>
        <v>0.27700999999999998</v>
      </c>
      <c r="O11" s="179">
        <f t="shared" si="39"/>
        <v>0.30229</v>
      </c>
      <c r="P11" s="179">
        <f t="shared" si="40"/>
        <v>5.092E-2</v>
      </c>
      <c r="Q11" s="102">
        <f t="shared" si="41"/>
        <v>48605.944818404409</v>
      </c>
      <c r="R11" s="102">
        <f t="shared" si="42"/>
        <v>42.693227423840106</v>
      </c>
      <c r="S11" s="102">
        <f t="shared" si="43"/>
        <v>1.9112376857301504E-2</v>
      </c>
      <c r="T11" s="102">
        <f t="shared" si="44"/>
        <v>37.506674412678684</v>
      </c>
      <c r="U11" s="102">
        <f t="shared" si="45"/>
        <v>17.461613564740865</v>
      </c>
      <c r="V11" s="102">
        <f t="shared" si="46"/>
        <v>15.126627180688828</v>
      </c>
      <c r="W11" s="102">
        <f t="shared" si="47"/>
        <v>16.507086857696205</v>
      </c>
      <c r="X11" s="102">
        <f t="shared" si="48"/>
        <v>2.7805777987822649</v>
      </c>
      <c r="Y11" s="181">
        <f t="shared" si="30"/>
        <v>184.81007690994218</v>
      </c>
      <c r="Z11" s="181">
        <f t="shared" si="1"/>
        <v>0.16232867549868057</v>
      </c>
      <c r="AA11" s="181">
        <f t="shared" si="2"/>
        <v>7.2669296937362589E-5</v>
      </c>
      <c r="AB11" s="181">
        <f t="shared" si="3"/>
        <v>0.14260830457550713</v>
      </c>
      <c r="AC11" s="181">
        <f t="shared" si="4"/>
        <v>6.639274594760125E-2</v>
      </c>
      <c r="AD11" s="181">
        <f t="shared" si="5"/>
        <v>5.7514634127482318E-2</v>
      </c>
      <c r="AE11" s="181">
        <f t="shared" si="6"/>
        <v>6.2763433631986679E-2</v>
      </c>
      <c r="AF11" s="181">
        <f t="shared" si="7"/>
        <v>1.0572344571572866E-2</v>
      </c>
      <c r="AG11" s="102">
        <f t="shared" si="31"/>
        <v>48738.039738019696</v>
      </c>
      <c r="AH11" s="185">
        <f t="shared" si="8"/>
        <v>54738.188407306799</v>
      </c>
      <c r="AI11" s="185">
        <f t="shared" si="9"/>
        <v>252848.12494533972</v>
      </c>
      <c r="AJ11" s="185">
        <f t="shared" si="10"/>
        <v>505696.24989067944</v>
      </c>
      <c r="AK11" s="185">
        <f t="shared" si="11"/>
        <v>2528481.2494533975</v>
      </c>
      <c r="AL11" s="185">
        <f t="shared" si="12"/>
        <v>5056962.4989067949</v>
      </c>
    </row>
    <row r="12" spans="1:38" x14ac:dyDescent="0.2">
      <c r="C12" s="89">
        <f>+'Annual Energy Data'!A26</f>
        <v>2026</v>
      </c>
      <c r="D12" s="102">
        <f>+'Annual Energy Data'!V26</f>
        <v>551119.24048483884</v>
      </c>
      <c r="E12" s="102">
        <f>+D12*'Tier 1 Data - MOU I.4'!A16</f>
        <v>347205.12150544854</v>
      </c>
      <c r="F12" s="102">
        <f>+'Annual Energy Data'!BL26</f>
        <v>78390</v>
      </c>
      <c r="G12" s="102">
        <f t="shared" si="13"/>
        <v>125524.1189793903</v>
      </c>
      <c r="H12" s="178">
        <f t="shared" si="14"/>
        <v>0.2277621787781576</v>
      </c>
      <c r="I12" s="179">
        <f t="shared" si="33"/>
        <v>890.10806000000002</v>
      </c>
      <c r="J12" s="179">
        <f t="shared" si="34"/>
        <v>0.78183000000000002</v>
      </c>
      <c r="K12" s="179">
        <f t="shared" si="35"/>
        <v>3.5E-4</v>
      </c>
      <c r="L12" s="179">
        <f t="shared" si="36"/>
        <v>0.68684999999999996</v>
      </c>
      <c r="M12" s="179">
        <f t="shared" si="37"/>
        <v>0.31977</v>
      </c>
      <c r="N12" s="179">
        <f t="shared" si="38"/>
        <v>0.27700999999999998</v>
      </c>
      <c r="O12" s="179">
        <f t="shared" si="39"/>
        <v>0.30229</v>
      </c>
      <c r="P12" s="179">
        <f t="shared" si="40"/>
        <v>5.092E-2</v>
      </c>
      <c r="Q12" s="102">
        <f t="shared" si="41"/>
        <v>55865.015013977143</v>
      </c>
      <c r="R12" s="102">
        <f t="shared" si="42"/>
        <v>49.069260970828367</v>
      </c>
      <c r="S12" s="102">
        <f t="shared" si="43"/>
        <v>2.1966720821393303E-2</v>
      </c>
      <c r="T12" s="102">
        <f t="shared" si="44"/>
        <v>43.108120560497113</v>
      </c>
      <c r="U12" s="102">
        <f t="shared" si="45"/>
        <v>20.06942376301982</v>
      </c>
      <c r="V12" s="102">
        <f t="shared" si="46"/>
        <v>17.385718099240453</v>
      </c>
      <c r="W12" s="102">
        <f t="shared" si="47"/>
        <v>18.972342963139948</v>
      </c>
      <c r="X12" s="102">
        <f t="shared" si="48"/>
        <v>3.1958440692152772</v>
      </c>
      <c r="Y12" s="181">
        <f t="shared" si="30"/>
        <v>202.73295109359904</v>
      </c>
      <c r="Z12" s="181">
        <f t="shared" si="1"/>
        <v>0.17807130423412698</v>
      </c>
      <c r="AA12" s="181">
        <f t="shared" si="2"/>
        <v>7.9716762572355163E-5</v>
      </c>
      <c r="AB12" s="181">
        <f t="shared" si="3"/>
        <v>0.15643845249377755</v>
      </c>
      <c r="AC12" s="181">
        <f t="shared" si="4"/>
        <v>7.2831511907891458E-2</v>
      </c>
      <c r="AD12" s="181">
        <f t="shared" si="5"/>
        <v>6.3092401143337445E-2</v>
      </c>
      <c r="AE12" s="181">
        <f t="shared" si="6"/>
        <v>6.8850229022849263E-2</v>
      </c>
      <c r="AF12" s="181">
        <f t="shared" si="7"/>
        <v>1.1597650143383785E-2</v>
      </c>
      <c r="AG12" s="102">
        <f t="shared" si="31"/>
        <v>56016.837691123917</v>
      </c>
      <c r="AH12" s="185">
        <f t="shared" si="8"/>
        <v>64171.342069567385</v>
      </c>
      <c r="AI12" s="185">
        <f t="shared" si="9"/>
        <v>296422.00426476332</v>
      </c>
      <c r="AJ12" s="185">
        <f t="shared" si="10"/>
        <v>592844.00852952665</v>
      </c>
      <c r="AK12" s="185">
        <f t="shared" si="11"/>
        <v>2964220.0426476328</v>
      </c>
      <c r="AL12" s="185">
        <f t="shared" si="12"/>
        <v>5928440.0852952655</v>
      </c>
    </row>
    <row r="13" spans="1:38" x14ac:dyDescent="0.2">
      <c r="C13" s="89">
        <f>+'Annual Energy Data'!A27</f>
        <v>2027</v>
      </c>
      <c r="D13" s="102">
        <f>+'Annual Energy Data'!V27</f>
        <v>561801.20006497123</v>
      </c>
      <c r="E13" s="102">
        <f>+D13*'Tier 1 Data - MOU I.4'!A17</f>
        <v>353934.75604093191</v>
      </c>
      <c r="F13" s="102">
        <f>+'Annual Energy Data'!BL27</f>
        <v>78156</v>
      </c>
      <c r="G13" s="102">
        <f t="shared" si="13"/>
        <v>129710.44402403932</v>
      </c>
      <c r="H13" s="178">
        <f t="shared" si="14"/>
        <v>0.2308831736369352</v>
      </c>
      <c r="I13" s="179">
        <f t="shared" si="33"/>
        <v>890.10806000000002</v>
      </c>
      <c r="J13" s="179">
        <f t="shared" si="34"/>
        <v>0.78183000000000002</v>
      </c>
      <c r="K13" s="179">
        <f t="shared" si="35"/>
        <v>3.5E-4</v>
      </c>
      <c r="L13" s="179">
        <f t="shared" si="36"/>
        <v>0.68684999999999996</v>
      </c>
      <c r="M13" s="179">
        <f t="shared" si="37"/>
        <v>0.31977</v>
      </c>
      <c r="N13" s="179">
        <f t="shared" si="38"/>
        <v>0.27700999999999998</v>
      </c>
      <c r="O13" s="179">
        <f t="shared" si="39"/>
        <v>0.30229</v>
      </c>
      <c r="P13" s="179">
        <f t="shared" si="40"/>
        <v>5.092E-2</v>
      </c>
      <c r="Q13" s="102">
        <f t="shared" si="41"/>
        <v>57728.15584598812</v>
      </c>
      <c r="R13" s="102">
        <f t="shared" si="42"/>
        <v>50.705758225657327</v>
      </c>
      <c r="S13" s="102">
        <f t="shared" si="43"/>
        <v>2.2699327704206879E-2</v>
      </c>
      <c r="T13" s="102">
        <f t="shared" si="44"/>
        <v>44.545809238955698</v>
      </c>
      <c r="U13" s="102">
        <f t="shared" si="45"/>
        <v>20.738754342783526</v>
      </c>
      <c r="V13" s="102">
        <f t="shared" si="46"/>
        <v>17.965545049549565</v>
      </c>
      <c r="W13" s="102">
        <f t="shared" si="47"/>
        <v>19.605085062013423</v>
      </c>
      <c r="X13" s="102">
        <f t="shared" si="48"/>
        <v>3.3024279048520411</v>
      </c>
      <c r="Y13" s="181">
        <f t="shared" si="30"/>
        <v>205.51097377261553</v>
      </c>
      <c r="Z13" s="181">
        <f t="shared" si="1"/>
        <v>0.18051139164456503</v>
      </c>
      <c r="AA13" s="181">
        <f t="shared" si="2"/>
        <v>8.0809110772927308E-5</v>
      </c>
      <c r="AB13" s="181">
        <f t="shared" si="3"/>
        <v>0.15858210781252893</v>
      </c>
      <c r="AC13" s="181">
        <f t="shared" si="4"/>
        <v>7.3829512433882763E-2</v>
      </c>
      <c r="AD13" s="181">
        <f t="shared" si="5"/>
        <v>6.395694792916741E-2</v>
      </c>
      <c r="AE13" s="181">
        <f t="shared" si="6"/>
        <v>6.9793674558709135E-2</v>
      </c>
      <c r="AF13" s="181">
        <f t="shared" si="7"/>
        <v>1.1756571201592741E-2</v>
      </c>
      <c r="AG13" s="102">
        <f t="shared" si="31"/>
        <v>57885.041925139638</v>
      </c>
      <c r="AH13" s="185">
        <f t="shared" si="8"/>
        <v>67637.73534491277</v>
      </c>
      <c r="AI13" s="185">
        <f t="shared" si="9"/>
        <v>312434.06212594779</v>
      </c>
      <c r="AJ13" s="185">
        <f t="shared" si="10"/>
        <v>624868.12425189558</v>
      </c>
      <c r="AK13" s="185">
        <f t="shared" si="11"/>
        <v>3124340.6212594775</v>
      </c>
      <c r="AL13" s="185">
        <f t="shared" si="12"/>
        <v>6248681.2425189549</v>
      </c>
    </row>
    <row r="14" spans="1:38" x14ac:dyDescent="0.2">
      <c r="C14" s="89">
        <f>+'Annual Energy Data'!A28</f>
        <v>2028</v>
      </c>
      <c r="D14" s="102">
        <f>+'Annual Energy Data'!V28</f>
        <v>574238.09425297996</v>
      </c>
      <c r="E14" s="102">
        <f>+D14*'Tier 1 Data - MOU I.4'!A18</f>
        <v>384739.52314949658</v>
      </c>
      <c r="F14" s="102">
        <f>+'Annual Energy Data'!BL28</f>
        <v>85644</v>
      </c>
      <c r="G14" s="102">
        <f t="shared" si="13"/>
        <v>103854.57110348338</v>
      </c>
      <c r="H14" s="178">
        <f t="shared" si="14"/>
        <v>0.18085628965209397</v>
      </c>
      <c r="I14" s="179">
        <f t="shared" si="33"/>
        <v>890.10806000000002</v>
      </c>
      <c r="J14" s="179">
        <f t="shared" si="34"/>
        <v>0.78183000000000002</v>
      </c>
      <c r="K14" s="179">
        <f t="shared" si="35"/>
        <v>3.5E-4</v>
      </c>
      <c r="L14" s="179">
        <f t="shared" si="36"/>
        <v>0.68684999999999996</v>
      </c>
      <c r="M14" s="179">
        <f t="shared" si="37"/>
        <v>0.31977</v>
      </c>
      <c r="N14" s="179">
        <f t="shared" si="38"/>
        <v>0.27700999999999998</v>
      </c>
      <c r="O14" s="179">
        <f t="shared" si="39"/>
        <v>0.30229</v>
      </c>
      <c r="P14" s="179">
        <f t="shared" si="40"/>
        <v>5.092E-2</v>
      </c>
      <c r="Q14" s="102">
        <f t="shared" si="41"/>
        <v>46220.895403526825</v>
      </c>
      <c r="R14" s="102">
        <f t="shared" si="42"/>
        <v>40.598309662918204</v>
      </c>
      <c r="S14" s="102">
        <f t="shared" si="43"/>
        <v>1.8174549943109592E-2</v>
      </c>
      <c r="T14" s="102">
        <f t="shared" si="44"/>
        <v>35.666256081213774</v>
      </c>
      <c r="U14" s="102">
        <f t="shared" si="45"/>
        <v>16.604788100880441</v>
      </c>
      <c r="V14" s="102">
        <f t="shared" si="46"/>
        <v>14.384377370687965</v>
      </c>
      <c r="W14" s="102">
        <f t="shared" si="47"/>
        <v>15.697099149435996</v>
      </c>
      <c r="X14" s="102">
        <f t="shared" si="48"/>
        <v>2.644137380294687</v>
      </c>
      <c r="Y14" s="181">
        <f t="shared" si="30"/>
        <v>160.98164112102344</v>
      </c>
      <c r="Z14" s="181">
        <f t="shared" si="1"/>
        <v>0.14139887293869663</v>
      </c>
      <c r="AA14" s="181">
        <f t="shared" si="2"/>
        <v>6.3299701378232895E-5</v>
      </c>
      <c r="AB14" s="181">
        <f t="shared" si="3"/>
        <v>0.12422114254754073</v>
      </c>
      <c r="AC14" s="181">
        <f t="shared" si="4"/>
        <v>5.7832415742050086E-2</v>
      </c>
      <c r="AD14" s="181">
        <f t="shared" si="5"/>
        <v>5.0099000796526544E-2</v>
      </c>
      <c r="AE14" s="181">
        <f t="shared" si="6"/>
        <v>5.4671047798931484E-2</v>
      </c>
      <c r="AF14" s="181">
        <f t="shared" si="7"/>
        <v>9.209202269084624E-3</v>
      </c>
      <c r="AG14" s="102">
        <f t="shared" si="31"/>
        <v>46346.508545822202</v>
      </c>
      <c r="AH14" s="185">
        <f t="shared" si="8"/>
        <v>55238.248611824041</v>
      </c>
      <c r="AI14" s="185">
        <f t="shared" si="9"/>
        <v>255158.01660874544</v>
      </c>
      <c r="AJ14" s="185">
        <f t="shared" si="10"/>
        <v>510316.03321749088</v>
      </c>
      <c r="AK14" s="185">
        <f t="shared" si="11"/>
        <v>2551580.1660874547</v>
      </c>
      <c r="AL14" s="185">
        <f t="shared" si="12"/>
        <v>5103160.3321749093</v>
      </c>
    </row>
    <row r="15" spans="1:38" x14ac:dyDescent="0.2">
      <c r="C15" s="89">
        <f>+'Annual Energy Data'!A29</f>
        <v>2029</v>
      </c>
      <c r="D15" s="102">
        <f>+'Annual Energy Data'!V29</f>
        <v>588925.42292387283</v>
      </c>
      <c r="E15" s="102">
        <f>+D15*'Tier 1 Data - MOU I.4'!A19</f>
        <v>394580.03335899481</v>
      </c>
      <c r="F15" s="102">
        <f>+'Annual Energy Data'!BL29</f>
        <v>78390</v>
      </c>
      <c r="G15" s="102">
        <f t="shared" si="13"/>
        <v>115955.38956487802</v>
      </c>
      <c r="H15" s="178">
        <f t="shared" si="14"/>
        <v>0.19689316346573638</v>
      </c>
      <c r="I15" s="179">
        <f t="shared" si="33"/>
        <v>890.10806000000002</v>
      </c>
      <c r="J15" s="179">
        <f t="shared" si="34"/>
        <v>0.78183000000000002</v>
      </c>
      <c r="K15" s="179">
        <f t="shared" si="35"/>
        <v>3.5E-4</v>
      </c>
      <c r="L15" s="179">
        <f t="shared" si="36"/>
        <v>0.68684999999999996</v>
      </c>
      <c r="M15" s="179">
        <f t="shared" si="37"/>
        <v>0.31977</v>
      </c>
      <c r="N15" s="179">
        <f t="shared" si="38"/>
        <v>0.27700999999999998</v>
      </c>
      <c r="O15" s="179">
        <f t="shared" si="39"/>
        <v>0.30229</v>
      </c>
      <c r="P15" s="179">
        <f t="shared" si="40"/>
        <v>5.092E-2</v>
      </c>
      <c r="Q15" s="102">
        <f t="shared" si="41"/>
        <v>51606.41342606891</v>
      </c>
      <c r="R15" s="102">
        <f t="shared" si="42"/>
        <v>45.328701111754292</v>
      </c>
      <c r="S15" s="102">
        <f t="shared" si="43"/>
        <v>2.0292193173853654E-2</v>
      </c>
      <c r="T15" s="102">
        <f t="shared" si="44"/>
        <v>39.821979661318231</v>
      </c>
      <c r="U15" s="102">
        <f t="shared" si="45"/>
        <v>18.539527460580519</v>
      </c>
      <c r="V15" s="102">
        <f t="shared" si="46"/>
        <v>16.060401231683429</v>
      </c>
      <c r="W15" s="102">
        <f t="shared" si="47"/>
        <v>17.526077355783489</v>
      </c>
      <c r="X15" s="102">
        <f t="shared" si="48"/>
        <v>2.9522242183217942</v>
      </c>
      <c r="Y15" s="181">
        <f t="shared" si="30"/>
        <v>175.25619175974947</v>
      </c>
      <c r="Z15" s="181">
        <f t="shared" si="1"/>
        <v>0.15393698199241668</v>
      </c>
      <c r="AA15" s="181">
        <f t="shared" si="2"/>
        <v>6.8912607213007733E-5</v>
      </c>
      <c r="AB15" s="181">
        <f t="shared" si="3"/>
        <v>0.13523606932644103</v>
      </c>
      <c r="AC15" s="181">
        <f t="shared" si="4"/>
        <v>6.2960526881438508E-2</v>
      </c>
      <c r="AD15" s="181">
        <f t="shared" si="5"/>
        <v>5.4541375211643629E-2</v>
      </c>
      <c r="AE15" s="181">
        <f t="shared" si="6"/>
        <v>5.9518834384057445E-2</v>
      </c>
      <c r="AF15" s="181">
        <f t="shared" si="7"/>
        <v>1.0025799883675295E-2</v>
      </c>
      <c r="AG15" s="102">
        <f t="shared" si="31"/>
        <v>51746.662629301529</v>
      </c>
      <c r="AH15" s="185">
        <f t="shared" si="8"/>
        <v>62907.930002320529</v>
      </c>
      <c r="AI15" s="185">
        <f t="shared" si="9"/>
        <v>290586.01696719968</v>
      </c>
      <c r="AJ15" s="185">
        <f t="shared" si="10"/>
        <v>581172.03393439937</v>
      </c>
      <c r="AK15" s="185">
        <f t="shared" si="11"/>
        <v>2905860.169671997</v>
      </c>
      <c r="AL15" s="185">
        <f t="shared" si="12"/>
        <v>5811720.3393439939</v>
      </c>
    </row>
    <row r="16" spans="1:38" x14ac:dyDescent="0.2">
      <c r="C16" s="89">
        <f>+'Annual Energy Data'!A30</f>
        <v>2030</v>
      </c>
      <c r="D16" s="102">
        <f>+'Annual Energy Data'!V30</f>
        <v>604371.2686899699</v>
      </c>
      <c r="E16" s="102">
        <f>+D16*'Tier 1 Data - MOU I.4'!A20</f>
        <v>604371.2686899699</v>
      </c>
      <c r="F16" s="102">
        <f>+'Annual Energy Data'!BL30</f>
        <v>78156</v>
      </c>
      <c r="G16" s="102">
        <f t="shared" si="13"/>
        <v>-78156</v>
      </c>
      <c r="H16" s="178">
        <f t="shared" si="14"/>
        <v>-0.12931786146851471</v>
      </c>
      <c r="I16" s="179">
        <f t="shared" si="33"/>
        <v>890.10806000000002</v>
      </c>
      <c r="J16" s="179">
        <f t="shared" si="34"/>
        <v>0.78183000000000002</v>
      </c>
      <c r="K16" s="179">
        <f t="shared" si="35"/>
        <v>3.5E-4</v>
      </c>
      <c r="L16" s="179">
        <f t="shared" si="36"/>
        <v>0.68684999999999996</v>
      </c>
      <c r="M16" s="179">
        <f t="shared" si="37"/>
        <v>0.31977</v>
      </c>
      <c r="N16" s="179">
        <f t="shared" si="38"/>
        <v>0.27700999999999998</v>
      </c>
      <c r="O16" s="179">
        <f t="shared" si="39"/>
        <v>0.30229</v>
      </c>
      <c r="P16" s="179">
        <f t="shared" si="40"/>
        <v>5.092E-2</v>
      </c>
      <c r="Q16" s="102">
        <f t="shared" si="41"/>
        <v>-34783.642768680002</v>
      </c>
      <c r="R16" s="102">
        <f t="shared" si="42"/>
        <v>-30.552352740000003</v>
      </c>
      <c r="S16" s="102">
        <f t="shared" si="43"/>
        <v>-1.36773E-2</v>
      </c>
      <c r="T16" s="102">
        <f t="shared" si="44"/>
        <v>-26.840724299999998</v>
      </c>
      <c r="U16" s="102">
        <f t="shared" si="45"/>
        <v>-12.49597206</v>
      </c>
      <c r="V16" s="102">
        <f t="shared" si="46"/>
        <v>-10.824996779999999</v>
      </c>
      <c r="W16" s="102">
        <f t="shared" si="47"/>
        <v>-11.812888619999999</v>
      </c>
      <c r="X16" s="102">
        <f t="shared" si="48"/>
        <v>-1.9898517600000001</v>
      </c>
      <c r="Y16" s="181">
        <f t="shared" si="30"/>
        <v>-115.10687079508835</v>
      </c>
      <c r="Z16" s="181">
        <f t="shared" si="1"/>
        <v>-0.10110458363192885</v>
      </c>
      <c r="AA16" s="181">
        <f t="shared" si="2"/>
        <v>-4.5261251513980147E-5</v>
      </c>
      <c r="AB16" s="181">
        <f t="shared" si="3"/>
        <v>-8.8821973149649305E-2</v>
      </c>
      <c r="AC16" s="181">
        <f t="shared" si="4"/>
        <v>-4.1351972561786944E-2</v>
      </c>
      <c r="AD16" s="181">
        <f t="shared" si="5"/>
        <v>-3.5822340805393253E-2</v>
      </c>
      <c r="AE16" s="181">
        <f t="shared" si="6"/>
        <v>-3.9091496343317308E-2</v>
      </c>
      <c r="AF16" s="181">
        <f t="shared" si="7"/>
        <v>-6.5848655059767679E-3</v>
      </c>
      <c r="AG16" s="102">
        <f t="shared" si="31"/>
        <v>-34878.173232239998</v>
      </c>
      <c r="AH16" s="185">
        <f t="shared" si="8"/>
        <v>-43249.087770954153</v>
      </c>
      <c r="AI16" s="185">
        <f t="shared" si="9"/>
        <v>-199777.35958507619</v>
      </c>
      <c r="AJ16" s="185">
        <f t="shared" si="10"/>
        <v>-399554.71917015238</v>
      </c>
      <c r="AK16" s="185">
        <f t="shared" si="11"/>
        <v>-1997773.595850762</v>
      </c>
      <c r="AL16" s="185">
        <f t="shared" si="12"/>
        <v>-3995547.191701524</v>
      </c>
    </row>
    <row r="17" spans="3:38" x14ac:dyDescent="0.2">
      <c r="C17" s="89">
        <f>+'Annual Energy Data'!A31</f>
        <v>2031</v>
      </c>
      <c r="D17" s="102">
        <f>+'Annual Energy Data'!V31</f>
        <v>620873.47339124524</v>
      </c>
      <c r="E17" s="102">
        <f>+D17*'Tier 1 Data - MOU I.4'!A21</f>
        <v>620873.47339124524</v>
      </c>
      <c r="F17" s="102">
        <f>+'Annual Energy Data'!BL31</f>
        <v>85410</v>
      </c>
      <c r="G17" s="102">
        <f t="shared" si="13"/>
        <v>-85410</v>
      </c>
      <c r="H17" s="178">
        <f t="shared" si="14"/>
        <v>-0.13756426012772918</v>
      </c>
      <c r="I17" s="179">
        <f t="shared" si="33"/>
        <v>890.10806000000002</v>
      </c>
      <c r="J17" s="179">
        <f t="shared" si="34"/>
        <v>0.78183000000000002</v>
      </c>
      <c r="K17" s="179">
        <f t="shared" si="35"/>
        <v>3.5E-4</v>
      </c>
      <c r="L17" s="179">
        <f t="shared" si="36"/>
        <v>0.68684999999999996</v>
      </c>
      <c r="M17" s="179">
        <f t="shared" si="37"/>
        <v>0.31977</v>
      </c>
      <c r="N17" s="179">
        <f t="shared" si="38"/>
        <v>0.27700999999999998</v>
      </c>
      <c r="O17" s="179">
        <f t="shared" si="39"/>
        <v>0.30229</v>
      </c>
      <c r="P17" s="179">
        <f t="shared" si="40"/>
        <v>5.092E-2</v>
      </c>
      <c r="Q17" s="102">
        <f t="shared" si="41"/>
        <v>-38012.064702300006</v>
      </c>
      <c r="R17" s="102">
        <f t="shared" si="42"/>
        <v>-33.388050150000005</v>
      </c>
      <c r="S17" s="102">
        <f t="shared" si="43"/>
        <v>-1.494675E-2</v>
      </c>
      <c r="T17" s="102">
        <f t="shared" si="44"/>
        <v>-29.331929249999998</v>
      </c>
      <c r="U17" s="102">
        <f t="shared" si="45"/>
        <v>-13.65577785</v>
      </c>
      <c r="V17" s="102">
        <f t="shared" si="46"/>
        <v>-11.829712049999998</v>
      </c>
      <c r="W17" s="102">
        <f t="shared" si="47"/>
        <v>-12.909294449999999</v>
      </c>
      <c r="X17" s="102">
        <f t="shared" si="48"/>
        <v>-2.1745386</v>
      </c>
      <c r="Y17" s="181">
        <f t="shared" si="30"/>
        <v>-122.44705670762839</v>
      </c>
      <c r="Z17" s="181">
        <f t="shared" si="1"/>
        <v>-0.10755186549566251</v>
      </c>
      <c r="AA17" s="181">
        <f t="shared" si="2"/>
        <v>-4.8147491044705215E-5</v>
      </c>
      <c r="AB17" s="181">
        <f t="shared" si="3"/>
        <v>-9.4486012068730779E-2</v>
      </c>
      <c r="AC17" s="181">
        <f t="shared" si="4"/>
        <v>-4.3988923461043959E-2</v>
      </c>
      <c r="AD17" s="181">
        <f t="shared" si="5"/>
        <v>-3.8106675697982255E-2</v>
      </c>
      <c r="AE17" s="181">
        <f t="shared" si="6"/>
        <v>-4.1584300194011249E-2</v>
      </c>
      <c r="AF17" s="181">
        <f t="shared" si="7"/>
        <v>-7.0047721257039692E-3</v>
      </c>
      <c r="AG17" s="102">
        <f t="shared" si="31"/>
        <v>-38115.368951400007</v>
      </c>
      <c r="AH17" s="185">
        <f t="shared" si="8"/>
        <v>-48208.489153072551</v>
      </c>
      <c r="AI17" s="185">
        <f t="shared" si="9"/>
        <v>-222685.96099857448</v>
      </c>
      <c r="AJ17" s="185">
        <f t="shared" si="10"/>
        <v>-445371.92199714895</v>
      </c>
      <c r="AK17" s="185">
        <f t="shared" si="11"/>
        <v>-2226859.609985745</v>
      </c>
      <c r="AL17" s="185">
        <f t="shared" si="12"/>
        <v>-4453719.2199714901</v>
      </c>
    </row>
    <row r="18" spans="3:38" x14ac:dyDescent="0.2">
      <c r="C18" s="89">
        <f>+'Annual Energy Data'!A32</f>
        <v>2032</v>
      </c>
      <c r="D18" s="102">
        <f>+'Annual Energy Data'!V32</f>
        <v>638688.24670604919</v>
      </c>
      <c r="E18" s="102">
        <f>+D18*'Tier 1 Data - MOU I.4'!A22</f>
        <v>638688.24670604919</v>
      </c>
      <c r="F18" s="102">
        <f>+'Annual Energy Data'!BL32</f>
        <v>78624</v>
      </c>
      <c r="G18" s="102">
        <f t="shared" si="13"/>
        <v>-78624</v>
      </c>
      <c r="H18" s="178">
        <f t="shared" si="14"/>
        <v>-0.12310231228693022</v>
      </c>
      <c r="I18" s="179">
        <f t="shared" si="33"/>
        <v>890.10806000000002</v>
      </c>
      <c r="J18" s="179">
        <f t="shared" si="34"/>
        <v>0.78183000000000002</v>
      </c>
      <c r="K18" s="179">
        <f t="shared" si="35"/>
        <v>3.5E-4</v>
      </c>
      <c r="L18" s="179">
        <f t="shared" si="36"/>
        <v>0.68684999999999996</v>
      </c>
      <c r="M18" s="179">
        <f t="shared" si="37"/>
        <v>0.31977</v>
      </c>
      <c r="N18" s="179">
        <f t="shared" si="38"/>
        <v>0.27700999999999998</v>
      </c>
      <c r="O18" s="179">
        <f t="shared" si="39"/>
        <v>0.30229</v>
      </c>
      <c r="P18" s="179">
        <f t="shared" si="40"/>
        <v>5.092E-2</v>
      </c>
      <c r="Q18" s="102">
        <f t="shared" si="41"/>
        <v>-34991.928054719996</v>
      </c>
      <c r="R18" s="102">
        <f t="shared" si="42"/>
        <v>-30.73530096</v>
      </c>
      <c r="S18" s="102">
        <f t="shared" si="43"/>
        <v>-1.3759199999999999E-2</v>
      </c>
      <c r="T18" s="102">
        <f t="shared" si="44"/>
        <v>-27.001447199999998</v>
      </c>
      <c r="U18" s="102">
        <f t="shared" si="45"/>
        <v>-12.57079824</v>
      </c>
      <c r="V18" s="102">
        <f t="shared" si="46"/>
        <v>-10.88981712</v>
      </c>
      <c r="W18" s="102">
        <f t="shared" si="47"/>
        <v>-11.88362448</v>
      </c>
      <c r="X18" s="102">
        <f t="shared" si="48"/>
        <v>-2.0017670399999998</v>
      </c>
      <c r="Y18" s="181">
        <f t="shared" si="30"/>
        <v>-109.57436037123362</v>
      </c>
      <c r="Z18" s="181">
        <f t="shared" si="1"/>
        <v>-9.6245080815290651E-2</v>
      </c>
      <c r="AA18" s="181">
        <f t="shared" si="2"/>
        <v>-4.3085809300425576E-5</v>
      </c>
      <c r="AB18" s="181">
        <f t="shared" si="3"/>
        <v>-8.4552823194278023E-2</v>
      </c>
      <c r="AC18" s="181">
        <f t="shared" si="4"/>
        <v>-3.936442639999168E-2</v>
      </c>
      <c r="AD18" s="181">
        <f t="shared" si="5"/>
        <v>-3.4100571526602542E-2</v>
      </c>
      <c r="AE18" s="181">
        <f t="shared" si="6"/>
        <v>-3.7212597981216136E-2</v>
      </c>
      <c r="AF18" s="181">
        <f t="shared" si="7"/>
        <v>-6.268369741650486E-3</v>
      </c>
      <c r="AG18" s="102">
        <f t="shared" si="31"/>
        <v>-35087.024568959983</v>
      </c>
      <c r="AH18" s="185">
        <f t="shared" si="8"/>
        <v>-45265.790143947997</v>
      </c>
      <c r="AI18" s="185">
        <f t="shared" si="9"/>
        <v>-209092.96589981214</v>
      </c>
      <c r="AJ18" s="185">
        <f t="shared" si="10"/>
        <v>-418185.93179962429</v>
      </c>
      <c r="AK18" s="185">
        <f t="shared" si="11"/>
        <v>-2090929.6589981213</v>
      </c>
      <c r="AL18" s="185">
        <f t="shared" si="12"/>
        <v>-4181859.3179962425</v>
      </c>
    </row>
    <row r="19" spans="3:38" x14ac:dyDescent="0.2">
      <c r="C19" s="89">
        <f>+'Annual Energy Data'!A33</f>
        <v>2033</v>
      </c>
      <c r="D19" s="102">
        <f>+'Annual Energy Data'!V33</f>
        <v>657164.28327400493</v>
      </c>
      <c r="E19" s="102">
        <f>+D19*'Tier 1 Data - MOU I.4'!A23</f>
        <v>657164.28327400493</v>
      </c>
      <c r="F19" s="102">
        <f>+'Annual Energy Data'!BL33</f>
        <v>78156</v>
      </c>
      <c r="G19" s="102">
        <f t="shared" si="13"/>
        <v>-78156</v>
      </c>
      <c r="H19" s="178">
        <f t="shared" si="14"/>
        <v>-0.11892916579492928</v>
      </c>
      <c r="I19" s="179">
        <f t="shared" si="33"/>
        <v>890.10806000000002</v>
      </c>
      <c r="J19" s="179">
        <f t="shared" si="34"/>
        <v>0.78183000000000002</v>
      </c>
      <c r="K19" s="179">
        <f t="shared" si="35"/>
        <v>3.5E-4</v>
      </c>
      <c r="L19" s="179">
        <f t="shared" si="36"/>
        <v>0.68684999999999996</v>
      </c>
      <c r="M19" s="179">
        <f t="shared" si="37"/>
        <v>0.31977</v>
      </c>
      <c r="N19" s="179">
        <f t="shared" si="38"/>
        <v>0.27700999999999998</v>
      </c>
      <c r="O19" s="179">
        <f t="shared" si="39"/>
        <v>0.30229</v>
      </c>
      <c r="P19" s="179">
        <f t="shared" si="40"/>
        <v>5.092E-2</v>
      </c>
      <c r="Q19" s="102">
        <f t="shared" si="41"/>
        <v>-34783.642768680002</v>
      </c>
      <c r="R19" s="102">
        <f t="shared" si="42"/>
        <v>-30.552352740000003</v>
      </c>
      <c r="S19" s="102">
        <f t="shared" si="43"/>
        <v>-1.36773E-2</v>
      </c>
      <c r="T19" s="102">
        <f t="shared" si="44"/>
        <v>-26.840724299999998</v>
      </c>
      <c r="U19" s="102">
        <f t="shared" si="45"/>
        <v>-12.49597206</v>
      </c>
      <c r="V19" s="102">
        <f t="shared" si="46"/>
        <v>-10.824996779999999</v>
      </c>
      <c r="W19" s="102">
        <f t="shared" si="47"/>
        <v>-11.812888619999999</v>
      </c>
      <c r="X19" s="102">
        <f t="shared" si="48"/>
        <v>-1.9898517600000001</v>
      </c>
      <c r="Y19" s="181">
        <f t="shared" si="30"/>
        <v>-105.85980904314285</v>
      </c>
      <c r="Z19" s="181">
        <f t="shared" si="1"/>
        <v>-9.298238969344956E-2</v>
      </c>
      <c r="AA19" s="181">
        <f t="shared" si="2"/>
        <v>-4.162520802822525E-5</v>
      </c>
      <c r="AB19" s="181">
        <f t="shared" si="3"/>
        <v>-8.1686497526247168E-2</v>
      </c>
      <c r="AC19" s="181">
        <f t="shared" si="4"/>
        <v>-3.8029979346244532E-2</v>
      </c>
      <c r="AD19" s="181">
        <f t="shared" si="5"/>
        <v>-3.2944568216853355E-2</v>
      </c>
      <c r="AE19" s="181">
        <f t="shared" si="6"/>
        <v>-3.5951097528149172E-2</v>
      </c>
      <c r="AF19" s="181">
        <f t="shared" si="7"/>
        <v>-6.0558731222777988E-3</v>
      </c>
      <c r="AG19" s="102">
        <f t="shared" si="31"/>
        <v>-34878.173232239998</v>
      </c>
      <c r="AH19" s="185">
        <f t="shared" si="8"/>
        <v>-45896.277935238715</v>
      </c>
      <c r="AI19" s="185">
        <f t="shared" si="9"/>
        <v>-212005.33221055954</v>
      </c>
      <c r="AJ19" s="185">
        <f t="shared" si="10"/>
        <v>-424010.66442111909</v>
      </c>
      <c r="AK19" s="185">
        <f t="shared" si="11"/>
        <v>-2120053.3221055954</v>
      </c>
      <c r="AL19" s="185">
        <f t="shared" si="12"/>
        <v>-4240106.6442111908</v>
      </c>
    </row>
    <row r="20" spans="3:38" x14ac:dyDescent="0.2">
      <c r="C20" s="89">
        <f>+'Annual Energy Data'!A34</f>
        <v>2034</v>
      </c>
      <c r="D20" s="102">
        <f>+'Annual Energy Data'!V34</f>
        <v>676250.96556458564</v>
      </c>
      <c r="E20" s="102">
        <f>+D20*'Tier 1 Data - MOU I.4'!A24</f>
        <v>676250.96556458564</v>
      </c>
      <c r="F20" s="102">
        <f>+'Annual Energy Data'!BL34</f>
        <v>85410</v>
      </c>
      <c r="G20" s="102">
        <f t="shared" si="13"/>
        <v>-85410</v>
      </c>
      <c r="H20" s="178">
        <f t="shared" si="14"/>
        <v>-0.12629926513848783</v>
      </c>
      <c r="I20" s="179">
        <f t="shared" si="33"/>
        <v>890.10806000000002</v>
      </c>
      <c r="J20" s="179">
        <f t="shared" si="34"/>
        <v>0.78183000000000002</v>
      </c>
      <c r="K20" s="179">
        <f t="shared" si="35"/>
        <v>3.5E-4</v>
      </c>
      <c r="L20" s="179">
        <f t="shared" si="36"/>
        <v>0.68684999999999996</v>
      </c>
      <c r="M20" s="179">
        <f t="shared" si="37"/>
        <v>0.31977</v>
      </c>
      <c r="N20" s="179">
        <f t="shared" si="38"/>
        <v>0.27700999999999998</v>
      </c>
      <c r="O20" s="179">
        <f t="shared" si="39"/>
        <v>0.30229</v>
      </c>
      <c r="P20" s="179">
        <f t="shared" si="40"/>
        <v>5.092E-2</v>
      </c>
      <c r="Q20" s="102">
        <f t="shared" si="41"/>
        <v>-38012.064702300006</v>
      </c>
      <c r="R20" s="102">
        <f t="shared" si="42"/>
        <v>-33.388050150000005</v>
      </c>
      <c r="S20" s="102">
        <f t="shared" si="43"/>
        <v>-1.494675E-2</v>
      </c>
      <c r="T20" s="102">
        <f t="shared" si="44"/>
        <v>-29.331929249999998</v>
      </c>
      <c r="U20" s="102">
        <f t="shared" si="45"/>
        <v>-13.65577785</v>
      </c>
      <c r="V20" s="102">
        <f t="shared" si="46"/>
        <v>-11.829712049999998</v>
      </c>
      <c r="W20" s="102">
        <f t="shared" si="47"/>
        <v>-12.909294449999999</v>
      </c>
      <c r="X20" s="102">
        <f t="shared" si="48"/>
        <v>-2.1745386</v>
      </c>
      <c r="Y20" s="181">
        <f t="shared" si="30"/>
        <v>-112.41999387184504</v>
      </c>
      <c r="Z20" s="181">
        <f t="shared" si="1"/>
        <v>-9.8744554463223944E-2</v>
      </c>
      <c r="AA20" s="181">
        <f t="shared" si="2"/>
        <v>-4.4204742798470734E-5</v>
      </c>
      <c r="AB20" s="181">
        <f t="shared" si="3"/>
        <v>-8.6748650260370347E-2</v>
      </c>
      <c r="AC20" s="181">
        <f t="shared" si="4"/>
        <v>-4.0386716013334253E-2</v>
      </c>
      <c r="AD20" s="181">
        <f t="shared" si="5"/>
        <v>-3.4986159436012507E-2</v>
      </c>
      <c r="AE20" s="181">
        <f t="shared" si="6"/>
        <v>-3.8179004858713485E-2</v>
      </c>
      <c r="AF20" s="181">
        <f t="shared" si="7"/>
        <v>-6.4311585808517991E-3</v>
      </c>
      <c r="AG20" s="102">
        <f t="shared" si="31"/>
        <v>-38115.368951400007</v>
      </c>
      <c r="AH20" s="185">
        <f t="shared" si="8"/>
        <v>-51159.234357153822</v>
      </c>
      <c r="AI20" s="185">
        <f t="shared" si="9"/>
        <v>-236316.12329937523</v>
      </c>
      <c r="AJ20" s="185">
        <f t="shared" si="10"/>
        <v>-472632.24659875047</v>
      </c>
      <c r="AK20" s="185">
        <f t="shared" si="11"/>
        <v>-2363161.2329937522</v>
      </c>
      <c r="AL20" s="185">
        <f t="shared" si="12"/>
        <v>-4726322.4659875045</v>
      </c>
    </row>
    <row r="21" spans="3:38" x14ac:dyDescent="0.2">
      <c r="C21" s="89">
        <f>+'Annual Energy Data'!A35</f>
        <v>2035</v>
      </c>
      <c r="D21" s="102">
        <f>+'Annual Energy Data'!V35</f>
        <v>695043.4194148333</v>
      </c>
      <c r="E21" s="102">
        <f>+D21*'Tier 1 Data - MOU I.4'!A25</f>
        <v>695043.4194148333</v>
      </c>
      <c r="F21" s="102">
        <f>+'Annual Energy Data'!BL35</f>
        <v>0</v>
      </c>
      <c r="G21" s="102">
        <f t="shared" si="13"/>
        <v>0</v>
      </c>
      <c r="H21" s="178">
        <f t="shared" si="14"/>
        <v>0</v>
      </c>
      <c r="I21" s="179">
        <f t="shared" si="33"/>
        <v>890.10806000000002</v>
      </c>
      <c r="J21" s="179">
        <f t="shared" si="34"/>
        <v>0.78183000000000002</v>
      </c>
      <c r="K21" s="179">
        <f t="shared" si="35"/>
        <v>3.5E-4</v>
      </c>
      <c r="L21" s="179">
        <f t="shared" si="36"/>
        <v>0.68684999999999996</v>
      </c>
      <c r="M21" s="179">
        <f t="shared" si="37"/>
        <v>0.31977</v>
      </c>
      <c r="N21" s="179">
        <f t="shared" si="38"/>
        <v>0.27700999999999998</v>
      </c>
      <c r="O21" s="179">
        <f t="shared" si="39"/>
        <v>0.30229</v>
      </c>
      <c r="P21" s="179">
        <f t="shared" si="40"/>
        <v>5.092E-2</v>
      </c>
      <c r="Q21" s="102">
        <f t="shared" si="41"/>
        <v>0</v>
      </c>
      <c r="R21" s="102">
        <f t="shared" si="42"/>
        <v>0</v>
      </c>
      <c r="S21" s="102">
        <f t="shared" si="43"/>
        <v>0</v>
      </c>
      <c r="T21" s="102">
        <f t="shared" si="44"/>
        <v>0</v>
      </c>
      <c r="U21" s="102">
        <f t="shared" si="45"/>
        <v>0</v>
      </c>
      <c r="V21" s="102">
        <f t="shared" si="46"/>
        <v>0</v>
      </c>
      <c r="W21" s="102">
        <f t="shared" si="47"/>
        <v>0</v>
      </c>
      <c r="X21" s="102">
        <f t="shared" si="48"/>
        <v>0</v>
      </c>
      <c r="Y21" s="181">
        <f t="shared" si="30"/>
        <v>0</v>
      </c>
      <c r="Z21" s="181">
        <f t="shared" si="1"/>
        <v>0</v>
      </c>
      <c r="AA21" s="181">
        <f t="shared" si="2"/>
        <v>0</v>
      </c>
      <c r="AB21" s="181">
        <f t="shared" si="3"/>
        <v>0</v>
      </c>
      <c r="AC21" s="181">
        <f t="shared" si="4"/>
        <v>0</v>
      </c>
      <c r="AD21" s="181">
        <f t="shared" si="5"/>
        <v>0</v>
      </c>
      <c r="AE21" s="181">
        <f t="shared" si="6"/>
        <v>0</v>
      </c>
      <c r="AF21" s="181">
        <f t="shared" si="7"/>
        <v>0</v>
      </c>
      <c r="AG21" s="102">
        <f t="shared" si="31"/>
        <v>0</v>
      </c>
      <c r="AH21" s="185">
        <f t="shared" si="8"/>
        <v>0</v>
      </c>
      <c r="AI21" s="185">
        <f t="shared" si="9"/>
        <v>0</v>
      </c>
      <c r="AJ21" s="185">
        <f t="shared" si="10"/>
        <v>0</v>
      </c>
      <c r="AK21" s="185">
        <f t="shared" si="11"/>
        <v>0</v>
      </c>
      <c r="AL21" s="185">
        <f t="shared" si="12"/>
        <v>0</v>
      </c>
    </row>
    <row r="22" spans="3:38" x14ac:dyDescent="0.2">
      <c r="C22" s="89">
        <f>+'Annual Energy Data'!A36</f>
        <v>2036</v>
      </c>
      <c r="D22" s="102">
        <f>+'Annual Energy Data'!V36</f>
        <v>713975.43825101119</v>
      </c>
      <c r="E22" s="102">
        <f>+D22*'Tier 1 Data - MOU I.4'!A26</f>
        <v>713975.43825101119</v>
      </c>
      <c r="F22" s="102">
        <f>+'Annual Energy Data'!BL36</f>
        <v>0</v>
      </c>
      <c r="G22" s="102">
        <f t="shared" si="13"/>
        <v>0</v>
      </c>
      <c r="H22" s="178">
        <f t="shared" si="14"/>
        <v>0</v>
      </c>
      <c r="I22" s="179">
        <f t="shared" si="33"/>
        <v>890.10806000000002</v>
      </c>
      <c r="J22" s="179">
        <f t="shared" si="34"/>
        <v>0.78183000000000002</v>
      </c>
      <c r="K22" s="179">
        <f t="shared" si="35"/>
        <v>3.5E-4</v>
      </c>
      <c r="L22" s="179">
        <f t="shared" si="36"/>
        <v>0.68684999999999996</v>
      </c>
      <c r="M22" s="179">
        <f t="shared" si="37"/>
        <v>0.31977</v>
      </c>
      <c r="N22" s="179">
        <f t="shared" si="38"/>
        <v>0.27700999999999998</v>
      </c>
      <c r="O22" s="179">
        <f t="shared" si="39"/>
        <v>0.30229</v>
      </c>
      <c r="P22" s="179">
        <f t="shared" si="40"/>
        <v>5.092E-2</v>
      </c>
      <c r="Q22" s="102">
        <f t="shared" si="41"/>
        <v>0</v>
      </c>
      <c r="R22" s="102">
        <f t="shared" si="42"/>
        <v>0</v>
      </c>
      <c r="S22" s="102">
        <f t="shared" si="43"/>
        <v>0</v>
      </c>
      <c r="T22" s="102">
        <f t="shared" si="44"/>
        <v>0</v>
      </c>
      <c r="U22" s="102">
        <f t="shared" si="45"/>
        <v>0</v>
      </c>
      <c r="V22" s="102">
        <f t="shared" si="46"/>
        <v>0</v>
      </c>
      <c r="W22" s="102">
        <f t="shared" si="47"/>
        <v>0</v>
      </c>
      <c r="X22" s="102">
        <f t="shared" si="48"/>
        <v>0</v>
      </c>
      <c r="Y22" s="181">
        <f t="shared" si="30"/>
        <v>0</v>
      </c>
      <c r="Z22" s="181">
        <f t="shared" si="1"/>
        <v>0</v>
      </c>
      <c r="AA22" s="181">
        <f t="shared" si="2"/>
        <v>0</v>
      </c>
      <c r="AB22" s="181">
        <f t="shared" si="3"/>
        <v>0</v>
      </c>
      <c r="AC22" s="181">
        <f t="shared" si="4"/>
        <v>0</v>
      </c>
      <c r="AD22" s="181">
        <f t="shared" si="5"/>
        <v>0</v>
      </c>
      <c r="AE22" s="181">
        <f t="shared" si="6"/>
        <v>0</v>
      </c>
      <c r="AF22" s="181">
        <f t="shared" si="7"/>
        <v>0</v>
      </c>
      <c r="AG22" s="102">
        <f t="shared" si="31"/>
        <v>0</v>
      </c>
      <c r="AH22" s="185">
        <f t="shared" si="8"/>
        <v>0</v>
      </c>
      <c r="AI22" s="185">
        <f t="shared" si="9"/>
        <v>0</v>
      </c>
      <c r="AJ22" s="185">
        <f t="shared" si="10"/>
        <v>0</v>
      </c>
      <c r="AK22" s="185">
        <f t="shared" si="11"/>
        <v>0</v>
      </c>
      <c r="AL22" s="185">
        <f t="shared" si="12"/>
        <v>0</v>
      </c>
    </row>
    <row r="23" spans="3:38" x14ac:dyDescent="0.2">
      <c r="C23" s="89">
        <f>+'Annual Energy Data'!A37</f>
        <v>2037</v>
      </c>
      <c r="D23" s="102">
        <f>+'Annual Energy Data'!V37</f>
        <v>733141.30112139042</v>
      </c>
      <c r="E23" s="102">
        <f>+D23*'Tier 1 Data - MOU I.4'!A27</f>
        <v>733141.30112139042</v>
      </c>
      <c r="F23" s="102">
        <f>+'Annual Energy Data'!BL37</f>
        <v>0</v>
      </c>
      <c r="G23" s="102">
        <f t="shared" si="13"/>
        <v>0</v>
      </c>
      <c r="H23" s="178">
        <f t="shared" si="14"/>
        <v>0</v>
      </c>
      <c r="I23" s="179">
        <f t="shared" si="33"/>
        <v>890.10806000000002</v>
      </c>
      <c r="J23" s="179">
        <f t="shared" si="34"/>
        <v>0.78183000000000002</v>
      </c>
      <c r="K23" s="179">
        <f t="shared" si="35"/>
        <v>3.5E-4</v>
      </c>
      <c r="L23" s="179">
        <f t="shared" si="36"/>
        <v>0.68684999999999996</v>
      </c>
      <c r="M23" s="179">
        <f t="shared" si="37"/>
        <v>0.31977</v>
      </c>
      <c r="N23" s="179">
        <f t="shared" si="38"/>
        <v>0.27700999999999998</v>
      </c>
      <c r="O23" s="179">
        <f t="shared" si="39"/>
        <v>0.30229</v>
      </c>
      <c r="P23" s="179">
        <f t="shared" si="40"/>
        <v>5.092E-2</v>
      </c>
      <c r="Q23" s="102">
        <f t="shared" si="41"/>
        <v>0</v>
      </c>
      <c r="R23" s="102">
        <f t="shared" si="42"/>
        <v>0</v>
      </c>
      <c r="S23" s="102">
        <f t="shared" si="43"/>
        <v>0</v>
      </c>
      <c r="T23" s="102">
        <f t="shared" si="44"/>
        <v>0</v>
      </c>
      <c r="U23" s="102">
        <f t="shared" si="45"/>
        <v>0</v>
      </c>
      <c r="V23" s="102">
        <f t="shared" si="46"/>
        <v>0</v>
      </c>
      <c r="W23" s="102">
        <f t="shared" si="47"/>
        <v>0</v>
      </c>
      <c r="X23" s="102">
        <f t="shared" si="48"/>
        <v>0</v>
      </c>
      <c r="Y23" s="181">
        <f t="shared" si="30"/>
        <v>0</v>
      </c>
      <c r="Z23" s="181">
        <f t="shared" si="1"/>
        <v>0</v>
      </c>
      <c r="AA23" s="181">
        <f t="shared" si="2"/>
        <v>0</v>
      </c>
      <c r="AB23" s="181">
        <f t="shared" si="3"/>
        <v>0</v>
      </c>
      <c r="AC23" s="181">
        <f t="shared" si="4"/>
        <v>0</v>
      </c>
      <c r="AD23" s="181">
        <f t="shared" si="5"/>
        <v>0</v>
      </c>
      <c r="AE23" s="181">
        <f t="shared" si="6"/>
        <v>0</v>
      </c>
      <c r="AF23" s="181">
        <f t="shared" si="7"/>
        <v>0</v>
      </c>
      <c r="AG23" s="102">
        <f t="shared" si="31"/>
        <v>0</v>
      </c>
      <c r="AH23" s="185">
        <f t="shared" si="8"/>
        <v>0</v>
      </c>
      <c r="AI23" s="185">
        <f t="shared" si="9"/>
        <v>0</v>
      </c>
      <c r="AJ23" s="185">
        <f t="shared" si="10"/>
        <v>0</v>
      </c>
      <c r="AK23" s="185">
        <f t="shared" si="11"/>
        <v>0</v>
      </c>
      <c r="AL23" s="185">
        <f t="shared" si="12"/>
        <v>0</v>
      </c>
    </row>
    <row r="24" spans="3:38" x14ac:dyDescent="0.2">
      <c r="C24" s="89">
        <f>+'Annual Energy Data'!A38</f>
        <v>2038</v>
      </c>
      <c r="D24" s="102">
        <f>+'Annual Energy Data'!V38</f>
        <v>751528.19713254215</v>
      </c>
      <c r="E24" s="102">
        <f>+D24*'Tier 1 Data - MOU I.4'!A28</f>
        <v>751528.19713254215</v>
      </c>
      <c r="F24" s="102">
        <f>+'Annual Energy Data'!BL38</f>
        <v>0</v>
      </c>
      <c r="G24" s="102">
        <f t="shared" si="13"/>
        <v>0</v>
      </c>
      <c r="H24" s="178">
        <f t="shared" si="14"/>
        <v>0</v>
      </c>
      <c r="I24" s="179">
        <f t="shared" si="33"/>
        <v>890.10806000000002</v>
      </c>
      <c r="J24" s="179">
        <f t="shared" si="34"/>
        <v>0.78183000000000002</v>
      </c>
      <c r="K24" s="179">
        <f t="shared" si="35"/>
        <v>3.5E-4</v>
      </c>
      <c r="L24" s="179">
        <f t="shared" si="36"/>
        <v>0.68684999999999996</v>
      </c>
      <c r="M24" s="179">
        <f t="shared" si="37"/>
        <v>0.31977</v>
      </c>
      <c r="N24" s="179">
        <f t="shared" si="38"/>
        <v>0.27700999999999998</v>
      </c>
      <c r="O24" s="179">
        <f t="shared" si="39"/>
        <v>0.30229</v>
      </c>
      <c r="P24" s="179">
        <f t="shared" si="40"/>
        <v>5.092E-2</v>
      </c>
      <c r="Q24" s="102">
        <f t="shared" si="41"/>
        <v>0</v>
      </c>
      <c r="R24" s="102">
        <f t="shared" si="42"/>
        <v>0</v>
      </c>
      <c r="S24" s="102">
        <f t="shared" si="43"/>
        <v>0</v>
      </c>
      <c r="T24" s="102">
        <f t="shared" si="44"/>
        <v>0</v>
      </c>
      <c r="U24" s="102">
        <f t="shared" si="45"/>
        <v>0</v>
      </c>
      <c r="V24" s="102">
        <f t="shared" si="46"/>
        <v>0</v>
      </c>
      <c r="W24" s="102">
        <f t="shared" si="47"/>
        <v>0</v>
      </c>
      <c r="X24" s="102">
        <f t="shared" si="48"/>
        <v>0</v>
      </c>
      <c r="Y24" s="181">
        <f t="shared" si="30"/>
        <v>0</v>
      </c>
      <c r="Z24" s="181">
        <f t="shared" si="1"/>
        <v>0</v>
      </c>
      <c r="AA24" s="181">
        <f t="shared" si="2"/>
        <v>0</v>
      </c>
      <c r="AB24" s="181">
        <f t="shared" si="3"/>
        <v>0</v>
      </c>
      <c r="AC24" s="181">
        <f t="shared" si="4"/>
        <v>0</v>
      </c>
      <c r="AD24" s="181">
        <f t="shared" si="5"/>
        <v>0</v>
      </c>
      <c r="AE24" s="181">
        <f t="shared" si="6"/>
        <v>0</v>
      </c>
      <c r="AF24" s="181">
        <f t="shared" si="7"/>
        <v>0</v>
      </c>
      <c r="AG24" s="102">
        <f t="shared" si="31"/>
        <v>0</v>
      </c>
      <c r="AH24" s="185">
        <f t="shared" si="8"/>
        <v>0</v>
      </c>
      <c r="AI24" s="185">
        <f t="shared" si="9"/>
        <v>0</v>
      </c>
      <c r="AJ24" s="185">
        <f t="shared" si="10"/>
        <v>0</v>
      </c>
      <c r="AK24" s="185">
        <f t="shared" si="11"/>
        <v>0</v>
      </c>
      <c r="AL24" s="185">
        <f t="shared" si="12"/>
        <v>0</v>
      </c>
    </row>
    <row r="25" spans="3:38" x14ac:dyDescent="0.2">
      <c r="C25" s="89">
        <f>+'Annual Energy Data'!A39</f>
        <v>2039</v>
      </c>
      <c r="D25" s="102">
        <f>+'Annual Energy Data'!V39</f>
        <v>768552.28858287516</v>
      </c>
      <c r="E25" s="102">
        <f>+D25*'Tier 1 Data - MOU I.4'!A29</f>
        <v>768552.28858287516</v>
      </c>
      <c r="F25" s="102">
        <f>+'Annual Energy Data'!BL39</f>
        <v>0</v>
      </c>
      <c r="G25" s="102">
        <f t="shared" ref="G25:G28" si="49">+D25-E25-F25</f>
        <v>0</v>
      </c>
      <c r="H25" s="178">
        <f t="shared" ref="H25:H28" si="50">+G25/D25</f>
        <v>0</v>
      </c>
      <c r="I25" s="179">
        <f t="shared" si="33"/>
        <v>890.10806000000002</v>
      </c>
      <c r="J25" s="179">
        <f t="shared" si="34"/>
        <v>0.78183000000000002</v>
      </c>
      <c r="K25" s="179">
        <f t="shared" si="35"/>
        <v>3.5E-4</v>
      </c>
      <c r="L25" s="179">
        <f t="shared" si="36"/>
        <v>0.68684999999999996</v>
      </c>
      <c r="M25" s="179">
        <f t="shared" si="37"/>
        <v>0.31977</v>
      </c>
      <c r="N25" s="179">
        <f t="shared" si="38"/>
        <v>0.27700999999999998</v>
      </c>
      <c r="O25" s="179">
        <f t="shared" si="39"/>
        <v>0.30229</v>
      </c>
      <c r="P25" s="179">
        <f t="shared" si="40"/>
        <v>5.092E-2</v>
      </c>
      <c r="Q25" s="102">
        <f t="shared" ref="Q25:Q28" si="51">+I25*$G25/2000</f>
        <v>0</v>
      </c>
      <c r="R25" s="102">
        <f t="shared" ref="R25:R28" si="52">+J25*$G25/2000</f>
        <v>0</v>
      </c>
      <c r="S25" s="102">
        <f t="shared" ref="S25:S28" si="53">+K25*$G25/2000</f>
        <v>0</v>
      </c>
      <c r="T25" s="102">
        <f t="shared" ref="T25:T28" si="54">+L25*$G25/2000</f>
        <v>0</v>
      </c>
      <c r="U25" s="102">
        <f t="shared" ref="U25:U28" si="55">+M25*$G25/2000</f>
        <v>0</v>
      </c>
      <c r="V25" s="102">
        <f t="shared" ref="V25:V28" si="56">+N25*$G25/2000</f>
        <v>0</v>
      </c>
      <c r="W25" s="102">
        <f t="shared" ref="W25:W28" si="57">+O25*$G25/2000</f>
        <v>0</v>
      </c>
      <c r="X25" s="102">
        <f t="shared" ref="X25:X28" si="58">+P25*$G25/2000</f>
        <v>0</v>
      </c>
      <c r="Y25" s="181">
        <f t="shared" ref="Y25:Y28" si="59">+Q25*2000/$D25</f>
        <v>0</v>
      </c>
      <c r="Z25" s="181">
        <f t="shared" ref="Z25:Z28" si="60">+R25*2000/$D25</f>
        <v>0</v>
      </c>
      <c r="AA25" s="181">
        <f t="shared" ref="AA25:AA28" si="61">+S25*2000/$D25</f>
        <v>0</v>
      </c>
      <c r="AB25" s="181">
        <f t="shared" ref="AB25:AB28" si="62">+T25*2000/$D25</f>
        <v>0</v>
      </c>
      <c r="AC25" s="181">
        <f t="shared" ref="AC25:AC28" si="63">+U25*2000/$D25</f>
        <v>0</v>
      </c>
      <c r="AD25" s="181">
        <f t="shared" ref="AD25:AD28" si="64">+V25*2000/$D25</f>
        <v>0</v>
      </c>
      <c r="AE25" s="181">
        <f t="shared" ref="AE25:AE28" si="65">+W25*2000/$D25</f>
        <v>0</v>
      </c>
      <c r="AF25" s="181">
        <f t="shared" ref="AF25:AF28" si="66">+X25*2000/$D25</f>
        <v>0</v>
      </c>
      <c r="AG25" s="102">
        <f t="shared" ref="AG25:AG28" si="67">+SUM(Q25:X25)</f>
        <v>0</v>
      </c>
      <c r="AH25" s="185">
        <f t="shared" ref="AH25:AL25" si="68">+$Q25*D54</f>
        <v>0</v>
      </c>
      <c r="AI25" s="185">
        <f t="shared" si="68"/>
        <v>0</v>
      </c>
      <c r="AJ25" s="185">
        <f t="shared" si="68"/>
        <v>0</v>
      </c>
      <c r="AK25" s="185">
        <f t="shared" si="68"/>
        <v>0</v>
      </c>
      <c r="AL25" s="185">
        <f t="shared" si="68"/>
        <v>0</v>
      </c>
    </row>
    <row r="26" spans="3:38" x14ac:dyDescent="0.2">
      <c r="C26" s="89">
        <f>+'Annual Energy Data'!A40</f>
        <v>2040</v>
      </c>
      <c r="D26" s="102">
        <f>+'Annual Energy Data'!V40</f>
        <v>782587.65066748532</v>
      </c>
      <c r="E26" s="102">
        <f>+D26*'Tier 1 Data - MOU I.4'!A30</f>
        <v>782587.65066748532</v>
      </c>
      <c r="F26" s="102">
        <f>+'Annual Energy Data'!BL40</f>
        <v>0</v>
      </c>
      <c r="G26" s="102">
        <f t="shared" si="49"/>
        <v>0</v>
      </c>
      <c r="H26" s="178">
        <f t="shared" si="50"/>
        <v>0</v>
      </c>
      <c r="I26" s="179">
        <f t="shared" si="33"/>
        <v>890.10806000000002</v>
      </c>
      <c r="J26" s="179">
        <f t="shared" si="34"/>
        <v>0.78183000000000002</v>
      </c>
      <c r="K26" s="179">
        <f t="shared" si="35"/>
        <v>3.5E-4</v>
      </c>
      <c r="L26" s="179">
        <f t="shared" si="36"/>
        <v>0.68684999999999996</v>
      </c>
      <c r="M26" s="179">
        <f t="shared" si="37"/>
        <v>0.31977</v>
      </c>
      <c r="N26" s="179">
        <f t="shared" si="38"/>
        <v>0.27700999999999998</v>
      </c>
      <c r="O26" s="179">
        <f t="shared" si="39"/>
        <v>0.30229</v>
      </c>
      <c r="P26" s="179">
        <f t="shared" si="40"/>
        <v>5.092E-2</v>
      </c>
      <c r="Q26" s="102">
        <f t="shared" si="51"/>
        <v>0</v>
      </c>
      <c r="R26" s="102">
        <f t="shared" si="52"/>
        <v>0</v>
      </c>
      <c r="S26" s="102">
        <f t="shared" si="53"/>
        <v>0</v>
      </c>
      <c r="T26" s="102">
        <f t="shared" si="54"/>
        <v>0</v>
      </c>
      <c r="U26" s="102">
        <f t="shared" si="55"/>
        <v>0</v>
      </c>
      <c r="V26" s="102">
        <f t="shared" si="56"/>
        <v>0</v>
      </c>
      <c r="W26" s="102">
        <f t="shared" si="57"/>
        <v>0</v>
      </c>
      <c r="X26" s="102">
        <f t="shared" si="58"/>
        <v>0</v>
      </c>
      <c r="Y26" s="181">
        <f t="shared" si="59"/>
        <v>0</v>
      </c>
      <c r="Z26" s="181">
        <f t="shared" si="60"/>
        <v>0</v>
      </c>
      <c r="AA26" s="181">
        <f t="shared" si="61"/>
        <v>0</v>
      </c>
      <c r="AB26" s="181">
        <f t="shared" si="62"/>
        <v>0</v>
      </c>
      <c r="AC26" s="181">
        <f t="shared" si="63"/>
        <v>0</v>
      </c>
      <c r="AD26" s="181">
        <f t="shared" si="64"/>
        <v>0</v>
      </c>
      <c r="AE26" s="181">
        <f t="shared" si="65"/>
        <v>0</v>
      </c>
      <c r="AF26" s="181">
        <f t="shared" si="66"/>
        <v>0</v>
      </c>
      <c r="AG26" s="102">
        <f t="shared" si="67"/>
        <v>0</v>
      </c>
      <c r="AH26" s="185">
        <f t="shared" ref="AH26:AL26" si="69">+$Q26*D55</f>
        <v>0</v>
      </c>
      <c r="AI26" s="185">
        <f t="shared" si="69"/>
        <v>0</v>
      </c>
      <c r="AJ26" s="185">
        <f t="shared" si="69"/>
        <v>0</v>
      </c>
      <c r="AK26" s="185">
        <f t="shared" si="69"/>
        <v>0</v>
      </c>
      <c r="AL26" s="185">
        <f t="shared" si="69"/>
        <v>0</v>
      </c>
    </row>
    <row r="27" spans="3:38" x14ac:dyDescent="0.2">
      <c r="C27" s="89">
        <f>+'Annual Energy Data'!A41</f>
        <v>2041</v>
      </c>
      <c r="D27" s="102">
        <f>+'Annual Energy Data'!V41</f>
        <v>793532.27899898123</v>
      </c>
      <c r="E27" s="102">
        <f>+D27*'Tier 1 Data - MOU I.4'!A31</f>
        <v>793532.27899898123</v>
      </c>
      <c r="F27" s="102">
        <f>+'Annual Energy Data'!BL41</f>
        <v>0</v>
      </c>
      <c r="G27" s="102">
        <f t="shared" si="49"/>
        <v>0</v>
      </c>
      <c r="H27" s="178">
        <f t="shared" si="50"/>
        <v>0</v>
      </c>
      <c r="I27" s="179">
        <f t="shared" si="33"/>
        <v>890.10806000000002</v>
      </c>
      <c r="J27" s="179">
        <f t="shared" si="34"/>
        <v>0.78183000000000002</v>
      </c>
      <c r="K27" s="179">
        <f t="shared" si="35"/>
        <v>3.5E-4</v>
      </c>
      <c r="L27" s="179">
        <f t="shared" si="36"/>
        <v>0.68684999999999996</v>
      </c>
      <c r="M27" s="179">
        <f t="shared" si="37"/>
        <v>0.31977</v>
      </c>
      <c r="N27" s="179">
        <f t="shared" si="38"/>
        <v>0.27700999999999998</v>
      </c>
      <c r="O27" s="179">
        <f t="shared" si="39"/>
        <v>0.30229</v>
      </c>
      <c r="P27" s="179">
        <f t="shared" si="40"/>
        <v>5.092E-2</v>
      </c>
      <c r="Q27" s="102">
        <f t="shared" si="51"/>
        <v>0</v>
      </c>
      <c r="R27" s="102">
        <f t="shared" si="52"/>
        <v>0</v>
      </c>
      <c r="S27" s="102">
        <f t="shared" si="53"/>
        <v>0</v>
      </c>
      <c r="T27" s="102">
        <f t="shared" si="54"/>
        <v>0</v>
      </c>
      <c r="U27" s="102">
        <f t="shared" si="55"/>
        <v>0</v>
      </c>
      <c r="V27" s="102">
        <f t="shared" si="56"/>
        <v>0</v>
      </c>
      <c r="W27" s="102">
        <f t="shared" si="57"/>
        <v>0</v>
      </c>
      <c r="X27" s="102">
        <f t="shared" si="58"/>
        <v>0</v>
      </c>
      <c r="Y27" s="181">
        <f t="shared" si="59"/>
        <v>0</v>
      </c>
      <c r="Z27" s="181">
        <f t="shared" si="60"/>
        <v>0</v>
      </c>
      <c r="AA27" s="181">
        <f t="shared" si="61"/>
        <v>0</v>
      </c>
      <c r="AB27" s="181">
        <f t="shared" si="62"/>
        <v>0</v>
      </c>
      <c r="AC27" s="181">
        <f t="shared" si="63"/>
        <v>0</v>
      </c>
      <c r="AD27" s="181">
        <f t="shared" si="64"/>
        <v>0</v>
      </c>
      <c r="AE27" s="181">
        <f t="shared" si="65"/>
        <v>0</v>
      </c>
      <c r="AF27" s="181">
        <f t="shared" si="66"/>
        <v>0</v>
      </c>
      <c r="AG27" s="102">
        <f t="shared" si="67"/>
        <v>0</v>
      </c>
      <c r="AH27" s="185">
        <f t="shared" ref="AH27:AL27" si="70">+$Q27*D56</f>
        <v>0</v>
      </c>
      <c r="AI27" s="185">
        <f t="shared" si="70"/>
        <v>0</v>
      </c>
      <c r="AJ27" s="185">
        <f t="shared" si="70"/>
        <v>0</v>
      </c>
      <c r="AK27" s="185">
        <f t="shared" si="70"/>
        <v>0</v>
      </c>
      <c r="AL27" s="185">
        <f t="shared" si="70"/>
        <v>0</v>
      </c>
    </row>
    <row r="28" spans="3:38" x14ac:dyDescent="0.2">
      <c r="C28" s="89">
        <f>+'Annual Energy Data'!A42</f>
        <v>2042</v>
      </c>
      <c r="D28" s="102">
        <f>+'Annual Energy Data'!V42</f>
        <v>803176.88283081586</v>
      </c>
      <c r="E28" s="102">
        <f>+D28*'Tier 1 Data - MOU I.4'!A32</f>
        <v>803176.88283081586</v>
      </c>
      <c r="F28" s="102">
        <f>+'Annual Energy Data'!BL42</f>
        <v>0</v>
      </c>
      <c r="G28" s="102">
        <f t="shared" si="49"/>
        <v>0</v>
      </c>
      <c r="H28" s="178">
        <f t="shared" si="50"/>
        <v>0</v>
      </c>
      <c r="I28" s="179">
        <f t="shared" si="33"/>
        <v>890.10806000000002</v>
      </c>
      <c r="J28" s="179">
        <f t="shared" si="34"/>
        <v>0.78183000000000002</v>
      </c>
      <c r="K28" s="179">
        <f t="shared" si="35"/>
        <v>3.5E-4</v>
      </c>
      <c r="L28" s="179">
        <f t="shared" si="36"/>
        <v>0.68684999999999996</v>
      </c>
      <c r="M28" s="179">
        <f t="shared" si="37"/>
        <v>0.31977</v>
      </c>
      <c r="N28" s="179">
        <f t="shared" si="38"/>
        <v>0.27700999999999998</v>
      </c>
      <c r="O28" s="179">
        <f t="shared" si="39"/>
        <v>0.30229</v>
      </c>
      <c r="P28" s="179">
        <f t="shared" si="40"/>
        <v>5.092E-2</v>
      </c>
      <c r="Q28" s="102">
        <f t="shared" si="51"/>
        <v>0</v>
      </c>
      <c r="R28" s="102">
        <f t="shared" si="52"/>
        <v>0</v>
      </c>
      <c r="S28" s="102">
        <f t="shared" si="53"/>
        <v>0</v>
      </c>
      <c r="T28" s="102">
        <f t="shared" si="54"/>
        <v>0</v>
      </c>
      <c r="U28" s="102">
        <f t="shared" si="55"/>
        <v>0</v>
      </c>
      <c r="V28" s="102">
        <f t="shared" si="56"/>
        <v>0</v>
      </c>
      <c r="W28" s="102">
        <f t="shared" si="57"/>
        <v>0</v>
      </c>
      <c r="X28" s="102">
        <f t="shared" si="58"/>
        <v>0</v>
      </c>
      <c r="Y28" s="181">
        <f t="shared" si="59"/>
        <v>0</v>
      </c>
      <c r="Z28" s="181">
        <f t="shared" si="60"/>
        <v>0</v>
      </c>
      <c r="AA28" s="181">
        <f t="shared" si="61"/>
        <v>0</v>
      </c>
      <c r="AB28" s="181">
        <f t="shared" si="62"/>
        <v>0</v>
      </c>
      <c r="AC28" s="181">
        <f t="shared" si="63"/>
        <v>0</v>
      </c>
      <c r="AD28" s="181">
        <f t="shared" si="64"/>
        <v>0</v>
      </c>
      <c r="AE28" s="181">
        <f t="shared" si="65"/>
        <v>0</v>
      </c>
      <c r="AF28" s="181">
        <f t="shared" si="66"/>
        <v>0</v>
      </c>
      <c r="AG28" s="102">
        <f t="shared" si="67"/>
        <v>0</v>
      </c>
      <c r="AH28" s="185">
        <f t="shared" ref="AH28:AL28" si="71">+$Q28*D57</f>
        <v>0</v>
      </c>
      <c r="AI28" s="185">
        <f t="shared" si="71"/>
        <v>0</v>
      </c>
      <c r="AJ28" s="185">
        <f t="shared" si="71"/>
        <v>0</v>
      </c>
      <c r="AK28" s="185">
        <f t="shared" si="71"/>
        <v>0</v>
      </c>
      <c r="AL28" s="185">
        <f t="shared" si="71"/>
        <v>0</v>
      </c>
    </row>
    <row r="29" spans="3:38" x14ac:dyDescent="0.2">
      <c r="M29" s="141"/>
      <c r="N29" s="141"/>
      <c r="O29" s="141"/>
      <c r="P29" s="141"/>
      <c r="Q29" s="58"/>
      <c r="R29" s="58"/>
      <c r="S29" s="58"/>
      <c r="T29" s="58"/>
      <c r="U29" s="58"/>
      <c r="V29" s="58"/>
      <c r="W29" s="58"/>
      <c r="X29" s="58"/>
      <c r="Y29" s="58"/>
      <c r="Z29" s="58"/>
      <c r="AA29" s="58"/>
      <c r="AB29" s="58"/>
      <c r="AC29" s="58"/>
      <c r="AD29" s="58"/>
      <c r="AE29" s="58"/>
      <c r="AF29" s="58"/>
      <c r="AG29" s="58"/>
    </row>
    <row r="30" spans="3:38" x14ac:dyDescent="0.2">
      <c r="M30" s="141"/>
      <c r="N30" s="141"/>
      <c r="O30" s="141"/>
      <c r="P30" s="141"/>
      <c r="Q30" s="58"/>
      <c r="R30" s="58"/>
      <c r="S30" s="58"/>
      <c r="T30" s="58"/>
      <c r="U30" s="58"/>
      <c r="V30" s="58"/>
      <c r="W30" s="58"/>
      <c r="X30" s="58"/>
      <c r="Y30" s="58"/>
      <c r="Z30" s="58"/>
      <c r="AA30" s="58"/>
      <c r="AB30" s="58"/>
      <c r="AC30" s="58"/>
      <c r="AD30" s="58"/>
      <c r="AE30" s="58"/>
      <c r="AF30" s="58"/>
      <c r="AG30" s="58"/>
      <c r="AH30" s="185">
        <f>+NPV($B$3,AH9:AH28)</f>
        <v>24502.74215615094</v>
      </c>
      <c r="AI30" s="185">
        <f t="shared" ref="AI30:AL30" si="72">+NPV($B$3,AI9:AI28)</f>
        <v>113183.73133033553</v>
      </c>
      <c r="AJ30" s="185">
        <f t="shared" si="72"/>
        <v>226367.46266067107</v>
      </c>
      <c r="AK30" s="185">
        <f t="shared" si="72"/>
        <v>1131837.3133033556</v>
      </c>
      <c r="AL30" s="185">
        <f t="shared" si="72"/>
        <v>2263674.6266067112</v>
      </c>
    </row>
    <row r="31" spans="3:38" x14ac:dyDescent="0.2">
      <c r="M31" s="141"/>
      <c r="N31" s="141"/>
      <c r="O31" s="141"/>
      <c r="P31" s="141"/>
      <c r="Q31" s="58"/>
      <c r="R31" s="58"/>
      <c r="S31" s="58"/>
      <c r="T31" s="58"/>
      <c r="U31" s="58"/>
      <c r="V31" s="58"/>
      <c r="W31" s="58"/>
      <c r="X31" s="58"/>
      <c r="Y31" s="58"/>
      <c r="Z31" s="58"/>
      <c r="AA31" s="58"/>
      <c r="AB31" s="58"/>
      <c r="AC31" s="58"/>
      <c r="AD31" s="58"/>
      <c r="AE31" s="58"/>
      <c r="AF31" s="58"/>
      <c r="AG31" s="58"/>
    </row>
    <row r="34" spans="3:8" x14ac:dyDescent="0.2">
      <c r="C34">
        <f t="shared" ref="C34:C53" si="73">+C5</f>
        <v>2019</v>
      </c>
      <c r="D34" s="184">
        <f>+AH3</f>
        <v>1</v>
      </c>
      <c r="E34" s="184">
        <f>+AI3</f>
        <v>5</v>
      </c>
      <c r="F34" s="184">
        <f>+AJ3</f>
        <v>10</v>
      </c>
      <c r="G34" s="184">
        <f>+AK3</f>
        <v>50</v>
      </c>
      <c r="H34" s="184">
        <f>+AL3</f>
        <v>100</v>
      </c>
    </row>
    <row r="35" spans="3:8" x14ac:dyDescent="0.2">
      <c r="C35">
        <f t="shared" si="73"/>
        <v>2020</v>
      </c>
      <c r="D35" s="184">
        <f>+D34*(1+$B$2)</f>
        <v>1.02</v>
      </c>
      <c r="E35" s="184">
        <f>+E34*(1+$B$2)</f>
        <v>5.0999999999999996</v>
      </c>
      <c r="F35" s="184">
        <f t="shared" ref="F35:F57" si="74">+F34*(1+$B$2)</f>
        <v>10.199999999999999</v>
      </c>
      <c r="G35" s="184">
        <f t="shared" ref="G35:G57" si="75">+G34*(1+$B$2)</f>
        <v>51</v>
      </c>
      <c r="H35" s="184">
        <f t="shared" ref="H35:H57" si="76">+H34*(1+$B$2)</f>
        <v>102</v>
      </c>
    </row>
    <row r="36" spans="3:8" x14ac:dyDescent="0.2">
      <c r="C36">
        <f t="shared" si="73"/>
        <v>2021</v>
      </c>
      <c r="D36" s="184">
        <f t="shared" ref="D36:E53" si="77">+D35*(1+$B$2)</f>
        <v>1.0404</v>
      </c>
      <c r="E36" s="184">
        <f t="shared" si="77"/>
        <v>5.202</v>
      </c>
      <c r="F36" s="184">
        <f t="shared" si="74"/>
        <v>10.404</v>
      </c>
      <c r="G36" s="184">
        <f t="shared" si="75"/>
        <v>52.02</v>
      </c>
      <c r="H36" s="184">
        <f t="shared" si="76"/>
        <v>104.04</v>
      </c>
    </row>
    <row r="37" spans="3:8" x14ac:dyDescent="0.2">
      <c r="C37">
        <f t="shared" si="73"/>
        <v>2022</v>
      </c>
      <c r="D37" s="184">
        <f t="shared" si="77"/>
        <v>1.0612079999999999</v>
      </c>
      <c r="E37" s="184">
        <f t="shared" si="77"/>
        <v>5.3060400000000003</v>
      </c>
      <c r="F37" s="184">
        <f t="shared" si="74"/>
        <v>10.612080000000001</v>
      </c>
      <c r="G37" s="184">
        <f t="shared" si="75"/>
        <v>53.060400000000001</v>
      </c>
      <c r="H37" s="184">
        <f t="shared" si="76"/>
        <v>106.1208</v>
      </c>
    </row>
    <row r="38" spans="3:8" x14ac:dyDescent="0.2">
      <c r="C38">
        <f t="shared" si="73"/>
        <v>2023</v>
      </c>
      <c r="D38" s="184">
        <f t="shared" si="77"/>
        <v>1.08243216</v>
      </c>
      <c r="E38" s="184">
        <v>5</v>
      </c>
      <c r="F38" s="184">
        <v>10</v>
      </c>
      <c r="G38" s="184">
        <v>50</v>
      </c>
      <c r="H38" s="184">
        <v>100</v>
      </c>
    </row>
    <row r="39" spans="3:8" x14ac:dyDescent="0.2">
      <c r="C39">
        <f t="shared" si="73"/>
        <v>2024</v>
      </c>
      <c r="D39" s="184">
        <f t="shared" si="77"/>
        <v>1.1040808032</v>
      </c>
      <c r="E39" s="184">
        <f t="shared" si="77"/>
        <v>5.0999999999999996</v>
      </c>
      <c r="F39" s="184">
        <f t="shared" si="74"/>
        <v>10.199999999999999</v>
      </c>
      <c r="G39" s="184">
        <f t="shared" si="75"/>
        <v>51</v>
      </c>
      <c r="H39" s="184">
        <f t="shared" si="76"/>
        <v>102</v>
      </c>
    </row>
    <row r="40" spans="3:8" x14ac:dyDescent="0.2">
      <c r="C40">
        <f t="shared" si="73"/>
        <v>2025</v>
      </c>
      <c r="D40" s="184">
        <f t="shared" si="77"/>
        <v>1.1261624192640001</v>
      </c>
      <c r="E40" s="184">
        <f t="shared" si="77"/>
        <v>5.202</v>
      </c>
      <c r="F40" s="184">
        <f t="shared" si="74"/>
        <v>10.404</v>
      </c>
      <c r="G40" s="184">
        <f t="shared" si="75"/>
        <v>52.02</v>
      </c>
      <c r="H40" s="184">
        <f t="shared" si="76"/>
        <v>104.04</v>
      </c>
    </row>
    <row r="41" spans="3:8" x14ac:dyDescent="0.2">
      <c r="C41">
        <f t="shared" si="73"/>
        <v>2026</v>
      </c>
      <c r="D41" s="184">
        <f t="shared" si="77"/>
        <v>1.14868566764928</v>
      </c>
      <c r="E41" s="184">
        <f t="shared" si="77"/>
        <v>5.3060400000000003</v>
      </c>
      <c r="F41" s="184">
        <f t="shared" si="74"/>
        <v>10.612080000000001</v>
      </c>
      <c r="G41" s="184">
        <f t="shared" si="75"/>
        <v>53.060400000000001</v>
      </c>
      <c r="H41" s="184">
        <f t="shared" si="76"/>
        <v>106.1208</v>
      </c>
    </row>
    <row r="42" spans="3:8" x14ac:dyDescent="0.2">
      <c r="C42">
        <f t="shared" si="73"/>
        <v>2027</v>
      </c>
      <c r="D42" s="184">
        <f t="shared" si="77"/>
        <v>1.1716593810022657</v>
      </c>
      <c r="E42" s="184">
        <f t="shared" si="77"/>
        <v>5.4121608000000005</v>
      </c>
      <c r="F42" s="184">
        <f t="shared" si="74"/>
        <v>10.824321600000001</v>
      </c>
      <c r="G42" s="184">
        <f t="shared" si="75"/>
        <v>54.121608000000002</v>
      </c>
      <c r="H42" s="184">
        <f t="shared" si="76"/>
        <v>108.243216</v>
      </c>
    </row>
    <row r="43" spans="3:8" x14ac:dyDescent="0.2">
      <c r="C43">
        <f t="shared" si="73"/>
        <v>2028</v>
      </c>
      <c r="D43" s="184">
        <f t="shared" si="77"/>
        <v>1.1950925686223111</v>
      </c>
      <c r="E43" s="184">
        <f t="shared" si="77"/>
        <v>5.5204040160000005</v>
      </c>
      <c r="F43" s="184">
        <f t="shared" si="74"/>
        <v>11.040808032000001</v>
      </c>
      <c r="G43" s="184">
        <f t="shared" si="75"/>
        <v>55.204040160000005</v>
      </c>
      <c r="H43" s="184">
        <f t="shared" si="76"/>
        <v>110.40808032000001</v>
      </c>
    </row>
    <row r="44" spans="3:8" x14ac:dyDescent="0.2">
      <c r="C44">
        <f t="shared" si="73"/>
        <v>2029</v>
      </c>
      <c r="D44" s="184">
        <f t="shared" si="77"/>
        <v>1.2189944199947573</v>
      </c>
      <c r="E44" s="184">
        <f t="shared" si="77"/>
        <v>5.6308120963200006</v>
      </c>
      <c r="F44" s="184">
        <f t="shared" si="74"/>
        <v>11.261624192640001</v>
      </c>
      <c r="G44" s="184">
        <f t="shared" si="75"/>
        <v>56.308120963200004</v>
      </c>
      <c r="H44" s="184">
        <f t="shared" si="76"/>
        <v>112.61624192640001</v>
      </c>
    </row>
    <row r="45" spans="3:8" x14ac:dyDescent="0.2">
      <c r="C45">
        <f t="shared" si="73"/>
        <v>2030</v>
      </c>
      <c r="D45" s="184">
        <f t="shared" si="77"/>
        <v>1.2433743083946525</v>
      </c>
      <c r="E45" s="184">
        <f t="shared" si="77"/>
        <v>5.7434283382464004</v>
      </c>
      <c r="F45" s="184">
        <f t="shared" si="74"/>
        <v>11.486856676492801</v>
      </c>
      <c r="G45" s="184">
        <f t="shared" si="75"/>
        <v>57.434283382464002</v>
      </c>
      <c r="H45" s="184">
        <f t="shared" si="76"/>
        <v>114.868566764928</v>
      </c>
    </row>
    <row r="46" spans="3:8" x14ac:dyDescent="0.2">
      <c r="C46">
        <f t="shared" si="73"/>
        <v>2031</v>
      </c>
      <c r="D46" s="184">
        <f t="shared" si="77"/>
        <v>1.2682417945625455</v>
      </c>
      <c r="E46" s="184">
        <f t="shared" si="77"/>
        <v>5.8582969050113283</v>
      </c>
      <c r="F46" s="184">
        <f t="shared" si="74"/>
        <v>11.716593810022657</v>
      </c>
      <c r="G46" s="184">
        <f t="shared" si="75"/>
        <v>58.582969050113284</v>
      </c>
      <c r="H46" s="184">
        <f t="shared" si="76"/>
        <v>117.16593810022657</v>
      </c>
    </row>
    <row r="47" spans="3:8" x14ac:dyDescent="0.2">
      <c r="C47">
        <f t="shared" si="73"/>
        <v>2032</v>
      </c>
      <c r="D47" s="184">
        <f t="shared" si="77"/>
        <v>1.2936066304537963</v>
      </c>
      <c r="E47" s="184">
        <f t="shared" si="77"/>
        <v>5.9754628431115551</v>
      </c>
      <c r="F47" s="184">
        <f t="shared" si="74"/>
        <v>11.95092568622311</v>
      </c>
      <c r="G47" s="184">
        <f t="shared" si="75"/>
        <v>59.754628431115549</v>
      </c>
      <c r="H47" s="184">
        <f t="shared" si="76"/>
        <v>119.5092568622311</v>
      </c>
    </row>
    <row r="48" spans="3:8" x14ac:dyDescent="0.2">
      <c r="C48">
        <f t="shared" si="73"/>
        <v>2033</v>
      </c>
      <c r="D48" s="184">
        <f t="shared" si="77"/>
        <v>1.3194787630628724</v>
      </c>
      <c r="E48" s="184">
        <f t="shared" si="77"/>
        <v>6.094972099973786</v>
      </c>
      <c r="F48" s="184">
        <f t="shared" si="74"/>
        <v>12.189944199947572</v>
      </c>
      <c r="G48" s="184">
        <f t="shared" si="75"/>
        <v>60.949720999737863</v>
      </c>
      <c r="H48" s="184">
        <f t="shared" si="76"/>
        <v>121.89944199947573</v>
      </c>
    </row>
    <row r="49" spans="3:8" x14ac:dyDescent="0.2">
      <c r="C49">
        <f t="shared" si="73"/>
        <v>2034</v>
      </c>
      <c r="D49" s="184">
        <f t="shared" si="77"/>
        <v>1.3458683383241299</v>
      </c>
      <c r="E49" s="184">
        <f t="shared" si="77"/>
        <v>6.2168715419732621</v>
      </c>
      <c r="F49" s="184">
        <f t="shared" si="74"/>
        <v>12.433743083946524</v>
      </c>
      <c r="G49" s="184">
        <f t="shared" si="75"/>
        <v>62.168715419732621</v>
      </c>
      <c r="H49" s="184">
        <f t="shared" si="76"/>
        <v>124.33743083946524</v>
      </c>
    </row>
    <row r="50" spans="3:8" x14ac:dyDescent="0.2">
      <c r="C50">
        <f t="shared" si="73"/>
        <v>2035</v>
      </c>
      <c r="D50" s="184">
        <f t="shared" si="77"/>
        <v>1.3727857050906125</v>
      </c>
      <c r="E50" s="184">
        <f t="shared" si="77"/>
        <v>6.3412089728127272</v>
      </c>
      <c r="F50" s="184">
        <f t="shared" si="74"/>
        <v>12.682417945625454</v>
      </c>
      <c r="G50" s="184">
        <f t="shared" si="75"/>
        <v>63.412089728127278</v>
      </c>
      <c r="H50" s="184">
        <f t="shared" si="76"/>
        <v>126.82417945625456</v>
      </c>
    </row>
    <row r="51" spans="3:8" x14ac:dyDescent="0.2">
      <c r="C51">
        <f t="shared" si="73"/>
        <v>2036</v>
      </c>
      <c r="D51" s="184">
        <f t="shared" si="77"/>
        <v>1.4002414191924248</v>
      </c>
      <c r="E51" s="184">
        <f t="shared" si="77"/>
        <v>6.4680331522689816</v>
      </c>
      <c r="F51" s="184">
        <f t="shared" si="74"/>
        <v>12.936066304537963</v>
      </c>
      <c r="G51" s="184">
        <f t="shared" si="75"/>
        <v>64.680331522689826</v>
      </c>
      <c r="H51" s="184">
        <f t="shared" si="76"/>
        <v>129.36066304537965</v>
      </c>
    </row>
    <row r="52" spans="3:8" x14ac:dyDescent="0.2">
      <c r="C52">
        <f t="shared" si="73"/>
        <v>2037</v>
      </c>
      <c r="D52" s="184">
        <f t="shared" si="77"/>
        <v>1.4282462475762734</v>
      </c>
      <c r="E52" s="184">
        <f t="shared" si="77"/>
        <v>6.5973938153143612</v>
      </c>
      <c r="F52" s="184">
        <f t="shared" si="74"/>
        <v>13.194787630628722</v>
      </c>
      <c r="G52" s="184">
        <f t="shared" si="75"/>
        <v>65.973938153143621</v>
      </c>
      <c r="H52" s="184">
        <f t="shared" si="76"/>
        <v>131.94787630628724</v>
      </c>
    </row>
    <row r="53" spans="3:8" x14ac:dyDescent="0.2">
      <c r="C53">
        <f t="shared" si="73"/>
        <v>2038</v>
      </c>
      <c r="D53" s="184">
        <f t="shared" si="77"/>
        <v>1.4568111725277988</v>
      </c>
      <c r="E53" s="184">
        <f t="shared" si="77"/>
        <v>6.7293416916206485</v>
      </c>
      <c r="F53" s="184">
        <f t="shared" si="74"/>
        <v>13.458683383241297</v>
      </c>
      <c r="G53" s="184">
        <f t="shared" si="75"/>
        <v>67.293416916206496</v>
      </c>
      <c r="H53" s="184">
        <f t="shared" si="76"/>
        <v>134.58683383241299</v>
      </c>
    </row>
    <row r="54" spans="3:8" x14ac:dyDescent="0.2">
      <c r="C54">
        <f t="shared" ref="C54:C57" si="78">+C25</f>
        <v>2039</v>
      </c>
      <c r="D54" s="184">
        <f t="shared" ref="D54:E54" si="79">+D53*(1+$B$2)</f>
        <v>1.4859473959783549</v>
      </c>
      <c r="E54" s="184">
        <f t="shared" si="79"/>
        <v>6.863928525453062</v>
      </c>
      <c r="F54" s="184">
        <f t="shared" si="74"/>
        <v>13.727857050906124</v>
      </c>
      <c r="G54" s="184">
        <f t="shared" si="75"/>
        <v>68.639285254530634</v>
      </c>
      <c r="H54" s="184">
        <f t="shared" si="76"/>
        <v>137.27857050906127</v>
      </c>
    </row>
    <row r="55" spans="3:8" x14ac:dyDescent="0.2">
      <c r="C55">
        <f t="shared" si="78"/>
        <v>2040</v>
      </c>
      <c r="D55" s="184">
        <f t="shared" ref="D55:E55" si="80">+D54*(1+$B$2)</f>
        <v>1.5156663438979221</v>
      </c>
      <c r="E55" s="184">
        <f t="shared" si="80"/>
        <v>7.0012070959621235</v>
      </c>
      <c r="F55" s="184">
        <f t="shared" si="74"/>
        <v>14.002414191924247</v>
      </c>
      <c r="G55" s="184">
        <f t="shared" si="75"/>
        <v>70.012070959621255</v>
      </c>
      <c r="H55" s="184">
        <f t="shared" si="76"/>
        <v>140.02414191924251</v>
      </c>
    </row>
    <row r="56" spans="3:8" x14ac:dyDescent="0.2">
      <c r="C56">
        <f t="shared" si="78"/>
        <v>2041</v>
      </c>
      <c r="D56" s="184">
        <f t="shared" ref="D56:E56" si="81">+D55*(1+$B$2)</f>
        <v>1.5459796707758806</v>
      </c>
      <c r="E56" s="184">
        <f t="shared" si="81"/>
        <v>7.1412312378813665</v>
      </c>
      <c r="F56" s="184">
        <f t="shared" si="74"/>
        <v>14.282462475762733</v>
      </c>
      <c r="G56" s="184">
        <f t="shared" si="75"/>
        <v>71.412312378813681</v>
      </c>
      <c r="H56" s="184">
        <f t="shared" si="76"/>
        <v>142.82462475762736</v>
      </c>
    </row>
    <row r="57" spans="3:8" x14ac:dyDescent="0.2">
      <c r="C57">
        <f t="shared" si="78"/>
        <v>2042</v>
      </c>
      <c r="D57" s="184">
        <f t="shared" ref="D57:E57" si="82">+D56*(1+$B$2)</f>
        <v>1.5768992641913981</v>
      </c>
      <c r="E57" s="184">
        <f t="shared" si="82"/>
        <v>7.2840558626389935</v>
      </c>
      <c r="F57" s="184">
        <f t="shared" si="74"/>
        <v>14.568111725277987</v>
      </c>
      <c r="G57" s="184">
        <f t="shared" si="75"/>
        <v>72.840558626389949</v>
      </c>
      <c r="H57" s="184">
        <f t="shared" si="76"/>
        <v>145.6811172527799</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E46C-DA82-4481-8249-C182B9E93DB9}">
  <dimension ref="A1:AM386"/>
  <sheetViews>
    <sheetView topLeftCell="S1" workbookViewId="0">
      <selection activeCell="Y27" sqref="Y27:Y28"/>
    </sheetView>
  </sheetViews>
  <sheetFormatPr defaultRowHeight="12.75" x14ac:dyDescent="0.2"/>
  <cols>
    <col min="5" max="5" width="11" bestFit="1" customWidth="1"/>
    <col min="11" max="11" width="11" bestFit="1" customWidth="1"/>
    <col min="17" max="17" width="15.85546875" bestFit="1" customWidth="1"/>
    <col min="18" max="18" width="12" bestFit="1" customWidth="1"/>
    <col min="20" max="20" width="11" bestFit="1" customWidth="1"/>
    <col min="21" max="21" width="11" customWidth="1"/>
    <col min="22" max="22" width="15.85546875" bestFit="1" customWidth="1"/>
    <col min="34" max="34" width="15.85546875" bestFit="1" customWidth="1"/>
    <col min="37" max="37" width="11" bestFit="1" customWidth="1"/>
  </cols>
  <sheetData>
    <row r="1" spans="1:39" x14ac:dyDescent="0.2">
      <c r="J1" s="106" t="s">
        <v>460</v>
      </c>
      <c r="Q1" s="106" t="s">
        <v>441</v>
      </c>
      <c r="S1" s="270" t="s">
        <v>440</v>
      </c>
      <c r="U1" s="106"/>
      <c r="V1" s="106" t="s">
        <v>443</v>
      </c>
      <c r="X1" s="270" t="s">
        <v>442</v>
      </c>
      <c r="AA1" s="106" t="s">
        <v>462</v>
      </c>
      <c r="AH1" s="106" t="s">
        <v>463</v>
      </c>
    </row>
    <row r="2" spans="1:39" ht="51" x14ac:dyDescent="0.2">
      <c r="A2" s="61" t="s">
        <v>9</v>
      </c>
      <c r="B2" s="61" t="s">
        <v>9</v>
      </c>
      <c r="C2" s="61" t="s">
        <v>436</v>
      </c>
      <c r="D2" s="61" t="s">
        <v>437</v>
      </c>
      <c r="E2" s="61" t="s">
        <v>438</v>
      </c>
      <c r="K2" s="46" t="str">
        <f>+'Monthly Energy Data'!AE7</f>
        <v>VELCO Forecast</v>
      </c>
      <c r="L2" s="46" t="str">
        <f>+'Monthly Energy Data'!AF7</f>
        <v>Climate Action Plan Forecast</v>
      </c>
      <c r="M2" s="46" t="str">
        <f>+'Monthly Energy Data'!AG7</f>
        <v>VEC Forecast</v>
      </c>
      <c r="N2" s="59" t="s">
        <v>461</v>
      </c>
      <c r="O2" s="61" t="s">
        <v>439</v>
      </c>
      <c r="R2" s="265" t="str">
        <f>+L2</f>
        <v>Climate Action Plan Forecast</v>
      </c>
      <c r="S2" s="265" t="str">
        <f>+M2</f>
        <v>VEC Forecast</v>
      </c>
      <c r="T2" s="265" t="str">
        <f>+K2</f>
        <v>VELCO Forecast</v>
      </c>
      <c r="U2" s="265"/>
      <c r="W2" s="265" t="str">
        <f>+R2</f>
        <v>Climate Action Plan Forecast</v>
      </c>
      <c r="X2" s="265" t="str">
        <f>+S2</f>
        <v>VEC Forecast</v>
      </c>
      <c r="Y2" s="265" t="str">
        <f>+T2</f>
        <v>VELCO Forecast</v>
      </c>
      <c r="AD2" s="46" t="str">
        <f t="shared" ref="AD2:AE2" si="0">+L2</f>
        <v>Climate Action Plan Forecast</v>
      </c>
      <c r="AE2" s="46" t="str">
        <f t="shared" si="0"/>
        <v>VEC Forecast</v>
      </c>
      <c r="AF2" s="46" t="str">
        <f>+K2</f>
        <v>VELCO Forecast</v>
      </c>
      <c r="AG2" s="46"/>
      <c r="AI2" s="46" t="str">
        <f>+AD2</f>
        <v>Climate Action Plan Forecast</v>
      </c>
      <c r="AJ2" s="46" t="str">
        <f>+AE2</f>
        <v>VEC Forecast</v>
      </c>
      <c r="AK2" s="46" t="str">
        <f>+AF2</f>
        <v>VELCO Forecast</v>
      </c>
    </row>
    <row r="3" spans="1:39" x14ac:dyDescent="0.2">
      <c r="A3">
        <f>+MONTH(B3)</f>
        <v>1</v>
      </c>
      <c r="B3" s="268">
        <v>45292</v>
      </c>
      <c r="C3" s="69">
        <v>49302</v>
      </c>
      <c r="D3" s="76">
        <v>81.554000000000002</v>
      </c>
      <c r="E3" s="175">
        <f>+D3/C3</f>
        <v>1.6541722445336904E-3</v>
      </c>
      <c r="H3">
        <f>+YEAR(J3)</f>
        <v>2025</v>
      </c>
      <c r="I3">
        <f t="shared" ref="I3:I34" si="1">+MONTH(J3)</f>
        <v>1</v>
      </c>
      <c r="J3" s="268">
        <v>45658</v>
      </c>
      <c r="K3" s="44">
        <f>+SUMIFS('Monthly Energy Data'!AE$8:AE$595,'Monthly Energy Data'!$D$8:$D$595,'Peak Load Projections'!$H3,'Monthly Energy Data'!$E$8:$E$595,'Peak Load Projections'!$I3)*VLOOKUP($I3,$A$3:$E$14,5)</f>
        <v>80.534422019414862</v>
      </c>
      <c r="L3" s="44">
        <f>+SUMIFS('Monthly Energy Data'!AF$8:AF$595,'Monthly Energy Data'!$D$8:$D$595,'Peak Load Projections'!$H3,'Monthly Energy Data'!$E$8:$E$595,'Peak Load Projections'!$I3)*VLOOKUP($I3,$A$3:$E$14,5)</f>
        <v>80.91062796514062</v>
      </c>
      <c r="M3" s="44">
        <f>+SUMIFS('Monthly Energy Data'!AG$8:AG$595,'Monthly Energy Data'!$D$8:$D$595,'Peak Load Projections'!$H3,'Monthly Energy Data'!$E$8:$E$595,'Peak Load Projections'!$I3)*VLOOKUP($I3,$A$3:$E$14,5)</f>
        <v>80.208899833176446</v>
      </c>
      <c r="N3" s="44">
        <f>+(MIN(K3:M3)+MAX(K3:M3))/2</f>
        <v>80.559763899158526</v>
      </c>
      <c r="O3" s="269" t="str">
        <f t="shared" ref="O3:O66" si="2">+IF(I3&lt;6,"W",IF(I3&gt;9,"W","S"))</f>
        <v>W</v>
      </c>
      <c r="Q3">
        <f>+H3</f>
        <v>2025</v>
      </c>
      <c r="R3" s="44">
        <f t="shared" ref="R3:R24" si="3">+_xlfn.MAXIFS(L$3:L$374,$H$3:$H$374,$Q3,$O$3:$O$374,$S$1)</f>
        <v>87.388467501382792</v>
      </c>
      <c r="S3" s="44">
        <f t="shared" ref="S3:S24" si="4">+_xlfn.MAXIFS(M$3:M$374,$H$3:$H$374,$Q3,$O$3:$O$374,$S$1)</f>
        <v>80.208899833176446</v>
      </c>
      <c r="T3" s="44">
        <f t="shared" ref="T3:T24" si="5">+_xlfn.MAXIFS(K$3:K$374,$H$3:$H$374,$Q3,$O$3:$O$374,$S$1)</f>
        <v>83.308541088453055</v>
      </c>
      <c r="U3" s="44"/>
      <c r="V3">
        <f>+Q3</f>
        <v>2025</v>
      </c>
      <c r="W3" s="44">
        <f t="shared" ref="W3:W24" si="6">+_xlfn.MAXIFS(L$3:L$374,$H$3:$H$374,$V3,$O$3:$O$374,$X$1)</f>
        <v>82.976796330500264</v>
      </c>
      <c r="X3" s="44">
        <f t="shared" ref="X3:X24" si="7">+_xlfn.MAXIFS(M$3:M$374,$H$3:$H$374,$V3,$O$3:$O$374,$X$1)</f>
        <v>80.277275927177882</v>
      </c>
      <c r="Y3" s="44">
        <f t="shared" ref="Y3:Y24" si="8">+_xlfn.MAXIFS(K$3:K$374,$H$3:$H$374,$V3,$O$3:$O$374,$X$1)</f>
        <v>81.834750646332864</v>
      </c>
      <c r="AA3">
        <f>+H3</f>
        <v>2025</v>
      </c>
      <c r="AB3">
        <f>+I3</f>
        <v>1</v>
      </c>
      <c r="AC3" s="271">
        <f>+J3</f>
        <v>45658</v>
      </c>
      <c r="AD3" s="44">
        <f>+L3*VLOOKUP($AB3,'Peak Loads - 2022-2024'!$L$4:$M$15,2)</f>
        <v>71.591123716752051</v>
      </c>
      <c r="AE3" s="44">
        <f>+M3*VLOOKUP($AB3,'Peak Loads - 2022-2024'!$L$4:$M$15,2)</f>
        <v>70.970222522750475</v>
      </c>
      <c r="AF3" s="44">
        <f>+K3*VLOOKUP($AB3,'Peak Loads - 2022-2024'!$L$4:$M$15,2)</f>
        <v>71.258250186033266</v>
      </c>
      <c r="AG3" s="44"/>
      <c r="AH3">
        <v>2025</v>
      </c>
      <c r="AI3" s="44">
        <f t="shared" ref="AI3:AI23" ca="1" si="9">+AVERAGEIF($AA$3:$AA$374,$AH3,AD$3:AD$254)</f>
        <v>57.838343789419923</v>
      </c>
      <c r="AJ3" s="44">
        <f t="shared" ref="AJ3:AJ23" ca="1" si="10">+AVERAGEIF($AA$3:$AA$374,$AH3,AE$3:AE$254)</f>
        <v>55.629465295991984</v>
      </c>
      <c r="AK3" s="44">
        <f t="shared" ref="AK3:AK23" ca="1" si="11">+AVERAGEIF($AA$3:$AA$374,$AH3,AF$3:AF$254)</f>
        <v>56.838812139940238</v>
      </c>
      <c r="AL3" s="44"/>
      <c r="AM3" s="44"/>
    </row>
    <row r="4" spans="1:39" x14ac:dyDescent="0.2">
      <c r="A4">
        <f t="shared" ref="A4:A14" si="12">+MONTH(B4)</f>
        <v>2</v>
      </c>
      <c r="B4" s="268">
        <v>45323</v>
      </c>
      <c r="C4" s="69">
        <v>44391</v>
      </c>
      <c r="D4" s="76">
        <v>77.049000000000007</v>
      </c>
      <c r="E4" s="175">
        <f t="shared" ref="E4:E14" si="13">+D4/C4</f>
        <v>1.7356896668243565E-3</v>
      </c>
      <c r="H4">
        <f t="shared" ref="H4:H67" si="14">+YEAR(J4)</f>
        <v>2025</v>
      </c>
      <c r="I4">
        <f t="shared" si="1"/>
        <v>2</v>
      </c>
      <c r="J4" s="268">
        <v>45689</v>
      </c>
      <c r="K4" s="44">
        <f>+SUMIFS('Monthly Energy Data'!AE$8:AE$595,'Monthly Energy Data'!$D$8:$D$595,'Peak Load Projections'!$H4,'Monthly Energy Data'!$E$8:$E$595,'Peak Load Projections'!$I4)*VLOOKUP($I4,$A$3:$E$14,5)</f>
        <v>76.797691446153436</v>
      </c>
      <c r="L4" s="44">
        <f>+SUMIFS('Monthly Energy Data'!AF$8:AF$595,'Monthly Energy Data'!$D$8:$D$595,'Peak Load Projections'!$H4,'Monthly Energy Data'!$E$8:$E$595,'Peak Load Projections'!$I4)*VLOOKUP($I4,$A$3:$E$14,5)</f>
        <v>77.420446250191745</v>
      </c>
      <c r="M4" s="44">
        <f>+SUMIFS('Monthly Energy Data'!AG$8:AG$595,'Monthly Energy Data'!$D$8:$D$595,'Peak Load Projections'!$H4,'Monthly Energy Data'!$E$8:$E$595,'Peak Load Projections'!$I4)*VLOOKUP($I4,$A$3:$E$14,5)</f>
        <v>76.168239555881158</v>
      </c>
      <c r="N4" s="44">
        <f t="shared" ref="N4:N67" si="15">+(MIN(K4:M4)+MAX(K4:M4))/2</f>
        <v>76.794342903036451</v>
      </c>
      <c r="O4" s="269" t="str">
        <f t="shared" si="2"/>
        <v>W</v>
      </c>
      <c r="Q4">
        <f>1+Q3</f>
        <v>2026</v>
      </c>
      <c r="R4" s="44">
        <f t="shared" si="3"/>
        <v>89.794367066893244</v>
      </c>
      <c r="S4" s="44">
        <f t="shared" si="4"/>
        <v>81.143086775923464</v>
      </c>
      <c r="T4" s="44">
        <f t="shared" si="5"/>
        <v>85.70968897337022</v>
      </c>
      <c r="U4" s="44"/>
      <c r="V4">
        <f>1+V3</f>
        <v>2026</v>
      </c>
      <c r="W4" s="44">
        <f t="shared" si="6"/>
        <v>85.768949448675556</v>
      </c>
      <c r="X4" s="44">
        <f t="shared" si="7"/>
        <v>80.625177060194162</v>
      </c>
      <c r="Y4" s="44">
        <f t="shared" si="8"/>
        <v>83.93656611686886</v>
      </c>
      <c r="AA4">
        <f t="shared" ref="AA4:AA17" si="16">+H4</f>
        <v>2025</v>
      </c>
      <c r="AB4">
        <f t="shared" ref="AB4:AB67" si="17">+I4</f>
        <v>2</v>
      </c>
      <c r="AC4" s="271">
        <f t="shared" ref="AC4:AC67" si="18">+J4</f>
        <v>45689</v>
      </c>
      <c r="AD4" s="44">
        <f>+L4*VLOOKUP($AB4,'Peak Loads - 2022-2024'!$L$4:$M$15,2)</f>
        <v>61.74486411464575</v>
      </c>
      <c r="AE4" s="44">
        <f>+M4*VLOOKUP($AB4,'Peak Loads - 2022-2024'!$L$4:$M$15,2)</f>
        <v>60.746195985895909</v>
      </c>
      <c r="AF4" s="44">
        <f>+K4*VLOOKUP($AB4,'Peak Loads - 2022-2024'!$L$4:$M$15,2)</f>
        <v>61.248200602427971</v>
      </c>
      <c r="AG4" s="44"/>
      <c r="AH4">
        <f>1+AH3</f>
        <v>2026</v>
      </c>
      <c r="AI4" s="44">
        <f t="shared" ca="1" si="9"/>
        <v>60.62252076656727</v>
      </c>
      <c r="AJ4" s="44">
        <f t="shared" ca="1" si="10"/>
        <v>55.990007540799894</v>
      </c>
      <c r="AK4" s="44">
        <f t="shared" ca="1" si="11"/>
        <v>58.7777934869871</v>
      </c>
      <c r="AL4" s="44"/>
      <c r="AM4" s="44"/>
    </row>
    <row r="5" spans="1:39" x14ac:dyDescent="0.2">
      <c r="A5">
        <f t="shared" si="12"/>
        <v>3</v>
      </c>
      <c r="B5" s="268">
        <v>45352</v>
      </c>
      <c r="C5" s="69">
        <v>46956</v>
      </c>
      <c r="D5" s="76">
        <v>72.034000000000006</v>
      </c>
      <c r="E5" s="175">
        <f t="shared" si="13"/>
        <v>1.5340744526791039E-3</v>
      </c>
      <c r="H5">
        <f t="shared" si="14"/>
        <v>2025</v>
      </c>
      <c r="I5">
        <f t="shared" si="1"/>
        <v>3</v>
      </c>
      <c r="J5" s="268">
        <v>45717</v>
      </c>
      <c r="K5" s="44">
        <f>+SUMIFS('Monthly Energy Data'!AE$8:AE$595,'Monthly Energy Data'!$D$8:$D$595,'Peak Load Projections'!$H5,'Monthly Energy Data'!$E$8:$E$595,'Peak Load Projections'!$I5)*VLOOKUP($I5,$A$3:$E$14,5)</f>
        <v>71.306017154147895</v>
      </c>
      <c r="L5" s="44">
        <f>+SUMIFS('Monthly Energy Data'!AF$8:AF$595,'Monthly Energy Data'!$D$8:$D$595,'Peak Load Projections'!$H5,'Monthly Energy Data'!$E$8:$E$595,'Peak Load Projections'!$I5)*VLOOKUP($I5,$A$3:$E$14,5)</f>
        <v>71.979835404398926</v>
      </c>
      <c r="M5" s="44">
        <f>+SUMIFS('Monthly Energy Data'!AG$8:AG$595,'Monthly Energy Data'!$D$8:$D$595,'Peak Load Projections'!$H5,'Monthly Energy Data'!$E$8:$E$595,'Peak Load Projections'!$I5)*VLOOKUP($I5,$A$3:$E$14,5)</f>
        <v>70.553194049503063</v>
      </c>
      <c r="N5" s="44">
        <f t="shared" si="15"/>
        <v>71.266514726950987</v>
      </c>
      <c r="O5" s="269" t="str">
        <f t="shared" si="2"/>
        <v>W</v>
      </c>
      <c r="Q5">
        <f t="shared" ref="Q5:Q24" si="19">1+Q4</f>
        <v>2027</v>
      </c>
      <c r="R5" s="44">
        <f t="shared" si="3"/>
        <v>92.251181082667301</v>
      </c>
      <c r="S5" s="44">
        <f t="shared" si="4"/>
        <v>82.196373144141333</v>
      </c>
      <c r="T5" s="44">
        <f t="shared" si="5"/>
        <v>88.465536437344824</v>
      </c>
      <c r="U5" s="44"/>
      <c r="V5">
        <f t="shared" ref="V5:V24" si="20">1+V4</f>
        <v>2027</v>
      </c>
      <c r="W5" s="44">
        <f t="shared" si="6"/>
        <v>87.032349827223854</v>
      </c>
      <c r="X5" s="44">
        <f t="shared" si="7"/>
        <v>81.064038440881959</v>
      </c>
      <c r="Y5" s="44">
        <f t="shared" si="8"/>
        <v>85.576291867718041</v>
      </c>
      <c r="AA5">
        <f t="shared" si="16"/>
        <v>2025</v>
      </c>
      <c r="AB5">
        <f t="shared" si="17"/>
        <v>3</v>
      </c>
      <c r="AC5" s="271">
        <f t="shared" si="18"/>
        <v>45717</v>
      </c>
      <c r="AD5" s="44">
        <f>+L5*VLOOKUP($AB5,'Peak Loads - 2022-2024'!$L$4:$M$15,2)</f>
        <v>51.37156172507882</v>
      </c>
      <c r="AE5" s="44">
        <f>+M5*VLOOKUP($AB5,'Peak Loads - 2022-2024'!$L$4:$M$15,2)</f>
        <v>50.353376645732219</v>
      </c>
      <c r="AF5" s="44">
        <f>+K5*VLOOKUP($AB5,'Peak Loads - 2022-2024'!$L$4:$M$15,2)</f>
        <v>50.890661822491097</v>
      </c>
      <c r="AG5" s="44"/>
      <c r="AH5">
        <f t="shared" ref="AH5:AH23" si="21">1+AH4</f>
        <v>2027</v>
      </c>
      <c r="AI5" s="44">
        <f t="shared" ca="1" si="9"/>
        <v>61.802036534960941</v>
      </c>
      <c r="AJ5" s="44">
        <f t="shared" ca="1" si="10"/>
        <v>56.430096191657377</v>
      </c>
      <c r="AK5" s="44">
        <f t="shared" ca="1" si="11"/>
        <v>60.218958171881035</v>
      </c>
      <c r="AL5" s="44"/>
      <c r="AM5" s="44"/>
    </row>
    <row r="6" spans="1:39" x14ac:dyDescent="0.2">
      <c r="A6">
        <f t="shared" si="12"/>
        <v>4</v>
      </c>
      <c r="B6" s="268">
        <v>45383</v>
      </c>
      <c r="C6" s="69">
        <v>38448</v>
      </c>
      <c r="D6" s="76">
        <v>69.296999999999997</v>
      </c>
      <c r="E6" s="175">
        <f t="shared" si="13"/>
        <v>1.8023564294631709E-3</v>
      </c>
      <c r="H6">
        <f t="shared" si="14"/>
        <v>2025</v>
      </c>
      <c r="I6">
        <f t="shared" si="1"/>
        <v>4</v>
      </c>
      <c r="J6" s="268">
        <v>45748</v>
      </c>
      <c r="K6" s="44">
        <f>+SUMIFS('Monthly Energy Data'!AE$8:AE$595,'Monthly Energy Data'!$D$8:$D$595,'Peak Load Projections'!$H6,'Monthly Energy Data'!$E$8:$E$595,'Peak Load Projections'!$I6)*VLOOKUP($I6,$A$3:$E$14,5)</f>
        <v>70.558890922837222</v>
      </c>
      <c r="L6" s="44">
        <f>+SUMIFS('Monthly Energy Data'!AF$8:AF$595,'Monthly Energy Data'!$D$8:$D$595,'Peak Load Projections'!$H6,'Monthly Energy Data'!$E$8:$E$595,'Peak Load Projections'!$I6)*VLOOKUP($I6,$A$3:$E$14,5)</f>
        <v>71.188461582398048</v>
      </c>
      <c r="M6" s="44">
        <f>+SUMIFS('Monthly Energy Data'!AG$8:AG$595,'Monthly Energy Data'!$D$8:$D$595,'Peak Load Projections'!$H6,'Monthly Energy Data'!$E$8:$E$595,'Peak Load Projections'!$I6)*VLOOKUP($I6,$A$3:$E$14,5)</f>
        <v>69.568114189794102</v>
      </c>
      <c r="N6" s="44">
        <f t="shared" si="15"/>
        <v>70.378287886096075</v>
      </c>
      <c r="O6" s="269" t="str">
        <f t="shared" si="2"/>
        <v>W</v>
      </c>
      <c r="Q6">
        <f t="shared" si="19"/>
        <v>2028</v>
      </c>
      <c r="R6" s="44">
        <f t="shared" si="3"/>
        <v>94.98411650118571</v>
      </c>
      <c r="S6" s="44">
        <f t="shared" si="4"/>
        <v>83.408735584385752</v>
      </c>
      <c r="T6" s="44">
        <f t="shared" si="5"/>
        <v>91.435048429751347</v>
      </c>
      <c r="U6" s="44"/>
      <c r="V6">
        <f t="shared" si="20"/>
        <v>2028</v>
      </c>
      <c r="W6" s="44">
        <f t="shared" si="6"/>
        <v>88.572149844125107</v>
      </c>
      <c r="X6" s="44">
        <f t="shared" si="7"/>
        <v>81.705881397959203</v>
      </c>
      <c r="Y6" s="44">
        <f t="shared" si="8"/>
        <v>87.462784334048962</v>
      </c>
      <c r="AA6">
        <f t="shared" si="16"/>
        <v>2025</v>
      </c>
      <c r="AB6">
        <f t="shared" si="17"/>
        <v>4</v>
      </c>
      <c r="AC6" s="271">
        <f t="shared" si="18"/>
        <v>45748</v>
      </c>
      <c r="AD6" s="44">
        <f>+L6*VLOOKUP($AB6,'Peak Loads - 2022-2024'!$L$4:$M$15,2)</f>
        <v>49.670673780734255</v>
      </c>
      <c r="AE6" s="44">
        <f>+M6*VLOOKUP($AB6,'Peak Loads - 2022-2024'!$L$4:$M$15,2)</f>
        <v>48.540100862588851</v>
      </c>
      <c r="AF6" s="44">
        <f>+K6*VLOOKUP($AB6,'Peak Loads - 2022-2024'!$L$4:$M$15,2)</f>
        <v>49.231400362572629</v>
      </c>
      <c r="AG6" s="44"/>
      <c r="AH6">
        <f t="shared" si="21"/>
        <v>2028</v>
      </c>
      <c r="AI6" s="44">
        <f t="shared" ca="1" si="9"/>
        <v>63.172610117149929</v>
      </c>
      <c r="AJ6" s="44">
        <f t="shared" ca="1" si="10"/>
        <v>57.018330835984862</v>
      </c>
      <c r="AK6" s="44">
        <f t="shared" ca="1" si="11"/>
        <v>61.85553203861766</v>
      </c>
      <c r="AL6" s="44"/>
      <c r="AM6" s="44"/>
    </row>
    <row r="7" spans="1:39" x14ac:dyDescent="0.2">
      <c r="A7">
        <f t="shared" si="12"/>
        <v>5</v>
      </c>
      <c r="B7" s="268">
        <v>45413</v>
      </c>
      <c r="C7" s="69">
        <v>36690</v>
      </c>
      <c r="D7" s="76">
        <v>63.561</v>
      </c>
      <c r="E7" s="175">
        <f t="shared" si="13"/>
        <v>1.7323793949304987E-3</v>
      </c>
      <c r="H7">
        <f t="shared" si="14"/>
        <v>2025</v>
      </c>
      <c r="I7">
        <f t="shared" si="1"/>
        <v>5</v>
      </c>
      <c r="J7" s="268">
        <v>45778</v>
      </c>
      <c r="K7" s="44">
        <f>+SUMIFS('Monthly Energy Data'!AE$8:AE$595,'Monthly Energy Data'!$D$8:$D$595,'Peak Load Projections'!$H7,'Monthly Energy Data'!$E$8:$E$595,'Peak Load Projections'!$I7)*VLOOKUP($I7,$A$3:$E$14,5)</f>
        <v>64.583211500959607</v>
      </c>
      <c r="L7" s="44">
        <f>+SUMIFS('Monthly Energy Data'!AF$8:AF$595,'Monthly Energy Data'!$D$8:$D$595,'Peak Load Projections'!$H7,'Monthly Energy Data'!$E$8:$E$595,'Peak Load Projections'!$I7)*VLOOKUP($I7,$A$3:$E$14,5)</f>
        <v>64.951716927572164</v>
      </c>
      <c r="M7" s="44">
        <f>+SUMIFS('Monthly Energy Data'!AG$8:AG$595,'Monthly Energy Data'!$D$8:$D$595,'Peak Load Projections'!$H7,'Monthly Energy Data'!$E$8:$E$595,'Peak Load Projections'!$I7)*VLOOKUP($I7,$A$3:$E$14,5)</f>
        <v>63.641205613691255</v>
      </c>
      <c r="N7" s="44">
        <f t="shared" si="15"/>
        <v>64.29646127063171</v>
      </c>
      <c r="O7" s="269" t="str">
        <f t="shared" si="2"/>
        <v>W</v>
      </c>
      <c r="Q7">
        <f t="shared" si="19"/>
        <v>2029</v>
      </c>
      <c r="R7" s="44">
        <f t="shared" si="3"/>
        <v>98.109764889105378</v>
      </c>
      <c r="S7" s="44">
        <f t="shared" si="4"/>
        <v>84.886442887875972</v>
      </c>
      <c r="T7" s="44">
        <f t="shared" si="5"/>
        <v>94.851683468268661</v>
      </c>
      <c r="U7" s="44"/>
      <c r="V7">
        <f t="shared" si="20"/>
        <v>2029</v>
      </c>
      <c r="W7" s="44">
        <f t="shared" si="6"/>
        <v>90.385017640305406</v>
      </c>
      <c r="X7" s="44">
        <f t="shared" si="7"/>
        <v>82.523634745381088</v>
      </c>
      <c r="Y7" s="44">
        <f t="shared" si="8"/>
        <v>89.60953171743607</v>
      </c>
      <c r="AA7">
        <f t="shared" si="16"/>
        <v>2025</v>
      </c>
      <c r="AB7">
        <f t="shared" si="17"/>
        <v>5</v>
      </c>
      <c r="AC7" s="271">
        <f t="shared" si="18"/>
        <v>45778</v>
      </c>
      <c r="AD7" s="44">
        <f>+L7*VLOOKUP($AB7,'Peak Loads - 2022-2024'!$L$4:$M$15,2)</f>
        <v>46.255300371511396</v>
      </c>
      <c r="AE7" s="44">
        <f>+M7*VLOOKUP($AB7,'Peak Loads - 2022-2024'!$L$4:$M$15,2)</f>
        <v>45.32202104755725</v>
      </c>
      <c r="AF7" s="44">
        <f>+K7*VLOOKUP($AB7,'Peak Loads - 2022-2024'!$L$4:$M$15,2)</f>
        <v>45.992869599812117</v>
      </c>
      <c r="AG7" s="44"/>
      <c r="AH7">
        <f t="shared" si="21"/>
        <v>2029</v>
      </c>
      <c r="AI7" s="44">
        <f t="shared" ca="1" si="9"/>
        <v>64.791945452254538</v>
      </c>
      <c r="AJ7" s="44">
        <f t="shared" ca="1" si="10"/>
        <v>57.761345277996533</v>
      </c>
      <c r="AK7" s="44">
        <f t="shared" ca="1" si="11"/>
        <v>63.706644022657066</v>
      </c>
      <c r="AL7" s="44"/>
      <c r="AM7" s="44"/>
    </row>
    <row r="8" spans="1:39" x14ac:dyDescent="0.2">
      <c r="A8">
        <f t="shared" si="12"/>
        <v>6</v>
      </c>
      <c r="B8" s="268">
        <v>45444</v>
      </c>
      <c r="C8" s="69">
        <v>36820</v>
      </c>
      <c r="D8" s="76">
        <v>73.442999999999998</v>
      </c>
      <c r="E8" s="175">
        <f t="shared" si="13"/>
        <v>1.9946496469310155E-3</v>
      </c>
      <c r="H8">
        <f t="shared" si="14"/>
        <v>2025</v>
      </c>
      <c r="I8">
        <f t="shared" si="1"/>
        <v>6</v>
      </c>
      <c r="J8" s="268">
        <v>45809</v>
      </c>
      <c r="K8" s="44">
        <f>+SUMIFS('Monthly Energy Data'!AE$8:AE$595,'Monthly Energy Data'!$D$8:$D$595,'Peak Load Projections'!$H8,'Monthly Energy Data'!$E$8:$E$595,'Peak Load Projections'!$I8)*VLOOKUP($I8,$A$3:$E$14,5)</f>
        <v>79.267751204763726</v>
      </c>
      <c r="L8" s="44">
        <f>+SUMIFS('Monthly Energy Data'!AF$8:AF$595,'Monthly Energy Data'!$D$8:$D$595,'Peak Load Projections'!$H8,'Monthly Energy Data'!$E$8:$E$595,'Peak Load Projections'!$I8)*VLOOKUP($I8,$A$3:$E$14,5)</f>
        <v>79.899011190855688</v>
      </c>
      <c r="M8" s="44">
        <f>+SUMIFS('Monthly Energy Data'!AG$8:AG$595,'Monthly Energy Data'!$D$8:$D$595,'Peak Load Projections'!$H8,'Monthly Energy Data'!$E$8:$E$595,'Peak Load Projections'!$I8)*VLOOKUP($I8,$A$3:$E$14,5)</f>
        <v>77.926899622953513</v>
      </c>
      <c r="N8" s="44">
        <f t="shared" si="15"/>
        <v>78.912955406904601</v>
      </c>
      <c r="O8" s="269" t="str">
        <f t="shared" si="2"/>
        <v>S</v>
      </c>
      <c r="Q8">
        <f t="shared" si="19"/>
        <v>2030</v>
      </c>
      <c r="R8" s="44">
        <f t="shared" si="3"/>
        <v>101.15162746795605</v>
      </c>
      <c r="S8" s="44">
        <f t="shared" si="4"/>
        <v>86.593837885711693</v>
      </c>
      <c r="T8" s="44">
        <f t="shared" si="5"/>
        <v>98.340946843758516</v>
      </c>
      <c r="U8" s="44"/>
      <c r="V8">
        <f t="shared" si="20"/>
        <v>2030</v>
      </c>
      <c r="W8" s="44">
        <f t="shared" si="6"/>
        <v>92.316141065905597</v>
      </c>
      <c r="X8" s="44">
        <f t="shared" si="7"/>
        <v>83.548083117052869</v>
      </c>
      <c r="Y8" s="44">
        <f t="shared" si="8"/>
        <v>91.96672801672095</v>
      </c>
      <c r="AA8">
        <f t="shared" si="16"/>
        <v>2025</v>
      </c>
      <c r="AB8">
        <f t="shared" si="17"/>
        <v>6</v>
      </c>
      <c r="AC8" s="271">
        <f t="shared" si="18"/>
        <v>45809</v>
      </c>
      <c r="AD8" s="44">
        <f>+L8*VLOOKUP($AB8,'Peak Loads - 2022-2024'!$L$4:$M$15,2)</f>
        <v>67.910704107361866</v>
      </c>
      <c r="AE8" s="44">
        <f>+M8*VLOOKUP($AB8,'Peak Loads - 2022-2024'!$L$4:$M$15,2)</f>
        <v>66.234494562858288</v>
      </c>
      <c r="AF8" s="44">
        <f>+K8*VLOOKUP($AB8,'Peak Loads - 2022-2024'!$L$4:$M$15,2)</f>
        <v>67.374160419381724</v>
      </c>
      <c r="AG8" s="44"/>
      <c r="AH8">
        <f t="shared" si="21"/>
        <v>2030</v>
      </c>
      <c r="AI8" s="44">
        <f t="shared" ca="1" si="9"/>
        <v>66.495056259450038</v>
      </c>
      <c r="AJ8" s="44">
        <f t="shared" ca="1" si="10"/>
        <v>58.663210619523205</v>
      </c>
      <c r="AK8" s="44">
        <f t="shared" ca="1" si="11"/>
        <v>65.733489278412634</v>
      </c>
      <c r="AL8" s="44"/>
      <c r="AM8" s="44"/>
    </row>
    <row r="9" spans="1:39" x14ac:dyDescent="0.2">
      <c r="A9">
        <f t="shared" si="12"/>
        <v>7</v>
      </c>
      <c r="B9" s="268">
        <v>45474</v>
      </c>
      <c r="C9" s="69">
        <v>45609</v>
      </c>
      <c r="D9" s="76">
        <v>81.555000000000007</v>
      </c>
      <c r="E9" s="175">
        <f t="shared" si="13"/>
        <v>1.7881339209366574E-3</v>
      </c>
      <c r="H9">
        <f t="shared" si="14"/>
        <v>2025</v>
      </c>
      <c r="I9">
        <f t="shared" si="1"/>
        <v>7</v>
      </c>
      <c r="J9" s="268">
        <v>45839</v>
      </c>
      <c r="K9" s="44">
        <f>+SUMIFS('Monthly Energy Data'!AE$8:AE$595,'Monthly Energy Data'!$D$8:$D$595,'Peak Load Projections'!$H9,'Monthly Energy Data'!$E$8:$E$595,'Peak Load Projections'!$I9)*VLOOKUP($I9,$A$3:$E$14,5)</f>
        <v>81.834750646332864</v>
      </c>
      <c r="L9" s="44">
        <f>+SUMIFS('Monthly Energy Data'!AF$8:AF$595,'Monthly Energy Data'!$D$8:$D$595,'Peak Load Projections'!$H9,'Monthly Energy Data'!$E$8:$E$595,'Peak Load Projections'!$I9)*VLOOKUP($I9,$A$3:$E$14,5)</f>
        <v>82.976796330500264</v>
      </c>
      <c r="M9" s="44">
        <f>+SUMIFS('Monthly Energy Data'!AG$8:AG$595,'Monthly Energy Data'!$D$8:$D$595,'Peak Load Projections'!$H9,'Monthly Energy Data'!$E$8:$E$595,'Peak Load Projections'!$I9)*VLOOKUP($I9,$A$3:$E$14,5)</f>
        <v>80.277275927177882</v>
      </c>
      <c r="N9" s="44">
        <f t="shared" si="15"/>
        <v>81.62703612883908</v>
      </c>
      <c r="O9" s="269" t="str">
        <f t="shared" si="2"/>
        <v>S</v>
      </c>
      <c r="Q9">
        <f t="shared" si="19"/>
        <v>2031</v>
      </c>
      <c r="R9" s="44">
        <f t="shared" si="3"/>
        <v>104.60909370841522</v>
      </c>
      <c r="S9" s="44">
        <f t="shared" si="4"/>
        <v>88.519298108358171</v>
      </c>
      <c r="T9" s="44">
        <f t="shared" si="5"/>
        <v>101.80313199928661</v>
      </c>
      <c r="U9" s="44"/>
      <c r="V9">
        <f t="shared" si="20"/>
        <v>2031</v>
      </c>
      <c r="W9" s="44">
        <f t="shared" si="6"/>
        <v>94.394206790578792</v>
      </c>
      <c r="X9" s="44">
        <f t="shared" si="7"/>
        <v>84.722950354473596</v>
      </c>
      <c r="Y9" s="44">
        <f t="shared" si="8"/>
        <v>94.344509897049335</v>
      </c>
      <c r="AA9">
        <f t="shared" si="16"/>
        <v>2025</v>
      </c>
      <c r="AB9">
        <f t="shared" si="17"/>
        <v>7</v>
      </c>
      <c r="AC9" s="271">
        <f t="shared" si="18"/>
        <v>45839</v>
      </c>
      <c r="AD9" s="44">
        <f>+L9*VLOOKUP($AB9,'Peak Loads - 2022-2024'!$L$4:$M$15,2)</f>
        <v>59.527752803407992</v>
      </c>
      <c r="AE9" s="44">
        <f>+M9*VLOOKUP($AB9,'Peak Loads - 2022-2024'!$L$4:$M$15,2)</f>
        <v>57.591110388139633</v>
      </c>
      <c r="AF9" s="44">
        <f>+K9*VLOOKUP($AB9,'Peak Loads - 2022-2024'!$L$4:$M$15,2)</f>
        <v>58.708446489067597</v>
      </c>
      <c r="AG9" s="44"/>
      <c r="AH9">
        <f t="shared" si="21"/>
        <v>2031</v>
      </c>
      <c r="AI9" s="44">
        <f t="shared" ca="1" si="9"/>
        <v>68.313332381546573</v>
      </c>
      <c r="AJ9" s="44">
        <f t="shared" ca="1" si="10"/>
        <v>59.696942832021591</v>
      </c>
      <c r="AK9" s="44">
        <f t="shared" ca="1" si="11"/>
        <v>67.781836729602489</v>
      </c>
      <c r="AL9" s="44"/>
      <c r="AM9" s="44"/>
    </row>
    <row r="10" spans="1:39" x14ac:dyDescent="0.2">
      <c r="A10">
        <f t="shared" si="12"/>
        <v>8</v>
      </c>
      <c r="B10" s="268">
        <v>45505</v>
      </c>
      <c r="C10" s="69">
        <v>43281</v>
      </c>
      <c r="D10" s="76">
        <v>79.950999999999993</v>
      </c>
      <c r="E10" s="175">
        <f t="shared" si="13"/>
        <v>1.8472539913587946E-3</v>
      </c>
      <c r="H10">
        <f t="shared" si="14"/>
        <v>2025</v>
      </c>
      <c r="I10">
        <f t="shared" si="1"/>
        <v>8</v>
      </c>
      <c r="J10" s="268">
        <v>45870</v>
      </c>
      <c r="K10" s="44">
        <f>+SUMIFS('Monthly Energy Data'!AE$8:AE$595,'Monthly Energy Data'!$D$8:$D$595,'Peak Load Projections'!$H10,'Monthly Energy Data'!$E$8:$E$595,'Peak Load Projections'!$I10)*VLOOKUP($I10,$A$3:$E$14,5)</f>
        <v>80.878749566674344</v>
      </c>
      <c r="L10" s="44">
        <f>+SUMIFS('Monthly Energy Data'!AF$8:AF$595,'Monthly Energy Data'!$D$8:$D$595,'Peak Load Projections'!$H10,'Monthly Energy Data'!$E$8:$E$595,'Peak Load Projections'!$I10)*VLOOKUP($I10,$A$3:$E$14,5)</f>
        <v>81.916758462130417</v>
      </c>
      <c r="M10" s="44">
        <f>+SUMIFS('Monthly Energy Data'!AG$8:AG$595,'Monthly Energy Data'!$D$8:$D$595,'Peak Load Projections'!$H10,'Monthly Energy Data'!$E$8:$E$595,'Peak Load Projections'!$I10)*VLOOKUP($I10,$A$3:$E$14,5)</f>
        <v>79.139833133754379</v>
      </c>
      <c r="N10" s="44">
        <f t="shared" si="15"/>
        <v>80.528295797942405</v>
      </c>
      <c r="O10" s="269" t="str">
        <f t="shared" si="2"/>
        <v>S</v>
      </c>
      <c r="Q10">
        <f t="shared" si="19"/>
        <v>2032</v>
      </c>
      <c r="R10" s="44">
        <f t="shared" si="3"/>
        <v>108.16516205919852</v>
      </c>
      <c r="S10" s="44">
        <f t="shared" si="4"/>
        <v>90.624779286949831</v>
      </c>
      <c r="T10" s="44">
        <f t="shared" si="5"/>
        <v>105.23604268812892</v>
      </c>
      <c r="U10" s="44"/>
      <c r="V10">
        <f t="shared" si="20"/>
        <v>2032</v>
      </c>
      <c r="W10" s="44">
        <f t="shared" si="6"/>
        <v>96.638044838447769</v>
      </c>
      <c r="X10" s="44">
        <f t="shared" si="7"/>
        <v>86.07884154873777</v>
      </c>
      <c r="Y10" s="44">
        <f t="shared" si="8"/>
        <v>96.732618939442986</v>
      </c>
      <c r="AA10">
        <f t="shared" si="16"/>
        <v>2025</v>
      </c>
      <c r="AB10">
        <f t="shared" si="17"/>
        <v>8</v>
      </c>
      <c r="AC10" s="271">
        <f t="shared" si="18"/>
        <v>45870</v>
      </c>
      <c r="AD10" s="44">
        <f>+L10*VLOOKUP($AB10,'Peak Loads - 2022-2024'!$L$4:$M$15,2)</f>
        <v>58.587824521438741</v>
      </c>
      <c r="AE10" s="44">
        <f>+M10*VLOOKUP($AB10,'Peak Loads - 2022-2024'!$L$4:$M$15,2)</f>
        <v>56.601735021532001</v>
      </c>
      <c r="AF10" s="44">
        <f>+K10*VLOOKUP($AB10,'Peak Loads - 2022-2024'!$L$4:$M$15,2)</f>
        <v>57.845428409087845</v>
      </c>
      <c r="AG10" s="44"/>
      <c r="AH10">
        <f t="shared" si="21"/>
        <v>2032</v>
      </c>
      <c r="AI10" s="44">
        <f t="shared" ca="1" si="9"/>
        <v>70.276816367776988</v>
      </c>
      <c r="AJ10" s="44">
        <f t="shared" ca="1" si="10"/>
        <v>60.86921777126372</v>
      </c>
      <c r="AK10" s="44">
        <f t="shared" ca="1" si="11"/>
        <v>69.82542749537275</v>
      </c>
      <c r="AL10" s="44"/>
      <c r="AM10" s="44"/>
    </row>
    <row r="11" spans="1:39" x14ac:dyDescent="0.2">
      <c r="A11">
        <f t="shared" si="12"/>
        <v>9</v>
      </c>
      <c r="B11" s="268">
        <v>45536</v>
      </c>
      <c r="C11" s="69">
        <v>37459</v>
      </c>
      <c r="D11" s="76">
        <v>66.978999999999999</v>
      </c>
      <c r="E11" s="175">
        <f t="shared" si="13"/>
        <v>1.7880616140313408E-3</v>
      </c>
      <c r="H11">
        <f t="shared" si="14"/>
        <v>2025</v>
      </c>
      <c r="I11">
        <f t="shared" si="1"/>
        <v>9</v>
      </c>
      <c r="J11" s="268">
        <v>45901</v>
      </c>
      <c r="K11" s="44">
        <f>+SUMIFS('Monthly Energy Data'!AE$8:AE$595,'Monthly Energy Data'!$D$8:$D$595,'Peak Load Projections'!$H11,'Monthly Energy Data'!$E$8:$E$595,'Peak Load Projections'!$I11)*VLOOKUP($I11,$A$3:$E$14,5)</f>
        <v>68.24187220947438</v>
      </c>
      <c r="L11" s="44">
        <f>+SUMIFS('Monthly Energy Data'!AF$8:AF$595,'Monthly Energy Data'!$D$8:$D$595,'Peak Load Projections'!$H11,'Monthly Energy Data'!$E$8:$E$595,'Peak Load Projections'!$I11)*VLOOKUP($I11,$A$3:$E$14,5)</f>
        <v>69.101155220182662</v>
      </c>
      <c r="M11" s="44">
        <f>+SUMIFS('Monthly Energy Data'!AG$8:AG$595,'Monthly Energy Data'!$D$8:$D$595,'Peak Load Projections'!$H11,'Monthly Energy Data'!$E$8:$E$595,'Peak Load Projections'!$I11)*VLOOKUP($I11,$A$3:$E$14,5)</f>
        <v>66.435536608651361</v>
      </c>
      <c r="N11" s="44">
        <f t="shared" si="15"/>
        <v>67.768345914417011</v>
      </c>
      <c r="O11" s="269" t="str">
        <f t="shared" si="2"/>
        <v>S</v>
      </c>
      <c r="Q11">
        <f t="shared" si="19"/>
        <v>2033</v>
      </c>
      <c r="R11" s="44">
        <f t="shared" si="3"/>
        <v>111.82856589640494</v>
      </c>
      <c r="S11" s="44">
        <f t="shared" si="4"/>
        <v>92.996178811171944</v>
      </c>
      <c r="T11" s="44">
        <f t="shared" si="5"/>
        <v>108.47403685571588</v>
      </c>
      <c r="U11" s="44"/>
      <c r="V11">
        <f t="shared" si="20"/>
        <v>2033</v>
      </c>
      <c r="W11" s="44">
        <f t="shared" si="6"/>
        <v>98.962915278752163</v>
      </c>
      <c r="X11" s="44">
        <f t="shared" si="7"/>
        <v>87.604239066998801</v>
      </c>
      <c r="Y11" s="44">
        <f t="shared" si="8"/>
        <v>99.031811794713988</v>
      </c>
      <c r="AA11">
        <f t="shared" si="16"/>
        <v>2025</v>
      </c>
      <c r="AB11">
        <f t="shared" si="17"/>
        <v>9</v>
      </c>
      <c r="AC11" s="271">
        <f t="shared" si="18"/>
        <v>45901</v>
      </c>
      <c r="AD11" s="44">
        <f>+L11*VLOOKUP($AB11,'Peak Loads - 2022-2024'!$L$4:$M$15,2)</f>
        <v>49.417171807404323</v>
      </c>
      <c r="AE11" s="44">
        <f>+M11*VLOOKUP($AB11,'Peak Loads - 2022-2024'!$L$4:$M$15,2)</f>
        <v>47.510874691541012</v>
      </c>
      <c r="AF11" s="44">
        <f>+K11*VLOOKUP($AB11,'Peak Loads - 2022-2024'!$L$4:$M$15,2)</f>
        <v>48.802662020468766</v>
      </c>
      <c r="AG11" s="44"/>
      <c r="AH11">
        <f t="shared" si="21"/>
        <v>2033</v>
      </c>
      <c r="AI11" s="44">
        <f t="shared" ca="1" si="9"/>
        <v>72.312924785302727</v>
      </c>
      <c r="AJ11" s="44">
        <f t="shared" ca="1" si="10"/>
        <v>62.188743273056538</v>
      </c>
      <c r="AK11" s="44">
        <f t="shared" ca="1" si="11"/>
        <v>71.804002742067297</v>
      </c>
      <c r="AL11" s="44"/>
      <c r="AM11" s="44"/>
    </row>
    <row r="12" spans="1:39" x14ac:dyDescent="0.2">
      <c r="A12">
        <f t="shared" si="12"/>
        <v>10</v>
      </c>
      <c r="B12" s="268">
        <v>45566</v>
      </c>
      <c r="C12" s="69">
        <v>42386</v>
      </c>
      <c r="D12" s="76">
        <v>68.888000000000005</v>
      </c>
      <c r="E12" s="175">
        <f t="shared" si="13"/>
        <v>1.6252536214787902E-3</v>
      </c>
      <c r="H12">
        <f t="shared" si="14"/>
        <v>2025</v>
      </c>
      <c r="I12">
        <f t="shared" si="1"/>
        <v>10</v>
      </c>
      <c r="J12" s="268">
        <v>45931</v>
      </c>
      <c r="K12" s="44">
        <f>+SUMIFS('Monthly Energy Data'!AE$8:AE$595,'Monthly Energy Data'!$D$8:$D$595,'Peak Load Projections'!$H12,'Monthly Energy Data'!$E$8:$E$595,'Peak Load Projections'!$I12)*VLOOKUP($I12,$A$3:$E$14,5)</f>
        <v>65.595485289940854</v>
      </c>
      <c r="L12" s="44">
        <f>+SUMIFS('Monthly Energy Data'!AF$8:AF$595,'Monthly Energy Data'!$D$8:$D$595,'Peak Load Projections'!$H12,'Monthly Energy Data'!$E$8:$E$595,'Peak Load Projections'!$I12)*VLOOKUP($I12,$A$3:$E$14,5)</f>
        <v>67.050144304653742</v>
      </c>
      <c r="M12" s="44">
        <f>+SUMIFS('Monthly Energy Data'!AG$8:AG$595,'Monthly Energy Data'!$D$8:$D$595,'Peak Load Projections'!$H12,'Monthly Energy Data'!$E$8:$E$595,'Peak Load Projections'!$I12)*VLOOKUP($I12,$A$3:$E$14,5)</f>
        <v>63.582277873216526</v>
      </c>
      <c r="N12" s="44">
        <f t="shared" si="15"/>
        <v>65.316211088935134</v>
      </c>
      <c r="O12" s="269" t="str">
        <f t="shared" si="2"/>
        <v>W</v>
      </c>
      <c r="Q12">
        <f t="shared" si="19"/>
        <v>2034</v>
      </c>
      <c r="R12" s="44">
        <f t="shared" si="3"/>
        <v>115.57502099249096</v>
      </c>
      <c r="S12" s="44">
        <f t="shared" si="4"/>
        <v>95.617168596059187</v>
      </c>
      <c r="T12" s="44">
        <f t="shared" si="5"/>
        <v>111.59493957273942</v>
      </c>
      <c r="U12" s="44"/>
      <c r="V12">
        <f t="shared" si="20"/>
        <v>2034</v>
      </c>
      <c r="W12" s="44">
        <f t="shared" si="6"/>
        <v>101.38134685785586</v>
      </c>
      <c r="X12" s="44">
        <f t="shared" si="7"/>
        <v>89.308222694506483</v>
      </c>
      <c r="Y12" s="44">
        <f t="shared" si="8"/>
        <v>101.25402573342126</v>
      </c>
      <c r="AA12">
        <f t="shared" si="16"/>
        <v>2025</v>
      </c>
      <c r="AB12">
        <f t="shared" si="17"/>
        <v>10</v>
      </c>
      <c r="AC12" s="271">
        <f t="shared" si="18"/>
        <v>45931</v>
      </c>
      <c r="AD12" s="44">
        <f>+L12*VLOOKUP($AB12,'Peak Loads - 2022-2024'!$L$4:$M$15,2)</f>
        <v>46.575178512833737</v>
      </c>
      <c r="AE12" s="44">
        <f>+M12*VLOOKUP($AB12,'Peak Loads - 2022-2024'!$L$4:$M$15,2)</f>
        <v>44.166287379520526</v>
      </c>
      <c r="AF12" s="44">
        <f>+K12*VLOOKUP($AB12,'Peak Loads - 2022-2024'!$L$4:$M$15,2)</f>
        <v>45.564725754108608</v>
      </c>
      <c r="AG12" s="44"/>
      <c r="AH12">
        <f t="shared" si="21"/>
        <v>2034</v>
      </c>
      <c r="AI12" s="44">
        <f t="shared" ca="1" si="9"/>
        <v>74.416375661573298</v>
      </c>
      <c r="AJ12" s="44">
        <f t="shared" ca="1" si="10"/>
        <v>63.644901850465232</v>
      </c>
      <c r="AK12" s="44">
        <f t="shared" ca="1" si="11"/>
        <v>73.698679212537854</v>
      </c>
      <c r="AL12" s="44"/>
      <c r="AM12" s="44"/>
    </row>
    <row r="13" spans="1:39" x14ac:dyDescent="0.2">
      <c r="A13">
        <f t="shared" si="12"/>
        <v>11</v>
      </c>
      <c r="B13" s="268">
        <v>45597</v>
      </c>
      <c r="C13" s="69">
        <v>41662</v>
      </c>
      <c r="D13" s="76">
        <v>72.236999999999995</v>
      </c>
      <c r="E13" s="175">
        <f t="shared" si="13"/>
        <v>1.7338821948058181E-3</v>
      </c>
      <c r="H13">
        <f t="shared" si="14"/>
        <v>2025</v>
      </c>
      <c r="I13">
        <f t="shared" si="1"/>
        <v>11</v>
      </c>
      <c r="J13" s="268">
        <v>45962</v>
      </c>
      <c r="K13" s="44">
        <f>+SUMIFS('Monthly Energy Data'!AE$8:AE$595,'Monthly Energy Data'!$D$8:$D$595,'Peak Load Projections'!$H13,'Monthly Energy Data'!$E$8:$E$595,'Peak Load Projections'!$I13)*VLOOKUP($I13,$A$3:$E$14,5)</f>
        <v>75.608032526787525</v>
      </c>
      <c r="L13" s="44">
        <f>+SUMIFS('Monthly Energy Data'!AF$8:AF$595,'Monthly Energy Data'!$D$8:$D$595,'Peak Load Projections'!$H13,'Monthly Energy Data'!$E$8:$E$595,'Peak Load Projections'!$I13)*VLOOKUP($I13,$A$3:$E$14,5)</f>
        <v>79.493649451996703</v>
      </c>
      <c r="M13" s="44">
        <f>+SUMIFS('Monthly Energy Data'!AG$8:AG$595,'Monthly Energy Data'!$D$8:$D$595,'Peak Load Projections'!$H13,'Monthly Energy Data'!$E$8:$E$595,'Peak Load Projections'!$I13)*VLOOKUP($I13,$A$3:$E$14,5)</f>
        <v>72.272220062914627</v>
      </c>
      <c r="N13" s="44">
        <f t="shared" si="15"/>
        <v>75.882934757455672</v>
      </c>
      <c r="O13" s="269" t="str">
        <f t="shared" si="2"/>
        <v>W</v>
      </c>
      <c r="Q13">
        <f t="shared" si="19"/>
        <v>2035</v>
      </c>
      <c r="R13" s="44">
        <f t="shared" si="3"/>
        <v>119.34411106810828</v>
      </c>
      <c r="S13" s="44">
        <f t="shared" si="4"/>
        <v>98.358444040974888</v>
      </c>
      <c r="T13" s="44">
        <f t="shared" si="5"/>
        <v>114.23988123539259</v>
      </c>
      <c r="U13" s="44"/>
      <c r="V13">
        <f t="shared" si="20"/>
        <v>2035</v>
      </c>
      <c r="W13" s="44">
        <f t="shared" si="6"/>
        <v>103.75325399812581</v>
      </c>
      <c r="X13" s="44">
        <f t="shared" si="7"/>
        <v>91.126721237758716</v>
      </c>
      <c r="Y13" s="44">
        <f t="shared" si="8"/>
        <v>103.13904866669574</v>
      </c>
      <c r="AA13">
        <f t="shared" si="16"/>
        <v>2025</v>
      </c>
      <c r="AB13">
        <f t="shared" si="17"/>
        <v>11</v>
      </c>
      <c r="AC13" s="271">
        <f t="shared" si="18"/>
        <v>45962</v>
      </c>
      <c r="AD13" s="44">
        <f>+L13*VLOOKUP($AB13,'Peak Loads - 2022-2024'!$L$4:$M$15,2)</f>
        <v>56.539586762952972</v>
      </c>
      <c r="AE13" s="44">
        <f>+M13*VLOOKUP($AB13,'Peak Loads - 2022-2024'!$L$4:$M$15,2)</f>
        <v>51.403369765605277</v>
      </c>
      <c r="AF13" s="44">
        <f>+K13*VLOOKUP($AB13,'Peak Loads - 2022-2024'!$L$4:$M$15,2)</f>
        <v>53.775954991296466</v>
      </c>
      <c r="AG13" s="44"/>
      <c r="AH13">
        <f t="shared" si="21"/>
        <v>2035</v>
      </c>
      <c r="AI13" s="44">
        <f t="shared" ca="1" si="9"/>
        <v>76.48790043091644</v>
      </c>
      <c r="AJ13" s="44">
        <f t="shared" ca="1" si="10"/>
        <v>65.206005990851537</v>
      </c>
      <c r="AK13" s="44">
        <f t="shared" ca="1" si="11"/>
        <v>75.332251718244876</v>
      </c>
      <c r="AL13" s="44"/>
      <c r="AM13" s="44"/>
    </row>
    <row r="14" spans="1:39" x14ac:dyDescent="0.2">
      <c r="A14">
        <f t="shared" si="12"/>
        <v>12</v>
      </c>
      <c r="B14" s="268">
        <v>45627</v>
      </c>
      <c r="C14" s="69">
        <v>48756</v>
      </c>
      <c r="D14" s="76">
        <v>81.894999999999996</v>
      </c>
      <c r="E14" s="175">
        <f t="shared" si="13"/>
        <v>1.6796907047337763E-3</v>
      </c>
      <c r="H14">
        <f t="shared" si="14"/>
        <v>2025</v>
      </c>
      <c r="I14">
        <f t="shared" si="1"/>
        <v>12</v>
      </c>
      <c r="J14" s="268">
        <v>45992</v>
      </c>
      <c r="K14" s="44">
        <f>+SUMIFS('Monthly Energy Data'!AE$8:AE$595,'Monthly Energy Data'!$D$8:$D$595,'Peak Load Projections'!$H14,'Monthly Energy Data'!$E$8:$E$595,'Peak Load Projections'!$I14)*VLOOKUP($I14,$A$3:$E$14,5)</f>
        <v>83.308541088453055</v>
      </c>
      <c r="L14" s="44">
        <f>+SUMIFS('Monthly Energy Data'!AF$8:AF$595,'Monthly Energy Data'!$D$8:$D$595,'Peak Load Projections'!$H14,'Monthly Energy Data'!$E$8:$E$595,'Peak Load Projections'!$I14)*VLOOKUP($I14,$A$3:$E$14,5)</f>
        <v>87.388467501382792</v>
      </c>
      <c r="M14" s="44">
        <f>+SUMIFS('Monthly Energy Data'!AG$8:AG$595,'Monthly Energy Data'!$D$8:$D$595,'Peak Load Projections'!$H14,'Monthly Energy Data'!$E$8:$E$595,'Peak Load Projections'!$I14)*VLOOKUP($I14,$A$3:$E$14,5)</f>
        <v>79.504323111135079</v>
      </c>
      <c r="N14" s="44">
        <f t="shared" si="15"/>
        <v>83.446395306258935</v>
      </c>
      <c r="O14" s="269" t="str">
        <f t="shared" si="2"/>
        <v>W</v>
      </c>
      <c r="Q14">
        <f t="shared" si="19"/>
        <v>2036</v>
      </c>
      <c r="R14" s="44">
        <f t="shared" si="3"/>
        <v>122.99624074668617</v>
      </c>
      <c r="S14" s="44">
        <f t="shared" si="4"/>
        <v>101.034644956421</v>
      </c>
      <c r="T14" s="44">
        <f t="shared" si="5"/>
        <v>116.65936837810175</v>
      </c>
      <c r="U14" s="44"/>
      <c r="V14">
        <f t="shared" si="20"/>
        <v>2036</v>
      </c>
      <c r="W14" s="44">
        <f t="shared" si="6"/>
        <v>106.16893846412529</v>
      </c>
      <c r="X14" s="44">
        <f t="shared" si="7"/>
        <v>92.971909420947028</v>
      </c>
      <c r="Y14" s="44">
        <f t="shared" si="8"/>
        <v>104.61528386323269</v>
      </c>
      <c r="AA14">
        <f t="shared" si="16"/>
        <v>2025</v>
      </c>
      <c r="AB14">
        <f t="shared" si="17"/>
        <v>12</v>
      </c>
      <c r="AC14" s="271">
        <f t="shared" si="18"/>
        <v>45992</v>
      </c>
      <c r="AD14" s="44">
        <f>+L14*VLOOKUP($AB14,'Peak Loads - 2022-2024'!$L$4:$M$15,2)</f>
        <v>74.868383248917212</v>
      </c>
      <c r="AE14" s="44">
        <f>+M14*VLOOKUP($AB14,'Peak Loads - 2022-2024'!$L$4:$M$15,2)</f>
        <v>68.113794678182444</v>
      </c>
      <c r="AF14" s="44">
        <f>+K14*VLOOKUP($AB14,'Peak Loads - 2022-2024'!$L$4:$M$15,2)</f>
        <v>71.372985022534877</v>
      </c>
      <c r="AG14" s="44"/>
      <c r="AH14">
        <f t="shared" si="21"/>
        <v>2036</v>
      </c>
      <c r="AI14" s="44">
        <f t="shared" ca="1" si="9"/>
        <v>78.573659188006772</v>
      </c>
      <c r="AJ14" s="44">
        <f t="shared" ca="1" si="10"/>
        <v>66.785565958706286</v>
      </c>
      <c r="AK14" s="44">
        <f t="shared" ca="1" si="11"/>
        <v>76.602879833849855</v>
      </c>
      <c r="AL14" s="44"/>
      <c r="AM14" s="44"/>
    </row>
    <row r="15" spans="1:39" x14ac:dyDescent="0.2">
      <c r="E15" s="175"/>
      <c r="H15">
        <f t="shared" si="14"/>
        <v>2026</v>
      </c>
      <c r="I15">
        <f t="shared" si="1"/>
        <v>1</v>
      </c>
      <c r="J15" s="268">
        <v>46023</v>
      </c>
      <c r="K15" s="44">
        <f>+SUMIFS('Monthly Energy Data'!AE$8:AE$595,'Monthly Energy Data'!$D$8:$D$595,'Peak Load Projections'!$H15,'Monthly Energy Data'!$E$8:$E$595,'Peak Load Projections'!$I15)*VLOOKUP($I15,$A$3:$E$14,5)</f>
        <v>85.169900873491727</v>
      </c>
      <c r="L15" s="44">
        <f>+SUMIFS('Monthly Energy Data'!AF$8:AF$595,'Monthly Energy Data'!$D$8:$D$595,'Peak Load Projections'!$H15,'Monthly Energy Data'!$E$8:$E$595,'Peak Load Projections'!$I15)*VLOOKUP($I15,$A$3:$E$14,5)</f>
        <v>89.691309610985982</v>
      </c>
      <c r="M15" s="44">
        <f>+SUMIFS('Monthly Energy Data'!AG$8:AG$595,'Monthly Energy Data'!$D$8:$D$595,'Peak Load Projections'!$H15,'Monthly Energy Data'!$E$8:$E$595,'Peak Load Projections'!$I15)*VLOOKUP($I15,$A$3:$E$14,5)</f>
        <v>81.143086775923464</v>
      </c>
      <c r="N15" s="44">
        <f t="shared" si="15"/>
        <v>85.417198193454723</v>
      </c>
      <c r="O15" s="269" t="str">
        <f t="shared" si="2"/>
        <v>W</v>
      </c>
      <c r="Q15">
        <f t="shared" si="19"/>
        <v>2037</v>
      </c>
      <c r="R15" s="44">
        <f t="shared" si="3"/>
        <v>126.90405775107472</v>
      </c>
      <c r="S15" s="44">
        <f t="shared" si="4"/>
        <v>103.75133754291238</v>
      </c>
      <c r="T15" s="44">
        <f t="shared" si="5"/>
        <v>118.64518736644585</v>
      </c>
      <c r="U15" s="44"/>
      <c r="V15">
        <f t="shared" si="20"/>
        <v>2037</v>
      </c>
      <c r="W15" s="44">
        <f t="shared" si="6"/>
        <v>108.58292333784421</v>
      </c>
      <c r="X15" s="44">
        <f t="shared" si="7"/>
        <v>94.724906728341963</v>
      </c>
      <c r="Y15" s="44">
        <f t="shared" si="8"/>
        <v>105.71099167256422</v>
      </c>
      <c r="AA15">
        <f t="shared" si="16"/>
        <v>2026</v>
      </c>
      <c r="AB15">
        <f t="shared" si="17"/>
        <v>1</v>
      </c>
      <c r="AC15" s="271">
        <f t="shared" si="18"/>
        <v>46023</v>
      </c>
      <c r="AD15" s="44">
        <f>+L15*VLOOKUP($AB15,'Peak Loads - 2022-2024'!$L$4:$M$15,2)</f>
        <v>79.360422779613884</v>
      </c>
      <c r="AE15" s="44">
        <f>+M15*VLOOKUP($AB15,'Peak Loads - 2022-2024'!$L$4:$M$15,2)</f>
        <v>71.796807295045042</v>
      </c>
      <c r="AF15" s="44">
        <f>+K15*VLOOKUP($AB15,'Peak Loads - 2022-2024'!$L$4:$M$15,2)</f>
        <v>75.359802089345422</v>
      </c>
      <c r="AG15" s="44"/>
      <c r="AH15">
        <f t="shared" si="21"/>
        <v>2037</v>
      </c>
      <c r="AI15" s="44">
        <f t="shared" ca="1" si="9"/>
        <v>80.686073519704706</v>
      </c>
      <c r="AJ15" s="44">
        <f t="shared" ca="1" si="10"/>
        <v>68.300382564793537</v>
      </c>
      <c r="AK15" s="44">
        <f t="shared" ca="1" si="11"/>
        <v>77.566745340960793</v>
      </c>
      <c r="AL15" s="44"/>
      <c r="AM15" s="44"/>
    </row>
    <row r="16" spans="1:39" x14ac:dyDescent="0.2">
      <c r="E16" s="175"/>
      <c r="H16">
        <f t="shared" si="14"/>
        <v>2026</v>
      </c>
      <c r="I16">
        <f t="shared" si="1"/>
        <v>2</v>
      </c>
      <c r="J16" s="268">
        <v>46054</v>
      </c>
      <c r="K16" s="44">
        <f>+SUMIFS('Monthly Energy Data'!AE$8:AE$595,'Monthly Energy Data'!$D$8:$D$595,'Peak Load Projections'!$H16,'Monthly Energy Data'!$E$8:$E$595,'Peak Load Projections'!$I16)*VLOOKUP($I16,$A$3:$E$14,5)</f>
        <v>80.928168158161014</v>
      </c>
      <c r="L16" s="44">
        <f>+SUMIFS('Monthly Energy Data'!AF$8:AF$595,'Monthly Energy Data'!$D$8:$D$595,'Peak Load Projections'!$H16,'Monthly Energy Data'!$E$8:$E$595,'Peak Load Projections'!$I16)*VLOOKUP($I16,$A$3:$E$14,5)</f>
        <v>84.652871734166226</v>
      </c>
      <c r="M16" s="44">
        <f>+SUMIFS('Monthly Energy Data'!AG$8:AG$595,'Monthly Energy Data'!$D$8:$D$595,'Peak Load Projections'!$H16,'Monthly Energy Data'!$E$8:$E$595,'Peak Load Projections'!$I16)*VLOOKUP($I16,$A$3:$E$14,5)</f>
        <v>76.908066294198562</v>
      </c>
      <c r="N16" s="44">
        <f t="shared" si="15"/>
        <v>80.780469014182387</v>
      </c>
      <c r="O16" s="269" t="str">
        <f t="shared" si="2"/>
        <v>W</v>
      </c>
      <c r="Q16">
        <f t="shared" si="19"/>
        <v>2038</v>
      </c>
      <c r="R16" s="44">
        <f t="shared" si="3"/>
        <v>130.71744562458494</v>
      </c>
      <c r="S16" s="44">
        <f t="shared" si="4"/>
        <v>106.36662651290592</v>
      </c>
      <c r="T16" s="44">
        <f t="shared" si="5"/>
        <v>120.15619597169469</v>
      </c>
      <c r="U16" s="44"/>
      <c r="V16">
        <f t="shared" si="20"/>
        <v>2038</v>
      </c>
      <c r="W16" s="44">
        <f t="shared" si="6"/>
        <v>110.90523864322346</v>
      </c>
      <c r="X16" s="44">
        <f t="shared" si="7"/>
        <v>96.327251942197478</v>
      </c>
      <c r="Y16" s="44">
        <f t="shared" si="8"/>
        <v>106.52579411963717</v>
      </c>
      <c r="AA16">
        <f t="shared" si="16"/>
        <v>2026</v>
      </c>
      <c r="AB16">
        <f t="shared" si="17"/>
        <v>2</v>
      </c>
      <c r="AC16" s="271">
        <f t="shared" si="18"/>
        <v>46054</v>
      </c>
      <c r="AD16" s="44">
        <f>+L16*VLOOKUP($AB16,'Peak Loads - 2022-2024'!$L$4:$M$15,2)</f>
        <v>67.512915712852589</v>
      </c>
      <c r="AE16" s="44">
        <f>+M16*VLOOKUP($AB16,'Peak Loads - 2022-2024'!$L$4:$M$15,2)</f>
        <v>61.336227478070064</v>
      </c>
      <c r="AF16" s="44">
        <f>+K16*VLOOKUP($AB16,'Peak Loads - 2022-2024'!$L$4:$M$15,2)</f>
        <v>64.542365589380438</v>
      </c>
      <c r="AG16" s="44"/>
      <c r="AH16">
        <f t="shared" si="21"/>
        <v>2038</v>
      </c>
      <c r="AI16" s="44">
        <f t="shared" ca="1" si="9"/>
        <v>82.713111372865299</v>
      </c>
      <c r="AJ16" s="44">
        <f t="shared" ca="1" si="10"/>
        <v>69.686265204766457</v>
      </c>
      <c r="AK16" s="44">
        <f t="shared" ca="1" si="11"/>
        <v>78.279547676536239</v>
      </c>
      <c r="AL16" s="44"/>
      <c r="AM16" s="44"/>
    </row>
    <row r="17" spans="5:39" x14ac:dyDescent="0.2">
      <c r="E17" s="175"/>
      <c r="H17">
        <f t="shared" si="14"/>
        <v>2026</v>
      </c>
      <c r="I17">
        <f t="shared" si="1"/>
        <v>3</v>
      </c>
      <c r="J17" s="268">
        <v>46082</v>
      </c>
      <c r="K17" s="44">
        <f>+SUMIFS('Monthly Energy Data'!AE$8:AE$595,'Monthly Energy Data'!$D$8:$D$595,'Peak Load Projections'!$H17,'Monthly Energy Data'!$E$8:$E$595,'Peak Load Projections'!$I17)*VLOOKUP($I17,$A$3:$E$14,5)</f>
        <v>74.392356152280144</v>
      </c>
      <c r="L17" s="44">
        <f>+SUMIFS('Monthly Energy Data'!AF$8:AF$595,'Monthly Energy Data'!$D$8:$D$595,'Peak Load Projections'!$H17,'Monthly Energy Data'!$E$8:$E$595,'Peak Load Projections'!$I17)*VLOOKUP($I17,$A$3:$E$14,5)</f>
        <v>77.05637193201521</v>
      </c>
      <c r="M17" s="44">
        <f>+SUMIFS('Monthly Energy Data'!AG$8:AG$595,'Monthly Energy Data'!$D$8:$D$595,'Peak Load Projections'!$H17,'Monthly Energy Data'!$E$8:$E$595,'Peak Load Projections'!$I17)*VLOOKUP($I17,$A$3:$E$14,5)</f>
        <v>71.082991260834135</v>
      </c>
      <c r="N17" s="44">
        <f t="shared" si="15"/>
        <v>74.069681596424672</v>
      </c>
      <c r="O17" s="269" t="str">
        <f t="shared" si="2"/>
        <v>W</v>
      </c>
      <c r="Q17">
        <f t="shared" si="19"/>
        <v>2039</v>
      </c>
      <c r="R17" s="44">
        <f t="shared" si="3"/>
        <v>134.32304953634701</v>
      </c>
      <c r="S17" s="44">
        <f t="shared" si="4"/>
        <v>108.72694210646121</v>
      </c>
      <c r="T17" s="44">
        <f t="shared" si="5"/>
        <v>121.38055867104728</v>
      </c>
      <c r="U17" s="44"/>
      <c r="V17">
        <f t="shared" si="20"/>
        <v>2039</v>
      </c>
      <c r="W17" s="44">
        <f t="shared" si="6"/>
        <v>113.04308466147251</v>
      </c>
      <c r="X17" s="44">
        <f t="shared" si="7"/>
        <v>97.706330785502985</v>
      </c>
      <c r="Y17" s="44">
        <f t="shared" si="8"/>
        <v>107.11460797171208</v>
      </c>
      <c r="AA17">
        <f t="shared" si="16"/>
        <v>2026</v>
      </c>
      <c r="AB17">
        <f t="shared" si="17"/>
        <v>3</v>
      </c>
      <c r="AC17" s="271">
        <f t="shared" si="18"/>
        <v>46082</v>
      </c>
      <c r="AD17" s="44">
        <f>+L17*VLOOKUP($AB17,'Peak Loads - 2022-2024'!$L$4:$M$15,2)</f>
        <v>54.994654333069406</v>
      </c>
      <c r="AE17" s="44">
        <f>+M17*VLOOKUP($AB17,'Peak Loads - 2022-2024'!$L$4:$M$15,2)</f>
        <v>50.731489626829777</v>
      </c>
      <c r="AF17" s="44">
        <f>+K17*VLOOKUP($AB17,'Peak Loads - 2022-2024'!$L$4:$M$15,2)</f>
        <v>53.093362807514183</v>
      </c>
      <c r="AG17" s="44"/>
      <c r="AH17">
        <f t="shared" si="21"/>
        <v>2039</v>
      </c>
      <c r="AI17" s="44">
        <f t="shared" ca="1" si="9"/>
        <v>84.590244532261877</v>
      </c>
      <c r="AJ17" s="44">
        <f t="shared" ca="1" si="10"/>
        <v>70.89581599284908</v>
      </c>
      <c r="AK17" s="44">
        <f t="shared" ca="1" si="11"/>
        <v>78.809599487343959</v>
      </c>
      <c r="AL17" s="44"/>
      <c r="AM17" s="44"/>
    </row>
    <row r="18" spans="5:39" x14ac:dyDescent="0.2">
      <c r="E18" s="175"/>
      <c r="H18">
        <f t="shared" si="14"/>
        <v>2026</v>
      </c>
      <c r="I18">
        <f t="shared" si="1"/>
        <v>4</v>
      </c>
      <c r="J18" s="268">
        <v>46113</v>
      </c>
      <c r="K18" s="44">
        <f>+SUMIFS('Monthly Energy Data'!AE$8:AE$595,'Monthly Energy Data'!$D$8:$D$595,'Peak Load Projections'!$H18,'Monthly Energy Data'!$E$8:$E$595,'Peak Load Projections'!$I18)*VLOOKUP($I18,$A$3:$E$14,5)</f>
        <v>73.24098022869839</v>
      </c>
      <c r="L18" s="44">
        <f>+SUMIFS('Monthly Energy Data'!AF$8:AF$595,'Monthly Energy Data'!$D$8:$D$595,'Peak Load Projections'!$H18,'Monthly Energy Data'!$E$8:$E$595,'Peak Load Projections'!$I18)*VLOOKUP($I18,$A$3:$E$14,5)</f>
        <v>75.02654689893771</v>
      </c>
      <c r="M18" s="44">
        <f>+SUMIFS('Monthly Energy Data'!AG$8:AG$595,'Monthly Energy Data'!$D$8:$D$595,'Peak Load Projections'!$H18,'Monthly Energy Data'!$E$8:$E$595,'Peak Load Projections'!$I18)*VLOOKUP($I18,$A$3:$E$14,5)</f>
        <v>69.851079889579196</v>
      </c>
      <c r="N18" s="44">
        <f t="shared" si="15"/>
        <v>72.43881339425846</v>
      </c>
      <c r="O18" s="269" t="str">
        <f t="shared" si="2"/>
        <v>W</v>
      </c>
      <c r="Q18">
        <f t="shared" si="19"/>
        <v>2040</v>
      </c>
      <c r="R18" s="44">
        <f t="shared" si="3"/>
        <v>137.54358505377604</v>
      </c>
      <c r="S18" s="44">
        <f t="shared" si="4"/>
        <v>110.82623031343803</v>
      </c>
      <c r="T18" s="44">
        <f t="shared" si="5"/>
        <v>122.34132835151523</v>
      </c>
      <c r="U18" s="44"/>
      <c r="V18">
        <f t="shared" si="20"/>
        <v>2040</v>
      </c>
      <c r="W18" s="44">
        <f t="shared" si="6"/>
        <v>114.81046185188298</v>
      </c>
      <c r="X18" s="44">
        <f t="shared" si="7"/>
        <v>98.848439288744984</v>
      </c>
      <c r="Y18" s="44">
        <f t="shared" si="8"/>
        <v>107.55119533055669</v>
      </c>
      <c r="AA18">
        <f t="shared" ref="AA18:AA81" si="22">+H18</f>
        <v>2026</v>
      </c>
      <c r="AB18">
        <f t="shared" si="17"/>
        <v>4</v>
      </c>
      <c r="AC18" s="271">
        <f t="shared" si="18"/>
        <v>46113</v>
      </c>
      <c r="AD18" s="44">
        <f>+L18*VLOOKUP($AB18,'Peak Loads - 2022-2024'!$L$4:$M$15,2)</f>
        <v>52.34863983678968</v>
      </c>
      <c r="AE18" s="44">
        <f>+M18*VLOOKUP($AB18,'Peak Loads - 2022-2024'!$L$4:$M$15,2)</f>
        <v>48.737535905469983</v>
      </c>
      <c r="AF18" s="44">
        <f>+K18*VLOOKUP($AB18,'Peak Loads - 2022-2024'!$L$4:$M$15,2)</f>
        <v>51.102787663280445</v>
      </c>
      <c r="AG18" s="44"/>
      <c r="AH18">
        <f t="shared" si="21"/>
        <v>2040</v>
      </c>
      <c r="AI18" s="44">
        <f t="shared" ca="1" si="9"/>
        <v>86.139505017549766</v>
      </c>
      <c r="AJ18" s="44">
        <f t="shared" ca="1" si="10"/>
        <v>71.903357041972427</v>
      </c>
      <c r="AK18" s="44">
        <f t="shared" ca="1" si="11"/>
        <v>79.197598575739519</v>
      </c>
      <c r="AL18" s="44"/>
      <c r="AM18" s="44"/>
    </row>
    <row r="19" spans="5:39" x14ac:dyDescent="0.2">
      <c r="E19" s="175"/>
      <c r="H19">
        <f t="shared" si="14"/>
        <v>2026</v>
      </c>
      <c r="I19">
        <f t="shared" si="1"/>
        <v>5</v>
      </c>
      <c r="J19" s="268">
        <v>46143</v>
      </c>
      <c r="K19" s="44">
        <f>+SUMIFS('Monthly Energy Data'!AE$8:AE$595,'Monthly Energy Data'!$D$8:$D$595,'Peak Load Projections'!$H19,'Monthly Energy Data'!$E$8:$E$595,'Peak Load Projections'!$I19)*VLOOKUP($I19,$A$3:$E$14,5)</f>
        <v>66.350114277834706</v>
      </c>
      <c r="L19" s="44">
        <f>+SUMIFS('Monthly Energy Data'!AF$8:AF$595,'Monthly Energy Data'!$D$8:$D$595,'Peak Load Projections'!$H19,'Monthly Energy Data'!$E$8:$E$595,'Peak Load Projections'!$I19)*VLOOKUP($I19,$A$3:$E$14,5)</f>
        <v>67.080996985674773</v>
      </c>
      <c r="M19" s="44">
        <f>+SUMIFS('Monthly Energy Data'!AG$8:AG$595,'Monthly Energy Data'!$D$8:$D$595,'Peak Load Projections'!$H19,'Monthly Energy Data'!$E$8:$E$595,'Peak Load Projections'!$I19)*VLOOKUP($I19,$A$3:$E$14,5)</f>
        <v>63.669671384159088</v>
      </c>
      <c r="N19" s="44">
        <f t="shared" si="15"/>
        <v>65.375334184916937</v>
      </c>
      <c r="O19" s="269" t="str">
        <f t="shared" si="2"/>
        <v>W</v>
      </c>
      <c r="Q19">
        <f t="shared" si="19"/>
        <v>2041</v>
      </c>
      <c r="R19" s="44">
        <f t="shared" si="3"/>
        <v>139.88829698455092</v>
      </c>
      <c r="S19" s="44">
        <f t="shared" si="4"/>
        <v>112.59785486471409</v>
      </c>
      <c r="T19" s="44">
        <f t="shared" si="5"/>
        <v>123.1041833933548</v>
      </c>
      <c r="U19" s="44"/>
      <c r="V19">
        <f t="shared" si="20"/>
        <v>2041</v>
      </c>
      <c r="W19" s="44">
        <f t="shared" si="6"/>
        <v>116.20197209802869</v>
      </c>
      <c r="X19" s="44">
        <f t="shared" si="7"/>
        <v>99.736371122214081</v>
      </c>
      <c r="Y19" s="44">
        <f t="shared" si="8"/>
        <v>107.86420160916704</v>
      </c>
      <c r="AA19">
        <f t="shared" si="22"/>
        <v>2026</v>
      </c>
      <c r="AB19">
        <f t="shared" si="17"/>
        <v>5</v>
      </c>
      <c r="AC19" s="271">
        <f t="shared" si="18"/>
        <v>46143</v>
      </c>
      <c r="AD19" s="44">
        <f>+L19*VLOOKUP($AB19,'Peak Loads - 2022-2024'!$L$4:$M$15,2)</f>
        <v>47.771665039321988</v>
      </c>
      <c r="AE19" s="44">
        <f>+M19*VLOOKUP($AB19,'Peak Loads - 2022-2024'!$L$4:$M$15,2)</f>
        <v>45.342292917579783</v>
      </c>
      <c r="AF19" s="44">
        <f>+K19*VLOOKUP($AB19,'Peak Loads - 2022-2024'!$L$4:$M$15,2)</f>
        <v>47.251167648541937</v>
      </c>
      <c r="AG19" s="44"/>
      <c r="AH19">
        <f t="shared" si="21"/>
        <v>2041</v>
      </c>
      <c r="AI19" s="44">
        <f t="shared" ca="1" si="9"/>
        <v>87.347094381172226</v>
      </c>
      <c r="AJ19" s="44">
        <f t="shared" ca="1" si="10"/>
        <v>72.708168368929961</v>
      </c>
      <c r="AK19" s="44">
        <f t="shared" ca="1" si="11"/>
        <v>79.486663992283283</v>
      </c>
      <c r="AL19" s="44"/>
      <c r="AM19" s="44"/>
    </row>
    <row r="20" spans="5:39" x14ac:dyDescent="0.2">
      <c r="E20" s="175"/>
      <c r="H20">
        <f t="shared" si="14"/>
        <v>2026</v>
      </c>
      <c r="I20">
        <f t="shared" si="1"/>
        <v>6</v>
      </c>
      <c r="J20" s="268">
        <v>46174</v>
      </c>
      <c r="K20" s="44">
        <f>+SUMIFS('Monthly Energy Data'!AE$8:AE$595,'Monthly Energy Data'!$D$8:$D$595,'Peak Load Projections'!$H20,'Monthly Energy Data'!$E$8:$E$595,'Peak Load Projections'!$I20)*VLOOKUP($I20,$A$3:$E$14,5)</f>
        <v>81.359922706871927</v>
      </c>
      <c r="L20" s="44">
        <f>+SUMIFS('Monthly Energy Data'!AF$8:AF$595,'Monthly Energy Data'!$D$8:$D$595,'Peak Load Projections'!$H20,'Monthly Energy Data'!$E$8:$E$595,'Peak Load Projections'!$I20)*VLOOKUP($I20,$A$3:$E$14,5)</f>
        <v>82.429635941500734</v>
      </c>
      <c r="M20" s="44">
        <f>+SUMIFS('Monthly Energy Data'!AG$8:AG$595,'Monthly Energy Data'!$D$8:$D$595,'Peak Load Projections'!$H20,'Monthly Energy Data'!$E$8:$E$595,'Peak Load Projections'!$I20)*VLOOKUP($I20,$A$3:$E$14,5)</f>
        <v>78.091409922462432</v>
      </c>
      <c r="N20" s="44">
        <f t="shared" si="15"/>
        <v>80.260522931981583</v>
      </c>
      <c r="O20" s="269" t="str">
        <f t="shared" si="2"/>
        <v>S</v>
      </c>
      <c r="Q20">
        <f t="shared" si="19"/>
        <v>2042</v>
      </c>
      <c r="R20" s="44">
        <f t="shared" si="3"/>
        <v>141.82887342910729</v>
      </c>
      <c r="S20" s="44">
        <f t="shared" si="4"/>
        <v>114.11783043283722</v>
      </c>
      <c r="T20" s="44">
        <f t="shared" si="5"/>
        <v>123.70400757674577</v>
      </c>
      <c r="U20" s="44"/>
      <c r="V20">
        <f t="shared" si="20"/>
        <v>2042</v>
      </c>
      <c r="W20" s="44">
        <f t="shared" si="6"/>
        <v>117.45155069035449</v>
      </c>
      <c r="X20" s="44">
        <f t="shared" si="7"/>
        <v>100.45885269481431</v>
      </c>
      <c r="Y20" s="44">
        <f t="shared" si="8"/>
        <v>107.94868964826769</v>
      </c>
      <c r="AA20">
        <f t="shared" si="22"/>
        <v>2026</v>
      </c>
      <c r="AB20">
        <f t="shared" si="17"/>
        <v>6</v>
      </c>
      <c r="AC20" s="271">
        <f t="shared" si="18"/>
        <v>46174</v>
      </c>
      <c r="AD20" s="44">
        <f>+L20*VLOOKUP($AB20,'Peak Loads - 2022-2024'!$L$4:$M$15,2)</f>
        <v>70.061625703091082</v>
      </c>
      <c r="AE20" s="44">
        <f>+M20*VLOOKUP($AB20,'Peak Loads - 2022-2024'!$L$4:$M$15,2)</f>
        <v>66.374321202838559</v>
      </c>
      <c r="AF20" s="44">
        <f>+K20*VLOOKUP($AB20,'Peak Loads - 2022-2024'!$L$4:$M$15,2)</f>
        <v>69.152415715709907</v>
      </c>
      <c r="AG20" s="44"/>
      <c r="AH20">
        <f t="shared" si="21"/>
        <v>2042</v>
      </c>
      <c r="AI20" s="44">
        <f t="shared" ca="1" si="9"/>
        <v>88.410908656591531</v>
      </c>
      <c r="AJ20" s="44">
        <f t="shared" ca="1" si="10"/>
        <v>73.36360320746563</v>
      </c>
      <c r="AK20" s="44">
        <f t="shared" ca="1" si="11"/>
        <v>79.58507292864644</v>
      </c>
      <c r="AL20" s="44"/>
      <c r="AM20" s="44"/>
    </row>
    <row r="21" spans="5:39" x14ac:dyDescent="0.2">
      <c r="E21" s="175"/>
      <c r="H21">
        <f t="shared" si="14"/>
        <v>2026</v>
      </c>
      <c r="I21">
        <f t="shared" si="1"/>
        <v>7</v>
      </c>
      <c r="J21" s="268">
        <v>46204</v>
      </c>
      <c r="K21" s="44">
        <f>+SUMIFS('Monthly Energy Data'!AE$8:AE$595,'Monthly Energy Data'!$D$8:$D$595,'Peak Load Projections'!$H21,'Monthly Energy Data'!$E$8:$E$595,'Peak Load Projections'!$I21)*VLOOKUP($I21,$A$3:$E$14,5)</f>
        <v>83.93656611686886</v>
      </c>
      <c r="L21" s="44">
        <f>+SUMIFS('Monthly Energy Data'!AF$8:AF$595,'Monthly Energy Data'!$D$8:$D$595,'Peak Load Projections'!$H21,'Monthly Energy Data'!$E$8:$E$595,'Peak Load Projections'!$I21)*VLOOKUP($I21,$A$3:$E$14,5)</f>
        <v>85.768949448675556</v>
      </c>
      <c r="M21" s="44">
        <f>+SUMIFS('Monthly Energy Data'!AG$8:AG$595,'Monthly Energy Data'!$D$8:$D$595,'Peak Load Projections'!$H21,'Monthly Energy Data'!$E$8:$E$595,'Peak Load Projections'!$I21)*VLOOKUP($I21,$A$3:$E$14,5)</f>
        <v>80.625177060194162</v>
      </c>
      <c r="N21" s="44">
        <f t="shared" si="15"/>
        <v>83.197063254434852</v>
      </c>
      <c r="O21" s="269" t="str">
        <f t="shared" si="2"/>
        <v>S</v>
      </c>
      <c r="Q21">
        <f t="shared" si="19"/>
        <v>2043</v>
      </c>
      <c r="R21" s="44">
        <f t="shared" si="3"/>
        <v>143.67390510537928</v>
      </c>
      <c r="S21" s="44">
        <f t="shared" si="4"/>
        <v>115.44927980482262</v>
      </c>
      <c r="T21" s="44">
        <f t="shared" si="5"/>
        <v>123.87125944037176</v>
      </c>
      <c r="U21" s="44"/>
      <c r="V21">
        <f t="shared" si="20"/>
        <v>2043</v>
      </c>
      <c r="W21" s="44">
        <f t="shared" si="6"/>
        <v>118.64985812324305</v>
      </c>
      <c r="X21" s="44">
        <f t="shared" si="7"/>
        <v>101.00832767936544</v>
      </c>
      <c r="Y21" s="44">
        <f t="shared" si="8"/>
        <v>107.82006192090559</v>
      </c>
      <c r="AA21">
        <f t="shared" si="22"/>
        <v>2026</v>
      </c>
      <c r="AB21">
        <f t="shared" si="17"/>
        <v>7</v>
      </c>
      <c r="AC21" s="271">
        <f t="shared" si="18"/>
        <v>46204</v>
      </c>
      <c r="AD21" s="44">
        <f>+L21*VLOOKUP($AB21,'Peak Loads - 2022-2024'!$L$4:$M$15,2)</f>
        <v>61.530850150598638</v>
      </c>
      <c r="AE21" s="44">
        <f>+M21*VLOOKUP($AB21,'Peak Loads - 2022-2024'!$L$4:$M$15,2)</f>
        <v>57.840695495809136</v>
      </c>
      <c r="AF21" s="44">
        <f>+K21*VLOOKUP($AB21,'Peak Loads - 2022-2024'!$L$4:$M$15,2)</f>
        <v>60.216293951267772</v>
      </c>
      <c r="AG21" s="44"/>
      <c r="AH21">
        <f t="shared" si="21"/>
        <v>2043</v>
      </c>
      <c r="AI21" s="44">
        <f t="shared" ca="1" si="9"/>
        <v>89.431445967424068</v>
      </c>
      <c r="AJ21" s="44">
        <f t="shared" ca="1" si="10"/>
        <v>73.879370318232517</v>
      </c>
      <c r="AK21" s="44">
        <f t="shared" ca="1" si="11"/>
        <v>79.493597802716053</v>
      </c>
      <c r="AL21" s="44"/>
      <c r="AM21" s="44"/>
    </row>
    <row r="22" spans="5:39" x14ac:dyDescent="0.2">
      <c r="E22" s="175"/>
      <c r="H22">
        <f t="shared" si="14"/>
        <v>2026</v>
      </c>
      <c r="I22">
        <f t="shared" si="1"/>
        <v>8</v>
      </c>
      <c r="J22" s="268">
        <v>46235</v>
      </c>
      <c r="K22" s="44">
        <f>+SUMIFS('Monthly Energy Data'!AE$8:AE$595,'Monthly Energy Data'!$D$8:$D$595,'Peak Load Projections'!$H22,'Monthly Energy Data'!$E$8:$E$595,'Peak Load Projections'!$I22)*VLOOKUP($I22,$A$3:$E$14,5)</f>
        <v>82.763232618228315</v>
      </c>
      <c r="L22" s="44">
        <f>+SUMIFS('Monthly Energy Data'!AF$8:AF$595,'Monthly Energy Data'!$D$8:$D$595,'Peak Load Projections'!$H22,'Monthly Energy Data'!$E$8:$E$595,'Peak Load Projections'!$I22)*VLOOKUP($I22,$A$3:$E$14,5)</f>
        <v>84.123075299553804</v>
      </c>
      <c r="M22" s="44">
        <f>+SUMIFS('Monthly Energy Data'!AG$8:AG$595,'Monthly Energy Data'!$D$8:$D$595,'Peak Load Projections'!$H22,'Monthly Energy Data'!$E$8:$E$595,'Peak Load Projections'!$I22)*VLOOKUP($I22,$A$3:$E$14,5)</f>
        <v>79.415398188524875</v>
      </c>
      <c r="N22" s="44">
        <f t="shared" si="15"/>
        <v>81.769236744039347</v>
      </c>
      <c r="O22" s="269" t="str">
        <f t="shared" si="2"/>
        <v>S</v>
      </c>
      <c r="Q22">
        <f t="shared" si="19"/>
        <v>2044</v>
      </c>
      <c r="R22" s="44">
        <f t="shared" si="3"/>
        <v>145.51516973151581</v>
      </c>
      <c r="S22" s="44">
        <f t="shared" si="4"/>
        <v>116.59221122713468</v>
      </c>
      <c r="T22" s="44">
        <f t="shared" si="5"/>
        <v>123.91124725677861</v>
      </c>
      <c r="U22" s="44"/>
      <c r="V22">
        <f t="shared" si="20"/>
        <v>2044</v>
      </c>
      <c r="W22" s="44">
        <f t="shared" si="6"/>
        <v>119.85832384658669</v>
      </c>
      <c r="X22" s="44">
        <f t="shared" si="7"/>
        <v>101.44638566740973</v>
      </c>
      <c r="Y22" s="44">
        <f t="shared" si="8"/>
        <v>107.66585196321925</v>
      </c>
      <c r="AA22">
        <f t="shared" si="22"/>
        <v>2026</v>
      </c>
      <c r="AB22">
        <f t="shared" si="17"/>
        <v>8</v>
      </c>
      <c r="AC22" s="271">
        <f t="shared" si="18"/>
        <v>46235</v>
      </c>
      <c r="AD22" s="44">
        <f>+L22*VLOOKUP($AB22,'Peak Loads - 2022-2024'!$L$4:$M$15,2)</f>
        <v>60.165808149409258</v>
      </c>
      <c r="AE22" s="44">
        <f>+M22*VLOOKUP($AB22,'Peak Loads - 2022-2024'!$L$4:$M$15,2)</f>
        <v>56.79882237430607</v>
      </c>
      <c r="AF22" s="44">
        <f>+K22*VLOOKUP($AB22,'Peak Loads - 2022-2024'!$L$4:$M$15,2)</f>
        <v>59.193232746207826</v>
      </c>
      <c r="AG22" s="44"/>
      <c r="AH22">
        <f t="shared" si="21"/>
        <v>2044</v>
      </c>
      <c r="AI22" s="44">
        <f t="shared" ca="1" si="9"/>
        <v>90.45749274790802</v>
      </c>
      <c r="AJ22" s="44">
        <f t="shared" ca="1" si="10"/>
        <v>74.297267508824689</v>
      </c>
      <c r="AK22" s="44">
        <f t="shared" ca="1" si="11"/>
        <v>79.371923873424308</v>
      </c>
      <c r="AL22" s="44"/>
      <c r="AM22" s="44"/>
    </row>
    <row r="23" spans="5:39" x14ac:dyDescent="0.2">
      <c r="E23" s="175"/>
      <c r="H23">
        <f t="shared" si="14"/>
        <v>2026</v>
      </c>
      <c r="I23">
        <f t="shared" si="1"/>
        <v>9</v>
      </c>
      <c r="J23" s="268">
        <v>46266</v>
      </c>
      <c r="K23" s="44">
        <f>+SUMIFS('Monthly Energy Data'!AE$8:AE$595,'Monthly Energy Data'!$D$8:$D$595,'Peak Load Projections'!$H23,'Monthly Energy Data'!$E$8:$E$595,'Peak Load Projections'!$I23)*VLOOKUP($I23,$A$3:$E$14,5)</f>
        <v>69.758721810786668</v>
      </c>
      <c r="L23" s="44">
        <f>+SUMIFS('Monthly Energy Data'!AF$8:AF$595,'Monthly Energy Data'!$D$8:$D$595,'Peak Load Projections'!$H23,'Monthly Energy Data'!$E$8:$E$595,'Peak Load Projections'!$I23)*VLOOKUP($I23,$A$3:$E$14,5)</f>
        <v>70.646831895965093</v>
      </c>
      <c r="M23" s="44">
        <f>+SUMIFS('Monthly Energy Data'!AG$8:AG$595,'Monthly Energy Data'!$D$8:$D$595,'Peak Load Projections'!$H23,'Monthly Energy Data'!$E$8:$E$595,'Peak Load Projections'!$I23)*VLOOKUP($I23,$A$3:$E$14,5)</f>
        <v>66.560623087780598</v>
      </c>
      <c r="N23" s="44">
        <f t="shared" si="15"/>
        <v>68.603727491872846</v>
      </c>
      <c r="O23" s="269" t="str">
        <f t="shared" si="2"/>
        <v>S</v>
      </c>
      <c r="Q23">
        <f t="shared" si="19"/>
        <v>2045</v>
      </c>
      <c r="R23" s="44">
        <f t="shared" si="3"/>
        <v>147.354029019547</v>
      </c>
      <c r="S23" s="44">
        <f t="shared" si="4"/>
        <v>117.62130424613235</v>
      </c>
      <c r="T23" s="44">
        <f t="shared" si="5"/>
        <v>123.94859933209833</v>
      </c>
      <c r="U23" s="44"/>
      <c r="V23">
        <f t="shared" si="20"/>
        <v>2045</v>
      </c>
      <c r="W23" s="44">
        <f t="shared" si="6"/>
        <v>121.05409812309117</v>
      </c>
      <c r="X23" s="44">
        <f t="shared" si="7"/>
        <v>101.79233763215329</v>
      </c>
      <c r="Y23" s="44">
        <f t="shared" si="8"/>
        <v>107.49884137967162</v>
      </c>
      <c r="AA23">
        <f t="shared" si="22"/>
        <v>2026</v>
      </c>
      <c r="AB23">
        <f t="shared" si="17"/>
        <v>9</v>
      </c>
      <c r="AC23" s="271">
        <f t="shared" si="18"/>
        <v>46266</v>
      </c>
      <c r="AD23" s="44">
        <f>+L23*VLOOKUP($AB23,'Peak Loads - 2022-2024'!$L$4:$M$15,2)</f>
        <v>50.522550865141525</v>
      </c>
      <c r="AE23" s="44">
        <f>+M23*VLOOKUP($AB23,'Peak Loads - 2022-2024'!$L$4:$M$15,2)</f>
        <v>47.600329346969225</v>
      </c>
      <c r="AF23" s="44">
        <f>+K23*VLOOKUP($AB23,'Peak Loads - 2022-2024'!$L$4:$M$15,2)</f>
        <v>49.887425612556278</v>
      </c>
      <c r="AG23" s="44"/>
      <c r="AH23">
        <f t="shared" si="21"/>
        <v>2045</v>
      </c>
      <c r="AI23" s="44">
        <f t="shared" ca="1" si="9"/>
        <v>91.481468942140467</v>
      </c>
      <c r="AJ23" s="44">
        <f t="shared" ca="1" si="10"/>
        <v>74.646281441354446</v>
      </c>
      <c r="AK23" s="44">
        <f t="shared" ca="1" si="11"/>
        <v>79.248081526101544</v>
      </c>
      <c r="AL23" s="44"/>
      <c r="AM23" s="44"/>
    </row>
    <row r="24" spans="5:39" x14ac:dyDescent="0.2">
      <c r="E24" s="175"/>
      <c r="H24">
        <f t="shared" si="14"/>
        <v>2026</v>
      </c>
      <c r="I24">
        <f t="shared" si="1"/>
        <v>10</v>
      </c>
      <c r="J24" s="268">
        <v>46296</v>
      </c>
      <c r="K24" s="44">
        <f>+SUMIFS('Monthly Energy Data'!AE$8:AE$595,'Monthly Energy Data'!$D$8:$D$595,'Peak Load Projections'!$H24,'Monthly Energy Data'!$E$8:$E$595,'Peak Load Projections'!$I24)*VLOOKUP($I24,$A$3:$E$14,5)</f>
        <v>67.11651747822151</v>
      </c>
      <c r="L24" s="44">
        <f>+SUMIFS('Monthly Energy Data'!AF$8:AF$595,'Monthly Energy Data'!$D$8:$D$595,'Peak Load Projections'!$H24,'Monthly Energy Data'!$E$8:$E$595,'Peak Load Projections'!$I24)*VLOOKUP($I24,$A$3:$E$14,5)</f>
        <v>68.694805554703947</v>
      </c>
      <c r="M24" s="44">
        <f>+SUMIFS('Monthly Energy Data'!AG$8:AG$595,'Monthly Energy Data'!$D$8:$D$595,'Peak Load Projections'!$H24,'Monthly Energy Data'!$E$8:$E$595,'Peak Load Projections'!$I24)*VLOOKUP($I24,$A$3:$E$14,5)</f>
        <v>63.869427498049532</v>
      </c>
      <c r="N24" s="44">
        <f t="shared" si="15"/>
        <v>66.28211652637674</v>
      </c>
      <c r="O24" s="269" t="str">
        <f t="shared" si="2"/>
        <v>W</v>
      </c>
      <c r="Q24">
        <f t="shared" si="19"/>
        <v>2046</v>
      </c>
      <c r="R24" s="44">
        <f t="shared" si="3"/>
        <v>-9.0222693316725749E-2</v>
      </c>
      <c r="S24" s="44">
        <f t="shared" si="4"/>
        <v>-9.0222693316725749E-2</v>
      </c>
      <c r="T24" s="44">
        <f t="shared" si="5"/>
        <v>-9.0222693316725749E-2</v>
      </c>
      <c r="U24" s="44"/>
      <c r="V24">
        <f t="shared" si="20"/>
        <v>2046</v>
      </c>
      <c r="W24" s="44">
        <f t="shared" si="6"/>
        <v>-0.5217011995805495</v>
      </c>
      <c r="X24" s="44">
        <f t="shared" si="7"/>
        <v>-0.5217011995805495</v>
      </c>
      <c r="Y24" s="44">
        <f t="shared" si="8"/>
        <v>-0.5217011995805495</v>
      </c>
      <c r="AA24">
        <f t="shared" si="22"/>
        <v>2026</v>
      </c>
      <c r="AB24">
        <f t="shared" si="17"/>
        <v>10</v>
      </c>
      <c r="AC24" s="271">
        <f t="shared" si="18"/>
        <v>46296</v>
      </c>
      <c r="AD24" s="44">
        <f>+L24*VLOOKUP($AB24,'Peak Loads - 2022-2024'!$L$4:$M$15,2)</f>
        <v>47.717612911873687</v>
      </c>
      <c r="AE24" s="44">
        <f>+M24*VLOOKUP($AB24,'Peak Loads - 2022-2024'!$L$4:$M$15,2)</f>
        <v>44.365750709170094</v>
      </c>
      <c r="AF24" s="44">
        <f>+K24*VLOOKUP($AB24,'Peak Loads - 2022-2024'!$L$4:$M$15,2)</f>
        <v>46.621283445782673</v>
      </c>
      <c r="AG24" s="44"/>
    </row>
    <row r="25" spans="5:39" x14ac:dyDescent="0.2">
      <c r="E25" s="175"/>
      <c r="H25">
        <f t="shared" si="14"/>
        <v>2026</v>
      </c>
      <c r="I25">
        <f t="shared" si="1"/>
        <v>11</v>
      </c>
      <c r="J25" s="268">
        <v>46327</v>
      </c>
      <c r="K25" s="44">
        <f>+SUMIFS('Monthly Energy Data'!AE$8:AE$595,'Monthly Energy Data'!$D$8:$D$595,'Peak Load Projections'!$H25,'Monthly Energy Data'!$E$8:$E$595,'Peak Load Projections'!$I25)*VLOOKUP($I25,$A$3:$E$14,5)</f>
        <v>78.00847630774885</v>
      </c>
      <c r="L25" s="44">
        <f>+SUMIFS('Monthly Energy Data'!AF$8:AF$595,'Monthly Energy Data'!$D$8:$D$595,'Peak Load Projections'!$H25,'Monthly Energy Data'!$E$8:$E$595,'Peak Load Projections'!$I25)*VLOOKUP($I25,$A$3:$E$14,5)</f>
        <v>82.325755388156708</v>
      </c>
      <c r="M25" s="44">
        <f>+SUMIFS('Monthly Energy Data'!AG$8:AG$595,'Monthly Energy Data'!$D$8:$D$595,'Peak Load Projections'!$H25,'Monthly Energy Data'!$E$8:$E$595,'Peak Load Projections'!$I25)*VLOOKUP($I25,$A$3:$E$14,5)</f>
        <v>73.137074904364937</v>
      </c>
      <c r="N25" s="44">
        <f t="shared" si="15"/>
        <v>77.731415146260815</v>
      </c>
      <c r="O25" s="269" t="str">
        <f t="shared" si="2"/>
        <v>W</v>
      </c>
      <c r="AA25">
        <f t="shared" si="22"/>
        <v>2026</v>
      </c>
      <c r="AB25">
        <f t="shared" si="17"/>
        <v>11</v>
      </c>
      <c r="AC25" s="271">
        <f t="shared" si="18"/>
        <v>46327</v>
      </c>
      <c r="AD25" s="44">
        <f>+L25*VLOOKUP($AB25,'Peak Loads - 2022-2024'!$L$4:$M$15,2)</f>
        <v>58.553912440579417</v>
      </c>
      <c r="AE25" s="44">
        <f>+M25*VLOOKUP($AB25,'Peak Loads - 2022-2024'!$L$4:$M$15,2)</f>
        <v>52.018494818771536</v>
      </c>
      <c r="AF25" s="44">
        <f>+K25*VLOOKUP($AB25,'Peak Loads - 2022-2024'!$L$4:$M$15,2)</f>
        <v>55.483262434832696</v>
      </c>
      <c r="AG25" s="44"/>
    </row>
    <row r="26" spans="5:39" x14ac:dyDescent="0.2">
      <c r="E26" s="175"/>
      <c r="H26">
        <f t="shared" si="14"/>
        <v>2026</v>
      </c>
      <c r="I26">
        <f t="shared" si="1"/>
        <v>12</v>
      </c>
      <c r="J26" s="268">
        <v>46357</v>
      </c>
      <c r="K26" s="44">
        <f>+SUMIFS('Monthly Energy Data'!AE$8:AE$595,'Monthly Energy Data'!$D$8:$D$595,'Peak Load Projections'!$H26,'Monthly Energy Data'!$E$8:$E$595,'Peak Load Projections'!$I26)*VLOOKUP($I26,$A$3:$E$14,5)</f>
        <v>85.70968897337022</v>
      </c>
      <c r="L26" s="44">
        <f>+SUMIFS('Monthly Energy Data'!AF$8:AF$595,'Monthly Energy Data'!$D$8:$D$595,'Peak Load Projections'!$H26,'Monthly Energy Data'!$E$8:$E$595,'Peak Load Projections'!$I26)*VLOOKUP($I26,$A$3:$E$14,5)</f>
        <v>89.794367066893244</v>
      </c>
      <c r="M26" s="44">
        <f>+SUMIFS('Monthly Energy Data'!AG$8:AG$595,'Monthly Energy Data'!$D$8:$D$595,'Peak Load Projections'!$H26,'Monthly Energy Data'!$E$8:$E$595,'Peak Load Projections'!$I26)*VLOOKUP($I26,$A$3:$E$14,5)</f>
        <v>80.465568736040694</v>
      </c>
      <c r="N26" s="44">
        <f t="shared" si="15"/>
        <v>85.129967901466969</v>
      </c>
      <c r="O26" s="269" t="str">
        <f t="shared" si="2"/>
        <v>W</v>
      </c>
      <c r="Q26" s="61" t="s">
        <v>444</v>
      </c>
      <c r="R26" s="68">
        <f>+(R23/R4)^(1/($Q23-$Q4))-1</f>
        <v>2.6412028081288952E-2</v>
      </c>
      <c r="S26" s="68">
        <f t="shared" ref="S26:T26" si="23">+(S23/S4)^(1/($Q23-$Q4))-1</f>
        <v>1.9731944835110982E-2</v>
      </c>
      <c r="T26" s="68">
        <f t="shared" si="23"/>
        <v>1.9605559797177596E-2</v>
      </c>
      <c r="V26" t="str">
        <f>+Q26</f>
        <v>2026-2045 CAGR</v>
      </c>
      <c r="W26" s="68">
        <f>+(W23/W4)^(1/($V23-$V4))-1</f>
        <v>1.8301267914868857E-2</v>
      </c>
      <c r="X26" s="68">
        <f t="shared" ref="X26:Y26" si="24">+(X23/X4)^(1/($V23-$V4))-1</f>
        <v>1.2345258195828324E-2</v>
      </c>
      <c r="Y26" s="68">
        <f t="shared" si="24"/>
        <v>1.3107193935958383E-2</v>
      </c>
      <c r="AA26">
        <f t="shared" si="22"/>
        <v>2026</v>
      </c>
      <c r="AB26">
        <f t="shared" si="17"/>
        <v>12</v>
      </c>
      <c r="AC26" s="271">
        <f t="shared" si="18"/>
        <v>46357</v>
      </c>
      <c r="AD26" s="44">
        <f>+L26*VLOOKUP($AB26,'Peak Loads - 2022-2024'!$L$4:$M$15,2)</f>
        <v>76.929591276466041</v>
      </c>
      <c r="AE26" s="44">
        <f>+M26*VLOOKUP($AB26,'Peak Loads - 2022-2024'!$L$4:$M$15,2)</f>
        <v>68.937323318739502</v>
      </c>
      <c r="AF26" s="44">
        <f>+K26*VLOOKUP($AB26,'Peak Loads - 2022-2024'!$L$4:$M$15,2)</f>
        <v>73.430122139425734</v>
      </c>
      <c r="AG26" s="44"/>
      <c r="AH26" t="str">
        <f>+V26</f>
        <v>2026-2045 CAGR</v>
      </c>
      <c r="AI26" s="68">
        <f ca="1">+(AI23/AI4)^(1/($V23-$V4))-1</f>
        <v>2.189251432024153E-2</v>
      </c>
      <c r="AJ26" s="68">
        <f t="shared" ref="AJ26" ca="1" si="25">+(AJ23/AJ4)^(1/($V23-$V4))-1</f>
        <v>1.5251314875578847E-2</v>
      </c>
      <c r="AK26" s="68">
        <f ca="1">+(AK23/AK4)^(1/($AH23-$AH4))-1</f>
        <v>1.5851645359526545E-2</v>
      </c>
    </row>
    <row r="27" spans="5:39" x14ac:dyDescent="0.2">
      <c r="E27" s="175"/>
      <c r="H27">
        <f t="shared" si="14"/>
        <v>2027</v>
      </c>
      <c r="I27">
        <f t="shared" si="1"/>
        <v>1</v>
      </c>
      <c r="J27" s="268">
        <v>46388</v>
      </c>
      <c r="K27" s="44">
        <f>+SUMIFS('Monthly Energy Data'!AE$8:AE$595,'Monthly Energy Data'!$D$8:$D$595,'Peak Load Projections'!$H27,'Monthly Energy Data'!$E$8:$E$595,'Peak Load Projections'!$I27)*VLOOKUP($I27,$A$3:$E$14,5)</f>
        <v>87.687595100811151</v>
      </c>
      <c r="L27" s="44">
        <f>+SUMIFS('Monthly Energy Data'!AF$8:AF$595,'Monthly Energy Data'!$D$8:$D$595,'Peak Load Projections'!$H27,'Monthly Energy Data'!$E$8:$E$595,'Peak Load Projections'!$I27)*VLOOKUP($I27,$A$3:$E$14,5)</f>
        <v>92.251181082667301</v>
      </c>
      <c r="M27" s="44">
        <f>+SUMIFS('Monthly Energy Data'!AG$8:AG$595,'Monthly Energy Data'!$D$8:$D$595,'Peak Load Projections'!$H27,'Monthly Energy Data'!$E$8:$E$595,'Peak Load Projections'!$I27)*VLOOKUP($I27,$A$3:$E$14,5)</f>
        <v>82.196373144141333</v>
      </c>
      <c r="N27" s="44">
        <f t="shared" si="15"/>
        <v>87.22377711340431</v>
      </c>
      <c r="O27" s="269" t="str">
        <f t="shared" si="2"/>
        <v>W</v>
      </c>
      <c r="Q27" s="61" t="s">
        <v>445</v>
      </c>
      <c r="R27" s="68">
        <f>+(R8/R4)^(1/($Q8-$Q4))-1</f>
        <v>3.0222297564297174E-2</v>
      </c>
      <c r="S27" s="68">
        <f t="shared" ref="S27:T27" si="26">+(S8/S4)^(1/($Q8-$Q4))-1</f>
        <v>1.6386448297073919E-2</v>
      </c>
      <c r="T27" s="68">
        <f t="shared" si="26"/>
        <v>3.4966080308366454E-2</v>
      </c>
      <c r="V27" t="str">
        <f>+Q27</f>
        <v>2026-2030 CAGR</v>
      </c>
      <c r="W27" s="68">
        <f>+(W8/W4)^(1/($V8-$V4))-1</f>
        <v>1.8560635438279016E-2</v>
      </c>
      <c r="X27" s="68">
        <f t="shared" ref="X27:Y27" si="27">+(X8/X4)^(1/($V8-$V4))-1</f>
        <v>8.9425832626777169E-3</v>
      </c>
      <c r="Y27" s="68">
        <f t="shared" si="27"/>
        <v>2.3104239670468374E-2</v>
      </c>
      <c r="AA27">
        <f t="shared" si="22"/>
        <v>2027</v>
      </c>
      <c r="AB27">
        <f t="shared" si="17"/>
        <v>1</v>
      </c>
      <c r="AC27" s="271">
        <f t="shared" si="18"/>
        <v>46388</v>
      </c>
      <c r="AD27" s="44">
        <f>+L27*VLOOKUP($AB27,'Peak Loads - 2022-2024'!$L$4:$M$15,2)</f>
        <v>81.625441354269839</v>
      </c>
      <c r="AE27" s="44">
        <f>+M27*VLOOKUP($AB27,'Peak Loads - 2022-2024'!$L$4:$M$15,2)</f>
        <v>72.728773299915773</v>
      </c>
      <c r="AF27" s="44">
        <f>+K27*VLOOKUP($AB27,'Peak Loads - 2022-2024'!$L$4:$M$15,2)</f>
        <v>77.587501508346762</v>
      </c>
      <c r="AG27" s="44"/>
      <c r="AH27" t="str">
        <f t="shared" ref="AH27:AH30" si="28">+V27</f>
        <v>2026-2030 CAGR</v>
      </c>
      <c r="AI27" s="68">
        <f ca="1">+(AI8/AI4)^(1/($V8-$V4))-1</f>
        <v>2.338451595498503E-2</v>
      </c>
      <c r="AJ27" s="68">
        <f t="shared" ref="AJ27:AK27" ca="1" si="29">+(AJ8/AJ4)^(1/($V8-$V4))-1</f>
        <v>1.1728130653809066E-2</v>
      </c>
      <c r="AK27" s="68">
        <f t="shared" ca="1" si="29"/>
        <v>2.8355681661645482E-2</v>
      </c>
    </row>
    <row r="28" spans="5:39" x14ac:dyDescent="0.2">
      <c r="E28" s="175"/>
      <c r="H28">
        <f t="shared" si="14"/>
        <v>2027</v>
      </c>
      <c r="I28">
        <f t="shared" si="1"/>
        <v>2</v>
      </c>
      <c r="J28" s="268">
        <v>46419</v>
      </c>
      <c r="K28" s="44">
        <f>+SUMIFS('Monthly Energy Data'!AE$8:AE$595,'Monthly Energy Data'!$D$8:$D$595,'Peak Load Projections'!$H28,'Monthly Energy Data'!$E$8:$E$595,'Peak Load Projections'!$I28)*VLOOKUP($I28,$A$3:$E$14,5)</f>
        <v>83.286261211699383</v>
      </c>
      <c r="L28" s="44">
        <f>+SUMIFS('Monthly Energy Data'!AF$8:AF$595,'Monthly Energy Data'!$D$8:$D$595,'Peak Load Projections'!$H28,'Monthly Energy Data'!$E$8:$E$595,'Peak Load Projections'!$I28)*VLOOKUP($I28,$A$3:$E$14,5)</f>
        <v>86.866191740316367</v>
      </c>
      <c r="M28" s="44">
        <f>+SUMIFS('Monthly Energy Data'!AG$8:AG$595,'Monthly Energy Data'!$D$8:$D$595,'Peak Load Projections'!$H28,'Monthly Energy Data'!$E$8:$E$595,'Peak Load Projections'!$I28)*VLOOKUP($I28,$A$3:$E$14,5)</f>
        <v>77.768795308011761</v>
      </c>
      <c r="N28" s="44">
        <f t="shared" si="15"/>
        <v>82.317493524164064</v>
      </c>
      <c r="O28" s="269" t="str">
        <f t="shared" si="2"/>
        <v>W</v>
      </c>
      <c r="Q28" s="61" t="s">
        <v>447</v>
      </c>
      <c r="R28" s="68">
        <f>+(R13/R8)^(1/($Q13-$Q8))-1</f>
        <v>3.3631233073912137E-2</v>
      </c>
      <c r="S28" s="23">
        <f t="shared" ref="S28:T28" si="30">+(S13/S8)^(1/($Q13-$Q8))-1</f>
        <v>2.5805285212788576E-2</v>
      </c>
      <c r="T28" s="68">
        <f t="shared" si="30"/>
        <v>3.0425675196588564E-2</v>
      </c>
      <c r="V28" t="str">
        <f>+Q28</f>
        <v>2030-2035 CAGR</v>
      </c>
      <c r="W28" s="68">
        <f>+(W13/W8)^(1/($V13-$V8))-1</f>
        <v>2.3634269391183738E-2</v>
      </c>
      <c r="X28" s="68">
        <f t="shared" ref="X28:Y28" si="31">+(X13/X8)^(1/($V13-$V8))-1</f>
        <v>1.7517414742402648E-2</v>
      </c>
      <c r="Y28" s="68">
        <f t="shared" si="31"/>
        <v>2.319516003278066E-2</v>
      </c>
      <c r="AA28">
        <f t="shared" si="22"/>
        <v>2027</v>
      </c>
      <c r="AB28">
        <f t="shared" si="17"/>
        <v>2</v>
      </c>
      <c r="AC28" s="271">
        <f t="shared" si="18"/>
        <v>46419</v>
      </c>
      <c r="AD28" s="44">
        <f>+L28*VLOOKUP($AB28,'Peak Loads - 2022-2024'!$L$4:$M$15,2)</f>
        <v>69.278097259085655</v>
      </c>
      <c r="AE28" s="44">
        <f>+M28*VLOOKUP($AB28,'Peak Loads - 2022-2024'!$L$4:$M$15,2)</f>
        <v>62.022681749150905</v>
      </c>
      <c r="AF28" s="44">
        <f>+K28*VLOOKUP($AB28,'Peak Loads - 2022-2024'!$L$4:$M$15,2)</f>
        <v>66.423007489711196</v>
      </c>
      <c r="AG28" s="44"/>
      <c r="AH28" t="str">
        <f t="shared" si="28"/>
        <v>2030-2035 CAGR</v>
      </c>
      <c r="AI28" s="68">
        <f ca="1">+(AI13/AI8)^(1/($V13-$V8))-1</f>
        <v>2.8396704813879792E-2</v>
      </c>
      <c r="AJ28" s="68">
        <f t="shared" ref="AJ28:AK28" ca="1" si="32">+(AJ13/AJ8)^(1/($V13-$V8))-1</f>
        <v>2.1372955773153013E-2</v>
      </c>
      <c r="AK28" s="68">
        <f t="shared" ca="1" si="32"/>
        <v>2.763491754176739E-2</v>
      </c>
    </row>
    <row r="29" spans="5:39" x14ac:dyDescent="0.2">
      <c r="E29" s="175"/>
      <c r="H29">
        <f t="shared" si="14"/>
        <v>2027</v>
      </c>
      <c r="I29">
        <f t="shared" si="1"/>
        <v>3</v>
      </c>
      <c r="J29" s="268">
        <v>46447</v>
      </c>
      <c r="K29" s="44">
        <f>+SUMIFS('Monthly Energy Data'!AE$8:AE$595,'Monthly Energy Data'!$D$8:$D$595,'Peak Load Projections'!$H29,'Monthly Energy Data'!$E$8:$E$595,'Peak Load Projections'!$I29)*VLOOKUP($I29,$A$3:$E$14,5)</f>
        <v>76.254721326083711</v>
      </c>
      <c r="L29" s="44">
        <f>+SUMIFS('Monthly Energy Data'!AF$8:AF$595,'Monthly Energy Data'!$D$8:$D$595,'Peak Load Projections'!$H29,'Monthly Energy Data'!$E$8:$E$595,'Peak Load Projections'!$I29)*VLOOKUP($I29,$A$3:$E$14,5)</f>
        <v>78.709212883640774</v>
      </c>
      <c r="M29" s="44">
        <f>+SUMIFS('Monthly Energy Data'!AG$8:AG$595,'Monthly Energy Data'!$D$8:$D$595,'Peak Load Projections'!$H29,'Monthly Energy Data'!$E$8:$E$595,'Peak Load Projections'!$I29)*VLOOKUP($I29,$A$3:$E$14,5)</f>
        <v>71.707069491001889</v>
      </c>
      <c r="N29" s="44">
        <f t="shared" si="15"/>
        <v>75.208141187321331</v>
      </c>
      <c r="O29" s="269" t="str">
        <f t="shared" si="2"/>
        <v>W</v>
      </c>
      <c r="Q29" s="61" t="s">
        <v>446</v>
      </c>
      <c r="R29" s="68">
        <f>+(R18/R13)^(1/($Q18-$Q13))-1</f>
        <v>2.879268869706153E-2</v>
      </c>
      <c r="S29" s="23">
        <f t="shared" ref="S29:T29" si="33">+(S18/S13)^(1/($Q18-$Q13))-1</f>
        <v>2.4156161807439513E-2</v>
      </c>
      <c r="T29" s="68">
        <f t="shared" si="33"/>
        <v>1.3797205435335247E-2</v>
      </c>
      <c r="V29" t="str">
        <f>+Q29</f>
        <v>2035-2040 CAGR</v>
      </c>
      <c r="W29" s="68">
        <f>+(W18/W13)^(1/($V18-$V13))-1</f>
        <v>2.0459909843321356E-2</v>
      </c>
      <c r="X29" s="68">
        <f t="shared" ref="X29:Y29" si="34">+(X18/X13)^(1/($V18-$V13))-1</f>
        <v>1.6400369885354982E-2</v>
      </c>
      <c r="Y29" s="68">
        <f t="shared" si="34"/>
        <v>8.4129728079576083E-3</v>
      </c>
      <c r="AA29">
        <f t="shared" si="22"/>
        <v>2027</v>
      </c>
      <c r="AB29">
        <f t="shared" si="17"/>
        <v>3</v>
      </c>
      <c r="AC29" s="271">
        <f t="shared" si="18"/>
        <v>46447</v>
      </c>
      <c r="AD29" s="44">
        <f>+L29*VLOOKUP($AB29,'Peak Loads - 2022-2024'!$L$4:$M$15,2)</f>
        <v>56.174276660505036</v>
      </c>
      <c r="AE29" s="44">
        <f>+M29*VLOOKUP($AB29,'Peak Loads - 2022-2024'!$L$4:$M$15,2)</f>
        <v>51.17689038583709</v>
      </c>
      <c r="AF29" s="44">
        <f>+K29*VLOOKUP($AB29,'Peak Loads - 2022-2024'!$L$4:$M$15,2)</f>
        <v>54.422521271730957</v>
      </c>
      <c r="AG29" s="44"/>
      <c r="AH29" t="str">
        <f t="shared" si="28"/>
        <v>2035-2040 CAGR</v>
      </c>
      <c r="AI29" s="68">
        <f ca="1">+(AI18/AI13)^(1/($V18-$V13))-1</f>
        <v>2.4051802653427323E-2</v>
      </c>
      <c r="AJ29" s="68">
        <f t="shared" ref="AJ29:AK29" ca="1" si="35">+(AJ18/AJ13)^(1/($V18-$V13))-1</f>
        <v>1.9746711694141661E-2</v>
      </c>
      <c r="AK29" s="68">
        <f t="shared" ca="1" si="35"/>
        <v>1.0057767653126826E-2</v>
      </c>
    </row>
    <row r="30" spans="5:39" x14ac:dyDescent="0.2">
      <c r="E30" s="175"/>
      <c r="H30">
        <f t="shared" si="14"/>
        <v>2027</v>
      </c>
      <c r="I30">
        <f t="shared" si="1"/>
        <v>4</v>
      </c>
      <c r="J30" s="268">
        <v>46478</v>
      </c>
      <c r="K30" s="44">
        <f>+SUMIFS('Monthly Energy Data'!AE$8:AE$595,'Monthly Energy Data'!$D$8:$D$595,'Peak Load Projections'!$H30,'Monthly Energy Data'!$E$8:$E$595,'Peak Load Projections'!$I30)*VLOOKUP($I30,$A$3:$E$14,5)</f>
        <v>74.944753755681404</v>
      </c>
      <c r="L30" s="44">
        <f>+SUMIFS('Monthly Energy Data'!AF$8:AF$595,'Monthly Energy Data'!$D$8:$D$595,'Peak Load Projections'!$H30,'Monthly Energy Data'!$E$8:$E$595,'Peak Load Projections'!$I30)*VLOOKUP($I30,$A$3:$E$14,5)</f>
        <v>76.323432069397811</v>
      </c>
      <c r="M30" s="44">
        <f>+SUMIFS('Monthly Energy Data'!AG$8:AG$595,'Monthly Energy Data'!$D$8:$D$595,'Peak Load Projections'!$H30,'Monthly Energy Data'!$E$8:$E$595,'Peak Load Projections'!$I30)*VLOOKUP($I30,$A$3:$E$14,5)</f>
        <v>70.235374756533901</v>
      </c>
      <c r="N30" s="44">
        <f t="shared" si="15"/>
        <v>73.279403412965848</v>
      </c>
      <c r="O30" s="269" t="str">
        <f t="shared" si="2"/>
        <v>W</v>
      </c>
      <c r="Q30" s="61" t="s">
        <v>448</v>
      </c>
      <c r="R30" s="68">
        <f>+(R23/R18)^(1/($Q23-$Q18))-1</f>
        <v>1.3874814638069388E-2</v>
      </c>
      <c r="S30" s="68">
        <f t="shared" ref="S30:T30" si="36">+(S23/S18)^(1/($Q23-$Q18))-1</f>
        <v>1.1972441856356042E-2</v>
      </c>
      <c r="T30" s="68">
        <f t="shared" si="36"/>
        <v>2.6138193907438989E-3</v>
      </c>
      <c r="V30" t="str">
        <f>+Q30</f>
        <v>2040-2045 CAGR</v>
      </c>
      <c r="W30" s="68">
        <f>+(W23/W18)^(1/($V23-$V18))-1</f>
        <v>1.0647268359386342E-2</v>
      </c>
      <c r="X30" s="68">
        <f t="shared" ref="X30:Y30" si="37">+(X23/X18)^(1/($V23-$V18))-1</f>
        <v>5.8866730889508556E-3</v>
      </c>
      <c r="Y30" s="68">
        <f t="shared" si="37"/>
        <v>-9.7375296815638279E-5</v>
      </c>
      <c r="AA30">
        <f t="shared" si="22"/>
        <v>2027</v>
      </c>
      <c r="AB30">
        <f t="shared" si="17"/>
        <v>4</v>
      </c>
      <c r="AC30" s="271">
        <f t="shared" si="18"/>
        <v>46478</v>
      </c>
      <c r="AD30" s="44">
        <f>+L30*VLOOKUP($AB30,'Peak Loads - 2022-2024'!$L$4:$M$15,2)</f>
        <v>53.253521875270522</v>
      </c>
      <c r="AE30" s="44">
        <f>+M30*VLOOKUP($AB30,'Peak Loads - 2022-2024'!$L$4:$M$15,2)</f>
        <v>49.005671844185606</v>
      </c>
      <c r="AF30" s="44">
        <f>+K30*VLOOKUP($AB30,'Peak Loads - 2022-2024'!$L$4:$M$15,2)</f>
        <v>52.291569906552709</v>
      </c>
      <c r="AG30" s="44"/>
      <c r="AH30" t="str">
        <f t="shared" si="28"/>
        <v>2040-2045 CAGR</v>
      </c>
      <c r="AI30" s="68">
        <f ca="1">+(AI23/AI18)^(1/($V23-$V18))-1</f>
        <v>1.2106354414990417E-2</v>
      </c>
      <c r="AJ30" s="68">
        <f t="shared" ref="AJ30:AK30" ca="1" si="38">+(AJ23/AJ18)^(1/($V23-$V18))-1</f>
        <v>7.5156528913367104E-3</v>
      </c>
      <c r="AK30" s="68">
        <f t="shared" ca="1" si="38"/>
        <v>1.2745357042431849E-4</v>
      </c>
    </row>
    <row r="31" spans="5:39" x14ac:dyDescent="0.2">
      <c r="E31" s="175"/>
      <c r="H31">
        <f t="shared" si="14"/>
        <v>2027</v>
      </c>
      <c r="I31">
        <f t="shared" si="1"/>
        <v>5</v>
      </c>
      <c r="J31" s="268">
        <v>46508</v>
      </c>
      <c r="K31" s="44">
        <f>+SUMIFS('Monthly Energy Data'!AE$8:AE$595,'Monthly Energy Data'!$D$8:$D$595,'Peak Load Projections'!$H31,'Monthly Energy Data'!$E$8:$E$595,'Peak Load Projections'!$I31)*VLOOKUP($I31,$A$3:$E$14,5)</f>
        <v>67.530435641539825</v>
      </c>
      <c r="L31" s="44">
        <f>+SUMIFS('Monthly Energy Data'!AF$8:AF$595,'Monthly Energy Data'!$D$8:$D$595,'Peak Load Projections'!$H31,'Monthly Energy Data'!$E$8:$E$595,'Peak Load Projections'!$I31)*VLOOKUP($I31,$A$3:$E$14,5)</f>
        <v>67.812489019296734</v>
      </c>
      <c r="M31" s="44">
        <f>+SUMIFS('Monthly Energy Data'!AG$8:AG$595,'Monthly Energy Data'!$D$8:$D$595,'Peak Load Projections'!$H31,'Monthly Energy Data'!$E$8:$E$595,'Peak Load Projections'!$I31)*VLOOKUP($I31,$A$3:$E$14,5)</f>
        <v>63.773827692768499</v>
      </c>
      <c r="N31" s="44">
        <f t="shared" si="15"/>
        <v>65.79315835603262</v>
      </c>
      <c r="O31" s="269" t="str">
        <f t="shared" si="2"/>
        <v>W</v>
      </c>
      <c r="AA31">
        <f t="shared" si="22"/>
        <v>2027</v>
      </c>
      <c r="AB31">
        <f t="shared" si="17"/>
        <v>5</v>
      </c>
      <c r="AC31" s="271">
        <f t="shared" si="18"/>
        <v>46508</v>
      </c>
      <c r="AD31" s="44">
        <f>+L31*VLOOKUP($AB31,'Peak Loads - 2022-2024'!$L$4:$M$15,2)</f>
        <v>48.292596360849352</v>
      </c>
      <c r="AE31" s="44">
        <f>+M31*VLOOKUP($AB31,'Peak Loads - 2022-2024'!$L$4:$M$15,2)</f>
        <v>45.416467728781292</v>
      </c>
      <c r="AF31" s="44">
        <f>+K31*VLOOKUP($AB31,'Peak Loads - 2022-2024'!$L$4:$M$15,2)</f>
        <v>48.091732329441321</v>
      </c>
      <c r="AG31" s="44"/>
    </row>
    <row r="32" spans="5:39" ht="11.25" customHeight="1" x14ac:dyDescent="0.2">
      <c r="E32" s="175"/>
      <c r="H32">
        <f t="shared" si="14"/>
        <v>2027</v>
      </c>
      <c r="I32">
        <f t="shared" si="1"/>
        <v>6</v>
      </c>
      <c r="J32" s="268">
        <v>46539</v>
      </c>
      <c r="K32" s="44">
        <f>+SUMIFS('Monthly Energy Data'!AE$8:AE$595,'Monthly Energy Data'!$D$8:$D$595,'Peak Load Projections'!$H32,'Monthly Energy Data'!$E$8:$E$595,'Peak Load Projections'!$I32)*VLOOKUP($I32,$A$3:$E$14,5)</f>
        <v>82.897343738736282</v>
      </c>
      <c r="L32" s="44">
        <f>+SUMIFS('Monthly Energy Data'!AF$8:AF$595,'Monthly Energy Data'!$D$8:$D$595,'Peak Load Projections'!$H32,'Monthly Energy Data'!$E$8:$E$595,'Peak Load Projections'!$I32)*VLOOKUP($I32,$A$3:$E$14,5)</f>
        <v>83.461358648176159</v>
      </c>
      <c r="M32" s="44">
        <f>+SUMIFS('Monthly Energy Data'!AG$8:AG$595,'Monthly Energy Data'!$D$8:$D$595,'Peak Load Projections'!$H32,'Monthly Energy Data'!$E$8:$E$595,'Peak Load Projections'!$I32)*VLOOKUP($I32,$A$3:$E$14,5)</f>
        <v>78.359503265543651</v>
      </c>
      <c r="N32" s="44">
        <f t="shared" si="15"/>
        <v>80.910430956859898</v>
      </c>
      <c r="O32" s="269" t="str">
        <f t="shared" si="2"/>
        <v>S</v>
      </c>
      <c r="AA32">
        <f t="shared" si="22"/>
        <v>2027</v>
      </c>
      <c r="AB32">
        <f t="shared" si="17"/>
        <v>6</v>
      </c>
      <c r="AC32" s="271">
        <f t="shared" si="18"/>
        <v>46539</v>
      </c>
      <c r="AD32" s="44">
        <f>+L32*VLOOKUP($AB32,'Peak Loads - 2022-2024'!$L$4:$M$15,2)</f>
        <v>70.938545384694095</v>
      </c>
      <c r="AE32" s="44">
        <f>+M32*VLOOKUP($AB32,'Peak Loads - 2022-2024'!$L$4:$M$15,2)</f>
        <v>66.602188950183418</v>
      </c>
      <c r="AF32" s="44">
        <f>+K32*VLOOKUP($AB32,'Peak Loads - 2022-2024'!$L$4:$M$15,2)</f>
        <v>70.459157103710027</v>
      </c>
      <c r="AG32" s="44"/>
    </row>
    <row r="33" spans="5:33" x14ac:dyDescent="0.2">
      <c r="E33" s="175"/>
      <c r="H33">
        <f t="shared" si="14"/>
        <v>2027</v>
      </c>
      <c r="I33">
        <f t="shared" si="1"/>
        <v>7</v>
      </c>
      <c r="J33" s="268">
        <v>46569</v>
      </c>
      <c r="K33" s="44">
        <f>+SUMIFS('Monthly Energy Data'!AE$8:AE$595,'Monthly Energy Data'!$D$8:$D$595,'Peak Load Projections'!$H33,'Monthly Energy Data'!$E$8:$E$595,'Peak Load Projections'!$I33)*VLOOKUP($I33,$A$3:$E$14,5)</f>
        <v>85.576291867718041</v>
      </c>
      <c r="L33" s="44">
        <f>+SUMIFS('Monthly Energy Data'!AF$8:AF$595,'Monthly Energy Data'!$D$8:$D$595,'Peak Load Projections'!$H33,'Monthly Energy Data'!$E$8:$E$595,'Peak Load Projections'!$I33)*VLOOKUP($I33,$A$3:$E$14,5)</f>
        <v>87.032349827223854</v>
      </c>
      <c r="M33" s="44">
        <f>+SUMIFS('Monthly Energy Data'!AG$8:AG$595,'Monthly Energy Data'!$D$8:$D$595,'Peak Load Projections'!$H33,'Monthly Energy Data'!$E$8:$E$595,'Peak Load Projections'!$I33)*VLOOKUP($I33,$A$3:$E$14,5)</f>
        <v>81.064038440881959</v>
      </c>
      <c r="N33" s="44">
        <f t="shared" si="15"/>
        <v>84.048194134052906</v>
      </c>
      <c r="O33" s="269" t="str">
        <f t="shared" si="2"/>
        <v>S</v>
      </c>
      <c r="AA33">
        <f t="shared" si="22"/>
        <v>2027</v>
      </c>
      <c r="AB33">
        <f t="shared" si="17"/>
        <v>7</v>
      </c>
      <c r="AC33" s="271">
        <f t="shared" si="18"/>
        <v>46569</v>
      </c>
      <c r="AD33" s="44">
        <f>+L33*VLOOKUP($AB33,'Peak Loads - 2022-2024'!$L$4:$M$15,2)</f>
        <v>62.437216613897618</v>
      </c>
      <c r="AE33" s="44">
        <f>+M33*VLOOKUP($AB33,'Peak Loads - 2022-2024'!$L$4:$M$15,2)</f>
        <v>58.155535703431653</v>
      </c>
      <c r="AF33" s="44">
        <f>+K33*VLOOKUP($AB33,'Peak Loads - 2022-2024'!$L$4:$M$15,2)</f>
        <v>61.392637139707475</v>
      </c>
      <c r="AG33" s="44"/>
    </row>
    <row r="34" spans="5:33" x14ac:dyDescent="0.2">
      <c r="E34" s="175"/>
      <c r="H34">
        <f t="shared" si="14"/>
        <v>2027</v>
      </c>
      <c r="I34">
        <f t="shared" si="1"/>
        <v>8</v>
      </c>
      <c r="J34" s="268">
        <v>46600</v>
      </c>
      <c r="K34" s="44">
        <f>+SUMIFS('Monthly Energy Data'!AE$8:AE$595,'Monthly Energy Data'!$D$8:$D$595,'Peak Load Projections'!$H34,'Monthly Energy Data'!$E$8:$E$595,'Peak Load Projections'!$I34)*VLOOKUP($I34,$A$3:$E$14,5)</f>
        <v>84.370743735923895</v>
      </c>
      <c r="L34" s="44">
        <f>+SUMIFS('Monthly Energy Data'!AF$8:AF$595,'Monthly Energy Data'!$D$8:$D$595,'Peak Load Projections'!$H34,'Monthly Energy Data'!$E$8:$E$595,'Peak Load Projections'!$I34)*VLOOKUP($I34,$A$3:$E$14,5)</f>
        <v>85.267370274398743</v>
      </c>
      <c r="M34" s="44">
        <f>+SUMIFS('Monthly Energy Data'!AG$8:AG$595,'Monthly Energy Data'!$D$8:$D$595,'Peak Load Projections'!$H34,'Monthly Energy Data'!$E$8:$E$595,'Peak Load Projections'!$I34)*VLOOKUP($I34,$A$3:$E$14,5)</f>
        <v>79.79491221769338</v>
      </c>
      <c r="N34" s="44">
        <f t="shared" si="15"/>
        <v>82.531141246046062</v>
      </c>
      <c r="O34" s="269" t="str">
        <f t="shared" si="2"/>
        <v>S</v>
      </c>
      <c r="AA34">
        <f t="shared" si="22"/>
        <v>2027</v>
      </c>
      <c r="AB34">
        <f t="shared" si="17"/>
        <v>8</v>
      </c>
      <c r="AC34" s="271">
        <f t="shared" si="18"/>
        <v>46600</v>
      </c>
      <c r="AD34" s="44">
        <f>+L34*VLOOKUP($AB34,'Peak Loads - 2022-2024'!$L$4:$M$15,2)</f>
        <v>60.984221309861312</v>
      </c>
      <c r="AE34" s="44">
        <f>+M34*VLOOKUP($AB34,'Peak Loads - 2022-2024'!$L$4:$M$15,2)</f>
        <v>57.070255250335066</v>
      </c>
      <c r="AF34" s="44">
        <f>+K34*VLOOKUP($AB34,'Peak Loads - 2022-2024'!$L$4:$M$15,2)</f>
        <v>60.342943514161981</v>
      </c>
      <c r="AG34" s="44"/>
    </row>
    <row r="35" spans="5:33" x14ac:dyDescent="0.2">
      <c r="E35" s="175"/>
      <c r="H35">
        <f t="shared" si="14"/>
        <v>2027</v>
      </c>
      <c r="I35">
        <f t="shared" ref="I35:I55" si="39">+MONTH(J35)</f>
        <v>9</v>
      </c>
      <c r="J35" s="268">
        <v>46631</v>
      </c>
      <c r="K35" s="44">
        <f>+SUMIFS('Monthly Energy Data'!AE$8:AE$595,'Monthly Energy Data'!$D$8:$D$595,'Peak Load Projections'!$H35,'Monthly Energy Data'!$E$8:$E$595,'Peak Load Projections'!$I35)*VLOOKUP($I35,$A$3:$E$14,5)</f>
        <v>71.168233256416116</v>
      </c>
      <c r="L35" s="44">
        <f>+SUMIFS('Monthly Energy Data'!AF$8:AF$595,'Monthly Energy Data'!$D$8:$D$595,'Peak Load Projections'!$H35,'Monthly Energy Data'!$E$8:$E$595,'Peak Load Projections'!$I35)*VLOOKUP($I35,$A$3:$E$14,5)</f>
        <v>71.550628353313684</v>
      </c>
      <c r="M35" s="44">
        <f>+SUMIFS('Monthly Energy Data'!AG$8:AG$595,'Monthly Energy Data'!$D$8:$D$595,'Peak Load Projections'!$H35,'Monthly Energy Data'!$E$8:$E$595,'Peak Load Projections'!$I35)*VLOOKUP($I35,$A$3:$E$14,5)</f>
        <v>66.788547125502049</v>
      </c>
      <c r="N35" s="44">
        <f t="shared" si="15"/>
        <v>69.169587739407859</v>
      </c>
      <c r="O35" s="269" t="str">
        <f t="shared" si="2"/>
        <v>S</v>
      </c>
      <c r="AA35">
        <f t="shared" si="22"/>
        <v>2027</v>
      </c>
      <c r="AB35">
        <f t="shared" si="17"/>
        <v>9</v>
      </c>
      <c r="AC35" s="271">
        <f t="shared" si="18"/>
        <v>46631</v>
      </c>
      <c r="AD35" s="44">
        <f>+L35*VLOOKUP($AB35,'Peak Loads - 2022-2024'!$L$4:$M$15,2)</f>
        <v>51.16889410888912</v>
      </c>
      <c r="AE35" s="44">
        <f>+M35*VLOOKUP($AB35,'Peak Loads - 2022-2024'!$L$4:$M$15,2)</f>
        <v>47.763327509521339</v>
      </c>
      <c r="AF35" s="44">
        <f>+K35*VLOOKUP($AB35,'Peak Loads - 2022-2024'!$L$4:$M$15,2)</f>
        <v>50.895427129335978</v>
      </c>
      <c r="AG35" s="44"/>
    </row>
    <row r="36" spans="5:33" x14ac:dyDescent="0.2">
      <c r="E36" s="175"/>
      <c r="H36">
        <f t="shared" si="14"/>
        <v>2027</v>
      </c>
      <c r="I36">
        <f t="shared" si="39"/>
        <v>10</v>
      </c>
      <c r="J36" s="268">
        <v>46661</v>
      </c>
      <c r="K36" s="44">
        <f>+SUMIFS('Monthly Energy Data'!AE$8:AE$595,'Monthly Energy Data'!$D$8:$D$595,'Peak Load Projections'!$H36,'Monthly Energy Data'!$E$8:$E$595,'Peak Load Projections'!$I36)*VLOOKUP($I36,$A$3:$E$14,5)</f>
        <v>68.614990863770686</v>
      </c>
      <c r="L36" s="44">
        <f>+SUMIFS('Monthly Energy Data'!AF$8:AF$595,'Monthly Energy Data'!$D$8:$D$595,'Peak Load Projections'!$H36,'Monthly Energy Data'!$E$8:$E$595,'Peak Load Projections'!$I36)*VLOOKUP($I36,$A$3:$E$14,5)</f>
        <v>69.785121006414727</v>
      </c>
      <c r="M36" s="44">
        <f>+SUMIFS('Monthly Energy Data'!AG$8:AG$595,'Monthly Energy Data'!$D$8:$D$595,'Peak Load Projections'!$H36,'Monthly Energy Data'!$E$8:$E$595,'Peak Load Projections'!$I36)*VLOOKUP($I36,$A$3:$E$14,5)</f>
        <v>64.238991780405684</v>
      </c>
      <c r="N36" s="44">
        <f t="shared" si="15"/>
        <v>67.012056393410205</v>
      </c>
      <c r="O36" s="269" t="str">
        <f t="shared" si="2"/>
        <v>W</v>
      </c>
      <c r="AA36">
        <f t="shared" si="22"/>
        <v>2027</v>
      </c>
      <c r="AB36">
        <f t="shared" si="17"/>
        <v>10</v>
      </c>
      <c r="AC36" s="271">
        <f t="shared" si="18"/>
        <v>46661</v>
      </c>
      <c r="AD36" s="44">
        <f>+L36*VLOOKUP($AB36,'Peak Loads - 2022-2024'!$L$4:$M$15,2)</f>
        <v>48.474980958212193</v>
      </c>
      <c r="AE36" s="44">
        <f>+M36*VLOOKUP($AB36,'Peak Loads - 2022-2024'!$L$4:$M$15,2)</f>
        <v>44.622461900491281</v>
      </c>
      <c r="AF36" s="44">
        <f>+K36*VLOOKUP($AB36,'Peak Loads - 2022-2024'!$L$4:$M$15,2)</f>
        <v>47.662171070298029</v>
      </c>
      <c r="AG36" s="44"/>
    </row>
    <row r="37" spans="5:33" x14ac:dyDescent="0.2">
      <c r="E37" s="175"/>
      <c r="H37">
        <f t="shared" si="14"/>
        <v>2027</v>
      </c>
      <c r="I37">
        <f t="shared" si="39"/>
        <v>11</v>
      </c>
      <c r="J37" s="268">
        <v>46692</v>
      </c>
      <c r="K37" s="44">
        <f>+SUMIFS('Monthly Energy Data'!AE$8:AE$595,'Monthly Energy Data'!$D$8:$D$595,'Peak Load Projections'!$H37,'Monthly Energy Data'!$E$8:$E$595,'Peak Load Projections'!$I37)*VLOOKUP($I37,$A$3:$E$14,5)</f>
        <v>80.517347245341199</v>
      </c>
      <c r="L37" s="44">
        <f>+SUMIFS('Monthly Energy Data'!AF$8:AF$595,'Monthly Energy Data'!$D$8:$D$595,'Peak Load Projections'!$H37,'Monthly Energy Data'!$E$8:$E$595,'Peak Load Projections'!$I37)*VLOOKUP($I37,$A$3:$E$14,5)</f>
        <v>84.497671597269928</v>
      </c>
      <c r="M37" s="44">
        <f>+SUMIFS('Monthly Energy Data'!AG$8:AG$595,'Monthly Energy Data'!$D$8:$D$595,'Peak Load Projections'!$H37,'Monthly Energy Data'!$E$8:$E$595,'Peak Load Projections'!$I37)*VLOOKUP($I37,$A$3:$E$14,5)</f>
        <v>74.119569132828403</v>
      </c>
      <c r="N37" s="44">
        <f t="shared" si="15"/>
        <v>79.308620365049165</v>
      </c>
      <c r="O37" s="269" t="str">
        <f t="shared" si="2"/>
        <v>W</v>
      </c>
      <c r="AA37">
        <f t="shared" si="22"/>
        <v>2027</v>
      </c>
      <c r="AB37">
        <f t="shared" si="17"/>
        <v>11</v>
      </c>
      <c r="AC37" s="271">
        <f t="shared" si="18"/>
        <v>46692</v>
      </c>
      <c r="AD37" s="44">
        <f>+L37*VLOOKUP($AB37,'Peak Loads - 2022-2024'!$L$4:$M$15,2)</f>
        <v>60.098680428884883</v>
      </c>
      <c r="AE37" s="44">
        <f>+M37*VLOOKUP($AB37,'Peak Loads - 2022-2024'!$L$4:$M$15,2)</f>
        <v>52.717290484302723</v>
      </c>
      <c r="AF37" s="44">
        <f>+K37*VLOOKUP($AB37,'Peak Loads - 2022-2024'!$L$4:$M$15,2)</f>
        <v>57.267688323327249</v>
      </c>
      <c r="AG37" s="44"/>
    </row>
    <row r="38" spans="5:33" x14ac:dyDescent="0.2">
      <c r="E38" s="175"/>
      <c r="H38">
        <f t="shared" si="14"/>
        <v>2027</v>
      </c>
      <c r="I38">
        <f t="shared" si="39"/>
        <v>12</v>
      </c>
      <c r="J38" s="268">
        <v>46722</v>
      </c>
      <c r="K38" s="44">
        <f>+SUMIFS('Monthly Energy Data'!AE$8:AE$595,'Monthly Energy Data'!$D$8:$D$595,'Peak Load Projections'!$H38,'Monthly Energy Data'!$E$8:$E$595,'Peak Load Projections'!$I38)*VLOOKUP($I38,$A$3:$E$14,5)</f>
        <v>88.465536437344824</v>
      </c>
      <c r="L38" s="44">
        <f>+SUMIFS('Monthly Energy Data'!AF$8:AF$595,'Monthly Energy Data'!$D$8:$D$595,'Peak Load Projections'!$H38,'Monthly Energy Data'!$E$8:$E$595,'Peak Load Projections'!$I38)*VLOOKUP($I38,$A$3:$E$14,5)</f>
        <v>92.091909130433464</v>
      </c>
      <c r="M38" s="44">
        <f>+SUMIFS('Monthly Energy Data'!AG$8:AG$595,'Monthly Energy Data'!$D$8:$D$595,'Peak Load Projections'!$H38,'Monthly Energy Data'!$E$8:$E$595,'Peak Load Projections'!$I38)*VLOOKUP($I38,$A$3:$E$14,5)</f>
        <v>81.565431471266834</v>
      </c>
      <c r="N38" s="44">
        <f t="shared" si="15"/>
        <v>86.828670300850149</v>
      </c>
      <c r="O38" s="269" t="str">
        <f t="shared" si="2"/>
        <v>W</v>
      </c>
      <c r="AA38">
        <f t="shared" si="22"/>
        <v>2027</v>
      </c>
      <c r="AB38">
        <f t="shared" si="17"/>
        <v>12</v>
      </c>
      <c r="AC38" s="271">
        <f t="shared" si="18"/>
        <v>46722</v>
      </c>
      <c r="AD38" s="44">
        <f>+L38*VLOOKUP($AB38,'Peak Loads - 2022-2024'!$L$4:$M$15,2)</f>
        <v>78.897966105111649</v>
      </c>
      <c r="AE38" s="44">
        <f>+M38*VLOOKUP($AB38,'Peak Loads - 2022-2024'!$L$4:$M$15,2)</f>
        <v>69.879609493752355</v>
      </c>
      <c r="AF38" s="44">
        <f>+K38*VLOOKUP($AB38,'Peak Loads - 2022-2024'!$L$4:$M$15,2)</f>
        <v>75.791141276248823</v>
      </c>
      <c r="AG38" s="44"/>
    </row>
    <row r="39" spans="5:33" x14ac:dyDescent="0.2">
      <c r="E39" s="175"/>
      <c r="H39">
        <f t="shared" si="14"/>
        <v>2028</v>
      </c>
      <c r="I39">
        <f t="shared" si="39"/>
        <v>1</v>
      </c>
      <c r="J39" s="268">
        <v>46753</v>
      </c>
      <c r="K39" s="44">
        <f>+SUMIFS('Monthly Energy Data'!AE$8:AE$595,'Monthly Energy Data'!$D$8:$D$595,'Peak Load Projections'!$H39,'Monthly Energy Data'!$E$8:$E$595,'Peak Load Projections'!$I39)*VLOOKUP($I39,$A$3:$E$14,5)</f>
        <v>90.556093465724643</v>
      </c>
      <c r="L39" s="44">
        <f>+SUMIFS('Monthly Energy Data'!AF$8:AF$595,'Monthly Energy Data'!$D$8:$D$595,'Peak Load Projections'!$H39,'Monthly Energy Data'!$E$8:$E$595,'Peak Load Projections'!$I39)*VLOOKUP($I39,$A$3:$E$14,5)</f>
        <v>94.743242552768066</v>
      </c>
      <c r="M39" s="44">
        <f>+SUMIFS('Monthly Energy Data'!AG$8:AG$595,'Monthly Energy Data'!$D$8:$D$595,'Peak Load Projections'!$H39,'Monthly Energy Data'!$E$8:$E$595,'Peak Load Projections'!$I39)*VLOOKUP($I39,$A$3:$E$14,5)</f>
        <v>83.408735584385752</v>
      </c>
      <c r="N39" s="44">
        <f t="shared" si="15"/>
        <v>89.075989068576916</v>
      </c>
      <c r="O39" s="269" t="str">
        <f t="shared" si="2"/>
        <v>W</v>
      </c>
      <c r="AA39">
        <f t="shared" si="22"/>
        <v>2028</v>
      </c>
      <c r="AB39">
        <f t="shared" si="17"/>
        <v>1</v>
      </c>
      <c r="AC39" s="271">
        <f t="shared" si="18"/>
        <v>46753</v>
      </c>
      <c r="AD39" s="44">
        <f>+L39*VLOOKUP($AB39,'Peak Loads - 2022-2024'!$L$4:$M$15,2)</f>
        <v>83.830460466129907</v>
      </c>
      <c r="AE39" s="44">
        <f>+M39*VLOOKUP($AB39,'Peak Loads - 2022-2024'!$L$4:$M$15,2)</f>
        <v>73.801492565998785</v>
      </c>
      <c r="AF39" s="44">
        <f>+K39*VLOOKUP($AB39,'Peak Loads - 2022-2024'!$L$4:$M$15,2)</f>
        <v>80.125598498674165</v>
      </c>
      <c r="AG39" s="44"/>
    </row>
    <row r="40" spans="5:33" x14ac:dyDescent="0.2">
      <c r="E40" s="175"/>
      <c r="H40">
        <f t="shared" si="14"/>
        <v>2028</v>
      </c>
      <c r="I40">
        <f t="shared" si="39"/>
        <v>2</v>
      </c>
      <c r="J40" s="268">
        <v>46784</v>
      </c>
      <c r="K40" s="44">
        <f>+SUMIFS('Monthly Energy Data'!AE$8:AE$595,'Monthly Energy Data'!$D$8:$D$595,'Peak Load Projections'!$H40,'Monthly Energy Data'!$E$8:$E$595,'Peak Load Projections'!$I40)*VLOOKUP($I40,$A$3:$E$14,5)</f>
        <v>85.994533066709039</v>
      </c>
      <c r="L40" s="44">
        <f>+SUMIFS('Monthly Energy Data'!AF$8:AF$595,'Monthly Energy Data'!$D$8:$D$595,'Peak Load Projections'!$H40,'Monthly Energy Data'!$E$8:$E$595,'Peak Load Projections'!$I40)*VLOOKUP($I40,$A$3:$E$14,5)</f>
        <v>89.122523550779746</v>
      </c>
      <c r="M40" s="44">
        <f>+SUMIFS('Monthly Energy Data'!AG$8:AG$595,'Monthly Energy Data'!$D$8:$D$595,'Peak Load Projections'!$H40,'Monthly Energy Data'!$E$8:$E$595,'Peak Load Projections'!$I40)*VLOOKUP($I40,$A$3:$E$14,5)</f>
        <v>78.804347088083617</v>
      </c>
      <c r="N40" s="44">
        <f t="shared" si="15"/>
        <v>83.963435319431682</v>
      </c>
      <c r="O40" s="269" t="str">
        <f t="shared" si="2"/>
        <v>W</v>
      </c>
      <c r="AA40">
        <f t="shared" si="22"/>
        <v>2028</v>
      </c>
      <c r="AB40">
        <f t="shared" si="17"/>
        <v>2</v>
      </c>
      <c r="AC40" s="271">
        <f t="shared" si="18"/>
        <v>46784</v>
      </c>
      <c r="AD40" s="44">
        <f>+L40*VLOOKUP($AB40,'Peak Loads - 2022-2024'!$L$4:$M$15,2)</f>
        <v>71.077581862731549</v>
      </c>
      <c r="AE40" s="44">
        <f>+M40*VLOOKUP($AB40,'Peak Loads - 2022-2024'!$L$4:$M$15,2)</f>
        <v>62.848561824003333</v>
      </c>
      <c r="AF40" s="44">
        <f>+K40*VLOOKUP($AB40,'Peak Loads - 2022-2024'!$L$4:$M$15,2)</f>
        <v>68.582926293752919</v>
      </c>
      <c r="AG40" s="44"/>
    </row>
    <row r="41" spans="5:33" x14ac:dyDescent="0.2">
      <c r="E41" s="175"/>
      <c r="H41">
        <f t="shared" si="14"/>
        <v>2028</v>
      </c>
      <c r="I41">
        <f t="shared" si="39"/>
        <v>3</v>
      </c>
      <c r="J41" s="268">
        <v>46813</v>
      </c>
      <c r="K41" s="44">
        <f>+SUMIFS('Monthly Energy Data'!AE$8:AE$595,'Monthly Energy Data'!$D$8:$D$595,'Peak Load Projections'!$H41,'Monthly Energy Data'!$E$8:$E$595,'Peak Load Projections'!$I41)*VLOOKUP($I41,$A$3:$E$14,5)</f>
        <v>78.407150903746029</v>
      </c>
      <c r="L41" s="44">
        <f>+SUMIFS('Monthly Energy Data'!AF$8:AF$595,'Monthly Energy Data'!$D$8:$D$595,'Peak Load Projections'!$H41,'Monthly Energy Data'!$E$8:$E$595,'Peak Load Projections'!$I41)*VLOOKUP($I41,$A$3:$E$14,5)</f>
        <v>80.471220275642438</v>
      </c>
      <c r="M41" s="44">
        <f>+SUMIFS('Monthly Energy Data'!AG$8:AG$595,'Monthly Energy Data'!$D$8:$D$595,'Peak Load Projections'!$H41,'Monthly Energy Data'!$E$8:$E$595,'Peak Load Projections'!$I41)*VLOOKUP($I41,$A$3:$E$14,5)</f>
        <v>72.495668074466579</v>
      </c>
      <c r="N41" s="44">
        <f t="shared" si="15"/>
        <v>76.483444175054501</v>
      </c>
      <c r="O41" s="269" t="str">
        <f t="shared" si="2"/>
        <v>W</v>
      </c>
      <c r="AA41">
        <f t="shared" si="22"/>
        <v>2028</v>
      </c>
      <c r="AB41">
        <f t="shared" si="17"/>
        <v>3</v>
      </c>
      <c r="AC41" s="271">
        <f t="shared" si="18"/>
        <v>46813</v>
      </c>
      <c r="AD41" s="44">
        <f>+L41*VLOOKUP($AB41,'Peak Loads - 2022-2024'!$L$4:$M$15,2)</f>
        <v>57.431810398804288</v>
      </c>
      <c r="AE41" s="44">
        <f>+M41*VLOOKUP($AB41,'Peak Loads - 2022-2024'!$L$4:$M$15,2)</f>
        <v>51.739708299759279</v>
      </c>
      <c r="AF41" s="44">
        <f>+K41*VLOOKUP($AB41,'Peak Loads - 2022-2024'!$L$4:$M$15,2)</f>
        <v>55.958696900454434</v>
      </c>
      <c r="AG41" s="44"/>
    </row>
    <row r="42" spans="5:33" x14ac:dyDescent="0.2">
      <c r="E42" s="175"/>
      <c r="H42">
        <f t="shared" si="14"/>
        <v>2028</v>
      </c>
      <c r="I42">
        <f t="shared" si="39"/>
        <v>4</v>
      </c>
      <c r="J42" s="268">
        <v>46844</v>
      </c>
      <c r="K42" s="44">
        <f>+SUMIFS('Monthly Energy Data'!AE$8:AE$595,'Monthly Energy Data'!$D$8:$D$595,'Peak Load Projections'!$H42,'Monthly Energy Data'!$E$8:$E$595,'Peak Load Projections'!$I42)*VLOOKUP($I42,$A$3:$E$14,5)</f>
        <v>76.947650726111092</v>
      </c>
      <c r="L42" s="44">
        <f>+SUMIFS('Monthly Energy Data'!AF$8:AF$595,'Monthly Energy Data'!$D$8:$D$595,'Peak Load Projections'!$H42,'Monthly Energy Data'!$E$8:$E$595,'Peak Load Projections'!$I42)*VLOOKUP($I42,$A$3:$E$14,5)</f>
        <v>77.814658169341001</v>
      </c>
      <c r="M42" s="44">
        <f>+SUMIFS('Monthly Energy Data'!AG$8:AG$595,'Monthly Energy Data'!$D$8:$D$595,'Peak Load Projections'!$H42,'Monthly Energy Data'!$E$8:$E$595,'Peak Load Projections'!$I42)*VLOOKUP($I42,$A$3:$E$14,5)</f>
        <v>70.804492814076809</v>
      </c>
      <c r="N42" s="44">
        <f t="shared" si="15"/>
        <v>74.309575491708898</v>
      </c>
      <c r="O42" s="269" t="str">
        <f t="shared" si="2"/>
        <v>W</v>
      </c>
      <c r="AA42">
        <f t="shared" si="22"/>
        <v>2028</v>
      </c>
      <c r="AB42">
        <f t="shared" si="17"/>
        <v>4</v>
      </c>
      <c r="AC42" s="271">
        <f t="shared" si="18"/>
        <v>46844</v>
      </c>
      <c r="AD42" s="44">
        <f>+L42*VLOOKUP($AB42,'Peak Loads - 2022-2024'!$L$4:$M$15,2)</f>
        <v>54.29400236181484</v>
      </c>
      <c r="AE42" s="44">
        <f>+M42*VLOOKUP($AB42,'Peak Loads - 2022-2024'!$L$4:$M$15,2)</f>
        <v>49.402765372414464</v>
      </c>
      <c r="AF42" s="44">
        <f>+K42*VLOOKUP($AB42,'Peak Loads - 2022-2024'!$L$4:$M$15,2)</f>
        <v>53.689061014286274</v>
      </c>
      <c r="AG42" s="44"/>
    </row>
    <row r="43" spans="5:33" x14ac:dyDescent="0.2">
      <c r="E43" s="175"/>
      <c r="H43">
        <f t="shared" si="14"/>
        <v>2028</v>
      </c>
      <c r="I43">
        <f t="shared" si="39"/>
        <v>5</v>
      </c>
      <c r="J43" s="268">
        <v>46874</v>
      </c>
      <c r="K43" s="44">
        <f>+SUMIFS('Monthly Energy Data'!AE$8:AE$595,'Monthly Energy Data'!$D$8:$D$595,'Peak Load Projections'!$H43,'Monthly Energy Data'!$E$8:$E$595,'Peak Load Projections'!$I43)*VLOOKUP($I43,$A$3:$E$14,5)</f>
        <v>68.952635685768982</v>
      </c>
      <c r="L43" s="44">
        <f>+SUMIFS('Monthly Energy Data'!AF$8:AF$595,'Monthly Energy Data'!$D$8:$D$595,'Peak Load Projections'!$H43,'Monthly Energy Data'!$E$8:$E$595,'Peak Load Projections'!$I43)*VLOOKUP($I43,$A$3:$E$14,5)</f>
        <v>68.754208218227291</v>
      </c>
      <c r="M43" s="44">
        <f>+SUMIFS('Monthly Energy Data'!AG$8:AG$595,'Monthly Energy Data'!$D$8:$D$595,'Peak Load Projections'!$H43,'Monthly Energy Data'!$E$8:$E$595,'Peak Load Projections'!$I43)*VLOOKUP($I43,$A$3:$E$14,5)</f>
        <v>64.04402702756046</v>
      </c>
      <c r="N43" s="44">
        <f t="shared" si="15"/>
        <v>66.498331356664721</v>
      </c>
      <c r="O43" s="269" t="str">
        <f t="shared" si="2"/>
        <v>W</v>
      </c>
      <c r="AA43">
        <f t="shared" si="22"/>
        <v>2028</v>
      </c>
      <c r="AB43">
        <f t="shared" si="17"/>
        <v>5</v>
      </c>
      <c r="AC43" s="271">
        <f t="shared" si="18"/>
        <v>46874</v>
      </c>
      <c r="AD43" s="44">
        <f>+L43*VLOOKUP($AB43,'Peak Loads - 2022-2024'!$L$4:$M$15,2)</f>
        <v>48.963240748290644</v>
      </c>
      <c r="AE43" s="44">
        <f>+M43*VLOOKUP($AB43,'Peak Loads - 2022-2024'!$L$4:$M$15,2)</f>
        <v>45.6088899153252</v>
      </c>
      <c r="AF43" s="44">
        <f>+K43*VLOOKUP($AB43,'Peak Loads - 2022-2024'!$L$4:$M$15,2)</f>
        <v>49.104550671218995</v>
      </c>
      <c r="AG43" s="44"/>
    </row>
    <row r="44" spans="5:33" x14ac:dyDescent="0.2">
      <c r="E44" s="175"/>
      <c r="H44">
        <f t="shared" si="14"/>
        <v>2028</v>
      </c>
      <c r="I44">
        <f t="shared" si="39"/>
        <v>6</v>
      </c>
      <c r="J44" s="268">
        <v>46905</v>
      </c>
      <c r="K44" s="44">
        <f>+SUMIFS('Monthly Energy Data'!AE$8:AE$595,'Monthly Energy Data'!$D$8:$D$595,'Peak Load Projections'!$H44,'Monthly Energy Data'!$E$8:$E$595,'Peak Load Projections'!$I44)*VLOOKUP($I44,$A$3:$E$14,5)</f>
        <v>84.698379520848491</v>
      </c>
      <c r="L44" s="44">
        <f>+SUMIFS('Monthly Energy Data'!AF$8:AF$595,'Monthly Energy Data'!$D$8:$D$595,'Peak Load Projections'!$H44,'Monthly Energy Data'!$E$8:$E$595,'Peak Load Projections'!$I44)*VLOOKUP($I44,$A$3:$E$14,5)</f>
        <v>84.75393436819391</v>
      </c>
      <c r="M44" s="44">
        <f>+SUMIFS('Monthly Energy Data'!AG$8:AG$595,'Monthly Energy Data'!$D$8:$D$595,'Peak Load Projections'!$H44,'Monthly Energy Data'!$E$8:$E$595,'Peak Load Projections'!$I44)*VLOOKUP($I44,$A$3:$E$14,5)</f>
        <v>78.823986008993998</v>
      </c>
      <c r="N44" s="44">
        <f t="shared" si="15"/>
        <v>81.788960188593961</v>
      </c>
      <c r="O44" s="269" t="str">
        <f t="shared" si="2"/>
        <v>S</v>
      </c>
      <c r="AA44">
        <f t="shared" si="22"/>
        <v>2028</v>
      </c>
      <c r="AB44">
        <f t="shared" si="17"/>
        <v>6</v>
      </c>
      <c r="AC44" s="271">
        <f t="shared" si="18"/>
        <v>46905</v>
      </c>
      <c r="AD44" s="44">
        <f>+L44*VLOOKUP($AB44,'Peak Loads - 2022-2024'!$L$4:$M$15,2)</f>
        <v>72.037178846487578</v>
      </c>
      <c r="AE44" s="44">
        <f>+M44*VLOOKUP($AB44,'Peak Loads - 2022-2024'!$L$4:$M$15,2)</f>
        <v>66.996979194559344</v>
      </c>
      <c r="AF44" s="44">
        <f>+K44*VLOOKUP($AB44,'Peak Loads - 2022-2024'!$L$4:$M$15,2)</f>
        <v>71.989959628833034</v>
      </c>
      <c r="AG44" s="44"/>
    </row>
    <row r="45" spans="5:33" x14ac:dyDescent="0.2">
      <c r="E45" s="175"/>
      <c r="H45">
        <f t="shared" si="14"/>
        <v>2028</v>
      </c>
      <c r="I45">
        <f t="shared" si="39"/>
        <v>7</v>
      </c>
      <c r="J45" s="268">
        <v>46935</v>
      </c>
      <c r="K45" s="44">
        <f>+SUMIFS('Monthly Energy Data'!AE$8:AE$595,'Monthly Energy Data'!$D$8:$D$595,'Peak Load Projections'!$H45,'Monthly Energy Data'!$E$8:$E$595,'Peak Load Projections'!$I45)*VLOOKUP($I45,$A$3:$E$14,5)</f>
        <v>87.462784334048962</v>
      </c>
      <c r="L45" s="44">
        <f>+SUMIFS('Monthly Energy Data'!AF$8:AF$595,'Monthly Energy Data'!$D$8:$D$595,'Peak Load Projections'!$H45,'Monthly Energy Data'!$E$8:$E$595,'Peak Load Projections'!$I45)*VLOOKUP($I45,$A$3:$E$14,5)</f>
        <v>88.572149844125107</v>
      </c>
      <c r="M45" s="44">
        <f>+SUMIFS('Monthly Energy Data'!AG$8:AG$595,'Monthly Energy Data'!$D$8:$D$595,'Peak Load Projections'!$H45,'Monthly Energy Data'!$E$8:$E$595,'Peak Load Projections'!$I45)*VLOOKUP($I45,$A$3:$E$14,5)</f>
        <v>81.705881397959203</v>
      </c>
      <c r="N45" s="44">
        <f t="shared" si="15"/>
        <v>85.139015621042148</v>
      </c>
      <c r="O45" s="269" t="str">
        <f t="shared" si="2"/>
        <v>S</v>
      </c>
      <c r="AA45">
        <f t="shared" si="22"/>
        <v>2028</v>
      </c>
      <c r="AB45">
        <f t="shared" si="17"/>
        <v>7</v>
      </c>
      <c r="AC45" s="271">
        <f t="shared" si="18"/>
        <v>46935</v>
      </c>
      <c r="AD45" s="44">
        <f>+L45*VLOOKUP($AB45,'Peak Loads - 2022-2024'!$L$4:$M$15,2)</f>
        <v>63.541872841015525</v>
      </c>
      <c r="AE45" s="44">
        <f>+M45*VLOOKUP($AB45,'Peak Loads - 2022-2024'!$L$4:$M$15,2)</f>
        <v>58.615995381042254</v>
      </c>
      <c r="AF45" s="44">
        <f>+K45*VLOOKUP($AB45,'Peak Loads - 2022-2024'!$L$4:$M$15,2)</f>
        <v>62.746011361989424</v>
      </c>
      <c r="AG45" s="44"/>
    </row>
    <row r="46" spans="5:33" x14ac:dyDescent="0.2">
      <c r="E46" s="175"/>
      <c r="H46">
        <f t="shared" si="14"/>
        <v>2028</v>
      </c>
      <c r="I46">
        <f t="shared" si="39"/>
        <v>8</v>
      </c>
      <c r="J46" s="268">
        <v>46966</v>
      </c>
      <c r="K46" s="44">
        <f>+SUMIFS('Monthly Energy Data'!AE$8:AE$595,'Monthly Energy Data'!$D$8:$D$595,'Peak Load Projections'!$H46,'Monthly Energy Data'!$E$8:$E$595,'Peak Load Projections'!$I46)*VLOOKUP($I46,$A$3:$E$14,5)</f>
        <v>86.195250571510996</v>
      </c>
      <c r="L46" s="44">
        <f>+SUMIFS('Monthly Energy Data'!AF$8:AF$595,'Monthly Energy Data'!$D$8:$D$595,'Peak Load Projections'!$H46,'Monthly Energy Data'!$E$8:$E$595,'Peak Load Projections'!$I46)*VLOOKUP($I46,$A$3:$E$14,5)</f>
        <v>86.701697000075939</v>
      </c>
      <c r="M46" s="44">
        <f>+SUMIFS('Monthly Energy Data'!AG$8:AG$595,'Monthly Energy Data'!$D$8:$D$595,'Peak Load Projections'!$H46,'Monthly Energy Data'!$E$8:$E$595,'Peak Load Projections'!$I46)*VLOOKUP($I46,$A$3:$E$14,5)</f>
        <v>80.366522909530872</v>
      </c>
      <c r="N46" s="44">
        <f t="shared" si="15"/>
        <v>83.534109954803398</v>
      </c>
      <c r="O46" s="269" t="str">
        <f t="shared" si="2"/>
        <v>S</v>
      </c>
      <c r="AA46">
        <f t="shared" si="22"/>
        <v>2028</v>
      </c>
      <c r="AB46">
        <f t="shared" si="17"/>
        <v>8</v>
      </c>
      <c r="AC46" s="271">
        <f t="shared" si="18"/>
        <v>46966</v>
      </c>
      <c r="AD46" s="44">
        <f>+L46*VLOOKUP($AB46,'Peak Loads - 2022-2024'!$L$4:$M$15,2)</f>
        <v>62.010068573449431</v>
      </c>
      <c r="AE46" s="44">
        <f>+M46*VLOOKUP($AB46,'Peak Loads - 2022-2024'!$L$4:$M$15,2)</f>
        <v>57.479077908075304</v>
      </c>
      <c r="AF46" s="44">
        <f>+K46*VLOOKUP($AB46,'Peak Loads - 2022-2024'!$L$4:$M$15,2)</f>
        <v>61.647852159576203</v>
      </c>
      <c r="AG46" s="44"/>
    </row>
    <row r="47" spans="5:33" x14ac:dyDescent="0.2">
      <c r="E47" s="175"/>
      <c r="H47">
        <f t="shared" si="14"/>
        <v>2028</v>
      </c>
      <c r="I47">
        <f t="shared" si="39"/>
        <v>9</v>
      </c>
      <c r="J47" s="268">
        <v>46997</v>
      </c>
      <c r="K47" s="44">
        <f>+SUMIFS('Monthly Energy Data'!AE$8:AE$595,'Monthly Energy Data'!$D$8:$D$595,'Peak Load Projections'!$H47,'Monthly Energy Data'!$E$8:$E$595,'Peak Load Projections'!$I47)*VLOOKUP($I47,$A$3:$E$14,5)</f>
        <v>72.770906749245242</v>
      </c>
      <c r="L47" s="44">
        <f>+SUMIFS('Monthly Energy Data'!AF$8:AF$595,'Monthly Energy Data'!$D$8:$D$595,'Peak Load Projections'!$H47,'Monthly Energy Data'!$E$8:$E$595,'Peak Load Projections'!$I47)*VLOOKUP($I47,$A$3:$E$14,5)</f>
        <v>72.751743521675863</v>
      </c>
      <c r="M47" s="44">
        <f>+SUMIFS('Monthly Energy Data'!AG$8:AG$595,'Monthly Energy Data'!$D$8:$D$595,'Peak Load Projections'!$H47,'Monthly Energy Data'!$E$8:$E$595,'Peak Load Projections'!$I47)*VLOOKUP($I47,$A$3:$E$14,5)</f>
        <v>67.204999489049996</v>
      </c>
      <c r="N47" s="44">
        <f t="shared" si="15"/>
        <v>69.987953119147619</v>
      </c>
      <c r="O47" s="269" t="str">
        <f t="shared" si="2"/>
        <v>S</v>
      </c>
      <c r="AA47">
        <f t="shared" si="22"/>
        <v>2028</v>
      </c>
      <c r="AB47">
        <f t="shared" si="17"/>
        <v>9</v>
      </c>
      <c r="AC47" s="271">
        <f t="shared" si="18"/>
        <v>46997</v>
      </c>
      <c r="AD47" s="44">
        <f>+L47*VLOOKUP($AB47,'Peak Loads - 2022-2024'!$L$4:$M$15,2)</f>
        <v>52.027862594239373</v>
      </c>
      <c r="AE47" s="44">
        <f>+M47*VLOOKUP($AB47,'Peak Loads - 2022-2024'!$L$4:$M$15,2)</f>
        <v>48.061150287352959</v>
      </c>
      <c r="AF47" s="44">
        <f>+K47*VLOOKUP($AB47,'Peak Loads - 2022-2024'!$L$4:$M$15,2)</f>
        <v>52.041567032409226</v>
      </c>
      <c r="AG47" s="44"/>
    </row>
    <row r="48" spans="5:33" x14ac:dyDescent="0.2">
      <c r="E48" s="175"/>
      <c r="H48">
        <f t="shared" si="14"/>
        <v>2028</v>
      </c>
      <c r="I48">
        <f t="shared" si="39"/>
        <v>10</v>
      </c>
      <c r="J48" s="268">
        <v>47027</v>
      </c>
      <c r="K48" s="44">
        <f>+SUMIFS('Monthly Energy Data'!AE$8:AE$595,'Monthly Energy Data'!$D$8:$D$595,'Peak Load Projections'!$H48,'Monthly Energy Data'!$E$8:$E$595,'Peak Load Projections'!$I48)*VLOOKUP($I48,$A$3:$E$14,5)</f>
        <v>70.295607953133654</v>
      </c>
      <c r="L48" s="44">
        <f>+SUMIFS('Monthly Energy Data'!AF$8:AF$595,'Monthly Energy Data'!$D$8:$D$595,'Peak Load Projections'!$H48,'Monthly Energy Data'!$E$8:$E$595,'Peak Load Projections'!$I48)*VLOOKUP($I48,$A$3:$E$14,5)</f>
        <v>71.202913904628559</v>
      </c>
      <c r="M48" s="44">
        <f>+SUMIFS('Monthly Energy Data'!AG$8:AG$595,'Monthly Energy Data'!$D$8:$D$595,'Peak Load Projections'!$H48,'Monthly Energy Data'!$E$8:$E$595,'Peak Load Projections'!$I48)*VLOOKUP($I48,$A$3:$E$14,5)</f>
        <v>64.801556139059912</v>
      </c>
      <c r="N48" s="44">
        <f t="shared" si="15"/>
        <v>68.002235021844228</v>
      </c>
      <c r="O48" s="269" t="str">
        <f t="shared" si="2"/>
        <v>W</v>
      </c>
      <c r="AA48">
        <f t="shared" si="22"/>
        <v>2028</v>
      </c>
      <c r="AB48">
        <f t="shared" si="17"/>
        <v>10</v>
      </c>
      <c r="AC48" s="271">
        <f t="shared" si="18"/>
        <v>47027</v>
      </c>
      <c r="AD48" s="44">
        <f>+L48*VLOOKUP($AB48,'Peak Loads - 2022-2024'!$L$4:$M$15,2)</f>
        <v>49.459825331230995</v>
      </c>
      <c r="AE48" s="44">
        <f>+M48*VLOOKUP($AB48,'Peak Loads - 2022-2024'!$L$4:$M$15,2)</f>
        <v>45.013237128509097</v>
      </c>
      <c r="AF48" s="44">
        <f>+K48*VLOOKUP($AB48,'Peak Loads - 2022-2024'!$L$4:$M$15,2)</f>
        <v>48.829581547345526</v>
      </c>
      <c r="AG48" s="44"/>
    </row>
    <row r="49" spans="5:33" x14ac:dyDescent="0.2">
      <c r="E49" s="175"/>
      <c r="H49">
        <f t="shared" si="14"/>
        <v>2028</v>
      </c>
      <c r="I49">
        <f t="shared" si="39"/>
        <v>11</v>
      </c>
      <c r="J49" s="268">
        <v>47058</v>
      </c>
      <c r="K49" s="44">
        <f>+SUMIFS('Monthly Energy Data'!AE$8:AE$595,'Monthly Energy Data'!$D$8:$D$595,'Peak Load Projections'!$H49,'Monthly Energy Data'!$E$8:$E$595,'Peak Load Projections'!$I49)*VLOOKUP($I49,$A$3:$E$14,5)</f>
        <v>83.255747254098139</v>
      </c>
      <c r="L49" s="44">
        <f>+SUMIFS('Monthly Energy Data'!AF$8:AF$595,'Monthly Energy Data'!$D$8:$D$595,'Peak Load Projections'!$H49,'Monthly Energy Data'!$E$8:$E$595,'Peak Load Projections'!$I49)*VLOOKUP($I49,$A$3:$E$14,5)</f>
        <v>87.201274019253191</v>
      </c>
      <c r="M49" s="44">
        <f>+SUMIFS('Monthly Energy Data'!AG$8:AG$595,'Monthly Energy Data'!$D$8:$D$595,'Peak Load Projections'!$H49,'Monthly Energy Data'!$E$8:$E$595,'Peak Load Projections'!$I49)*VLOOKUP($I49,$A$3:$E$14,5)</f>
        <v>75.360212605436175</v>
      </c>
      <c r="N49" s="44">
        <f t="shared" si="15"/>
        <v>81.280743312344683</v>
      </c>
      <c r="O49" s="269" t="str">
        <f t="shared" si="2"/>
        <v>W</v>
      </c>
      <c r="AA49">
        <f t="shared" si="22"/>
        <v>2028</v>
      </c>
      <c r="AB49">
        <f t="shared" si="17"/>
        <v>11</v>
      </c>
      <c r="AC49" s="271">
        <f t="shared" si="18"/>
        <v>47058</v>
      </c>
      <c r="AD49" s="44">
        <f>+L49*VLOOKUP($AB49,'Peak Loads - 2022-2024'!$L$4:$M$15,2)</f>
        <v>62.021608420793967</v>
      </c>
      <c r="AE49" s="44">
        <f>+M49*VLOOKUP($AB49,'Peak Loads - 2022-2024'!$L$4:$M$15,2)</f>
        <v>53.599693918350077</v>
      </c>
      <c r="AF49" s="44">
        <f>+K49*VLOOKUP($AB49,'Peak Loads - 2022-2024'!$L$4:$M$15,2)</f>
        <v>59.215365980022064</v>
      </c>
      <c r="AG49" s="44"/>
    </row>
    <row r="50" spans="5:33" x14ac:dyDescent="0.2">
      <c r="E50" s="175"/>
      <c r="H50">
        <f t="shared" si="14"/>
        <v>2028</v>
      </c>
      <c r="I50">
        <f t="shared" si="39"/>
        <v>12</v>
      </c>
      <c r="J50" s="268">
        <v>47088</v>
      </c>
      <c r="K50" s="44">
        <f>+SUMIFS('Monthly Energy Data'!AE$8:AE$595,'Monthly Energy Data'!$D$8:$D$595,'Peak Load Projections'!$H50,'Monthly Energy Data'!$E$8:$E$595,'Peak Load Projections'!$I50)*VLOOKUP($I50,$A$3:$E$14,5)</f>
        <v>91.435048429751347</v>
      </c>
      <c r="L50" s="44">
        <f>+SUMIFS('Monthly Energy Data'!AF$8:AF$595,'Monthly Energy Data'!$D$8:$D$595,'Peak Load Projections'!$H50,'Monthly Energy Data'!$E$8:$E$595,'Peak Load Projections'!$I50)*VLOOKUP($I50,$A$3:$E$14,5)</f>
        <v>94.98411650118571</v>
      </c>
      <c r="M50" s="44">
        <f>+SUMIFS('Monthly Energy Data'!AG$8:AG$595,'Monthly Energy Data'!$D$8:$D$595,'Peak Load Projections'!$H50,'Monthly Energy Data'!$E$8:$E$595,'Peak Load Projections'!$I50)*VLOOKUP($I50,$A$3:$E$14,5)</f>
        <v>82.934366584422875</v>
      </c>
      <c r="N50" s="44">
        <f t="shared" si="15"/>
        <v>88.959241542804293</v>
      </c>
      <c r="O50" s="269" t="str">
        <f t="shared" si="2"/>
        <v>W</v>
      </c>
      <c r="AA50">
        <f t="shared" si="22"/>
        <v>2028</v>
      </c>
      <c r="AB50">
        <f t="shared" si="17"/>
        <v>12</v>
      </c>
      <c r="AC50" s="271">
        <f t="shared" si="18"/>
        <v>47088</v>
      </c>
      <c r="AD50" s="44">
        <f>+L50*VLOOKUP($AB50,'Peak Loads - 2022-2024'!$L$4:$M$15,2)</f>
        <v>81.375808960811071</v>
      </c>
      <c r="AE50" s="44">
        <f>+M50*VLOOKUP($AB50,'Peak Loads - 2022-2024'!$L$4:$M$15,2)</f>
        <v>71.05241823642821</v>
      </c>
      <c r="AF50" s="44">
        <f>+K50*VLOOKUP($AB50,'Peak Loads - 2022-2024'!$L$4:$M$15,2)</f>
        <v>78.335213374849587</v>
      </c>
      <c r="AG50" s="44"/>
    </row>
    <row r="51" spans="5:33" x14ac:dyDescent="0.2">
      <c r="E51" s="175"/>
      <c r="H51">
        <f t="shared" si="14"/>
        <v>2029</v>
      </c>
      <c r="I51">
        <f t="shared" si="39"/>
        <v>1</v>
      </c>
      <c r="J51" s="268">
        <v>47119</v>
      </c>
      <c r="K51" s="44">
        <f>+SUMIFS('Monthly Energy Data'!AE$8:AE$595,'Monthly Energy Data'!$D$8:$D$595,'Peak Load Projections'!$H51,'Monthly Energy Data'!$E$8:$E$595,'Peak Load Projections'!$I51)*VLOOKUP($I51,$A$3:$E$14,5)</f>
        <v>93.659520730981569</v>
      </c>
      <c r="L51" s="44">
        <f>+SUMIFS('Monthly Energy Data'!AF$8:AF$595,'Monthly Energy Data'!$D$8:$D$595,'Peak Load Projections'!$H51,'Monthly Energy Data'!$E$8:$E$595,'Peak Load Projections'!$I51)*VLOOKUP($I51,$A$3:$E$14,5)</f>
        <v>97.816998207754608</v>
      </c>
      <c r="M51" s="44">
        <f>+SUMIFS('Monthly Energy Data'!AG$8:AG$595,'Monthly Energy Data'!$D$8:$D$595,'Peak Load Projections'!$H51,'Monthly Energy Data'!$E$8:$E$595,'Peak Load Projections'!$I51)*VLOOKUP($I51,$A$3:$E$14,5)</f>
        <v>84.886442887875972</v>
      </c>
      <c r="N51" s="44">
        <f t="shared" si="15"/>
        <v>91.35172054781529</v>
      </c>
      <c r="O51" s="269" t="str">
        <f t="shared" si="2"/>
        <v>W</v>
      </c>
      <c r="AA51">
        <f t="shared" si="22"/>
        <v>2029</v>
      </c>
      <c r="AB51">
        <f t="shared" si="17"/>
        <v>1</v>
      </c>
      <c r="AC51" s="271">
        <f t="shared" si="18"/>
        <v>47119</v>
      </c>
      <c r="AD51" s="44">
        <f>+L51*VLOOKUP($AB51,'Peak Loads - 2022-2024'!$L$4:$M$15,2)</f>
        <v>86.550172658525881</v>
      </c>
      <c r="AE51" s="44">
        <f>+M51*VLOOKUP($AB51,'Peak Loads - 2022-2024'!$L$4:$M$15,2)</f>
        <v>75.108993558660657</v>
      </c>
      <c r="AF51" s="44">
        <f>+K51*VLOOKUP($AB51,'Peak Loads - 2022-2024'!$L$4:$M$15,2)</f>
        <v>82.871564645280671</v>
      </c>
      <c r="AG51" s="44"/>
    </row>
    <row r="52" spans="5:33" x14ac:dyDescent="0.2">
      <c r="E52" s="175"/>
      <c r="H52">
        <f t="shared" si="14"/>
        <v>2029</v>
      </c>
      <c r="I52">
        <f t="shared" si="39"/>
        <v>2</v>
      </c>
      <c r="J52" s="268">
        <v>47150</v>
      </c>
      <c r="K52" s="44">
        <f>+SUMIFS('Monthly Energy Data'!AE$8:AE$595,'Monthly Energy Data'!$D$8:$D$595,'Peak Load Projections'!$H52,'Monthly Energy Data'!$E$8:$E$595,'Peak Load Projections'!$I52)*VLOOKUP($I52,$A$3:$E$14,5)</f>
        <v>88.964549845157876</v>
      </c>
      <c r="L52" s="44">
        <f>+SUMIFS('Monthly Energy Data'!AF$8:AF$595,'Monthly Energy Data'!$D$8:$D$595,'Peak Load Projections'!$H52,'Monthly Energy Data'!$E$8:$E$595,'Peak Load Projections'!$I52)*VLOOKUP($I52,$A$3:$E$14,5)</f>
        <v>91.914632601537193</v>
      </c>
      <c r="M52" s="44">
        <f>+SUMIFS('Monthly Energy Data'!AG$8:AG$595,'Monthly Energy Data'!$D$8:$D$595,'Peak Load Projections'!$H52,'Monthly Energy Data'!$E$8:$E$595,'Peak Load Projections'!$I52)*VLOOKUP($I52,$A$3:$E$14,5)</f>
        <v>80.112114382290443</v>
      </c>
      <c r="N52" s="44">
        <f t="shared" si="15"/>
        <v>86.013373491913825</v>
      </c>
      <c r="O52" s="269" t="str">
        <f t="shared" si="2"/>
        <v>W</v>
      </c>
      <c r="AA52">
        <f t="shared" si="22"/>
        <v>2029</v>
      </c>
      <c r="AB52">
        <f t="shared" si="17"/>
        <v>2</v>
      </c>
      <c r="AC52" s="271">
        <f t="shared" si="18"/>
        <v>47150</v>
      </c>
      <c r="AD52" s="44">
        <f>+L52*VLOOKUP($AB52,'Peak Loads - 2022-2024'!$L$4:$M$15,2)</f>
        <v>73.30436305920216</v>
      </c>
      <c r="AE52" s="44">
        <f>+M52*VLOOKUP($AB52,'Peak Loads - 2022-2024'!$L$4:$M$15,2)</f>
        <v>63.891541008254393</v>
      </c>
      <c r="AF52" s="44">
        <f>+K52*VLOOKUP($AB52,'Peak Loads - 2022-2024'!$L$4:$M$15,2)</f>
        <v>70.951593632751724</v>
      </c>
      <c r="AG52" s="44"/>
    </row>
    <row r="53" spans="5:33" x14ac:dyDescent="0.2">
      <c r="E53" s="175"/>
      <c r="H53">
        <f t="shared" si="14"/>
        <v>2029</v>
      </c>
      <c r="I53">
        <f t="shared" si="39"/>
        <v>3</v>
      </c>
      <c r="J53" s="268">
        <v>47178</v>
      </c>
      <c r="K53" s="44">
        <f>+SUMIFS('Monthly Energy Data'!AE$8:AE$595,'Monthly Energy Data'!$D$8:$D$595,'Peak Load Projections'!$H53,'Monthly Energy Data'!$E$8:$E$595,'Peak Load Projections'!$I53)*VLOOKUP($I53,$A$3:$E$14,5)</f>
        <v>80.778680474808283</v>
      </c>
      <c r="L53" s="44">
        <f>+SUMIFS('Monthly Energy Data'!AF$8:AF$595,'Monthly Energy Data'!$D$8:$D$595,'Peak Load Projections'!$H53,'Monthly Energy Data'!$E$8:$E$595,'Peak Load Projections'!$I53)*VLOOKUP($I53,$A$3:$E$14,5)</f>
        <v>82.627000466287782</v>
      </c>
      <c r="M53" s="44">
        <f>+SUMIFS('Monthly Energy Data'!AG$8:AG$595,'Monthly Energy Data'!$D$8:$D$595,'Peak Load Projections'!$H53,'Monthly Energy Data'!$E$8:$E$595,'Peak Load Projections'!$I53)*VLOOKUP($I53,$A$3:$E$14,5)</f>
        <v>73.493148108722949</v>
      </c>
      <c r="N53" s="44">
        <f t="shared" si="15"/>
        <v>78.060074287505358</v>
      </c>
      <c r="O53" s="269" t="str">
        <f t="shared" si="2"/>
        <v>W</v>
      </c>
      <c r="AA53">
        <f t="shared" si="22"/>
        <v>2029</v>
      </c>
      <c r="AB53">
        <f t="shared" si="17"/>
        <v>3</v>
      </c>
      <c r="AC53" s="271">
        <f t="shared" si="18"/>
        <v>47178</v>
      </c>
      <c r="AD53" s="44">
        <f>+L53*VLOOKUP($AB53,'Peak Loads - 2022-2024'!$L$4:$M$15,2)</f>
        <v>58.970377339215375</v>
      </c>
      <c r="AE53" s="44">
        <f>+M53*VLOOKUP($AB53,'Peak Loads - 2022-2024'!$L$4:$M$15,2)</f>
        <v>52.451603608514084</v>
      </c>
      <c r="AF53" s="44">
        <f>+K53*VLOOKUP($AB53,'Peak Loads - 2022-2024'!$L$4:$M$15,2)</f>
        <v>57.651242834440119</v>
      </c>
      <c r="AG53" s="44"/>
    </row>
    <row r="54" spans="5:33" x14ac:dyDescent="0.2">
      <c r="E54" s="175"/>
      <c r="H54">
        <f t="shared" si="14"/>
        <v>2029</v>
      </c>
      <c r="I54">
        <f t="shared" si="39"/>
        <v>4</v>
      </c>
      <c r="J54" s="268">
        <v>47209</v>
      </c>
      <c r="K54" s="44">
        <f>+SUMIFS('Monthly Energy Data'!AE$8:AE$595,'Monthly Energy Data'!$D$8:$D$595,'Peak Load Projections'!$H54,'Monthly Energy Data'!$E$8:$E$595,'Peak Load Projections'!$I54)*VLOOKUP($I54,$A$3:$E$14,5)</f>
        <v>79.202862662563604</v>
      </c>
      <c r="L54" s="44">
        <f>+SUMIFS('Monthly Energy Data'!AF$8:AF$595,'Monthly Energy Data'!$D$8:$D$595,'Peak Load Projections'!$H54,'Monthly Energy Data'!$E$8:$E$595,'Peak Load Projections'!$I54)*VLOOKUP($I54,$A$3:$E$14,5)</f>
        <v>79.680181034202164</v>
      </c>
      <c r="M54" s="44">
        <f>+SUMIFS('Monthly Energy Data'!AG$8:AG$595,'Monthly Energy Data'!$D$8:$D$595,'Peak Load Projections'!$H54,'Monthly Energy Data'!$E$8:$E$595,'Peak Load Projections'!$I54)*VLOOKUP($I54,$A$3:$E$14,5)</f>
        <v>71.595331785356478</v>
      </c>
      <c r="N54" s="44">
        <f t="shared" si="15"/>
        <v>75.637756409779314</v>
      </c>
      <c r="O54" s="269" t="str">
        <f t="shared" si="2"/>
        <v>W</v>
      </c>
      <c r="AA54">
        <f t="shared" si="22"/>
        <v>2029</v>
      </c>
      <c r="AB54">
        <f t="shared" si="17"/>
        <v>4</v>
      </c>
      <c r="AC54" s="271">
        <f t="shared" si="18"/>
        <v>47209</v>
      </c>
      <c r="AD54" s="44">
        <f>+L54*VLOOKUP($AB54,'Peak Loads - 2022-2024'!$L$4:$M$15,2)</f>
        <v>55.595642762398114</v>
      </c>
      <c r="AE54" s="44">
        <f>+M54*VLOOKUP($AB54,'Peak Loads - 2022-2024'!$L$4:$M$15,2)</f>
        <v>49.954561319150258</v>
      </c>
      <c r="AF54" s="44">
        <f>+K54*VLOOKUP($AB54,'Peak Loads - 2022-2024'!$L$4:$M$15,2)</f>
        <v>55.262601078391945</v>
      </c>
      <c r="AG54" s="44"/>
    </row>
    <row r="55" spans="5:33" x14ac:dyDescent="0.2">
      <c r="E55" s="175"/>
      <c r="H55">
        <f t="shared" si="14"/>
        <v>2029</v>
      </c>
      <c r="I55">
        <f t="shared" si="39"/>
        <v>5</v>
      </c>
      <c r="J55" s="268">
        <v>47239</v>
      </c>
      <c r="K55" s="44">
        <f>+SUMIFS('Monthly Energy Data'!AE$8:AE$595,'Monthly Energy Data'!$D$8:$D$595,'Peak Load Projections'!$H55,'Monthly Energy Data'!$E$8:$E$595,'Peak Load Projections'!$I55)*VLOOKUP($I55,$A$3:$E$14,5)</f>
        <v>70.595297859584846</v>
      </c>
      <c r="L55" s="44">
        <f>+SUMIFS('Monthly Energy Data'!AF$8:AF$595,'Monthly Energy Data'!$D$8:$D$595,'Peak Load Projections'!$H55,'Monthly Energy Data'!$E$8:$E$595,'Peak Load Projections'!$I55)*VLOOKUP($I55,$A$3:$E$14,5)</f>
        <v>69.972793966299221</v>
      </c>
      <c r="M55" s="44">
        <f>+SUMIFS('Monthly Energy Data'!AG$8:AG$595,'Monthly Energy Data'!$D$8:$D$595,'Peak Load Projections'!$H55,'Monthly Energy Data'!$E$8:$E$595,'Peak Load Projections'!$I55)*VLOOKUP($I55,$A$3:$E$14,5)</f>
        <v>64.492411230047523</v>
      </c>
      <c r="N55" s="44">
        <f t="shared" si="15"/>
        <v>67.543854544816185</v>
      </c>
      <c r="O55" s="269" t="str">
        <f t="shared" si="2"/>
        <v>W</v>
      </c>
      <c r="AA55">
        <f t="shared" si="22"/>
        <v>2029</v>
      </c>
      <c r="AB55">
        <f t="shared" si="17"/>
        <v>5</v>
      </c>
      <c r="AC55" s="271">
        <f t="shared" si="18"/>
        <v>47239</v>
      </c>
      <c r="AD55" s="44">
        <f>+L55*VLOOKUP($AB55,'Peak Loads - 2022-2024'!$L$4:$M$15,2)</f>
        <v>49.831055372319199</v>
      </c>
      <c r="AE55" s="44">
        <f>+M55*VLOOKUP($AB55,'Peak Loads - 2022-2024'!$L$4:$M$15,2)</f>
        <v>45.928206277524019</v>
      </c>
      <c r="AF55" s="44">
        <f>+K55*VLOOKUP($AB55,'Peak Loads - 2022-2024'!$L$4:$M$15,2)</f>
        <v>50.274370898504138</v>
      </c>
      <c r="AG55" s="44"/>
    </row>
    <row r="56" spans="5:33" x14ac:dyDescent="0.2">
      <c r="E56" s="175"/>
      <c r="H56">
        <f t="shared" si="14"/>
        <v>2029</v>
      </c>
      <c r="I56">
        <f t="shared" ref="I56:I119" si="40">+MONTH(J56)</f>
        <v>6</v>
      </c>
      <c r="J56" s="268">
        <v>47270</v>
      </c>
      <c r="K56" s="44">
        <f>+SUMIFS('Monthly Energy Data'!AE$8:AE$595,'Monthly Energy Data'!$D$8:$D$595,'Peak Load Projections'!$H56,'Monthly Energy Data'!$E$8:$E$595,'Peak Load Projections'!$I56)*VLOOKUP($I56,$A$3:$E$14,5)</f>
        <v>86.764550451937595</v>
      </c>
      <c r="L56" s="44">
        <f>+SUMIFS('Monthly Energy Data'!AF$8:AF$595,'Monthly Energy Data'!$D$8:$D$595,'Peak Load Projections'!$H56,'Monthly Energy Data'!$E$8:$E$595,'Peak Load Projections'!$I56)*VLOOKUP($I56,$A$3:$E$14,5)</f>
        <v>86.348787955550577</v>
      </c>
      <c r="M56" s="44">
        <f>+SUMIFS('Monthly Energy Data'!AG$8:AG$595,'Monthly Energy Data'!$D$8:$D$595,'Peak Load Projections'!$H56,'Monthly Energy Data'!$E$8:$E$595,'Peak Load Projections'!$I56)*VLOOKUP($I56,$A$3:$E$14,5)</f>
        <v>79.483060983826618</v>
      </c>
      <c r="N56" s="44">
        <f t="shared" si="15"/>
        <v>83.123805717882107</v>
      </c>
      <c r="O56" s="269" t="str">
        <f t="shared" si="2"/>
        <v>S</v>
      </c>
      <c r="AA56">
        <f t="shared" si="22"/>
        <v>2029</v>
      </c>
      <c r="AB56">
        <f t="shared" si="17"/>
        <v>6</v>
      </c>
      <c r="AC56" s="271">
        <f t="shared" si="18"/>
        <v>47270</v>
      </c>
      <c r="AD56" s="44">
        <f>+L56*VLOOKUP($AB56,'Peak Loads - 2022-2024'!$L$4:$M$15,2)</f>
        <v>73.392735422861563</v>
      </c>
      <c r="AE56" s="44">
        <f>+M56*VLOOKUP($AB56,'Peak Loads - 2022-2024'!$L$4:$M$15,2)</f>
        <v>67.557164420049943</v>
      </c>
      <c r="AF56" s="44">
        <f>+K56*VLOOKUP($AB56,'Peak Loads - 2022-2024'!$L$4:$M$15,2)</f>
        <v>73.746115564245699</v>
      </c>
      <c r="AG56" s="44"/>
    </row>
    <row r="57" spans="5:33" x14ac:dyDescent="0.2">
      <c r="E57" s="175"/>
      <c r="H57">
        <f t="shared" si="14"/>
        <v>2029</v>
      </c>
      <c r="I57">
        <f t="shared" si="40"/>
        <v>7</v>
      </c>
      <c r="J57" s="268">
        <v>47300</v>
      </c>
      <c r="K57" s="44">
        <f>+SUMIFS('Monthly Energy Data'!AE$8:AE$595,'Monthly Energy Data'!$D$8:$D$595,'Peak Load Projections'!$H57,'Monthly Energy Data'!$E$8:$E$595,'Peak Load Projections'!$I57)*VLOOKUP($I57,$A$3:$E$14,5)</f>
        <v>89.60953171743607</v>
      </c>
      <c r="L57" s="44">
        <f>+SUMIFS('Monthly Energy Data'!AF$8:AF$595,'Monthly Energy Data'!$D$8:$D$595,'Peak Load Projections'!$H57,'Monthly Energy Data'!$E$8:$E$595,'Peak Load Projections'!$I57)*VLOOKUP($I57,$A$3:$E$14,5)</f>
        <v>90.385017640305406</v>
      </c>
      <c r="M57" s="44">
        <f>+SUMIFS('Monthly Energy Data'!AG$8:AG$595,'Monthly Energy Data'!$D$8:$D$595,'Peak Load Projections'!$H57,'Monthly Energy Data'!$E$8:$E$595,'Peak Load Projections'!$I57)*VLOOKUP($I57,$A$3:$E$14,5)</f>
        <v>82.523634745381088</v>
      </c>
      <c r="N57" s="44">
        <f t="shared" si="15"/>
        <v>86.45432619284324</v>
      </c>
      <c r="O57" s="269" t="str">
        <f t="shared" si="2"/>
        <v>S</v>
      </c>
      <c r="AA57">
        <f t="shared" si="22"/>
        <v>2029</v>
      </c>
      <c r="AB57">
        <f t="shared" si="17"/>
        <v>7</v>
      </c>
      <c r="AC57" s="271">
        <f t="shared" si="18"/>
        <v>47300</v>
      </c>
      <c r="AD57" s="44">
        <f>+L57*VLOOKUP($AB57,'Peak Loads - 2022-2024'!$L$4:$M$15,2)</f>
        <v>64.842428548257416</v>
      </c>
      <c r="AE57" s="44">
        <f>+M57*VLOOKUP($AB57,'Peak Loads - 2022-2024'!$L$4:$M$15,2)</f>
        <v>59.202653594810819</v>
      </c>
      <c r="AF57" s="44">
        <f>+K57*VLOOKUP($AB57,'Peak Loads - 2022-2024'!$L$4:$M$15,2)</f>
        <v>64.286093086290194</v>
      </c>
      <c r="AG57" s="44"/>
    </row>
    <row r="58" spans="5:33" x14ac:dyDescent="0.2">
      <c r="E58" s="175"/>
      <c r="H58">
        <f t="shared" si="14"/>
        <v>2029</v>
      </c>
      <c r="I58">
        <f t="shared" si="40"/>
        <v>8</v>
      </c>
      <c r="J58" s="268">
        <v>47331</v>
      </c>
      <c r="K58" s="44">
        <f>+SUMIFS('Monthly Energy Data'!AE$8:AE$595,'Monthly Energy Data'!$D$8:$D$595,'Peak Load Projections'!$H58,'Monthly Energy Data'!$E$8:$E$595,'Peak Load Projections'!$I58)*VLOOKUP($I58,$A$3:$E$14,5)</f>
        <v>88.314338941428701</v>
      </c>
      <c r="L58" s="44">
        <f>+SUMIFS('Monthly Energy Data'!AF$8:AF$595,'Monthly Energy Data'!$D$8:$D$595,'Peak Load Projections'!$H58,'Monthly Energy Data'!$E$8:$E$595,'Peak Load Projections'!$I58)*VLOOKUP($I58,$A$3:$E$14,5)</f>
        <v>88.406327106020782</v>
      </c>
      <c r="M58" s="44">
        <f>+SUMIFS('Monthly Energy Data'!AG$8:AG$595,'Monthly Energy Data'!$D$8:$D$595,'Peak Load Projections'!$H58,'Monthly Energy Data'!$E$8:$E$595,'Peak Load Projections'!$I58)*VLOOKUP($I58,$A$3:$E$14,5)</f>
        <v>81.127063492085369</v>
      </c>
      <c r="N58" s="44">
        <f t="shared" si="15"/>
        <v>84.766695299053083</v>
      </c>
      <c r="O58" s="269" t="str">
        <f t="shared" si="2"/>
        <v>S</v>
      </c>
      <c r="AA58">
        <f t="shared" si="22"/>
        <v>2029</v>
      </c>
      <c r="AB58">
        <f t="shared" si="17"/>
        <v>8</v>
      </c>
      <c r="AC58" s="271">
        <f t="shared" si="18"/>
        <v>47331</v>
      </c>
      <c r="AD58" s="44">
        <f>+L58*VLOOKUP($AB58,'Peak Loads - 2022-2024'!$L$4:$M$15,2)</f>
        <v>63.229239978617123</v>
      </c>
      <c r="AE58" s="44">
        <f>+M58*VLOOKUP($AB58,'Peak Loads - 2022-2024'!$L$4:$M$15,2)</f>
        <v>58.02302543515836</v>
      </c>
      <c r="AF58" s="44">
        <f>+K58*VLOOKUP($AB58,'Peak Loads - 2022-2024'!$L$4:$M$15,2)</f>
        <v>63.163448966541594</v>
      </c>
      <c r="AG58" s="44"/>
    </row>
    <row r="59" spans="5:33" x14ac:dyDescent="0.2">
      <c r="E59" s="175"/>
      <c r="H59">
        <f t="shared" si="14"/>
        <v>2029</v>
      </c>
      <c r="I59">
        <f t="shared" si="40"/>
        <v>9</v>
      </c>
      <c r="J59" s="268">
        <v>47362</v>
      </c>
      <c r="K59" s="44">
        <f>+SUMIFS('Monthly Energy Data'!AE$8:AE$595,'Monthly Energy Data'!$D$8:$D$595,'Peak Load Projections'!$H59,'Monthly Energy Data'!$E$8:$E$595,'Peak Load Projections'!$I59)*VLOOKUP($I59,$A$3:$E$14,5)</f>
        <v>74.654591988267754</v>
      </c>
      <c r="L59" s="44">
        <f>+SUMIFS('Monthly Energy Data'!AF$8:AF$595,'Monthly Energy Data'!$D$8:$D$595,'Peak Load Projections'!$H59,'Monthly Energy Data'!$E$8:$E$595,'Peak Load Projections'!$I59)*VLOOKUP($I59,$A$3:$E$14,5)</f>
        <v>74.178654901305507</v>
      </c>
      <c r="M59" s="44">
        <f>+SUMIFS('Monthly Energy Data'!AG$8:AG$595,'Monthly Energy Data'!$D$8:$D$595,'Peak Load Projections'!$H59,'Monthly Energy Data'!$E$8:$E$595,'Peak Load Projections'!$I59)*VLOOKUP($I59,$A$3:$E$14,5)</f>
        <v>67.782041130605464</v>
      </c>
      <c r="N59" s="44">
        <f t="shared" si="15"/>
        <v>71.218316559436602</v>
      </c>
      <c r="O59" s="269" t="str">
        <f t="shared" si="2"/>
        <v>S</v>
      </c>
      <c r="AA59">
        <f t="shared" si="22"/>
        <v>2029</v>
      </c>
      <c r="AB59">
        <f t="shared" si="17"/>
        <v>9</v>
      </c>
      <c r="AC59" s="271">
        <f t="shared" si="18"/>
        <v>47362</v>
      </c>
      <c r="AD59" s="44">
        <f>+L59*VLOOKUP($AB59,'Peak Loads - 2022-2024'!$L$4:$M$15,2)</f>
        <v>53.048307543045425</v>
      </c>
      <c r="AE59" s="44">
        <f>+M59*VLOOKUP($AB59,'Peak Loads - 2022-2024'!$L$4:$M$15,2)</f>
        <v>48.473817280399757</v>
      </c>
      <c r="AF59" s="44">
        <f>+K59*VLOOKUP($AB59,'Peak Loads - 2022-2024'!$L$4:$M$15,2)</f>
        <v>53.388670373753349</v>
      </c>
      <c r="AG59" s="44"/>
    </row>
    <row r="60" spans="5:33" x14ac:dyDescent="0.2">
      <c r="E60" s="175"/>
      <c r="H60">
        <f t="shared" si="14"/>
        <v>2029</v>
      </c>
      <c r="I60">
        <f t="shared" si="40"/>
        <v>10</v>
      </c>
      <c r="J60" s="268">
        <v>47392</v>
      </c>
      <c r="K60" s="44">
        <f>+SUMIFS('Monthly Energy Data'!AE$8:AE$595,'Monthly Energy Data'!$D$8:$D$595,'Peak Load Projections'!$H60,'Monthly Energy Data'!$E$8:$E$595,'Peak Load Projections'!$I60)*VLOOKUP($I60,$A$3:$E$14,5)</f>
        <v>72.246984423323255</v>
      </c>
      <c r="L60" s="44">
        <f>+SUMIFS('Monthly Energy Data'!AF$8:AF$595,'Monthly Energy Data'!$D$8:$D$595,'Peak Load Projections'!$H60,'Monthly Energy Data'!$E$8:$E$595,'Peak Load Projections'!$I60)*VLOOKUP($I60,$A$3:$E$14,5)</f>
        <v>72.811499244078476</v>
      </c>
      <c r="M60" s="44">
        <f>+SUMIFS('Monthly Energy Data'!AG$8:AG$595,'Monthly Energy Data'!$D$8:$D$595,'Peak Load Projections'!$H60,'Monthly Energy Data'!$E$8:$E$595,'Peak Load Projections'!$I60)*VLOOKUP($I60,$A$3:$E$14,5)</f>
        <v>65.506382845008645</v>
      </c>
      <c r="N60" s="44">
        <f t="shared" si="15"/>
        <v>69.158941044543553</v>
      </c>
      <c r="O60" s="269" t="str">
        <f t="shared" si="2"/>
        <v>W</v>
      </c>
      <c r="AA60">
        <f t="shared" si="22"/>
        <v>2029</v>
      </c>
      <c r="AB60">
        <f t="shared" si="17"/>
        <v>10</v>
      </c>
      <c r="AC60" s="271">
        <f t="shared" si="18"/>
        <v>47392</v>
      </c>
      <c r="AD60" s="44">
        <f>+L60*VLOOKUP($AB60,'Peak Loads - 2022-2024'!$L$4:$M$15,2)</f>
        <v>50.577200246900006</v>
      </c>
      <c r="AE60" s="44">
        <f>+M60*VLOOKUP($AB60,'Peak Loads - 2022-2024'!$L$4:$M$15,2)</f>
        <v>45.502832341026732</v>
      </c>
      <c r="AF60" s="44">
        <f>+K60*VLOOKUP($AB60,'Peak Loads - 2022-2024'!$L$4:$M$15,2)</f>
        <v>50.18507016541426</v>
      </c>
      <c r="AG60" s="44"/>
    </row>
    <row r="61" spans="5:33" x14ac:dyDescent="0.2">
      <c r="E61" s="175"/>
      <c r="H61">
        <f t="shared" si="14"/>
        <v>2029</v>
      </c>
      <c r="I61">
        <f t="shared" si="40"/>
        <v>11</v>
      </c>
      <c r="J61" s="268">
        <v>47423</v>
      </c>
      <c r="K61" s="44">
        <f>+SUMIFS('Monthly Energy Data'!AE$8:AE$595,'Monthly Energy Data'!$D$8:$D$595,'Peak Load Projections'!$H61,'Monthly Energy Data'!$E$8:$E$595,'Peak Load Projections'!$I61)*VLOOKUP($I61,$A$3:$E$14,5)</f>
        <v>86.378773185408733</v>
      </c>
      <c r="L61" s="44">
        <f>+SUMIFS('Monthly Energy Data'!AF$8:AF$595,'Monthly Energy Data'!$D$8:$D$595,'Peak Load Projections'!$H61,'Monthly Energy Data'!$E$8:$E$595,'Peak Load Projections'!$I61)*VLOOKUP($I61,$A$3:$E$14,5)</f>
        <v>90.134948799946116</v>
      </c>
      <c r="M61" s="44">
        <f>+SUMIFS('Monthly Energy Data'!AG$8:AG$595,'Monthly Energy Data'!$D$8:$D$595,'Peak Load Projections'!$H61,'Monthly Energy Data'!$E$8:$E$595,'Peak Load Projections'!$I61)*VLOOKUP($I61,$A$3:$E$14,5)</f>
        <v>76.801494805368122</v>
      </c>
      <c r="N61" s="44">
        <f t="shared" si="15"/>
        <v>83.468221802657126</v>
      </c>
      <c r="O61" s="269" t="str">
        <f t="shared" si="2"/>
        <v>W</v>
      </c>
      <c r="AA61">
        <f t="shared" si="22"/>
        <v>2029</v>
      </c>
      <c r="AB61">
        <f t="shared" si="17"/>
        <v>11</v>
      </c>
      <c r="AC61" s="271">
        <f t="shared" si="18"/>
        <v>47423</v>
      </c>
      <c r="AD61" s="44">
        <f>+L61*VLOOKUP($AB61,'Peak Loads - 2022-2024'!$L$4:$M$15,2)</f>
        <v>64.108174592314839</v>
      </c>
      <c r="AE61" s="44">
        <f>+M61*VLOOKUP($AB61,'Peak Loads - 2022-2024'!$L$4:$M$15,2)</f>
        <v>54.624800962179542</v>
      </c>
      <c r="AF61" s="44">
        <f>+K61*VLOOKUP($AB61,'Peak Loads - 2022-2024'!$L$4:$M$15,2)</f>
        <v>61.436607510930948</v>
      </c>
      <c r="AG61" s="44"/>
    </row>
    <row r="62" spans="5:33" x14ac:dyDescent="0.2">
      <c r="E62" s="175"/>
      <c r="H62">
        <f t="shared" si="14"/>
        <v>2029</v>
      </c>
      <c r="I62">
        <f t="shared" si="40"/>
        <v>12</v>
      </c>
      <c r="J62" s="268">
        <v>47453</v>
      </c>
      <c r="K62" s="44">
        <f>+SUMIFS('Monthly Energy Data'!AE$8:AE$595,'Monthly Energy Data'!$D$8:$D$595,'Peak Load Projections'!$H62,'Monthly Energy Data'!$E$8:$E$595,'Peak Load Projections'!$I62)*VLOOKUP($I62,$A$3:$E$14,5)</f>
        <v>94.851683468268661</v>
      </c>
      <c r="L62" s="44">
        <f>+SUMIFS('Monthly Energy Data'!AF$8:AF$595,'Monthly Energy Data'!$D$8:$D$595,'Peak Load Projections'!$H62,'Monthly Energy Data'!$E$8:$E$595,'Peak Load Projections'!$I62)*VLOOKUP($I62,$A$3:$E$14,5)</f>
        <v>98.109764889105378</v>
      </c>
      <c r="M62" s="44">
        <f>+SUMIFS('Monthly Energy Data'!AG$8:AG$595,'Monthly Energy Data'!$D$8:$D$595,'Peak Load Projections'!$H62,'Monthly Energy Data'!$E$8:$E$595,'Peak Load Projections'!$I62)*VLOOKUP($I62,$A$3:$E$14,5)</f>
        <v>84.527078609414048</v>
      </c>
      <c r="N62" s="44">
        <f t="shared" si="15"/>
        <v>91.318421749259713</v>
      </c>
      <c r="O62" s="269" t="str">
        <f t="shared" si="2"/>
        <v>W</v>
      </c>
      <c r="AA62">
        <f t="shared" si="22"/>
        <v>2029</v>
      </c>
      <c r="AB62">
        <f t="shared" si="17"/>
        <v>12</v>
      </c>
      <c r="AC62" s="271">
        <f t="shared" si="18"/>
        <v>47453</v>
      </c>
      <c r="AD62" s="44">
        <f>+L62*VLOOKUP($AB62,'Peak Loads - 2022-2024'!$L$4:$M$15,2)</f>
        <v>84.053647903397263</v>
      </c>
      <c r="AE62" s="44">
        <f>+M62*VLOOKUP($AB62,'Peak Loads - 2022-2024'!$L$4:$M$15,2)</f>
        <v>72.416943530229844</v>
      </c>
      <c r="AF62" s="44">
        <f>+K62*VLOOKUP($AB62,'Peak Loads - 2022-2024'!$L$4:$M$15,2)</f>
        <v>81.262349515340276</v>
      </c>
      <c r="AG62" s="44"/>
    </row>
    <row r="63" spans="5:33" x14ac:dyDescent="0.2">
      <c r="E63" s="175"/>
      <c r="H63">
        <f t="shared" si="14"/>
        <v>2030</v>
      </c>
      <c r="I63">
        <f t="shared" si="40"/>
        <v>1</v>
      </c>
      <c r="J63" s="268">
        <v>47484</v>
      </c>
      <c r="K63" s="44">
        <f>+SUMIFS('Monthly Energy Data'!AE$8:AE$595,'Monthly Energy Data'!$D$8:$D$595,'Peak Load Projections'!$H63,'Monthly Energy Data'!$E$8:$E$595,'Peak Load Projections'!$I63)*VLOOKUP($I63,$A$3:$E$14,5)</f>
        <v>97.182406281934703</v>
      </c>
      <c r="L63" s="44">
        <f>+SUMIFS('Monthly Energy Data'!AF$8:AF$595,'Monthly Energy Data'!$D$8:$D$595,'Peak Load Projections'!$H63,'Monthly Energy Data'!$E$8:$E$595,'Peak Load Projections'!$I63)*VLOOKUP($I63,$A$3:$E$14,5)</f>
        <v>101.09561829022769</v>
      </c>
      <c r="M63" s="44">
        <f>+SUMIFS('Monthly Energy Data'!AG$8:AG$595,'Monthly Energy Data'!$D$8:$D$595,'Peak Load Projections'!$H63,'Monthly Energy Data'!$E$8:$E$595,'Peak Load Projections'!$I63)*VLOOKUP($I63,$A$3:$E$14,5)</f>
        <v>86.593837885711693</v>
      </c>
      <c r="N63" s="44">
        <f t="shared" si="15"/>
        <v>93.844728087969685</v>
      </c>
      <c r="O63" s="269" t="str">
        <f t="shared" si="2"/>
        <v>W</v>
      </c>
      <c r="AA63">
        <f t="shared" si="22"/>
        <v>2030</v>
      </c>
      <c r="AB63">
        <f t="shared" si="17"/>
        <v>1</v>
      </c>
      <c r="AC63" s="271">
        <f t="shared" si="18"/>
        <v>47484</v>
      </c>
      <c r="AD63" s="44">
        <f>+L63*VLOOKUP($AB63,'Peak Loads - 2022-2024'!$L$4:$M$15,2)</f>
        <v>89.451152441375726</v>
      </c>
      <c r="AE63" s="44">
        <f>+M63*VLOOKUP($AB63,'Peak Loads - 2022-2024'!$L$4:$M$15,2)</f>
        <v>76.619726197839825</v>
      </c>
      <c r="AF63" s="44">
        <f>+K63*VLOOKUP($AB63,'Peak Loads - 2022-2024'!$L$4:$M$15,2)</f>
        <v>85.988674741458695</v>
      </c>
      <c r="AG63" s="44"/>
    </row>
    <row r="64" spans="5:33" x14ac:dyDescent="0.2">
      <c r="E64" s="175"/>
      <c r="H64">
        <f t="shared" si="14"/>
        <v>2030</v>
      </c>
      <c r="I64">
        <f t="shared" si="40"/>
        <v>2</v>
      </c>
      <c r="J64" s="268">
        <v>47515</v>
      </c>
      <c r="K64" s="44">
        <f>+SUMIFS('Monthly Energy Data'!AE$8:AE$595,'Monthly Energy Data'!$D$8:$D$595,'Peak Load Projections'!$H64,'Monthly Energy Data'!$E$8:$E$595,'Peak Load Projections'!$I64)*VLOOKUP($I64,$A$3:$E$14,5)</f>
        <v>92.330567869420435</v>
      </c>
      <c r="L64" s="44">
        <f>+SUMIFS('Monthly Energy Data'!AF$8:AF$595,'Monthly Energy Data'!$D$8:$D$595,'Peak Load Projections'!$H64,'Monthly Energy Data'!$E$8:$E$595,'Peak Load Projections'!$I64)*VLOOKUP($I64,$A$3:$E$14,5)</f>
        <v>94.902129211084556</v>
      </c>
      <c r="M64" s="44">
        <f>+SUMIFS('Monthly Energy Data'!AG$8:AG$595,'Monthly Energy Data'!$D$8:$D$595,'Peak Load Projections'!$H64,'Monthly Energy Data'!$E$8:$E$595,'Peak Load Projections'!$I64)*VLOOKUP($I64,$A$3:$E$14,5)</f>
        <v>81.651018399765917</v>
      </c>
      <c r="N64" s="44">
        <f t="shared" si="15"/>
        <v>88.276573805425244</v>
      </c>
      <c r="O64" s="269" t="str">
        <f t="shared" si="2"/>
        <v>W</v>
      </c>
      <c r="AA64">
        <f t="shared" si="22"/>
        <v>2030</v>
      </c>
      <c r="AB64">
        <f t="shared" si="17"/>
        <v>2</v>
      </c>
      <c r="AC64" s="271">
        <f t="shared" si="18"/>
        <v>47515</v>
      </c>
      <c r="AD64" s="44">
        <f>+L64*VLOOKUP($AB64,'Peak Loads - 2022-2024'!$L$4:$M$15,2)</f>
        <v>75.686971028205051</v>
      </c>
      <c r="AE64" s="44">
        <f>+M64*VLOOKUP($AB64,'Peak Loads - 2022-2024'!$L$4:$M$15,2)</f>
        <v>65.118857874104549</v>
      </c>
      <c r="AF64" s="44">
        <f>+K64*VLOOKUP($AB64,'Peak Loads - 2022-2024'!$L$4:$M$15,2)</f>
        <v>73.636082493018733</v>
      </c>
      <c r="AG64" s="44"/>
    </row>
    <row r="65" spans="5:33" x14ac:dyDescent="0.2">
      <c r="E65" s="175"/>
      <c r="H65">
        <f t="shared" si="14"/>
        <v>2030</v>
      </c>
      <c r="I65">
        <f t="shared" si="40"/>
        <v>3</v>
      </c>
      <c r="J65" s="268">
        <v>47543</v>
      </c>
      <c r="K65" s="44">
        <f>+SUMIFS('Monthly Energy Data'!AE$8:AE$595,'Monthly Energy Data'!$D$8:$D$595,'Peak Load Projections'!$H65,'Monthly Energy Data'!$E$8:$E$595,'Peak Load Projections'!$I65)*VLOOKUP($I65,$A$3:$E$14,5)</f>
        <v>83.458896393523403</v>
      </c>
      <c r="L65" s="44">
        <f>+SUMIFS('Monthly Energy Data'!AF$8:AF$595,'Monthly Energy Data'!$D$8:$D$595,'Peak Load Projections'!$H65,'Monthly Energy Data'!$E$8:$E$595,'Peak Load Projections'!$I65)*VLOOKUP($I65,$A$3:$E$14,5)</f>
        <v>84.940494906282368</v>
      </c>
      <c r="M65" s="44">
        <f>+SUMIFS('Monthly Energy Data'!AG$8:AG$595,'Monthly Energy Data'!$D$8:$D$595,'Peak Load Projections'!$H65,'Monthly Energy Data'!$E$8:$E$595,'Peak Load Projections'!$I65)*VLOOKUP($I65,$A$3:$E$14,5)</f>
        <v>74.689301720115722</v>
      </c>
      <c r="N65" s="44">
        <f t="shared" si="15"/>
        <v>79.814898313199052</v>
      </c>
      <c r="O65" s="269" t="str">
        <f t="shared" si="2"/>
        <v>W</v>
      </c>
      <c r="AA65">
        <f t="shared" si="22"/>
        <v>2030</v>
      </c>
      <c r="AB65">
        <f t="shared" si="17"/>
        <v>3</v>
      </c>
      <c r="AC65" s="271">
        <f t="shared" si="18"/>
        <v>47543</v>
      </c>
      <c r="AD65" s="44">
        <f>+L65*VLOOKUP($AB65,'Peak Loads - 2022-2024'!$L$4:$M$15,2)</f>
        <v>60.62150396040164</v>
      </c>
      <c r="AE65" s="44">
        <f>+M65*VLOOKUP($AB65,'Peak Loads - 2022-2024'!$L$4:$M$15,2)</f>
        <v>53.305291016037451</v>
      </c>
      <c r="AF65" s="44">
        <f>+K65*VLOOKUP($AB65,'Peak Loads - 2022-2024'!$L$4:$M$15,2)</f>
        <v>59.564096298625707</v>
      </c>
      <c r="AG65" s="44"/>
    </row>
    <row r="66" spans="5:33" x14ac:dyDescent="0.2">
      <c r="E66" s="175"/>
      <c r="H66">
        <f t="shared" si="14"/>
        <v>2030</v>
      </c>
      <c r="I66">
        <f t="shared" si="40"/>
        <v>4</v>
      </c>
      <c r="J66" s="268">
        <v>47574</v>
      </c>
      <c r="K66" s="44">
        <f>+SUMIFS('Monthly Energy Data'!AE$8:AE$595,'Monthly Energy Data'!$D$8:$D$595,'Peak Load Projections'!$H66,'Monthly Energy Data'!$E$8:$E$595,'Peak Load Projections'!$I66)*VLOOKUP($I66,$A$3:$E$14,5)</f>
        <v>81.760806172876585</v>
      </c>
      <c r="L66" s="44">
        <f>+SUMIFS('Monthly Energy Data'!AF$8:AF$595,'Monthly Energy Data'!$D$8:$D$595,'Peak Load Projections'!$H66,'Monthly Energy Data'!$E$8:$E$595,'Peak Load Projections'!$I66)*VLOOKUP($I66,$A$3:$E$14,5)</f>
        <v>81.721177097750186</v>
      </c>
      <c r="M66" s="44">
        <f>+SUMIFS('Monthly Energy Data'!AG$8:AG$595,'Monthly Energy Data'!$D$8:$D$595,'Peak Load Projections'!$H66,'Monthly Energy Data'!$E$8:$E$595,'Peak Load Projections'!$I66)*VLOOKUP($I66,$A$3:$E$14,5)</f>
        <v>72.597308660585426</v>
      </c>
      <c r="N66" s="44">
        <f t="shared" si="15"/>
        <v>77.179057416731013</v>
      </c>
      <c r="O66" s="269" t="str">
        <f t="shared" si="2"/>
        <v>W</v>
      </c>
      <c r="AA66">
        <f t="shared" si="22"/>
        <v>2030</v>
      </c>
      <c r="AB66">
        <f t="shared" si="17"/>
        <v>4</v>
      </c>
      <c r="AC66" s="271">
        <f t="shared" si="18"/>
        <v>47574</v>
      </c>
      <c r="AD66" s="44">
        <f>+L66*VLOOKUP($AB66,'Peak Loads - 2022-2024'!$L$4:$M$15,2)</f>
        <v>57.019716936875334</v>
      </c>
      <c r="AE66" s="44">
        <f>+M66*VLOOKUP($AB66,'Peak Loads - 2022-2024'!$L$4:$M$15,2)</f>
        <v>50.653675549168149</v>
      </c>
      <c r="AF66" s="44">
        <f>+K66*VLOOKUP($AB66,'Peak Loads - 2022-2024'!$L$4:$M$15,2)</f>
        <v>57.047367525455016</v>
      </c>
      <c r="AG66" s="44"/>
    </row>
    <row r="67" spans="5:33" x14ac:dyDescent="0.2">
      <c r="E67" s="175"/>
      <c r="H67">
        <f t="shared" si="14"/>
        <v>2030</v>
      </c>
      <c r="I67">
        <f t="shared" si="40"/>
        <v>5</v>
      </c>
      <c r="J67" s="268">
        <v>47604</v>
      </c>
      <c r="K67" s="44">
        <f>+SUMIFS('Monthly Energy Data'!AE$8:AE$595,'Monthly Energy Data'!$D$8:$D$595,'Peak Load Projections'!$H67,'Monthly Energy Data'!$E$8:$E$595,'Peak Load Projections'!$I67)*VLOOKUP($I67,$A$3:$E$14,5)</f>
        <v>72.468115923354631</v>
      </c>
      <c r="L67" s="44">
        <f>+SUMIFS('Monthly Energy Data'!AF$8:AF$595,'Monthly Energy Data'!$D$8:$D$595,'Peak Load Projections'!$H67,'Monthly Energy Data'!$E$8:$E$595,'Peak Load Projections'!$I67)*VLOOKUP($I67,$A$3:$E$14,5)</f>
        <v>71.347778346288564</v>
      </c>
      <c r="M67" s="44">
        <f>+SUMIFS('Monthly Energy Data'!AG$8:AG$595,'Monthly Energy Data'!$D$8:$D$595,'Peak Load Projections'!$H67,'Monthly Energy Data'!$E$8:$E$595,'Peak Load Projections'!$I67)*VLOOKUP($I67,$A$3:$E$14,5)</f>
        <v>65.118332462138625</v>
      </c>
      <c r="N67" s="44">
        <f t="shared" si="15"/>
        <v>68.793224192746635</v>
      </c>
      <c r="O67" s="269" t="str">
        <f t="shared" ref="O67:O130" si="41">+IF(I67&lt;6,"W",IF(I67&gt;9,"W","S"))</f>
        <v>W</v>
      </c>
      <c r="AA67">
        <f t="shared" si="22"/>
        <v>2030</v>
      </c>
      <c r="AB67">
        <f t="shared" si="17"/>
        <v>5</v>
      </c>
      <c r="AC67" s="271">
        <f t="shared" si="18"/>
        <v>47604</v>
      </c>
      <c r="AD67" s="44">
        <f>+L67*VLOOKUP($AB67,'Peak Loads - 2022-2024'!$L$4:$M$15,2)</f>
        <v>50.810249125941823</v>
      </c>
      <c r="AE67" s="44">
        <f>+M67*VLOOKUP($AB67,'Peak Loads - 2022-2024'!$L$4:$M$15,2)</f>
        <v>46.373955458127902</v>
      </c>
      <c r="AF67" s="44">
        <f>+K67*VLOOKUP($AB67,'Peak Loads - 2022-2024'!$L$4:$M$15,2)</f>
        <v>51.608096413065404</v>
      </c>
      <c r="AG67" s="44"/>
    </row>
    <row r="68" spans="5:33" x14ac:dyDescent="0.2">
      <c r="E68" s="175"/>
      <c r="H68">
        <f t="shared" ref="H68:H131" si="42">+YEAR(J68)</f>
        <v>2030</v>
      </c>
      <c r="I68">
        <f t="shared" si="40"/>
        <v>6</v>
      </c>
      <c r="J68" s="268">
        <v>47635</v>
      </c>
      <c r="K68" s="44">
        <f>+SUMIFS('Monthly Energy Data'!AE$8:AE$595,'Monthly Energy Data'!$D$8:$D$595,'Peak Load Projections'!$H68,'Monthly Energy Data'!$E$8:$E$595,'Peak Load Projections'!$I68)*VLOOKUP($I68,$A$3:$E$14,5)</f>
        <v>89.080097882197023</v>
      </c>
      <c r="L68" s="44">
        <f>+SUMIFS('Monthly Energy Data'!AF$8:AF$595,'Monthly Energy Data'!$D$8:$D$595,'Peak Load Projections'!$H68,'Monthly Energy Data'!$E$8:$E$595,'Peak Load Projections'!$I68)*VLOOKUP($I68,$A$3:$E$14,5)</f>
        <v>88.113609686481766</v>
      </c>
      <c r="M68" s="44">
        <f>+SUMIFS('Monthly Energy Data'!AG$8:AG$595,'Monthly Energy Data'!$D$8:$D$595,'Peak Load Projections'!$H68,'Monthly Energy Data'!$E$8:$E$595,'Peak Load Projections'!$I68)*VLOOKUP($I68,$A$3:$E$14,5)</f>
        <v>80.358513942239185</v>
      </c>
      <c r="N68" s="44">
        <f t="shared" ref="N68:N131" si="43">+(MIN(K68:M68)+MAX(K68:M68))/2</f>
        <v>84.719305912218104</v>
      </c>
      <c r="O68" s="269" t="str">
        <f t="shared" si="41"/>
        <v>S</v>
      </c>
      <c r="AA68">
        <f t="shared" si="22"/>
        <v>2030</v>
      </c>
      <c r="AB68">
        <f t="shared" ref="AB68:AB131" si="44">+I68</f>
        <v>6</v>
      </c>
      <c r="AC68" s="271">
        <f t="shared" ref="AC68:AC131" si="45">+J68</f>
        <v>47635</v>
      </c>
      <c r="AD68" s="44">
        <f>+L68*VLOOKUP($AB68,'Peak Loads - 2022-2024'!$L$4:$M$15,2)</f>
        <v>74.892757570635368</v>
      </c>
      <c r="AE68" s="44">
        <f>+M68*VLOOKUP($AB68,'Peak Loads - 2022-2024'!$L$4:$M$15,2)</f>
        <v>68.301261573851448</v>
      </c>
      <c r="AF68" s="44">
        <f>+K68*VLOOKUP($AB68,'Peak Loads - 2022-2024'!$L$4:$M$15,2)</f>
        <v>75.714230739129206</v>
      </c>
      <c r="AG68" s="44"/>
    </row>
    <row r="69" spans="5:33" x14ac:dyDescent="0.2">
      <c r="E69" s="175"/>
      <c r="H69">
        <f t="shared" si="42"/>
        <v>2030</v>
      </c>
      <c r="I69">
        <f t="shared" si="40"/>
        <v>7</v>
      </c>
      <c r="J69" s="268">
        <v>47665</v>
      </c>
      <c r="K69" s="44">
        <f>+SUMIFS('Monthly Energy Data'!AE$8:AE$595,'Monthly Energy Data'!$D$8:$D$595,'Peak Load Projections'!$H69,'Monthly Energy Data'!$E$8:$E$595,'Peak Load Projections'!$I69)*VLOOKUP($I69,$A$3:$E$14,5)</f>
        <v>91.96672801672095</v>
      </c>
      <c r="L69" s="44">
        <f>+SUMIFS('Monthly Energy Data'!AF$8:AF$595,'Monthly Energy Data'!$D$8:$D$595,'Peak Load Projections'!$H69,'Monthly Energy Data'!$E$8:$E$595,'Peak Load Projections'!$I69)*VLOOKUP($I69,$A$3:$E$14,5)</f>
        <v>92.316141065905597</v>
      </c>
      <c r="M69" s="44">
        <f>+SUMIFS('Monthly Energy Data'!AG$8:AG$595,'Monthly Energy Data'!$D$8:$D$595,'Peak Load Projections'!$H69,'Monthly Energy Data'!$E$8:$E$595,'Peak Load Projections'!$I69)*VLOOKUP($I69,$A$3:$E$14,5)</f>
        <v>83.548083117052869</v>
      </c>
      <c r="N69" s="44">
        <f t="shared" si="43"/>
        <v>87.93211209147924</v>
      </c>
      <c r="O69" s="269" t="str">
        <f t="shared" si="41"/>
        <v>S</v>
      </c>
      <c r="AA69">
        <f t="shared" si="22"/>
        <v>2030</v>
      </c>
      <c r="AB69">
        <f t="shared" si="44"/>
        <v>7</v>
      </c>
      <c r="AC69" s="271">
        <f t="shared" si="45"/>
        <v>47665</v>
      </c>
      <c r="AD69" s="44">
        <f>+L69*VLOOKUP($AB69,'Peak Loads - 2022-2024'!$L$4:$M$15,2)</f>
        <v>66.22782112781816</v>
      </c>
      <c r="AE69" s="44">
        <f>+M69*VLOOKUP($AB69,'Peak Loads - 2022-2024'!$L$4:$M$15,2)</f>
        <v>59.937595314973564</v>
      </c>
      <c r="AF69" s="44">
        <f>+K69*VLOOKUP($AB69,'Peak Loads - 2022-2024'!$L$4:$M$15,2)</f>
        <v>65.977151367861381</v>
      </c>
      <c r="AG69" s="44"/>
    </row>
    <row r="70" spans="5:33" x14ac:dyDescent="0.2">
      <c r="E70" s="175"/>
      <c r="H70">
        <f t="shared" si="42"/>
        <v>2030</v>
      </c>
      <c r="I70">
        <f t="shared" si="40"/>
        <v>8</v>
      </c>
      <c r="J70" s="268">
        <v>47696</v>
      </c>
      <c r="K70" s="44">
        <f>+SUMIFS('Monthly Energy Data'!AE$8:AE$595,'Monthly Energy Data'!$D$8:$D$595,'Peak Load Projections'!$H70,'Monthly Energy Data'!$E$8:$E$595,'Peak Load Projections'!$I70)*VLOOKUP($I70,$A$3:$E$14,5)</f>
        <v>90.606447102819658</v>
      </c>
      <c r="L70" s="44">
        <f>+SUMIFS('Monthly Energy Data'!AF$8:AF$595,'Monthly Energy Data'!$D$8:$D$595,'Peak Load Projections'!$H70,'Monthly Energy Data'!$E$8:$E$595,'Peak Load Projections'!$I70)*VLOOKUP($I70,$A$3:$E$14,5)</f>
        <v>90.218448912977493</v>
      </c>
      <c r="M70" s="44">
        <f>+SUMIFS('Monthly Energy Data'!AG$8:AG$595,'Monthly Energy Data'!$D$8:$D$595,'Peak Load Projections'!$H70,'Monthly Energy Data'!$E$8:$E$595,'Peak Load Projections'!$I70)*VLOOKUP($I70,$A$3:$E$14,5)</f>
        <v>82.081776554321834</v>
      </c>
      <c r="N70" s="44">
        <f t="shared" si="43"/>
        <v>86.344111828570746</v>
      </c>
      <c r="O70" s="269" t="str">
        <f t="shared" si="41"/>
        <v>S</v>
      </c>
      <c r="AA70">
        <f t="shared" si="22"/>
        <v>2030</v>
      </c>
      <c r="AB70">
        <f t="shared" si="44"/>
        <v>8</v>
      </c>
      <c r="AC70" s="271">
        <f t="shared" si="45"/>
        <v>47696</v>
      </c>
      <c r="AD70" s="44">
        <f>+L70*VLOOKUP($AB70,'Peak Loads - 2022-2024'!$L$4:$M$15,2)</f>
        <v>64.525290706583036</v>
      </c>
      <c r="AE70" s="44">
        <f>+M70*VLOOKUP($AB70,'Peak Loads - 2022-2024'!$L$4:$M$15,2)</f>
        <v>58.705847392578626</v>
      </c>
      <c r="AF70" s="44">
        <f>+K70*VLOOKUP($AB70,'Peak Loads - 2022-2024'!$L$4:$M$15,2)</f>
        <v>64.802791553636425</v>
      </c>
      <c r="AG70" s="44"/>
    </row>
    <row r="71" spans="5:33" x14ac:dyDescent="0.2">
      <c r="E71" s="175"/>
      <c r="H71">
        <f t="shared" si="42"/>
        <v>2030</v>
      </c>
      <c r="I71">
        <f t="shared" si="40"/>
        <v>9</v>
      </c>
      <c r="J71" s="268">
        <v>47727</v>
      </c>
      <c r="K71" s="44">
        <f>+SUMIFS('Monthly Energy Data'!AE$8:AE$595,'Monthly Energy Data'!$D$8:$D$595,'Peak Load Projections'!$H71,'Monthly Energy Data'!$E$8:$E$595,'Peak Load Projections'!$I71)*VLOOKUP($I71,$A$3:$E$14,5)</f>
        <v>76.694569358021212</v>
      </c>
      <c r="L71" s="44">
        <f>+SUMIFS('Monthly Energy Data'!AF$8:AF$595,'Monthly Energy Data'!$D$8:$D$595,'Peak Load Projections'!$H71,'Monthly Energy Data'!$E$8:$E$595,'Peak Load Projections'!$I71)*VLOOKUP($I71,$A$3:$E$14,5)</f>
        <v>75.726296012393675</v>
      </c>
      <c r="M71" s="44">
        <f>+SUMIFS('Monthly Energy Data'!AG$8:AG$595,'Monthly Energy Data'!$D$8:$D$595,'Peak Load Projections'!$H71,'Monthly Energy Data'!$E$8:$E$595,'Peak Load Projections'!$I71)*VLOOKUP($I71,$A$3:$E$14,5)</f>
        <v>68.55980845369605</v>
      </c>
      <c r="N71" s="44">
        <f t="shared" si="43"/>
        <v>72.627188905858631</v>
      </c>
      <c r="O71" s="269" t="str">
        <f t="shared" si="41"/>
        <v>S</v>
      </c>
      <c r="AA71">
        <f t="shared" si="22"/>
        <v>2030</v>
      </c>
      <c r="AB71">
        <f t="shared" si="44"/>
        <v>9</v>
      </c>
      <c r="AC71" s="271">
        <f t="shared" si="45"/>
        <v>47727</v>
      </c>
      <c r="AD71" s="44">
        <f>+L71*VLOOKUP($AB71,'Peak Loads - 2022-2024'!$L$4:$M$15,2)</f>
        <v>54.155091451927291</v>
      </c>
      <c r="AE71" s="44">
        <f>+M71*VLOOKUP($AB71,'Peak Loads - 2022-2024'!$L$4:$M$15,2)</f>
        <v>49.03003173598858</v>
      </c>
      <c r="AF71" s="44">
        <f>+K71*VLOOKUP($AB71,'Peak Loads - 2022-2024'!$L$4:$M$15,2)</f>
        <v>54.847544857734178</v>
      </c>
      <c r="AG71" s="44"/>
    </row>
    <row r="72" spans="5:33" x14ac:dyDescent="0.2">
      <c r="E72" s="175"/>
      <c r="H72">
        <f t="shared" si="42"/>
        <v>2030</v>
      </c>
      <c r="I72">
        <f t="shared" si="40"/>
        <v>10</v>
      </c>
      <c r="J72" s="268">
        <v>47757</v>
      </c>
      <c r="K72" s="44">
        <f>+SUMIFS('Monthly Energy Data'!AE$8:AE$595,'Monthly Energy Data'!$D$8:$D$595,'Peak Load Projections'!$H72,'Monthly Energy Data'!$E$8:$E$595,'Peak Load Projections'!$I72)*VLOOKUP($I72,$A$3:$E$14,5)</f>
        <v>74.324781678281411</v>
      </c>
      <c r="L72" s="44">
        <f>+SUMIFS('Monthly Energy Data'!AF$8:AF$595,'Monthly Energy Data'!$D$8:$D$595,'Peak Load Projections'!$H72,'Monthly Energy Data'!$E$8:$E$595,'Peak Load Projections'!$I72)*VLOOKUP($I72,$A$3:$E$14,5)</f>
        <v>74.48907738293606</v>
      </c>
      <c r="M72" s="44">
        <f>+SUMIFS('Monthly Energy Data'!AG$8:AG$595,'Monthly Energy Data'!$D$8:$D$595,'Peak Load Projections'!$H72,'Monthly Energy Data'!$E$8:$E$595,'Peak Load Projections'!$I72)*VLOOKUP($I72,$A$3:$E$14,5)</f>
        <v>66.402592080207199</v>
      </c>
      <c r="N72" s="44">
        <f t="shared" si="43"/>
        <v>70.445834731571637</v>
      </c>
      <c r="O72" s="269" t="str">
        <f t="shared" si="41"/>
        <v>W</v>
      </c>
      <c r="AA72">
        <f t="shared" si="22"/>
        <v>2030</v>
      </c>
      <c r="AB72">
        <f t="shared" si="44"/>
        <v>10</v>
      </c>
      <c r="AC72" s="271">
        <f t="shared" si="45"/>
        <v>47757</v>
      </c>
      <c r="AD72" s="44">
        <f>+L72*VLOOKUP($AB72,'Peak Loads - 2022-2024'!$L$4:$M$15,2)</f>
        <v>51.74249977155884</v>
      </c>
      <c r="AE72" s="44">
        <f>+M72*VLOOKUP($AB72,'Peak Loads - 2022-2024'!$L$4:$M$15,2)</f>
        <v>46.125367990235254</v>
      </c>
      <c r="AF72" s="44">
        <f>+K72*VLOOKUP($AB72,'Peak Loads - 2022-2024'!$L$4:$M$15,2)</f>
        <v>51.628374711090459</v>
      </c>
      <c r="AG72" s="44"/>
    </row>
    <row r="73" spans="5:33" x14ac:dyDescent="0.2">
      <c r="E73" s="175"/>
      <c r="H73">
        <f t="shared" si="42"/>
        <v>2030</v>
      </c>
      <c r="I73">
        <f t="shared" si="40"/>
        <v>11</v>
      </c>
      <c r="J73" s="268">
        <v>47788</v>
      </c>
      <c r="K73" s="44">
        <f>+SUMIFS('Monthly Energy Data'!AE$8:AE$595,'Monthly Energy Data'!$D$8:$D$595,'Peak Load Projections'!$H73,'Monthly Energy Data'!$E$8:$E$595,'Peak Load Projections'!$I73)*VLOOKUP($I73,$A$3:$E$14,5)</f>
        <v>89.611329366183554</v>
      </c>
      <c r="L73" s="44">
        <f>+SUMIFS('Monthly Energy Data'!AF$8:AF$595,'Monthly Energy Data'!$D$8:$D$595,'Peak Load Projections'!$H73,'Monthly Energy Data'!$E$8:$E$595,'Peak Load Projections'!$I73)*VLOOKUP($I73,$A$3:$E$14,5)</f>
        <v>93.002788828637975</v>
      </c>
      <c r="M73" s="44">
        <f>+SUMIFS('Monthly Energy Data'!AG$8:AG$595,'Monthly Energy Data'!$D$8:$D$595,'Peak Load Projections'!$H73,'Monthly Energy Data'!$E$8:$E$595,'Peak Load Projections'!$I73)*VLOOKUP($I73,$A$3:$E$14,5)</f>
        <v>78.467547605286541</v>
      </c>
      <c r="N73" s="44">
        <f t="shared" si="43"/>
        <v>85.735168216962251</v>
      </c>
      <c r="O73" s="269" t="str">
        <f t="shared" si="41"/>
        <v>W</v>
      </c>
      <c r="AA73">
        <f t="shared" si="22"/>
        <v>2030</v>
      </c>
      <c r="AB73">
        <f t="shared" si="44"/>
        <v>11</v>
      </c>
      <c r="AC73" s="271">
        <f t="shared" si="45"/>
        <v>47788</v>
      </c>
      <c r="AD73" s="44">
        <f>+L73*VLOOKUP($AB73,'Peak Loads - 2022-2024'!$L$4:$M$15,2)</f>
        <v>66.147916021250069</v>
      </c>
      <c r="AE73" s="44">
        <f>+M73*VLOOKUP($AB73,'Peak Loads - 2022-2024'!$L$4:$M$15,2)</f>
        <v>55.809775327830359</v>
      </c>
      <c r="AF73" s="44">
        <f>+K73*VLOOKUP($AB73,'Peak Loads - 2022-2024'!$L$4:$M$15,2)</f>
        <v>63.735752057809556</v>
      </c>
      <c r="AG73" s="44"/>
    </row>
    <row r="74" spans="5:33" x14ac:dyDescent="0.2">
      <c r="E74" s="175"/>
      <c r="H74">
        <f t="shared" si="42"/>
        <v>2030</v>
      </c>
      <c r="I74">
        <f t="shared" si="40"/>
        <v>12</v>
      </c>
      <c r="J74" s="268">
        <v>47818</v>
      </c>
      <c r="K74" s="44">
        <f>+SUMIFS('Monthly Energy Data'!AE$8:AE$595,'Monthly Energy Data'!$D$8:$D$595,'Peak Load Projections'!$H74,'Monthly Energy Data'!$E$8:$E$595,'Peak Load Projections'!$I74)*VLOOKUP($I74,$A$3:$E$14,5)</f>
        <v>98.340946843758516</v>
      </c>
      <c r="L74" s="44">
        <f>+SUMIFS('Monthly Energy Data'!AF$8:AF$595,'Monthly Energy Data'!$D$8:$D$595,'Peak Load Projections'!$H74,'Monthly Energy Data'!$E$8:$E$595,'Peak Load Projections'!$I74)*VLOOKUP($I74,$A$3:$E$14,5)</f>
        <v>101.15162746795605</v>
      </c>
      <c r="M74" s="44">
        <f>+SUMIFS('Monthly Energy Data'!AG$8:AG$595,'Monthly Energy Data'!$D$8:$D$595,'Peak Load Projections'!$H74,'Monthly Energy Data'!$E$8:$E$595,'Peak Load Projections'!$I74)*VLOOKUP($I74,$A$3:$E$14,5)</f>
        <v>86.348185833374103</v>
      </c>
      <c r="N74" s="44">
        <f t="shared" si="43"/>
        <v>93.749906650665082</v>
      </c>
      <c r="O74" s="269" t="str">
        <f t="shared" si="41"/>
        <v>W</v>
      </c>
      <c r="AA74">
        <f t="shared" si="22"/>
        <v>2030</v>
      </c>
      <c r="AB74">
        <f t="shared" si="44"/>
        <v>12</v>
      </c>
      <c r="AC74" s="271">
        <f t="shared" si="45"/>
        <v>47818</v>
      </c>
      <c r="AD74" s="44">
        <f>+L74*VLOOKUP($AB74,'Peak Loads - 2022-2024'!$L$4:$M$15,2)</f>
        <v>86.65970497082813</v>
      </c>
      <c r="AE74" s="44">
        <f>+M74*VLOOKUP($AB74,'Peak Loads - 2022-2024'!$L$4:$M$15,2)</f>
        <v>73.977142003542752</v>
      </c>
      <c r="AF74" s="44">
        <f>+K74*VLOOKUP($AB74,'Peak Loads - 2022-2024'!$L$4:$M$15,2)</f>
        <v>84.251708582066684</v>
      </c>
      <c r="AG74" s="44"/>
    </row>
    <row r="75" spans="5:33" x14ac:dyDescent="0.2">
      <c r="E75" s="175"/>
      <c r="H75">
        <f t="shared" si="42"/>
        <v>2031</v>
      </c>
      <c r="I75">
        <f t="shared" si="40"/>
        <v>1</v>
      </c>
      <c r="J75" s="268">
        <v>47849</v>
      </c>
      <c r="K75" s="44">
        <f>+SUMIFS('Monthly Energy Data'!AE$8:AE$595,'Monthly Energy Data'!$D$8:$D$595,'Peak Load Projections'!$H75,'Monthly Energy Data'!$E$8:$E$595,'Peak Load Projections'!$I75)*VLOOKUP($I75,$A$3:$E$14,5)</f>
        <v>100.76340442189603</v>
      </c>
      <c r="L75" s="44">
        <f>+SUMIFS('Monthly Energy Data'!AF$8:AF$595,'Monthly Energy Data'!$D$8:$D$595,'Peak Load Projections'!$H75,'Monthly Energy Data'!$E$8:$E$595,'Peak Load Projections'!$I75)*VLOOKUP($I75,$A$3:$E$14,5)</f>
        <v>104.30416489117107</v>
      </c>
      <c r="M75" s="44">
        <f>+SUMIFS('Monthly Energy Data'!AG$8:AG$595,'Monthly Energy Data'!$D$8:$D$595,'Peak Load Projections'!$H75,'Monthly Energy Data'!$E$8:$E$595,'Peak Load Projections'!$I75)*VLOOKUP($I75,$A$3:$E$14,5)</f>
        <v>88.519298108358171</v>
      </c>
      <c r="N75" s="44">
        <f t="shared" si="43"/>
        <v>96.411731499764613</v>
      </c>
      <c r="O75" s="269" t="str">
        <f t="shared" si="41"/>
        <v>W</v>
      </c>
      <c r="AA75">
        <f t="shared" si="22"/>
        <v>2031</v>
      </c>
      <c r="AB75">
        <f t="shared" si="44"/>
        <v>1</v>
      </c>
      <c r="AC75" s="271">
        <f t="shared" si="45"/>
        <v>47849</v>
      </c>
      <c r="AD75" s="44">
        <f>+L75*VLOOKUP($AB75,'Peak Loads - 2022-2024'!$L$4:$M$15,2)</f>
        <v>92.290129995202975</v>
      </c>
      <c r="AE75" s="44">
        <f>+M75*VLOOKUP($AB75,'Peak Loads - 2022-2024'!$L$4:$M$15,2)</f>
        <v>78.323406721374482</v>
      </c>
      <c r="AF75" s="44">
        <f>+K75*VLOOKUP($AB75,'Peak Loads - 2022-2024'!$L$4:$M$15,2)</f>
        <v>89.15720386198268</v>
      </c>
      <c r="AG75" s="44"/>
    </row>
    <row r="76" spans="5:33" x14ac:dyDescent="0.2">
      <c r="E76" s="175"/>
      <c r="H76">
        <f t="shared" si="42"/>
        <v>2031</v>
      </c>
      <c r="I76">
        <f t="shared" si="40"/>
        <v>2</v>
      </c>
      <c r="J76" s="268">
        <v>47880</v>
      </c>
      <c r="K76" s="44">
        <f>+SUMIFS('Monthly Energy Data'!AE$8:AE$595,'Monthly Energy Data'!$D$8:$D$595,'Peak Load Projections'!$H76,'Monthly Energy Data'!$E$8:$E$595,'Peak Load Projections'!$I76)*VLOOKUP($I76,$A$3:$E$14,5)</f>
        <v>95.754887104241618</v>
      </c>
      <c r="L76" s="44">
        <f>+SUMIFS('Monthly Energy Data'!AF$8:AF$595,'Monthly Energy Data'!$D$8:$D$595,'Peak Load Projections'!$H76,'Monthly Energy Data'!$E$8:$E$595,'Peak Load Projections'!$I76)*VLOOKUP($I76,$A$3:$E$14,5)</f>
        <v>97.906402227133427</v>
      </c>
      <c r="M76" s="44">
        <f>+SUMIFS('Monthly Energy Data'!AG$8:AG$595,'Monthly Energy Data'!$D$8:$D$595,'Peak Load Projections'!$H76,'Monthly Energy Data'!$E$8:$E$595,'Peak Load Projections'!$I76)*VLOOKUP($I76,$A$3:$E$14,5)</f>
        <v>83.413733127110206</v>
      </c>
      <c r="N76" s="44">
        <f t="shared" si="43"/>
        <v>90.660067677121816</v>
      </c>
      <c r="O76" s="269" t="str">
        <f t="shared" si="41"/>
        <v>W</v>
      </c>
      <c r="AA76">
        <f t="shared" si="22"/>
        <v>2031</v>
      </c>
      <c r="AB76">
        <f t="shared" si="44"/>
        <v>2</v>
      </c>
      <c r="AC76" s="271">
        <f t="shared" si="45"/>
        <v>47880</v>
      </c>
      <c r="AD76" s="44">
        <f>+L76*VLOOKUP($AB76,'Peak Loads - 2022-2024'!$L$4:$M$15,2)</f>
        <v>78.0829586273953</v>
      </c>
      <c r="AE76" s="44">
        <f>+M76*VLOOKUP($AB76,'Peak Loads - 2022-2024'!$L$4:$M$15,2)</f>
        <v>66.524669731104638</v>
      </c>
      <c r="AF76" s="44">
        <f>+K76*VLOOKUP($AB76,'Peak Loads - 2022-2024'!$L$4:$M$15,2)</f>
        <v>76.367068118649613</v>
      </c>
      <c r="AG76" s="44"/>
    </row>
    <row r="77" spans="5:33" x14ac:dyDescent="0.2">
      <c r="E77" s="175"/>
      <c r="H77">
        <f t="shared" si="42"/>
        <v>2031</v>
      </c>
      <c r="I77">
        <f t="shared" si="40"/>
        <v>3</v>
      </c>
      <c r="J77" s="268">
        <v>47908</v>
      </c>
      <c r="K77" s="44">
        <f>+SUMIFS('Monthly Energy Data'!AE$8:AE$595,'Monthly Energy Data'!$D$8:$D$595,'Peak Load Projections'!$H77,'Monthly Energy Data'!$E$8:$E$595,'Peak Load Projections'!$I77)*VLOOKUP($I77,$A$3:$E$14,5)</f>
        <v>86.18240960450251</v>
      </c>
      <c r="L77" s="44">
        <f>+SUMIFS('Monthly Energy Data'!AF$8:AF$595,'Monthly Energy Data'!$D$8:$D$595,'Peak Load Projections'!$H77,'Monthly Energy Data'!$E$8:$E$595,'Peak Load Projections'!$I77)*VLOOKUP($I77,$A$3:$E$14,5)</f>
        <v>87.31087407307426</v>
      </c>
      <c r="M77" s="44">
        <f>+SUMIFS('Monthly Energy Data'!AG$8:AG$595,'Monthly Energy Data'!$D$8:$D$595,'Peak Load Projections'!$H77,'Monthly Energy Data'!$E$8:$E$595,'Peak Load Projections'!$I77)*VLOOKUP($I77,$A$3:$E$14,5)</f>
        <v>76.065789228066535</v>
      </c>
      <c r="N77" s="44">
        <f t="shared" si="43"/>
        <v>81.688331650570404</v>
      </c>
      <c r="O77" s="269" t="str">
        <f t="shared" si="41"/>
        <v>W</v>
      </c>
      <c r="AA77">
        <f t="shared" si="22"/>
        <v>2031</v>
      </c>
      <c r="AB77">
        <f t="shared" si="44"/>
        <v>3</v>
      </c>
      <c r="AC77" s="271">
        <f t="shared" si="45"/>
        <v>47908</v>
      </c>
      <c r="AD77" s="44">
        <f>+L77*VLOOKUP($AB77,'Peak Loads - 2022-2024'!$L$4:$M$15,2)</f>
        <v>62.313228858000514</v>
      </c>
      <c r="AE77" s="44">
        <f>+M77*VLOOKUP($AB77,'Peak Loads - 2022-2024'!$L$4:$M$15,2)</f>
        <v>54.287681606141156</v>
      </c>
      <c r="AF77" s="44">
        <f>+K77*VLOOKUP($AB77,'Peak Loads - 2022-2024'!$L$4:$M$15,2)</f>
        <v>61.507850771539246</v>
      </c>
      <c r="AG77" s="44"/>
    </row>
    <row r="78" spans="5:33" x14ac:dyDescent="0.2">
      <c r="E78" s="175"/>
      <c r="H78">
        <f t="shared" si="42"/>
        <v>2031</v>
      </c>
      <c r="I78">
        <f t="shared" si="40"/>
        <v>4</v>
      </c>
      <c r="J78" s="268">
        <v>47939</v>
      </c>
      <c r="K78" s="44">
        <f>+SUMIFS('Monthly Energy Data'!AE$8:AE$595,'Monthly Energy Data'!$D$8:$D$595,'Peak Load Projections'!$H78,'Monthly Energy Data'!$E$8:$E$595,'Peak Load Projections'!$I78)*VLOOKUP($I78,$A$3:$E$14,5)</f>
        <v>84.377418256962116</v>
      </c>
      <c r="L78" s="44">
        <f>+SUMIFS('Monthly Energy Data'!AF$8:AF$595,'Monthly Energy Data'!$D$8:$D$595,'Peak Load Projections'!$H78,'Monthly Energy Data'!$E$8:$E$595,'Peak Load Projections'!$I78)*VLOOKUP($I78,$A$3:$E$14,5)</f>
        <v>83.88574669778923</v>
      </c>
      <c r="M78" s="44">
        <f>+SUMIFS('Monthly Energy Data'!AG$8:AG$595,'Monthly Energy Data'!$D$8:$D$595,'Peak Load Projections'!$H78,'Monthly Energy Data'!$E$8:$E$595,'Peak Load Projections'!$I78)*VLOOKUP($I78,$A$3:$E$14,5)</f>
        <v>73.800690778739821</v>
      </c>
      <c r="N78" s="44">
        <f t="shared" si="43"/>
        <v>79.089054517850968</v>
      </c>
      <c r="O78" s="269" t="str">
        <f t="shared" si="41"/>
        <v>W</v>
      </c>
      <c r="AA78">
        <f t="shared" si="22"/>
        <v>2031</v>
      </c>
      <c r="AB78">
        <f t="shared" si="44"/>
        <v>4</v>
      </c>
      <c r="AC78" s="271">
        <f t="shared" si="45"/>
        <v>47939</v>
      </c>
      <c r="AD78" s="44">
        <f>+L78*VLOOKUP($AB78,'Peak Loads - 2022-2024'!$L$4:$M$15,2)</f>
        <v>58.530012679884024</v>
      </c>
      <c r="AE78" s="44">
        <f>+M78*VLOOKUP($AB78,'Peak Loads - 2022-2024'!$L$4:$M$15,2)</f>
        <v>51.49331724524879</v>
      </c>
      <c r="AF78" s="44">
        <f>+K78*VLOOKUP($AB78,'Peak Loads - 2022-2024'!$L$4:$M$15,2)</f>
        <v>58.873069083690062</v>
      </c>
      <c r="AG78" s="44"/>
    </row>
    <row r="79" spans="5:33" x14ac:dyDescent="0.2">
      <c r="E79" s="175"/>
      <c r="H79">
        <f t="shared" si="42"/>
        <v>2031</v>
      </c>
      <c r="I79">
        <f t="shared" si="40"/>
        <v>5</v>
      </c>
      <c r="J79" s="268">
        <v>47969</v>
      </c>
      <c r="K79" s="44">
        <f>+SUMIFS('Monthly Energy Data'!AE$8:AE$595,'Monthly Energy Data'!$D$8:$D$595,'Peak Load Projections'!$H79,'Monthly Energy Data'!$E$8:$E$595,'Peak Load Projections'!$I79)*VLOOKUP($I79,$A$3:$E$14,5)</f>
        <v>74.396137575681024</v>
      </c>
      <c r="L79" s="44">
        <f>+SUMIFS('Monthly Energy Data'!AF$8:AF$595,'Monthly Energy Data'!$D$8:$D$595,'Peak Load Projections'!$H79,'Monthly Energy Data'!$E$8:$E$595,'Peak Load Projections'!$I79)*VLOOKUP($I79,$A$3:$E$14,5)</f>
        <v>72.852750459058569</v>
      </c>
      <c r="M79" s="44">
        <f>+SUMIFS('Monthly Energy Data'!AG$8:AG$595,'Monthly Energy Data'!$D$8:$D$595,'Peak Load Projections'!$H79,'Monthly Energy Data'!$E$8:$E$595,'Peak Load Projections'!$I79)*VLOOKUP($I79,$A$3:$E$14,5)</f>
        <v>65.911524885863287</v>
      </c>
      <c r="N79" s="44">
        <f t="shared" si="43"/>
        <v>70.153831230772155</v>
      </c>
      <c r="O79" s="269" t="str">
        <f t="shared" si="41"/>
        <v>W</v>
      </c>
      <c r="AA79">
        <f t="shared" si="22"/>
        <v>2031</v>
      </c>
      <c r="AB79">
        <f t="shared" si="44"/>
        <v>5</v>
      </c>
      <c r="AC79" s="271">
        <f t="shared" si="45"/>
        <v>47969</v>
      </c>
      <c r="AD79" s="44">
        <f>+L79*VLOOKUP($AB79,'Peak Loads - 2022-2024'!$L$4:$M$15,2)</f>
        <v>51.882013513703122</v>
      </c>
      <c r="AE79" s="44">
        <f>+M79*VLOOKUP($AB79,'Peak Loads - 2022-2024'!$L$4:$M$15,2)</f>
        <v>46.938826650874098</v>
      </c>
      <c r="AF79" s="44">
        <f>+K79*VLOOKUP($AB79,'Peak Loads - 2022-2024'!$L$4:$M$15,2)</f>
        <v>52.981135108109932</v>
      </c>
      <c r="AG79" s="44"/>
    </row>
    <row r="80" spans="5:33" x14ac:dyDescent="0.2">
      <c r="E80" s="175"/>
      <c r="H80">
        <f t="shared" si="42"/>
        <v>2031</v>
      </c>
      <c r="I80">
        <f t="shared" si="40"/>
        <v>6</v>
      </c>
      <c r="J80" s="268">
        <v>48000</v>
      </c>
      <c r="K80" s="44">
        <f>+SUMIFS('Monthly Energy Data'!AE$8:AE$595,'Monthly Energy Data'!$D$8:$D$595,'Peak Load Projections'!$H80,'Monthly Energy Data'!$E$8:$E$595,'Peak Load Projections'!$I80)*VLOOKUP($I80,$A$3:$E$14,5)</f>
        <v>91.442555655538712</v>
      </c>
      <c r="L80" s="44">
        <f>+SUMIFS('Monthly Energy Data'!AF$8:AF$595,'Monthly Energy Data'!$D$8:$D$595,'Peak Load Projections'!$H80,'Monthly Energy Data'!$E$8:$E$595,'Peak Load Projections'!$I80)*VLOOKUP($I80,$A$3:$E$14,5)</f>
        <v>90.028255974158796</v>
      </c>
      <c r="M80" s="44">
        <f>+SUMIFS('Monthly Energy Data'!AG$8:AG$595,'Monthly Energy Data'!$D$8:$D$595,'Peak Load Projections'!$H80,'Monthly Energy Data'!$E$8:$E$595,'Peak Load Projections'!$I80)*VLOOKUP($I80,$A$3:$E$14,5)</f>
        <v>81.41263516417402</v>
      </c>
      <c r="N80" s="44">
        <f t="shared" si="43"/>
        <v>86.427595409856366</v>
      </c>
      <c r="O80" s="269" t="str">
        <f t="shared" si="41"/>
        <v>S</v>
      </c>
      <c r="AA80">
        <f t="shared" si="22"/>
        <v>2031</v>
      </c>
      <c r="AB80">
        <f t="shared" si="44"/>
        <v>6</v>
      </c>
      <c r="AC80" s="271">
        <f t="shared" si="45"/>
        <v>48000</v>
      </c>
      <c r="AD80" s="44">
        <f>+L80*VLOOKUP($AB80,'Peak Loads - 2022-2024'!$L$4:$M$15,2)</f>
        <v>76.520124112157404</v>
      </c>
      <c r="AE80" s="44">
        <f>+M80*VLOOKUP($AB80,'Peak Loads - 2022-2024'!$L$4:$M$15,2)</f>
        <v>69.197219024752911</v>
      </c>
      <c r="AF80" s="44">
        <f>+K80*VLOOKUP($AB80,'Peak Loads - 2022-2024'!$L$4:$M$15,2)</f>
        <v>77.722217676893791</v>
      </c>
      <c r="AG80" s="44"/>
    </row>
    <row r="81" spans="5:33" x14ac:dyDescent="0.2">
      <c r="E81" s="175"/>
      <c r="H81">
        <f t="shared" si="42"/>
        <v>2031</v>
      </c>
      <c r="I81">
        <f t="shared" si="40"/>
        <v>7</v>
      </c>
      <c r="J81" s="268">
        <v>48030</v>
      </c>
      <c r="K81" s="44">
        <f>+SUMIFS('Monthly Energy Data'!AE$8:AE$595,'Monthly Energy Data'!$D$8:$D$595,'Peak Load Projections'!$H81,'Monthly Energy Data'!$E$8:$E$595,'Peak Load Projections'!$I81)*VLOOKUP($I81,$A$3:$E$14,5)</f>
        <v>94.344509897049335</v>
      </c>
      <c r="L81" s="44">
        <f>+SUMIFS('Monthly Energy Data'!AF$8:AF$595,'Monthly Energy Data'!$D$8:$D$595,'Peak Load Projections'!$H81,'Monthly Energy Data'!$E$8:$E$595,'Peak Load Projections'!$I81)*VLOOKUP($I81,$A$3:$E$14,5)</f>
        <v>94.394206790578792</v>
      </c>
      <c r="M81" s="44">
        <f>+SUMIFS('Monthly Energy Data'!AG$8:AG$595,'Monthly Energy Data'!$D$8:$D$595,'Peak Load Projections'!$H81,'Monthly Energy Data'!$E$8:$E$595,'Peak Load Projections'!$I81)*VLOOKUP($I81,$A$3:$E$14,5)</f>
        <v>84.722950354473596</v>
      </c>
      <c r="N81" s="44">
        <f t="shared" si="43"/>
        <v>89.558578572526187</v>
      </c>
      <c r="O81" s="269" t="str">
        <f t="shared" si="41"/>
        <v>S</v>
      </c>
      <c r="AA81">
        <f t="shared" si="22"/>
        <v>2031</v>
      </c>
      <c r="AB81">
        <f t="shared" si="44"/>
        <v>7</v>
      </c>
      <c r="AC81" s="271">
        <f t="shared" si="45"/>
        <v>48030</v>
      </c>
      <c r="AD81" s="44">
        <f>+L81*VLOOKUP($AB81,'Peak Loads - 2022-2024'!$L$4:$M$15,2)</f>
        <v>67.7186304653451</v>
      </c>
      <c r="AE81" s="44">
        <f>+M81*VLOOKUP($AB81,'Peak Loads - 2022-2024'!$L$4:$M$15,2)</f>
        <v>60.78044789037839</v>
      </c>
      <c r="AF81" s="44">
        <f>+K81*VLOOKUP($AB81,'Peak Loads - 2022-2024'!$L$4:$M$15,2)</f>
        <v>67.68297779467153</v>
      </c>
      <c r="AG81" s="44"/>
    </row>
    <row r="82" spans="5:33" x14ac:dyDescent="0.2">
      <c r="E82" s="175"/>
      <c r="H82">
        <f t="shared" si="42"/>
        <v>2031</v>
      </c>
      <c r="I82">
        <f t="shared" si="40"/>
        <v>8</v>
      </c>
      <c r="J82" s="268">
        <v>48061</v>
      </c>
      <c r="K82" s="44">
        <f>+SUMIFS('Monthly Energy Data'!AE$8:AE$595,'Monthly Energy Data'!$D$8:$D$595,'Peak Load Projections'!$H82,'Monthly Energy Data'!$E$8:$E$595,'Peak Load Projections'!$I82)*VLOOKUP($I82,$A$3:$E$14,5)</f>
        <v>92.93891845656529</v>
      </c>
      <c r="L82" s="44">
        <f>+SUMIFS('Monthly Energy Data'!AF$8:AF$595,'Monthly Energy Data'!$D$8:$D$595,'Peak Load Projections'!$H82,'Monthly Energy Data'!$E$8:$E$595,'Peak Load Projections'!$I82)*VLOOKUP($I82,$A$3:$E$14,5)</f>
        <v>92.210951649988104</v>
      </c>
      <c r="M82" s="44">
        <f>+SUMIFS('Monthly Energy Data'!AG$8:AG$595,'Monthly Energy Data'!$D$8:$D$595,'Peak Load Projections'!$H82,'Monthly Energy Data'!$E$8:$E$595,'Peak Load Projections'!$I82)*VLOOKUP($I82,$A$3:$E$14,5)</f>
        <v>83.204863217138737</v>
      </c>
      <c r="N82" s="44">
        <f t="shared" si="43"/>
        <v>88.07189083685202</v>
      </c>
      <c r="O82" s="269" t="str">
        <f t="shared" si="41"/>
        <v>S</v>
      </c>
      <c r="AA82">
        <f t="shared" ref="AA82:AA145" si="46">+H82</f>
        <v>2031</v>
      </c>
      <c r="AB82">
        <f t="shared" si="44"/>
        <v>8</v>
      </c>
      <c r="AC82" s="271">
        <f t="shared" si="45"/>
        <v>48061</v>
      </c>
      <c r="AD82" s="44">
        <f>+L82*VLOOKUP($AB82,'Peak Loads - 2022-2024'!$L$4:$M$15,2)</f>
        <v>65.950351987156424</v>
      </c>
      <c r="AE82" s="44">
        <f>+M82*VLOOKUP($AB82,'Peak Loads - 2022-2024'!$L$4:$M$15,2)</f>
        <v>59.50909212001622</v>
      </c>
      <c r="AF82" s="44">
        <f>+K82*VLOOKUP($AB82,'Peak Loads - 2022-2024'!$L$4:$M$15,2)</f>
        <v>66.47100236837106</v>
      </c>
      <c r="AG82" s="44"/>
    </row>
    <row r="83" spans="5:33" x14ac:dyDescent="0.2">
      <c r="E83" s="175"/>
      <c r="H83">
        <f t="shared" si="42"/>
        <v>2031</v>
      </c>
      <c r="I83">
        <f t="shared" si="40"/>
        <v>9</v>
      </c>
      <c r="J83" s="268">
        <v>48092</v>
      </c>
      <c r="K83" s="44">
        <f>+SUMIFS('Monthly Energy Data'!AE$8:AE$595,'Monthly Energy Data'!$D$8:$D$595,'Peak Load Projections'!$H83,'Monthly Energy Data'!$E$8:$E$595,'Peak Load Projections'!$I83)*VLOOKUP($I83,$A$3:$E$14,5)</f>
        <v>78.761505833316022</v>
      </c>
      <c r="L83" s="44">
        <f>+SUMIFS('Monthly Energy Data'!AF$8:AF$595,'Monthly Energy Data'!$D$8:$D$595,'Peak Load Projections'!$H83,'Monthly Energy Data'!$E$8:$E$595,'Peak Load Projections'!$I83)*VLOOKUP($I83,$A$3:$E$14,5)</f>
        <v>77.439232233333016</v>
      </c>
      <c r="M83" s="44">
        <f>+SUMIFS('Monthly Energy Data'!AG$8:AG$595,'Monthly Energy Data'!$D$8:$D$595,'Peak Load Projections'!$H83,'Monthly Energy Data'!$E$8:$E$595,'Peak Load Projections'!$I83)*VLOOKUP($I83,$A$3:$E$14,5)</f>
        <v>69.482752195877353</v>
      </c>
      <c r="N83" s="44">
        <f t="shared" si="43"/>
        <v>74.12212901459668</v>
      </c>
      <c r="O83" s="269" t="str">
        <f t="shared" si="41"/>
        <v>S</v>
      </c>
      <c r="AA83">
        <f t="shared" si="46"/>
        <v>2031</v>
      </c>
      <c r="AB83">
        <f t="shared" si="44"/>
        <v>9</v>
      </c>
      <c r="AC83" s="271">
        <f t="shared" si="45"/>
        <v>48092</v>
      </c>
      <c r="AD83" s="44">
        <f>+L83*VLOOKUP($AB83,'Peak Loads - 2022-2024'!$L$4:$M$15,2)</f>
        <v>55.380084916299381</v>
      </c>
      <c r="AE83" s="44">
        <f>+M83*VLOOKUP($AB83,'Peak Loads - 2022-2024'!$L$4:$M$15,2)</f>
        <v>49.690068016577719</v>
      </c>
      <c r="AF83" s="44">
        <f>+K83*VLOOKUP($AB83,'Peak Loads - 2022-2024'!$L$4:$M$15,2)</f>
        <v>56.325698943424506</v>
      </c>
      <c r="AG83" s="44"/>
    </row>
    <row r="84" spans="5:33" x14ac:dyDescent="0.2">
      <c r="E84" s="175"/>
      <c r="H84">
        <f t="shared" si="42"/>
        <v>2031</v>
      </c>
      <c r="I84">
        <f t="shared" si="40"/>
        <v>10</v>
      </c>
      <c r="J84" s="268">
        <v>48122</v>
      </c>
      <c r="K84" s="44">
        <f>+SUMIFS('Monthly Energy Data'!AE$8:AE$595,'Monthly Energy Data'!$D$8:$D$595,'Peak Load Projections'!$H84,'Monthly Energy Data'!$E$8:$E$595,'Peak Load Projections'!$I84)*VLOOKUP($I84,$A$3:$E$14,5)</f>
        <v>76.401773871431033</v>
      </c>
      <c r="L84" s="44">
        <f>+SUMIFS('Monthly Energy Data'!AF$8:AF$595,'Monthly Energy Data'!$D$8:$D$595,'Peak Load Projections'!$H84,'Monthly Energy Data'!$E$8:$E$595,'Peak Load Projections'!$I84)*VLOOKUP($I84,$A$3:$E$14,5)</f>
        <v>76.34627363691952</v>
      </c>
      <c r="M84" s="44">
        <f>+SUMIFS('Monthly Energy Data'!AG$8:AG$595,'Monthly Energy Data'!$D$8:$D$595,'Peak Load Projections'!$H84,'Monthly Energy Data'!$E$8:$E$595,'Peak Load Projections'!$I84)*VLOOKUP($I84,$A$3:$E$14,5)</f>
        <v>67.418498761798986</v>
      </c>
      <c r="N84" s="44">
        <f t="shared" si="43"/>
        <v>71.910136316615009</v>
      </c>
      <c r="O84" s="269" t="str">
        <f t="shared" si="41"/>
        <v>W</v>
      </c>
      <c r="AA84">
        <f t="shared" si="46"/>
        <v>2031</v>
      </c>
      <c r="AB84">
        <f t="shared" si="44"/>
        <v>10</v>
      </c>
      <c r="AC84" s="271">
        <f t="shared" si="45"/>
        <v>48122</v>
      </c>
      <c r="AD84" s="44">
        <f>+L84*VLOOKUP($AB84,'Peak Loads - 2022-2024'!$L$4:$M$15,2)</f>
        <v>53.032567793927612</v>
      </c>
      <c r="AE84" s="44">
        <f>+M84*VLOOKUP($AB84,'Peak Loads - 2022-2024'!$L$4:$M$15,2)</f>
        <v>46.831049320800773</v>
      </c>
      <c r="AF84" s="44">
        <f>+K84*VLOOKUP($AB84,'Peak Loads - 2022-2024'!$L$4:$M$15,2)</f>
        <v>53.071120035040366</v>
      </c>
      <c r="AG84" s="44"/>
    </row>
    <row r="85" spans="5:33" x14ac:dyDescent="0.2">
      <c r="E85" s="175"/>
      <c r="H85">
        <f t="shared" si="42"/>
        <v>2031</v>
      </c>
      <c r="I85">
        <f t="shared" si="40"/>
        <v>11</v>
      </c>
      <c r="J85" s="268">
        <v>48153</v>
      </c>
      <c r="K85" s="44">
        <f>+SUMIFS('Monthly Energy Data'!AE$8:AE$595,'Monthly Energy Data'!$D$8:$D$595,'Peak Load Projections'!$H85,'Monthly Energy Data'!$E$8:$E$595,'Peak Load Projections'!$I85)*VLOOKUP($I85,$A$3:$E$14,5)</f>
        <v>92.801609747276771</v>
      </c>
      <c r="L85" s="44">
        <f>+SUMIFS('Monthly Energy Data'!AF$8:AF$595,'Monthly Energy Data'!$D$8:$D$595,'Peak Load Projections'!$H85,'Monthly Energy Data'!$E$8:$E$595,'Peak Load Projections'!$I85)*VLOOKUP($I85,$A$3:$E$14,5)</f>
        <v>96.222694833638585</v>
      </c>
      <c r="M85" s="44">
        <f>+SUMIFS('Monthly Energy Data'!AG$8:AG$595,'Monthly Energy Data'!$D$8:$D$595,'Peak Load Projections'!$H85,'Monthly Energy Data'!$E$8:$E$595,'Peak Load Projections'!$I85)*VLOOKUP($I85,$A$3:$E$14,5)</f>
        <v>80.282333554295661</v>
      </c>
      <c r="N85" s="44">
        <f t="shared" si="43"/>
        <v>88.25251419396713</v>
      </c>
      <c r="O85" s="269" t="str">
        <f t="shared" si="41"/>
        <v>W</v>
      </c>
      <c r="AA85">
        <f t="shared" si="46"/>
        <v>2031</v>
      </c>
      <c r="AB85">
        <f t="shared" si="44"/>
        <v>11</v>
      </c>
      <c r="AC85" s="271">
        <f t="shared" si="45"/>
        <v>48153</v>
      </c>
      <c r="AD85" s="44">
        <f>+L85*VLOOKUP($AB85,'Peak Loads - 2022-2024'!$L$4:$M$15,2)</f>
        <v>68.438063173799918</v>
      </c>
      <c r="AE85" s="44">
        <f>+M85*VLOOKUP($AB85,'Peak Loads - 2022-2024'!$L$4:$M$15,2)</f>
        <v>57.100535637962423</v>
      </c>
      <c r="AF85" s="44">
        <f>+K85*VLOOKUP($AB85,'Peak Loads - 2022-2024'!$L$4:$M$15,2)</f>
        <v>66.00482808650402</v>
      </c>
      <c r="AG85" s="44"/>
    </row>
    <row r="86" spans="5:33" x14ac:dyDescent="0.2">
      <c r="E86" s="175"/>
      <c r="H86">
        <f t="shared" si="42"/>
        <v>2031</v>
      </c>
      <c r="I86">
        <f t="shared" si="40"/>
        <v>12</v>
      </c>
      <c r="J86" s="268">
        <v>48183</v>
      </c>
      <c r="K86" s="44">
        <f>+SUMIFS('Monthly Energy Data'!AE$8:AE$595,'Monthly Energy Data'!$D$8:$D$595,'Peak Load Projections'!$H86,'Monthly Energy Data'!$E$8:$E$595,'Peak Load Projections'!$I86)*VLOOKUP($I86,$A$3:$E$14,5)</f>
        <v>101.80313199928661</v>
      </c>
      <c r="L86" s="44">
        <f>+SUMIFS('Monthly Energy Data'!AF$8:AF$595,'Monthly Energy Data'!$D$8:$D$595,'Peak Load Projections'!$H86,'Monthly Energy Data'!$E$8:$E$595,'Peak Load Projections'!$I86)*VLOOKUP($I86,$A$3:$E$14,5)</f>
        <v>104.60909370841522</v>
      </c>
      <c r="M86" s="44">
        <f>+SUMIFS('Monthly Energy Data'!AG$8:AG$595,'Monthly Energy Data'!$D$8:$D$595,'Peak Load Projections'!$H86,'Monthly Energy Data'!$E$8:$E$595,'Peak Load Projections'!$I86)*VLOOKUP($I86,$A$3:$E$14,5)</f>
        <v>88.343979853947445</v>
      </c>
      <c r="N86" s="44">
        <f t="shared" si="43"/>
        <v>96.476536781181323</v>
      </c>
      <c r="O86" s="269" t="str">
        <f t="shared" si="41"/>
        <v>W</v>
      </c>
      <c r="AA86">
        <f t="shared" si="46"/>
        <v>2031</v>
      </c>
      <c r="AB86">
        <f t="shared" si="44"/>
        <v>12</v>
      </c>
      <c r="AC86" s="271">
        <f t="shared" si="45"/>
        <v>48183</v>
      </c>
      <c r="AD86" s="44">
        <f>+L86*VLOOKUP($AB86,'Peak Loads - 2022-2024'!$L$4:$M$15,2)</f>
        <v>89.621822455687266</v>
      </c>
      <c r="AE86" s="44">
        <f>+M86*VLOOKUP($AB86,'Peak Loads - 2022-2024'!$L$4:$M$15,2)</f>
        <v>75.687000019027678</v>
      </c>
      <c r="AF86" s="44">
        <f>+K86*VLOOKUP($AB86,'Peak Loads - 2022-2024'!$L$4:$M$15,2)</f>
        <v>87.217868906353033</v>
      </c>
      <c r="AG86" s="44"/>
    </row>
    <row r="87" spans="5:33" x14ac:dyDescent="0.2">
      <c r="E87" s="175"/>
      <c r="H87">
        <f t="shared" si="42"/>
        <v>2032</v>
      </c>
      <c r="I87">
        <f t="shared" si="40"/>
        <v>1</v>
      </c>
      <c r="J87" s="268">
        <v>48214</v>
      </c>
      <c r="K87" s="44">
        <f>+SUMIFS('Monthly Energy Data'!AE$8:AE$595,'Monthly Energy Data'!$D$8:$D$595,'Peak Load Projections'!$H87,'Monthly Energy Data'!$E$8:$E$595,'Peak Load Projections'!$I87)*VLOOKUP($I87,$A$3:$E$14,5)</f>
        <v>104.31056454250682</v>
      </c>
      <c r="L87" s="44">
        <f>+SUMIFS('Monthly Energy Data'!AF$8:AF$595,'Monthly Energy Data'!$D$8:$D$595,'Peak Load Projections'!$H87,'Monthly Energy Data'!$E$8:$E$595,'Peak Load Projections'!$I87)*VLOOKUP($I87,$A$3:$E$14,5)</f>
        <v>107.92645745834088</v>
      </c>
      <c r="M87" s="44">
        <f>+SUMIFS('Monthly Energy Data'!AG$8:AG$595,'Monthly Energy Data'!$D$8:$D$595,'Peak Load Projections'!$H87,'Monthly Energy Data'!$E$8:$E$595,'Peak Load Projections'!$I87)*VLOOKUP($I87,$A$3:$E$14,5)</f>
        <v>90.624779286949831</v>
      </c>
      <c r="N87" s="44">
        <f t="shared" si="43"/>
        <v>99.275618372645354</v>
      </c>
      <c r="O87" s="269" t="str">
        <f t="shared" si="41"/>
        <v>W</v>
      </c>
      <c r="AA87">
        <f t="shared" si="46"/>
        <v>2032</v>
      </c>
      <c r="AB87">
        <f t="shared" si="44"/>
        <v>1</v>
      </c>
      <c r="AC87" s="271">
        <f t="shared" si="45"/>
        <v>48214</v>
      </c>
      <c r="AD87" s="44">
        <f>+L87*VLOOKUP($AB87,'Peak Loads - 2022-2024'!$L$4:$M$15,2)</f>
        <v>95.4951971394878</v>
      </c>
      <c r="AE87" s="44">
        <f>+M87*VLOOKUP($AB87,'Peak Loads - 2022-2024'!$L$4:$M$15,2)</f>
        <v>80.18637290184698</v>
      </c>
      <c r="AF87" s="44">
        <f>+K87*VLOOKUP($AB87,'Peak Loads - 2022-2024'!$L$4:$M$15,2)</f>
        <v>92.295792517445662</v>
      </c>
      <c r="AG87" s="44"/>
    </row>
    <row r="88" spans="5:33" x14ac:dyDescent="0.2">
      <c r="E88" s="175"/>
      <c r="H88">
        <f t="shared" si="42"/>
        <v>2032</v>
      </c>
      <c r="I88">
        <f t="shared" si="40"/>
        <v>2</v>
      </c>
      <c r="J88" s="268">
        <v>48245</v>
      </c>
      <c r="K88" s="44">
        <f>+SUMIFS('Monthly Energy Data'!AE$8:AE$595,'Monthly Energy Data'!$D$8:$D$595,'Peak Load Projections'!$H88,'Monthly Energy Data'!$E$8:$E$595,'Peak Load Projections'!$I88)*VLOOKUP($I88,$A$3:$E$14,5)</f>
        <v>99.161225502788938</v>
      </c>
      <c r="L88" s="44">
        <f>+SUMIFS('Monthly Energy Data'!AF$8:AF$595,'Monthly Energy Data'!$D$8:$D$595,'Peak Load Projections'!$H88,'Monthly Energy Data'!$E$8:$E$595,'Peak Load Projections'!$I88)*VLOOKUP($I88,$A$3:$E$14,5)</f>
        <v>101.26250049789088</v>
      </c>
      <c r="M88" s="44">
        <f>+SUMIFS('Monthly Energy Data'!AG$8:AG$595,'Monthly Energy Data'!$D$8:$D$595,'Peak Load Projections'!$H88,'Monthly Energy Data'!$E$8:$E$595,'Peak Load Projections'!$I88)*VLOOKUP($I88,$A$3:$E$14,5)</f>
        <v>85.367558419937978</v>
      </c>
      <c r="N88" s="44">
        <f t="shared" si="43"/>
        <v>93.315029458914438</v>
      </c>
      <c r="O88" s="269" t="str">
        <f t="shared" si="41"/>
        <v>W</v>
      </c>
      <c r="AA88">
        <f t="shared" si="46"/>
        <v>2032</v>
      </c>
      <c r="AB88">
        <f t="shared" si="44"/>
        <v>2</v>
      </c>
      <c r="AC88" s="271">
        <f t="shared" si="45"/>
        <v>48245</v>
      </c>
      <c r="AD88" s="44">
        <f>+L88*VLOOKUP($AB88,'Peak Loads - 2022-2024'!$L$4:$M$15,2)</f>
        <v>80.759536220524367</v>
      </c>
      <c r="AE88" s="44">
        <f>+M88*VLOOKUP($AB88,'Peak Loads - 2022-2024'!$L$4:$M$15,2)</f>
        <v>68.082897344770842</v>
      </c>
      <c r="AF88" s="44">
        <f>+K88*VLOOKUP($AB88,'Peak Loads - 2022-2024'!$L$4:$M$15,2)</f>
        <v>79.083713549329801</v>
      </c>
      <c r="AG88" s="44"/>
    </row>
    <row r="89" spans="5:33" x14ac:dyDescent="0.2">
      <c r="E89" s="175"/>
      <c r="H89">
        <f t="shared" si="42"/>
        <v>2032</v>
      </c>
      <c r="I89">
        <f t="shared" si="40"/>
        <v>3</v>
      </c>
      <c r="J89" s="268">
        <v>48274</v>
      </c>
      <c r="K89" s="44">
        <f>+SUMIFS('Monthly Energy Data'!AE$8:AE$595,'Monthly Energy Data'!$D$8:$D$595,'Peak Load Projections'!$H89,'Monthly Energy Data'!$E$8:$E$595,'Peak Load Projections'!$I89)*VLOOKUP($I89,$A$3:$E$14,5)</f>
        <v>88.910676196895849</v>
      </c>
      <c r="L89" s="44">
        <f>+SUMIFS('Monthly Energy Data'!AF$8:AF$595,'Monthly Energy Data'!$D$8:$D$595,'Peak Load Projections'!$H89,'Monthly Energy Data'!$E$8:$E$595,'Peak Load Projections'!$I89)*VLOOKUP($I89,$A$3:$E$14,5)</f>
        <v>89.947064611852426</v>
      </c>
      <c r="M89" s="44">
        <f>+SUMIFS('Monthly Energy Data'!AG$8:AG$595,'Monthly Energy Data'!$D$8:$D$595,'Peak Load Projections'!$H89,'Monthly Energy Data'!$E$8:$E$595,'Peak Load Projections'!$I89)*VLOOKUP($I89,$A$3:$E$14,5)</f>
        <v>77.617649482783008</v>
      </c>
      <c r="N89" s="44">
        <f t="shared" si="43"/>
        <v>83.782357047317717</v>
      </c>
      <c r="O89" s="269" t="str">
        <f t="shared" si="41"/>
        <v>W</v>
      </c>
      <c r="AA89">
        <f t="shared" si="46"/>
        <v>2032</v>
      </c>
      <c r="AB89">
        <f t="shared" si="44"/>
        <v>3</v>
      </c>
      <c r="AC89" s="271">
        <f t="shared" si="45"/>
        <v>48274</v>
      </c>
      <c r="AD89" s="44">
        <f>+L89*VLOOKUP($AB89,'Peak Loads - 2022-2024'!$L$4:$M$15,2)</f>
        <v>64.194661681805428</v>
      </c>
      <c r="AE89" s="44">
        <f>+M89*VLOOKUP($AB89,'Peak Loads - 2022-2024'!$L$4:$M$15,2)</f>
        <v>55.395234637013907</v>
      </c>
      <c r="AF89" s="44">
        <f>+K89*VLOOKUP($AB89,'Peak Loads - 2022-2024'!$L$4:$M$15,2)</f>
        <v>63.454997703262286</v>
      </c>
      <c r="AG89" s="44"/>
    </row>
    <row r="90" spans="5:33" x14ac:dyDescent="0.2">
      <c r="E90" s="175"/>
      <c r="H90">
        <f t="shared" si="42"/>
        <v>2032</v>
      </c>
      <c r="I90">
        <f t="shared" si="40"/>
        <v>4</v>
      </c>
      <c r="J90" s="268">
        <v>48305</v>
      </c>
      <c r="K90" s="44">
        <f>+SUMIFS('Monthly Energy Data'!AE$8:AE$595,'Monthly Energy Data'!$D$8:$D$595,'Peak Load Projections'!$H90,'Monthly Energy Data'!$E$8:$E$595,'Peak Load Projections'!$I90)*VLOOKUP($I90,$A$3:$E$14,5)</f>
        <v>87.011085970361663</v>
      </c>
      <c r="L90" s="44">
        <f>+SUMIFS('Monthly Energy Data'!AF$8:AF$595,'Monthly Energy Data'!$D$8:$D$595,'Peak Load Projections'!$H90,'Monthly Energy Data'!$E$8:$E$595,'Peak Load Projections'!$I90)*VLOOKUP($I90,$A$3:$E$14,5)</f>
        <v>86.272467385317896</v>
      </c>
      <c r="M90" s="44">
        <f>+SUMIFS('Monthly Energy Data'!AG$8:AG$595,'Monthly Energy Data'!$D$8:$D$595,'Peak Load Projections'!$H90,'Monthly Energy Data'!$E$8:$E$595,'Peak Load Projections'!$I90)*VLOOKUP($I90,$A$3:$E$14,5)</f>
        <v>75.19444899530518</v>
      </c>
      <c r="N90" s="44">
        <f t="shared" si="43"/>
        <v>81.102767482833428</v>
      </c>
      <c r="O90" s="269" t="str">
        <f t="shared" si="41"/>
        <v>W</v>
      </c>
      <c r="AA90">
        <f t="shared" si="46"/>
        <v>2032</v>
      </c>
      <c r="AB90">
        <f t="shared" si="44"/>
        <v>4</v>
      </c>
      <c r="AC90" s="271">
        <f t="shared" si="45"/>
        <v>48305</v>
      </c>
      <c r="AD90" s="44">
        <f>+L90*VLOOKUP($AB90,'Peak Loads - 2022-2024'!$L$4:$M$15,2)</f>
        <v>60.19531098863802</v>
      </c>
      <c r="AE90" s="44">
        <f>+M90*VLOOKUP($AB90,'Peak Loads - 2022-2024'!$L$4:$M$15,2)</f>
        <v>52.46579098840035</v>
      </c>
      <c r="AF90" s="44">
        <f>+K90*VLOOKUP($AB90,'Peak Loads - 2022-2024'!$L$4:$M$15,2)</f>
        <v>60.710670949656866</v>
      </c>
      <c r="AG90" s="44"/>
    </row>
    <row r="91" spans="5:33" x14ac:dyDescent="0.2">
      <c r="E91" s="175"/>
      <c r="H91">
        <f t="shared" si="42"/>
        <v>2032</v>
      </c>
      <c r="I91">
        <f t="shared" si="40"/>
        <v>5</v>
      </c>
      <c r="J91" s="268">
        <v>48335</v>
      </c>
      <c r="K91" s="44">
        <f>+SUMIFS('Monthly Energy Data'!AE$8:AE$595,'Monthly Energy Data'!$D$8:$D$595,'Peak Load Projections'!$H91,'Monthly Energy Data'!$E$8:$E$595,'Peak Load Projections'!$I91)*VLOOKUP($I91,$A$3:$E$14,5)</f>
        <v>76.337372244433496</v>
      </c>
      <c r="L91" s="44">
        <f>+SUMIFS('Monthly Energy Data'!AF$8:AF$595,'Monthly Energy Data'!$D$8:$D$595,'Peak Load Projections'!$H91,'Monthly Energy Data'!$E$8:$E$595,'Peak Load Projections'!$I91)*VLOOKUP($I91,$A$3:$E$14,5)</f>
        <v>74.494645083979023</v>
      </c>
      <c r="M91" s="44">
        <f>+SUMIFS('Monthly Energy Data'!AG$8:AG$595,'Monthly Energy Data'!$D$8:$D$595,'Peak Load Projections'!$H91,'Monthly Energy Data'!$E$8:$E$595,'Peak Load Projections'!$I91)*VLOOKUP($I91,$A$3:$E$14,5)</f>
        <v>66.855443114701117</v>
      </c>
      <c r="N91" s="44">
        <f t="shared" si="43"/>
        <v>71.596407679567307</v>
      </c>
      <c r="O91" s="269" t="str">
        <f t="shared" si="41"/>
        <v>W</v>
      </c>
      <c r="AA91">
        <f t="shared" si="46"/>
        <v>2032</v>
      </c>
      <c r="AB91">
        <f t="shared" si="44"/>
        <v>5</v>
      </c>
      <c r="AC91" s="271">
        <f t="shared" si="45"/>
        <v>48335</v>
      </c>
      <c r="AD91" s="44">
        <f>+L91*VLOOKUP($AB91,'Peak Loads - 2022-2024'!$L$4:$M$15,2)</f>
        <v>53.051287131808607</v>
      </c>
      <c r="AE91" s="44">
        <f>+M91*VLOOKUP($AB91,'Peak Loads - 2022-2024'!$L$4:$M$15,2)</f>
        <v>47.611037075268662</v>
      </c>
      <c r="AF91" s="44">
        <f>+K91*VLOOKUP($AB91,'Peak Loads - 2022-2024'!$L$4:$M$15,2)</f>
        <v>54.363583439612306</v>
      </c>
      <c r="AG91" s="44"/>
    </row>
    <row r="92" spans="5:33" x14ac:dyDescent="0.2">
      <c r="E92" s="175"/>
      <c r="H92">
        <f t="shared" si="42"/>
        <v>2032</v>
      </c>
      <c r="I92">
        <f t="shared" si="40"/>
        <v>6</v>
      </c>
      <c r="J92" s="268">
        <v>48366</v>
      </c>
      <c r="K92" s="44">
        <f>+SUMIFS('Monthly Energy Data'!AE$8:AE$595,'Monthly Energy Data'!$D$8:$D$595,'Peak Load Projections'!$H92,'Monthly Energy Data'!$E$8:$E$595,'Peak Load Projections'!$I92)*VLOOKUP($I92,$A$3:$E$14,5)</f>
        <v>93.821689667442428</v>
      </c>
      <c r="L92" s="44">
        <f>+SUMIFS('Monthly Energy Data'!AF$8:AF$595,'Monthly Energy Data'!$D$8:$D$595,'Peak Load Projections'!$H92,'Monthly Energy Data'!$E$8:$E$595,'Peak Load Projections'!$I92)*VLOOKUP($I92,$A$3:$E$14,5)</f>
        <v>92.105024172470394</v>
      </c>
      <c r="M92" s="44">
        <f>+SUMIFS('Monthly Energy Data'!AG$8:AG$595,'Monthly Energy Data'!$D$8:$D$595,'Peak Load Projections'!$H92,'Monthly Energy Data'!$E$8:$E$595,'Peak Load Projections'!$I92)*VLOOKUP($I92,$A$3:$E$14,5)</f>
        <v>82.652388141715804</v>
      </c>
      <c r="N92" s="44">
        <f t="shared" si="43"/>
        <v>88.237038904579123</v>
      </c>
      <c r="O92" s="269" t="str">
        <f t="shared" si="41"/>
        <v>S</v>
      </c>
      <c r="AA92">
        <f t="shared" si="46"/>
        <v>2032</v>
      </c>
      <c r="AB92">
        <f t="shared" si="44"/>
        <v>6</v>
      </c>
      <c r="AC92" s="271">
        <f t="shared" si="45"/>
        <v>48366</v>
      </c>
      <c r="AD92" s="44">
        <f>+L92*VLOOKUP($AB92,'Peak Loads - 2022-2024'!$L$4:$M$15,2)</f>
        <v>78.285287266407551</v>
      </c>
      <c r="AE92" s="44">
        <f>+M92*VLOOKUP($AB92,'Peak Loads - 2022-2024'!$L$4:$M$15,2)</f>
        <v>70.250955439875113</v>
      </c>
      <c r="AF92" s="44">
        <f>+K92*VLOOKUP($AB92,'Peak Loads - 2022-2024'!$L$4:$M$15,2)</f>
        <v>79.744378696236225</v>
      </c>
      <c r="AG92" s="44"/>
    </row>
    <row r="93" spans="5:33" x14ac:dyDescent="0.2">
      <c r="E93" s="175"/>
      <c r="H93">
        <f t="shared" si="42"/>
        <v>2032</v>
      </c>
      <c r="I93">
        <f t="shared" si="40"/>
        <v>7</v>
      </c>
      <c r="J93" s="268">
        <v>48396</v>
      </c>
      <c r="K93" s="44">
        <f>+SUMIFS('Monthly Energy Data'!AE$8:AE$595,'Monthly Energy Data'!$D$8:$D$595,'Peak Load Projections'!$H93,'Monthly Energy Data'!$E$8:$E$595,'Peak Load Projections'!$I93)*VLOOKUP($I93,$A$3:$E$14,5)</f>
        <v>96.732618939442986</v>
      </c>
      <c r="L93" s="44">
        <f>+SUMIFS('Monthly Energy Data'!AF$8:AF$595,'Monthly Energy Data'!$D$8:$D$595,'Peak Load Projections'!$H93,'Monthly Energy Data'!$E$8:$E$595,'Peak Load Projections'!$I93)*VLOOKUP($I93,$A$3:$E$14,5)</f>
        <v>96.638044838447769</v>
      </c>
      <c r="M93" s="44">
        <f>+SUMIFS('Monthly Energy Data'!AG$8:AG$595,'Monthly Energy Data'!$D$8:$D$595,'Peak Load Projections'!$H93,'Monthly Energy Data'!$E$8:$E$595,'Peak Load Projections'!$I93)*VLOOKUP($I93,$A$3:$E$14,5)</f>
        <v>86.07884154873777</v>
      </c>
      <c r="N93" s="44">
        <f t="shared" si="43"/>
        <v>91.405730244090378</v>
      </c>
      <c r="O93" s="269" t="str">
        <f t="shared" si="41"/>
        <v>S</v>
      </c>
      <c r="AA93">
        <f t="shared" si="46"/>
        <v>2032</v>
      </c>
      <c r="AB93">
        <f t="shared" si="44"/>
        <v>7</v>
      </c>
      <c r="AC93" s="271">
        <f t="shared" si="45"/>
        <v>48396</v>
      </c>
      <c r="AD93" s="44">
        <f>+L93*VLOOKUP($AB93,'Peak Loads - 2022-2024'!$L$4:$M$15,2)</f>
        <v>69.328365265329523</v>
      </c>
      <c r="AE93" s="44">
        <f>+M93*VLOOKUP($AB93,'Peak Loads - 2022-2024'!$L$4:$M$15,2)</f>
        <v>61.753167486818235</v>
      </c>
      <c r="AF93" s="44">
        <f>+K93*VLOOKUP($AB93,'Peak Loads - 2022-2024'!$L$4:$M$15,2)</f>
        <v>69.396212952328966</v>
      </c>
      <c r="AG93" s="44"/>
    </row>
    <row r="94" spans="5:33" x14ac:dyDescent="0.2">
      <c r="E94" s="175"/>
      <c r="H94">
        <f t="shared" si="42"/>
        <v>2032</v>
      </c>
      <c r="I94">
        <f t="shared" si="40"/>
        <v>8</v>
      </c>
      <c r="J94" s="268">
        <v>48427</v>
      </c>
      <c r="K94" s="44">
        <f>+SUMIFS('Monthly Energy Data'!AE$8:AE$595,'Monthly Energy Data'!$D$8:$D$595,'Peak Load Projections'!$H94,'Monthly Energy Data'!$E$8:$E$595,'Peak Load Projections'!$I94)*VLOOKUP($I94,$A$3:$E$14,5)</f>
        <v>95.263927052679179</v>
      </c>
      <c r="L94" s="44">
        <f>+SUMIFS('Monthly Energy Data'!AF$8:AF$595,'Monthly Energy Data'!$D$8:$D$595,'Peak Load Projections'!$H94,'Monthly Energy Data'!$E$8:$E$595,'Peak Load Projections'!$I94)*VLOOKUP($I94,$A$3:$E$14,5)</f>
        <v>94.326189883173043</v>
      </c>
      <c r="M94" s="44">
        <f>+SUMIFS('Monthly Energy Data'!AG$8:AG$595,'Monthly Energy Data'!$D$8:$D$595,'Peak Load Projections'!$H94,'Monthly Energy Data'!$E$8:$E$595,'Peak Load Projections'!$I94)*VLOOKUP($I94,$A$3:$E$14,5)</f>
        <v>84.494658565408315</v>
      </c>
      <c r="N94" s="44">
        <f t="shared" si="43"/>
        <v>89.879292809043747</v>
      </c>
      <c r="O94" s="269" t="str">
        <f t="shared" si="41"/>
        <v>S</v>
      </c>
      <c r="AA94">
        <f t="shared" si="46"/>
        <v>2032</v>
      </c>
      <c r="AB94">
        <f t="shared" si="44"/>
        <v>8</v>
      </c>
      <c r="AC94" s="271">
        <f t="shared" si="45"/>
        <v>48427</v>
      </c>
      <c r="AD94" s="44">
        <f>+L94*VLOOKUP($AB94,'Peak Loads - 2022-2024'!$L$4:$M$15,2)</f>
        <v>67.463195131263106</v>
      </c>
      <c r="AE94" s="44">
        <f>+M94*VLOOKUP($AB94,'Peak Loads - 2022-2024'!$L$4:$M$15,2)</f>
        <v>60.431568850683242</v>
      </c>
      <c r="AF94" s="44">
        <f>+K94*VLOOKUP($AB94,'Peak Loads - 2022-2024'!$L$4:$M$15,2)</f>
        <v>68.13387573149285</v>
      </c>
      <c r="AG94" s="44"/>
    </row>
    <row r="95" spans="5:33" x14ac:dyDescent="0.2">
      <c r="E95" s="175"/>
      <c r="H95">
        <f t="shared" si="42"/>
        <v>2032</v>
      </c>
      <c r="I95">
        <f t="shared" si="40"/>
        <v>9</v>
      </c>
      <c r="J95" s="268">
        <v>48458</v>
      </c>
      <c r="K95" s="44">
        <f>+SUMIFS('Monthly Energy Data'!AE$8:AE$595,'Monthly Energy Data'!$D$8:$D$595,'Peak Load Projections'!$H95,'Monthly Energy Data'!$E$8:$E$595,'Peak Load Projections'!$I95)*VLOOKUP($I95,$A$3:$E$14,5)</f>
        <v>80.82749304128626</v>
      </c>
      <c r="L95" s="44">
        <f>+SUMIFS('Monthly Energy Data'!AF$8:AF$595,'Monthly Energy Data'!$D$8:$D$595,'Peak Load Projections'!$H95,'Monthly Energy Data'!$E$8:$E$595,'Peak Load Projections'!$I95)*VLOOKUP($I95,$A$3:$E$14,5)</f>
        <v>79.255639981713571</v>
      </c>
      <c r="M95" s="44">
        <f>+SUMIFS('Monthly Energy Data'!AG$8:AG$595,'Monthly Energy Data'!$D$8:$D$595,'Peak Load Projections'!$H95,'Monthly Energy Data'!$E$8:$E$595,'Peak Load Projections'!$I95)*VLOOKUP($I95,$A$3:$E$14,5)</f>
        <v>70.573219494798408</v>
      </c>
      <c r="N95" s="44">
        <f t="shared" si="43"/>
        <v>75.700356268042327</v>
      </c>
      <c r="O95" s="269" t="str">
        <f t="shared" si="41"/>
        <v>S</v>
      </c>
      <c r="AA95">
        <f t="shared" si="46"/>
        <v>2032</v>
      </c>
      <c r="AB95">
        <f t="shared" si="44"/>
        <v>9</v>
      </c>
      <c r="AC95" s="271">
        <f t="shared" si="45"/>
        <v>48458</v>
      </c>
      <c r="AD95" s="44">
        <f>+L95*VLOOKUP($AB95,'Peak Loads - 2022-2024'!$L$4:$M$15,2)</f>
        <v>56.67907526585298</v>
      </c>
      <c r="AE95" s="44">
        <f>+M95*VLOOKUP($AB95,'Peak Loads - 2022-2024'!$L$4:$M$15,2)</f>
        <v>50.46990750970096</v>
      </c>
      <c r="AF95" s="44">
        <f>+K95*VLOOKUP($AB95,'Peak Loads - 2022-2024'!$L$4:$M$15,2)</f>
        <v>57.80317416772214</v>
      </c>
      <c r="AG95" s="44"/>
    </row>
    <row r="96" spans="5:33" x14ac:dyDescent="0.2">
      <c r="E96" s="175"/>
      <c r="H96">
        <f t="shared" si="42"/>
        <v>2032</v>
      </c>
      <c r="I96">
        <f t="shared" si="40"/>
        <v>10</v>
      </c>
      <c r="J96" s="268">
        <v>48488</v>
      </c>
      <c r="K96" s="44">
        <f>+SUMIFS('Monthly Energy Data'!AE$8:AE$595,'Monthly Energy Data'!$D$8:$D$595,'Peak Load Projections'!$H96,'Monthly Energy Data'!$E$8:$E$595,'Peak Load Projections'!$I96)*VLOOKUP($I96,$A$3:$E$14,5)</f>
        <v>78.472233144907506</v>
      </c>
      <c r="L96" s="44">
        <f>+SUMIFS('Monthly Energy Data'!AF$8:AF$595,'Monthly Energy Data'!$D$8:$D$595,'Peak Load Projections'!$H96,'Monthly Energy Data'!$E$8:$E$595,'Peak Load Projections'!$I96)*VLOOKUP($I96,$A$3:$E$14,5)</f>
        <v>78.300508713687009</v>
      </c>
      <c r="M96" s="44">
        <f>+SUMIFS('Monthly Energy Data'!AG$8:AG$595,'Monthly Energy Data'!$D$8:$D$595,'Peak Load Projections'!$H96,'Monthly Energy Data'!$E$8:$E$595,'Peak Load Projections'!$I96)*VLOOKUP($I96,$A$3:$E$14,5)</f>
        <v>68.596219417081471</v>
      </c>
      <c r="N96" s="44">
        <f t="shared" si="43"/>
        <v>73.534226280994488</v>
      </c>
      <c r="O96" s="269" t="str">
        <f t="shared" si="41"/>
        <v>W</v>
      </c>
      <c r="AA96">
        <f t="shared" si="46"/>
        <v>2032</v>
      </c>
      <c r="AB96">
        <f t="shared" si="44"/>
        <v>10</v>
      </c>
      <c r="AC96" s="271">
        <f t="shared" si="45"/>
        <v>48488</v>
      </c>
      <c r="AD96" s="44">
        <f>+L96*VLOOKUP($AB96,'Peak Loads - 2022-2024'!$L$4:$M$15,2)</f>
        <v>54.390042091714768</v>
      </c>
      <c r="AE96" s="44">
        <f>+M96*VLOOKUP($AB96,'Peak Loads - 2022-2024'!$L$4:$M$15,2)</f>
        <v>47.649131821992732</v>
      </c>
      <c r="AF96" s="44">
        <f>+K96*VLOOKUP($AB96,'Peak Loads - 2022-2024'!$L$4:$M$15,2)</f>
        <v>54.509327383671319</v>
      </c>
      <c r="AG96" s="44"/>
    </row>
    <row r="97" spans="5:33" x14ac:dyDescent="0.2">
      <c r="E97" s="175"/>
      <c r="H97">
        <f t="shared" si="42"/>
        <v>2032</v>
      </c>
      <c r="I97">
        <f t="shared" si="40"/>
        <v>11</v>
      </c>
      <c r="J97" s="268">
        <v>48519</v>
      </c>
      <c r="K97" s="44">
        <f>+SUMIFS('Monthly Energy Data'!AE$8:AE$595,'Monthly Energy Data'!$D$8:$D$595,'Peak Load Projections'!$H97,'Monthly Energy Data'!$E$8:$E$595,'Peak Load Projections'!$I97)*VLOOKUP($I97,$A$3:$E$14,5)</f>
        <v>95.958919625380986</v>
      </c>
      <c r="L97" s="44">
        <f>+SUMIFS('Monthly Energy Data'!AF$8:AF$595,'Monthly Energy Data'!$D$8:$D$595,'Peak Load Projections'!$H97,'Monthly Energy Data'!$E$8:$E$595,'Peak Load Projections'!$I97)*VLOOKUP($I97,$A$3:$E$14,5)</f>
        <v>99.559596139434106</v>
      </c>
      <c r="M97" s="44">
        <f>+SUMIFS('Monthly Energy Data'!AG$8:AG$595,'Monthly Energy Data'!$D$8:$D$595,'Peak Load Projections'!$H97,'Monthly Energy Data'!$E$8:$E$595,'Peak Load Projections'!$I97)*VLOOKUP($I97,$A$3:$E$14,5)</f>
        <v>82.305006477509124</v>
      </c>
      <c r="N97" s="44">
        <f t="shared" si="43"/>
        <v>90.932301308471608</v>
      </c>
      <c r="O97" s="269" t="str">
        <f t="shared" si="41"/>
        <v>W</v>
      </c>
      <c r="AA97">
        <f t="shared" si="46"/>
        <v>2032</v>
      </c>
      <c r="AB97">
        <f t="shared" si="44"/>
        <v>11</v>
      </c>
      <c r="AC97" s="271">
        <f t="shared" si="45"/>
        <v>48519</v>
      </c>
      <c r="AD97" s="44">
        <f>+L97*VLOOKUP($AB97,'Peak Loads - 2022-2024'!$L$4:$M$15,2)</f>
        <v>70.811422834590999</v>
      </c>
      <c r="AE97" s="44">
        <f>+M97*VLOOKUP($AB97,'Peak Loads - 2022-2024'!$L$4:$M$15,2)</f>
        <v>58.539154848722923</v>
      </c>
      <c r="AF97" s="44">
        <f>+K97*VLOOKUP($AB97,'Peak Loads - 2022-2024'!$L$4:$M$15,2)</f>
        <v>68.250453957516513</v>
      </c>
      <c r="AG97" s="44"/>
    </row>
    <row r="98" spans="5:33" x14ac:dyDescent="0.2">
      <c r="E98" s="175"/>
      <c r="H98">
        <f t="shared" si="42"/>
        <v>2032</v>
      </c>
      <c r="I98">
        <f t="shared" si="40"/>
        <v>12</v>
      </c>
      <c r="J98" s="268">
        <v>48549</v>
      </c>
      <c r="K98" s="44">
        <f>+SUMIFS('Monthly Energy Data'!AE$8:AE$595,'Monthly Energy Data'!$D$8:$D$595,'Peak Load Projections'!$H98,'Monthly Energy Data'!$E$8:$E$595,'Peak Load Projections'!$I98)*VLOOKUP($I98,$A$3:$E$14,5)</f>
        <v>105.23604268812892</v>
      </c>
      <c r="L98" s="44">
        <f>+SUMIFS('Monthly Energy Data'!AF$8:AF$595,'Monthly Energy Data'!$D$8:$D$595,'Peak Load Projections'!$H98,'Monthly Energy Data'!$E$8:$E$595,'Peak Load Projections'!$I98)*VLOOKUP($I98,$A$3:$E$14,5)</f>
        <v>108.16516205919852</v>
      </c>
      <c r="M98" s="44">
        <f>+SUMIFS('Monthly Energy Data'!AG$8:AG$595,'Monthly Energy Data'!$D$8:$D$595,'Peak Load Projections'!$H98,'Monthly Energy Data'!$E$8:$E$595,'Peak Load Projections'!$I98)*VLOOKUP($I98,$A$3:$E$14,5)</f>
        <v>90.571511005831965</v>
      </c>
      <c r="N98" s="44">
        <f t="shared" si="43"/>
        <v>99.368336532515244</v>
      </c>
      <c r="O98" s="269" t="str">
        <f t="shared" si="41"/>
        <v>W</v>
      </c>
      <c r="AA98">
        <f t="shared" si="46"/>
        <v>2032</v>
      </c>
      <c r="AB98">
        <f t="shared" si="44"/>
        <v>12</v>
      </c>
      <c r="AC98" s="271">
        <f t="shared" si="45"/>
        <v>48549</v>
      </c>
      <c r="AD98" s="44">
        <f>+L98*VLOOKUP($AB98,'Peak Loads - 2022-2024'!$L$4:$M$15,2)</f>
        <v>92.668415395900752</v>
      </c>
      <c r="AE98" s="44">
        <f>+M98*VLOOKUP($AB98,'Peak Loads - 2022-2024'!$L$4:$M$15,2)</f>
        <v>77.595394350070876</v>
      </c>
      <c r="AF98" s="44">
        <f>+K98*VLOOKUP($AB98,'Peak Loads - 2022-2024'!$L$4:$M$15,2)</f>
        <v>90.158948896198197</v>
      </c>
      <c r="AG98" s="44"/>
    </row>
    <row r="99" spans="5:33" x14ac:dyDescent="0.2">
      <c r="E99" s="175"/>
      <c r="H99">
        <f t="shared" si="42"/>
        <v>2033</v>
      </c>
      <c r="I99">
        <f t="shared" si="40"/>
        <v>1</v>
      </c>
      <c r="J99" s="268">
        <v>48580</v>
      </c>
      <c r="K99" s="44">
        <f>+SUMIFS('Monthly Energy Data'!AE$8:AE$595,'Monthly Energy Data'!$D$8:$D$595,'Peak Load Projections'!$H99,'Monthly Energy Data'!$E$8:$E$595,'Peak Load Projections'!$I99)*VLOOKUP($I99,$A$3:$E$14,5)</f>
        <v>107.80796694393639</v>
      </c>
      <c r="L99" s="44">
        <f>+SUMIFS('Monthly Energy Data'!AF$8:AF$595,'Monthly Energy Data'!$D$8:$D$595,'Peak Load Projections'!$H99,'Monthly Energy Data'!$E$8:$E$595,'Peak Load Projections'!$I99)*VLOOKUP($I99,$A$3:$E$14,5)</f>
        <v>111.64537935955458</v>
      </c>
      <c r="M99" s="44">
        <f>+SUMIFS('Monthly Energy Data'!AG$8:AG$595,'Monthly Energy Data'!$D$8:$D$595,'Peak Load Projections'!$H99,'Monthly Energy Data'!$E$8:$E$595,'Peak Load Projections'!$I99)*VLOOKUP($I99,$A$3:$E$14,5)</f>
        <v>92.954744118381754</v>
      </c>
      <c r="N99" s="44">
        <f t="shared" si="43"/>
        <v>102.30006173896817</v>
      </c>
      <c r="O99" s="269" t="str">
        <f t="shared" si="41"/>
        <v>W</v>
      </c>
      <c r="AA99">
        <f t="shared" si="46"/>
        <v>2033</v>
      </c>
      <c r="AB99">
        <f t="shared" si="44"/>
        <v>1</v>
      </c>
      <c r="AC99" s="271">
        <f t="shared" si="45"/>
        <v>48580</v>
      </c>
      <c r="AD99" s="44">
        <f>+L99*VLOOKUP($AB99,'Peak Loads - 2022-2024'!$L$4:$M$15,2)</f>
        <v>98.785763590627397</v>
      </c>
      <c r="AE99" s="44">
        <f>+M99*VLOOKUP($AB99,'Peak Loads - 2022-2024'!$L$4:$M$15,2)</f>
        <v>82.247966102861184</v>
      </c>
      <c r="AF99" s="44">
        <f>+K99*VLOOKUP($AB99,'Peak Loads - 2022-2024'!$L$4:$M$15,2)</f>
        <v>95.390354681959877</v>
      </c>
      <c r="AG99" s="44"/>
    </row>
    <row r="100" spans="5:33" x14ac:dyDescent="0.2">
      <c r="E100" s="175"/>
      <c r="H100">
        <f t="shared" si="42"/>
        <v>2033</v>
      </c>
      <c r="I100">
        <f t="shared" si="40"/>
        <v>2</v>
      </c>
      <c r="J100" s="268">
        <v>48611</v>
      </c>
      <c r="K100" s="44">
        <f>+SUMIFS('Monthly Energy Data'!AE$8:AE$595,'Monthly Energy Data'!$D$8:$D$595,'Peak Load Projections'!$H100,'Monthly Energy Data'!$E$8:$E$595,'Peak Load Projections'!$I100)*VLOOKUP($I100,$A$3:$E$14,5)</f>
        <v>102.52694662682448</v>
      </c>
      <c r="L100" s="44">
        <f>+SUMIFS('Monthly Energy Data'!AF$8:AF$595,'Monthly Energy Data'!$D$8:$D$595,'Peak Load Projections'!$H100,'Monthly Energy Data'!$E$8:$E$595,'Peak Load Projections'!$I100)*VLOOKUP($I100,$A$3:$E$14,5)</f>
        <v>104.73416672694414</v>
      </c>
      <c r="M100" s="44">
        <f>+SUMIFS('Monthly Energy Data'!AG$8:AG$595,'Monthly Energy Data'!$D$8:$D$595,'Peak Load Projections'!$H100,'Monthly Energy Data'!$E$8:$E$595,'Peak Load Projections'!$I100)*VLOOKUP($I100,$A$3:$E$14,5)</f>
        <v>87.566830911148529</v>
      </c>
      <c r="N100" s="44">
        <f t="shared" si="43"/>
        <v>96.150498819046334</v>
      </c>
      <c r="O100" s="269" t="str">
        <f t="shared" si="41"/>
        <v>W</v>
      </c>
      <c r="AA100">
        <f t="shared" si="46"/>
        <v>2033</v>
      </c>
      <c r="AB100">
        <f t="shared" si="44"/>
        <v>2</v>
      </c>
      <c r="AC100" s="271">
        <f t="shared" si="45"/>
        <v>48611</v>
      </c>
      <c r="AD100" s="44">
        <f>+L100*VLOOKUP($AB100,'Peak Loads - 2022-2024'!$L$4:$M$15,2)</f>
        <v>83.528282332779796</v>
      </c>
      <c r="AE100" s="44">
        <f>+M100*VLOOKUP($AB100,'Peak Loads - 2022-2024'!$L$4:$M$15,2)</f>
        <v>69.83687562438503</v>
      </c>
      <c r="AF100" s="44">
        <f>+K100*VLOOKUP($AB100,'Peak Loads - 2022-2024'!$L$4:$M$15,2)</f>
        <v>81.767965623772639</v>
      </c>
      <c r="AG100" s="44"/>
    </row>
    <row r="101" spans="5:33" x14ac:dyDescent="0.2">
      <c r="E101" s="175"/>
      <c r="H101">
        <f t="shared" si="42"/>
        <v>2033</v>
      </c>
      <c r="I101">
        <f t="shared" si="40"/>
        <v>3</v>
      </c>
      <c r="J101" s="268">
        <v>48639</v>
      </c>
      <c r="K101" s="44">
        <f>+SUMIFS('Monthly Energy Data'!AE$8:AE$595,'Monthly Energy Data'!$D$8:$D$595,'Peak Load Projections'!$H101,'Monthly Energy Data'!$E$8:$E$595,'Peak Load Projections'!$I101)*VLOOKUP($I101,$A$3:$E$14,5)</f>
        <v>91.584719621602176</v>
      </c>
      <c r="L101" s="44">
        <f>+SUMIFS('Monthly Energy Data'!AF$8:AF$595,'Monthly Energy Data'!$D$8:$D$595,'Peak Load Projections'!$H101,'Monthly Energy Data'!$E$8:$E$595,'Peak Load Projections'!$I101)*VLOOKUP($I101,$A$3:$E$14,5)</f>
        <v>92.666320134045918</v>
      </c>
      <c r="M101" s="44">
        <f>+SUMIFS('Monthly Energy Data'!AG$8:AG$595,'Monthly Energy Data'!$D$8:$D$595,'Peak Load Projections'!$H101,'Monthly Energy Data'!$E$8:$E$595,'Peak Load Projections'!$I101)*VLOOKUP($I101,$A$3:$E$14,5)</f>
        <v>79.357532387595043</v>
      </c>
      <c r="N101" s="44">
        <f t="shared" si="43"/>
        <v>86.011926260820474</v>
      </c>
      <c r="O101" s="269" t="str">
        <f t="shared" si="41"/>
        <v>W</v>
      </c>
      <c r="AA101">
        <f t="shared" si="46"/>
        <v>2033</v>
      </c>
      <c r="AB101">
        <f t="shared" si="44"/>
        <v>3</v>
      </c>
      <c r="AC101" s="271">
        <f t="shared" si="45"/>
        <v>48639</v>
      </c>
      <c r="AD101" s="44">
        <f>+L101*VLOOKUP($AB101,'Peak Loads - 2022-2024'!$L$4:$M$15,2)</f>
        <v>66.135377468661574</v>
      </c>
      <c r="AE101" s="44">
        <f>+M101*VLOOKUP($AB101,'Peak Loads - 2022-2024'!$L$4:$M$15,2)</f>
        <v>56.636978266140048</v>
      </c>
      <c r="AF101" s="44">
        <f>+K101*VLOOKUP($AB101,'Peak Loads - 2022-2024'!$L$4:$M$15,2)</f>
        <v>65.363445896788534</v>
      </c>
      <c r="AG101" s="44"/>
    </row>
    <row r="102" spans="5:33" x14ac:dyDescent="0.2">
      <c r="E102" s="175"/>
      <c r="H102">
        <f t="shared" si="42"/>
        <v>2033</v>
      </c>
      <c r="I102">
        <f t="shared" si="40"/>
        <v>4</v>
      </c>
      <c r="J102" s="268">
        <v>48670</v>
      </c>
      <c r="K102" s="44">
        <f>+SUMIFS('Monthly Energy Data'!AE$8:AE$595,'Monthly Energy Data'!$D$8:$D$595,'Peak Load Projections'!$H102,'Monthly Energy Data'!$E$8:$E$595,'Peak Load Projections'!$I102)*VLOOKUP($I102,$A$3:$E$14,5)</f>
        <v>89.587454448723648</v>
      </c>
      <c r="L102" s="44">
        <f>+SUMIFS('Monthly Energy Data'!AF$8:AF$595,'Monthly Energy Data'!$D$8:$D$595,'Peak Load Projections'!$H102,'Monthly Energy Data'!$E$8:$E$595,'Peak Load Projections'!$I102)*VLOOKUP($I102,$A$3:$E$14,5)</f>
        <v>88.753216280775547</v>
      </c>
      <c r="M102" s="44">
        <f>+SUMIFS('Monthly Energy Data'!AG$8:AG$595,'Monthly Energy Data'!$D$8:$D$595,'Peak Load Projections'!$H102,'Monthly Energy Data'!$E$8:$E$595,'Peak Load Projections'!$I102)*VLOOKUP($I102,$A$3:$E$14,5)</f>
        <v>76.794410636367189</v>
      </c>
      <c r="N102" s="44">
        <f t="shared" si="43"/>
        <v>83.190932542545426</v>
      </c>
      <c r="O102" s="269" t="str">
        <f t="shared" si="41"/>
        <v>W</v>
      </c>
      <c r="AA102">
        <f t="shared" si="46"/>
        <v>2033</v>
      </c>
      <c r="AB102">
        <f t="shared" si="44"/>
        <v>4</v>
      </c>
      <c r="AC102" s="271">
        <f t="shared" si="45"/>
        <v>48670</v>
      </c>
      <c r="AD102" s="44">
        <f>+L102*VLOOKUP($AB102,'Peak Loads - 2022-2024'!$L$4:$M$15,2)</f>
        <v>61.926216059195987</v>
      </c>
      <c r="AE102" s="44">
        <f>+M102*VLOOKUP($AB102,'Peak Loads - 2022-2024'!$L$4:$M$15,2)</f>
        <v>53.582140056330331</v>
      </c>
      <c r="AF102" s="44">
        <f>+K102*VLOOKUP($AB102,'Peak Loads - 2022-2024'!$L$4:$M$15,2)</f>
        <v>62.508293139870439</v>
      </c>
      <c r="AG102" s="44"/>
    </row>
    <row r="103" spans="5:33" x14ac:dyDescent="0.2">
      <c r="E103" s="175"/>
      <c r="H103">
        <f t="shared" si="42"/>
        <v>2033</v>
      </c>
      <c r="I103">
        <f t="shared" si="40"/>
        <v>5</v>
      </c>
      <c r="J103" s="268">
        <v>48700</v>
      </c>
      <c r="K103" s="44">
        <f>+SUMIFS('Monthly Energy Data'!AE$8:AE$595,'Monthly Energy Data'!$D$8:$D$595,'Peak Load Projections'!$H103,'Monthly Energy Data'!$E$8:$E$595,'Peak Load Projections'!$I103)*VLOOKUP($I103,$A$3:$E$14,5)</f>
        <v>78.229457140785371</v>
      </c>
      <c r="L103" s="44">
        <f>+SUMIFS('Monthly Energy Data'!AF$8:AF$595,'Monthly Energy Data'!$D$8:$D$595,'Peak Load Projections'!$H103,'Monthly Energy Data'!$E$8:$E$595,'Peak Load Projections'!$I103)*VLOOKUP($I103,$A$3:$E$14,5)</f>
        <v>76.216301220324638</v>
      </c>
      <c r="M103" s="44">
        <f>+SUMIFS('Monthly Energy Data'!AG$8:AG$595,'Monthly Energy Data'!$D$8:$D$595,'Peak Load Projections'!$H103,'Monthly Energy Data'!$E$8:$E$595,'Peak Load Projections'!$I103)*VLOOKUP($I103,$A$3:$E$14,5)</f>
        <v>67.970121905351434</v>
      </c>
      <c r="N103" s="44">
        <f t="shared" si="43"/>
        <v>73.099789523068409</v>
      </c>
      <c r="O103" s="269" t="str">
        <f t="shared" si="41"/>
        <v>W</v>
      </c>
      <c r="AA103">
        <f t="shared" si="46"/>
        <v>2033</v>
      </c>
      <c r="AB103">
        <f t="shared" si="44"/>
        <v>5</v>
      </c>
      <c r="AC103" s="271">
        <f t="shared" si="45"/>
        <v>48700</v>
      </c>
      <c r="AD103" s="44">
        <f>+L103*VLOOKUP($AB103,'Peak Loads - 2022-2024'!$L$4:$M$15,2)</f>
        <v>54.277362830653097</v>
      </c>
      <c r="AE103" s="44">
        <f>+M103*VLOOKUP($AB103,'Peak Loads - 2022-2024'!$L$4:$M$15,2)</f>
        <v>48.404854463295187</v>
      </c>
      <c r="AF103" s="44">
        <f>+K103*VLOOKUP($AB103,'Peak Loads - 2022-2024'!$L$4:$M$15,2)</f>
        <v>55.711029809763673</v>
      </c>
      <c r="AG103" s="44"/>
    </row>
    <row r="104" spans="5:33" x14ac:dyDescent="0.2">
      <c r="E104" s="175"/>
      <c r="H104">
        <f t="shared" si="42"/>
        <v>2033</v>
      </c>
      <c r="I104">
        <f t="shared" si="40"/>
        <v>6</v>
      </c>
      <c r="J104" s="268">
        <v>48731</v>
      </c>
      <c r="K104" s="44">
        <f>+SUMIFS('Monthly Energy Data'!AE$8:AE$595,'Monthly Energy Data'!$D$8:$D$595,'Peak Load Projections'!$H104,'Monthly Energy Data'!$E$8:$E$595,'Peak Load Projections'!$I104)*VLOOKUP($I104,$A$3:$E$14,5)</f>
        <v>96.128036558814486</v>
      </c>
      <c r="L104" s="44">
        <f>+SUMIFS('Monthly Energy Data'!AF$8:AF$595,'Monthly Energy Data'!$D$8:$D$595,'Peak Load Projections'!$H104,'Monthly Energy Data'!$E$8:$E$595,'Peak Load Projections'!$I104)*VLOOKUP($I104,$A$3:$E$14,5)</f>
        <v>94.273557052520658</v>
      </c>
      <c r="M104" s="44">
        <f>+SUMIFS('Monthly Energy Data'!AG$8:AG$595,'Monthly Energy Data'!$D$8:$D$595,'Peak Load Projections'!$H104,'Monthly Energy Data'!$E$8:$E$595,'Peak Load Projections'!$I104)*VLOOKUP($I104,$A$3:$E$14,5)</f>
        <v>84.085705375191381</v>
      </c>
      <c r="N104" s="44">
        <f t="shared" si="43"/>
        <v>90.106870967002934</v>
      </c>
      <c r="O104" s="269" t="str">
        <f t="shared" si="41"/>
        <v>S</v>
      </c>
      <c r="AA104">
        <f t="shared" si="46"/>
        <v>2033</v>
      </c>
      <c r="AB104">
        <f t="shared" si="44"/>
        <v>6</v>
      </c>
      <c r="AC104" s="271">
        <f t="shared" si="45"/>
        <v>48731</v>
      </c>
      <c r="AD104" s="44">
        <f>+L104*VLOOKUP($AB104,'Peak Loads - 2022-2024'!$L$4:$M$15,2)</f>
        <v>80.128446431574204</v>
      </c>
      <c r="AE104" s="44">
        <f>+M104*VLOOKUP($AB104,'Peak Loads - 2022-2024'!$L$4:$M$15,2)</f>
        <v>71.469213101437802</v>
      </c>
      <c r="AF104" s="44">
        <f>+K104*VLOOKUP($AB104,'Peak Loads - 2022-2024'!$L$4:$M$15,2)</f>
        <v>81.704673810962589</v>
      </c>
      <c r="AG104" s="44"/>
    </row>
    <row r="105" spans="5:33" x14ac:dyDescent="0.2">
      <c r="E105" s="175"/>
      <c r="H105">
        <f t="shared" si="42"/>
        <v>2033</v>
      </c>
      <c r="I105">
        <f t="shared" si="40"/>
        <v>7</v>
      </c>
      <c r="J105" s="268">
        <v>48761</v>
      </c>
      <c r="K105" s="44">
        <f>+SUMIFS('Monthly Energy Data'!AE$8:AE$595,'Monthly Energy Data'!$D$8:$D$595,'Peak Load Projections'!$H105,'Monthly Energy Data'!$E$8:$E$595,'Peak Load Projections'!$I105)*VLOOKUP($I105,$A$3:$E$14,5)</f>
        <v>99.031811794713988</v>
      </c>
      <c r="L105" s="44">
        <f>+SUMIFS('Monthly Energy Data'!AF$8:AF$595,'Monthly Energy Data'!$D$8:$D$595,'Peak Load Projections'!$H105,'Monthly Energy Data'!$E$8:$E$595,'Peak Load Projections'!$I105)*VLOOKUP($I105,$A$3:$E$14,5)</f>
        <v>98.962915278752163</v>
      </c>
      <c r="M105" s="44">
        <f>+SUMIFS('Monthly Energy Data'!AG$8:AG$595,'Monthly Energy Data'!$D$8:$D$595,'Peak Load Projections'!$H105,'Monthly Energy Data'!$E$8:$E$595,'Peak Load Projections'!$I105)*VLOOKUP($I105,$A$3:$E$14,5)</f>
        <v>87.604239066998801</v>
      </c>
      <c r="N105" s="44">
        <f t="shared" si="43"/>
        <v>93.318025430856395</v>
      </c>
      <c r="O105" s="269" t="str">
        <f t="shared" si="41"/>
        <v>S</v>
      </c>
      <c r="AA105">
        <f t="shared" si="46"/>
        <v>2033</v>
      </c>
      <c r="AB105">
        <f t="shared" si="44"/>
        <v>7</v>
      </c>
      <c r="AC105" s="271">
        <f t="shared" si="45"/>
        <v>48761</v>
      </c>
      <c r="AD105" s="44">
        <f>+L105*VLOOKUP($AB105,'Peak Loads - 2022-2024'!$L$4:$M$15,2)</f>
        <v>70.996232898097119</v>
      </c>
      <c r="AE105" s="44">
        <f>+M105*VLOOKUP($AB105,'Peak Loads - 2022-2024'!$L$4:$M$15,2)</f>
        <v>62.847491326850573</v>
      </c>
      <c r="AF105" s="44">
        <f>+K105*VLOOKUP($AB105,'Peak Loads - 2022-2024'!$L$4:$M$15,2)</f>
        <v>71.04565942397619</v>
      </c>
      <c r="AG105" s="44"/>
    </row>
    <row r="106" spans="5:33" x14ac:dyDescent="0.2">
      <c r="E106" s="175"/>
      <c r="H106">
        <f t="shared" si="42"/>
        <v>2033</v>
      </c>
      <c r="I106">
        <f t="shared" si="40"/>
        <v>8</v>
      </c>
      <c r="J106" s="268">
        <v>48792</v>
      </c>
      <c r="K106" s="44">
        <f>+SUMIFS('Monthly Energy Data'!AE$8:AE$595,'Monthly Energy Data'!$D$8:$D$595,'Peak Load Projections'!$H106,'Monthly Energy Data'!$E$8:$E$595,'Peak Load Projections'!$I106)*VLOOKUP($I106,$A$3:$E$14,5)</f>
        <v>97.515627688982136</v>
      </c>
      <c r="L106" s="44">
        <f>+SUMIFS('Monthly Energy Data'!AF$8:AF$595,'Monthly Energy Data'!$D$8:$D$595,'Peak Load Projections'!$H106,'Monthly Energy Data'!$E$8:$E$595,'Peak Load Projections'!$I106)*VLOOKUP($I106,$A$3:$E$14,5)</f>
        <v>96.549683252862536</v>
      </c>
      <c r="M106" s="44">
        <f>+SUMIFS('Monthly Energy Data'!AG$8:AG$595,'Monthly Energy Data'!$D$8:$D$595,'Peak Load Projections'!$H106,'Monthly Energy Data'!$E$8:$E$595,'Peak Load Projections'!$I106)*VLOOKUP($I106,$A$3:$E$14,5)</f>
        <v>85.98132792474766</v>
      </c>
      <c r="N106" s="44">
        <f t="shared" si="43"/>
        <v>91.748477806864898</v>
      </c>
      <c r="O106" s="269" t="str">
        <f t="shared" si="41"/>
        <v>S</v>
      </c>
      <c r="AA106">
        <f t="shared" si="46"/>
        <v>2033</v>
      </c>
      <c r="AB106">
        <f t="shared" si="44"/>
        <v>8</v>
      </c>
      <c r="AC106" s="271">
        <f t="shared" si="45"/>
        <v>48792</v>
      </c>
      <c r="AD106" s="44">
        <f>+L106*VLOOKUP($AB106,'Peak Loads - 2022-2024'!$L$4:$M$15,2)</f>
        <v>69.053463616168713</v>
      </c>
      <c r="AE106" s="44">
        <f>+M106*VLOOKUP($AB106,'Peak Loads - 2022-2024'!$L$4:$M$15,2)</f>
        <v>61.494852178558567</v>
      </c>
      <c r="AF106" s="44">
        <f>+K106*VLOOKUP($AB106,'Peak Loads - 2022-2024'!$L$4:$M$15,2)</f>
        <v>69.74431838365804</v>
      </c>
      <c r="AG106" s="44"/>
    </row>
    <row r="107" spans="5:33" x14ac:dyDescent="0.2">
      <c r="E107" s="175"/>
      <c r="H107">
        <f t="shared" si="42"/>
        <v>2033</v>
      </c>
      <c r="I107">
        <f t="shared" si="40"/>
        <v>9</v>
      </c>
      <c r="J107" s="268">
        <v>48823</v>
      </c>
      <c r="K107" s="44">
        <f>+SUMIFS('Monthly Energy Data'!AE$8:AE$595,'Monthly Energy Data'!$D$8:$D$595,'Peak Load Projections'!$H107,'Monthly Energy Data'!$E$8:$E$595,'Peak Load Projections'!$I107)*VLOOKUP($I107,$A$3:$E$14,5)</f>
        <v>82.813164824803053</v>
      </c>
      <c r="L107" s="44">
        <f>+SUMIFS('Monthly Energy Data'!AF$8:AF$595,'Monthly Energy Data'!$D$8:$D$595,'Peak Load Projections'!$H107,'Monthly Energy Data'!$E$8:$E$595,'Peak Load Projections'!$I107)*VLOOKUP($I107,$A$3:$E$14,5)</f>
        <v>81.174362704117073</v>
      </c>
      <c r="M107" s="44">
        <f>+SUMIFS('Monthly Energy Data'!AG$8:AG$595,'Monthly Energy Data'!$D$8:$D$595,'Peak Load Projections'!$H107,'Monthly Energy Data'!$E$8:$E$595,'Peak Load Projections'!$I107)*VLOOKUP($I107,$A$3:$E$14,5)</f>
        <v>71.849165618577359</v>
      </c>
      <c r="N107" s="44">
        <f t="shared" si="43"/>
        <v>77.331165221690213</v>
      </c>
      <c r="O107" s="269" t="str">
        <f t="shared" si="41"/>
        <v>S</v>
      </c>
      <c r="AA107">
        <f t="shared" si="46"/>
        <v>2033</v>
      </c>
      <c r="AB107">
        <f t="shared" si="44"/>
        <v>9</v>
      </c>
      <c r="AC107" s="271">
        <f t="shared" si="45"/>
        <v>48823</v>
      </c>
      <c r="AD107" s="44">
        <f>+L107*VLOOKUP($AB107,'Peak Loads - 2022-2024'!$L$4:$M$15,2)</f>
        <v>58.051235400103387</v>
      </c>
      <c r="AE107" s="44">
        <f>+M107*VLOOKUP($AB107,'Peak Loads - 2022-2024'!$L$4:$M$15,2)</f>
        <v>51.38239079040536</v>
      </c>
      <c r="AF107" s="44">
        <f>+K107*VLOOKUP($AB107,'Peak Loads - 2022-2024'!$L$4:$M$15,2)</f>
        <v>59.22321241985405</v>
      </c>
      <c r="AG107" s="44"/>
    </row>
    <row r="108" spans="5:33" x14ac:dyDescent="0.2">
      <c r="E108" s="175"/>
      <c r="H108">
        <f t="shared" si="42"/>
        <v>2033</v>
      </c>
      <c r="I108">
        <f t="shared" si="40"/>
        <v>10</v>
      </c>
      <c r="J108" s="268">
        <v>48853</v>
      </c>
      <c r="K108" s="44">
        <f>+SUMIFS('Monthly Energy Data'!AE$8:AE$595,'Monthly Energy Data'!$D$8:$D$595,'Peak Load Projections'!$H108,'Monthly Energy Data'!$E$8:$E$595,'Peak Load Projections'!$I108)*VLOOKUP($I108,$A$3:$E$14,5)</f>
        <v>80.445929688105835</v>
      </c>
      <c r="L108" s="44">
        <f>+SUMIFS('Monthly Energy Data'!AF$8:AF$595,'Monthly Energy Data'!$D$8:$D$595,'Peak Load Projections'!$H108,'Monthly Energy Data'!$E$8:$E$595,'Peak Load Projections'!$I108)*VLOOKUP($I108,$A$3:$E$14,5)</f>
        <v>80.344008791371948</v>
      </c>
      <c r="M108" s="44">
        <f>+SUMIFS('Monthly Energy Data'!AG$8:AG$595,'Monthly Energy Data'!$D$8:$D$595,'Peak Load Projections'!$H108,'Monthly Energy Data'!$E$8:$E$595,'Peak Load Projections'!$I108)*VLOOKUP($I108,$A$3:$E$14,5)</f>
        <v>69.936018300290357</v>
      </c>
      <c r="N108" s="44">
        <f t="shared" si="43"/>
        <v>75.190973994198089</v>
      </c>
      <c r="O108" s="269" t="str">
        <f t="shared" si="41"/>
        <v>W</v>
      </c>
      <c r="AA108">
        <f t="shared" si="46"/>
        <v>2033</v>
      </c>
      <c r="AB108">
        <f t="shared" si="44"/>
        <v>10</v>
      </c>
      <c r="AC108" s="271">
        <f t="shared" si="45"/>
        <v>48853</v>
      </c>
      <c r="AD108" s="44">
        <f>+L108*VLOOKUP($AB108,'Peak Loads - 2022-2024'!$L$4:$M$15,2)</f>
        <v>55.809522719179427</v>
      </c>
      <c r="AE108" s="44">
        <f>+M108*VLOOKUP($AB108,'Peak Loads - 2022-2024'!$L$4:$M$15,2)</f>
        <v>48.579799053269937</v>
      </c>
      <c r="AF108" s="44">
        <f>+K108*VLOOKUP($AB108,'Peak Loads - 2022-2024'!$L$4:$M$15,2)</f>
        <v>55.880320239584456</v>
      </c>
      <c r="AG108" s="44"/>
    </row>
    <row r="109" spans="5:33" x14ac:dyDescent="0.2">
      <c r="E109" s="175"/>
      <c r="H109">
        <f t="shared" si="42"/>
        <v>2033</v>
      </c>
      <c r="I109">
        <f t="shared" si="40"/>
        <v>11</v>
      </c>
      <c r="J109" s="268">
        <v>48884</v>
      </c>
      <c r="K109" s="44">
        <f>+SUMIFS('Monthly Energy Data'!AE$8:AE$595,'Monthly Energy Data'!$D$8:$D$595,'Peak Load Projections'!$H109,'Monthly Energy Data'!$E$8:$E$595,'Peak Load Projections'!$I109)*VLOOKUP($I109,$A$3:$E$14,5)</f>
        <v>98.947007922720545</v>
      </c>
      <c r="L109" s="44">
        <f>+SUMIFS('Monthly Energy Data'!AF$8:AF$595,'Monthly Energy Data'!$D$8:$D$595,'Peak Load Projections'!$H109,'Monthly Energy Data'!$E$8:$E$595,'Peak Load Projections'!$I109)*VLOOKUP($I109,$A$3:$E$14,5)</f>
        <v>102.99694873697692</v>
      </c>
      <c r="M109" s="44">
        <f>+SUMIFS('Monthly Energy Data'!AG$8:AG$595,'Monthly Energy Data'!$D$8:$D$595,'Peak Load Projections'!$H109,'Monthly Energy Data'!$E$8:$E$595,'Peak Load Projections'!$I109)*VLOOKUP($I109,$A$3:$E$14,5)</f>
        <v>84.513132029060145</v>
      </c>
      <c r="N109" s="44">
        <f t="shared" si="43"/>
        <v>93.755040383018525</v>
      </c>
      <c r="O109" s="269" t="str">
        <f t="shared" si="41"/>
        <v>W</v>
      </c>
      <c r="AA109">
        <f t="shared" si="46"/>
        <v>2033</v>
      </c>
      <c r="AB109">
        <f t="shared" si="44"/>
        <v>11</v>
      </c>
      <c r="AC109" s="271">
        <f t="shared" si="45"/>
        <v>48884</v>
      </c>
      <c r="AD109" s="44">
        <f>+L109*VLOOKUP($AB109,'Peak Loads - 2022-2024'!$L$4:$M$15,2)</f>
        <v>73.256228133673318</v>
      </c>
      <c r="AE109" s="44">
        <f>+M109*VLOOKUP($AB109,'Peak Loads - 2022-2024'!$L$4:$M$15,2)</f>
        <v>60.109676608210172</v>
      </c>
      <c r="AF109" s="44">
        <f>+K109*VLOOKUP($AB109,'Peak Loads - 2022-2024'!$L$4:$M$15,2)</f>
        <v>70.375721556971911</v>
      </c>
      <c r="AG109" s="44"/>
    </row>
    <row r="110" spans="5:33" x14ac:dyDescent="0.2">
      <c r="E110" s="175"/>
      <c r="H110">
        <f t="shared" si="42"/>
        <v>2033</v>
      </c>
      <c r="I110">
        <f t="shared" si="40"/>
        <v>12</v>
      </c>
      <c r="J110" s="268">
        <v>48914</v>
      </c>
      <c r="K110" s="44">
        <f>+SUMIFS('Monthly Energy Data'!AE$8:AE$595,'Monthly Energy Data'!$D$8:$D$595,'Peak Load Projections'!$H110,'Monthly Energy Data'!$E$8:$E$595,'Peak Load Projections'!$I110)*VLOOKUP($I110,$A$3:$E$14,5)</f>
        <v>108.47403685571588</v>
      </c>
      <c r="L110" s="44">
        <f>+SUMIFS('Monthly Energy Data'!AF$8:AF$595,'Monthly Energy Data'!$D$8:$D$595,'Peak Load Projections'!$H110,'Monthly Energy Data'!$E$8:$E$595,'Peak Load Projections'!$I110)*VLOOKUP($I110,$A$3:$E$14,5)</f>
        <v>111.82856589640494</v>
      </c>
      <c r="M110" s="44">
        <f>+SUMIFS('Monthly Energy Data'!AG$8:AG$595,'Monthly Energy Data'!$D$8:$D$595,'Peak Load Projections'!$H110,'Monthly Energy Data'!$E$8:$E$595,'Peak Load Projections'!$I110)*VLOOKUP($I110,$A$3:$E$14,5)</f>
        <v>92.996178811171944</v>
      </c>
      <c r="N110" s="44">
        <f t="shared" si="43"/>
        <v>102.41237235378844</v>
      </c>
      <c r="O110" s="269" t="str">
        <f t="shared" si="41"/>
        <v>W</v>
      </c>
      <c r="AA110">
        <f t="shared" si="46"/>
        <v>2033</v>
      </c>
      <c r="AB110">
        <f t="shared" si="44"/>
        <v>12</v>
      </c>
      <c r="AC110" s="271">
        <f t="shared" si="45"/>
        <v>48914</v>
      </c>
      <c r="AD110" s="44">
        <f>+L110*VLOOKUP($AB110,'Peak Loads - 2022-2024'!$L$4:$M$15,2)</f>
        <v>95.806965942918694</v>
      </c>
      <c r="AE110" s="44">
        <f>+M110*VLOOKUP($AB110,'Peak Loads - 2022-2024'!$L$4:$M$15,2)</f>
        <v>79.672681704934178</v>
      </c>
      <c r="AF110" s="44">
        <f>+K110*VLOOKUP($AB110,'Peak Loads - 2022-2024'!$L$4:$M$15,2)</f>
        <v>92.933037917645137</v>
      </c>
      <c r="AG110" s="44"/>
    </row>
    <row r="111" spans="5:33" x14ac:dyDescent="0.2">
      <c r="E111" s="175"/>
      <c r="H111">
        <f t="shared" si="42"/>
        <v>2034</v>
      </c>
      <c r="I111">
        <f t="shared" si="40"/>
        <v>1</v>
      </c>
      <c r="J111" s="268">
        <v>48945</v>
      </c>
      <c r="K111" s="44">
        <f>+SUMIFS('Monthly Energy Data'!AE$8:AE$595,'Monthly Energy Data'!$D$8:$D$595,'Peak Load Projections'!$H111,'Monthly Energy Data'!$E$8:$E$595,'Peak Load Projections'!$I111)*VLOOKUP($I111,$A$3:$E$14,5)</f>
        <v>111.11359182896214</v>
      </c>
      <c r="L111" s="44">
        <f>+SUMIFS('Monthly Energy Data'!AF$8:AF$595,'Monthly Energy Data'!$D$8:$D$595,'Peak Load Projections'!$H111,'Monthly Energy Data'!$E$8:$E$595,'Peak Load Projections'!$I111)*VLOOKUP($I111,$A$3:$E$14,5)</f>
        <v>115.46905282921469</v>
      </c>
      <c r="M111" s="44">
        <f>+SUMIFS('Monthly Energy Data'!AG$8:AG$595,'Monthly Energy Data'!$D$8:$D$595,'Peak Load Projections'!$H111,'Monthly Energy Data'!$E$8:$E$595,'Peak Load Projections'!$I111)*VLOOKUP($I111,$A$3:$E$14,5)</f>
        <v>95.479511343268229</v>
      </c>
      <c r="N111" s="44">
        <f t="shared" si="43"/>
        <v>105.47428208624146</v>
      </c>
      <c r="O111" s="269" t="str">
        <f t="shared" si="41"/>
        <v>W</v>
      </c>
      <c r="AA111">
        <f t="shared" si="46"/>
        <v>2034</v>
      </c>
      <c r="AB111">
        <f t="shared" si="44"/>
        <v>1</v>
      </c>
      <c r="AC111" s="271">
        <f t="shared" si="45"/>
        <v>48945</v>
      </c>
      <c r="AD111" s="44">
        <f>+L111*VLOOKUP($AB111,'Peak Loads - 2022-2024'!$L$4:$M$15,2)</f>
        <v>102.16901604216983</v>
      </c>
      <c r="AE111" s="44">
        <f>+M111*VLOOKUP($AB111,'Peak Loads - 2022-2024'!$L$4:$M$15,2)</f>
        <v>84.481923832502375</v>
      </c>
      <c r="AF111" s="44">
        <f>+K111*VLOOKUP($AB111,'Peak Loads - 2022-2024'!$L$4:$M$15,2)</f>
        <v>98.31522878140467</v>
      </c>
      <c r="AG111" s="44"/>
    </row>
    <row r="112" spans="5:33" x14ac:dyDescent="0.2">
      <c r="E112" s="175"/>
      <c r="H112">
        <f t="shared" si="42"/>
        <v>2034</v>
      </c>
      <c r="I112">
        <f t="shared" si="40"/>
        <v>2</v>
      </c>
      <c r="J112" s="268">
        <v>48976</v>
      </c>
      <c r="K112" s="44">
        <f>+SUMIFS('Monthly Energy Data'!AE$8:AE$595,'Monthly Energy Data'!$D$8:$D$595,'Peak Load Projections'!$H112,'Monthly Energy Data'!$E$8:$E$595,'Peak Load Projections'!$I112)*VLOOKUP($I112,$A$3:$E$14,5)</f>
        <v>105.71017569892983</v>
      </c>
      <c r="L112" s="44">
        <f>+SUMIFS('Monthly Energy Data'!AF$8:AF$595,'Monthly Energy Data'!$D$8:$D$595,'Peak Load Projections'!$H112,'Monthly Energy Data'!$E$8:$E$595,'Peak Load Projections'!$I112)*VLOOKUP($I112,$A$3:$E$14,5)</f>
        <v>108.31062280051675</v>
      </c>
      <c r="M112" s="44">
        <f>+SUMIFS('Monthly Energy Data'!AG$8:AG$595,'Monthly Energy Data'!$D$8:$D$595,'Peak Load Projections'!$H112,'Monthly Energy Data'!$E$8:$E$595,'Peak Load Projections'!$I112)*VLOOKUP($I112,$A$3:$E$14,5)</f>
        <v>89.967997388457491</v>
      </c>
      <c r="N112" s="44">
        <f t="shared" si="43"/>
        <v>99.139310094487115</v>
      </c>
      <c r="O112" s="269" t="str">
        <f t="shared" si="41"/>
        <v>W</v>
      </c>
      <c r="AA112">
        <f t="shared" si="46"/>
        <v>2034</v>
      </c>
      <c r="AB112">
        <f t="shared" si="44"/>
        <v>2</v>
      </c>
      <c r="AC112" s="271">
        <f t="shared" si="45"/>
        <v>48976</v>
      </c>
      <c r="AD112" s="44">
        <f>+L112*VLOOKUP($AB112,'Peak Loads - 2022-2024'!$L$4:$M$15,2)</f>
        <v>86.380601131887644</v>
      </c>
      <c r="AE112" s="44">
        <f>+M112*VLOOKUP($AB112,'Peak Loads - 2022-2024'!$L$4:$M$15,2)</f>
        <v>71.751869725284024</v>
      </c>
      <c r="AF112" s="44">
        <f>+K112*VLOOKUP($AB112,'Peak Loads - 2022-2024'!$L$4:$M$15,2)</f>
        <v>84.306675435232137</v>
      </c>
      <c r="AG112" s="44"/>
    </row>
    <row r="113" spans="5:33" x14ac:dyDescent="0.2">
      <c r="E113" s="175"/>
      <c r="H113">
        <f t="shared" si="42"/>
        <v>2034</v>
      </c>
      <c r="I113">
        <f t="shared" si="40"/>
        <v>3</v>
      </c>
      <c r="J113" s="268">
        <v>49004</v>
      </c>
      <c r="K113" s="44">
        <f>+SUMIFS('Monthly Energy Data'!AE$8:AE$595,'Monthly Energy Data'!$D$8:$D$595,'Peak Load Projections'!$H113,'Monthly Energy Data'!$E$8:$E$595,'Peak Load Projections'!$I113)*VLOOKUP($I113,$A$3:$E$14,5)</f>
        <v>94.128447625766825</v>
      </c>
      <c r="L113" s="44">
        <f>+SUMIFS('Monthly Energy Data'!AF$8:AF$595,'Monthly Energy Data'!$D$8:$D$595,'Peak Load Projections'!$H113,'Monthly Energy Data'!$E$8:$E$595,'Peak Load Projections'!$I113)*VLOOKUP($I113,$A$3:$E$14,5)</f>
        <v>95.479928183627038</v>
      </c>
      <c r="M113" s="44">
        <f>+SUMIFS('Monthly Energy Data'!AG$8:AG$595,'Monthly Energy Data'!$D$8:$D$595,'Peak Load Projections'!$H113,'Monthly Energy Data'!$E$8:$E$595,'Peak Load Projections'!$I113)*VLOOKUP($I113,$A$3:$E$14,5)</f>
        <v>81.27449808426806</v>
      </c>
      <c r="N113" s="44">
        <f t="shared" si="43"/>
        <v>88.377213133947549</v>
      </c>
      <c r="O113" s="269" t="str">
        <f t="shared" si="41"/>
        <v>W</v>
      </c>
      <c r="AA113">
        <f t="shared" si="46"/>
        <v>2034</v>
      </c>
      <c r="AB113">
        <f t="shared" si="44"/>
        <v>3</v>
      </c>
      <c r="AC113" s="271">
        <f t="shared" si="45"/>
        <v>49004</v>
      </c>
      <c r="AD113" s="44">
        <f>+L113*VLOOKUP($AB113,'Peak Loads - 2022-2024'!$L$4:$M$15,2)</f>
        <v>68.143432068636415</v>
      </c>
      <c r="AE113" s="44">
        <f>+M113*VLOOKUP($AB113,'Peak Loads - 2022-2024'!$L$4:$M$15,2)</f>
        <v>58.005104784604946</v>
      </c>
      <c r="AF113" s="44">
        <f>+K113*VLOOKUP($AB113,'Peak Loads - 2022-2024'!$L$4:$M$15,2)</f>
        <v>67.178888783585833</v>
      </c>
      <c r="AG113" s="44"/>
    </row>
    <row r="114" spans="5:33" x14ac:dyDescent="0.2">
      <c r="E114" s="175"/>
      <c r="H114">
        <f t="shared" si="42"/>
        <v>2034</v>
      </c>
      <c r="I114">
        <f t="shared" si="40"/>
        <v>4</v>
      </c>
      <c r="J114" s="268">
        <v>49035</v>
      </c>
      <c r="K114" s="44">
        <f>+SUMIFS('Monthly Energy Data'!AE$8:AE$595,'Monthly Energy Data'!$D$8:$D$595,'Peak Load Projections'!$H114,'Monthly Energy Data'!$E$8:$E$595,'Peak Load Projections'!$I114)*VLOOKUP($I114,$A$3:$E$14,5)</f>
        <v>92.051944344782683</v>
      </c>
      <c r="L114" s="44">
        <f>+SUMIFS('Monthly Energy Data'!AF$8:AF$595,'Monthly Energy Data'!$D$8:$D$595,'Peak Load Projections'!$H114,'Monthly Energy Data'!$E$8:$E$595,'Peak Load Projections'!$I114)*VLOOKUP($I114,$A$3:$E$14,5)</f>
        <v>91.341977994248069</v>
      </c>
      <c r="M114" s="44">
        <f>+SUMIFS('Monthly Energy Data'!AG$8:AG$595,'Monthly Energy Data'!$D$8:$D$595,'Peak Load Projections'!$H114,'Monthly Energy Data'!$E$8:$E$595,'Peak Load Projections'!$I114)*VLOOKUP($I114,$A$3:$E$14,5)</f>
        <v>78.595873604516754</v>
      </c>
      <c r="N114" s="44">
        <f t="shared" si="43"/>
        <v>85.323908974649726</v>
      </c>
      <c r="O114" s="269" t="str">
        <f t="shared" si="41"/>
        <v>W</v>
      </c>
      <c r="AA114">
        <f t="shared" si="46"/>
        <v>2034</v>
      </c>
      <c r="AB114">
        <f t="shared" si="44"/>
        <v>4</v>
      </c>
      <c r="AC114" s="271">
        <f t="shared" si="45"/>
        <v>49035</v>
      </c>
      <c r="AD114" s="44">
        <f>+L114*VLOOKUP($AB114,'Peak Loads - 2022-2024'!$L$4:$M$15,2)</f>
        <v>63.732485442010436</v>
      </c>
      <c r="AE114" s="44">
        <f>+M114*VLOOKUP($AB114,'Peak Loads - 2022-2024'!$L$4:$M$15,2)</f>
        <v>54.839083631595834</v>
      </c>
      <c r="AF114" s="44">
        <f>+K114*VLOOKUP($AB114,'Peak Loads - 2022-2024'!$L$4:$M$15,2)</f>
        <v>64.227853739187168</v>
      </c>
      <c r="AG114" s="44"/>
    </row>
    <row r="115" spans="5:33" x14ac:dyDescent="0.2">
      <c r="E115" s="175"/>
      <c r="H115">
        <f t="shared" si="42"/>
        <v>2034</v>
      </c>
      <c r="I115">
        <f t="shared" si="40"/>
        <v>5</v>
      </c>
      <c r="J115" s="268">
        <v>49065</v>
      </c>
      <c r="K115" s="44">
        <f>+SUMIFS('Monthly Energy Data'!AE$8:AE$595,'Monthly Energy Data'!$D$8:$D$595,'Peak Load Projections'!$H115,'Monthly Energy Data'!$E$8:$E$595,'Peak Load Projections'!$I115)*VLOOKUP($I115,$A$3:$E$14,5)</f>
        <v>80.053560419348145</v>
      </c>
      <c r="L115" s="44">
        <f>+SUMIFS('Monthly Energy Data'!AF$8:AF$595,'Monthly Energy Data'!$D$8:$D$595,'Peak Load Projections'!$H115,'Monthly Energy Data'!$E$8:$E$595,'Peak Load Projections'!$I115)*VLOOKUP($I115,$A$3:$E$14,5)</f>
        <v>78.03260071840927</v>
      </c>
      <c r="M115" s="44">
        <f>+SUMIFS('Monthly Energy Data'!AG$8:AG$595,'Monthly Energy Data'!$D$8:$D$595,'Peak Load Projections'!$H115,'Monthly Energy Data'!$E$8:$E$595,'Peak Load Projections'!$I115)*VLOOKUP($I115,$A$3:$E$14,5)</f>
        <v>69.259253138557384</v>
      </c>
      <c r="N115" s="44">
        <f t="shared" si="43"/>
        <v>74.656406778952771</v>
      </c>
      <c r="O115" s="269" t="str">
        <f t="shared" si="41"/>
        <v>W</v>
      </c>
      <c r="AA115">
        <f t="shared" si="46"/>
        <v>2034</v>
      </c>
      <c r="AB115">
        <f t="shared" si="44"/>
        <v>5</v>
      </c>
      <c r="AC115" s="271">
        <f t="shared" si="45"/>
        <v>49065</v>
      </c>
      <c r="AD115" s="44">
        <f>+L115*VLOOKUP($AB115,'Peak Loads - 2022-2024'!$L$4:$M$15,2)</f>
        <v>55.570838705081691</v>
      </c>
      <c r="AE115" s="44">
        <f>+M115*VLOOKUP($AB115,'Peak Loads - 2022-2024'!$L$4:$M$15,2)</f>
        <v>49.322907984139462</v>
      </c>
      <c r="AF115" s="44">
        <f>+K115*VLOOKUP($AB115,'Peak Loads - 2022-2024'!$L$4:$M$15,2)</f>
        <v>57.010063138669601</v>
      </c>
      <c r="AG115" s="44"/>
    </row>
    <row r="116" spans="5:33" x14ac:dyDescent="0.2">
      <c r="E116" s="175"/>
      <c r="H116">
        <f t="shared" si="42"/>
        <v>2034</v>
      </c>
      <c r="I116">
        <f t="shared" si="40"/>
        <v>6</v>
      </c>
      <c r="J116" s="268">
        <v>49096</v>
      </c>
      <c r="K116" s="44">
        <f>+SUMIFS('Monthly Energy Data'!AE$8:AE$595,'Monthly Energy Data'!$D$8:$D$595,'Peak Load Projections'!$H116,'Monthly Energy Data'!$E$8:$E$595,'Peak Load Projections'!$I116)*VLOOKUP($I116,$A$3:$E$14,5)</f>
        <v>98.358450490716507</v>
      </c>
      <c r="L116" s="44">
        <f>+SUMIFS('Monthly Energy Data'!AF$8:AF$595,'Monthly Energy Data'!$D$8:$D$595,'Peak Load Projections'!$H116,'Monthly Energy Data'!$E$8:$E$595,'Peak Load Projections'!$I116)*VLOOKUP($I116,$A$3:$E$14,5)</f>
        <v>96.547760511990489</v>
      </c>
      <c r="M116" s="44">
        <f>+SUMIFS('Monthly Energy Data'!AG$8:AG$595,'Monthly Energy Data'!$D$8:$D$595,'Peak Load Projections'!$H116,'Monthly Energy Data'!$E$8:$E$595,'Peak Load Projections'!$I116)*VLOOKUP($I116,$A$3:$E$14,5)</f>
        <v>85.718111517192668</v>
      </c>
      <c r="N116" s="44">
        <f t="shared" si="43"/>
        <v>92.03828100395458</v>
      </c>
      <c r="O116" s="269" t="str">
        <f t="shared" si="41"/>
        <v>S</v>
      </c>
      <c r="AA116">
        <f t="shared" si="46"/>
        <v>2034</v>
      </c>
      <c r="AB116">
        <f t="shared" si="44"/>
        <v>6</v>
      </c>
      <c r="AC116" s="271">
        <f t="shared" si="45"/>
        <v>49096</v>
      </c>
      <c r="AD116" s="44">
        <f>+L116*VLOOKUP($AB116,'Peak Loads - 2022-2024'!$L$4:$M$15,2)</f>
        <v>82.061421019295636</v>
      </c>
      <c r="AE116" s="44">
        <f>+M116*VLOOKUP($AB116,'Peak Loads - 2022-2024'!$L$4:$M$15,2)</f>
        <v>72.856687725218592</v>
      </c>
      <c r="AF116" s="44">
        <f>+K116*VLOOKUP($AB116,'Peak Loads - 2022-2024'!$L$4:$M$15,2)</f>
        <v>83.600429194023846</v>
      </c>
      <c r="AG116" s="44"/>
    </row>
    <row r="117" spans="5:33" x14ac:dyDescent="0.2">
      <c r="E117" s="175"/>
      <c r="H117">
        <f t="shared" si="42"/>
        <v>2034</v>
      </c>
      <c r="I117">
        <f t="shared" si="40"/>
        <v>7</v>
      </c>
      <c r="J117" s="268">
        <v>49126</v>
      </c>
      <c r="K117" s="44">
        <f>+SUMIFS('Monthly Energy Data'!AE$8:AE$595,'Monthly Energy Data'!$D$8:$D$595,'Peak Load Projections'!$H117,'Monthly Energy Data'!$E$8:$E$595,'Peak Load Projections'!$I117)*VLOOKUP($I117,$A$3:$E$14,5)</f>
        <v>101.25402573342126</v>
      </c>
      <c r="L117" s="44">
        <f>+SUMIFS('Monthly Energy Data'!AF$8:AF$595,'Monthly Energy Data'!$D$8:$D$595,'Peak Load Projections'!$H117,'Monthly Energy Data'!$E$8:$E$595,'Peak Load Projections'!$I117)*VLOOKUP($I117,$A$3:$E$14,5)</f>
        <v>101.38134685785586</v>
      </c>
      <c r="M117" s="44">
        <f>+SUMIFS('Monthly Energy Data'!AG$8:AG$595,'Monthly Energy Data'!$D$8:$D$595,'Peak Load Projections'!$H117,'Monthly Energy Data'!$E$8:$E$595,'Peak Load Projections'!$I117)*VLOOKUP($I117,$A$3:$E$14,5)</f>
        <v>89.308222694506483</v>
      </c>
      <c r="N117" s="44">
        <f t="shared" si="43"/>
        <v>95.344784776181172</v>
      </c>
      <c r="O117" s="269" t="str">
        <f t="shared" si="41"/>
        <v>S</v>
      </c>
      <c r="AA117">
        <f t="shared" si="46"/>
        <v>2034</v>
      </c>
      <c r="AB117">
        <f t="shared" si="44"/>
        <v>7</v>
      </c>
      <c r="AC117" s="271">
        <f t="shared" si="45"/>
        <v>49126</v>
      </c>
      <c r="AD117" s="44">
        <f>+L117*VLOOKUP($AB117,'Peak Loads - 2022-2024'!$L$4:$M$15,2)</f>
        <v>72.73122151635404</v>
      </c>
      <c r="AE117" s="44">
        <f>+M117*VLOOKUP($AB117,'Peak Loads - 2022-2024'!$L$4:$M$15,2)</f>
        <v>64.069933270202</v>
      </c>
      <c r="AF117" s="44">
        <f>+K117*VLOOKUP($AB117,'Peak Loads - 2022-2024'!$L$4:$M$15,2)</f>
        <v>72.639881036157533</v>
      </c>
      <c r="AG117" s="44"/>
    </row>
    <row r="118" spans="5:33" x14ac:dyDescent="0.2">
      <c r="E118" s="175"/>
      <c r="H118">
        <f t="shared" si="42"/>
        <v>2034</v>
      </c>
      <c r="I118">
        <f t="shared" si="40"/>
        <v>8</v>
      </c>
      <c r="J118" s="268">
        <v>49157</v>
      </c>
      <c r="K118" s="44">
        <f>+SUMIFS('Monthly Energy Data'!AE$8:AE$595,'Monthly Energy Data'!$D$8:$D$595,'Peak Load Projections'!$H118,'Monthly Energy Data'!$E$8:$E$595,'Peak Load Projections'!$I118)*VLOOKUP($I118,$A$3:$E$14,5)</f>
        <v>99.679044992114044</v>
      </c>
      <c r="L118" s="44">
        <f>+SUMIFS('Monthly Energy Data'!AF$8:AF$595,'Monthly Energy Data'!$D$8:$D$595,'Peak Load Projections'!$H118,'Monthly Energy Data'!$E$8:$E$595,'Peak Load Projections'!$I118)*VLOOKUP($I118,$A$3:$E$14,5)</f>
        <v>98.842557902159413</v>
      </c>
      <c r="M118" s="44">
        <f>+SUMIFS('Monthly Energy Data'!AG$8:AG$595,'Monthly Energy Data'!$D$8:$D$595,'Peak Load Projections'!$H118,'Monthly Energy Data'!$E$8:$E$595,'Peak Load Projections'!$I118)*VLOOKUP($I118,$A$3:$E$14,5)</f>
        <v>87.626826757284874</v>
      </c>
      <c r="N118" s="44">
        <f t="shared" si="43"/>
        <v>93.652935874699466</v>
      </c>
      <c r="O118" s="269" t="str">
        <f t="shared" si="41"/>
        <v>S</v>
      </c>
      <c r="AA118">
        <f t="shared" si="46"/>
        <v>2034</v>
      </c>
      <c r="AB118">
        <f t="shared" si="44"/>
        <v>8</v>
      </c>
      <c r="AC118" s="271">
        <f t="shared" si="45"/>
        <v>49157</v>
      </c>
      <c r="AD118" s="44">
        <f>+L118*VLOOKUP($AB118,'Peak Loads - 2022-2024'!$L$4:$M$15,2)</f>
        <v>70.693354404385914</v>
      </c>
      <c r="AE118" s="44">
        <f>+M118*VLOOKUP($AB118,'Peak Loads - 2022-2024'!$L$4:$M$15,2)</f>
        <v>62.671732204829269</v>
      </c>
      <c r="AF118" s="44">
        <f>+K118*VLOOKUP($AB118,'Peak Loads - 2022-2024'!$L$4:$M$15,2)</f>
        <v>71.291619762546617</v>
      </c>
      <c r="AG118" s="44"/>
    </row>
    <row r="119" spans="5:33" x14ac:dyDescent="0.2">
      <c r="E119" s="175"/>
      <c r="H119">
        <f t="shared" si="42"/>
        <v>2034</v>
      </c>
      <c r="I119">
        <f t="shared" si="40"/>
        <v>9</v>
      </c>
      <c r="J119" s="268">
        <v>49188</v>
      </c>
      <c r="K119" s="44">
        <f>+SUMIFS('Monthly Energy Data'!AE$8:AE$595,'Monthly Energy Data'!$D$8:$D$595,'Peak Load Projections'!$H119,'Monthly Energy Data'!$E$8:$E$595,'Peak Load Projections'!$I119)*VLOOKUP($I119,$A$3:$E$14,5)</f>
        <v>84.729865142178397</v>
      </c>
      <c r="L119" s="44">
        <f>+SUMIFS('Monthly Energy Data'!AF$8:AF$595,'Monthly Energy Data'!$D$8:$D$595,'Peak Load Projections'!$H119,'Monthly Energy Data'!$E$8:$E$595,'Peak Load Projections'!$I119)*VLOOKUP($I119,$A$3:$E$14,5)</f>
        <v>83.159926753498851</v>
      </c>
      <c r="M119" s="44">
        <f>+SUMIFS('Monthly Energy Data'!AG$8:AG$595,'Monthly Energy Data'!$D$8:$D$595,'Peak Load Projections'!$H119,'Monthly Energy Data'!$E$8:$E$595,'Peak Load Projections'!$I119)*VLOOKUP($I119,$A$3:$E$14,5)</f>
        <v>73.280025985876492</v>
      </c>
      <c r="N119" s="44">
        <f t="shared" si="43"/>
        <v>79.004945564027452</v>
      </c>
      <c r="O119" s="269" t="str">
        <f t="shared" si="41"/>
        <v>S</v>
      </c>
      <c r="AA119">
        <f t="shared" si="46"/>
        <v>2034</v>
      </c>
      <c r="AB119">
        <f t="shared" si="44"/>
        <v>9</v>
      </c>
      <c r="AC119" s="271">
        <f t="shared" si="45"/>
        <v>49188</v>
      </c>
      <c r="AD119" s="44">
        <f>+L119*VLOOKUP($AB119,'Peak Loads - 2022-2024'!$L$4:$M$15,2)</f>
        <v>59.471196606978353</v>
      </c>
      <c r="AE119" s="44">
        <f>+M119*VLOOKUP($AB119,'Peak Loads - 2022-2024'!$L$4:$M$15,2)</f>
        <v>52.40565982806357</v>
      </c>
      <c r="AF119" s="44">
        <f>+K119*VLOOKUP($AB119,'Peak Loads - 2022-2024'!$L$4:$M$15,2)</f>
        <v>60.593926246348502</v>
      </c>
      <c r="AG119" s="44"/>
    </row>
    <row r="120" spans="5:33" x14ac:dyDescent="0.2">
      <c r="E120" s="175"/>
      <c r="H120">
        <f t="shared" si="42"/>
        <v>2034</v>
      </c>
      <c r="I120">
        <f t="shared" ref="I120:I183" si="47">+MONTH(J120)</f>
        <v>10</v>
      </c>
      <c r="J120" s="268">
        <v>49218</v>
      </c>
      <c r="K120" s="44">
        <f>+SUMIFS('Monthly Energy Data'!AE$8:AE$595,'Monthly Energy Data'!$D$8:$D$595,'Peak Load Projections'!$H120,'Monthly Energy Data'!$E$8:$E$595,'Peak Load Projections'!$I120)*VLOOKUP($I120,$A$3:$E$14,5)</f>
        <v>82.348781663680384</v>
      </c>
      <c r="L120" s="44">
        <f>+SUMIFS('Monthly Energy Data'!AF$8:AF$595,'Monthly Energy Data'!$D$8:$D$595,'Peak Load Projections'!$H120,'Monthly Energy Data'!$E$8:$E$595,'Peak Load Projections'!$I120)*VLOOKUP($I120,$A$3:$E$14,5)</f>
        <v>82.448245111055883</v>
      </c>
      <c r="M120" s="44">
        <f>+SUMIFS('Monthly Energy Data'!AG$8:AG$595,'Monthly Energy Data'!$D$8:$D$595,'Peak Load Projections'!$H120,'Monthly Energy Data'!$E$8:$E$595,'Peak Load Projections'!$I120)*VLOOKUP($I120,$A$3:$E$14,5)</f>
        <v>71.417930495958686</v>
      </c>
      <c r="N120" s="44">
        <f t="shared" si="43"/>
        <v>76.933087803507277</v>
      </c>
      <c r="O120" s="269" t="str">
        <f t="shared" si="41"/>
        <v>W</v>
      </c>
      <c r="AA120">
        <f t="shared" si="46"/>
        <v>2034</v>
      </c>
      <c r="AB120">
        <f t="shared" si="44"/>
        <v>10</v>
      </c>
      <c r="AC120" s="271">
        <f t="shared" si="45"/>
        <v>49218</v>
      </c>
      <c r="AD120" s="44">
        <f>+L120*VLOOKUP($AB120,'Peak Loads - 2022-2024'!$L$4:$M$15,2)</f>
        <v>57.271192686318713</v>
      </c>
      <c r="AE120" s="44">
        <f>+M120*VLOOKUP($AB120,'Peak Loads - 2022-2024'!$L$4:$M$15,2)</f>
        <v>49.609182744675465</v>
      </c>
      <c r="AF120" s="44">
        <f>+K120*VLOOKUP($AB120,'Peak Loads - 2022-2024'!$L$4:$M$15,2)</f>
        <v>57.202102188974408</v>
      </c>
      <c r="AG120" s="44"/>
    </row>
    <row r="121" spans="5:33" x14ac:dyDescent="0.2">
      <c r="E121" s="175"/>
      <c r="H121">
        <f t="shared" si="42"/>
        <v>2034</v>
      </c>
      <c r="I121">
        <f t="shared" si="47"/>
        <v>11</v>
      </c>
      <c r="J121" s="268">
        <v>49249</v>
      </c>
      <c r="K121" s="44">
        <f>+SUMIFS('Monthly Energy Data'!AE$8:AE$595,'Monthly Energy Data'!$D$8:$D$595,'Peak Load Projections'!$H121,'Monthly Energy Data'!$E$8:$E$595,'Peak Load Projections'!$I121)*VLOOKUP($I121,$A$3:$E$14,5)</f>
        <v>101.80811071014544</v>
      </c>
      <c r="L121" s="44">
        <f>+SUMIFS('Monthly Energy Data'!AF$8:AF$595,'Monthly Energy Data'!$D$8:$D$595,'Peak Load Projections'!$H121,'Monthly Energy Data'!$E$8:$E$595,'Peak Load Projections'!$I121)*VLOOKUP($I121,$A$3:$E$14,5)</f>
        <v>106.51028880594747</v>
      </c>
      <c r="M121" s="44">
        <f>+SUMIFS('Monthly Energy Data'!AG$8:AG$595,'Monthly Energy Data'!$D$8:$D$595,'Peak Load Projections'!$H121,'Monthly Energy Data'!$E$8:$E$595,'Peak Load Projections'!$I121)*VLOOKUP($I121,$A$3:$E$14,5)</f>
        <v>86.898937139053572</v>
      </c>
      <c r="N121" s="44">
        <f t="shared" si="43"/>
        <v>96.704612972500513</v>
      </c>
      <c r="O121" s="269" t="str">
        <f t="shared" si="41"/>
        <v>W</v>
      </c>
      <c r="AA121">
        <f t="shared" si="46"/>
        <v>2034</v>
      </c>
      <c r="AB121">
        <f t="shared" si="44"/>
        <v>11</v>
      </c>
      <c r="AC121" s="271">
        <f t="shared" si="45"/>
        <v>49249</v>
      </c>
      <c r="AD121" s="44">
        <f>+L121*VLOOKUP($AB121,'Peak Loads - 2022-2024'!$L$4:$M$15,2)</f>
        <v>75.755079262369748</v>
      </c>
      <c r="AE121" s="44">
        <f>+M121*VLOOKUP($AB121,'Peak Loads - 2022-2024'!$L$4:$M$15,2)</f>
        <v>61.806572347000305</v>
      </c>
      <c r="AF121" s="44">
        <f>+K121*VLOOKUP($AB121,'Peak Loads - 2022-2024'!$L$4:$M$15,2)</f>
        <v>72.410671146058533</v>
      </c>
      <c r="AG121" s="44"/>
    </row>
    <row r="122" spans="5:33" x14ac:dyDescent="0.2">
      <c r="E122" s="175"/>
      <c r="H122">
        <f t="shared" si="42"/>
        <v>2034</v>
      </c>
      <c r="I122">
        <f t="shared" si="47"/>
        <v>12</v>
      </c>
      <c r="J122" s="268">
        <v>49279</v>
      </c>
      <c r="K122" s="44">
        <f>+SUMIFS('Monthly Energy Data'!AE$8:AE$595,'Monthly Energy Data'!$D$8:$D$595,'Peak Load Projections'!$H122,'Monthly Energy Data'!$E$8:$E$595,'Peak Load Projections'!$I122)*VLOOKUP($I122,$A$3:$E$14,5)</f>
        <v>111.59493957273942</v>
      </c>
      <c r="L122" s="44">
        <f>+SUMIFS('Monthly Energy Data'!AF$8:AF$595,'Monthly Energy Data'!$D$8:$D$595,'Peak Load Projections'!$H122,'Monthly Energy Data'!$E$8:$E$595,'Peak Load Projections'!$I122)*VLOOKUP($I122,$A$3:$E$14,5)</f>
        <v>115.57502099249096</v>
      </c>
      <c r="M122" s="44">
        <f>+SUMIFS('Monthly Energy Data'!AG$8:AG$595,'Monthly Energy Data'!$D$8:$D$595,'Peak Load Projections'!$H122,'Monthly Energy Data'!$E$8:$E$595,'Peak Load Projections'!$I122)*VLOOKUP($I122,$A$3:$E$14,5)</f>
        <v>95.617168596059187</v>
      </c>
      <c r="N122" s="44">
        <f t="shared" si="43"/>
        <v>105.59609479427507</v>
      </c>
      <c r="O122" s="269" t="str">
        <f t="shared" si="41"/>
        <v>W</v>
      </c>
      <c r="AA122">
        <f t="shared" si="46"/>
        <v>2034</v>
      </c>
      <c r="AB122">
        <f t="shared" si="44"/>
        <v>12</v>
      </c>
      <c r="AC122" s="271">
        <f t="shared" si="45"/>
        <v>49279</v>
      </c>
      <c r="AD122" s="44">
        <f>+L122*VLOOKUP($AB122,'Peak Loads - 2022-2024'!$L$4:$M$15,2)</f>
        <v>99.016669053391354</v>
      </c>
      <c r="AE122" s="44">
        <f>+M122*VLOOKUP($AB122,'Peak Loads - 2022-2024'!$L$4:$M$15,2)</f>
        <v>81.91816412746698</v>
      </c>
      <c r="AF122" s="44">
        <f>+K122*VLOOKUP($AB122,'Peak Loads - 2022-2024'!$L$4:$M$15,2)</f>
        <v>95.606811098265439</v>
      </c>
      <c r="AG122" s="44"/>
    </row>
    <row r="123" spans="5:33" x14ac:dyDescent="0.2">
      <c r="E123" s="175"/>
      <c r="H123">
        <f t="shared" si="42"/>
        <v>2035</v>
      </c>
      <c r="I123">
        <f t="shared" si="47"/>
        <v>1</v>
      </c>
      <c r="J123" s="268">
        <v>49310</v>
      </c>
      <c r="K123" s="44">
        <f>+SUMIFS('Monthly Energy Data'!AE$8:AE$595,'Monthly Energy Data'!$D$8:$D$595,'Peak Load Projections'!$H123,'Monthly Energy Data'!$E$8:$E$595,'Peak Load Projections'!$I123)*VLOOKUP($I123,$A$3:$E$14,5)</f>
        <v>114.23988123539259</v>
      </c>
      <c r="L123" s="44">
        <f>+SUMIFS('Monthly Energy Data'!AF$8:AF$595,'Monthly Energy Data'!$D$8:$D$595,'Peak Load Projections'!$H123,'Monthly Energy Data'!$E$8:$E$595,'Peak Load Projections'!$I123)*VLOOKUP($I123,$A$3:$E$14,5)</f>
        <v>119.34411106810828</v>
      </c>
      <c r="M123" s="44">
        <f>+SUMIFS('Monthly Energy Data'!AG$8:AG$595,'Monthly Energy Data'!$D$8:$D$595,'Peak Load Projections'!$H123,'Monthly Energy Data'!$E$8:$E$595,'Peak Load Projections'!$I123)*VLOOKUP($I123,$A$3:$E$14,5)</f>
        <v>98.1904115418359</v>
      </c>
      <c r="N123" s="44">
        <f t="shared" si="43"/>
        <v>108.7672613049721</v>
      </c>
      <c r="O123" s="269" t="str">
        <f t="shared" si="41"/>
        <v>W</v>
      </c>
      <c r="AA123">
        <f t="shared" si="46"/>
        <v>2035</v>
      </c>
      <c r="AB123">
        <f t="shared" si="44"/>
        <v>1</v>
      </c>
      <c r="AC123" s="271">
        <f t="shared" si="45"/>
        <v>49310</v>
      </c>
      <c r="AD123" s="44">
        <f>+L123*VLOOKUP($AB123,'Peak Loads - 2022-2024'!$L$4:$M$15,2)</f>
        <v>105.59773462670205</v>
      </c>
      <c r="AE123" s="44">
        <f>+M123*VLOOKUP($AB123,'Peak Loads - 2022-2024'!$L$4:$M$15,2)</f>
        <v>86.880575238137752</v>
      </c>
      <c r="AF123" s="44">
        <f>+K123*VLOOKUP($AB123,'Peak Loads - 2022-2024'!$L$4:$M$15,2)</f>
        <v>101.08142374613243</v>
      </c>
      <c r="AG123" s="44"/>
    </row>
    <row r="124" spans="5:33" x14ac:dyDescent="0.2">
      <c r="E124" s="175"/>
      <c r="H124">
        <f t="shared" si="42"/>
        <v>2035</v>
      </c>
      <c r="I124">
        <f t="shared" si="47"/>
        <v>2</v>
      </c>
      <c r="J124" s="268">
        <v>49341</v>
      </c>
      <c r="K124" s="44">
        <f>+SUMIFS('Monthly Energy Data'!AE$8:AE$595,'Monthly Energy Data'!$D$8:$D$595,'Peak Load Projections'!$H124,'Monthly Energy Data'!$E$8:$E$595,'Peak Load Projections'!$I124)*VLOOKUP($I124,$A$3:$E$14,5)</f>
        <v>108.67972262651861</v>
      </c>
      <c r="L124" s="44">
        <f>+SUMIFS('Monthly Energy Data'!AF$8:AF$595,'Monthly Energy Data'!$D$8:$D$595,'Peak Load Projections'!$H124,'Monthly Energy Data'!$E$8:$E$595,'Peak Load Projections'!$I124)*VLOOKUP($I124,$A$3:$E$14,5)</f>
        <v>111.91858944617738</v>
      </c>
      <c r="M124" s="44">
        <f>+SUMIFS('Monthly Energy Data'!AG$8:AG$595,'Monthly Energy Data'!$D$8:$D$595,'Peak Load Projections'!$H124,'Monthly Energy Data'!$E$8:$E$595,'Peak Load Projections'!$I124)*VLOOKUP($I124,$A$3:$E$14,5)</f>
        <v>92.555649691608195</v>
      </c>
      <c r="N124" s="44">
        <f t="shared" si="43"/>
        <v>102.23711956889278</v>
      </c>
      <c r="O124" s="269" t="str">
        <f t="shared" si="41"/>
        <v>W</v>
      </c>
      <c r="AA124">
        <f t="shared" si="46"/>
        <v>2035</v>
      </c>
      <c r="AB124">
        <f t="shared" si="44"/>
        <v>2</v>
      </c>
      <c r="AC124" s="271">
        <f t="shared" si="45"/>
        <v>49341</v>
      </c>
      <c r="AD124" s="44">
        <f>+L124*VLOOKUP($AB124,'Peak Loads - 2022-2024'!$L$4:$M$15,2)</f>
        <v>89.258050449947305</v>
      </c>
      <c r="AE124" s="44">
        <f>+M124*VLOOKUP($AB124,'Peak Loads - 2022-2024'!$L$4:$M$15,2)</f>
        <v>73.815591230035679</v>
      </c>
      <c r="AF124" s="44">
        <f>+K124*VLOOKUP($AB124,'Peak Loads - 2022-2024'!$L$4:$M$15,2)</f>
        <v>86.674968055679003</v>
      </c>
      <c r="AG124" s="44"/>
    </row>
    <row r="125" spans="5:33" x14ac:dyDescent="0.2">
      <c r="E125" s="175"/>
      <c r="H125">
        <f t="shared" si="42"/>
        <v>2035</v>
      </c>
      <c r="I125">
        <f t="shared" si="47"/>
        <v>3</v>
      </c>
      <c r="J125" s="268">
        <v>49369</v>
      </c>
      <c r="K125" s="44">
        <f>+SUMIFS('Monthly Energy Data'!AE$8:AE$595,'Monthly Energy Data'!$D$8:$D$595,'Peak Load Projections'!$H125,'Monthly Energy Data'!$E$8:$E$595,'Peak Load Projections'!$I125)*VLOOKUP($I125,$A$3:$E$14,5)</f>
        <v>96.463330069253544</v>
      </c>
      <c r="L125" s="44">
        <f>+SUMIFS('Monthly Energy Data'!AF$8:AF$595,'Monthly Energy Data'!$D$8:$D$595,'Peak Load Projections'!$H125,'Monthly Energy Data'!$E$8:$E$595,'Peak Load Projections'!$I125)*VLOOKUP($I125,$A$3:$E$14,5)</f>
        <v>98.303267861222693</v>
      </c>
      <c r="M125" s="44">
        <f>+SUMIFS('Monthly Energy Data'!AG$8:AG$595,'Monthly Energy Data'!$D$8:$D$595,'Peak Load Projections'!$H125,'Monthly Energy Data'!$E$8:$E$595,'Peak Load Projections'!$I125)*VLOOKUP($I125,$A$3:$E$14,5)</f>
        <v>83.339457080912553</v>
      </c>
      <c r="N125" s="44">
        <f t="shared" si="43"/>
        <v>90.82136247106763</v>
      </c>
      <c r="O125" s="269" t="str">
        <f t="shared" si="41"/>
        <v>W</v>
      </c>
      <c r="AA125">
        <f t="shared" si="46"/>
        <v>2035</v>
      </c>
      <c r="AB125">
        <f t="shared" si="44"/>
        <v>3</v>
      </c>
      <c r="AC125" s="271">
        <f t="shared" si="45"/>
        <v>49369</v>
      </c>
      <c r="AD125" s="44">
        <f>+L125*VLOOKUP($AB125,'Peak Loads - 2022-2024'!$L$4:$M$15,2)</f>
        <v>70.158432071117744</v>
      </c>
      <c r="AE125" s="44">
        <f>+M125*VLOOKUP($AB125,'Peak Loads - 2022-2024'!$L$4:$M$15,2)</f>
        <v>59.478853202615312</v>
      </c>
      <c r="AF125" s="44">
        <f>+K125*VLOOKUP($AB125,'Peak Loads - 2022-2024'!$L$4:$M$15,2)</f>
        <v>68.845279890101892</v>
      </c>
      <c r="AG125" s="44"/>
    </row>
    <row r="126" spans="5:33" x14ac:dyDescent="0.2">
      <c r="E126" s="175"/>
      <c r="H126">
        <f t="shared" si="42"/>
        <v>2035</v>
      </c>
      <c r="I126">
        <f t="shared" si="47"/>
        <v>4</v>
      </c>
      <c r="J126" s="268">
        <v>49400</v>
      </c>
      <c r="K126" s="44">
        <f>+SUMIFS('Monthly Energy Data'!AE$8:AE$595,'Monthly Energy Data'!$D$8:$D$595,'Peak Load Projections'!$H126,'Monthly Energy Data'!$E$8:$E$595,'Peak Load Projections'!$I126)*VLOOKUP($I126,$A$3:$E$14,5)</f>
        <v>94.274769981614412</v>
      </c>
      <c r="L126" s="44">
        <f>+SUMIFS('Monthly Energy Data'!AF$8:AF$595,'Monthly Energy Data'!$D$8:$D$595,'Peak Load Projections'!$H126,'Monthly Energy Data'!$E$8:$E$595,'Peak Load Projections'!$I126)*VLOOKUP($I126,$A$3:$E$14,5)</f>
        <v>93.940808538081512</v>
      </c>
      <c r="M126" s="44">
        <f>+SUMIFS('Monthly Energy Data'!AG$8:AG$595,'Monthly Energy Data'!$D$8:$D$595,'Peak Load Projections'!$H126,'Monthly Energy Data'!$E$8:$E$595,'Peak Load Projections'!$I126)*VLOOKUP($I126,$A$3:$E$14,5)</f>
        <v>80.551982123380725</v>
      </c>
      <c r="N126" s="44">
        <f t="shared" si="43"/>
        <v>87.413376052497568</v>
      </c>
      <c r="O126" s="269" t="str">
        <f t="shared" si="41"/>
        <v>W</v>
      </c>
      <c r="AA126">
        <f t="shared" si="46"/>
        <v>2035</v>
      </c>
      <c r="AB126">
        <f t="shared" si="44"/>
        <v>4</v>
      </c>
      <c r="AC126" s="271">
        <f t="shared" si="45"/>
        <v>49400</v>
      </c>
      <c r="AD126" s="44">
        <f>+L126*VLOOKUP($AB126,'Peak Loads - 2022-2024'!$L$4:$M$15,2)</f>
        <v>65.545780199121424</v>
      </c>
      <c r="AE126" s="44">
        <f>+M126*VLOOKUP($AB126,'Peak Loads - 2022-2024'!$L$4:$M$15,2)</f>
        <v>56.203928803980226</v>
      </c>
      <c r="AF126" s="44">
        <f>+K126*VLOOKUP($AB126,'Peak Loads - 2022-2024'!$L$4:$M$15,2)</f>
        <v>65.778796751921419</v>
      </c>
      <c r="AG126" s="44"/>
    </row>
    <row r="127" spans="5:33" x14ac:dyDescent="0.2">
      <c r="E127" s="175"/>
      <c r="H127">
        <f t="shared" si="42"/>
        <v>2035</v>
      </c>
      <c r="I127">
        <f t="shared" si="47"/>
        <v>5</v>
      </c>
      <c r="J127" s="268">
        <v>49430</v>
      </c>
      <c r="K127" s="44">
        <f>+SUMIFS('Monthly Energy Data'!AE$8:AE$595,'Monthly Energy Data'!$D$8:$D$595,'Peak Load Projections'!$H127,'Monthly Energy Data'!$E$8:$E$595,'Peak Load Projections'!$I127)*VLOOKUP($I127,$A$3:$E$14,5)</f>
        <v>81.661688371885518</v>
      </c>
      <c r="L127" s="44">
        <f>+SUMIFS('Monthly Energy Data'!AF$8:AF$595,'Monthly Energy Data'!$D$8:$D$595,'Peak Load Projections'!$H127,'Monthly Energy Data'!$E$8:$E$595,'Peak Load Projections'!$I127)*VLOOKUP($I127,$A$3:$E$14,5)</f>
        <v>79.859891527805999</v>
      </c>
      <c r="M127" s="44">
        <f>+SUMIFS('Monthly Energy Data'!AG$8:AG$595,'Monthly Energy Data'!$D$8:$D$595,'Peak Load Projections'!$H127,'Monthly Energy Data'!$E$8:$E$595,'Peak Load Projections'!$I127)*VLOOKUP($I127,$A$3:$E$14,5)</f>
        <v>70.669672134400273</v>
      </c>
      <c r="N127" s="44">
        <f t="shared" si="43"/>
        <v>76.165680253142895</v>
      </c>
      <c r="O127" s="269" t="str">
        <f t="shared" si="41"/>
        <v>W</v>
      </c>
      <c r="AA127">
        <f t="shared" si="46"/>
        <v>2035</v>
      </c>
      <c r="AB127">
        <f t="shared" si="44"/>
        <v>5</v>
      </c>
      <c r="AC127" s="271">
        <f t="shared" si="45"/>
        <v>49430</v>
      </c>
      <c r="AD127" s="44">
        <f>+L127*VLOOKUP($AB127,'Peak Loads - 2022-2024'!$L$4:$M$15,2)</f>
        <v>56.872142030889052</v>
      </c>
      <c r="AE127" s="44">
        <f>+M127*VLOOKUP($AB127,'Peak Loads - 2022-2024'!$L$4:$M$15,2)</f>
        <v>50.327336464069361</v>
      </c>
      <c r="AF127" s="44">
        <f>+K127*VLOOKUP($AB127,'Peak Loads - 2022-2024'!$L$4:$M$15,2)</f>
        <v>58.15528985474527</v>
      </c>
      <c r="AG127" s="44"/>
    </row>
    <row r="128" spans="5:33" x14ac:dyDescent="0.2">
      <c r="E128" s="175"/>
      <c r="H128">
        <f t="shared" si="42"/>
        <v>2035</v>
      </c>
      <c r="I128">
        <f t="shared" si="47"/>
        <v>6</v>
      </c>
      <c r="J128" s="268">
        <v>49461</v>
      </c>
      <c r="K128" s="44">
        <f>+SUMIFS('Monthly Energy Data'!AE$8:AE$595,'Monthly Energy Data'!$D$8:$D$595,'Peak Load Projections'!$H128,'Monthly Energy Data'!$E$8:$E$595,'Peak Load Projections'!$I128)*VLOOKUP($I128,$A$3:$E$14,5)</f>
        <v>100.29139488688632</v>
      </c>
      <c r="L128" s="44">
        <f>+SUMIFS('Monthly Energy Data'!AF$8:AF$595,'Monthly Energy Data'!$D$8:$D$595,'Peak Load Projections'!$H128,'Monthly Energy Data'!$E$8:$E$595,'Peak Load Projections'!$I128)*VLOOKUP($I128,$A$3:$E$14,5)</f>
        <v>98.816810280394222</v>
      </c>
      <c r="M128" s="44">
        <f>+SUMIFS('Monthly Energy Data'!AG$8:AG$595,'Monthly Energy Data'!$D$8:$D$595,'Peak Load Projections'!$H128,'Monthly Energy Data'!$E$8:$E$595,'Peak Load Projections'!$I128)*VLOOKUP($I128,$A$3:$E$14,5)</f>
        <v>87.484887990080452</v>
      </c>
      <c r="N128" s="44">
        <f t="shared" si="43"/>
        <v>93.888141438483387</v>
      </c>
      <c r="O128" s="269" t="str">
        <f t="shared" si="41"/>
        <v>S</v>
      </c>
      <c r="AA128">
        <f t="shared" si="46"/>
        <v>2035</v>
      </c>
      <c r="AB128">
        <f t="shared" si="44"/>
        <v>6</v>
      </c>
      <c r="AC128" s="271">
        <f t="shared" si="45"/>
        <v>49461</v>
      </c>
      <c r="AD128" s="44">
        <f>+L128*VLOOKUP($AB128,'Peak Loads - 2022-2024'!$L$4:$M$15,2)</f>
        <v>83.99001519249336</v>
      </c>
      <c r="AE128" s="44">
        <f>+M128*VLOOKUP($AB128,'Peak Loads - 2022-2024'!$L$4:$M$15,2)</f>
        <v>74.358371319118461</v>
      </c>
      <c r="AF128" s="44">
        <f>+K128*VLOOKUP($AB128,'Peak Loads - 2022-2024'!$L$4:$M$15,2)</f>
        <v>85.243348336423637</v>
      </c>
      <c r="AG128" s="44"/>
    </row>
    <row r="129" spans="5:33" x14ac:dyDescent="0.2">
      <c r="E129" s="175"/>
      <c r="H129">
        <f t="shared" si="42"/>
        <v>2035</v>
      </c>
      <c r="I129">
        <f t="shared" si="47"/>
        <v>7</v>
      </c>
      <c r="J129" s="268">
        <v>49491</v>
      </c>
      <c r="K129" s="44">
        <f>+SUMIFS('Monthly Energy Data'!AE$8:AE$595,'Monthly Energy Data'!$D$8:$D$595,'Peak Load Projections'!$H129,'Monthly Energy Data'!$E$8:$E$595,'Peak Load Projections'!$I129)*VLOOKUP($I129,$A$3:$E$14,5)</f>
        <v>103.13904866669574</v>
      </c>
      <c r="L129" s="44">
        <f>+SUMIFS('Monthly Energy Data'!AF$8:AF$595,'Monthly Energy Data'!$D$8:$D$595,'Peak Load Projections'!$H129,'Monthly Energy Data'!$E$8:$E$595,'Peak Load Projections'!$I129)*VLOOKUP($I129,$A$3:$E$14,5)</f>
        <v>103.75325399812581</v>
      </c>
      <c r="M129" s="44">
        <f>+SUMIFS('Monthly Energy Data'!AG$8:AG$595,'Monthly Energy Data'!$D$8:$D$595,'Peak Load Projections'!$H129,'Monthly Energy Data'!$E$8:$E$595,'Peak Load Projections'!$I129)*VLOOKUP($I129,$A$3:$E$14,5)</f>
        <v>91.126721237758716</v>
      </c>
      <c r="N129" s="44">
        <f t="shared" si="43"/>
        <v>97.439987617942265</v>
      </c>
      <c r="O129" s="269" t="str">
        <f t="shared" si="41"/>
        <v>S</v>
      </c>
      <c r="AA129">
        <f t="shared" si="46"/>
        <v>2035</v>
      </c>
      <c r="AB129">
        <f t="shared" si="44"/>
        <v>7</v>
      </c>
      <c r="AC129" s="271">
        <f t="shared" si="45"/>
        <v>49491</v>
      </c>
      <c r="AD129" s="44">
        <f>+L129*VLOOKUP($AB129,'Peak Loads - 2022-2024'!$L$4:$M$15,2)</f>
        <v>74.432833390548907</v>
      </c>
      <c r="AE129" s="44">
        <f>+M129*VLOOKUP($AB129,'Peak Loads - 2022-2024'!$L$4:$M$15,2)</f>
        <v>65.374528488905156</v>
      </c>
      <c r="AF129" s="44">
        <f>+K129*VLOOKUP($AB129,'Peak Loads - 2022-2024'!$L$4:$M$15,2)</f>
        <v>73.99220101189843</v>
      </c>
      <c r="AG129" s="44"/>
    </row>
    <row r="130" spans="5:33" x14ac:dyDescent="0.2">
      <c r="E130" s="175"/>
      <c r="H130">
        <f t="shared" si="42"/>
        <v>2035</v>
      </c>
      <c r="I130">
        <f t="shared" si="47"/>
        <v>8</v>
      </c>
      <c r="J130" s="268">
        <v>49522</v>
      </c>
      <c r="K130" s="44">
        <f>+SUMIFS('Monthly Energy Data'!AE$8:AE$595,'Monthly Energy Data'!$D$8:$D$595,'Peak Load Projections'!$H130,'Monthly Energy Data'!$E$8:$E$595,'Peak Load Projections'!$I130)*VLOOKUP($I130,$A$3:$E$14,5)</f>
        <v>101.49947736653915</v>
      </c>
      <c r="L130" s="44">
        <f>+SUMIFS('Monthly Energy Data'!AF$8:AF$595,'Monthly Energy Data'!$D$8:$D$595,'Peak Load Projections'!$H130,'Monthly Energy Data'!$E$8:$E$595,'Peak Load Projections'!$I130)*VLOOKUP($I130,$A$3:$E$14,5)</f>
        <v>101.1163378981061</v>
      </c>
      <c r="M130" s="44">
        <f>+SUMIFS('Monthly Energy Data'!AG$8:AG$595,'Monthly Energy Data'!$D$8:$D$595,'Peak Load Projections'!$H130,'Monthly Energy Data'!$E$8:$E$595,'Peak Load Projections'!$I130)*VLOOKUP($I130,$A$3:$E$14,5)</f>
        <v>89.410059534807957</v>
      </c>
      <c r="N130" s="44">
        <f t="shared" si="43"/>
        <v>95.454768450673555</v>
      </c>
      <c r="O130" s="269" t="str">
        <f t="shared" si="41"/>
        <v>S</v>
      </c>
      <c r="AA130">
        <f t="shared" si="46"/>
        <v>2035</v>
      </c>
      <c r="AB130">
        <f t="shared" si="44"/>
        <v>8</v>
      </c>
      <c r="AC130" s="271">
        <f t="shared" si="45"/>
        <v>49522</v>
      </c>
      <c r="AD130" s="44">
        <f>+L130*VLOOKUP($AB130,'Peak Loads - 2022-2024'!$L$4:$M$15,2)</f>
        <v>72.319588473016282</v>
      </c>
      <c r="AE130" s="44">
        <f>+M130*VLOOKUP($AB130,'Peak Loads - 2022-2024'!$L$4:$M$15,2)</f>
        <v>63.947121160786288</v>
      </c>
      <c r="AF130" s="44">
        <f>+K130*VLOOKUP($AB130,'Peak Loads - 2022-2024'!$L$4:$M$15,2)</f>
        <v>72.593614305644536</v>
      </c>
      <c r="AG130" s="44"/>
    </row>
    <row r="131" spans="5:33" x14ac:dyDescent="0.2">
      <c r="E131" s="175"/>
      <c r="H131">
        <f t="shared" si="42"/>
        <v>2035</v>
      </c>
      <c r="I131">
        <f t="shared" si="47"/>
        <v>9</v>
      </c>
      <c r="J131" s="268">
        <v>49553</v>
      </c>
      <c r="K131" s="44">
        <f>+SUMIFS('Monthly Energy Data'!AE$8:AE$595,'Monthly Energy Data'!$D$8:$D$595,'Peak Load Projections'!$H131,'Monthly Energy Data'!$E$8:$E$595,'Peak Load Projections'!$I131)*VLOOKUP($I131,$A$3:$E$14,5)</f>
        <v>86.291559014563603</v>
      </c>
      <c r="L131" s="44">
        <f>+SUMIFS('Monthly Energy Data'!AF$8:AF$595,'Monthly Energy Data'!$D$8:$D$595,'Peak Load Projections'!$H131,'Monthly Energy Data'!$E$8:$E$595,'Peak Load Projections'!$I131)*VLOOKUP($I131,$A$3:$E$14,5)</f>
        <v>85.129404900107218</v>
      </c>
      <c r="M131" s="44">
        <f>+SUMIFS('Monthly Energy Data'!AG$8:AG$595,'Monthly Energy Data'!$D$8:$D$595,'Peak Load Projections'!$H131,'Monthly Energy Data'!$E$8:$E$595,'Peak Load Projections'!$I131)*VLOOKUP($I131,$A$3:$E$14,5)</f>
        <v>74.836870301066611</v>
      </c>
      <c r="N131" s="44">
        <f t="shared" si="43"/>
        <v>80.564214657815114</v>
      </c>
      <c r="O131" s="269" t="str">
        <f t="shared" ref="O131:O194" si="48">+IF(I131&lt;6,"W",IF(I131&gt;9,"W","S"))</f>
        <v>S</v>
      </c>
      <c r="AA131">
        <f t="shared" si="46"/>
        <v>2035</v>
      </c>
      <c r="AB131">
        <f t="shared" si="44"/>
        <v>9</v>
      </c>
      <c r="AC131" s="271">
        <f t="shared" si="45"/>
        <v>49553</v>
      </c>
      <c r="AD131" s="44">
        <f>+L131*VLOOKUP($AB131,'Peak Loads - 2022-2024'!$L$4:$M$15,2)</f>
        <v>60.87965410138284</v>
      </c>
      <c r="AE131" s="44">
        <f>+M131*VLOOKUP($AB131,'Peak Loads - 2022-2024'!$L$4:$M$15,2)</f>
        <v>53.519025339189788</v>
      </c>
      <c r="AF131" s="44">
        <f>+K131*VLOOKUP($AB131,'Peak Loads - 2022-2024'!$L$4:$M$15,2)</f>
        <v>61.710759881854642</v>
      </c>
      <c r="AG131" s="44"/>
    </row>
    <row r="132" spans="5:33" x14ac:dyDescent="0.2">
      <c r="E132" s="175"/>
      <c r="H132">
        <f t="shared" ref="H132:H195" si="49">+YEAR(J132)</f>
        <v>2035</v>
      </c>
      <c r="I132">
        <f t="shared" si="47"/>
        <v>10</v>
      </c>
      <c r="J132" s="268">
        <v>49583</v>
      </c>
      <c r="K132" s="44">
        <f>+SUMIFS('Monthly Energy Data'!AE$8:AE$595,'Monthly Energy Data'!$D$8:$D$595,'Peak Load Projections'!$H132,'Monthly Energy Data'!$E$8:$E$595,'Peak Load Projections'!$I132)*VLOOKUP($I132,$A$3:$E$14,5)</f>
        <v>83.859731284168134</v>
      </c>
      <c r="L132" s="44">
        <f>+SUMIFS('Monthly Energy Data'!AF$8:AF$595,'Monthly Energy Data'!$D$8:$D$595,'Peak Load Projections'!$H132,'Monthly Energy Data'!$E$8:$E$595,'Peak Load Projections'!$I132)*VLOOKUP($I132,$A$3:$E$14,5)</f>
        <v>84.487922671503227</v>
      </c>
      <c r="M132" s="44">
        <f>+SUMIFS('Monthly Energy Data'!AG$8:AG$595,'Monthly Energy Data'!$D$8:$D$595,'Peak Load Projections'!$H132,'Monthly Energy Data'!$E$8:$E$595,'Peak Load Projections'!$I132)*VLOOKUP($I132,$A$3:$E$14,5)</f>
        <v>73.006552456853896</v>
      </c>
      <c r="N132" s="44">
        <f t="shared" ref="N132:N195" si="50">+(MIN(K132:M132)+MAX(K132:M132))/2</f>
        <v>78.747237564178562</v>
      </c>
      <c r="O132" s="269" t="str">
        <f t="shared" si="48"/>
        <v>W</v>
      </c>
      <c r="AA132">
        <f t="shared" si="46"/>
        <v>2035</v>
      </c>
      <c r="AB132">
        <f t="shared" ref="AB132:AB195" si="51">+I132</f>
        <v>10</v>
      </c>
      <c r="AC132" s="271">
        <f t="shared" ref="AC132:AC195" si="52">+J132</f>
        <v>49583</v>
      </c>
      <c r="AD132" s="44">
        <f>+L132*VLOOKUP($AB132,'Peak Loads - 2022-2024'!$L$4:$M$15,2)</f>
        <v>58.688018070837124</v>
      </c>
      <c r="AE132" s="44">
        <f>+M132*VLOOKUP($AB132,'Peak Loads - 2022-2024'!$L$4:$M$15,2)</f>
        <v>50.712690457976052</v>
      </c>
      <c r="AF132" s="44">
        <f>+K132*VLOOKUP($AB132,'Peak Loads - 2022-2024'!$L$4:$M$15,2)</f>
        <v>58.25165620601522</v>
      </c>
      <c r="AG132" s="44"/>
    </row>
    <row r="133" spans="5:33" x14ac:dyDescent="0.2">
      <c r="E133" s="175"/>
      <c r="H133">
        <f t="shared" si="49"/>
        <v>2035</v>
      </c>
      <c r="I133">
        <f t="shared" si="47"/>
        <v>11</v>
      </c>
      <c r="J133" s="268">
        <v>49614</v>
      </c>
      <c r="K133" s="44">
        <f>+SUMIFS('Monthly Energy Data'!AE$8:AE$595,'Monthly Energy Data'!$D$8:$D$595,'Peak Load Projections'!$H133,'Monthly Energy Data'!$E$8:$E$595,'Peak Load Projections'!$I133)*VLOOKUP($I133,$A$3:$E$14,5)</f>
        <v>104.03561494356056</v>
      </c>
      <c r="L133" s="44">
        <f>+SUMIFS('Monthly Energy Data'!AF$8:AF$595,'Monthly Energy Data'!$D$8:$D$595,'Peak Load Projections'!$H133,'Monthly Energy Data'!$E$8:$E$595,'Peak Load Projections'!$I133)*VLOOKUP($I133,$A$3:$E$14,5)</f>
        <v>109.7991808072063</v>
      </c>
      <c r="M133" s="44">
        <f>+SUMIFS('Monthly Energy Data'!AG$8:AG$595,'Monthly Energy Data'!$D$8:$D$595,'Peak Load Projections'!$H133,'Monthly Energy Data'!$E$8:$E$595,'Peak Load Projections'!$I133)*VLOOKUP($I133,$A$3:$E$14,5)</f>
        <v>89.402680434120583</v>
      </c>
      <c r="N133" s="44">
        <f t="shared" si="50"/>
        <v>99.600930620663434</v>
      </c>
      <c r="O133" s="269" t="str">
        <f t="shared" si="48"/>
        <v>W</v>
      </c>
      <c r="AA133">
        <f t="shared" si="46"/>
        <v>2035</v>
      </c>
      <c r="AB133">
        <f t="shared" si="51"/>
        <v>11</v>
      </c>
      <c r="AC133" s="271">
        <f t="shared" si="52"/>
        <v>49614</v>
      </c>
      <c r="AD133" s="44">
        <f>+L133*VLOOKUP($AB133,'Peak Loads - 2022-2024'!$L$4:$M$15,2)</f>
        <v>78.09429246922403</v>
      </c>
      <c r="AE133" s="44">
        <f>+M133*VLOOKUP($AB133,'Peak Loads - 2022-2024'!$L$4:$M$15,2)</f>
        <v>63.587351217255673</v>
      </c>
      <c r="AF133" s="44">
        <f>+K133*VLOOKUP($AB133,'Peak Loads - 2022-2024'!$L$4:$M$15,2)</f>
        <v>73.994975926858302</v>
      </c>
      <c r="AG133" s="44"/>
    </row>
    <row r="134" spans="5:33" x14ac:dyDescent="0.2">
      <c r="E134" s="175"/>
      <c r="H134">
        <f t="shared" si="49"/>
        <v>2035</v>
      </c>
      <c r="I134">
        <f t="shared" si="47"/>
        <v>12</v>
      </c>
      <c r="J134" s="268">
        <v>49644</v>
      </c>
      <c r="K134" s="44">
        <f>+SUMIFS('Monthly Energy Data'!AE$8:AE$595,'Monthly Energy Data'!$D$8:$D$595,'Peak Load Projections'!$H134,'Monthly Energy Data'!$E$8:$E$595,'Peak Load Projections'!$I134)*VLOOKUP($I134,$A$3:$E$14,5)</f>
        <v>113.99697272592623</v>
      </c>
      <c r="L134" s="44">
        <f>+SUMIFS('Monthly Energy Data'!AF$8:AF$595,'Monthly Energy Data'!$D$8:$D$595,'Peak Load Projections'!$H134,'Monthly Energy Data'!$E$8:$E$595,'Peak Load Projections'!$I134)*VLOOKUP($I134,$A$3:$E$14,5)</f>
        <v>119.07856654036939</v>
      </c>
      <c r="M134" s="44">
        <f>+SUMIFS('Monthly Energy Data'!AG$8:AG$595,'Monthly Energy Data'!$D$8:$D$595,'Peak Load Projections'!$H134,'Monthly Energy Data'!$E$8:$E$595,'Peak Load Projections'!$I134)*VLOOKUP($I134,$A$3:$E$14,5)</f>
        <v>98.358444040974888</v>
      </c>
      <c r="N134" s="44">
        <f t="shared" si="50"/>
        <v>108.71850529067214</v>
      </c>
      <c r="O134" s="269" t="str">
        <f t="shared" si="48"/>
        <v>W</v>
      </c>
      <c r="AA134">
        <f t="shared" si="46"/>
        <v>2035</v>
      </c>
      <c r="AB134">
        <f t="shared" si="51"/>
        <v>12</v>
      </c>
      <c r="AC134" s="271">
        <f t="shared" si="52"/>
        <v>49644</v>
      </c>
      <c r="AD134" s="44">
        <f>+L134*VLOOKUP($AB134,'Peak Loads - 2022-2024'!$L$4:$M$15,2)</f>
        <v>102.01826409571716</v>
      </c>
      <c r="AE134" s="44">
        <f>+M134*VLOOKUP($AB134,'Peak Loads - 2022-2024'!$L$4:$M$15,2)</f>
        <v>84.266698968148873</v>
      </c>
      <c r="AF134" s="44">
        <f>+K134*VLOOKUP($AB134,'Peak Loads - 2022-2024'!$L$4:$M$15,2)</f>
        <v>97.66470665166382</v>
      </c>
      <c r="AG134" s="44"/>
    </row>
    <row r="135" spans="5:33" x14ac:dyDescent="0.2">
      <c r="E135" s="175"/>
      <c r="H135">
        <f t="shared" si="49"/>
        <v>2036</v>
      </c>
      <c r="I135">
        <f t="shared" si="47"/>
        <v>1</v>
      </c>
      <c r="J135" s="268">
        <v>49675</v>
      </c>
      <c r="K135" s="44">
        <f>+SUMIFS('Monthly Energy Data'!AE$8:AE$595,'Monthly Energy Data'!$D$8:$D$595,'Peak Load Projections'!$H135,'Monthly Energy Data'!$E$8:$E$595,'Peak Load Projections'!$I135)*VLOOKUP($I135,$A$3:$E$14,5)</f>
        <v>116.65936837810175</v>
      </c>
      <c r="L135" s="44">
        <f>+SUMIFS('Monthly Energy Data'!AF$8:AF$595,'Monthly Energy Data'!$D$8:$D$595,'Peak Load Projections'!$H135,'Monthly Energy Data'!$E$8:$E$595,'Peak Load Projections'!$I135)*VLOOKUP($I135,$A$3:$E$14,5)</f>
        <v>122.99624074668617</v>
      </c>
      <c r="M135" s="44">
        <f>+SUMIFS('Monthly Energy Data'!AG$8:AG$595,'Monthly Energy Data'!$D$8:$D$595,'Peak Load Projections'!$H135,'Monthly Energy Data'!$E$8:$E$595,'Peak Load Projections'!$I135)*VLOOKUP($I135,$A$3:$E$14,5)</f>
        <v>101.00570790153029</v>
      </c>
      <c r="N135" s="44">
        <f t="shared" si="50"/>
        <v>112.00097432410823</v>
      </c>
      <c r="O135" s="269" t="str">
        <f t="shared" si="48"/>
        <v>W</v>
      </c>
      <c r="AA135">
        <f t="shared" si="46"/>
        <v>2036</v>
      </c>
      <c r="AB135">
        <f t="shared" si="51"/>
        <v>1</v>
      </c>
      <c r="AC135" s="271">
        <f t="shared" si="52"/>
        <v>49675</v>
      </c>
      <c r="AD135" s="44">
        <f>+L135*VLOOKUP($AB135,'Peak Loads - 2022-2024'!$L$4:$M$15,2)</f>
        <v>108.82920216346791</v>
      </c>
      <c r="AE135" s="44">
        <f>+M135*VLOOKUP($AB135,'Peak Loads - 2022-2024'!$L$4:$M$15,2)</f>
        <v>89.371598173629465</v>
      </c>
      <c r="AF135" s="44">
        <f>+K135*VLOOKUP($AB135,'Peak Loads - 2022-2024'!$L$4:$M$15,2)</f>
        <v>103.22222783727617</v>
      </c>
      <c r="AG135" s="44"/>
    </row>
    <row r="136" spans="5:33" x14ac:dyDescent="0.2">
      <c r="E136" s="175"/>
      <c r="H136">
        <f t="shared" si="49"/>
        <v>2036</v>
      </c>
      <c r="I136">
        <f t="shared" si="47"/>
        <v>2</v>
      </c>
      <c r="J136" s="268">
        <v>49706</v>
      </c>
      <c r="K136" s="44">
        <f>+SUMIFS('Monthly Energy Data'!AE$8:AE$595,'Monthly Energy Data'!$D$8:$D$595,'Peak Load Projections'!$H136,'Monthly Energy Data'!$E$8:$E$595,'Peak Load Projections'!$I136)*VLOOKUP($I136,$A$3:$E$14,5)</f>
        <v>110.97219642676096</v>
      </c>
      <c r="L136" s="44">
        <f>+SUMIFS('Monthly Energy Data'!AF$8:AF$595,'Monthly Energy Data'!$D$8:$D$595,'Peak Load Projections'!$H136,'Monthly Energy Data'!$E$8:$E$595,'Peak Load Projections'!$I136)*VLOOKUP($I136,$A$3:$E$14,5)</f>
        <v>115.37900978125997</v>
      </c>
      <c r="M136" s="44">
        <f>+SUMIFS('Monthly Energy Data'!AG$8:AG$595,'Monthly Energy Data'!$D$8:$D$595,'Peak Load Projections'!$H136,'Monthly Energy Data'!$E$8:$E$595,'Peak Load Projections'!$I136)*VLOOKUP($I136,$A$3:$E$14,5)</f>
        <v>95.232236716538594</v>
      </c>
      <c r="N136" s="44">
        <f t="shared" si="50"/>
        <v>105.30562324889928</v>
      </c>
      <c r="O136" s="269" t="str">
        <f t="shared" si="48"/>
        <v>W</v>
      </c>
      <c r="AA136">
        <f t="shared" si="46"/>
        <v>2036</v>
      </c>
      <c r="AB136">
        <f t="shared" si="51"/>
        <v>2</v>
      </c>
      <c r="AC136" s="271">
        <f t="shared" si="52"/>
        <v>49706</v>
      </c>
      <c r="AD136" s="44">
        <f>+L136*VLOOKUP($AB136,'Peak Loads - 2022-2024'!$L$4:$M$15,2)</f>
        <v>92.017827662787923</v>
      </c>
      <c r="AE136" s="44">
        <f>+M136*VLOOKUP($AB136,'Peak Loads - 2022-2024'!$L$4:$M$15,2)</f>
        <v>75.950240539744897</v>
      </c>
      <c r="AF136" s="44">
        <f>+K136*VLOOKUP($AB136,'Peak Loads - 2022-2024'!$L$4:$M$15,2)</f>
        <v>88.50327685701194</v>
      </c>
      <c r="AG136" s="44"/>
    </row>
    <row r="137" spans="5:33" x14ac:dyDescent="0.2">
      <c r="E137" s="175"/>
      <c r="H137">
        <f t="shared" si="49"/>
        <v>2036</v>
      </c>
      <c r="I137">
        <f t="shared" si="47"/>
        <v>3</v>
      </c>
      <c r="J137" s="268">
        <v>49735</v>
      </c>
      <c r="K137" s="44">
        <f>+SUMIFS('Monthly Energy Data'!AE$8:AE$595,'Monthly Energy Data'!$D$8:$D$595,'Peak Load Projections'!$H137,'Monthly Energy Data'!$E$8:$E$595,'Peak Load Projections'!$I137)*VLOOKUP($I137,$A$3:$E$14,5)</f>
        <v>98.27892072949615</v>
      </c>
      <c r="L137" s="44">
        <f>+SUMIFS('Monthly Energy Data'!AF$8:AF$595,'Monthly Energy Data'!$D$8:$D$595,'Peak Load Projections'!$H137,'Monthly Energy Data'!$E$8:$E$595,'Peak Load Projections'!$I137)*VLOOKUP($I137,$A$3:$E$14,5)</f>
        <v>101.05905280851238</v>
      </c>
      <c r="M137" s="44">
        <f>+SUMIFS('Monthly Energy Data'!AG$8:AG$595,'Monthly Energy Data'!$D$8:$D$595,'Peak Load Projections'!$H137,'Monthly Energy Data'!$E$8:$E$595,'Peak Load Projections'!$I137)*VLOOKUP($I137,$A$3:$E$14,5)</f>
        <v>85.475440812371488</v>
      </c>
      <c r="N137" s="44">
        <f t="shared" si="50"/>
        <v>93.267246810441932</v>
      </c>
      <c r="O137" s="269" t="str">
        <f t="shared" si="48"/>
        <v>W</v>
      </c>
      <c r="AA137">
        <f t="shared" si="46"/>
        <v>2036</v>
      </c>
      <c r="AB137">
        <f t="shared" si="51"/>
        <v>3</v>
      </c>
      <c r="AC137" s="271">
        <f t="shared" si="52"/>
        <v>49735</v>
      </c>
      <c r="AD137" s="44">
        <f>+L137*VLOOKUP($AB137,'Peak Loads - 2022-2024'!$L$4:$M$15,2)</f>
        <v>72.125218681914632</v>
      </c>
      <c r="AE137" s="44">
        <f>+M137*VLOOKUP($AB137,'Peak Loads - 2022-2024'!$L$4:$M$15,2)</f>
        <v>61.003291532988335</v>
      </c>
      <c r="AF137" s="44">
        <f>+K137*VLOOKUP($AB137,'Peak Loads - 2022-2024'!$L$4:$M$15,2)</f>
        <v>70.141055674335348</v>
      </c>
      <c r="AG137" s="44"/>
    </row>
    <row r="138" spans="5:33" x14ac:dyDescent="0.2">
      <c r="E138" s="175"/>
      <c r="H138">
        <f t="shared" si="49"/>
        <v>2036</v>
      </c>
      <c r="I138">
        <f t="shared" si="47"/>
        <v>4</v>
      </c>
      <c r="J138" s="268">
        <v>49766</v>
      </c>
      <c r="K138" s="44">
        <f>+SUMIFS('Monthly Energy Data'!AE$8:AE$595,'Monthly Energy Data'!$D$8:$D$595,'Peak Load Projections'!$H138,'Monthly Energy Data'!$E$8:$E$595,'Peak Load Projections'!$I138)*VLOOKUP($I138,$A$3:$E$14,5)</f>
        <v>95.984070108844193</v>
      </c>
      <c r="L138" s="44">
        <f>+SUMIFS('Monthly Energy Data'!AF$8:AF$595,'Monthly Energy Data'!$D$8:$D$595,'Peak Load Projections'!$H138,'Monthly Energy Data'!$E$8:$E$595,'Peak Load Projections'!$I138)*VLOOKUP($I138,$A$3:$E$14,5)</f>
        <v>96.522941675047434</v>
      </c>
      <c r="M138" s="44">
        <f>+SUMIFS('Monthly Energy Data'!AG$8:AG$595,'Monthly Energy Data'!$D$8:$D$595,'Peak Load Projections'!$H138,'Monthly Energy Data'!$E$8:$E$595,'Peak Load Projections'!$I138)*VLOOKUP($I138,$A$3:$E$14,5)</f>
        <v>82.576343339144358</v>
      </c>
      <c r="N138" s="44">
        <f t="shared" si="50"/>
        <v>89.549642507095896</v>
      </c>
      <c r="O138" s="269" t="str">
        <f t="shared" si="48"/>
        <v>W</v>
      </c>
      <c r="AA138">
        <f t="shared" si="46"/>
        <v>2036</v>
      </c>
      <c r="AB138">
        <f t="shared" si="51"/>
        <v>4</v>
      </c>
      <c r="AC138" s="271">
        <f t="shared" si="52"/>
        <v>49766</v>
      </c>
      <c r="AD138" s="44">
        <f>+L138*VLOOKUP($AB138,'Peak Loads - 2022-2024'!$L$4:$M$15,2)</f>
        <v>67.347424592801801</v>
      </c>
      <c r="AE138" s="44">
        <f>+M138*VLOOKUP($AB138,'Peak Loads - 2022-2024'!$L$4:$M$15,2)</f>
        <v>57.616396264682145</v>
      </c>
      <c r="AF138" s="44">
        <f>+K138*VLOOKUP($AB138,'Peak Loads - 2022-2024'!$L$4:$M$15,2)</f>
        <v>66.971435097037599</v>
      </c>
      <c r="AG138" s="44"/>
    </row>
    <row r="139" spans="5:33" x14ac:dyDescent="0.2">
      <c r="E139" s="175"/>
      <c r="H139">
        <f t="shared" si="49"/>
        <v>2036</v>
      </c>
      <c r="I139">
        <f t="shared" si="47"/>
        <v>5</v>
      </c>
      <c r="J139" s="268">
        <v>49796</v>
      </c>
      <c r="K139" s="44">
        <f>+SUMIFS('Monthly Energy Data'!AE$8:AE$595,'Monthly Energy Data'!$D$8:$D$595,'Peak Load Projections'!$H139,'Monthly Energy Data'!$E$8:$E$595,'Peak Load Projections'!$I139)*VLOOKUP($I139,$A$3:$E$14,5)</f>
        <v>82.877541981081535</v>
      </c>
      <c r="L139" s="44">
        <f>+SUMIFS('Monthly Energy Data'!AF$8:AF$595,'Monthly Energy Data'!$D$8:$D$595,'Peak Load Projections'!$H139,'Monthly Energy Data'!$E$8:$E$595,'Peak Load Projections'!$I139)*VLOOKUP($I139,$A$3:$E$14,5)</f>
        <v>81.701926447609068</v>
      </c>
      <c r="M139" s="44">
        <f>+SUMIFS('Monthly Energy Data'!AG$8:AG$595,'Monthly Energy Data'!$D$8:$D$595,'Peak Load Projections'!$H139,'Monthly Energy Data'!$E$8:$E$595,'Peak Load Projections'!$I139)*VLOOKUP($I139,$A$3:$E$14,5)</f>
        <v>72.130406623860566</v>
      </c>
      <c r="N139" s="44">
        <f t="shared" si="50"/>
        <v>77.50397430247105</v>
      </c>
      <c r="O139" s="269" t="str">
        <f t="shared" si="48"/>
        <v>W</v>
      </c>
      <c r="AA139">
        <f t="shared" si="46"/>
        <v>2036</v>
      </c>
      <c r="AB139">
        <f t="shared" si="51"/>
        <v>5</v>
      </c>
      <c r="AC139" s="271">
        <f t="shared" si="52"/>
        <v>49796</v>
      </c>
      <c r="AD139" s="44">
        <f>+L139*VLOOKUP($AB139,'Peak Loads - 2022-2024'!$L$4:$M$15,2)</f>
        <v>58.183945360203886</v>
      </c>
      <c r="AE139" s="44">
        <f>+M139*VLOOKUP($AB139,'Peak Loads - 2022-2024'!$L$4:$M$15,2)</f>
        <v>51.367597072551135</v>
      </c>
      <c r="AF139" s="44">
        <f>+K139*VLOOKUP($AB139,'Peak Loads - 2022-2024'!$L$4:$M$15,2)</f>
        <v>59.021158788800719</v>
      </c>
      <c r="AG139" s="44"/>
    </row>
    <row r="140" spans="5:33" x14ac:dyDescent="0.2">
      <c r="E140" s="175"/>
      <c r="H140">
        <f t="shared" si="49"/>
        <v>2036</v>
      </c>
      <c r="I140">
        <f t="shared" si="47"/>
        <v>6</v>
      </c>
      <c r="J140" s="268">
        <v>49827</v>
      </c>
      <c r="K140" s="44">
        <f>+SUMIFS('Monthly Energy Data'!AE$8:AE$595,'Monthly Energy Data'!$D$8:$D$595,'Peak Load Projections'!$H140,'Monthly Energy Data'!$E$8:$E$595,'Peak Load Projections'!$I140)*VLOOKUP($I140,$A$3:$E$14,5)</f>
        <v>101.77517878389244</v>
      </c>
      <c r="L140" s="44">
        <f>+SUMIFS('Monthly Energy Data'!AF$8:AF$595,'Monthly Energy Data'!$D$8:$D$595,'Peak Load Projections'!$H140,'Monthly Energy Data'!$E$8:$E$595,'Peak Load Projections'!$I140)*VLOOKUP($I140,$A$3:$E$14,5)</f>
        <v>101.11165960353797</v>
      </c>
      <c r="M140" s="44">
        <f>+SUMIFS('Monthly Energy Data'!AG$8:AG$595,'Monthly Energy Data'!$D$8:$D$595,'Peak Load Projections'!$H140,'Monthly Energy Data'!$E$8:$E$595,'Peak Load Projections'!$I140)*VLOOKUP($I140,$A$3:$E$14,5)</f>
        <v>89.29452300629012</v>
      </c>
      <c r="N140" s="44">
        <f t="shared" si="50"/>
        <v>95.534850895091282</v>
      </c>
      <c r="O140" s="269" t="str">
        <f t="shared" si="48"/>
        <v>S</v>
      </c>
      <c r="AA140">
        <f t="shared" si="46"/>
        <v>2036</v>
      </c>
      <c r="AB140">
        <f t="shared" si="51"/>
        <v>6</v>
      </c>
      <c r="AC140" s="271">
        <f t="shared" si="52"/>
        <v>49827</v>
      </c>
      <c r="AD140" s="44">
        <f>+L140*VLOOKUP($AB140,'Peak Loads - 2022-2024'!$L$4:$M$15,2)</f>
        <v>85.940537871462766</v>
      </c>
      <c r="AE140" s="44">
        <f>+M140*VLOOKUP($AB140,'Peak Loads - 2022-2024'!$L$4:$M$15,2)</f>
        <v>75.896482821331915</v>
      </c>
      <c r="AF140" s="44">
        <f>+K140*VLOOKUP($AB140,'Peak Loads - 2022-2024'!$L$4:$M$15,2)</f>
        <v>86.504500479447685</v>
      </c>
      <c r="AG140" s="44"/>
    </row>
    <row r="141" spans="5:33" x14ac:dyDescent="0.2">
      <c r="E141" s="175"/>
      <c r="H141">
        <f t="shared" si="49"/>
        <v>2036</v>
      </c>
      <c r="I141">
        <f t="shared" si="47"/>
        <v>7</v>
      </c>
      <c r="J141" s="268">
        <v>49857</v>
      </c>
      <c r="K141" s="44">
        <f>+SUMIFS('Monthly Energy Data'!AE$8:AE$595,'Monthly Energy Data'!$D$8:$D$595,'Peak Load Projections'!$H141,'Monthly Energy Data'!$E$8:$E$595,'Peak Load Projections'!$I141)*VLOOKUP($I141,$A$3:$E$14,5)</f>
        <v>104.61528386323269</v>
      </c>
      <c r="L141" s="44">
        <f>+SUMIFS('Monthly Energy Data'!AF$8:AF$595,'Monthly Energy Data'!$D$8:$D$595,'Peak Load Projections'!$H141,'Monthly Energy Data'!$E$8:$E$595,'Peak Load Projections'!$I141)*VLOOKUP($I141,$A$3:$E$14,5)</f>
        <v>106.16893846412529</v>
      </c>
      <c r="M141" s="44">
        <f>+SUMIFS('Monthly Energy Data'!AG$8:AG$595,'Monthly Energy Data'!$D$8:$D$595,'Peak Load Projections'!$H141,'Monthly Energy Data'!$E$8:$E$595,'Peak Load Projections'!$I141)*VLOOKUP($I141,$A$3:$E$14,5)</f>
        <v>92.971909420947028</v>
      </c>
      <c r="N141" s="44">
        <f t="shared" si="50"/>
        <v>99.570423942536166</v>
      </c>
      <c r="O141" s="269" t="str">
        <f t="shared" si="48"/>
        <v>S</v>
      </c>
      <c r="AA141">
        <f t="shared" si="46"/>
        <v>2036</v>
      </c>
      <c r="AB141">
        <f t="shared" si="51"/>
        <v>7</v>
      </c>
      <c r="AC141" s="271">
        <f t="shared" si="52"/>
        <v>49857</v>
      </c>
      <c r="AD141" s="44">
        <f>+L141*VLOOKUP($AB141,'Peak Loads - 2022-2024'!$L$4:$M$15,2)</f>
        <v>76.165851223272725</v>
      </c>
      <c r="AE141" s="44">
        <f>+M141*VLOOKUP($AB141,'Peak Loads - 2022-2024'!$L$4:$M$15,2)</f>
        <v>66.698270919344452</v>
      </c>
      <c r="AF141" s="44">
        <f>+K141*VLOOKUP($AB141,'Peak Loads - 2022-2024'!$L$4:$M$15,2)</f>
        <v>75.051255684353166</v>
      </c>
      <c r="AG141" s="44"/>
    </row>
    <row r="142" spans="5:33" x14ac:dyDescent="0.2">
      <c r="E142" s="175"/>
      <c r="H142">
        <f t="shared" si="49"/>
        <v>2036</v>
      </c>
      <c r="I142">
        <f t="shared" si="47"/>
        <v>8</v>
      </c>
      <c r="J142" s="268">
        <v>49888</v>
      </c>
      <c r="K142" s="44">
        <f>+SUMIFS('Monthly Energy Data'!AE$8:AE$595,'Monthly Energy Data'!$D$8:$D$595,'Peak Load Projections'!$H142,'Monthly Energy Data'!$E$8:$E$595,'Peak Load Projections'!$I142)*VLOOKUP($I142,$A$3:$E$14,5)</f>
        <v>102.89307455047393</v>
      </c>
      <c r="L142" s="44">
        <f>+SUMIFS('Monthly Energy Data'!AF$8:AF$595,'Monthly Energy Data'!$D$8:$D$595,'Peak Load Projections'!$H142,'Monthly Energy Data'!$E$8:$E$595,'Peak Load Projections'!$I142)*VLOOKUP($I142,$A$3:$E$14,5)</f>
        <v>103.4206921509699</v>
      </c>
      <c r="M142" s="44">
        <f>+SUMIFS('Monthly Energy Data'!AG$8:AG$595,'Monthly Energy Data'!$D$8:$D$595,'Peak Load Projections'!$H142,'Monthly Energy Data'!$E$8:$E$595,'Peak Load Projections'!$I142)*VLOOKUP($I142,$A$3:$E$14,5)</f>
        <v>91.182472721608818</v>
      </c>
      <c r="N142" s="44">
        <f t="shared" si="50"/>
        <v>97.301582436289351</v>
      </c>
      <c r="O142" s="269" t="str">
        <f t="shared" si="48"/>
        <v>S</v>
      </c>
      <c r="AA142">
        <f t="shared" si="46"/>
        <v>2036</v>
      </c>
      <c r="AB142">
        <f t="shared" si="51"/>
        <v>8</v>
      </c>
      <c r="AC142" s="271">
        <f t="shared" si="52"/>
        <v>49888</v>
      </c>
      <c r="AD142" s="44">
        <f>+L142*VLOOKUP($AB142,'Peak Loads - 2022-2024'!$L$4:$M$15,2)</f>
        <v>73.967689608078018</v>
      </c>
      <c r="AE142" s="44">
        <f>+M142*VLOOKUP($AB142,'Peak Loads - 2022-2024'!$L$4:$M$15,2)</f>
        <v>65.21477181881103</v>
      </c>
      <c r="AF142" s="44">
        <f>+K142*VLOOKUP($AB142,'Peak Loads - 2022-2024'!$L$4:$M$15,2)</f>
        <v>73.590331324222447</v>
      </c>
      <c r="AG142" s="44"/>
    </row>
    <row r="143" spans="5:33" x14ac:dyDescent="0.2">
      <c r="E143" s="175"/>
      <c r="H143">
        <f t="shared" si="49"/>
        <v>2036</v>
      </c>
      <c r="I143">
        <f t="shared" si="47"/>
        <v>9</v>
      </c>
      <c r="J143" s="268">
        <v>49919</v>
      </c>
      <c r="K143" s="44">
        <f>+SUMIFS('Monthly Energy Data'!AE$8:AE$595,'Monthly Energy Data'!$D$8:$D$595,'Peak Load Projections'!$H143,'Monthly Energy Data'!$E$8:$E$595,'Peak Load Projections'!$I143)*VLOOKUP($I143,$A$3:$E$14,5)</f>
        <v>87.456789493772959</v>
      </c>
      <c r="L143" s="44">
        <f>+SUMIFS('Monthly Energy Data'!AF$8:AF$595,'Monthly Energy Data'!$D$8:$D$595,'Peak Load Projections'!$H143,'Monthly Energy Data'!$E$8:$E$595,'Peak Load Projections'!$I143)*VLOOKUP($I143,$A$3:$E$14,5)</f>
        <v>87.133728229060154</v>
      </c>
      <c r="M143" s="44">
        <f>+SUMIFS('Monthly Energy Data'!AG$8:AG$595,'Monthly Energy Data'!$D$8:$D$595,'Peak Load Projections'!$H143,'Monthly Energy Data'!$E$8:$E$595,'Peak Load Projections'!$I143)*VLOOKUP($I143,$A$3:$E$14,5)</f>
        <v>76.372187363647157</v>
      </c>
      <c r="N143" s="44">
        <f t="shared" si="50"/>
        <v>81.914488428710058</v>
      </c>
      <c r="O143" s="269" t="str">
        <f t="shared" si="48"/>
        <v>S</v>
      </c>
      <c r="AA143">
        <f t="shared" si="46"/>
        <v>2036</v>
      </c>
      <c r="AB143">
        <f t="shared" si="51"/>
        <v>9</v>
      </c>
      <c r="AC143" s="271">
        <f t="shared" si="52"/>
        <v>49919</v>
      </c>
      <c r="AD143" s="44">
        <f>+L143*VLOOKUP($AB143,'Peak Loads - 2022-2024'!$L$4:$M$15,2)</f>
        <v>62.313030866052706</v>
      </c>
      <c r="AE143" s="44">
        <f>+M143*VLOOKUP($AB143,'Peak Loads - 2022-2024'!$L$4:$M$15,2)</f>
        <v>54.616995797406126</v>
      </c>
      <c r="AF143" s="44">
        <f>+K143*VLOOKUP($AB143,'Peak Loads - 2022-2024'!$L$4:$M$15,2)</f>
        <v>62.54406570145828</v>
      </c>
      <c r="AG143" s="44"/>
    </row>
    <row r="144" spans="5:33" x14ac:dyDescent="0.2">
      <c r="E144" s="175"/>
      <c r="H144">
        <f t="shared" si="49"/>
        <v>2036</v>
      </c>
      <c r="I144">
        <f t="shared" si="47"/>
        <v>10</v>
      </c>
      <c r="J144" s="268">
        <v>49949</v>
      </c>
      <c r="K144" s="44">
        <f>+SUMIFS('Monthly Energy Data'!AE$8:AE$595,'Monthly Energy Data'!$D$8:$D$595,'Peak Load Projections'!$H144,'Monthly Energy Data'!$E$8:$E$595,'Peak Load Projections'!$I144)*VLOOKUP($I144,$A$3:$E$14,5)</f>
        <v>85.016592161124876</v>
      </c>
      <c r="L144" s="44">
        <f>+SUMIFS('Monthly Energy Data'!AF$8:AF$595,'Monthly Energy Data'!$D$8:$D$595,'Peak Load Projections'!$H144,'Monthly Energy Data'!$E$8:$E$595,'Peak Load Projections'!$I144)*VLOOKUP($I144,$A$3:$E$14,5)</f>
        <v>86.601300748153065</v>
      </c>
      <c r="M144" s="44">
        <f>+SUMIFS('Monthly Energy Data'!AG$8:AG$595,'Monthly Energy Data'!$D$8:$D$595,'Peak Load Projections'!$H144,'Monthly Energy Data'!$E$8:$E$595,'Peak Load Projections'!$I144)*VLOOKUP($I144,$A$3:$E$14,5)</f>
        <v>74.566321446804153</v>
      </c>
      <c r="N144" s="44">
        <f t="shared" si="50"/>
        <v>80.583811097478616</v>
      </c>
      <c r="O144" s="269" t="str">
        <f t="shared" si="48"/>
        <v>W</v>
      </c>
      <c r="AA144">
        <f t="shared" si="46"/>
        <v>2036</v>
      </c>
      <c r="AB144">
        <f t="shared" si="51"/>
        <v>10</v>
      </c>
      <c r="AC144" s="271">
        <f t="shared" si="52"/>
        <v>49949</v>
      </c>
      <c r="AD144" s="44">
        <f>+L144*VLOOKUP($AB144,'Peak Loads - 2022-2024'!$L$4:$M$15,2)</f>
        <v>60.156038195265758</v>
      </c>
      <c r="AE144" s="44">
        <f>+M144*VLOOKUP($AB144,'Peak Loads - 2022-2024'!$L$4:$M$15,2)</f>
        <v>51.796155973212436</v>
      </c>
      <c r="AF144" s="44">
        <f>+K144*VLOOKUP($AB144,'Peak Loads - 2022-2024'!$L$4:$M$15,2)</f>
        <v>59.055248836837251</v>
      </c>
      <c r="AG144" s="44"/>
    </row>
    <row r="145" spans="5:33" x14ac:dyDescent="0.2">
      <c r="E145" s="175"/>
      <c r="H145">
        <f t="shared" si="49"/>
        <v>2036</v>
      </c>
      <c r="I145">
        <f t="shared" si="47"/>
        <v>11</v>
      </c>
      <c r="J145" s="268">
        <v>49980</v>
      </c>
      <c r="K145" s="44">
        <f>+SUMIFS('Monthly Energy Data'!AE$8:AE$595,'Monthly Energy Data'!$D$8:$D$595,'Peak Load Projections'!$H145,'Monthly Energy Data'!$E$8:$E$595,'Peak Load Projections'!$I145)*VLOOKUP($I145,$A$3:$E$14,5)</f>
        <v>105.8426047135037</v>
      </c>
      <c r="L145" s="44">
        <f>+SUMIFS('Monthly Energy Data'!AF$8:AF$595,'Monthly Energy Data'!$D$8:$D$595,'Peak Load Projections'!$H145,'Monthly Energy Data'!$E$8:$E$595,'Peak Load Projections'!$I145)*VLOOKUP($I145,$A$3:$E$14,5)</f>
        <v>113.31399021638948</v>
      </c>
      <c r="M145" s="44">
        <f>+SUMIFS('Monthly Energy Data'!AG$8:AG$595,'Monthly Energy Data'!$D$8:$D$595,'Peak Load Projections'!$H145,'Monthly Energy Data'!$E$8:$E$595,'Peak Load Projections'!$I145)*VLOOKUP($I145,$A$3:$E$14,5)</f>
        <v>91.860557838507532</v>
      </c>
      <c r="N145" s="44">
        <f t="shared" si="50"/>
        <v>102.5872740274485</v>
      </c>
      <c r="O145" s="269" t="str">
        <f t="shared" si="48"/>
        <v>W</v>
      </c>
      <c r="AA145">
        <f t="shared" si="46"/>
        <v>2036</v>
      </c>
      <c r="AB145">
        <f t="shared" si="51"/>
        <v>11</v>
      </c>
      <c r="AC145" s="271">
        <f t="shared" si="52"/>
        <v>49980</v>
      </c>
      <c r="AD145" s="44">
        <f>+L145*VLOOKUP($AB145,'Peak Loads - 2022-2024'!$L$4:$M$15,2)</f>
        <v>80.594188661130019</v>
      </c>
      <c r="AE145" s="44">
        <f>+M145*VLOOKUP($AB145,'Peak Loads - 2022-2024'!$L$4:$M$15,2)</f>
        <v>65.335508129361656</v>
      </c>
      <c r="AF145" s="44">
        <f>+K145*VLOOKUP($AB145,'Peak Loads - 2022-2024'!$L$4:$M$15,2)</f>
        <v>75.280191231247656</v>
      </c>
      <c r="AG145" s="44"/>
    </row>
    <row r="146" spans="5:33" x14ac:dyDescent="0.2">
      <c r="E146" s="175"/>
      <c r="H146">
        <f t="shared" si="49"/>
        <v>2036</v>
      </c>
      <c r="I146">
        <f t="shared" si="47"/>
        <v>12</v>
      </c>
      <c r="J146" s="268">
        <v>50010</v>
      </c>
      <c r="K146" s="44">
        <f>+SUMIFS('Monthly Energy Data'!AE$8:AE$595,'Monthly Energy Data'!$D$8:$D$595,'Peak Load Projections'!$H146,'Monthly Energy Data'!$E$8:$E$595,'Peak Load Projections'!$I146)*VLOOKUP($I146,$A$3:$E$14,5)</f>
        <v>115.96387298458025</v>
      </c>
      <c r="L146" s="44">
        <f>+SUMIFS('Monthly Energy Data'!AF$8:AF$595,'Monthly Energy Data'!$D$8:$D$595,'Peak Load Projections'!$H146,'Monthly Energy Data'!$E$8:$E$595,'Peak Load Projections'!$I146)*VLOOKUP($I146,$A$3:$E$14,5)</f>
        <v>122.84251623935718</v>
      </c>
      <c r="M146" s="44">
        <f>+SUMIFS('Monthly Energy Data'!AG$8:AG$595,'Monthly Energy Data'!$D$8:$D$595,'Peak Load Projections'!$H146,'Monthly Energy Data'!$E$8:$E$595,'Peak Load Projections'!$I146)*VLOOKUP($I146,$A$3:$E$14,5)</f>
        <v>101.034644956421</v>
      </c>
      <c r="N146" s="44">
        <f t="shared" si="50"/>
        <v>111.93858059788909</v>
      </c>
      <c r="O146" s="269" t="str">
        <f t="shared" si="48"/>
        <v>W</v>
      </c>
      <c r="AA146">
        <f t="shared" ref="AA146:AA209" si="53">+H146</f>
        <v>2036</v>
      </c>
      <c r="AB146">
        <f t="shared" si="51"/>
        <v>12</v>
      </c>
      <c r="AC146" s="271">
        <f t="shared" si="52"/>
        <v>50010</v>
      </c>
      <c r="AD146" s="44">
        <f>+L146*VLOOKUP($AB146,'Peak Loads - 2022-2024'!$L$4:$M$15,2)</f>
        <v>105.24295536964303</v>
      </c>
      <c r="AE146" s="44">
        <f>+M146*VLOOKUP($AB146,'Peak Loads - 2022-2024'!$L$4:$M$15,2)</f>
        <v>86.559482461411903</v>
      </c>
      <c r="AF146" s="44">
        <f>+K146*VLOOKUP($AB146,'Peak Loads - 2022-2024'!$L$4:$M$15,2)</f>
        <v>99.349810494169958</v>
      </c>
      <c r="AG146" s="44"/>
    </row>
    <row r="147" spans="5:33" x14ac:dyDescent="0.2">
      <c r="E147" s="175"/>
      <c r="H147">
        <f t="shared" si="49"/>
        <v>2037</v>
      </c>
      <c r="I147">
        <f t="shared" si="47"/>
        <v>1</v>
      </c>
      <c r="J147" s="268">
        <v>50041</v>
      </c>
      <c r="K147" s="44">
        <f>+SUMIFS('Monthly Energy Data'!AE$8:AE$595,'Monthly Energy Data'!$D$8:$D$595,'Peak Load Projections'!$H147,'Monthly Energy Data'!$E$8:$E$595,'Peak Load Projections'!$I147)*VLOOKUP($I147,$A$3:$E$14,5)</f>
        <v>118.64518736644585</v>
      </c>
      <c r="L147" s="44">
        <f>+SUMIFS('Monthly Energy Data'!AF$8:AF$595,'Monthly Energy Data'!$D$8:$D$595,'Peak Load Projections'!$H147,'Monthly Energy Data'!$E$8:$E$595,'Peak Load Projections'!$I147)*VLOOKUP($I147,$A$3:$E$14,5)</f>
        <v>126.90405775107472</v>
      </c>
      <c r="M147" s="44">
        <f>+SUMIFS('Monthly Energy Data'!AG$8:AG$595,'Monthly Energy Data'!$D$8:$D$595,'Peak Load Projections'!$H147,'Monthly Energy Data'!$E$8:$E$595,'Peak Load Projections'!$I147)*VLOOKUP($I147,$A$3:$E$14,5)</f>
        <v>103.75133754291238</v>
      </c>
      <c r="N147" s="44">
        <f t="shared" si="50"/>
        <v>115.32769764699356</v>
      </c>
      <c r="O147" s="269" t="str">
        <f t="shared" si="48"/>
        <v>W</v>
      </c>
      <c r="AA147">
        <f t="shared" si="53"/>
        <v>2037</v>
      </c>
      <c r="AB147">
        <f t="shared" si="51"/>
        <v>1</v>
      </c>
      <c r="AC147" s="271">
        <f t="shared" si="52"/>
        <v>50041</v>
      </c>
      <c r="AD147" s="44">
        <f>+L147*VLOOKUP($AB147,'Peak Loads - 2022-2024'!$L$4:$M$15,2)</f>
        <v>112.28690627057411</v>
      </c>
      <c r="AE147" s="44">
        <f>+M147*VLOOKUP($AB147,'Peak Loads - 2022-2024'!$L$4:$M$15,2)</f>
        <v>91.800978791232055</v>
      </c>
      <c r="AF147" s="44">
        <f>+K147*VLOOKUP($AB147,'Peak Loads - 2022-2024'!$L$4:$M$15,2)</f>
        <v>104.97931484115988</v>
      </c>
      <c r="AG147" s="44"/>
    </row>
    <row r="148" spans="5:33" x14ac:dyDescent="0.2">
      <c r="E148" s="175"/>
      <c r="H148">
        <f t="shared" si="49"/>
        <v>2037</v>
      </c>
      <c r="I148">
        <f t="shared" si="47"/>
        <v>2</v>
      </c>
      <c r="J148" s="268">
        <v>50072</v>
      </c>
      <c r="K148" s="44">
        <f>+SUMIFS('Monthly Energy Data'!AE$8:AE$595,'Monthly Energy Data'!$D$8:$D$595,'Peak Load Projections'!$H148,'Monthly Energy Data'!$E$8:$E$595,'Peak Load Projections'!$I148)*VLOOKUP($I148,$A$3:$E$14,5)</f>
        <v>112.81920431333162</v>
      </c>
      <c r="L148" s="44">
        <f>+SUMIFS('Monthly Energy Data'!AF$8:AF$595,'Monthly Energy Data'!$D$8:$D$595,'Peak Load Projections'!$H148,'Monthly Energy Data'!$E$8:$E$595,'Peak Load Projections'!$I148)*VLOOKUP($I148,$A$3:$E$14,5)</f>
        <v>119.03648561123076</v>
      </c>
      <c r="M148" s="44">
        <f>+SUMIFS('Monthly Energy Data'!AG$8:AG$595,'Monthly Energy Data'!$D$8:$D$595,'Peak Load Projections'!$H148,'Monthly Energy Data'!$E$8:$E$595,'Peak Load Projections'!$I148)*VLOOKUP($I148,$A$3:$E$14,5)</f>
        <v>97.844990948672816</v>
      </c>
      <c r="N148" s="44">
        <f t="shared" si="50"/>
        <v>108.44073827995179</v>
      </c>
      <c r="O148" s="269" t="str">
        <f t="shared" si="48"/>
        <v>W</v>
      </c>
      <c r="AA148">
        <f t="shared" si="53"/>
        <v>2037</v>
      </c>
      <c r="AB148">
        <f t="shared" si="51"/>
        <v>2</v>
      </c>
      <c r="AC148" s="271">
        <f t="shared" si="52"/>
        <v>50072</v>
      </c>
      <c r="AD148" s="44">
        <f>+L148*VLOOKUP($AB148,'Peak Loads - 2022-2024'!$L$4:$M$15,2)</f>
        <v>94.934761871541454</v>
      </c>
      <c r="AE148" s="44">
        <f>+M148*VLOOKUP($AB148,'Peak Loads - 2022-2024'!$L$4:$M$15,2)</f>
        <v>78.033981500198138</v>
      </c>
      <c r="AF148" s="44">
        <f>+K148*VLOOKUP($AB148,'Peak Loads - 2022-2024'!$L$4:$M$15,2)</f>
        <v>89.976314749436938</v>
      </c>
      <c r="AG148" s="44"/>
    </row>
    <row r="149" spans="5:33" x14ac:dyDescent="0.2">
      <c r="E149" s="175"/>
      <c r="H149">
        <f t="shared" si="49"/>
        <v>2037</v>
      </c>
      <c r="I149">
        <f t="shared" si="47"/>
        <v>3</v>
      </c>
      <c r="J149" s="268">
        <v>50100</v>
      </c>
      <c r="K149" s="44">
        <f>+SUMIFS('Monthly Energy Data'!AE$8:AE$595,'Monthly Energy Data'!$D$8:$D$595,'Peak Load Projections'!$H149,'Monthly Energy Data'!$E$8:$E$595,'Peak Load Projections'!$I149)*VLOOKUP($I149,$A$3:$E$14,5)</f>
        <v>99.705077854776462</v>
      </c>
      <c r="L149" s="44">
        <f>+SUMIFS('Monthly Energy Data'!AF$8:AF$595,'Monthly Energy Data'!$D$8:$D$595,'Peak Load Projections'!$H149,'Monthly Energy Data'!$E$8:$E$595,'Peak Load Projections'!$I149)*VLOOKUP($I149,$A$3:$E$14,5)</f>
        <v>103.91988810910634</v>
      </c>
      <c r="M149" s="44">
        <f>+SUMIFS('Monthly Energy Data'!AG$8:AG$595,'Monthly Energy Data'!$D$8:$D$595,'Peak Load Projections'!$H149,'Monthly Energy Data'!$E$8:$E$595,'Peak Load Projections'!$I149)*VLOOKUP($I149,$A$3:$E$14,5)</f>
        <v>87.537791199765437</v>
      </c>
      <c r="N149" s="44">
        <f t="shared" si="50"/>
        <v>95.728839654435887</v>
      </c>
      <c r="O149" s="269" t="str">
        <f t="shared" si="48"/>
        <v>W</v>
      </c>
      <c r="AA149">
        <f t="shared" si="53"/>
        <v>2037</v>
      </c>
      <c r="AB149">
        <f t="shared" si="51"/>
        <v>3</v>
      </c>
      <c r="AC149" s="271">
        <f t="shared" si="52"/>
        <v>50100</v>
      </c>
      <c r="AD149" s="44">
        <f>+L149*VLOOKUP($AB149,'Peak Loads - 2022-2024'!$L$4:$M$15,2)</f>
        <v>74.166979077781903</v>
      </c>
      <c r="AE149" s="44">
        <f>+M149*VLOOKUP($AB149,'Peak Loads - 2022-2024'!$L$4:$M$15,2)</f>
        <v>62.475178202769101</v>
      </c>
      <c r="AF149" s="44">
        <f>+K149*VLOOKUP($AB149,'Peak Loads - 2022-2024'!$L$4:$M$15,2)</f>
        <v>71.158895162011106</v>
      </c>
      <c r="AG149" s="44"/>
    </row>
    <row r="150" spans="5:33" x14ac:dyDescent="0.2">
      <c r="E150" s="175"/>
      <c r="H150">
        <f t="shared" si="49"/>
        <v>2037</v>
      </c>
      <c r="I150">
        <f t="shared" si="47"/>
        <v>4</v>
      </c>
      <c r="J150" s="268">
        <v>50131</v>
      </c>
      <c r="K150" s="44">
        <f>+SUMIFS('Monthly Energy Data'!AE$8:AE$595,'Monthly Energy Data'!$D$8:$D$595,'Peak Load Projections'!$H150,'Monthly Energy Data'!$E$8:$E$595,'Peak Load Projections'!$I150)*VLOOKUP($I150,$A$3:$E$14,5)</f>
        <v>97.263483147732046</v>
      </c>
      <c r="L150" s="44">
        <f>+SUMIFS('Monthly Energy Data'!AF$8:AF$595,'Monthly Energy Data'!$D$8:$D$595,'Peak Load Projections'!$H150,'Monthly Energy Data'!$E$8:$E$595,'Peak Load Projections'!$I150)*VLOOKUP($I150,$A$3:$E$14,5)</f>
        <v>99.149520124186992</v>
      </c>
      <c r="M150" s="44">
        <f>+SUMIFS('Monthly Energy Data'!AG$8:AG$595,'Monthly Energy Data'!$D$8:$D$595,'Peak Load Projections'!$H150,'Monthly Energy Data'!$E$8:$E$595,'Peak Load Projections'!$I150)*VLOOKUP($I150,$A$3:$E$14,5)</f>
        <v>84.51223637931237</v>
      </c>
      <c r="N150" s="44">
        <f t="shared" si="50"/>
        <v>91.830878251749681</v>
      </c>
      <c r="O150" s="269" t="str">
        <f t="shared" si="48"/>
        <v>W</v>
      </c>
      <c r="AA150">
        <f t="shared" si="53"/>
        <v>2037</v>
      </c>
      <c r="AB150">
        <f t="shared" si="51"/>
        <v>4</v>
      </c>
      <c r="AC150" s="271">
        <f t="shared" si="52"/>
        <v>50131</v>
      </c>
      <c r="AD150" s="44">
        <f>+L150*VLOOKUP($AB150,'Peak Loads - 2022-2024'!$L$4:$M$15,2)</f>
        <v>69.180080031713203</v>
      </c>
      <c r="AE150" s="44">
        <f>+M150*VLOOKUP($AB150,'Peak Loads - 2022-2024'!$L$4:$M$15,2)</f>
        <v>58.96713639215745</v>
      </c>
      <c r="AF150" s="44">
        <f>+K150*VLOOKUP($AB150,'Peak Loads - 2022-2024'!$L$4:$M$15,2)</f>
        <v>67.864126219627195</v>
      </c>
      <c r="AG150" s="44"/>
    </row>
    <row r="151" spans="5:33" x14ac:dyDescent="0.2">
      <c r="E151" s="175"/>
      <c r="H151">
        <f t="shared" si="49"/>
        <v>2037</v>
      </c>
      <c r="I151">
        <f t="shared" si="47"/>
        <v>5</v>
      </c>
      <c r="J151" s="268">
        <v>50161</v>
      </c>
      <c r="K151" s="44">
        <f>+SUMIFS('Monthly Energy Data'!AE$8:AE$595,'Monthly Energy Data'!$D$8:$D$595,'Peak Load Projections'!$H151,'Monthly Energy Data'!$E$8:$E$595,'Peak Load Projections'!$I151)*VLOOKUP($I151,$A$3:$E$14,5)</f>
        <v>83.734752902890577</v>
      </c>
      <c r="L151" s="44">
        <f>+SUMIFS('Monthly Energy Data'!AF$8:AF$595,'Monthly Energy Data'!$D$8:$D$595,'Peak Load Projections'!$H151,'Monthly Energy Data'!$E$8:$E$595,'Peak Load Projections'!$I151)*VLOOKUP($I151,$A$3:$E$14,5)</f>
        <v>83.537774173872236</v>
      </c>
      <c r="M151" s="44">
        <f>+SUMIFS('Monthly Energy Data'!AG$8:AG$595,'Monthly Energy Data'!$D$8:$D$595,'Peak Load Projections'!$H151,'Monthly Energy Data'!$E$8:$E$595,'Peak Load Projections'!$I151)*VLOOKUP($I151,$A$3:$E$14,5)</f>
        <v>73.510207695940267</v>
      </c>
      <c r="N151" s="44">
        <f t="shared" si="50"/>
        <v>78.622480299415429</v>
      </c>
      <c r="O151" s="269" t="str">
        <f t="shared" si="48"/>
        <v>W</v>
      </c>
      <c r="AA151">
        <f t="shared" si="53"/>
        <v>2037</v>
      </c>
      <c r="AB151">
        <f t="shared" si="51"/>
        <v>5</v>
      </c>
      <c r="AC151" s="271">
        <f t="shared" si="52"/>
        <v>50161</v>
      </c>
      <c r="AD151" s="44">
        <f>+L151*VLOOKUP($AB151,'Peak Loads - 2022-2024'!$L$4:$M$15,2)</f>
        <v>59.491342485815686</v>
      </c>
      <c r="AE151" s="44">
        <f>+M151*VLOOKUP($AB151,'Peak Loads - 2022-2024'!$L$4:$M$15,2)</f>
        <v>52.350221028637613</v>
      </c>
      <c r="AF151" s="44">
        <f>+K151*VLOOKUP($AB151,'Peak Loads - 2022-2024'!$L$4:$M$15,2)</f>
        <v>59.631620691050841</v>
      </c>
      <c r="AG151" s="44"/>
    </row>
    <row r="152" spans="5:33" x14ac:dyDescent="0.2">
      <c r="E152" s="175"/>
      <c r="H152">
        <f t="shared" si="49"/>
        <v>2037</v>
      </c>
      <c r="I152">
        <f t="shared" si="47"/>
        <v>6</v>
      </c>
      <c r="J152" s="268">
        <v>50192</v>
      </c>
      <c r="K152" s="44">
        <f>+SUMIFS('Monthly Energy Data'!AE$8:AE$595,'Monthly Energy Data'!$D$8:$D$595,'Peak Load Projections'!$H152,'Monthly Energy Data'!$E$8:$E$595,'Peak Load Projections'!$I152)*VLOOKUP($I152,$A$3:$E$14,5)</f>
        <v>102.84486774550413</v>
      </c>
      <c r="L152" s="44">
        <f>+SUMIFS('Monthly Energy Data'!AF$8:AF$595,'Monthly Energy Data'!$D$8:$D$595,'Peak Load Projections'!$H152,'Monthly Energy Data'!$E$8:$E$595,'Peak Load Projections'!$I152)*VLOOKUP($I152,$A$3:$E$14,5)</f>
        <v>103.39497397149297</v>
      </c>
      <c r="M152" s="44">
        <f>+SUMIFS('Monthly Energy Data'!AG$8:AG$595,'Monthly Energy Data'!$D$8:$D$595,'Peak Load Projections'!$H152,'Monthly Energy Data'!$E$8:$E$595,'Peak Load Projections'!$I152)*VLOOKUP($I152,$A$3:$E$14,5)</f>
        <v>91.006863054356643</v>
      </c>
      <c r="N152" s="44">
        <f t="shared" si="50"/>
        <v>97.200918512924801</v>
      </c>
      <c r="O152" s="269" t="str">
        <f t="shared" si="48"/>
        <v>S</v>
      </c>
      <c r="AA152">
        <f t="shared" si="53"/>
        <v>2037</v>
      </c>
      <c r="AB152">
        <f t="shared" si="51"/>
        <v>6</v>
      </c>
      <c r="AC152" s="271">
        <f t="shared" si="52"/>
        <v>50192</v>
      </c>
      <c r="AD152" s="44">
        <f>+L152*VLOOKUP($AB152,'Peak Loads - 2022-2024'!$L$4:$M$15,2)</f>
        <v>87.881256337375731</v>
      </c>
      <c r="AE152" s="44">
        <f>+M152*VLOOKUP($AB152,'Peak Loads - 2022-2024'!$L$4:$M$15,2)</f>
        <v>77.351897808354181</v>
      </c>
      <c r="AF152" s="44">
        <f>+K152*VLOOKUP($AB152,'Peak Loads - 2022-2024'!$L$4:$M$15,2)</f>
        <v>87.413689835814054</v>
      </c>
      <c r="AG152" s="44"/>
    </row>
    <row r="153" spans="5:33" x14ac:dyDescent="0.2">
      <c r="E153" s="175"/>
      <c r="H153">
        <f t="shared" si="49"/>
        <v>2037</v>
      </c>
      <c r="I153">
        <f t="shared" si="47"/>
        <v>7</v>
      </c>
      <c r="J153" s="268">
        <v>50222</v>
      </c>
      <c r="K153" s="44">
        <f>+SUMIFS('Monthly Energy Data'!AE$8:AE$595,'Monthly Energy Data'!$D$8:$D$595,'Peak Load Projections'!$H153,'Monthly Energy Data'!$E$8:$E$595,'Peak Load Projections'!$I153)*VLOOKUP($I153,$A$3:$E$14,5)</f>
        <v>105.71099167256422</v>
      </c>
      <c r="L153" s="44">
        <f>+SUMIFS('Monthly Energy Data'!AF$8:AF$595,'Monthly Energy Data'!$D$8:$D$595,'Peak Load Projections'!$H153,'Monthly Energy Data'!$E$8:$E$595,'Peak Load Projections'!$I153)*VLOOKUP($I153,$A$3:$E$14,5)</f>
        <v>108.58292333784421</v>
      </c>
      <c r="M153" s="44">
        <f>+SUMIFS('Monthly Energy Data'!AG$8:AG$595,'Monthly Energy Data'!$D$8:$D$595,'Peak Load Projections'!$H153,'Monthly Energy Data'!$E$8:$E$595,'Peak Load Projections'!$I153)*VLOOKUP($I153,$A$3:$E$14,5)</f>
        <v>94.724906728341963</v>
      </c>
      <c r="N153" s="44">
        <f t="shared" si="50"/>
        <v>101.65391503309309</v>
      </c>
      <c r="O153" s="269" t="str">
        <f t="shared" si="48"/>
        <v>S</v>
      </c>
      <c r="AA153">
        <f t="shared" si="53"/>
        <v>2037</v>
      </c>
      <c r="AB153">
        <f t="shared" si="51"/>
        <v>7</v>
      </c>
      <c r="AC153" s="271">
        <f t="shared" si="52"/>
        <v>50222</v>
      </c>
      <c r="AD153" s="44">
        <f>+L153*VLOOKUP($AB153,'Peak Loads - 2022-2024'!$L$4:$M$15,2)</f>
        <v>77.89764976441603</v>
      </c>
      <c r="AE153" s="44">
        <f>+M153*VLOOKUP($AB153,'Peak Loads - 2022-2024'!$L$4:$M$15,2)</f>
        <v>67.955875394263046</v>
      </c>
      <c r="AF153" s="44">
        <f>+K153*VLOOKUP($AB153,'Peak Loads - 2022-2024'!$L$4:$M$15,2)</f>
        <v>75.837319096091278</v>
      </c>
      <c r="AG153" s="44"/>
    </row>
    <row r="154" spans="5:33" x14ac:dyDescent="0.2">
      <c r="E154" s="175"/>
      <c r="H154">
        <f t="shared" si="49"/>
        <v>2037</v>
      </c>
      <c r="I154">
        <f t="shared" si="47"/>
        <v>8</v>
      </c>
      <c r="J154" s="268">
        <v>50253</v>
      </c>
      <c r="K154" s="44">
        <f>+SUMIFS('Monthly Energy Data'!AE$8:AE$595,'Monthly Energy Data'!$D$8:$D$595,'Peak Load Projections'!$H154,'Monthly Energy Data'!$E$8:$E$595,'Peak Load Projections'!$I154)*VLOOKUP($I154,$A$3:$E$14,5)</f>
        <v>103.92236719364421</v>
      </c>
      <c r="L154" s="44">
        <f>+SUMIFS('Monthly Energy Data'!AF$8:AF$595,'Monthly Energy Data'!$D$8:$D$595,'Peak Load Projections'!$H154,'Monthly Energy Data'!$E$8:$E$595,'Peak Load Projections'!$I154)*VLOOKUP($I154,$A$3:$E$14,5)</f>
        <v>105.72075779102282</v>
      </c>
      <c r="M154" s="44">
        <f>+SUMIFS('Monthly Energy Data'!AG$8:AG$595,'Monthly Energy Data'!$D$8:$D$595,'Peak Load Projections'!$H154,'Monthly Energy Data'!$E$8:$E$595,'Peak Load Projections'!$I154)*VLOOKUP($I154,$A$3:$E$14,5)</f>
        <v>92.88018502412686</v>
      </c>
      <c r="N154" s="44">
        <f t="shared" si="50"/>
        <v>99.300471407574832</v>
      </c>
      <c r="O154" s="269" t="str">
        <f t="shared" si="48"/>
        <v>S</v>
      </c>
      <c r="AA154">
        <f t="shared" si="53"/>
        <v>2037</v>
      </c>
      <c r="AB154">
        <f t="shared" si="51"/>
        <v>8</v>
      </c>
      <c r="AC154" s="271">
        <f t="shared" si="52"/>
        <v>50253</v>
      </c>
      <c r="AD154" s="44">
        <f>+L154*VLOOKUP($AB154,'Peak Loads - 2022-2024'!$L$4:$M$15,2)</f>
        <v>75.612723477057443</v>
      </c>
      <c r="AE154" s="44">
        <f>+M154*VLOOKUP($AB154,'Peak Loads - 2022-2024'!$L$4:$M$15,2)</f>
        <v>66.428995529992136</v>
      </c>
      <c r="AF154" s="44">
        <f>+K154*VLOOKUP($AB154,'Peak Loads - 2022-2024'!$L$4:$M$15,2)</f>
        <v>74.326493470911231</v>
      </c>
      <c r="AG154" s="44"/>
    </row>
    <row r="155" spans="5:33" x14ac:dyDescent="0.2">
      <c r="E155" s="175"/>
      <c r="H155">
        <f t="shared" si="49"/>
        <v>2037</v>
      </c>
      <c r="I155">
        <f t="shared" si="47"/>
        <v>9</v>
      </c>
      <c r="J155" s="268">
        <v>50284</v>
      </c>
      <c r="K155" s="44">
        <f>+SUMIFS('Monthly Energy Data'!AE$8:AE$595,'Monthly Energy Data'!$D$8:$D$595,'Peak Load Projections'!$H155,'Monthly Energy Data'!$E$8:$E$595,'Peak Load Projections'!$I155)*VLOOKUP($I155,$A$3:$E$14,5)</f>
        <v>88.271546429677656</v>
      </c>
      <c r="L155" s="44">
        <f>+SUMIFS('Monthly Energy Data'!AF$8:AF$595,'Monthly Energy Data'!$D$8:$D$595,'Peak Load Projections'!$H155,'Monthly Energy Data'!$E$8:$E$595,'Peak Load Projections'!$I155)*VLOOKUP($I155,$A$3:$E$14,5)</f>
        <v>89.111464786534043</v>
      </c>
      <c r="M155" s="44">
        <f>+SUMIFS('Monthly Energy Data'!AG$8:AG$595,'Monthly Energy Data'!$D$8:$D$595,'Peak Load Projections'!$H155,'Monthly Energy Data'!$E$8:$E$595,'Peak Load Projections'!$I155)*VLOOKUP($I155,$A$3:$E$14,5)</f>
        <v>77.828953861641423</v>
      </c>
      <c r="N155" s="44">
        <f t="shared" si="50"/>
        <v>83.470209324087733</v>
      </c>
      <c r="O155" s="269" t="str">
        <f t="shared" si="48"/>
        <v>S</v>
      </c>
      <c r="AA155">
        <f t="shared" si="53"/>
        <v>2037</v>
      </c>
      <c r="AB155">
        <f t="shared" si="51"/>
        <v>9</v>
      </c>
      <c r="AC155" s="271">
        <f t="shared" si="52"/>
        <v>50284</v>
      </c>
      <c r="AD155" s="44">
        <f>+L155*VLOOKUP($AB155,'Peak Loads - 2022-2024'!$L$4:$M$15,2)</f>
        <v>63.727394300919364</v>
      </c>
      <c r="AE155" s="44">
        <f>+M155*VLOOKUP($AB155,'Peak Loads - 2022-2024'!$L$4:$M$15,2)</f>
        <v>55.658791409726469</v>
      </c>
      <c r="AF155" s="44">
        <f>+K155*VLOOKUP($AB155,'Peak Loads - 2022-2024'!$L$4:$M$15,2)</f>
        <v>63.126733000645736</v>
      </c>
      <c r="AG155" s="44"/>
    </row>
    <row r="156" spans="5:33" x14ac:dyDescent="0.2">
      <c r="E156" s="175"/>
      <c r="H156">
        <f t="shared" si="49"/>
        <v>2037</v>
      </c>
      <c r="I156">
        <f t="shared" si="47"/>
        <v>10</v>
      </c>
      <c r="J156" s="268">
        <v>50314</v>
      </c>
      <c r="K156" s="44">
        <f>+SUMIFS('Monthly Energy Data'!AE$8:AE$595,'Monthly Energy Data'!$D$8:$D$595,'Peak Load Projections'!$H156,'Monthly Energy Data'!$E$8:$E$595,'Peak Load Projections'!$I156)*VLOOKUP($I156,$A$3:$E$14,5)</f>
        <v>85.840888600046014</v>
      </c>
      <c r="L156" s="44">
        <f>+SUMIFS('Monthly Energy Data'!AF$8:AF$595,'Monthly Energy Data'!$D$8:$D$595,'Peak Load Projections'!$H156,'Monthly Energy Data'!$E$8:$E$595,'Peak Load Projections'!$I156)*VLOOKUP($I156,$A$3:$E$14,5)</f>
        <v>88.683887293783073</v>
      </c>
      <c r="M156" s="44">
        <f>+SUMIFS('Monthly Energy Data'!AG$8:AG$595,'Monthly Energy Data'!$D$8:$D$595,'Peak Load Projections'!$H156,'Monthly Energy Data'!$E$8:$E$595,'Peak Load Projections'!$I156)*VLOOKUP($I156,$A$3:$E$14,5)</f>
        <v>76.04800539167357</v>
      </c>
      <c r="N156" s="44">
        <f t="shared" si="50"/>
        <v>82.365946342728321</v>
      </c>
      <c r="O156" s="269" t="str">
        <f t="shared" si="48"/>
        <v>W</v>
      </c>
      <c r="AA156">
        <f t="shared" si="53"/>
        <v>2037</v>
      </c>
      <c r="AB156">
        <f t="shared" si="51"/>
        <v>10</v>
      </c>
      <c r="AC156" s="271">
        <f t="shared" si="52"/>
        <v>50314</v>
      </c>
      <c r="AD156" s="44">
        <f>+L156*VLOOKUP($AB156,'Peak Loads - 2022-2024'!$L$4:$M$15,2)</f>
        <v>61.602669535690943</v>
      </c>
      <c r="AE156" s="44">
        <f>+M156*VLOOKUP($AB156,'Peak Loads - 2022-2024'!$L$4:$M$15,2)</f>
        <v>52.825381114299908</v>
      </c>
      <c r="AF156" s="44">
        <f>+K156*VLOOKUP($AB156,'Peak Loads - 2022-2024'!$L$4:$M$15,2)</f>
        <v>59.627831553673857</v>
      </c>
      <c r="AG156" s="44"/>
    </row>
    <row r="157" spans="5:33" x14ac:dyDescent="0.2">
      <c r="E157" s="175"/>
      <c r="H157">
        <f t="shared" si="49"/>
        <v>2037</v>
      </c>
      <c r="I157">
        <f t="shared" si="47"/>
        <v>11</v>
      </c>
      <c r="J157" s="268">
        <v>50345</v>
      </c>
      <c r="K157" s="44">
        <f>+SUMIFS('Monthly Energy Data'!AE$8:AE$595,'Monthly Energy Data'!$D$8:$D$595,'Peak Load Projections'!$H157,'Monthly Energy Data'!$E$8:$E$595,'Peak Load Projections'!$I157)*VLOOKUP($I157,$A$3:$E$14,5)</f>
        <v>107.1979543428366</v>
      </c>
      <c r="L157" s="44">
        <f>+SUMIFS('Monthly Energy Data'!AF$8:AF$595,'Monthly Energy Data'!$D$8:$D$595,'Peak Load Projections'!$H157,'Monthly Energy Data'!$E$8:$E$595,'Peak Load Projections'!$I157)*VLOOKUP($I157,$A$3:$E$14,5)</f>
        <v>116.77922233773766</v>
      </c>
      <c r="M157" s="44">
        <f>+SUMIFS('Monthly Energy Data'!AG$8:AG$595,'Monthly Energy Data'!$D$8:$D$595,'Peak Load Projections'!$H157,'Monthly Energy Data'!$E$8:$E$595,'Peak Load Projections'!$I157)*VLOOKUP($I157,$A$3:$E$14,5)</f>
        <v>94.212621845254418</v>
      </c>
      <c r="N157" s="44">
        <f t="shared" si="50"/>
        <v>105.49592209149604</v>
      </c>
      <c r="O157" s="269" t="str">
        <f t="shared" si="48"/>
        <v>W</v>
      </c>
      <c r="AA157">
        <f t="shared" si="53"/>
        <v>2037</v>
      </c>
      <c r="AB157">
        <f t="shared" si="51"/>
        <v>11</v>
      </c>
      <c r="AC157" s="271">
        <f t="shared" si="52"/>
        <v>50345</v>
      </c>
      <c r="AD157" s="44">
        <f>+L157*VLOOKUP($AB157,'Peak Loads - 2022-2024'!$L$4:$M$15,2)</f>
        <v>83.058823176331728</v>
      </c>
      <c r="AE157" s="44">
        <f>+M157*VLOOKUP($AB157,'Peak Loads - 2022-2024'!$L$4:$M$15,2)</f>
        <v>67.008405623667642</v>
      </c>
      <c r="AF157" s="44">
        <f>+K157*VLOOKUP($AB157,'Peak Loads - 2022-2024'!$L$4:$M$15,2)</f>
        <v>76.244179027632299</v>
      </c>
      <c r="AG157" s="44"/>
    </row>
    <row r="158" spans="5:33" x14ac:dyDescent="0.2">
      <c r="E158" s="175"/>
      <c r="H158">
        <f t="shared" si="49"/>
        <v>2037</v>
      </c>
      <c r="I158">
        <f t="shared" si="47"/>
        <v>12</v>
      </c>
      <c r="J158" s="268">
        <v>50375</v>
      </c>
      <c r="K158" s="44">
        <f>+SUMIFS('Monthly Energy Data'!AE$8:AE$595,'Monthly Energy Data'!$D$8:$D$595,'Peak Load Projections'!$H158,'Monthly Energy Data'!$E$8:$E$595,'Peak Load Projections'!$I158)*VLOOKUP($I158,$A$3:$E$14,5)</f>
        <v>117.43996803287521</v>
      </c>
      <c r="L158" s="44">
        <f>+SUMIFS('Monthly Energy Data'!AF$8:AF$595,'Monthly Energy Data'!$D$8:$D$595,'Peak Load Projections'!$H158,'Monthly Energy Data'!$E$8:$E$595,'Peak Load Projections'!$I158)*VLOOKUP($I158,$A$3:$E$14,5)</f>
        <v>126.51851445485838</v>
      </c>
      <c r="M158" s="44">
        <f>+SUMIFS('Monthly Energy Data'!AG$8:AG$595,'Monthly Energy Data'!$D$8:$D$595,'Peak Load Projections'!$H158,'Monthly Energy Data'!$E$8:$E$595,'Peak Load Projections'!$I158)*VLOOKUP($I158,$A$3:$E$14,5)</f>
        <v>103.58884957593521</v>
      </c>
      <c r="N158" s="44">
        <f t="shared" si="50"/>
        <v>115.05368201539679</v>
      </c>
      <c r="O158" s="269" t="str">
        <f t="shared" si="48"/>
        <v>W</v>
      </c>
      <c r="AA158">
        <f t="shared" si="53"/>
        <v>2037</v>
      </c>
      <c r="AB158">
        <f t="shared" si="51"/>
        <v>12</v>
      </c>
      <c r="AC158" s="271">
        <f t="shared" si="52"/>
        <v>50375</v>
      </c>
      <c r="AD158" s="44">
        <f>+L158*VLOOKUP($AB158,'Peak Loads - 2022-2024'!$L$4:$M$15,2)</f>
        <v>108.39229590723885</v>
      </c>
      <c r="AE158" s="44">
        <f>+M158*VLOOKUP($AB158,'Peak Loads - 2022-2024'!$L$4:$M$15,2)</f>
        <v>88.747747982224695</v>
      </c>
      <c r="AF158" s="44">
        <f>+K158*VLOOKUP($AB158,'Peak Loads - 2022-2024'!$L$4:$M$15,2)</f>
        <v>100.61442644347504</v>
      </c>
      <c r="AG158" s="44"/>
    </row>
    <row r="159" spans="5:33" x14ac:dyDescent="0.2">
      <c r="E159" s="175"/>
      <c r="H159">
        <f t="shared" si="49"/>
        <v>2038</v>
      </c>
      <c r="I159">
        <f t="shared" si="47"/>
        <v>1</v>
      </c>
      <c r="J159" s="268">
        <v>50406</v>
      </c>
      <c r="K159" s="44">
        <f>+SUMIFS('Monthly Energy Data'!AE$8:AE$595,'Monthly Energy Data'!$D$8:$D$595,'Peak Load Projections'!$H159,'Monthly Energy Data'!$E$8:$E$595,'Peak Load Projections'!$I159)*VLOOKUP($I159,$A$3:$E$14,5)</f>
        <v>120.15619597169469</v>
      </c>
      <c r="L159" s="44">
        <f>+SUMIFS('Monthly Energy Data'!AF$8:AF$595,'Monthly Energy Data'!$D$8:$D$595,'Peak Load Projections'!$H159,'Monthly Energy Data'!$E$8:$E$595,'Peak Load Projections'!$I159)*VLOOKUP($I159,$A$3:$E$14,5)</f>
        <v>130.71744562458494</v>
      </c>
      <c r="M159" s="44">
        <f>+SUMIFS('Monthly Energy Data'!AG$8:AG$595,'Monthly Energy Data'!$D$8:$D$595,'Peak Load Projections'!$H159,'Monthly Energy Data'!$E$8:$E$595,'Peak Load Projections'!$I159)*VLOOKUP($I159,$A$3:$E$14,5)</f>
        <v>106.36662651290592</v>
      </c>
      <c r="N159" s="44">
        <f t="shared" si="50"/>
        <v>118.54203606874543</v>
      </c>
      <c r="O159" s="269" t="str">
        <f t="shared" si="48"/>
        <v>W</v>
      </c>
      <c r="AA159">
        <f t="shared" si="53"/>
        <v>2038</v>
      </c>
      <c r="AB159">
        <f t="shared" si="51"/>
        <v>1</v>
      </c>
      <c r="AC159" s="271">
        <f t="shared" si="52"/>
        <v>50406</v>
      </c>
      <c r="AD159" s="44">
        <f>+L159*VLOOKUP($AB159,'Peak Loads - 2022-2024'!$L$4:$M$15,2)</f>
        <v>115.66105784865917</v>
      </c>
      <c r="AE159" s="44">
        <f>+M159*VLOOKUP($AB159,'Peak Loads - 2022-2024'!$L$4:$M$15,2)</f>
        <v>94.115031727349816</v>
      </c>
      <c r="AF159" s="44">
        <f>+K159*VLOOKUP($AB159,'Peak Loads - 2022-2024'!$L$4:$M$15,2)</f>
        <v>106.31628140186994</v>
      </c>
      <c r="AG159" s="44"/>
    </row>
    <row r="160" spans="5:33" x14ac:dyDescent="0.2">
      <c r="E160" s="175"/>
      <c r="H160">
        <f t="shared" si="49"/>
        <v>2038</v>
      </c>
      <c r="I160">
        <f t="shared" si="47"/>
        <v>2</v>
      </c>
      <c r="J160" s="268">
        <v>50437</v>
      </c>
      <c r="K160" s="44">
        <f>+SUMIFS('Monthly Energy Data'!AE$8:AE$595,'Monthly Energy Data'!$D$8:$D$595,'Peak Load Projections'!$H160,'Monthly Energy Data'!$E$8:$E$595,'Peak Load Projections'!$I160)*VLOOKUP($I160,$A$3:$E$14,5)</f>
        <v>114.19715535922731</v>
      </c>
      <c r="L160" s="44">
        <f>+SUMIFS('Monthly Energy Data'!AF$8:AF$595,'Monthly Energy Data'!$D$8:$D$595,'Peak Load Projections'!$H160,'Monthly Energy Data'!$E$8:$E$595,'Peak Load Projections'!$I160)*VLOOKUP($I160,$A$3:$E$14,5)</f>
        <v>122.58295001942548</v>
      </c>
      <c r="M160" s="44">
        <f>+SUMIFS('Monthly Energy Data'!AG$8:AG$595,'Monthly Energy Data'!$D$8:$D$595,'Peak Load Projections'!$H160,'Monthly Energy Data'!$E$8:$E$595,'Peak Load Projections'!$I160)*VLOOKUP($I160,$A$3:$E$14,5)</f>
        <v>100.30429713154649</v>
      </c>
      <c r="N160" s="44">
        <f t="shared" si="50"/>
        <v>111.44362357548599</v>
      </c>
      <c r="O160" s="269" t="str">
        <f t="shared" si="48"/>
        <v>W</v>
      </c>
      <c r="AA160">
        <f t="shared" si="53"/>
        <v>2038</v>
      </c>
      <c r="AB160">
        <f t="shared" si="51"/>
        <v>2</v>
      </c>
      <c r="AC160" s="271">
        <f t="shared" si="52"/>
        <v>50437</v>
      </c>
      <c r="AD160" s="44">
        <f>+L160*VLOOKUP($AB160,'Peak Loads - 2022-2024'!$L$4:$M$15,2)</f>
        <v>97.763161520179082</v>
      </c>
      <c r="AE160" s="44">
        <f>+M160*VLOOKUP($AB160,'Peak Loads - 2022-2024'!$L$4:$M$15,2)</f>
        <v>79.995343561934732</v>
      </c>
      <c r="AF160" s="44">
        <f>+K160*VLOOKUP($AB160,'Peak Loads - 2022-2024'!$L$4:$M$15,2)</f>
        <v>91.075267341501757</v>
      </c>
      <c r="AG160" s="44"/>
    </row>
    <row r="161" spans="5:33" x14ac:dyDescent="0.2">
      <c r="E161" s="175"/>
      <c r="H161">
        <f t="shared" si="49"/>
        <v>2038</v>
      </c>
      <c r="I161">
        <f t="shared" si="47"/>
        <v>3</v>
      </c>
      <c r="J161" s="268">
        <v>50465</v>
      </c>
      <c r="K161" s="44">
        <f>+SUMIFS('Monthly Energy Data'!AE$8:AE$595,'Monthly Energy Data'!$D$8:$D$595,'Peak Load Projections'!$H161,'Monthly Energy Data'!$E$8:$E$595,'Peak Load Projections'!$I161)*VLOOKUP($I161,$A$3:$E$14,5)</f>
        <v>100.76921784763616</v>
      </c>
      <c r="L161" s="44">
        <f>+SUMIFS('Monthly Energy Data'!AF$8:AF$595,'Monthly Energy Data'!$D$8:$D$595,'Peak Load Projections'!$H161,'Monthly Energy Data'!$E$8:$E$595,'Peak Load Projections'!$I161)*VLOOKUP($I161,$A$3:$E$14,5)</f>
        <v>106.69225252985667</v>
      </c>
      <c r="M161" s="44">
        <f>+SUMIFS('Monthly Energy Data'!AG$8:AG$595,'Monthly Energy Data'!$D$8:$D$595,'Peak Load Projections'!$H161,'Monthly Energy Data'!$E$8:$E$595,'Peak Load Projections'!$I161)*VLOOKUP($I161,$A$3:$E$14,5)</f>
        <v>89.471472089005516</v>
      </c>
      <c r="N161" s="44">
        <f t="shared" si="50"/>
        <v>98.081862309431102</v>
      </c>
      <c r="O161" s="269" t="str">
        <f t="shared" si="48"/>
        <v>W</v>
      </c>
      <c r="AA161">
        <f t="shared" si="53"/>
        <v>2038</v>
      </c>
      <c r="AB161">
        <f t="shared" si="51"/>
        <v>3</v>
      </c>
      <c r="AC161" s="271">
        <f t="shared" si="52"/>
        <v>50465</v>
      </c>
      <c r="AD161" s="44">
        <f>+L161*VLOOKUP($AB161,'Peak Loads - 2022-2024'!$L$4:$M$15,2)</f>
        <v>76.14559835587329</v>
      </c>
      <c r="AE161" s="44">
        <f>+M161*VLOOKUP($AB161,'Peak Loads - 2022-2024'!$L$4:$M$15,2)</f>
        <v>63.855234250412288</v>
      </c>
      <c r="AF161" s="44">
        <f>+K161*VLOOKUP($AB161,'Peak Loads - 2022-2024'!$L$4:$M$15,2)</f>
        <v>71.918365269440329</v>
      </c>
      <c r="AG161" s="44"/>
    </row>
    <row r="162" spans="5:33" x14ac:dyDescent="0.2">
      <c r="E162" s="175"/>
      <c r="H162">
        <f t="shared" si="49"/>
        <v>2038</v>
      </c>
      <c r="I162">
        <f t="shared" si="47"/>
        <v>4</v>
      </c>
      <c r="J162" s="268">
        <v>50496</v>
      </c>
      <c r="K162" s="44">
        <f>+SUMIFS('Monthly Energy Data'!AE$8:AE$595,'Monthly Energy Data'!$D$8:$D$595,'Peak Load Projections'!$H162,'Monthly Energy Data'!$E$8:$E$595,'Peak Load Projections'!$I162)*VLOOKUP($I162,$A$3:$E$14,5)</f>
        <v>98.176719620595819</v>
      </c>
      <c r="L162" s="44">
        <f>+SUMIFS('Monthly Energy Data'!AF$8:AF$595,'Monthly Energy Data'!$D$8:$D$595,'Peak Load Projections'!$H162,'Monthly Energy Data'!$E$8:$E$595,'Peak Load Projections'!$I162)*VLOOKUP($I162,$A$3:$E$14,5)</f>
        <v>101.68272910509782</v>
      </c>
      <c r="M162" s="44">
        <f>+SUMIFS('Monthly Energy Data'!AG$8:AG$595,'Monthly Energy Data'!$D$8:$D$595,'Peak Load Projections'!$H162,'Monthly Energy Data'!$E$8:$E$595,'Peak Load Projections'!$I162)*VLOOKUP($I162,$A$3:$E$14,5)</f>
        <v>86.30007463566308</v>
      </c>
      <c r="N162" s="44">
        <f t="shared" si="50"/>
        <v>93.991401870380457</v>
      </c>
      <c r="O162" s="269" t="str">
        <f t="shared" si="48"/>
        <v>W</v>
      </c>
      <c r="AA162">
        <f t="shared" si="53"/>
        <v>2038</v>
      </c>
      <c r="AB162">
        <f t="shared" si="51"/>
        <v>4</v>
      </c>
      <c r="AC162" s="271">
        <f t="shared" si="52"/>
        <v>50496</v>
      </c>
      <c r="AD162" s="44">
        <f>+L162*VLOOKUP($AB162,'Peak Loads - 2022-2024'!$L$4:$M$15,2)</f>
        <v>70.947588334496359</v>
      </c>
      <c r="AE162" s="44">
        <f>+M162*VLOOKUP($AB162,'Peak Loads - 2022-2024'!$L$4:$M$15,2)</f>
        <v>60.214573530564024</v>
      </c>
      <c r="AF162" s="44">
        <f>+K162*VLOOKUP($AB162,'Peak Loads - 2022-2024'!$L$4:$M$15,2)</f>
        <v>68.501323174301945</v>
      </c>
      <c r="AG162" s="44"/>
    </row>
    <row r="163" spans="5:33" x14ac:dyDescent="0.2">
      <c r="E163" s="175"/>
      <c r="H163">
        <f t="shared" si="49"/>
        <v>2038</v>
      </c>
      <c r="I163">
        <f t="shared" si="47"/>
        <v>5</v>
      </c>
      <c r="J163" s="268">
        <v>50526</v>
      </c>
      <c r="K163" s="44">
        <f>+SUMIFS('Monthly Energy Data'!AE$8:AE$595,'Monthly Energy Data'!$D$8:$D$595,'Peak Load Projections'!$H163,'Monthly Energy Data'!$E$8:$E$595,'Peak Load Projections'!$I163)*VLOOKUP($I163,$A$3:$E$14,5)</f>
        <v>84.308947252955335</v>
      </c>
      <c r="L163" s="44">
        <f>+SUMIFS('Monthly Energy Data'!AF$8:AF$595,'Monthly Energy Data'!$D$8:$D$595,'Peak Load Projections'!$H163,'Monthly Energy Data'!$E$8:$E$595,'Peak Load Projections'!$I163)*VLOOKUP($I163,$A$3:$E$14,5)</f>
        <v>85.301016198896193</v>
      </c>
      <c r="M163" s="44">
        <f>+SUMIFS('Monthly Energy Data'!AG$8:AG$595,'Monthly Energy Data'!$D$8:$D$595,'Peak Load Projections'!$H163,'Monthly Energy Data'!$E$8:$E$595,'Peak Load Projections'!$I163)*VLOOKUP($I163,$A$3:$E$14,5)</f>
        <v>74.761745252601031</v>
      </c>
      <c r="N163" s="44">
        <f t="shared" si="50"/>
        <v>80.031380725748619</v>
      </c>
      <c r="O163" s="269" t="str">
        <f t="shared" si="48"/>
        <v>W</v>
      </c>
      <c r="AA163">
        <f t="shared" si="53"/>
        <v>2038</v>
      </c>
      <c r="AB163">
        <f t="shared" si="51"/>
        <v>5</v>
      </c>
      <c r="AC163" s="271">
        <f t="shared" si="52"/>
        <v>50526</v>
      </c>
      <c r="AD163" s="44">
        <f>+L163*VLOOKUP($AB163,'Peak Loads - 2022-2024'!$L$4:$M$15,2)</f>
        <v>60.747033533769077</v>
      </c>
      <c r="AE163" s="44">
        <f>+M163*VLOOKUP($AB163,'Peak Loads - 2022-2024'!$L$4:$M$15,2)</f>
        <v>53.24150225025835</v>
      </c>
      <c r="AF163" s="44">
        <f>+K163*VLOOKUP($AB163,'Peak Loads - 2022-2024'!$L$4:$M$15,2)</f>
        <v>60.040532624256343</v>
      </c>
      <c r="AG163" s="44"/>
    </row>
    <row r="164" spans="5:33" x14ac:dyDescent="0.2">
      <c r="E164" s="175"/>
      <c r="H164">
        <f t="shared" si="49"/>
        <v>2038</v>
      </c>
      <c r="I164">
        <f t="shared" si="47"/>
        <v>6</v>
      </c>
      <c r="J164" s="268">
        <v>50557</v>
      </c>
      <c r="K164" s="44">
        <f>+SUMIFS('Monthly Energy Data'!AE$8:AE$595,'Monthly Energy Data'!$D$8:$D$595,'Peak Load Projections'!$H164,'Monthly Energy Data'!$E$8:$E$595,'Peak Load Projections'!$I164)*VLOOKUP($I164,$A$3:$E$14,5)</f>
        <v>103.59645255562407</v>
      </c>
      <c r="L164" s="44">
        <f>+SUMIFS('Monthly Energy Data'!AF$8:AF$595,'Monthly Energy Data'!$D$8:$D$595,'Peak Load Projections'!$H164,'Monthly Energy Data'!$E$8:$E$595,'Peak Load Projections'!$I164)*VLOOKUP($I164,$A$3:$E$14,5)</f>
        <v>105.58831369773152</v>
      </c>
      <c r="M164" s="44">
        <f>+SUMIFS('Monthly Energy Data'!AG$8:AG$595,'Monthly Energy Data'!$D$8:$D$595,'Peak Load Projections'!$H164,'Monthly Energy Data'!$E$8:$E$595,'Peak Load Projections'!$I164)*VLOOKUP($I164,$A$3:$E$14,5)</f>
        <v>92.560388291356972</v>
      </c>
      <c r="N164" s="44">
        <f t="shared" si="50"/>
        <v>99.074350994544247</v>
      </c>
      <c r="O164" s="269" t="str">
        <f t="shared" si="48"/>
        <v>S</v>
      </c>
      <c r="AA164">
        <f t="shared" si="53"/>
        <v>2038</v>
      </c>
      <c r="AB164">
        <f t="shared" si="51"/>
        <v>6</v>
      </c>
      <c r="AC164" s="271">
        <f t="shared" si="52"/>
        <v>50557</v>
      </c>
      <c r="AD164" s="44">
        <f>+L164*VLOOKUP($AB164,'Peak Loads - 2022-2024'!$L$4:$M$15,2)</f>
        <v>89.745500248976924</v>
      </c>
      <c r="AE164" s="44">
        <f>+M164*VLOOKUP($AB164,'Peak Loads - 2022-2024'!$L$4:$M$15,2)</f>
        <v>78.672327074258817</v>
      </c>
      <c r="AF164" s="44">
        <f>+K164*VLOOKUP($AB164,'Peak Loads - 2022-2024'!$L$4:$M$15,2)</f>
        <v>88.052504420511738</v>
      </c>
      <c r="AG164" s="44"/>
    </row>
    <row r="165" spans="5:33" x14ac:dyDescent="0.2">
      <c r="E165" s="175"/>
      <c r="H165">
        <f t="shared" si="49"/>
        <v>2038</v>
      </c>
      <c r="I165">
        <f t="shared" si="47"/>
        <v>7</v>
      </c>
      <c r="J165" s="268">
        <v>50587</v>
      </c>
      <c r="K165" s="44">
        <f>+SUMIFS('Monthly Energy Data'!AE$8:AE$595,'Monthly Energy Data'!$D$8:$D$595,'Peak Load Projections'!$H165,'Monthly Energy Data'!$E$8:$E$595,'Peak Load Projections'!$I165)*VLOOKUP($I165,$A$3:$E$14,5)</f>
        <v>106.52579411963717</v>
      </c>
      <c r="L165" s="44">
        <f>+SUMIFS('Monthly Energy Data'!AF$8:AF$595,'Monthly Energy Data'!$D$8:$D$595,'Peak Load Projections'!$H165,'Monthly Energy Data'!$E$8:$E$595,'Peak Load Projections'!$I165)*VLOOKUP($I165,$A$3:$E$14,5)</f>
        <v>110.90523864322346</v>
      </c>
      <c r="M165" s="44">
        <f>+SUMIFS('Monthly Energy Data'!AG$8:AG$595,'Monthly Energy Data'!$D$8:$D$595,'Peak Load Projections'!$H165,'Monthly Energy Data'!$E$8:$E$595,'Peak Load Projections'!$I165)*VLOOKUP($I165,$A$3:$E$14,5)</f>
        <v>96.327251942197478</v>
      </c>
      <c r="N165" s="44">
        <f t="shared" si="50"/>
        <v>103.61624529271046</v>
      </c>
      <c r="O165" s="269" t="str">
        <f t="shared" si="48"/>
        <v>S</v>
      </c>
      <c r="AA165">
        <f t="shared" si="53"/>
        <v>2038</v>
      </c>
      <c r="AB165">
        <f t="shared" si="51"/>
        <v>7</v>
      </c>
      <c r="AC165" s="271">
        <f t="shared" si="52"/>
        <v>50587</v>
      </c>
      <c r="AD165" s="44">
        <f>+L165*VLOOKUP($AB165,'Peak Loads - 2022-2024'!$L$4:$M$15,2)</f>
        <v>79.563684337256873</v>
      </c>
      <c r="AE165" s="44">
        <f>+M165*VLOOKUP($AB165,'Peak Loads - 2022-2024'!$L$4:$M$15,2)</f>
        <v>69.105401695763007</v>
      </c>
      <c r="AF165" s="44">
        <f>+K165*VLOOKUP($AB165,'Peak Loads - 2022-2024'!$L$4:$M$15,2)</f>
        <v>76.421860326868355</v>
      </c>
      <c r="AG165" s="44"/>
    </row>
    <row r="166" spans="5:33" x14ac:dyDescent="0.2">
      <c r="E166" s="175"/>
      <c r="H166">
        <f t="shared" si="49"/>
        <v>2038</v>
      </c>
      <c r="I166">
        <f t="shared" si="47"/>
        <v>8</v>
      </c>
      <c r="J166" s="268">
        <v>50618</v>
      </c>
      <c r="K166" s="44">
        <f>+SUMIFS('Monthly Energy Data'!AE$8:AE$595,'Monthly Energy Data'!$D$8:$D$595,'Peak Load Projections'!$H166,'Monthly Energy Data'!$E$8:$E$595,'Peak Load Projections'!$I166)*VLOOKUP($I166,$A$3:$E$14,5)</f>
        <v>104.65144009470238</v>
      </c>
      <c r="L166" s="44">
        <f>+SUMIFS('Monthly Energy Data'!AF$8:AF$595,'Monthly Energy Data'!$D$8:$D$595,'Peak Load Projections'!$H166,'Monthly Energy Data'!$E$8:$E$595,'Peak Load Projections'!$I166)*VLOOKUP($I166,$A$3:$E$14,5)</f>
        <v>107.90178655958758</v>
      </c>
      <c r="M166" s="44">
        <f>+SUMIFS('Monthly Energy Data'!AG$8:AG$595,'Monthly Energy Data'!$D$8:$D$595,'Peak Load Projections'!$H166,'Monthly Energy Data'!$E$8:$E$595,'Peak Load Projections'!$I166)*VLOOKUP($I166,$A$3:$E$14,5)</f>
        <v>94.387652728803246</v>
      </c>
      <c r="N166" s="44">
        <f t="shared" si="50"/>
        <v>101.14471964419542</v>
      </c>
      <c r="O166" s="269" t="str">
        <f t="shared" si="48"/>
        <v>S</v>
      </c>
      <c r="AA166">
        <f t="shared" si="53"/>
        <v>2038</v>
      </c>
      <c r="AB166">
        <f t="shared" si="51"/>
        <v>8</v>
      </c>
      <c r="AC166" s="271">
        <f t="shared" si="52"/>
        <v>50618</v>
      </c>
      <c r="AD166" s="44">
        <f>+L166*VLOOKUP($AB166,'Peak Loads - 2022-2024'!$L$4:$M$15,2)</f>
        <v>77.172620782173027</v>
      </c>
      <c r="AE166" s="44">
        <f>+M166*VLOOKUP($AB166,'Peak Loads - 2022-2024'!$L$4:$M$15,2)</f>
        <v>67.507154077905696</v>
      </c>
      <c r="AF166" s="44">
        <f>+K166*VLOOKUP($AB166,'Peak Loads - 2022-2024'!$L$4:$M$15,2)</f>
        <v>74.847934943845971</v>
      </c>
      <c r="AG166" s="44"/>
    </row>
    <row r="167" spans="5:33" x14ac:dyDescent="0.2">
      <c r="E167" s="175"/>
      <c r="H167">
        <f t="shared" si="49"/>
        <v>2038</v>
      </c>
      <c r="I167">
        <f t="shared" si="47"/>
        <v>9</v>
      </c>
      <c r="J167" s="268">
        <v>50649</v>
      </c>
      <c r="K167" s="44">
        <f>+SUMIFS('Monthly Energy Data'!AE$8:AE$595,'Monthly Energy Data'!$D$8:$D$595,'Peak Load Projections'!$H167,'Monthly Energy Data'!$E$8:$E$595,'Peak Load Projections'!$I167)*VLOOKUP($I167,$A$3:$E$14,5)</f>
        <v>88.810218458516374</v>
      </c>
      <c r="L167" s="44">
        <f>+SUMIFS('Monthly Energy Data'!AF$8:AF$595,'Monthly Energy Data'!$D$8:$D$595,'Peak Load Projections'!$H167,'Monthly Energy Data'!$E$8:$E$595,'Peak Load Projections'!$I167)*VLOOKUP($I167,$A$3:$E$14,5)</f>
        <v>90.976719072285121</v>
      </c>
      <c r="M167" s="44">
        <f>+SUMIFS('Monthly Energy Data'!AG$8:AG$595,'Monthly Energy Data'!$D$8:$D$595,'Peak Load Projections'!$H167,'Monthly Energy Data'!$E$8:$E$595,'Peak Load Projections'!$I167)*VLOOKUP($I167,$A$3:$E$14,5)</f>
        <v>79.094160124820732</v>
      </c>
      <c r="N167" s="44">
        <f t="shared" si="50"/>
        <v>85.035439598552927</v>
      </c>
      <c r="O167" s="269" t="str">
        <f t="shared" si="48"/>
        <v>S</v>
      </c>
      <c r="AA167">
        <f t="shared" si="53"/>
        <v>2038</v>
      </c>
      <c r="AB167">
        <f t="shared" si="51"/>
        <v>9</v>
      </c>
      <c r="AC167" s="271">
        <f t="shared" si="52"/>
        <v>50649</v>
      </c>
      <c r="AD167" s="44">
        <f>+L167*VLOOKUP($AB167,'Peak Loads - 2022-2024'!$L$4:$M$15,2)</f>
        <v>65.061316884554202</v>
      </c>
      <c r="AE167" s="44">
        <f>+M167*VLOOKUP($AB167,'Peak Loads - 2022-2024'!$L$4:$M$15,2)</f>
        <v>56.563594159841344</v>
      </c>
      <c r="AF167" s="44">
        <f>+K167*VLOOKUP($AB167,'Peak Loads - 2022-2024'!$L$4:$M$15,2)</f>
        <v>63.511960253535293</v>
      </c>
      <c r="AG167" s="44"/>
    </row>
    <row r="168" spans="5:33" x14ac:dyDescent="0.2">
      <c r="E168" s="175"/>
      <c r="H168">
        <f t="shared" si="49"/>
        <v>2038</v>
      </c>
      <c r="I168">
        <f t="shared" si="47"/>
        <v>10</v>
      </c>
      <c r="J168" s="268">
        <v>50679</v>
      </c>
      <c r="K168" s="44">
        <f>+SUMIFS('Monthly Energy Data'!AE$8:AE$595,'Monthly Energy Data'!$D$8:$D$595,'Peak Load Projections'!$H168,'Monthly Energy Data'!$E$8:$E$595,'Peak Load Projections'!$I168)*VLOOKUP($I168,$A$3:$E$14,5)</f>
        <v>86.423403461532814</v>
      </c>
      <c r="L168" s="44">
        <f>+SUMIFS('Monthly Energy Data'!AF$8:AF$595,'Monthly Energy Data'!$D$8:$D$595,'Peak Load Projections'!$H168,'Monthly Energy Data'!$E$8:$E$595,'Peak Load Projections'!$I168)*VLOOKUP($I168,$A$3:$E$14,5)</f>
        <v>90.652971541735127</v>
      </c>
      <c r="M168" s="44">
        <f>+SUMIFS('Monthly Energy Data'!AG$8:AG$595,'Monthly Energy Data'!$D$8:$D$595,'Peak Load Projections'!$H168,'Monthly Energy Data'!$E$8:$E$595,'Peak Load Projections'!$I168)*VLOOKUP($I168,$A$3:$E$14,5)</f>
        <v>77.349637974568239</v>
      </c>
      <c r="N168" s="44">
        <f t="shared" si="50"/>
        <v>84.00130475815169</v>
      </c>
      <c r="O168" s="269" t="str">
        <f t="shared" si="48"/>
        <v>W</v>
      </c>
      <c r="AA168">
        <f t="shared" si="53"/>
        <v>2038</v>
      </c>
      <c r="AB168">
        <f t="shared" si="51"/>
        <v>10</v>
      </c>
      <c r="AC168" s="271">
        <f t="shared" si="52"/>
        <v>50679</v>
      </c>
      <c r="AD168" s="44">
        <f>+L168*VLOOKUP($AB168,'Peak Loads - 2022-2024'!$L$4:$M$15,2)</f>
        <v>62.970458543548609</v>
      </c>
      <c r="AE168" s="44">
        <f>+M168*VLOOKUP($AB168,'Peak Loads - 2022-2024'!$L$4:$M$15,2)</f>
        <v>53.729536810535038</v>
      </c>
      <c r="AF168" s="44">
        <f>+K168*VLOOKUP($AB168,'Peak Loads - 2022-2024'!$L$4:$M$15,2)</f>
        <v>60.032465040170969</v>
      </c>
      <c r="AG168" s="44"/>
    </row>
    <row r="169" spans="5:33" x14ac:dyDescent="0.2">
      <c r="E169" s="175"/>
      <c r="H169">
        <f t="shared" si="49"/>
        <v>2038</v>
      </c>
      <c r="I169">
        <f t="shared" si="47"/>
        <v>11</v>
      </c>
      <c r="J169" s="268">
        <v>50710</v>
      </c>
      <c r="K169" s="44">
        <f>+SUMIFS('Monthly Energy Data'!AE$8:AE$595,'Monthly Energy Data'!$D$8:$D$595,'Peak Load Projections'!$H169,'Monthly Energy Data'!$E$8:$E$595,'Peak Load Projections'!$I169)*VLOOKUP($I169,$A$3:$E$14,5)</f>
        <v>108.26983805598229</v>
      </c>
      <c r="L169" s="44">
        <f>+SUMIFS('Monthly Energy Data'!AF$8:AF$595,'Monthly Energy Data'!$D$8:$D$595,'Peak Load Projections'!$H169,'Monthly Energy Data'!$E$8:$E$595,'Peak Load Projections'!$I169)*VLOOKUP($I169,$A$3:$E$14,5)</f>
        <v>120.06999497880663</v>
      </c>
      <c r="M169" s="44">
        <f>+SUMIFS('Monthly Energy Data'!AG$8:AG$595,'Monthly Energy Data'!$D$8:$D$595,'Peak Load Projections'!$H169,'Monthly Energy Data'!$E$8:$E$595,'Peak Load Projections'!$I169)*VLOOKUP($I169,$A$3:$E$14,5)</f>
        <v>96.338371310439754</v>
      </c>
      <c r="N169" s="44">
        <f t="shared" si="50"/>
        <v>108.20418314462319</v>
      </c>
      <c r="O169" s="269" t="str">
        <f t="shared" si="48"/>
        <v>W</v>
      </c>
      <c r="AA169">
        <f t="shared" si="53"/>
        <v>2038</v>
      </c>
      <c r="AB169">
        <f t="shared" si="51"/>
        <v>11</v>
      </c>
      <c r="AC169" s="271">
        <f t="shared" si="52"/>
        <v>50710</v>
      </c>
      <c r="AD169" s="44">
        <f>+L169*VLOOKUP($AB169,'Peak Loads - 2022-2024'!$L$4:$M$15,2)</f>
        <v>85.399373981830038</v>
      </c>
      <c r="AE169" s="44">
        <f>+M169*VLOOKUP($AB169,'Peak Loads - 2022-2024'!$L$4:$M$15,2)</f>
        <v>68.520337672978386</v>
      </c>
      <c r="AF169" s="44">
        <f>+K169*VLOOKUP($AB169,'Peak Loads - 2022-2024'!$L$4:$M$15,2)</f>
        <v>77.006552658947257</v>
      </c>
      <c r="AG169" s="44"/>
    </row>
    <row r="170" spans="5:33" x14ac:dyDescent="0.2">
      <c r="E170" s="175"/>
      <c r="H170">
        <f t="shared" si="49"/>
        <v>2038</v>
      </c>
      <c r="I170">
        <f t="shared" si="47"/>
        <v>12</v>
      </c>
      <c r="J170" s="268">
        <v>50740</v>
      </c>
      <c r="K170" s="44">
        <f>+SUMIFS('Monthly Energy Data'!AE$8:AE$595,'Monthly Energy Data'!$D$8:$D$595,'Peak Load Projections'!$H170,'Monthly Energy Data'!$E$8:$E$595,'Peak Load Projections'!$I170)*VLOOKUP($I170,$A$3:$E$14,5)</f>
        <v>118.62481901982505</v>
      </c>
      <c r="L170" s="44">
        <f>+SUMIFS('Monthly Energy Data'!AF$8:AF$595,'Monthly Energy Data'!$D$8:$D$595,'Peak Load Projections'!$H170,'Monthly Energy Data'!$E$8:$E$595,'Peak Load Projections'!$I170)*VLOOKUP($I170,$A$3:$E$14,5)</f>
        <v>130.00577851960682</v>
      </c>
      <c r="M170" s="44">
        <f>+SUMIFS('Monthly Energy Data'!AG$8:AG$595,'Monthly Energy Data'!$D$8:$D$595,'Peak Load Projections'!$H170,'Monthly Energy Data'!$E$8:$E$595,'Peak Load Projections'!$I170)*VLOOKUP($I170,$A$3:$E$14,5)</f>
        <v>105.88525106464803</v>
      </c>
      <c r="N170" s="44">
        <f t="shared" si="50"/>
        <v>117.94551479212743</v>
      </c>
      <c r="O170" s="269" t="str">
        <f t="shared" si="48"/>
        <v>W</v>
      </c>
      <c r="AA170">
        <f t="shared" si="53"/>
        <v>2038</v>
      </c>
      <c r="AB170">
        <f t="shared" si="51"/>
        <v>12</v>
      </c>
      <c r="AC170" s="271">
        <f t="shared" si="52"/>
        <v>50740</v>
      </c>
      <c r="AD170" s="44">
        <f>+L170*VLOOKUP($AB170,'Peak Loads - 2022-2024'!$L$4:$M$15,2)</f>
        <v>111.37994210306705</v>
      </c>
      <c r="AE170" s="44">
        <f>+M170*VLOOKUP($AB170,'Peak Loads - 2022-2024'!$L$4:$M$15,2)</f>
        <v>90.715145645395921</v>
      </c>
      <c r="AF170" s="44">
        <f>+K170*VLOOKUP($AB170,'Peak Loads - 2022-2024'!$L$4:$M$15,2)</f>
        <v>101.6295246631848</v>
      </c>
      <c r="AG170" s="44"/>
    </row>
    <row r="171" spans="5:33" x14ac:dyDescent="0.2">
      <c r="E171" s="175"/>
      <c r="H171">
        <f t="shared" si="49"/>
        <v>2039</v>
      </c>
      <c r="I171">
        <f t="shared" si="47"/>
        <v>1</v>
      </c>
      <c r="J171" s="268">
        <v>50771</v>
      </c>
      <c r="K171" s="44">
        <f>+SUMIFS('Monthly Energy Data'!AE$8:AE$595,'Monthly Energy Data'!$D$8:$D$595,'Peak Load Projections'!$H171,'Monthly Energy Data'!$E$8:$E$595,'Peak Load Projections'!$I171)*VLOOKUP($I171,$A$3:$E$14,5)</f>
        <v>121.38055867104728</v>
      </c>
      <c r="L171" s="44">
        <f>+SUMIFS('Monthly Energy Data'!AF$8:AF$595,'Monthly Energy Data'!$D$8:$D$595,'Peak Load Projections'!$H171,'Monthly Energy Data'!$E$8:$E$595,'Peak Load Projections'!$I171)*VLOOKUP($I171,$A$3:$E$14,5)</f>
        <v>134.32304953634701</v>
      </c>
      <c r="M171" s="44">
        <f>+SUMIFS('Monthly Energy Data'!AG$8:AG$595,'Monthly Energy Data'!$D$8:$D$595,'Peak Load Projections'!$H171,'Monthly Energy Data'!$E$8:$E$595,'Peak Load Projections'!$I171)*VLOOKUP($I171,$A$3:$E$14,5)</f>
        <v>108.72694210646121</v>
      </c>
      <c r="N171" s="44">
        <f t="shared" si="50"/>
        <v>121.5249958214041</v>
      </c>
      <c r="O171" s="269" t="str">
        <f t="shared" si="48"/>
        <v>W</v>
      </c>
      <c r="AA171">
        <f t="shared" si="53"/>
        <v>2039</v>
      </c>
      <c r="AB171">
        <f t="shared" si="51"/>
        <v>1</v>
      </c>
      <c r="AC171" s="271">
        <f t="shared" si="52"/>
        <v>50771</v>
      </c>
      <c r="AD171" s="44">
        <f>+L171*VLOOKUP($AB171,'Peak Loads - 2022-2024'!$L$4:$M$15,2)</f>
        <v>118.85135858185549</v>
      </c>
      <c r="AE171" s="44">
        <f>+M171*VLOOKUP($AB171,'Peak Loads - 2022-2024'!$L$4:$M$15,2)</f>
        <v>96.203479807886254</v>
      </c>
      <c r="AF171" s="44">
        <f>+K171*VLOOKUP($AB171,'Peak Loads - 2022-2024'!$L$4:$M$15,2)</f>
        <v>107.3996187048667</v>
      </c>
      <c r="AG171" s="44"/>
    </row>
    <row r="172" spans="5:33" x14ac:dyDescent="0.2">
      <c r="E172" s="175"/>
      <c r="H172">
        <f t="shared" si="49"/>
        <v>2039</v>
      </c>
      <c r="I172">
        <f t="shared" si="47"/>
        <v>2</v>
      </c>
      <c r="J172" s="268">
        <v>50802</v>
      </c>
      <c r="K172" s="44">
        <f>+SUMIFS('Monthly Energy Data'!AE$8:AE$595,'Monthly Energy Data'!$D$8:$D$595,'Peak Load Projections'!$H172,'Monthly Energy Data'!$E$8:$E$595,'Peak Load Projections'!$I172)*VLOOKUP($I172,$A$3:$E$14,5)</f>
        <v>115.27572449851979</v>
      </c>
      <c r="L172" s="44">
        <f>+SUMIFS('Monthly Energy Data'!AF$8:AF$595,'Monthly Energy Data'!$D$8:$D$595,'Peak Load Projections'!$H172,'Monthly Energy Data'!$E$8:$E$595,'Peak Load Projections'!$I172)*VLOOKUP($I172,$A$3:$E$14,5)</f>
        <v>125.91816313810871</v>
      </c>
      <c r="M172" s="44">
        <f>+SUMIFS('Monthly Energy Data'!AG$8:AG$595,'Monthly Energy Data'!$D$8:$D$595,'Peak Load Projections'!$H172,'Monthly Energy Data'!$E$8:$E$595,'Peak Load Projections'!$I172)*VLOOKUP($I172,$A$3:$E$14,5)</f>
        <v>102.49289054617537</v>
      </c>
      <c r="N172" s="44">
        <f t="shared" si="50"/>
        <v>114.20552684214204</v>
      </c>
      <c r="O172" s="269" t="str">
        <f t="shared" si="48"/>
        <v>W</v>
      </c>
      <c r="AA172">
        <f t="shared" si="53"/>
        <v>2039</v>
      </c>
      <c r="AB172">
        <f t="shared" si="51"/>
        <v>2</v>
      </c>
      <c r="AC172" s="271">
        <f t="shared" si="52"/>
        <v>50802</v>
      </c>
      <c r="AD172" s="44">
        <f>+L172*VLOOKUP($AB172,'Peak Loads - 2022-2024'!$L$4:$M$15,2)</f>
        <v>100.42308264929515</v>
      </c>
      <c r="AE172" s="44">
        <f>+M172*VLOOKUP($AB172,'Peak Loads - 2022-2024'!$L$4:$M$15,2)</f>
        <v>81.740804994070743</v>
      </c>
      <c r="AF172" s="44">
        <f>+K172*VLOOKUP($AB172,'Peak Loads - 2022-2024'!$L$4:$M$15,2)</f>
        <v>91.935454903953314</v>
      </c>
      <c r="AG172" s="44"/>
    </row>
    <row r="173" spans="5:33" x14ac:dyDescent="0.2">
      <c r="E173" s="175"/>
      <c r="H173">
        <f t="shared" si="49"/>
        <v>2039</v>
      </c>
      <c r="I173">
        <f t="shared" si="47"/>
        <v>3</v>
      </c>
      <c r="J173" s="268">
        <v>50830</v>
      </c>
      <c r="K173" s="44">
        <f>+SUMIFS('Monthly Energy Data'!AE$8:AE$595,'Monthly Energy Data'!$D$8:$D$595,'Peak Load Projections'!$H173,'Monthly Energy Data'!$E$8:$E$595,'Peak Load Projections'!$I173)*VLOOKUP($I173,$A$3:$E$14,5)</f>
        <v>101.58585093095475</v>
      </c>
      <c r="L173" s="44">
        <f>+SUMIFS('Monthly Energy Data'!AF$8:AF$595,'Monthly Energy Data'!$D$8:$D$595,'Peak Load Projections'!$H173,'Monthly Energy Data'!$E$8:$E$595,'Peak Load Projections'!$I173)*VLOOKUP($I173,$A$3:$E$14,5)</f>
        <v>109.28799653454851</v>
      </c>
      <c r="M173" s="44">
        <f>+SUMIFS('Monthly Energy Data'!AG$8:AG$595,'Monthly Energy Data'!$D$8:$D$595,'Peak Load Projections'!$H173,'Monthly Energy Data'!$E$8:$E$595,'Peak Load Projections'!$I173)*VLOOKUP($I173,$A$3:$E$14,5)</f>
        <v>91.177468771756025</v>
      </c>
      <c r="N173" s="44">
        <f t="shared" si="50"/>
        <v>100.23273265315227</v>
      </c>
      <c r="O173" s="269" t="str">
        <f t="shared" si="48"/>
        <v>W</v>
      </c>
      <c r="AA173">
        <f t="shared" si="53"/>
        <v>2039</v>
      </c>
      <c r="AB173">
        <f t="shared" si="51"/>
        <v>3</v>
      </c>
      <c r="AC173" s="271">
        <f t="shared" si="52"/>
        <v>50830</v>
      </c>
      <c r="AD173" s="44">
        <f>+L173*VLOOKUP($AB173,'Peak Loads - 2022-2024'!$L$4:$M$15,2)</f>
        <v>77.998164739366032</v>
      </c>
      <c r="AE173" s="44">
        <f>+M173*VLOOKUP($AB173,'Peak Loads - 2022-2024'!$L$4:$M$15,2)</f>
        <v>65.072793493196301</v>
      </c>
      <c r="AF173" s="44">
        <f>+K173*VLOOKUP($AB173,'Peak Loads - 2022-2024'!$L$4:$M$15,2)</f>
        <v>72.501191231888669</v>
      </c>
      <c r="AG173" s="44"/>
    </row>
    <row r="174" spans="5:33" x14ac:dyDescent="0.2">
      <c r="E174" s="175"/>
      <c r="H174">
        <f t="shared" si="49"/>
        <v>2039</v>
      </c>
      <c r="I174">
        <f t="shared" si="47"/>
        <v>4</v>
      </c>
      <c r="J174" s="268">
        <v>50861</v>
      </c>
      <c r="K174" s="44">
        <f>+SUMIFS('Monthly Energy Data'!AE$8:AE$595,'Monthly Energy Data'!$D$8:$D$595,'Peak Load Projections'!$H174,'Monthly Energy Data'!$E$8:$E$595,'Peak Load Projections'!$I174)*VLOOKUP($I174,$A$3:$E$14,5)</f>
        <v>98.822620926872872</v>
      </c>
      <c r="L174" s="44">
        <f>+SUMIFS('Monthly Energy Data'!AF$8:AF$595,'Monthly Energy Data'!$D$8:$D$595,'Peak Load Projections'!$H174,'Monthly Energy Data'!$E$8:$E$595,'Peak Load Projections'!$I174)*VLOOKUP($I174,$A$3:$E$14,5)</f>
        <v>104.03795300671176</v>
      </c>
      <c r="M174" s="44">
        <f>+SUMIFS('Monthly Energy Data'!AG$8:AG$595,'Monthly Energy Data'!$D$8:$D$595,'Peak Load Projections'!$H174,'Monthly Energy Data'!$E$8:$E$595,'Peak Load Projections'!$I174)*VLOOKUP($I174,$A$3:$E$14,5)</f>
        <v>87.833569715041776</v>
      </c>
      <c r="N174" s="44">
        <f t="shared" si="50"/>
        <v>95.935761360876768</v>
      </c>
      <c r="O174" s="269" t="str">
        <f t="shared" si="48"/>
        <v>W</v>
      </c>
      <c r="AA174">
        <f t="shared" si="53"/>
        <v>2039</v>
      </c>
      <c r="AB174">
        <f t="shared" si="51"/>
        <v>4</v>
      </c>
      <c r="AC174" s="271">
        <f t="shared" si="52"/>
        <v>50861</v>
      </c>
      <c r="AD174" s="44">
        <f>+L174*VLOOKUP($AB174,'Peak Loads - 2022-2024'!$L$4:$M$15,2)</f>
        <v>72.590910236631416</v>
      </c>
      <c r="AE174" s="44">
        <f>+M174*VLOOKUP($AB174,'Peak Loads - 2022-2024'!$L$4:$M$15,2)</f>
        <v>61.284546559044443</v>
      </c>
      <c r="AF174" s="44">
        <f>+K174*VLOOKUP($AB174,'Peak Loads - 2022-2024'!$L$4:$M$15,2)</f>
        <v>68.951991054538453</v>
      </c>
      <c r="AG174" s="44"/>
    </row>
    <row r="175" spans="5:33" x14ac:dyDescent="0.2">
      <c r="E175" s="175"/>
      <c r="H175">
        <f t="shared" si="49"/>
        <v>2039</v>
      </c>
      <c r="I175">
        <f t="shared" si="47"/>
        <v>5</v>
      </c>
      <c r="J175" s="268">
        <v>50891</v>
      </c>
      <c r="K175" s="44">
        <f>+SUMIFS('Monthly Energy Data'!AE$8:AE$595,'Monthly Energy Data'!$D$8:$D$595,'Peak Load Projections'!$H175,'Monthly Energy Data'!$E$8:$E$595,'Peak Load Projections'!$I175)*VLOOKUP($I175,$A$3:$E$14,5)</f>
        <v>84.664522740342576</v>
      </c>
      <c r="L175" s="44">
        <f>+SUMIFS('Monthly Energy Data'!AF$8:AF$595,'Monthly Energy Data'!$D$8:$D$595,'Peak Load Projections'!$H175,'Monthly Energy Data'!$E$8:$E$595,'Peak Load Projections'!$I175)*VLOOKUP($I175,$A$3:$E$14,5)</f>
        <v>86.926553664439268</v>
      </c>
      <c r="M175" s="44">
        <f>+SUMIFS('Monthly Energy Data'!AG$8:AG$595,'Monthly Energy Data'!$D$8:$D$595,'Peak Load Projections'!$H175,'Monthly Energy Data'!$E$8:$E$595,'Peak Load Projections'!$I175)*VLOOKUP($I175,$A$3:$E$14,5)</f>
        <v>75.797339845131006</v>
      </c>
      <c r="N175" s="44">
        <f t="shared" si="50"/>
        <v>81.361946754785137</v>
      </c>
      <c r="O175" s="269" t="str">
        <f t="shared" si="48"/>
        <v>W</v>
      </c>
      <c r="AA175">
        <f t="shared" si="53"/>
        <v>2039</v>
      </c>
      <c r="AB175">
        <f t="shared" si="51"/>
        <v>5</v>
      </c>
      <c r="AC175" s="271">
        <f t="shared" si="52"/>
        <v>50891</v>
      </c>
      <c r="AD175" s="44">
        <f>+L175*VLOOKUP($AB175,'Peak Loads - 2022-2024'!$L$4:$M$15,2)</f>
        <v>61.904658417152596</v>
      </c>
      <c r="AE175" s="44">
        <f>+M175*VLOOKUP($AB175,'Peak Loads - 2022-2024'!$L$4:$M$15,2)</f>
        <v>53.978999905539773</v>
      </c>
      <c r="AF175" s="44">
        <f>+K175*VLOOKUP($AB175,'Peak Loads - 2022-2024'!$L$4:$M$15,2)</f>
        <v>60.293755352643707</v>
      </c>
      <c r="AG175" s="44"/>
    </row>
    <row r="176" spans="5:33" x14ac:dyDescent="0.2">
      <c r="E176" s="175"/>
      <c r="H176">
        <f t="shared" si="49"/>
        <v>2039</v>
      </c>
      <c r="I176">
        <f t="shared" si="47"/>
        <v>6</v>
      </c>
      <c r="J176" s="268">
        <v>50922</v>
      </c>
      <c r="K176" s="44">
        <f>+SUMIFS('Monthly Energy Data'!AE$8:AE$595,'Monthly Energy Data'!$D$8:$D$595,'Peak Load Projections'!$H176,'Monthly Energy Data'!$E$8:$E$595,'Peak Load Projections'!$I176)*VLOOKUP($I176,$A$3:$E$14,5)</f>
        <v>104.10018501744335</v>
      </c>
      <c r="L176" s="44">
        <f>+SUMIFS('Monthly Energy Data'!AF$8:AF$595,'Monthly Energy Data'!$D$8:$D$595,'Peak Load Projections'!$H176,'Monthly Energy Data'!$E$8:$E$595,'Peak Load Projections'!$I176)*VLOOKUP($I176,$A$3:$E$14,5)</f>
        <v>107.61174748711623</v>
      </c>
      <c r="M176" s="44">
        <f>+SUMIFS('Monthly Energy Data'!AG$8:AG$595,'Monthly Energy Data'!$D$8:$D$595,'Peak Load Projections'!$H176,'Monthly Energy Data'!$E$8:$E$595,'Peak Load Projections'!$I176)*VLOOKUP($I176,$A$3:$E$14,5)</f>
        <v>93.865833973513702</v>
      </c>
      <c r="N176" s="44">
        <f t="shared" si="50"/>
        <v>100.73879073031497</v>
      </c>
      <c r="O176" s="269" t="str">
        <f t="shared" si="48"/>
        <v>S</v>
      </c>
      <c r="AA176">
        <f t="shared" si="53"/>
        <v>2039</v>
      </c>
      <c r="AB176">
        <f t="shared" si="51"/>
        <v>6</v>
      </c>
      <c r="AC176" s="271">
        <f t="shared" si="52"/>
        <v>50922</v>
      </c>
      <c r="AD176" s="44">
        <f>+L176*VLOOKUP($AB176,'Peak Loads - 2022-2024'!$L$4:$M$15,2)</f>
        <v>91.465331462200609</v>
      </c>
      <c r="AE176" s="44">
        <f>+M176*VLOOKUP($AB176,'Peak Loads - 2022-2024'!$L$4:$M$15,2)</f>
        <v>79.781899447281191</v>
      </c>
      <c r="AF176" s="44">
        <f>+K176*VLOOKUP($AB176,'Peak Loads - 2022-2024'!$L$4:$M$15,2)</f>
        <v>88.480655228062631</v>
      </c>
      <c r="AG176" s="44"/>
    </row>
    <row r="177" spans="5:33" x14ac:dyDescent="0.2">
      <c r="E177" s="175"/>
      <c r="H177">
        <f t="shared" si="49"/>
        <v>2039</v>
      </c>
      <c r="I177">
        <f t="shared" si="47"/>
        <v>7</v>
      </c>
      <c r="J177" s="268">
        <v>50952</v>
      </c>
      <c r="K177" s="44">
        <f>+SUMIFS('Monthly Energy Data'!AE$8:AE$595,'Monthly Energy Data'!$D$8:$D$595,'Peak Load Projections'!$H177,'Monthly Energy Data'!$E$8:$E$595,'Peak Load Projections'!$I177)*VLOOKUP($I177,$A$3:$E$14,5)</f>
        <v>107.11460797171208</v>
      </c>
      <c r="L177" s="44">
        <f>+SUMIFS('Monthly Energy Data'!AF$8:AF$595,'Monthly Energy Data'!$D$8:$D$595,'Peak Load Projections'!$H177,'Monthly Energy Data'!$E$8:$E$595,'Peak Load Projections'!$I177)*VLOOKUP($I177,$A$3:$E$14,5)</f>
        <v>113.04308466147251</v>
      </c>
      <c r="M177" s="44">
        <f>+SUMIFS('Monthly Energy Data'!AG$8:AG$595,'Monthly Energy Data'!$D$8:$D$595,'Peak Load Projections'!$H177,'Monthly Energy Data'!$E$8:$E$595,'Peak Load Projections'!$I177)*VLOOKUP($I177,$A$3:$E$14,5)</f>
        <v>97.706330785502985</v>
      </c>
      <c r="N177" s="44">
        <f t="shared" si="50"/>
        <v>105.37470772348775</v>
      </c>
      <c r="O177" s="269" t="str">
        <f t="shared" si="48"/>
        <v>S</v>
      </c>
      <c r="AA177">
        <f t="shared" si="53"/>
        <v>2039</v>
      </c>
      <c r="AB177">
        <f t="shared" si="51"/>
        <v>7</v>
      </c>
      <c r="AC177" s="271">
        <f t="shared" si="52"/>
        <v>50952</v>
      </c>
      <c r="AD177" s="44">
        <f>+L177*VLOOKUP($AB177,'Peak Loads - 2022-2024'!$L$4:$M$15,2)</f>
        <v>81.097380200847368</v>
      </c>
      <c r="AE177" s="44">
        <f>+M177*VLOOKUP($AB177,'Peak Loads - 2022-2024'!$L$4:$M$15,2)</f>
        <v>70.094756167267519</v>
      </c>
      <c r="AF177" s="44">
        <f>+K177*VLOOKUP($AB177,'Peak Loads - 2022-2024'!$L$4:$M$15,2)</f>
        <v>76.844276797298591</v>
      </c>
      <c r="AG177" s="44"/>
    </row>
    <row r="178" spans="5:33" x14ac:dyDescent="0.2">
      <c r="E178" s="175"/>
      <c r="H178">
        <f t="shared" si="49"/>
        <v>2039</v>
      </c>
      <c r="I178">
        <f t="shared" si="47"/>
        <v>8</v>
      </c>
      <c r="J178" s="268">
        <v>50983</v>
      </c>
      <c r="K178" s="44">
        <f>+SUMIFS('Monthly Energy Data'!AE$8:AE$595,'Monthly Energy Data'!$D$8:$D$595,'Peak Load Projections'!$H178,'Monthly Energy Data'!$E$8:$E$595,'Peak Load Projections'!$I178)*VLOOKUP($I178,$A$3:$E$14,5)</f>
        <v>105.18004946795635</v>
      </c>
      <c r="L178" s="44">
        <f>+SUMIFS('Monthly Energy Data'!AF$8:AF$595,'Monthly Energy Data'!$D$8:$D$595,'Peak Load Projections'!$H178,'Monthly Energy Data'!$E$8:$E$595,'Peak Load Projections'!$I178)*VLOOKUP($I178,$A$3:$E$14,5)</f>
        <v>109.92677383186525</v>
      </c>
      <c r="M178" s="44">
        <f>+SUMIFS('Monthly Energy Data'!AG$8:AG$595,'Monthly Energy Data'!$D$8:$D$595,'Peak Load Projections'!$H178,'Monthly Energy Data'!$E$8:$E$595,'Peak Load Projections'!$I178)*VLOOKUP($I178,$A$3:$E$14,5)</f>
        <v>95.689275751728331</v>
      </c>
      <c r="N178" s="44">
        <f t="shared" si="50"/>
        <v>102.80802479179678</v>
      </c>
      <c r="O178" s="269" t="str">
        <f t="shared" si="48"/>
        <v>S</v>
      </c>
      <c r="AA178">
        <f t="shared" si="53"/>
        <v>2039</v>
      </c>
      <c r="AB178">
        <f t="shared" si="51"/>
        <v>8</v>
      </c>
      <c r="AC178" s="271">
        <f t="shared" si="52"/>
        <v>50983</v>
      </c>
      <c r="AD178" s="44">
        <f>+L178*VLOOKUP($AB178,'Peak Loads - 2022-2024'!$L$4:$M$15,2)</f>
        <v>78.620915382614243</v>
      </c>
      <c r="AE178" s="44">
        <f>+M178*VLOOKUP($AB178,'Peak Loads - 2022-2024'!$L$4:$M$15,2)</f>
        <v>68.438090099934129</v>
      </c>
      <c r="AF178" s="44">
        <f>+K178*VLOOKUP($AB178,'Peak Loads - 2022-2024'!$L$4:$M$15,2)</f>
        <v>75.226002555187165</v>
      </c>
      <c r="AG178" s="44"/>
    </row>
    <row r="179" spans="5:33" x14ac:dyDescent="0.2">
      <c r="E179" s="175"/>
      <c r="H179">
        <f t="shared" si="49"/>
        <v>2039</v>
      </c>
      <c r="I179">
        <f t="shared" si="47"/>
        <v>9</v>
      </c>
      <c r="J179" s="268">
        <v>51014</v>
      </c>
      <c r="K179" s="44">
        <f>+SUMIFS('Monthly Energy Data'!AE$8:AE$595,'Monthly Energy Data'!$D$8:$D$595,'Peak Load Projections'!$H179,'Monthly Energy Data'!$E$8:$E$595,'Peak Load Projections'!$I179)*VLOOKUP($I179,$A$3:$E$14,5)</f>
        <v>89.16074212124137</v>
      </c>
      <c r="L179" s="44">
        <f>+SUMIFS('Monthly Energy Data'!AF$8:AF$595,'Monthly Energy Data'!$D$8:$D$595,'Peak Load Projections'!$H179,'Monthly Energy Data'!$E$8:$E$595,'Peak Load Projections'!$I179)*VLOOKUP($I179,$A$3:$E$14,5)</f>
        <v>92.696814514159243</v>
      </c>
      <c r="M179" s="44">
        <f>+SUMIFS('Monthly Energy Data'!AG$8:AG$595,'Monthly Energy Data'!$D$8:$D$595,'Peak Load Projections'!$H179,'Monthly Energy Data'!$E$8:$E$595,'Peak Load Projections'!$I179)*VLOOKUP($I179,$A$3:$E$14,5)</f>
        <v>80.15801328970565</v>
      </c>
      <c r="N179" s="44">
        <f t="shared" si="50"/>
        <v>86.427413901932454</v>
      </c>
      <c r="O179" s="269" t="str">
        <f t="shared" si="48"/>
        <v>S</v>
      </c>
      <c r="AA179">
        <f t="shared" si="53"/>
        <v>2039</v>
      </c>
      <c r="AB179">
        <f t="shared" si="51"/>
        <v>9</v>
      </c>
      <c r="AC179" s="271">
        <f t="shared" si="52"/>
        <v>51014</v>
      </c>
      <c r="AD179" s="44">
        <f>+L179*VLOOKUP($AB179,'Peak Loads - 2022-2024'!$L$4:$M$15,2)</f>
        <v>66.291430211970763</v>
      </c>
      <c r="AE179" s="44">
        <f>+M179*VLOOKUP($AB179,'Peak Loads - 2022-2024'!$L$4:$M$15,2)</f>
        <v>57.324400755034318</v>
      </c>
      <c r="AF179" s="44">
        <f>+K179*VLOOKUP($AB179,'Peak Loads - 2022-2024'!$L$4:$M$15,2)</f>
        <v>63.762634616478252</v>
      </c>
      <c r="AG179" s="44"/>
    </row>
    <row r="180" spans="5:33" x14ac:dyDescent="0.2">
      <c r="E180" s="175"/>
      <c r="H180">
        <f t="shared" si="49"/>
        <v>2039</v>
      </c>
      <c r="I180">
        <f t="shared" si="47"/>
        <v>10</v>
      </c>
      <c r="J180" s="268">
        <v>51044</v>
      </c>
      <c r="K180" s="44">
        <f>+SUMIFS('Monthly Energy Data'!AE$8:AE$595,'Monthly Energy Data'!$D$8:$D$595,'Peak Load Projections'!$H180,'Monthly Energy Data'!$E$8:$E$595,'Peak Load Projections'!$I180)*VLOOKUP($I180,$A$3:$E$14,5)</f>
        <v>86.827271939802372</v>
      </c>
      <c r="L180" s="44">
        <f>+SUMIFS('Monthly Energy Data'!AF$8:AF$595,'Monthly Energy Data'!$D$8:$D$595,'Peak Load Projections'!$H180,'Monthly Energy Data'!$E$8:$E$595,'Peak Load Projections'!$I180)*VLOOKUP($I180,$A$3:$E$14,5)</f>
        <v>92.455996867133067</v>
      </c>
      <c r="M180" s="44">
        <f>+SUMIFS('Monthly Energy Data'!AG$8:AG$595,'Monthly Energy Data'!$D$8:$D$595,'Peak Load Projections'!$H180,'Monthly Energy Data'!$E$8:$E$595,'Peak Load Projections'!$I180)*VLOOKUP($I180,$A$3:$E$14,5)</f>
        <v>78.465381953244957</v>
      </c>
      <c r="N180" s="44">
        <f t="shared" si="50"/>
        <v>85.460689410189019</v>
      </c>
      <c r="O180" s="269" t="str">
        <f t="shared" si="48"/>
        <v>W</v>
      </c>
      <c r="AA180">
        <f t="shared" si="53"/>
        <v>2039</v>
      </c>
      <c r="AB180">
        <f t="shared" si="51"/>
        <v>10</v>
      </c>
      <c r="AC180" s="271">
        <f t="shared" si="52"/>
        <v>51044</v>
      </c>
      <c r="AD180" s="44">
        <f>+L180*VLOOKUP($AB180,'Peak Loads - 2022-2024'!$L$4:$M$15,2)</f>
        <v>64.222897703291636</v>
      </c>
      <c r="AE180" s="44">
        <f>+M180*VLOOKUP($AB180,'Peak Loads - 2022-2024'!$L$4:$M$15,2)</f>
        <v>54.504568326431126</v>
      </c>
      <c r="AF180" s="44">
        <f>+K180*VLOOKUP($AB180,'Peak Loads - 2022-2024'!$L$4:$M$15,2)</f>
        <v>60.313005025076052</v>
      </c>
      <c r="AG180" s="44"/>
    </row>
    <row r="181" spans="5:33" x14ac:dyDescent="0.2">
      <c r="E181" s="175"/>
      <c r="H181">
        <f t="shared" si="49"/>
        <v>2039</v>
      </c>
      <c r="I181">
        <f t="shared" si="47"/>
        <v>11</v>
      </c>
      <c r="J181" s="268">
        <v>51075</v>
      </c>
      <c r="K181" s="44">
        <f>+SUMIFS('Monthly Energy Data'!AE$8:AE$595,'Monthly Energy Data'!$D$8:$D$595,'Peak Load Projections'!$H181,'Monthly Energy Data'!$E$8:$E$595,'Peak Load Projections'!$I181)*VLOOKUP($I181,$A$3:$E$14,5)</f>
        <v>109.09123432988045</v>
      </c>
      <c r="L181" s="44">
        <f>+SUMIFS('Monthly Energy Data'!AF$8:AF$595,'Monthly Energy Data'!$D$8:$D$595,'Peak Load Projections'!$H181,'Monthly Energy Data'!$E$8:$E$595,'Peak Load Projections'!$I181)*VLOOKUP($I181,$A$3:$E$14,5)</f>
        <v>123.05840727374738</v>
      </c>
      <c r="M181" s="44">
        <f>+SUMIFS('Monthly Energy Data'!AG$8:AG$595,'Monthly Energy Data'!$D$8:$D$595,'Peak Load Projections'!$H181,'Monthly Energy Data'!$E$8:$E$595,'Peak Load Projections'!$I181)*VLOOKUP($I181,$A$3:$E$14,5)</f>
        <v>98.229381628873668</v>
      </c>
      <c r="N181" s="44">
        <f t="shared" si="50"/>
        <v>110.64389445131053</v>
      </c>
      <c r="O181" s="269" t="str">
        <f t="shared" si="48"/>
        <v>W</v>
      </c>
      <c r="AA181">
        <f t="shared" si="53"/>
        <v>2039</v>
      </c>
      <c r="AB181">
        <f t="shared" si="51"/>
        <v>11</v>
      </c>
      <c r="AC181" s="271">
        <f t="shared" si="52"/>
        <v>51075</v>
      </c>
      <c r="AD181" s="44">
        <f>+L181*VLOOKUP($AB181,'Peak Loads - 2022-2024'!$L$4:$M$15,2)</f>
        <v>87.52487202347308</v>
      </c>
      <c r="AE181" s="44">
        <f>+M181*VLOOKUP($AB181,'Peak Loads - 2022-2024'!$L$4:$M$15,2)</f>
        <v>69.865312305616143</v>
      </c>
      <c r="AF181" s="44">
        <f>+K181*VLOOKUP($AB181,'Peak Loads - 2022-2024'!$L$4:$M$15,2)</f>
        <v>77.590767954319702</v>
      </c>
      <c r="AG181" s="44"/>
    </row>
    <row r="182" spans="5:33" x14ac:dyDescent="0.2">
      <c r="E182" s="175"/>
      <c r="H182">
        <f t="shared" si="49"/>
        <v>2039</v>
      </c>
      <c r="I182">
        <f t="shared" si="47"/>
        <v>12</v>
      </c>
      <c r="J182" s="268">
        <v>51105</v>
      </c>
      <c r="K182" s="44">
        <f>+SUMIFS('Monthly Energy Data'!AE$8:AE$595,'Monthly Energy Data'!$D$8:$D$595,'Peak Load Projections'!$H182,'Monthly Energy Data'!$E$8:$E$595,'Peak Load Projections'!$I182)*VLOOKUP($I182,$A$3:$E$14,5)</f>
        <v>119.54262873217229</v>
      </c>
      <c r="L182" s="44">
        <f>+SUMIFS('Monthly Energy Data'!AF$8:AF$595,'Monthly Energy Data'!$D$8:$D$595,'Peak Load Projections'!$H182,'Monthly Energy Data'!$E$8:$E$595,'Peak Load Projections'!$I182)*VLOOKUP($I182,$A$3:$E$14,5)</f>
        <v>133.17128976366939</v>
      </c>
      <c r="M182" s="44">
        <f>+SUMIFS('Monthly Energy Data'!AG$8:AG$595,'Monthly Energy Data'!$D$8:$D$595,'Peak Load Projections'!$H182,'Monthly Energy Data'!$E$8:$E$595,'Peak Load Projections'!$I182)*VLOOKUP($I182,$A$3:$E$14,5)</f>
        <v>107.9220572630956</v>
      </c>
      <c r="N182" s="44">
        <f t="shared" si="50"/>
        <v>120.5466735133825</v>
      </c>
      <c r="O182" s="269" t="str">
        <f t="shared" si="48"/>
        <v>W</v>
      </c>
      <c r="AA182">
        <f t="shared" si="53"/>
        <v>2039</v>
      </c>
      <c r="AB182">
        <f t="shared" si="51"/>
        <v>12</v>
      </c>
      <c r="AC182" s="271">
        <f t="shared" si="52"/>
        <v>51105</v>
      </c>
      <c r="AD182" s="44">
        <f>+L182*VLOOKUP($AB182,'Peak Loads - 2022-2024'!$L$4:$M$15,2)</f>
        <v>114.09193277844402</v>
      </c>
      <c r="AE182" s="44">
        <f>+M182*VLOOKUP($AB182,'Peak Loads - 2022-2024'!$L$4:$M$15,2)</f>
        <v>92.460140052887155</v>
      </c>
      <c r="AF182" s="44">
        <f>+K182*VLOOKUP($AB182,'Peak Loads - 2022-2024'!$L$4:$M$15,2)</f>
        <v>102.41584042381425</v>
      </c>
      <c r="AG182" s="44"/>
    </row>
    <row r="183" spans="5:33" x14ac:dyDescent="0.2">
      <c r="E183" s="175"/>
      <c r="H183">
        <f t="shared" si="49"/>
        <v>2040</v>
      </c>
      <c r="I183">
        <f t="shared" si="47"/>
        <v>1</v>
      </c>
      <c r="J183" s="268">
        <v>51136</v>
      </c>
      <c r="K183" s="44">
        <f>+SUMIFS('Monthly Energy Data'!AE$8:AE$595,'Monthly Energy Data'!$D$8:$D$595,'Peak Load Projections'!$H183,'Monthly Energy Data'!$E$8:$E$595,'Peak Load Projections'!$I183)*VLOOKUP($I183,$A$3:$E$14,5)</f>
        <v>122.34132835151523</v>
      </c>
      <c r="L183" s="44">
        <f>+SUMIFS('Monthly Energy Data'!AF$8:AF$595,'Monthly Energy Data'!$D$8:$D$595,'Peak Load Projections'!$H183,'Monthly Energy Data'!$E$8:$E$595,'Peak Load Projections'!$I183)*VLOOKUP($I183,$A$3:$E$14,5)</f>
        <v>137.54358505377604</v>
      </c>
      <c r="M183" s="44">
        <f>+SUMIFS('Monthly Energy Data'!AG$8:AG$595,'Monthly Energy Data'!$D$8:$D$595,'Peak Load Projections'!$H183,'Monthly Energy Data'!$E$8:$E$595,'Peak Load Projections'!$I183)*VLOOKUP($I183,$A$3:$E$14,5)</f>
        <v>110.82623031343803</v>
      </c>
      <c r="N183" s="44">
        <f t="shared" si="50"/>
        <v>124.18490768360704</v>
      </c>
      <c r="O183" s="269" t="str">
        <f t="shared" si="48"/>
        <v>W</v>
      </c>
      <c r="AA183">
        <f t="shared" si="53"/>
        <v>2040</v>
      </c>
      <c r="AB183">
        <f t="shared" si="51"/>
        <v>1</v>
      </c>
      <c r="AC183" s="271">
        <f t="shared" si="52"/>
        <v>51136</v>
      </c>
      <c r="AD183" s="44">
        <f>+L183*VLOOKUP($AB183,'Peak Loads - 2022-2024'!$L$4:$M$15,2)</f>
        <v>121.70094413644779</v>
      </c>
      <c r="AE183" s="44">
        <f>+M183*VLOOKUP($AB183,'Peak Loads - 2022-2024'!$L$4:$M$15,2)</f>
        <v>98.060966339909541</v>
      </c>
      <c r="AF183" s="44">
        <f>+K183*VLOOKUP($AB183,'Peak Loads - 2022-2024'!$L$4:$M$15,2)</f>
        <v>108.24972434348959</v>
      </c>
      <c r="AG183" s="44"/>
    </row>
    <row r="184" spans="5:33" x14ac:dyDescent="0.2">
      <c r="E184" s="175"/>
      <c r="H184">
        <f t="shared" si="49"/>
        <v>2040</v>
      </c>
      <c r="I184">
        <f t="shared" ref="I184:I247" si="54">+MONTH(J184)</f>
        <v>2</v>
      </c>
      <c r="J184" s="268">
        <v>51167</v>
      </c>
      <c r="K184" s="44">
        <f>+SUMIFS('Monthly Energy Data'!AE$8:AE$595,'Monthly Energy Data'!$D$8:$D$595,'Peak Load Projections'!$H184,'Monthly Energy Data'!$E$8:$E$595,'Peak Load Projections'!$I184)*VLOOKUP($I184,$A$3:$E$14,5)</f>
        <v>116.09270849285677</v>
      </c>
      <c r="L184" s="44">
        <f>+SUMIFS('Monthly Energy Data'!AF$8:AF$595,'Monthly Energy Data'!$D$8:$D$595,'Peak Load Projections'!$H184,'Monthly Energy Data'!$E$8:$E$595,'Peak Load Projections'!$I184)*VLOOKUP($I184,$A$3:$E$14,5)</f>
        <v>128.85188127394755</v>
      </c>
      <c r="M184" s="44">
        <f>+SUMIFS('Monthly Energy Data'!AG$8:AG$595,'Monthly Energy Data'!$D$8:$D$595,'Peak Load Projections'!$H184,'Monthly Energy Data'!$E$8:$E$595,'Peak Load Projections'!$I184)*VLOOKUP($I184,$A$3:$E$14,5)</f>
        <v>104.39512631412178</v>
      </c>
      <c r="N184" s="44">
        <f t="shared" si="50"/>
        <v>116.62350379403466</v>
      </c>
      <c r="O184" s="269" t="str">
        <f t="shared" si="48"/>
        <v>W</v>
      </c>
      <c r="AA184">
        <f t="shared" si="53"/>
        <v>2040</v>
      </c>
      <c r="AB184">
        <f t="shared" si="51"/>
        <v>2</v>
      </c>
      <c r="AC184" s="271">
        <f t="shared" si="52"/>
        <v>51167</v>
      </c>
      <c r="AD184" s="44">
        <f>+L184*VLOOKUP($AB184,'Peak Loads - 2022-2024'!$L$4:$M$15,2)</f>
        <v>102.76280085580953</v>
      </c>
      <c r="AE184" s="44">
        <f>+M184*VLOOKUP($AB184,'Peak Loads - 2022-2024'!$L$4:$M$15,2)</f>
        <v>83.2578885901315</v>
      </c>
      <c r="AF184" s="44">
        <f>+K184*VLOOKUP($AB184,'Peak Loads - 2022-2024'!$L$4:$M$15,2)</f>
        <v>92.587021359036271</v>
      </c>
      <c r="AG184" s="44"/>
    </row>
    <row r="185" spans="5:33" x14ac:dyDescent="0.2">
      <c r="E185" s="175"/>
      <c r="H185">
        <f t="shared" si="49"/>
        <v>2040</v>
      </c>
      <c r="I185">
        <f t="shared" si="54"/>
        <v>3</v>
      </c>
      <c r="J185" s="268">
        <v>51196</v>
      </c>
      <c r="K185" s="44">
        <f>+SUMIFS('Monthly Energy Data'!AE$8:AE$595,'Monthly Energy Data'!$D$8:$D$595,'Peak Load Projections'!$H185,'Monthly Energy Data'!$E$8:$E$595,'Peak Load Projections'!$I185)*VLOOKUP($I185,$A$3:$E$14,5)</f>
        <v>102.20606228810718</v>
      </c>
      <c r="L185" s="44">
        <f>+SUMIFS('Monthly Energy Data'!AF$8:AF$595,'Monthly Energy Data'!$D$8:$D$595,'Peak Load Projections'!$H185,'Monthly Energy Data'!$E$8:$E$595,'Peak Load Projections'!$I185)*VLOOKUP($I185,$A$3:$E$14,5)</f>
        <v>111.5521542108461</v>
      </c>
      <c r="M185" s="44">
        <f>+SUMIFS('Monthly Energy Data'!AG$8:AG$595,'Monthly Energy Data'!$D$8:$D$595,'Peak Load Projections'!$H185,'Monthly Energy Data'!$E$8:$E$595,'Peak Load Projections'!$I185)*VLOOKUP($I185,$A$3:$E$14,5)</f>
        <v>92.649687322006812</v>
      </c>
      <c r="N185" s="44">
        <f t="shared" si="50"/>
        <v>102.10092076642646</v>
      </c>
      <c r="O185" s="269" t="str">
        <f t="shared" si="48"/>
        <v>W</v>
      </c>
      <c r="AA185">
        <f t="shared" si="53"/>
        <v>2040</v>
      </c>
      <c r="AB185">
        <f t="shared" si="51"/>
        <v>3</v>
      </c>
      <c r="AC185" s="271">
        <f t="shared" si="52"/>
        <v>51196</v>
      </c>
      <c r="AD185" s="44">
        <f>+L185*VLOOKUP($AB185,'Peak Loads - 2022-2024'!$L$4:$M$15,2)</f>
        <v>79.614080018551618</v>
      </c>
      <c r="AE185" s="44">
        <f>+M185*VLOOKUP($AB185,'Peak Loads - 2022-2024'!$L$4:$M$15,2)</f>
        <v>66.123506733954727</v>
      </c>
      <c r="AF185" s="44">
        <f>+K185*VLOOKUP($AB185,'Peak Loads - 2022-2024'!$L$4:$M$15,2)</f>
        <v>72.943832227627922</v>
      </c>
      <c r="AG185" s="44"/>
    </row>
    <row r="186" spans="5:33" x14ac:dyDescent="0.2">
      <c r="E186" s="175"/>
      <c r="H186">
        <f t="shared" si="49"/>
        <v>2040</v>
      </c>
      <c r="I186">
        <f t="shared" si="54"/>
        <v>4</v>
      </c>
      <c r="J186" s="268">
        <v>51227</v>
      </c>
      <c r="K186" s="44">
        <f>+SUMIFS('Monthly Energy Data'!AE$8:AE$595,'Monthly Energy Data'!$D$8:$D$595,'Peak Load Projections'!$H186,'Monthly Energy Data'!$E$8:$E$595,'Peak Load Projections'!$I186)*VLOOKUP($I186,$A$3:$E$14,5)</f>
        <v>99.277081782133394</v>
      </c>
      <c r="L186" s="44">
        <f>+SUMIFS('Monthly Energy Data'!AF$8:AF$595,'Monthly Energy Data'!$D$8:$D$595,'Peak Load Projections'!$H186,'Monthly Energy Data'!$E$8:$E$595,'Peak Load Projections'!$I186)*VLOOKUP($I186,$A$3:$E$14,5)</f>
        <v>106.07691440263834</v>
      </c>
      <c r="M186" s="44">
        <f>+SUMIFS('Monthly Energy Data'!AG$8:AG$595,'Monthly Energy Data'!$D$8:$D$595,'Peak Load Projections'!$H186,'Monthly Energy Data'!$E$8:$E$595,'Peak Load Projections'!$I186)*VLOOKUP($I186,$A$3:$E$14,5)</f>
        <v>89.106756253585758</v>
      </c>
      <c r="N186" s="44">
        <f t="shared" si="50"/>
        <v>97.59183532811204</v>
      </c>
      <c r="O186" s="269" t="str">
        <f t="shared" si="48"/>
        <v>W</v>
      </c>
      <c r="AA186">
        <f t="shared" si="53"/>
        <v>2040</v>
      </c>
      <c r="AB186">
        <f t="shared" si="51"/>
        <v>4</v>
      </c>
      <c r="AC186" s="271">
        <f t="shared" si="52"/>
        <v>51227</v>
      </c>
      <c r="AD186" s="44">
        <f>+L186*VLOOKUP($AB186,'Peak Loads - 2022-2024'!$L$4:$M$15,2)</f>
        <v>74.013564752509041</v>
      </c>
      <c r="AE186" s="44">
        <f>+M186*VLOOKUP($AB186,'Peak Loads - 2022-2024'!$L$4:$M$15,2)</f>
        <v>62.172893235069211</v>
      </c>
      <c r="AF186" s="44">
        <f>+K186*VLOOKUP($AB186,'Peak Loads - 2022-2024'!$L$4:$M$15,2)</f>
        <v>69.269084251750357</v>
      </c>
      <c r="AG186" s="44"/>
    </row>
    <row r="187" spans="5:33" x14ac:dyDescent="0.2">
      <c r="E187" s="175"/>
      <c r="H187">
        <f t="shared" si="49"/>
        <v>2040</v>
      </c>
      <c r="I187">
        <f t="shared" si="54"/>
        <v>5</v>
      </c>
      <c r="J187" s="268">
        <v>51257</v>
      </c>
      <c r="K187" s="44">
        <f>+SUMIFS('Monthly Energy Data'!AE$8:AE$595,'Monthly Energy Data'!$D$8:$D$595,'Peak Load Projections'!$H187,'Monthly Energy Data'!$E$8:$E$595,'Peak Load Projections'!$I187)*VLOOKUP($I187,$A$3:$E$14,5)</f>
        <v>84.878912400347133</v>
      </c>
      <c r="L187" s="44">
        <f>+SUMIFS('Monthly Energy Data'!AF$8:AF$595,'Monthly Energy Data'!$D$8:$D$595,'Peak Load Projections'!$H187,'Monthly Energy Data'!$E$8:$E$595,'Peak Load Projections'!$I187)*VLOOKUP($I187,$A$3:$E$14,5)</f>
        <v>88.326980872526633</v>
      </c>
      <c r="M187" s="44">
        <f>+SUMIFS('Monthly Energy Data'!AG$8:AG$595,'Monthly Energy Data'!$D$8:$D$595,'Peak Load Projections'!$H187,'Monthly Energy Data'!$E$8:$E$595,'Peak Load Projections'!$I187)*VLOOKUP($I187,$A$3:$E$14,5)</f>
        <v>76.61419318761466</v>
      </c>
      <c r="N187" s="44">
        <f t="shared" si="50"/>
        <v>82.470587030070647</v>
      </c>
      <c r="O187" s="269" t="str">
        <f t="shared" si="48"/>
        <v>W</v>
      </c>
      <c r="AA187">
        <f t="shared" si="53"/>
        <v>2040</v>
      </c>
      <c r="AB187">
        <f t="shared" si="51"/>
        <v>5</v>
      </c>
      <c r="AC187" s="271">
        <f t="shared" si="52"/>
        <v>51257</v>
      </c>
      <c r="AD187" s="44">
        <f>+L187*VLOOKUP($AB187,'Peak Loads - 2022-2024'!$L$4:$M$15,2)</f>
        <v>62.901971255406764</v>
      </c>
      <c r="AE187" s="44">
        <f>+M187*VLOOKUP($AB187,'Peak Loads - 2022-2024'!$L$4:$M$15,2)</f>
        <v>54.560721197960532</v>
      </c>
      <c r="AF187" s="44">
        <f>+K187*VLOOKUP($AB187,'Peak Loads - 2022-2024'!$L$4:$M$15,2)</f>
        <v>60.44643273500013</v>
      </c>
      <c r="AG187" s="44"/>
    </row>
    <row r="188" spans="5:33" x14ac:dyDescent="0.2">
      <c r="E188" s="175"/>
      <c r="H188">
        <f t="shared" si="49"/>
        <v>2040</v>
      </c>
      <c r="I188">
        <f t="shared" si="54"/>
        <v>6</v>
      </c>
      <c r="J188" s="268">
        <v>51288</v>
      </c>
      <c r="K188" s="44">
        <f>+SUMIFS('Monthly Energy Data'!AE$8:AE$595,'Monthly Energy Data'!$D$8:$D$595,'Peak Load Projections'!$H188,'Monthly Energy Data'!$E$8:$E$595,'Peak Load Projections'!$I188)*VLOOKUP($I188,$A$3:$E$14,5)</f>
        <v>104.441837148986</v>
      </c>
      <c r="L188" s="44">
        <f>+SUMIFS('Monthly Energy Data'!AF$8:AF$595,'Monthly Energy Data'!$D$8:$D$595,'Peak Load Projections'!$H188,'Monthly Energy Data'!$E$8:$E$595,'Peak Load Projections'!$I188)*VLOOKUP($I188,$A$3:$E$14,5)</f>
        <v>109.33347012232592</v>
      </c>
      <c r="M188" s="44">
        <f>+SUMIFS('Monthly Energy Data'!AG$8:AG$595,'Monthly Energy Data'!$D$8:$D$595,'Peak Load Projections'!$H188,'Monthly Energy Data'!$E$8:$E$595,'Peak Load Projections'!$I188)*VLOOKUP($I188,$A$3:$E$14,5)</f>
        <v>94.912286454582457</v>
      </c>
      <c r="N188" s="44">
        <f t="shared" si="50"/>
        <v>102.12287828845419</v>
      </c>
      <c r="O188" s="269" t="str">
        <f t="shared" si="48"/>
        <v>S</v>
      </c>
      <c r="AA188">
        <f t="shared" si="53"/>
        <v>2040</v>
      </c>
      <c r="AB188">
        <f t="shared" si="51"/>
        <v>6</v>
      </c>
      <c r="AC188" s="271">
        <f t="shared" si="52"/>
        <v>51288</v>
      </c>
      <c r="AD188" s="44">
        <f>+L188*VLOOKUP($AB188,'Peak Loads - 2022-2024'!$L$4:$M$15,2)</f>
        <v>92.928721242524375</v>
      </c>
      <c r="AE188" s="44">
        <f>+M188*VLOOKUP($AB188,'Peak Loads - 2022-2024'!$L$4:$M$15,2)</f>
        <v>80.671338800097715</v>
      </c>
      <c r="AF188" s="44">
        <f>+K188*VLOOKUP($AB188,'Peak Loads - 2022-2024'!$L$4:$M$15,2)</f>
        <v>88.771044764391434</v>
      </c>
      <c r="AG188" s="44"/>
    </row>
    <row r="189" spans="5:33" x14ac:dyDescent="0.2">
      <c r="E189" s="175"/>
      <c r="H189">
        <f t="shared" si="49"/>
        <v>2040</v>
      </c>
      <c r="I189">
        <f t="shared" si="54"/>
        <v>7</v>
      </c>
      <c r="J189" s="268">
        <v>51318</v>
      </c>
      <c r="K189" s="44">
        <f>+SUMIFS('Monthly Energy Data'!AE$8:AE$595,'Monthly Energy Data'!$D$8:$D$595,'Peak Load Projections'!$H189,'Monthly Energy Data'!$E$8:$E$595,'Peak Load Projections'!$I189)*VLOOKUP($I189,$A$3:$E$14,5)</f>
        <v>107.55119533055669</v>
      </c>
      <c r="L189" s="44">
        <f>+SUMIFS('Monthly Energy Data'!AF$8:AF$595,'Monthly Energy Data'!$D$8:$D$595,'Peak Load Projections'!$H189,'Monthly Energy Data'!$E$8:$E$595,'Peak Load Projections'!$I189)*VLOOKUP($I189,$A$3:$E$14,5)</f>
        <v>114.81046185188298</v>
      </c>
      <c r="M189" s="44">
        <f>+SUMIFS('Monthly Energy Data'!AG$8:AG$595,'Monthly Energy Data'!$D$8:$D$595,'Peak Load Projections'!$H189,'Monthly Energy Data'!$E$8:$E$595,'Peak Load Projections'!$I189)*VLOOKUP($I189,$A$3:$E$14,5)</f>
        <v>98.848439288744984</v>
      </c>
      <c r="N189" s="44">
        <f t="shared" si="50"/>
        <v>106.82945057031398</v>
      </c>
      <c r="O189" s="269" t="str">
        <f t="shared" si="48"/>
        <v>S</v>
      </c>
      <c r="AA189">
        <f t="shared" si="53"/>
        <v>2040</v>
      </c>
      <c r="AB189">
        <f t="shared" si="51"/>
        <v>7</v>
      </c>
      <c r="AC189" s="271">
        <f t="shared" si="52"/>
        <v>51318</v>
      </c>
      <c r="AD189" s="44">
        <f>+L189*VLOOKUP($AB189,'Peak Loads - 2022-2024'!$L$4:$M$15,2)</f>
        <v>82.365300838348105</v>
      </c>
      <c r="AE189" s="44">
        <f>+M189*VLOOKUP($AB189,'Peak Loads - 2022-2024'!$L$4:$M$15,2)</f>
        <v>70.914107548162775</v>
      </c>
      <c r="AF189" s="44">
        <f>+K189*VLOOKUP($AB189,'Peak Loads - 2022-2024'!$L$4:$M$15,2)</f>
        <v>77.157485616193924</v>
      </c>
      <c r="AG189" s="44"/>
    </row>
    <row r="190" spans="5:33" x14ac:dyDescent="0.2">
      <c r="E190" s="175"/>
      <c r="H190">
        <f t="shared" si="49"/>
        <v>2040</v>
      </c>
      <c r="I190">
        <f t="shared" si="54"/>
        <v>8</v>
      </c>
      <c r="J190" s="268">
        <v>51349</v>
      </c>
      <c r="K190" s="44">
        <f>+SUMIFS('Monthly Energy Data'!AE$8:AE$595,'Monthly Energy Data'!$D$8:$D$595,'Peak Load Projections'!$H190,'Monthly Energy Data'!$E$8:$E$595,'Peak Load Projections'!$I190)*VLOOKUP($I190,$A$3:$E$14,5)</f>
        <v>105.53768584239153</v>
      </c>
      <c r="L190" s="44">
        <f>+SUMIFS('Monthly Energy Data'!AF$8:AF$595,'Monthly Energy Data'!$D$8:$D$595,'Peak Load Projections'!$H190,'Monthly Energy Data'!$E$8:$E$595,'Peak Load Projections'!$I190)*VLOOKUP($I190,$A$3:$E$14,5)</f>
        <v>111.56688781397177</v>
      </c>
      <c r="M190" s="44">
        <f>+SUMIFS('Monthly Energy Data'!AG$8:AG$595,'Monthly Energy Data'!$D$8:$D$595,'Peak Load Projections'!$H190,'Monthly Energy Data'!$E$8:$E$595,'Peak Load Projections'!$I190)*VLOOKUP($I190,$A$3:$E$14,5)</f>
        <v>96.715114772949164</v>
      </c>
      <c r="N190" s="44">
        <f t="shared" si="50"/>
        <v>104.14100129346048</v>
      </c>
      <c r="O190" s="269" t="str">
        <f t="shared" si="48"/>
        <v>S</v>
      </c>
      <c r="AA190">
        <f t="shared" si="53"/>
        <v>2040</v>
      </c>
      <c r="AB190">
        <f t="shared" si="51"/>
        <v>8</v>
      </c>
      <c r="AC190" s="271">
        <f t="shared" si="52"/>
        <v>51349</v>
      </c>
      <c r="AD190" s="44">
        <f>+L190*VLOOKUP($AB190,'Peak Loads - 2022-2024'!$L$4:$M$15,2)</f>
        <v>79.79394410082503</v>
      </c>
      <c r="AE190" s="44">
        <f>+M190*VLOOKUP($AB190,'Peak Loads - 2022-2024'!$L$4:$M$15,2)</f>
        <v>69.171782175778603</v>
      </c>
      <c r="AF190" s="44">
        <f>+K190*VLOOKUP($AB190,'Peak Loads - 2022-2024'!$L$4:$M$15,2)</f>
        <v>75.481788276463945</v>
      </c>
      <c r="AG190" s="44"/>
    </row>
    <row r="191" spans="5:33" x14ac:dyDescent="0.2">
      <c r="E191" s="175"/>
      <c r="H191">
        <f t="shared" si="49"/>
        <v>2040</v>
      </c>
      <c r="I191">
        <f t="shared" si="54"/>
        <v>9</v>
      </c>
      <c r="J191" s="268">
        <v>51380</v>
      </c>
      <c r="K191" s="44">
        <f>+SUMIFS('Monthly Energy Data'!AE$8:AE$595,'Monthly Energy Data'!$D$8:$D$595,'Peak Load Projections'!$H191,'Monthly Energy Data'!$E$8:$E$595,'Peak Load Projections'!$I191)*VLOOKUP($I191,$A$3:$E$14,5)</f>
        <v>89.357290195980525</v>
      </c>
      <c r="L191" s="44">
        <f>+SUMIFS('Monthly Energy Data'!AF$8:AF$595,'Monthly Energy Data'!$D$8:$D$595,'Peak Load Projections'!$H191,'Monthly Energy Data'!$E$8:$E$595,'Peak Load Projections'!$I191)*VLOOKUP($I191,$A$3:$E$14,5)</f>
        <v>94.065378486264962</v>
      </c>
      <c r="M191" s="44">
        <f>+SUMIFS('Monthly Energy Data'!AG$8:AG$595,'Monthly Energy Data'!$D$8:$D$595,'Peak Load Projections'!$H191,'Monthly Energy Data'!$E$8:$E$595,'Peak Load Projections'!$I191)*VLOOKUP($I191,$A$3:$E$14,5)</f>
        <v>80.951042984200484</v>
      </c>
      <c r="N191" s="44">
        <f t="shared" si="50"/>
        <v>87.508210735232723</v>
      </c>
      <c r="O191" s="269" t="str">
        <f t="shared" si="48"/>
        <v>S</v>
      </c>
      <c r="AA191">
        <f t="shared" si="53"/>
        <v>2040</v>
      </c>
      <c r="AB191">
        <f t="shared" si="51"/>
        <v>9</v>
      </c>
      <c r="AC191" s="271">
        <f t="shared" si="52"/>
        <v>51380</v>
      </c>
      <c r="AD191" s="44">
        <f>+L191*VLOOKUP($AB191,'Peak Loads - 2022-2024'!$L$4:$M$15,2)</f>
        <v>67.270148450811703</v>
      </c>
      <c r="AE191" s="44">
        <f>+M191*VLOOKUP($AB191,'Peak Loads - 2022-2024'!$L$4:$M$15,2)</f>
        <v>57.89152998082443</v>
      </c>
      <c r="AF191" s="44">
        <f>+K191*VLOOKUP($AB191,'Peak Loads - 2022-2024'!$L$4:$M$15,2)</f>
        <v>63.903194494918061</v>
      </c>
      <c r="AG191" s="44"/>
    </row>
    <row r="192" spans="5:33" x14ac:dyDescent="0.2">
      <c r="E192" s="175"/>
      <c r="H192">
        <f t="shared" si="49"/>
        <v>2040</v>
      </c>
      <c r="I192">
        <f t="shared" si="54"/>
        <v>10</v>
      </c>
      <c r="J192" s="268">
        <v>51410</v>
      </c>
      <c r="K192" s="44">
        <f>+SUMIFS('Monthly Energy Data'!AE$8:AE$595,'Monthly Energy Data'!$D$8:$D$595,'Peak Load Projections'!$H192,'Monthly Energy Data'!$E$8:$E$595,'Peak Load Projections'!$I192)*VLOOKUP($I192,$A$3:$E$14,5)</f>
        <v>87.087253166377593</v>
      </c>
      <c r="L192" s="44">
        <f>+SUMIFS('Monthly Energy Data'!AF$8:AF$595,'Monthly Energy Data'!$D$8:$D$595,'Peak Load Projections'!$H192,'Monthly Energy Data'!$E$8:$E$595,'Peak Load Projections'!$I192)*VLOOKUP($I192,$A$3:$E$14,5)</f>
        <v>93.837844537202116</v>
      </c>
      <c r="M192" s="44">
        <f>+SUMIFS('Monthly Energy Data'!AG$8:AG$595,'Monthly Energy Data'!$D$8:$D$595,'Peak Load Projections'!$H192,'Monthly Energy Data'!$E$8:$E$595,'Peak Load Projections'!$I192)*VLOOKUP($I192,$A$3:$E$14,5)</f>
        <v>79.332283549730988</v>
      </c>
      <c r="N192" s="44">
        <f t="shared" si="50"/>
        <v>86.585064043466559</v>
      </c>
      <c r="O192" s="269" t="str">
        <f t="shared" si="48"/>
        <v>W</v>
      </c>
      <c r="AA192">
        <f t="shared" si="53"/>
        <v>2040</v>
      </c>
      <c r="AB192">
        <f t="shared" si="51"/>
        <v>10</v>
      </c>
      <c r="AC192" s="271">
        <f t="shared" si="52"/>
        <v>51410</v>
      </c>
      <c r="AD192" s="44">
        <f>+L192*VLOOKUP($AB192,'Peak Loads - 2022-2024'!$L$4:$M$15,2)</f>
        <v>65.182773369160145</v>
      </c>
      <c r="AE192" s="44">
        <f>+M192*VLOOKUP($AB192,'Peak Loads - 2022-2024'!$L$4:$M$15,2)</f>
        <v>55.106745950776599</v>
      </c>
      <c r="AF192" s="44">
        <f>+K192*VLOOKUP($AB192,'Peak Loads - 2022-2024'!$L$4:$M$15,2)</f>
        <v>60.493596314823449</v>
      </c>
      <c r="AG192" s="44"/>
    </row>
    <row r="193" spans="5:33" x14ac:dyDescent="0.2">
      <c r="E193" s="175"/>
      <c r="H193">
        <f t="shared" si="49"/>
        <v>2040</v>
      </c>
      <c r="I193">
        <f t="shared" si="54"/>
        <v>11</v>
      </c>
      <c r="J193" s="268">
        <v>51441</v>
      </c>
      <c r="K193" s="44">
        <f>+SUMIFS('Monthly Energy Data'!AE$8:AE$595,'Monthly Energy Data'!$D$8:$D$595,'Peak Load Projections'!$H193,'Monthly Energy Data'!$E$8:$E$595,'Peak Load Projections'!$I193)*VLOOKUP($I193,$A$3:$E$14,5)</f>
        <v>109.71651102230189</v>
      </c>
      <c r="L193" s="44">
        <f>+SUMIFS('Monthly Energy Data'!AF$8:AF$595,'Monthly Energy Data'!$D$8:$D$595,'Peak Load Projections'!$H193,'Monthly Energy Data'!$E$8:$E$595,'Peak Load Projections'!$I193)*VLOOKUP($I193,$A$3:$E$14,5)</f>
        <v>125.23356569463026</v>
      </c>
      <c r="M193" s="44">
        <f>+SUMIFS('Monthly Energy Data'!AG$8:AG$595,'Monthly Energy Data'!$D$8:$D$595,'Peak Load Projections'!$H193,'Monthly Energy Data'!$E$8:$E$595,'Peak Load Projections'!$I193)*VLOOKUP($I193,$A$3:$E$14,5)</f>
        <v>99.815253111678729</v>
      </c>
      <c r="N193" s="44">
        <f t="shared" si="50"/>
        <v>112.52440940315449</v>
      </c>
      <c r="O193" s="269" t="str">
        <f t="shared" si="48"/>
        <v>W</v>
      </c>
      <c r="AA193">
        <f t="shared" si="53"/>
        <v>2040</v>
      </c>
      <c r="AB193">
        <f t="shared" si="51"/>
        <v>11</v>
      </c>
      <c r="AC193" s="271">
        <f t="shared" si="52"/>
        <v>51441</v>
      </c>
      <c r="AD193" s="44">
        <f>+L193*VLOOKUP($AB193,'Peak Loads - 2022-2024'!$L$4:$M$15,2)</f>
        <v>89.071946023830051</v>
      </c>
      <c r="AE193" s="44">
        <f>+M193*VLOOKUP($AB193,'Peak Loads - 2022-2024'!$L$4:$M$15,2)</f>
        <v>70.993257983227721</v>
      </c>
      <c r="AF193" s="44">
        <f>+K193*VLOOKUP($AB193,'Peak Loads - 2022-2024'!$L$4:$M$15,2)</f>
        <v>78.035493866964615</v>
      </c>
      <c r="AG193" s="44"/>
    </row>
    <row r="194" spans="5:33" x14ac:dyDescent="0.2">
      <c r="E194" s="175"/>
      <c r="H194">
        <f t="shared" si="49"/>
        <v>2040</v>
      </c>
      <c r="I194">
        <f t="shared" si="54"/>
        <v>12</v>
      </c>
      <c r="J194" s="268">
        <v>51471</v>
      </c>
      <c r="K194" s="44">
        <f>+SUMIFS('Monthly Energy Data'!AE$8:AE$595,'Monthly Energy Data'!$D$8:$D$595,'Peak Load Projections'!$H194,'Monthly Energy Data'!$E$8:$E$595,'Peak Load Projections'!$I194)*VLOOKUP($I194,$A$3:$E$14,5)</f>
        <v>120.2623931013139</v>
      </c>
      <c r="L194" s="44">
        <f>+SUMIFS('Monthly Energy Data'!AF$8:AF$595,'Monthly Energy Data'!$D$8:$D$595,'Peak Load Projections'!$H194,'Monthly Energy Data'!$E$8:$E$595,'Peak Load Projections'!$I194)*VLOOKUP($I194,$A$3:$E$14,5)</f>
        <v>135.47765322143735</v>
      </c>
      <c r="M194" s="44">
        <f>+SUMIFS('Monthly Energy Data'!AG$8:AG$595,'Monthly Energy Data'!$D$8:$D$595,'Peak Load Projections'!$H194,'Monthly Energy Data'!$E$8:$E$595,'Peak Load Projections'!$I194)*VLOOKUP($I194,$A$3:$E$14,5)</f>
        <v>109.62084768670744</v>
      </c>
      <c r="N194" s="44">
        <f t="shared" si="50"/>
        <v>122.54925045407239</v>
      </c>
      <c r="O194" s="269" t="str">
        <f t="shared" si="48"/>
        <v>W</v>
      </c>
      <c r="AA194">
        <f t="shared" si="53"/>
        <v>2040</v>
      </c>
      <c r="AB194">
        <f t="shared" si="51"/>
        <v>12</v>
      </c>
      <c r="AC194" s="271">
        <f t="shared" si="52"/>
        <v>51471</v>
      </c>
      <c r="AD194" s="44">
        <f>+L194*VLOOKUP($AB194,'Peak Loads - 2022-2024'!$L$4:$M$15,2)</f>
        <v>116.0678651663731</v>
      </c>
      <c r="AE194" s="44">
        <f>+M194*VLOOKUP($AB194,'Peak Loads - 2022-2024'!$L$4:$M$15,2)</f>
        <v>93.915545967775742</v>
      </c>
      <c r="AF194" s="44">
        <f>+K194*VLOOKUP($AB194,'Peak Loads - 2022-2024'!$L$4:$M$15,2)</f>
        <v>103.03248465821459</v>
      </c>
      <c r="AG194" s="44"/>
    </row>
    <row r="195" spans="5:33" x14ac:dyDescent="0.2">
      <c r="E195" s="175"/>
      <c r="H195">
        <f t="shared" si="49"/>
        <v>2041</v>
      </c>
      <c r="I195">
        <f t="shared" si="54"/>
        <v>1</v>
      </c>
      <c r="J195" s="268">
        <v>51502</v>
      </c>
      <c r="K195" s="44">
        <f>+SUMIFS('Monthly Energy Data'!AE$8:AE$595,'Monthly Energy Data'!$D$8:$D$595,'Peak Load Projections'!$H195,'Monthly Energy Data'!$E$8:$E$595,'Peak Load Projections'!$I195)*VLOOKUP($I195,$A$3:$E$14,5)</f>
        <v>123.1041833933548</v>
      </c>
      <c r="L195" s="44">
        <f>+SUMIFS('Monthly Energy Data'!AF$8:AF$595,'Monthly Energy Data'!$D$8:$D$595,'Peak Load Projections'!$H195,'Monthly Energy Data'!$E$8:$E$595,'Peak Load Projections'!$I195)*VLOOKUP($I195,$A$3:$E$14,5)</f>
        <v>139.88829698455092</v>
      </c>
      <c r="M195" s="44">
        <f>+SUMIFS('Monthly Energy Data'!AG$8:AG$595,'Monthly Energy Data'!$D$8:$D$595,'Peak Load Projections'!$H195,'Monthly Energy Data'!$E$8:$E$595,'Peak Load Projections'!$I195)*VLOOKUP($I195,$A$3:$E$14,5)</f>
        <v>112.59785486471409</v>
      </c>
      <c r="N195" s="44">
        <f t="shared" si="50"/>
        <v>126.24307592463251</v>
      </c>
      <c r="O195" s="269" t="str">
        <f t="shared" ref="O195:O258" si="55">+IF(I195&lt;6,"W",IF(I195&gt;9,"W","S"))</f>
        <v>W</v>
      </c>
      <c r="AA195">
        <f t="shared" si="53"/>
        <v>2041</v>
      </c>
      <c r="AB195">
        <f t="shared" si="51"/>
        <v>1</v>
      </c>
      <c r="AC195" s="271">
        <f t="shared" si="52"/>
        <v>51502</v>
      </c>
      <c r="AD195" s="44">
        <f>+L195*VLOOKUP($AB195,'Peak Loads - 2022-2024'!$L$4:$M$15,2)</f>
        <v>123.77558582614731</v>
      </c>
      <c r="AE195" s="44">
        <f>+M195*VLOOKUP($AB195,'Peak Loads - 2022-2024'!$L$4:$M$15,2)</f>
        <v>99.628530399413378</v>
      </c>
      <c r="AF195" s="44">
        <f>+K195*VLOOKUP($AB195,'Peak Loads - 2022-2024'!$L$4:$M$15,2)</f>
        <v>108.9247116851008</v>
      </c>
      <c r="AG195" s="44"/>
    </row>
    <row r="196" spans="5:33" x14ac:dyDescent="0.2">
      <c r="E196" s="175"/>
      <c r="H196">
        <f t="shared" ref="H196:H259" si="56">+YEAR(J196)</f>
        <v>2041</v>
      </c>
      <c r="I196">
        <f t="shared" si="54"/>
        <v>2</v>
      </c>
      <c r="J196" s="268">
        <v>51533</v>
      </c>
      <c r="K196" s="44">
        <f>+SUMIFS('Monthly Energy Data'!AE$8:AE$595,'Monthly Energy Data'!$D$8:$D$595,'Peak Load Projections'!$H196,'Monthly Energy Data'!$E$8:$E$595,'Peak Load Projections'!$I196)*VLOOKUP($I196,$A$3:$E$14,5)</f>
        <v>116.73777715723881</v>
      </c>
      <c r="L196" s="44">
        <f>+SUMIFS('Monthly Energy Data'!AF$8:AF$595,'Monthly Energy Data'!$D$8:$D$595,'Peak Load Projections'!$H196,'Monthly Energy Data'!$E$8:$E$595,'Peak Load Projections'!$I196)*VLOOKUP($I196,$A$3:$E$14,5)</f>
        <v>131.04950037284669</v>
      </c>
      <c r="M196" s="44">
        <f>+SUMIFS('Monthly Energy Data'!AG$8:AG$595,'Monthly Energy Data'!$D$8:$D$595,'Peak Load Projections'!$H196,'Monthly Energy Data'!$E$8:$E$595,'Peak Load Projections'!$I196)*VLOOKUP($I196,$A$3:$E$14,5)</f>
        <v>105.97533515977116</v>
      </c>
      <c r="N196" s="44">
        <f t="shared" ref="N196:N259" si="57">+(MIN(K196:M196)+MAX(K196:M196))/2</f>
        <v>118.51241776630893</v>
      </c>
      <c r="O196" s="269" t="str">
        <f t="shared" si="55"/>
        <v>W</v>
      </c>
      <c r="AA196">
        <f t="shared" si="53"/>
        <v>2041</v>
      </c>
      <c r="AB196">
        <f t="shared" ref="AB196:AB259" si="58">+I196</f>
        <v>2</v>
      </c>
      <c r="AC196" s="271">
        <f t="shared" ref="AC196:AC259" si="59">+J196</f>
        <v>51533</v>
      </c>
      <c r="AD196" s="44">
        <f>+L196*VLOOKUP($AB196,'Peak Loads - 2022-2024'!$L$4:$M$15,2)</f>
        <v>104.51546051109976</v>
      </c>
      <c r="AE196" s="44">
        <f>+M196*VLOOKUP($AB196,'Peak Loads - 2022-2024'!$L$4:$M$15,2)</f>
        <v>84.518147154543229</v>
      </c>
      <c r="AF196" s="44">
        <f>+K196*VLOOKUP($AB196,'Peak Loads - 2022-2024'!$L$4:$M$15,2)</f>
        <v>93.101480768094333</v>
      </c>
      <c r="AG196" s="44"/>
    </row>
    <row r="197" spans="5:33" x14ac:dyDescent="0.2">
      <c r="E197" s="175"/>
      <c r="H197">
        <f t="shared" si="56"/>
        <v>2041</v>
      </c>
      <c r="I197">
        <f t="shared" si="54"/>
        <v>3</v>
      </c>
      <c r="J197" s="268">
        <v>51561</v>
      </c>
      <c r="K197" s="44">
        <f>+SUMIFS('Monthly Energy Data'!AE$8:AE$595,'Monthly Energy Data'!$D$8:$D$595,'Peak Load Projections'!$H197,'Monthly Energy Data'!$E$8:$E$595,'Peak Load Projections'!$I197)*VLOOKUP($I197,$A$3:$E$14,5)</f>
        <v>102.67567866474623</v>
      </c>
      <c r="L197" s="44">
        <f>+SUMIFS('Monthly Energy Data'!AF$8:AF$595,'Monthly Energy Data'!$D$8:$D$595,'Peak Load Projections'!$H197,'Monthly Energy Data'!$E$8:$E$595,'Peak Load Projections'!$I197)*VLOOKUP($I197,$A$3:$E$14,5)</f>
        <v>113.26385931594091</v>
      </c>
      <c r="M197" s="44">
        <f>+SUMIFS('Monthly Energy Data'!AG$8:AG$595,'Monthly Energy Data'!$D$8:$D$595,'Peak Load Projections'!$H197,'Monthly Energy Data'!$E$8:$E$595,'Peak Load Projections'!$I197)*VLOOKUP($I197,$A$3:$E$14,5)</f>
        <v>93.840805909947377</v>
      </c>
      <c r="N197" s="44">
        <f t="shared" si="57"/>
        <v>103.55233261294414</v>
      </c>
      <c r="O197" s="269" t="str">
        <f t="shared" si="55"/>
        <v>W</v>
      </c>
      <c r="AA197">
        <f t="shared" si="53"/>
        <v>2041</v>
      </c>
      <c r="AB197">
        <f t="shared" si="58"/>
        <v>3</v>
      </c>
      <c r="AC197" s="271">
        <f t="shared" si="59"/>
        <v>51561</v>
      </c>
      <c r="AD197" s="44">
        <f>+L197*VLOOKUP($AB197,'Peak Loads - 2022-2024'!$L$4:$M$15,2)</f>
        <v>80.835713326928655</v>
      </c>
      <c r="AE197" s="44">
        <f>+M197*VLOOKUP($AB197,'Peak Loads - 2022-2024'!$L$4:$M$15,2)</f>
        <v>66.973600676494328</v>
      </c>
      <c r="AF197" s="44">
        <f>+K197*VLOOKUP($AB197,'Peak Loads - 2022-2024'!$L$4:$M$15,2)</f>
        <v>73.278994520568475</v>
      </c>
      <c r="AG197" s="44"/>
    </row>
    <row r="198" spans="5:33" x14ac:dyDescent="0.2">
      <c r="E198" s="175"/>
      <c r="H198">
        <f t="shared" si="56"/>
        <v>2041</v>
      </c>
      <c r="I198">
        <f t="shared" si="54"/>
        <v>4</v>
      </c>
      <c r="J198" s="268">
        <v>51592</v>
      </c>
      <c r="K198" s="44">
        <f>+SUMIFS('Monthly Energy Data'!AE$8:AE$595,'Monthly Energy Data'!$D$8:$D$595,'Peak Load Projections'!$H198,'Monthly Energy Data'!$E$8:$E$595,'Peak Load Projections'!$I198)*VLOOKUP($I198,$A$3:$E$14,5)</f>
        <v>99.583173538045969</v>
      </c>
      <c r="L198" s="44">
        <f>+SUMIFS('Monthly Energy Data'!AF$8:AF$595,'Monthly Energy Data'!$D$8:$D$595,'Peak Load Projections'!$H198,'Monthly Energy Data'!$E$8:$E$595,'Peak Load Projections'!$I198)*VLOOKUP($I198,$A$3:$E$14,5)</f>
        <v>107.65369814169534</v>
      </c>
      <c r="M198" s="44">
        <f>+SUMIFS('Monthly Energy Data'!AG$8:AG$595,'Monthly Energy Data'!$D$8:$D$595,'Peak Load Projections'!$H198,'Monthly Energy Data'!$E$8:$E$595,'Peak Load Projections'!$I198)*VLOOKUP($I198,$A$3:$E$14,5)</f>
        <v>90.07236468059881</v>
      </c>
      <c r="N198" s="44">
        <f t="shared" si="57"/>
        <v>98.863031411147077</v>
      </c>
      <c r="O198" s="269" t="str">
        <f t="shared" si="55"/>
        <v>W</v>
      </c>
      <c r="AA198">
        <f t="shared" si="53"/>
        <v>2041</v>
      </c>
      <c r="AB198">
        <f t="shared" si="58"/>
        <v>4</v>
      </c>
      <c r="AC198" s="271">
        <f t="shared" si="59"/>
        <v>51592</v>
      </c>
      <c r="AD198" s="44">
        <f>+L198*VLOOKUP($AB198,'Peak Loads - 2022-2024'!$L$4:$M$15,2)</f>
        <v>75.113741789412899</v>
      </c>
      <c r="AE198" s="44">
        <f>+M198*VLOOKUP($AB198,'Peak Loads - 2022-2024'!$L$4:$M$15,2)</f>
        <v>62.846631929683063</v>
      </c>
      <c r="AF198" s="44">
        <f>+K198*VLOOKUP($AB198,'Peak Loads - 2022-2024'!$L$4:$M$15,2)</f>
        <v>69.482655150979681</v>
      </c>
      <c r="AG198" s="44"/>
    </row>
    <row r="199" spans="5:33" x14ac:dyDescent="0.2">
      <c r="E199" s="175"/>
      <c r="H199">
        <f t="shared" si="56"/>
        <v>2041</v>
      </c>
      <c r="I199">
        <f t="shared" si="54"/>
        <v>5</v>
      </c>
      <c r="J199" s="268">
        <v>51622</v>
      </c>
      <c r="K199" s="44">
        <f>+SUMIFS('Monthly Energy Data'!AE$8:AE$595,'Monthly Energy Data'!$D$8:$D$595,'Peak Load Projections'!$H199,'Monthly Energy Data'!$E$8:$E$595,'Peak Load Projections'!$I199)*VLOOKUP($I199,$A$3:$E$14,5)</f>
        <v>84.979640894149966</v>
      </c>
      <c r="L199" s="44">
        <f>+SUMIFS('Monthly Energy Data'!AF$8:AF$595,'Monthly Energy Data'!$D$8:$D$595,'Peak Load Projections'!$H199,'Monthly Energy Data'!$E$8:$E$595,'Peak Load Projections'!$I199)*VLOOKUP($I199,$A$3:$E$14,5)</f>
        <v>89.428245879168557</v>
      </c>
      <c r="M199" s="44">
        <f>+SUMIFS('Monthly Energy Data'!AG$8:AG$595,'Monthly Energy Data'!$D$8:$D$595,'Peak Load Projections'!$H199,'Monthly Energy Data'!$E$8:$E$595,'Peak Load Projections'!$I199)*VLOOKUP($I199,$A$3:$E$14,5)</f>
        <v>77.174684375876183</v>
      </c>
      <c r="N199" s="44">
        <f t="shared" si="57"/>
        <v>83.301465127522363</v>
      </c>
      <c r="O199" s="269" t="str">
        <f t="shared" si="55"/>
        <v>W</v>
      </c>
      <c r="AA199">
        <f t="shared" si="53"/>
        <v>2041</v>
      </c>
      <c r="AB199">
        <f t="shared" si="58"/>
        <v>5</v>
      </c>
      <c r="AC199" s="271">
        <f t="shared" si="59"/>
        <v>51622</v>
      </c>
      <c r="AD199" s="44">
        <f>+L199*VLOOKUP($AB199,'Peak Loads - 2022-2024'!$L$4:$M$15,2)</f>
        <v>63.686236030542105</v>
      </c>
      <c r="AE199" s="44">
        <f>+M199*VLOOKUP($AB199,'Peak Loads - 2022-2024'!$L$4:$M$15,2)</f>
        <v>54.959874438167127</v>
      </c>
      <c r="AF199" s="44">
        <f>+K199*VLOOKUP($AB199,'Peak Loads - 2022-2024'!$L$4:$M$15,2)</f>
        <v>60.518166431308963</v>
      </c>
      <c r="AG199" s="44"/>
    </row>
    <row r="200" spans="5:33" x14ac:dyDescent="0.2">
      <c r="E200" s="175"/>
      <c r="H200">
        <f t="shared" si="56"/>
        <v>2041</v>
      </c>
      <c r="I200">
        <f t="shared" si="54"/>
        <v>6</v>
      </c>
      <c r="J200" s="268">
        <v>51653</v>
      </c>
      <c r="K200" s="44">
        <f>+SUMIFS('Monthly Energy Data'!AE$8:AE$595,'Monthly Energy Data'!$D$8:$D$595,'Peak Load Projections'!$H200,'Monthly Energy Data'!$E$8:$E$595,'Peak Load Projections'!$I200)*VLOOKUP($I200,$A$3:$E$14,5)</f>
        <v>104.65492105697172</v>
      </c>
      <c r="L200" s="44">
        <f>+SUMIFS('Monthly Energy Data'!AF$8:AF$595,'Monthly Energy Data'!$D$8:$D$595,'Peak Load Projections'!$H200,'Monthly Energy Data'!$E$8:$E$595,'Peak Load Projections'!$I200)*VLOOKUP($I200,$A$3:$E$14,5)</f>
        <v>110.70346307964587</v>
      </c>
      <c r="M200" s="44">
        <f>+SUMIFS('Monthly Energy Data'!AG$8:AG$595,'Monthly Energy Data'!$D$8:$D$595,'Peak Load Projections'!$H200,'Monthly Energy Data'!$E$8:$E$595,'Peak Load Projections'!$I200)*VLOOKUP($I200,$A$3:$E$14,5)</f>
        <v>95.670180131409111</v>
      </c>
      <c r="N200" s="44">
        <f t="shared" si="57"/>
        <v>103.18682160552748</v>
      </c>
      <c r="O200" s="269" t="str">
        <f t="shared" si="55"/>
        <v>S</v>
      </c>
      <c r="AA200">
        <f t="shared" si="53"/>
        <v>2041</v>
      </c>
      <c r="AB200">
        <f t="shared" si="58"/>
        <v>6</v>
      </c>
      <c r="AC200" s="271">
        <f t="shared" si="59"/>
        <v>51653</v>
      </c>
      <c r="AD200" s="44">
        <f>+L200*VLOOKUP($AB200,'Peak Loads - 2022-2024'!$L$4:$M$15,2)</f>
        <v>94.093156007949517</v>
      </c>
      <c r="AE200" s="44">
        <f>+M200*VLOOKUP($AB200,'Peak Loads - 2022-2024'!$L$4:$M$15,2)</f>
        <v>81.315515648655591</v>
      </c>
      <c r="AF200" s="44">
        <f>+K200*VLOOKUP($AB200,'Peak Loads - 2022-2024'!$L$4:$M$15,2)</f>
        <v>88.952156870906649</v>
      </c>
      <c r="AG200" s="44"/>
    </row>
    <row r="201" spans="5:33" x14ac:dyDescent="0.2">
      <c r="E201" s="175"/>
      <c r="H201">
        <f t="shared" si="56"/>
        <v>2041</v>
      </c>
      <c r="I201">
        <f t="shared" si="54"/>
        <v>7</v>
      </c>
      <c r="J201" s="268">
        <v>51683</v>
      </c>
      <c r="K201" s="44">
        <f>+SUMIFS('Monthly Energy Data'!AE$8:AE$595,'Monthly Energy Data'!$D$8:$D$595,'Peak Load Projections'!$H201,'Monthly Energy Data'!$E$8:$E$595,'Peak Load Projections'!$I201)*VLOOKUP($I201,$A$3:$E$14,5)</f>
        <v>107.86420160916704</v>
      </c>
      <c r="L201" s="44">
        <f>+SUMIFS('Monthly Energy Data'!AF$8:AF$595,'Monthly Energy Data'!$D$8:$D$595,'Peak Load Projections'!$H201,'Monthly Energy Data'!$E$8:$E$595,'Peak Load Projections'!$I201)*VLOOKUP($I201,$A$3:$E$14,5)</f>
        <v>116.20197209802869</v>
      </c>
      <c r="M201" s="44">
        <f>+SUMIFS('Monthly Energy Data'!AG$8:AG$595,'Monthly Energy Data'!$D$8:$D$595,'Peak Load Projections'!$H201,'Monthly Energy Data'!$E$8:$E$595,'Peak Load Projections'!$I201)*VLOOKUP($I201,$A$3:$E$14,5)</f>
        <v>99.736371122214081</v>
      </c>
      <c r="N201" s="44">
        <f t="shared" si="57"/>
        <v>107.96917161012138</v>
      </c>
      <c r="O201" s="269" t="str">
        <f t="shared" si="55"/>
        <v>S</v>
      </c>
      <c r="AA201">
        <f t="shared" si="53"/>
        <v>2041</v>
      </c>
      <c r="AB201">
        <f t="shared" si="58"/>
        <v>7</v>
      </c>
      <c r="AC201" s="271">
        <f t="shared" si="59"/>
        <v>51683</v>
      </c>
      <c r="AD201" s="44">
        <f>+L201*VLOOKUP($AB201,'Peak Loads - 2022-2024'!$L$4:$M$15,2)</f>
        <v>83.363573628081298</v>
      </c>
      <c r="AE201" s="44">
        <f>+M201*VLOOKUP($AB201,'Peak Loads - 2022-2024'!$L$4:$M$15,2)</f>
        <v>71.551111976225954</v>
      </c>
      <c r="AF201" s="44">
        <f>+K201*VLOOKUP($AB201,'Peak Loads - 2022-2024'!$L$4:$M$15,2)</f>
        <v>77.382037071576917</v>
      </c>
      <c r="AG201" s="44"/>
    </row>
    <row r="202" spans="5:33" x14ac:dyDescent="0.2">
      <c r="E202" s="175"/>
      <c r="H202">
        <f t="shared" si="56"/>
        <v>2041</v>
      </c>
      <c r="I202">
        <f t="shared" si="54"/>
        <v>8</v>
      </c>
      <c r="J202" s="268">
        <v>51714</v>
      </c>
      <c r="K202" s="44">
        <f>+SUMIFS('Monthly Energy Data'!AE$8:AE$595,'Monthly Energy Data'!$D$8:$D$595,'Peak Load Projections'!$H202,'Monthly Energy Data'!$E$8:$E$595,'Peak Load Projections'!$I202)*VLOOKUP($I202,$A$3:$E$14,5)</f>
        <v>105.80438853272786</v>
      </c>
      <c r="L202" s="44">
        <f>+SUMIFS('Monthly Energy Data'!AF$8:AF$595,'Monthly Energy Data'!$D$8:$D$595,'Peak Load Projections'!$H202,'Monthly Energy Data'!$E$8:$E$595,'Peak Load Projections'!$I202)*VLOOKUP($I202,$A$3:$E$14,5)</f>
        <v>112.90535651371492</v>
      </c>
      <c r="M202" s="44">
        <f>+SUMIFS('Monthly Energy Data'!AG$8:AG$595,'Monthly Energy Data'!$D$8:$D$595,'Peak Load Projections'!$H202,'Monthly Energy Data'!$E$8:$E$595,'Peak Load Projections'!$I202)*VLOOKUP($I202,$A$3:$E$14,5)</f>
        <v>97.508890231042912</v>
      </c>
      <c r="N202" s="44">
        <f t="shared" si="57"/>
        <v>105.20712337237892</v>
      </c>
      <c r="O202" s="269" t="str">
        <f t="shared" si="55"/>
        <v>S</v>
      </c>
      <c r="AA202">
        <f t="shared" si="53"/>
        <v>2041</v>
      </c>
      <c r="AB202">
        <f t="shared" si="58"/>
        <v>8</v>
      </c>
      <c r="AC202" s="271">
        <f t="shared" si="59"/>
        <v>51714</v>
      </c>
      <c r="AD202" s="44">
        <f>+L202*VLOOKUP($AB202,'Peak Loads - 2022-2024'!$L$4:$M$15,2)</f>
        <v>80.751232582207535</v>
      </c>
      <c r="AE202" s="44">
        <f>+M202*VLOOKUP($AB202,'Peak Loads - 2022-2024'!$L$4:$M$15,2)</f>
        <v>69.739499674875205</v>
      </c>
      <c r="AF202" s="44">
        <f>+K202*VLOOKUP($AB202,'Peak Loads - 2022-2024'!$L$4:$M$15,2)</f>
        <v>75.67253716245709</v>
      </c>
      <c r="AG202" s="44"/>
    </row>
    <row r="203" spans="5:33" x14ac:dyDescent="0.2">
      <c r="E203" s="175"/>
      <c r="H203">
        <f t="shared" si="56"/>
        <v>2041</v>
      </c>
      <c r="I203">
        <f t="shared" si="54"/>
        <v>9</v>
      </c>
      <c r="J203" s="268">
        <v>51745</v>
      </c>
      <c r="K203" s="44">
        <f>+SUMIFS('Monthly Energy Data'!AE$8:AE$595,'Monthly Energy Data'!$D$8:$D$595,'Peak Load Projections'!$H203,'Monthly Energy Data'!$E$8:$E$595,'Peak Load Projections'!$I203)*VLOOKUP($I203,$A$3:$E$14,5)</f>
        <v>89.473936638811622</v>
      </c>
      <c r="L203" s="44">
        <f>+SUMIFS('Monthly Energy Data'!AF$8:AF$595,'Monthly Energy Data'!$D$8:$D$595,'Peak Load Projections'!$H203,'Monthly Energy Data'!$E$8:$E$595,'Peak Load Projections'!$I203)*VLOOKUP($I203,$A$3:$E$14,5)</f>
        <v>95.186661223161522</v>
      </c>
      <c r="M203" s="44">
        <f>+SUMIFS('Monthly Energy Data'!AG$8:AG$595,'Monthly Energy Data'!$D$8:$D$595,'Peak Load Projections'!$H203,'Monthly Energy Data'!$E$8:$E$595,'Peak Load Projections'!$I203)*VLOOKUP($I203,$A$3:$E$14,5)</f>
        <v>81.522862864341775</v>
      </c>
      <c r="N203" s="44">
        <f t="shared" si="57"/>
        <v>88.354762043751649</v>
      </c>
      <c r="O203" s="269" t="str">
        <f t="shared" si="55"/>
        <v>S</v>
      </c>
      <c r="AA203">
        <f t="shared" si="53"/>
        <v>2041</v>
      </c>
      <c r="AB203">
        <f t="shared" si="58"/>
        <v>9</v>
      </c>
      <c r="AC203" s="271">
        <f t="shared" si="59"/>
        <v>51745</v>
      </c>
      <c r="AD203" s="44">
        <f>+L203*VLOOKUP($AB203,'Peak Loads - 2022-2024'!$L$4:$M$15,2)</f>
        <v>68.07202537280142</v>
      </c>
      <c r="AE203" s="44">
        <f>+M203*VLOOKUP($AB203,'Peak Loads - 2022-2024'!$L$4:$M$15,2)</f>
        <v>58.300462670441441</v>
      </c>
      <c r="AF203" s="44">
        <f>+K203*VLOOKUP($AB203,'Peak Loads - 2022-2024'!$L$4:$M$15,2)</f>
        <v>63.986613321821018</v>
      </c>
      <c r="AG203" s="44"/>
    </row>
    <row r="204" spans="5:33" x14ac:dyDescent="0.2">
      <c r="E204" s="175"/>
      <c r="H204">
        <f t="shared" si="56"/>
        <v>2041</v>
      </c>
      <c r="I204">
        <f t="shared" si="54"/>
        <v>10</v>
      </c>
      <c r="J204" s="268">
        <v>51775</v>
      </c>
      <c r="K204" s="44">
        <f>+SUMIFS('Monthly Energy Data'!AE$8:AE$595,'Monthly Energy Data'!$D$8:$D$595,'Peak Load Projections'!$H204,'Monthly Energy Data'!$E$8:$E$595,'Peak Load Projections'!$I204)*VLOOKUP($I204,$A$3:$E$14,5)</f>
        <v>87.265793188639336</v>
      </c>
      <c r="L204" s="44">
        <f>+SUMIFS('Monthly Energy Data'!AF$8:AF$595,'Monthly Energy Data'!$D$8:$D$595,'Peak Load Projections'!$H204,'Monthly Energy Data'!$E$8:$E$595,'Peak Load Projections'!$I204)*VLOOKUP($I204,$A$3:$E$14,5)</f>
        <v>94.956589051158119</v>
      </c>
      <c r="M204" s="44">
        <f>+SUMIFS('Monthly Energy Data'!AG$8:AG$595,'Monthly Energy Data'!$D$8:$D$595,'Peak Load Projections'!$H204,'Monthly Energy Data'!$E$8:$E$595,'Peak Load Projections'!$I204)*VLOOKUP($I204,$A$3:$E$14,5)</f>
        <v>80.000276693301473</v>
      </c>
      <c r="N204" s="44">
        <f t="shared" si="57"/>
        <v>87.478432872229803</v>
      </c>
      <c r="O204" s="269" t="str">
        <f t="shared" si="55"/>
        <v>W</v>
      </c>
      <c r="AA204">
        <f t="shared" si="53"/>
        <v>2041</v>
      </c>
      <c r="AB204">
        <f t="shared" si="58"/>
        <v>10</v>
      </c>
      <c r="AC204" s="271">
        <f t="shared" si="59"/>
        <v>51775</v>
      </c>
      <c r="AD204" s="44">
        <f>+L204*VLOOKUP($AB204,'Peak Loads - 2022-2024'!$L$4:$M$15,2)</f>
        <v>65.959889152998031</v>
      </c>
      <c r="AE204" s="44">
        <f>+M204*VLOOKUP($AB204,'Peak Loads - 2022-2024'!$L$4:$M$15,2)</f>
        <v>55.570755390723249</v>
      </c>
      <c r="AF204" s="44">
        <f>+K204*VLOOKUP($AB204,'Peak Loads - 2022-2024'!$L$4:$M$15,2)</f>
        <v>60.61761593468799</v>
      </c>
      <c r="AG204" s="44"/>
    </row>
    <row r="205" spans="5:33" x14ac:dyDescent="0.2">
      <c r="E205" s="175"/>
      <c r="H205">
        <f t="shared" si="56"/>
        <v>2041</v>
      </c>
      <c r="I205">
        <f t="shared" si="54"/>
        <v>11</v>
      </c>
      <c r="J205" s="268">
        <v>51806</v>
      </c>
      <c r="K205" s="44">
        <f>+SUMIFS('Monthly Energy Data'!AE$8:AE$595,'Monthly Energy Data'!$D$8:$D$595,'Peak Load Projections'!$H205,'Monthly Energy Data'!$E$8:$E$595,'Peak Load Projections'!$I205)*VLOOKUP($I205,$A$3:$E$14,5)</f>
        <v>110.21048459671839</v>
      </c>
      <c r="L205" s="44">
        <f>+SUMIFS('Monthly Energy Data'!AF$8:AF$595,'Monthly Energy Data'!$D$8:$D$595,'Peak Load Projections'!$H205,'Monthly Energy Data'!$E$8:$E$595,'Peak Load Projections'!$I205)*VLOOKUP($I205,$A$3:$E$14,5)</f>
        <v>126.96869821102153</v>
      </c>
      <c r="M205" s="44">
        <f>+SUMIFS('Monthly Energy Data'!AG$8:AG$595,'Monthly Energy Data'!$D$8:$D$595,'Peak Load Projections'!$H205,'Monthly Energy Data'!$E$8:$E$595,'Peak Load Projections'!$I205)*VLOOKUP($I205,$A$3:$E$14,5)</f>
        <v>101.15737790533382</v>
      </c>
      <c r="N205" s="44">
        <f t="shared" si="57"/>
        <v>114.06303805817768</v>
      </c>
      <c r="O205" s="269" t="str">
        <f t="shared" si="55"/>
        <v>W</v>
      </c>
      <c r="AA205">
        <f t="shared" si="53"/>
        <v>2041</v>
      </c>
      <c r="AB205">
        <f t="shared" si="58"/>
        <v>11</v>
      </c>
      <c r="AC205" s="271">
        <f t="shared" si="59"/>
        <v>51806</v>
      </c>
      <c r="AD205" s="44">
        <f>+L205*VLOOKUP($AB205,'Peak Loads - 2022-2024'!$L$4:$M$15,2)</f>
        <v>90.30605310196799</v>
      </c>
      <c r="AE205" s="44">
        <f>+M205*VLOOKUP($AB205,'Peak Loads - 2022-2024'!$L$4:$M$15,2)</f>
        <v>71.947839660389178</v>
      </c>
      <c r="AF205" s="44">
        <f>+K205*VLOOKUP($AB205,'Peak Loads - 2022-2024'!$L$4:$M$15,2)</f>
        <v>78.386830885227852</v>
      </c>
      <c r="AG205" s="44"/>
    </row>
    <row r="206" spans="5:33" x14ac:dyDescent="0.2">
      <c r="E206" s="175"/>
      <c r="H206">
        <f t="shared" si="56"/>
        <v>2041</v>
      </c>
      <c r="I206">
        <f t="shared" si="54"/>
        <v>12</v>
      </c>
      <c r="J206" s="268">
        <v>51836</v>
      </c>
      <c r="K206" s="44">
        <f>+SUMIFS('Monthly Energy Data'!AE$8:AE$595,'Monthly Energy Data'!$D$8:$D$595,'Peak Load Projections'!$H206,'Monthly Energy Data'!$E$8:$E$595,'Peak Load Projections'!$I206)*VLOOKUP($I206,$A$3:$E$14,5)</f>
        <v>120.85030648452648</v>
      </c>
      <c r="L206" s="44">
        <f>+SUMIFS('Monthly Energy Data'!AF$8:AF$595,'Monthly Energy Data'!$D$8:$D$595,'Peak Load Projections'!$H206,'Monthly Energy Data'!$E$8:$E$595,'Peak Load Projections'!$I206)*VLOOKUP($I206,$A$3:$E$14,5)</f>
        <v>137.37393179617752</v>
      </c>
      <c r="M206" s="44">
        <f>+SUMIFS('Monthly Energy Data'!AG$8:AG$595,'Monthly Energy Data'!$D$8:$D$595,'Peak Load Projections'!$H206,'Monthly Energy Data'!$E$8:$E$595,'Peak Load Projections'!$I206)*VLOOKUP($I206,$A$3:$E$14,5)</f>
        <v>111.05712729546042</v>
      </c>
      <c r="N206" s="44">
        <f t="shared" si="57"/>
        <v>124.21552954581897</v>
      </c>
      <c r="O206" s="269" t="str">
        <f t="shared" si="55"/>
        <v>W</v>
      </c>
      <c r="AA206">
        <f t="shared" si="53"/>
        <v>2041</v>
      </c>
      <c r="AB206">
        <f t="shared" si="58"/>
        <v>12</v>
      </c>
      <c r="AC206" s="271">
        <f t="shared" si="59"/>
        <v>51836</v>
      </c>
      <c r="AD206" s="44">
        <f>+L206*VLOOKUP($AB206,'Peak Loads - 2022-2024'!$L$4:$M$15,2)</f>
        <v>117.69246524393036</v>
      </c>
      <c r="AE206" s="44">
        <f>+M206*VLOOKUP($AB206,'Peak Loads - 2022-2024'!$L$4:$M$15,2)</f>
        <v>95.146050807547894</v>
      </c>
      <c r="AF206" s="44">
        <f>+K206*VLOOKUP($AB206,'Peak Loads - 2022-2024'!$L$4:$M$15,2)</f>
        <v>103.5361681046697</v>
      </c>
      <c r="AG206" s="44"/>
    </row>
    <row r="207" spans="5:33" x14ac:dyDescent="0.2">
      <c r="E207" s="175"/>
      <c r="H207">
        <f t="shared" si="56"/>
        <v>2042</v>
      </c>
      <c r="I207">
        <f t="shared" si="54"/>
        <v>1</v>
      </c>
      <c r="J207" s="268">
        <v>51867</v>
      </c>
      <c r="K207" s="44">
        <f>+SUMIFS('Monthly Energy Data'!AE$8:AE$595,'Monthly Energy Data'!$D$8:$D$595,'Peak Load Projections'!$H207,'Monthly Energy Data'!$E$8:$E$595,'Peak Load Projections'!$I207)*VLOOKUP($I207,$A$3:$E$14,5)</f>
        <v>123.70400757674577</v>
      </c>
      <c r="L207" s="44">
        <f>+SUMIFS('Monthly Energy Data'!AF$8:AF$595,'Monthly Energy Data'!$D$8:$D$595,'Peak Load Projections'!$H207,'Monthly Energy Data'!$E$8:$E$595,'Peak Load Projections'!$I207)*VLOOKUP($I207,$A$3:$E$14,5)</f>
        <v>141.82887342910729</v>
      </c>
      <c r="M207" s="44">
        <f>+SUMIFS('Monthly Energy Data'!AG$8:AG$595,'Monthly Energy Data'!$D$8:$D$595,'Peak Load Projections'!$H207,'Monthly Energy Data'!$E$8:$E$595,'Peak Load Projections'!$I207)*VLOOKUP($I207,$A$3:$E$14,5)</f>
        <v>114.11783043283722</v>
      </c>
      <c r="N207" s="44">
        <f t="shared" si="57"/>
        <v>127.97335193097226</v>
      </c>
      <c r="O207" s="269" t="str">
        <f t="shared" si="55"/>
        <v>W</v>
      </c>
      <c r="AA207">
        <f t="shared" si="53"/>
        <v>2042</v>
      </c>
      <c r="AB207">
        <f t="shared" si="58"/>
        <v>1</v>
      </c>
      <c r="AC207" s="271">
        <f t="shared" si="59"/>
        <v>51867</v>
      </c>
      <c r="AD207" s="44">
        <f>+L207*VLOOKUP($AB207,'Peak Loads - 2022-2024'!$L$4:$M$15,2)</f>
        <v>125.49264144440188</v>
      </c>
      <c r="AE207" s="44">
        <f>+M207*VLOOKUP($AB207,'Peak Loads - 2022-2024'!$L$4:$M$15,2)</f>
        <v>100.97343108404068</v>
      </c>
      <c r="AF207" s="44">
        <f>+K207*VLOOKUP($AB207,'Peak Loads - 2022-2024'!$L$4:$M$15,2)</f>
        <v>109.45544650203911</v>
      </c>
      <c r="AG207" s="44"/>
    </row>
    <row r="208" spans="5:33" x14ac:dyDescent="0.2">
      <c r="E208" s="175"/>
      <c r="H208">
        <f t="shared" si="56"/>
        <v>2042</v>
      </c>
      <c r="I208">
        <f t="shared" si="54"/>
        <v>2</v>
      </c>
      <c r="J208" s="268">
        <v>51898</v>
      </c>
      <c r="K208" s="44">
        <f>+SUMIFS('Monthly Energy Data'!AE$8:AE$595,'Monthly Energy Data'!$D$8:$D$595,'Peak Load Projections'!$H208,'Monthly Energy Data'!$E$8:$E$595,'Peak Load Projections'!$I208)*VLOOKUP($I208,$A$3:$E$14,5)</f>
        <v>117.19257407122996</v>
      </c>
      <c r="L208" s="44">
        <f>+SUMIFS('Monthly Energy Data'!AF$8:AF$595,'Monthly Energy Data'!$D$8:$D$595,'Peak Load Projections'!$H208,'Monthly Energy Data'!$E$8:$E$595,'Peak Load Projections'!$I208)*VLOOKUP($I208,$A$3:$E$14,5)</f>
        <v>132.89408451698651</v>
      </c>
      <c r="M208" s="44">
        <f>+SUMIFS('Monthly Energy Data'!AG$8:AG$595,'Monthly Energy Data'!$D$8:$D$595,'Peak Load Projections'!$H208,'Monthly Energy Data'!$E$8:$E$595,'Peak Load Projections'!$I208)*VLOOKUP($I208,$A$3:$E$14,5)</f>
        <v>107.29185529141132</v>
      </c>
      <c r="N208" s="44">
        <f t="shared" si="57"/>
        <v>120.09296990419892</v>
      </c>
      <c r="O208" s="269" t="str">
        <f t="shared" si="55"/>
        <v>W</v>
      </c>
      <c r="AA208">
        <f t="shared" si="53"/>
        <v>2042</v>
      </c>
      <c r="AB208">
        <f t="shared" si="58"/>
        <v>2</v>
      </c>
      <c r="AC208" s="271">
        <f t="shared" si="59"/>
        <v>51898</v>
      </c>
      <c r="AD208" s="44">
        <f>+L208*VLOOKUP($AB208,'Peak Loads - 2022-2024'!$L$4:$M$15,2)</f>
        <v>105.98656540450072</v>
      </c>
      <c r="AE208" s="44">
        <f>+M208*VLOOKUP($AB208,'Peak Loads - 2022-2024'!$L$4:$M$15,2)</f>
        <v>85.568106959342416</v>
      </c>
      <c r="AF208" s="44">
        <f>+K208*VLOOKUP($AB208,'Peak Loads - 2022-2024'!$L$4:$M$15,2)</f>
        <v>93.464193397822598</v>
      </c>
      <c r="AG208" s="44"/>
    </row>
    <row r="209" spans="5:33" x14ac:dyDescent="0.2">
      <c r="E209" s="175"/>
      <c r="H209">
        <f t="shared" si="56"/>
        <v>2042</v>
      </c>
      <c r="I209">
        <f t="shared" si="54"/>
        <v>3</v>
      </c>
      <c r="J209" s="268">
        <v>51926</v>
      </c>
      <c r="K209" s="44">
        <f>+SUMIFS('Monthly Energy Data'!AE$8:AE$595,'Monthly Energy Data'!$D$8:$D$595,'Peak Load Projections'!$H209,'Monthly Energy Data'!$E$8:$E$595,'Peak Load Projections'!$I209)*VLOOKUP($I209,$A$3:$E$14,5)</f>
        <v>102.97922234721482</v>
      </c>
      <c r="L209" s="44">
        <f>+SUMIFS('Monthly Energy Data'!AF$8:AF$595,'Monthly Energy Data'!$D$8:$D$595,'Peak Load Projections'!$H209,'Monthly Energy Data'!$E$8:$E$595,'Peak Load Projections'!$I209)*VLOOKUP($I209,$A$3:$E$14,5)</f>
        <v>114.72917612931474</v>
      </c>
      <c r="M209" s="44">
        <f>+SUMIFS('Monthly Energy Data'!AG$8:AG$595,'Monthly Energy Data'!$D$8:$D$595,'Peak Load Projections'!$H209,'Monthly Energy Data'!$E$8:$E$595,'Peak Load Projections'!$I209)*VLOOKUP($I209,$A$3:$E$14,5)</f>
        <v>94.827153140835648</v>
      </c>
      <c r="N209" s="44">
        <f t="shared" si="57"/>
        <v>104.7781646350752</v>
      </c>
      <c r="O209" s="269" t="str">
        <f t="shared" si="55"/>
        <v>W</v>
      </c>
      <c r="AA209">
        <f t="shared" si="53"/>
        <v>2042</v>
      </c>
      <c r="AB209">
        <f t="shared" si="58"/>
        <v>3</v>
      </c>
      <c r="AC209" s="271">
        <f t="shared" si="59"/>
        <v>51926</v>
      </c>
      <c r="AD209" s="44">
        <f>+L209*VLOOKUP($AB209,'Peak Loads - 2022-2024'!$L$4:$M$15,2)</f>
        <v>81.881500840919415</v>
      </c>
      <c r="AE209" s="44">
        <f>+M209*VLOOKUP($AB209,'Peak Loads - 2022-2024'!$L$4:$M$15,2)</f>
        <v>67.677550572590377</v>
      </c>
      <c r="AF209" s="44">
        <f>+K209*VLOOKUP($AB209,'Peak Loads - 2022-2024'!$L$4:$M$15,2)</f>
        <v>73.495631762548598</v>
      </c>
      <c r="AG209" s="44"/>
    </row>
    <row r="210" spans="5:33" x14ac:dyDescent="0.2">
      <c r="E210" s="175"/>
      <c r="H210">
        <f t="shared" si="56"/>
        <v>2042</v>
      </c>
      <c r="I210">
        <f t="shared" si="54"/>
        <v>4</v>
      </c>
      <c r="J210" s="268">
        <v>51957</v>
      </c>
      <c r="K210" s="44">
        <f>+SUMIFS('Monthly Energy Data'!AE$8:AE$595,'Monthly Energy Data'!$D$8:$D$595,'Peak Load Projections'!$H210,'Monthly Energy Data'!$E$8:$E$595,'Peak Load Projections'!$I210)*VLOOKUP($I210,$A$3:$E$14,5)</f>
        <v>99.701074986094198</v>
      </c>
      <c r="L210" s="44">
        <f>+SUMIFS('Monthly Energy Data'!AF$8:AF$595,'Monthly Energy Data'!$D$8:$D$595,'Peak Load Projections'!$H210,'Monthly Energy Data'!$E$8:$E$595,'Peak Load Projections'!$I210)*VLOOKUP($I210,$A$3:$E$14,5)</f>
        <v>109.02497859004664</v>
      </c>
      <c r="M210" s="44">
        <f>+SUMIFS('Monthly Energy Data'!AG$8:AG$595,'Monthly Energy Data'!$D$8:$D$595,'Peak Load Projections'!$H210,'Monthly Energy Data'!$E$8:$E$595,'Peak Load Projections'!$I210)*VLOOKUP($I210,$A$3:$E$14,5)</f>
        <v>90.822638282977024</v>
      </c>
      <c r="N210" s="44">
        <f t="shared" si="57"/>
        <v>99.923808436511834</v>
      </c>
      <c r="O210" s="269" t="str">
        <f t="shared" si="55"/>
        <v>W</v>
      </c>
      <c r="AA210">
        <f t="shared" ref="AA210:AA273" si="60">+H210</f>
        <v>2042</v>
      </c>
      <c r="AB210">
        <f t="shared" si="58"/>
        <v>4</v>
      </c>
      <c r="AC210" s="271">
        <f t="shared" si="59"/>
        <v>51957</v>
      </c>
      <c r="AD210" s="44">
        <f>+L210*VLOOKUP($AB210,'Peak Loads - 2022-2024'!$L$4:$M$15,2)</f>
        <v>76.070532009315585</v>
      </c>
      <c r="AE210" s="44">
        <f>+M210*VLOOKUP($AB210,'Peak Loads - 2022-2024'!$L$4:$M$15,2)</f>
        <v>63.370124003000171</v>
      </c>
      <c r="AF210" s="44">
        <f>+K210*VLOOKUP($AB210,'Peak Loads - 2022-2024'!$L$4:$M$15,2)</f>
        <v>69.564919105476037</v>
      </c>
      <c r="AG210" s="44"/>
    </row>
    <row r="211" spans="5:33" x14ac:dyDescent="0.2">
      <c r="E211" s="175"/>
      <c r="H211">
        <f t="shared" si="56"/>
        <v>2042</v>
      </c>
      <c r="I211">
        <f t="shared" si="54"/>
        <v>5</v>
      </c>
      <c r="J211" s="268">
        <v>51987</v>
      </c>
      <c r="K211" s="44">
        <f>+SUMIFS('Monthly Energy Data'!AE$8:AE$595,'Monthly Energy Data'!$D$8:$D$595,'Peak Load Projections'!$H211,'Monthly Energy Data'!$E$8:$E$595,'Peak Load Projections'!$I211)*VLOOKUP($I211,$A$3:$E$14,5)</f>
        <v>84.916749399527816</v>
      </c>
      <c r="L211" s="44">
        <f>+SUMIFS('Monthly Energy Data'!AF$8:AF$595,'Monthly Energy Data'!$D$8:$D$595,'Peak Load Projections'!$H211,'Monthly Energy Data'!$E$8:$E$595,'Peak Load Projections'!$I211)*VLOOKUP($I211,$A$3:$E$14,5)</f>
        <v>90.398258640151113</v>
      </c>
      <c r="M211" s="44">
        <f>+SUMIFS('Monthly Energy Data'!AG$8:AG$595,'Monthly Energy Data'!$D$8:$D$595,'Peak Load Projections'!$H211,'Monthly Energy Data'!$E$8:$E$595,'Peak Load Projections'!$I211)*VLOOKUP($I211,$A$3:$E$14,5)</f>
        <v>77.564982978415941</v>
      </c>
      <c r="N211" s="44">
        <f t="shared" si="57"/>
        <v>83.981620809283527</v>
      </c>
      <c r="O211" s="269" t="str">
        <f t="shared" si="55"/>
        <v>W</v>
      </c>
      <c r="AA211">
        <f t="shared" si="60"/>
        <v>2042</v>
      </c>
      <c r="AB211">
        <f t="shared" si="58"/>
        <v>5</v>
      </c>
      <c r="AC211" s="271">
        <f t="shared" si="59"/>
        <v>51987</v>
      </c>
      <c r="AD211" s="44">
        <f>+L211*VLOOKUP($AB211,'Peak Loads - 2022-2024'!$L$4:$M$15,2)</f>
        <v>64.377029649954508</v>
      </c>
      <c r="AE211" s="44">
        <f>+M211*VLOOKUP($AB211,'Peak Loads - 2022-2024'!$L$4:$M$15,2)</f>
        <v>55.237825198347785</v>
      </c>
      <c r="AF211" s="44">
        <f>+K211*VLOOKUP($AB211,'Peak Loads - 2022-2024'!$L$4:$M$15,2)</f>
        <v>60.473378316195628</v>
      </c>
      <c r="AG211" s="44"/>
    </row>
    <row r="212" spans="5:33" x14ac:dyDescent="0.2">
      <c r="E212" s="175"/>
      <c r="H212">
        <f t="shared" si="56"/>
        <v>2042</v>
      </c>
      <c r="I212">
        <f t="shared" si="54"/>
        <v>6</v>
      </c>
      <c r="J212" s="268">
        <v>52018</v>
      </c>
      <c r="K212" s="44">
        <f>+SUMIFS('Monthly Energy Data'!AE$8:AE$595,'Monthly Energy Data'!$D$8:$D$595,'Peak Load Projections'!$H212,'Monthly Energy Data'!$E$8:$E$595,'Peak Load Projections'!$I212)*VLOOKUP($I212,$A$3:$E$14,5)</f>
        <v>104.65046479275246</v>
      </c>
      <c r="L212" s="44">
        <f>+SUMIFS('Monthly Energy Data'!AF$8:AF$595,'Monthly Energy Data'!$D$8:$D$595,'Peak Load Projections'!$H212,'Monthly Energy Data'!$E$8:$E$595,'Peak Load Projections'!$I212)*VLOOKUP($I212,$A$3:$E$14,5)</f>
        <v>111.92477797355167</v>
      </c>
      <c r="M212" s="44">
        <f>+SUMIFS('Monthly Energy Data'!AG$8:AG$595,'Monthly Energy Data'!$D$8:$D$595,'Peak Load Projections'!$H212,'Monthly Energy Data'!$E$8:$E$595,'Peak Load Projections'!$I212)*VLOOKUP($I212,$A$3:$E$14,5)</f>
        <v>96.236926809864485</v>
      </c>
      <c r="N212" s="44">
        <f t="shared" si="57"/>
        <v>104.08085239170808</v>
      </c>
      <c r="O212" s="269" t="str">
        <f t="shared" si="55"/>
        <v>S</v>
      </c>
      <c r="AA212">
        <f t="shared" si="60"/>
        <v>2042</v>
      </c>
      <c r="AB212">
        <f t="shared" si="58"/>
        <v>6</v>
      </c>
      <c r="AC212" s="271">
        <f t="shared" si="59"/>
        <v>52018</v>
      </c>
      <c r="AD212" s="44">
        <f>+L212*VLOOKUP($AB212,'Peak Loads - 2022-2024'!$L$4:$M$15,2)</f>
        <v>95.131220849375779</v>
      </c>
      <c r="AE212" s="44">
        <f>+M212*VLOOKUP($AB212,'Peak Loads - 2022-2024'!$L$4:$M$15,2)</f>
        <v>81.79722581516161</v>
      </c>
      <c r="AF212" s="44">
        <f>+K212*VLOOKUP($AB212,'Peak Loads - 2022-2024'!$L$4:$M$15,2)</f>
        <v>88.948369239041014</v>
      </c>
      <c r="AG212" s="44"/>
    </row>
    <row r="213" spans="5:33" x14ac:dyDescent="0.2">
      <c r="E213" s="175"/>
      <c r="H213">
        <f t="shared" si="56"/>
        <v>2042</v>
      </c>
      <c r="I213">
        <f t="shared" si="54"/>
        <v>7</v>
      </c>
      <c r="J213" s="268">
        <v>52048</v>
      </c>
      <c r="K213" s="44">
        <f>+SUMIFS('Monthly Energy Data'!AE$8:AE$595,'Monthly Energy Data'!$D$8:$D$595,'Peak Load Projections'!$H213,'Monthly Energy Data'!$E$8:$E$595,'Peak Load Projections'!$I213)*VLOOKUP($I213,$A$3:$E$14,5)</f>
        <v>107.94868964826769</v>
      </c>
      <c r="L213" s="44">
        <f>+SUMIFS('Monthly Energy Data'!AF$8:AF$595,'Monthly Energy Data'!$D$8:$D$595,'Peak Load Projections'!$H213,'Monthly Energy Data'!$E$8:$E$595,'Peak Load Projections'!$I213)*VLOOKUP($I213,$A$3:$E$14,5)</f>
        <v>117.45155069035449</v>
      </c>
      <c r="M213" s="44">
        <f>+SUMIFS('Monthly Energy Data'!AG$8:AG$595,'Monthly Energy Data'!$D$8:$D$595,'Peak Load Projections'!$H213,'Monthly Energy Data'!$E$8:$E$595,'Peak Load Projections'!$I213)*VLOOKUP($I213,$A$3:$E$14,5)</f>
        <v>100.45885269481431</v>
      </c>
      <c r="N213" s="44">
        <f t="shared" si="57"/>
        <v>108.95520169258441</v>
      </c>
      <c r="O213" s="269" t="str">
        <f t="shared" si="55"/>
        <v>S</v>
      </c>
      <c r="AA213">
        <f t="shared" si="60"/>
        <v>2042</v>
      </c>
      <c r="AB213">
        <f t="shared" si="58"/>
        <v>7</v>
      </c>
      <c r="AC213" s="271">
        <f t="shared" si="59"/>
        <v>52048</v>
      </c>
      <c r="AD213" s="44">
        <f>+L213*VLOOKUP($AB213,'Peak Loads - 2022-2024'!$L$4:$M$15,2)</f>
        <v>84.260024308776707</v>
      </c>
      <c r="AE213" s="44">
        <f>+M213*VLOOKUP($AB213,'Peak Loads - 2022-2024'!$L$4:$M$15,2)</f>
        <v>72.069421990117817</v>
      </c>
      <c r="AF213" s="44">
        <f>+K213*VLOOKUP($AB213,'Peak Loads - 2022-2024'!$L$4:$M$15,2)</f>
        <v>77.442648993570089</v>
      </c>
      <c r="AG213" s="44"/>
    </row>
    <row r="214" spans="5:33" x14ac:dyDescent="0.2">
      <c r="E214" s="175"/>
      <c r="H214">
        <f t="shared" si="56"/>
        <v>2042</v>
      </c>
      <c r="I214">
        <f t="shared" si="54"/>
        <v>8</v>
      </c>
      <c r="J214" s="268">
        <v>52079</v>
      </c>
      <c r="K214" s="44">
        <f>+SUMIFS('Monthly Energy Data'!AE$8:AE$595,'Monthly Energy Data'!$D$8:$D$595,'Peak Load Projections'!$H214,'Monthly Energy Data'!$E$8:$E$595,'Peak Load Projections'!$I214)*VLOOKUP($I214,$A$3:$E$14,5)</f>
        <v>105.79397027603072</v>
      </c>
      <c r="L214" s="44">
        <f>+SUMIFS('Monthly Energy Data'!AF$8:AF$595,'Monthly Energy Data'!$D$8:$D$595,'Peak Load Projections'!$H214,'Monthly Energy Data'!$E$8:$E$595,'Peak Load Projections'!$I214)*VLOOKUP($I214,$A$3:$E$14,5)</f>
        <v>114.09582335940695</v>
      </c>
      <c r="M214" s="44">
        <f>+SUMIFS('Monthly Energy Data'!AG$8:AG$595,'Monthly Energy Data'!$D$8:$D$595,'Peak Load Projections'!$H214,'Monthly Energy Data'!$E$8:$E$595,'Peak Load Projections'!$I214)*VLOOKUP($I214,$A$3:$E$14,5)</f>
        <v>98.111937147952943</v>
      </c>
      <c r="N214" s="44">
        <f t="shared" si="57"/>
        <v>106.10388025367995</v>
      </c>
      <c r="O214" s="269" t="str">
        <f t="shared" si="55"/>
        <v>S</v>
      </c>
      <c r="AA214">
        <f t="shared" si="60"/>
        <v>2042</v>
      </c>
      <c r="AB214">
        <f t="shared" si="58"/>
        <v>8</v>
      </c>
      <c r="AC214" s="271">
        <f t="shared" si="59"/>
        <v>52079</v>
      </c>
      <c r="AD214" s="44">
        <f>+L214*VLOOKUP($AB214,'Peak Loads - 2022-2024'!$L$4:$M$15,2)</f>
        <v>81.602668405150141</v>
      </c>
      <c r="AE214" s="44">
        <f>+M214*VLOOKUP($AB214,'Peak Loads - 2022-2024'!$L$4:$M$15,2)</f>
        <v>70.170805888761251</v>
      </c>
      <c r="AF214" s="44">
        <f>+K214*VLOOKUP($AB214,'Peak Loads - 2022-2024'!$L$4:$M$15,2)</f>
        <v>75.665085903317319</v>
      </c>
      <c r="AG214" s="44"/>
    </row>
    <row r="215" spans="5:33" x14ac:dyDescent="0.2">
      <c r="E215" s="175"/>
      <c r="H215">
        <f t="shared" si="56"/>
        <v>2042</v>
      </c>
      <c r="I215">
        <f t="shared" si="54"/>
        <v>9</v>
      </c>
      <c r="J215" s="268">
        <v>52110</v>
      </c>
      <c r="K215" s="44">
        <f>+SUMIFS('Monthly Energy Data'!AE$8:AE$595,'Monthly Energy Data'!$D$8:$D$595,'Peak Load Projections'!$H215,'Monthly Energy Data'!$E$8:$E$595,'Peak Load Projections'!$I215)*VLOOKUP($I215,$A$3:$E$14,5)</f>
        <v>89.30738563034852</v>
      </c>
      <c r="L215" s="44">
        <f>+SUMIFS('Monthly Energy Data'!AF$8:AF$595,'Monthly Energy Data'!$D$8:$D$595,'Peak Load Projections'!$H215,'Monthly Energy Data'!$E$8:$E$595,'Peak Load Projections'!$I215)*VLOOKUP($I215,$A$3:$E$14,5)</f>
        <v>96.183820869207651</v>
      </c>
      <c r="M215" s="44">
        <f>+SUMIFS('Monthly Energy Data'!AG$8:AG$595,'Monthly Energy Data'!$D$8:$D$595,'Peak Load Projections'!$H215,'Monthly Energy Data'!$E$8:$E$595,'Peak Load Projections'!$I215)*VLOOKUP($I215,$A$3:$E$14,5)</f>
        <v>81.916984748935107</v>
      </c>
      <c r="N215" s="44">
        <f t="shared" si="57"/>
        <v>89.050402809071386</v>
      </c>
      <c r="O215" s="269" t="str">
        <f t="shared" si="55"/>
        <v>S</v>
      </c>
      <c r="AA215">
        <f t="shared" si="60"/>
        <v>2042</v>
      </c>
      <c r="AB215">
        <f t="shared" si="58"/>
        <v>9</v>
      </c>
      <c r="AC215" s="271">
        <f t="shared" si="59"/>
        <v>52110</v>
      </c>
      <c r="AD215" s="44">
        <f>+L215*VLOOKUP($AB215,'Peak Loads - 2022-2024'!$L$4:$M$15,2)</f>
        <v>68.78513659924991</v>
      </c>
      <c r="AE215" s="44">
        <f>+M215*VLOOKUP($AB215,'Peak Loads - 2022-2024'!$L$4:$M$15,2)</f>
        <v>58.582315974079378</v>
      </c>
      <c r="AF215" s="44">
        <f>+K215*VLOOKUP($AB215,'Peak Loads - 2022-2024'!$L$4:$M$15,2)</f>
        <v>63.867505619877512</v>
      </c>
      <c r="AG215" s="44"/>
    </row>
    <row r="216" spans="5:33" x14ac:dyDescent="0.2">
      <c r="E216" s="175"/>
      <c r="H216">
        <f t="shared" si="56"/>
        <v>2042</v>
      </c>
      <c r="I216">
        <f t="shared" si="54"/>
        <v>10</v>
      </c>
      <c r="J216" s="268">
        <v>52140</v>
      </c>
      <c r="K216" s="44">
        <f>+SUMIFS('Monthly Energy Data'!AE$8:AE$595,'Monthly Energy Data'!$D$8:$D$595,'Peak Load Projections'!$H216,'Monthly Energy Data'!$E$8:$E$595,'Peak Load Projections'!$I216)*VLOOKUP($I216,$A$3:$E$14,5)</f>
        <v>87.158934346608675</v>
      </c>
      <c r="L216" s="44">
        <f>+SUMIFS('Monthly Energy Data'!AF$8:AF$595,'Monthly Energy Data'!$D$8:$D$595,'Peak Load Projections'!$H216,'Monthly Energy Data'!$E$8:$E$595,'Peak Load Projections'!$I216)*VLOOKUP($I216,$A$3:$E$14,5)</f>
        <v>95.9677928957516</v>
      </c>
      <c r="M216" s="44">
        <f>+SUMIFS('Monthly Energy Data'!AG$8:AG$595,'Monthly Energy Data'!$D$8:$D$595,'Peak Load Projections'!$H216,'Monthly Energy Data'!$E$8:$E$595,'Peak Load Projections'!$I216)*VLOOKUP($I216,$A$3:$E$14,5)</f>
        <v>80.513894975201993</v>
      </c>
      <c r="N216" s="44">
        <f t="shared" si="57"/>
        <v>88.240843935476789</v>
      </c>
      <c r="O216" s="269" t="str">
        <f t="shared" si="55"/>
        <v>W</v>
      </c>
      <c r="AA216">
        <f t="shared" si="60"/>
        <v>2042</v>
      </c>
      <c r="AB216">
        <f t="shared" si="58"/>
        <v>10</v>
      </c>
      <c r="AC216" s="271">
        <f t="shared" si="59"/>
        <v>52140</v>
      </c>
      <c r="AD216" s="44">
        <f>+L216*VLOOKUP($AB216,'Peak Loads - 2022-2024'!$L$4:$M$15,2)</f>
        <v>66.662303742306179</v>
      </c>
      <c r="AE216" s="44">
        <f>+M216*VLOOKUP($AB216,'Peak Loads - 2022-2024'!$L$4:$M$15,2)</f>
        <v>55.927531105601332</v>
      </c>
      <c r="AF216" s="44">
        <f>+K216*VLOOKUP($AB216,'Peak Loads - 2022-2024'!$L$4:$M$15,2)</f>
        <v>60.543388359268626</v>
      </c>
      <c r="AG216" s="44"/>
    </row>
    <row r="217" spans="5:33" x14ac:dyDescent="0.2">
      <c r="E217" s="175"/>
      <c r="H217">
        <f t="shared" si="56"/>
        <v>2042</v>
      </c>
      <c r="I217">
        <f t="shared" si="54"/>
        <v>11</v>
      </c>
      <c r="J217" s="268">
        <v>52171</v>
      </c>
      <c r="K217" s="44">
        <f>+SUMIFS('Monthly Energy Data'!AE$8:AE$595,'Monthly Energy Data'!$D$8:$D$595,'Peak Load Projections'!$H217,'Monthly Energy Data'!$E$8:$E$595,'Peak Load Projections'!$I217)*VLOOKUP($I217,$A$3:$E$14,5)</f>
        <v>110.30297983970188</v>
      </c>
      <c r="L217" s="44">
        <f>+SUMIFS('Monthly Energy Data'!AF$8:AF$595,'Monthly Energy Data'!$D$8:$D$595,'Peak Load Projections'!$H217,'Monthly Energy Data'!$E$8:$E$595,'Peak Load Projections'!$I217)*VLOOKUP($I217,$A$3:$E$14,5)</f>
        <v>128.58216337850783</v>
      </c>
      <c r="M217" s="44">
        <f>+SUMIFS('Monthly Energy Data'!AG$8:AG$595,'Monthly Energy Data'!$D$8:$D$595,'Peak Load Projections'!$H217,'Monthly Energy Data'!$E$8:$E$595,'Peak Load Projections'!$I217)*VLOOKUP($I217,$A$3:$E$14,5)</f>
        <v>102.3200819542557</v>
      </c>
      <c r="N217" s="44">
        <f t="shared" si="57"/>
        <v>115.45112266638176</v>
      </c>
      <c r="O217" s="269" t="str">
        <f t="shared" si="55"/>
        <v>W</v>
      </c>
      <c r="AA217">
        <f t="shared" si="60"/>
        <v>2042</v>
      </c>
      <c r="AB217">
        <f t="shared" si="58"/>
        <v>11</v>
      </c>
      <c r="AC217" s="271">
        <f t="shared" si="59"/>
        <v>52171</v>
      </c>
      <c r="AD217" s="44">
        <f>+L217*VLOOKUP($AB217,'Peak Loads - 2022-2024'!$L$4:$M$15,2)</f>
        <v>91.45362469359786</v>
      </c>
      <c r="AE217" s="44">
        <f>+M217*VLOOKUP($AB217,'Peak Loads - 2022-2024'!$L$4:$M$15,2)</f>
        <v>72.77480894544324</v>
      </c>
      <c r="AF217" s="44">
        <f>+K217*VLOOKUP($AB217,'Peak Loads - 2022-2024'!$L$4:$M$15,2)</f>
        <v>78.452617810999612</v>
      </c>
      <c r="AG217" s="44"/>
    </row>
    <row r="218" spans="5:33" x14ac:dyDescent="0.2">
      <c r="E218" s="175"/>
      <c r="H218">
        <f t="shared" si="56"/>
        <v>2042</v>
      </c>
      <c r="I218">
        <f t="shared" si="54"/>
        <v>12</v>
      </c>
      <c r="J218" s="268">
        <v>52201</v>
      </c>
      <c r="K218" s="44">
        <f>+SUMIFS('Monthly Energy Data'!AE$8:AE$595,'Monthly Energy Data'!$D$8:$D$595,'Peak Load Projections'!$H218,'Monthly Energy Data'!$E$8:$E$595,'Peak Load Projections'!$I218)*VLOOKUP($I218,$A$3:$E$14,5)</f>
        <v>120.98047811075953</v>
      </c>
      <c r="L218" s="44">
        <f>+SUMIFS('Monthly Energy Data'!AF$8:AF$595,'Monthly Energy Data'!$D$8:$D$595,'Peak Load Projections'!$H218,'Monthly Energy Data'!$E$8:$E$595,'Peak Load Projections'!$I218)*VLOOKUP($I218,$A$3:$E$14,5)</f>
        <v>139.16584923437591</v>
      </c>
      <c r="M218" s="44">
        <f>+SUMIFS('Monthly Energy Data'!AG$8:AG$595,'Monthly Energy Data'!$D$8:$D$595,'Peak Load Projections'!$H218,'Monthly Energy Data'!$E$8:$E$595,'Peak Load Projections'!$I218)*VLOOKUP($I218,$A$3:$E$14,5)</f>
        <v>112.30377357656913</v>
      </c>
      <c r="N218" s="44">
        <f t="shared" si="57"/>
        <v>125.73481140547253</v>
      </c>
      <c r="O218" s="269" t="str">
        <f t="shared" si="55"/>
        <v>W</v>
      </c>
      <c r="AA218">
        <f t="shared" si="60"/>
        <v>2042</v>
      </c>
      <c r="AB218">
        <f t="shared" si="58"/>
        <v>12</v>
      </c>
      <c r="AC218" s="271">
        <f t="shared" si="59"/>
        <v>52201</v>
      </c>
      <c r="AD218" s="44">
        <f>+L218*VLOOKUP($AB218,'Peak Loads - 2022-2024'!$L$4:$M$15,2)</f>
        <v>119.22765593154979</v>
      </c>
      <c r="AE218" s="44">
        <f>+M218*VLOOKUP($AB218,'Peak Loads - 2022-2024'!$L$4:$M$15,2)</f>
        <v>96.214090953101504</v>
      </c>
      <c r="AF218" s="44">
        <f>+K218*VLOOKUP($AB218,'Peak Loads - 2022-2024'!$L$4:$M$15,2)</f>
        <v>103.64769013360099</v>
      </c>
      <c r="AG218" s="44"/>
    </row>
    <row r="219" spans="5:33" x14ac:dyDescent="0.2">
      <c r="E219" s="175"/>
      <c r="H219">
        <f t="shared" si="56"/>
        <v>2043</v>
      </c>
      <c r="I219">
        <f t="shared" si="54"/>
        <v>1</v>
      </c>
      <c r="J219" s="268">
        <v>52232</v>
      </c>
      <c r="K219" s="44">
        <f>+SUMIFS('Monthly Energy Data'!AE$8:AE$595,'Monthly Energy Data'!$D$8:$D$595,'Peak Load Projections'!$H219,'Monthly Energy Data'!$E$8:$E$595,'Peak Load Projections'!$I219)*VLOOKUP($I219,$A$3:$E$14,5)</f>
        <v>123.87125944037176</v>
      </c>
      <c r="L219" s="44">
        <f>+SUMIFS('Monthly Energy Data'!AF$8:AF$595,'Monthly Energy Data'!$D$8:$D$595,'Peak Load Projections'!$H219,'Monthly Energy Data'!$E$8:$E$595,'Peak Load Projections'!$I219)*VLOOKUP($I219,$A$3:$E$14,5)</f>
        <v>143.67390510537928</v>
      </c>
      <c r="M219" s="44">
        <f>+SUMIFS('Monthly Energy Data'!AG$8:AG$595,'Monthly Energy Data'!$D$8:$D$595,'Peak Load Projections'!$H219,'Monthly Energy Data'!$E$8:$E$595,'Peak Load Projections'!$I219)*VLOOKUP($I219,$A$3:$E$14,5)</f>
        <v>115.44927980482262</v>
      </c>
      <c r="N219" s="44">
        <f t="shared" si="57"/>
        <v>129.56159245510094</v>
      </c>
      <c r="O219" s="269" t="str">
        <f t="shared" si="55"/>
        <v>W</v>
      </c>
      <c r="AA219">
        <f t="shared" si="60"/>
        <v>2043</v>
      </c>
      <c r="AB219">
        <f t="shared" si="58"/>
        <v>1</v>
      </c>
      <c r="AC219" s="271">
        <f t="shared" si="59"/>
        <v>52232</v>
      </c>
      <c r="AD219" s="44">
        <f>+L219*VLOOKUP($AB219,'Peak Loads - 2022-2024'!$L$4:$M$15,2)</f>
        <v>127.12515739835322</v>
      </c>
      <c r="AE219" s="44">
        <f>+M219*VLOOKUP($AB219,'Peak Loads - 2022-2024'!$L$4:$M$15,2)</f>
        <v>102.15152052803148</v>
      </c>
      <c r="AF219" s="44">
        <f>+K219*VLOOKUP($AB219,'Peak Loads - 2022-2024'!$L$4:$M$15,2)</f>
        <v>109.60343384513408</v>
      </c>
      <c r="AG219" s="44"/>
    </row>
    <row r="220" spans="5:33" x14ac:dyDescent="0.2">
      <c r="E220" s="175"/>
      <c r="H220">
        <f t="shared" si="56"/>
        <v>2043</v>
      </c>
      <c r="I220">
        <f t="shared" si="54"/>
        <v>2</v>
      </c>
      <c r="J220" s="268">
        <v>52263</v>
      </c>
      <c r="K220" s="44">
        <f>+SUMIFS('Monthly Energy Data'!AE$8:AE$595,'Monthly Energy Data'!$D$8:$D$595,'Peak Load Projections'!$H220,'Monthly Energy Data'!$E$8:$E$595,'Peak Load Projections'!$I220)*VLOOKUP($I220,$A$3:$E$14,5)</f>
        <v>117.20374491938264</v>
      </c>
      <c r="L220" s="44">
        <f>+SUMIFS('Monthly Energy Data'!AF$8:AF$595,'Monthly Energy Data'!$D$8:$D$595,'Peak Load Projections'!$H220,'Monthly Energy Data'!$E$8:$E$595,'Peak Load Projections'!$I220)*VLOOKUP($I220,$A$3:$E$14,5)</f>
        <v>134.61447777825657</v>
      </c>
      <c r="M220" s="44">
        <f>+SUMIFS('Monthly Energy Data'!AG$8:AG$595,'Monthly Energy Data'!$D$8:$D$595,'Peak Load Projections'!$H220,'Monthly Energy Data'!$E$8:$E$595,'Peak Load Projections'!$I220)*VLOOKUP($I220,$A$3:$E$14,5)</f>
        <v>108.37738546904332</v>
      </c>
      <c r="N220" s="44">
        <f t="shared" si="57"/>
        <v>121.49593162364994</v>
      </c>
      <c r="O220" s="269" t="str">
        <f t="shared" si="55"/>
        <v>W</v>
      </c>
      <c r="AA220">
        <f t="shared" si="60"/>
        <v>2043</v>
      </c>
      <c r="AB220">
        <f t="shared" si="58"/>
        <v>2</v>
      </c>
      <c r="AC220" s="271">
        <f t="shared" si="59"/>
        <v>52263</v>
      </c>
      <c r="AD220" s="44">
        <f>+L220*VLOOKUP($AB220,'Peak Loads - 2022-2024'!$L$4:$M$15,2)</f>
        <v>107.35862476718631</v>
      </c>
      <c r="AE220" s="44">
        <f>+M220*VLOOKUP($AB220,'Peak Loads - 2022-2024'!$L$4:$M$15,2)</f>
        <v>86.433846134929624</v>
      </c>
      <c r="AF220" s="44">
        <f>+K220*VLOOKUP($AB220,'Peak Loads - 2022-2024'!$L$4:$M$15,2)</f>
        <v>93.473102446202461</v>
      </c>
      <c r="AG220" s="44"/>
    </row>
    <row r="221" spans="5:33" x14ac:dyDescent="0.2">
      <c r="E221" s="175"/>
      <c r="H221">
        <f t="shared" si="56"/>
        <v>2043</v>
      </c>
      <c r="I221">
        <f t="shared" si="54"/>
        <v>3</v>
      </c>
      <c r="J221" s="268">
        <v>52291</v>
      </c>
      <c r="K221" s="44">
        <f>+SUMIFS('Monthly Energy Data'!AE$8:AE$595,'Monthly Energy Data'!$D$8:$D$595,'Peak Load Projections'!$H221,'Monthly Energy Data'!$E$8:$E$595,'Peak Load Projections'!$I221)*VLOOKUP($I221,$A$3:$E$14,5)</f>
        <v>102.96427490976369</v>
      </c>
      <c r="L221" s="44">
        <f>+SUMIFS('Monthly Energy Data'!AF$8:AF$595,'Monthly Energy Data'!$D$8:$D$595,'Peak Load Projections'!$H221,'Monthly Energy Data'!$E$8:$E$595,'Peak Load Projections'!$I221)*VLOOKUP($I221,$A$3:$E$14,5)</f>
        <v>116.11977943864144</v>
      </c>
      <c r="M221" s="44">
        <f>+SUMIFS('Monthly Energy Data'!AG$8:AG$595,'Monthly Energy Data'!$D$8:$D$595,'Peak Load Projections'!$H221,'Monthly Energy Data'!$E$8:$E$595,'Peak Load Projections'!$I221)*VLOOKUP($I221,$A$3:$E$14,5)</f>
        <v>95.642076451295765</v>
      </c>
      <c r="N221" s="44">
        <f t="shared" si="57"/>
        <v>105.8809279449686</v>
      </c>
      <c r="O221" s="269" t="str">
        <f t="shared" si="55"/>
        <v>W</v>
      </c>
      <c r="AA221">
        <f t="shared" si="60"/>
        <v>2043</v>
      </c>
      <c r="AB221">
        <f t="shared" si="58"/>
        <v>3</v>
      </c>
      <c r="AC221" s="271">
        <f t="shared" si="59"/>
        <v>52291</v>
      </c>
      <c r="AD221" s="44">
        <f>+L221*VLOOKUP($AB221,'Peak Loads - 2022-2024'!$L$4:$M$15,2)</f>
        <v>82.87396579084357</v>
      </c>
      <c r="AE221" s="44">
        <f>+M221*VLOOKUP($AB221,'Peak Loads - 2022-2024'!$L$4:$M$15,2)</f>
        <v>68.259156280762767</v>
      </c>
      <c r="AF221" s="44">
        <f>+K221*VLOOKUP($AB221,'Peak Loads - 2022-2024'!$L$4:$M$15,2)</f>
        <v>73.484963869223492</v>
      </c>
      <c r="AG221" s="44"/>
    </row>
    <row r="222" spans="5:33" x14ac:dyDescent="0.2">
      <c r="E222" s="175"/>
      <c r="H222">
        <f t="shared" si="56"/>
        <v>2043</v>
      </c>
      <c r="I222">
        <f t="shared" si="54"/>
        <v>4</v>
      </c>
      <c r="J222" s="268">
        <v>52322</v>
      </c>
      <c r="K222" s="44">
        <f>+SUMIFS('Monthly Energy Data'!AE$8:AE$595,'Monthly Energy Data'!$D$8:$D$595,'Peak Load Projections'!$H222,'Monthly Energy Data'!$E$8:$E$595,'Peak Load Projections'!$I222)*VLOOKUP($I222,$A$3:$E$14,5)</f>
        <v>99.488759661002049</v>
      </c>
      <c r="L222" s="44">
        <f>+SUMIFS('Monthly Energy Data'!AF$8:AF$595,'Monthly Energy Data'!$D$8:$D$595,'Peak Load Projections'!$H222,'Monthly Energy Data'!$E$8:$E$595,'Peak Load Projections'!$I222)*VLOOKUP($I222,$A$3:$E$14,5)</f>
        <v>110.30108781925665</v>
      </c>
      <c r="M222" s="44">
        <f>+SUMIFS('Monthly Energy Data'!AG$8:AG$595,'Monthly Energy Data'!$D$8:$D$595,'Peak Load Projections'!$H222,'Monthly Energy Data'!$E$8:$E$595,'Peak Load Projections'!$I222)*VLOOKUP($I222,$A$3:$E$14,5)</f>
        <v>91.362565343192017</v>
      </c>
      <c r="N222" s="44">
        <f t="shared" si="57"/>
        <v>100.83182658122433</v>
      </c>
      <c r="O222" s="269" t="str">
        <f t="shared" si="55"/>
        <v>W</v>
      </c>
      <c r="AA222">
        <f t="shared" si="60"/>
        <v>2043</v>
      </c>
      <c r="AB222">
        <f t="shared" si="58"/>
        <v>4</v>
      </c>
      <c r="AC222" s="271">
        <f t="shared" si="59"/>
        <v>52322</v>
      </c>
      <c r="AD222" s="44">
        <f>+L222*VLOOKUP($AB222,'Peak Loads - 2022-2024'!$L$4:$M$15,2)</f>
        <v>76.960917948605882</v>
      </c>
      <c r="AE222" s="44">
        <f>+M222*VLOOKUP($AB222,'Peak Loads - 2022-2024'!$L$4:$M$15,2)</f>
        <v>63.746849953768027</v>
      </c>
      <c r="AF222" s="44">
        <f>+K222*VLOOKUP($AB222,'Peak Loads - 2022-2024'!$L$4:$M$15,2)</f>
        <v>69.416779294376227</v>
      </c>
      <c r="AG222" s="44"/>
    </row>
    <row r="223" spans="5:33" x14ac:dyDescent="0.2">
      <c r="E223" s="175"/>
      <c r="H223">
        <f t="shared" si="56"/>
        <v>2043</v>
      </c>
      <c r="I223">
        <f t="shared" si="54"/>
        <v>5</v>
      </c>
      <c r="J223" s="268">
        <v>52352</v>
      </c>
      <c r="K223" s="44">
        <f>+SUMIFS('Monthly Energy Data'!AE$8:AE$595,'Monthly Energy Data'!$D$8:$D$595,'Peak Load Projections'!$H223,'Monthly Energy Data'!$E$8:$E$595,'Peak Load Projections'!$I223)*VLOOKUP($I223,$A$3:$E$14,5)</f>
        <v>84.620331352519429</v>
      </c>
      <c r="L223" s="44">
        <f>+SUMIFS('Monthly Energy Data'!AF$8:AF$595,'Monthly Energy Data'!$D$8:$D$595,'Peak Load Projections'!$H223,'Monthly Energy Data'!$E$8:$E$595,'Peak Load Projections'!$I223)*VLOOKUP($I223,$A$3:$E$14,5)</f>
        <v>91.306093588441101</v>
      </c>
      <c r="M223" s="44">
        <f>+SUMIFS('Monthly Energy Data'!AG$8:AG$595,'Monthly Energy Data'!$D$8:$D$595,'Peak Load Projections'!$H223,'Monthly Energy Data'!$E$8:$E$595,'Peak Load Projections'!$I223)*VLOOKUP($I223,$A$3:$E$14,5)</f>
        <v>77.789685136260573</v>
      </c>
      <c r="N223" s="44">
        <f t="shared" si="57"/>
        <v>84.547889362350844</v>
      </c>
      <c r="O223" s="269" t="str">
        <f t="shared" si="55"/>
        <v>W</v>
      </c>
      <c r="AA223">
        <f t="shared" si="60"/>
        <v>2043</v>
      </c>
      <c r="AB223">
        <f t="shared" si="58"/>
        <v>5</v>
      </c>
      <c r="AC223" s="271">
        <f t="shared" si="59"/>
        <v>52352</v>
      </c>
      <c r="AD223" s="44">
        <f>+L223*VLOOKUP($AB223,'Peak Loads - 2022-2024'!$L$4:$M$15,2)</f>
        <v>65.023543402127288</v>
      </c>
      <c r="AE223" s="44">
        <f>+M223*VLOOKUP($AB223,'Peak Loads - 2022-2024'!$L$4:$M$15,2)</f>
        <v>55.397846615746502</v>
      </c>
      <c r="AF223" s="44">
        <f>+K223*VLOOKUP($AB223,'Peak Loads - 2022-2024'!$L$4:$M$15,2)</f>
        <v>60.262284499919787</v>
      </c>
      <c r="AG223" s="44"/>
    </row>
    <row r="224" spans="5:33" x14ac:dyDescent="0.2">
      <c r="E224" s="175"/>
      <c r="H224">
        <f t="shared" si="56"/>
        <v>2043</v>
      </c>
      <c r="I224">
        <f t="shared" si="54"/>
        <v>6</v>
      </c>
      <c r="J224" s="268">
        <v>52383</v>
      </c>
      <c r="K224" s="44">
        <f>+SUMIFS('Monthly Energy Data'!AE$8:AE$595,'Monthly Energy Data'!$D$8:$D$595,'Peak Load Projections'!$H224,'Monthly Energy Data'!$E$8:$E$595,'Peak Load Projections'!$I224)*VLOOKUP($I224,$A$3:$E$14,5)</f>
        <v>104.37608566893323</v>
      </c>
      <c r="L224" s="44">
        <f>+SUMIFS('Monthly Energy Data'!AF$8:AF$595,'Monthly Energy Data'!$D$8:$D$595,'Peak Load Projections'!$H224,'Monthly Energy Data'!$E$8:$E$595,'Peak Load Projections'!$I224)*VLOOKUP($I224,$A$3:$E$14,5)</f>
        <v>113.06006518749145</v>
      </c>
      <c r="M224" s="44">
        <f>+SUMIFS('Monthly Energy Data'!AG$8:AG$595,'Monthly Energy Data'!$D$8:$D$595,'Peak Load Projections'!$H224,'Monthly Energy Data'!$E$8:$E$595,'Peak Load Projections'!$I224)*VLOOKUP($I224,$A$3:$E$14,5)</f>
        <v>96.590229569421595</v>
      </c>
      <c r="N224" s="44">
        <f t="shared" si="57"/>
        <v>104.82514737845652</v>
      </c>
      <c r="O224" s="269" t="str">
        <f t="shared" si="55"/>
        <v>S</v>
      </c>
      <c r="AA224">
        <f t="shared" si="60"/>
        <v>2043</v>
      </c>
      <c r="AB224">
        <f t="shared" si="58"/>
        <v>6</v>
      </c>
      <c r="AC224" s="271">
        <f t="shared" si="59"/>
        <v>52383</v>
      </c>
      <c r="AD224" s="44">
        <f>+L224*VLOOKUP($AB224,'Peak Loads - 2022-2024'!$L$4:$M$15,2)</f>
        <v>96.096165883283277</v>
      </c>
      <c r="AE224" s="44">
        <f>+M224*VLOOKUP($AB224,'Peak Loads - 2022-2024'!$L$4:$M$15,2)</f>
        <v>82.097517881446194</v>
      </c>
      <c r="AF224" s="44">
        <f>+K224*VLOOKUP($AB224,'Peak Loads - 2022-2024'!$L$4:$M$15,2)</f>
        <v>88.715158849910978</v>
      </c>
      <c r="AG224" s="44"/>
    </row>
    <row r="225" spans="5:33" x14ac:dyDescent="0.2">
      <c r="E225" s="175"/>
      <c r="H225">
        <f t="shared" si="56"/>
        <v>2043</v>
      </c>
      <c r="I225">
        <f t="shared" si="54"/>
        <v>7</v>
      </c>
      <c r="J225" s="268">
        <v>52413</v>
      </c>
      <c r="K225" s="44">
        <f>+SUMIFS('Monthly Energy Data'!AE$8:AE$595,'Monthly Energy Data'!$D$8:$D$595,'Peak Load Projections'!$H225,'Monthly Energy Data'!$E$8:$E$595,'Peak Load Projections'!$I225)*VLOOKUP($I225,$A$3:$E$14,5)</f>
        <v>107.82006192090559</v>
      </c>
      <c r="L225" s="44">
        <f>+SUMIFS('Monthly Energy Data'!AF$8:AF$595,'Monthly Energy Data'!$D$8:$D$595,'Peak Load Projections'!$H225,'Monthly Energy Data'!$E$8:$E$595,'Peak Load Projections'!$I225)*VLOOKUP($I225,$A$3:$E$14,5)</f>
        <v>118.64985812324305</v>
      </c>
      <c r="M225" s="44">
        <f>+SUMIFS('Monthly Energy Data'!AG$8:AG$595,'Monthly Energy Data'!$D$8:$D$595,'Peak Load Projections'!$H225,'Monthly Energy Data'!$E$8:$E$595,'Peak Load Projections'!$I225)*VLOOKUP($I225,$A$3:$E$14,5)</f>
        <v>101.00832767936544</v>
      </c>
      <c r="N225" s="44">
        <f t="shared" si="57"/>
        <v>109.82909290130425</v>
      </c>
      <c r="O225" s="269" t="str">
        <f t="shared" si="55"/>
        <v>S</v>
      </c>
      <c r="AA225">
        <f t="shared" si="60"/>
        <v>2043</v>
      </c>
      <c r="AB225">
        <f t="shared" si="58"/>
        <v>7</v>
      </c>
      <c r="AC225" s="271">
        <f t="shared" si="59"/>
        <v>52413</v>
      </c>
      <c r="AD225" s="44">
        <f>+L225*VLOOKUP($AB225,'Peak Loads - 2022-2024'!$L$4:$M$15,2)</f>
        <v>85.119692936658595</v>
      </c>
      <c r="AE225" s="44">
        <f>+M225*VLOOKUP($AB225,'Peak Loads - 2022-2024'!$L$4:$M$15,2)</f>
        <v>72.463616662586674</v>
      </c>
      <c r="AF225" s="44">
        <f>+K225*VLOOKUP($AB225,'Peak Loads - 2022-2024'!$L$4:$M$15,2)</f>
        <v>77.350371153297999</v>
      </c>
      <c r="AG225" s="44"/>
    </row>
    <row r="226" spans="5:33" x14ac:dyDescent="0.2">
      <c r="E226" s="175"/>
      <c r="H226">
        <f t="shared" si="56"/>
        <v>2043</v>
      </c>
      <c r="I226">
        <f t="shared" si="54"/>
        <v>8</v>
      </c>
      <c r="J226" s="268">
        <v>52444</v>
      </c>
      <c r="K226" s="44">
        <f>+SUMIFS('Monthly Energy Data'!AE$8:AE$595,'Monthly Energy Data'!$D$8:$D$595,'Peak Load Projections'!$H226,'Monthly Energy Data'!$E$8:$E$595,'Peak Load Projections'!$I226)*VLOOKUP($I226,$A$3:$E$14,5)</f>
        <v>105.61772503801762</v>
      </c>
      <c r="L226" s="44">
        <f>+SUMIFS('Monthly Energy Data'!AF$8:AF$595,'Monthly Energy Data'!$D$8:$D$595,'Peak Load Projections'!$H226,'Monthly Energy Data'!$E$8:$E$595,'Peak Load Projections'!$I226)*VLOOKUP($I226,$A$3:$E$14,5)</f>
        <v>115.26498570715296</v>
      </c>
      <c r="M226" s="44">
        <f>+SUMIFS('Monthly Energy Data'!AG$8:AG$595,'Monthly Energy Data'!$D$8:$D$595,'Peak Load Projections'!$H226,'Monthly Energy Data'!$E$8:$E$595,'Peak Load Projections'!$I226)*VLOOKUP($I226,$A$3:$E$14,5)</f>
        <v>98.560251177291889</v>
      </c>
      <c r="N226" s="44">
        <f t="shared" si="57"/>
        <v>106.91261844222242</v>
      </c>
      <c r="O226" s="269" t="str">
        <f t="shared" si="55"/>
        <v>S</v>
      </c>
      <c r="AA226">
        <f t="shared" si="60"/>
        <v>2043</v>
      </c>
      <c r="AB226">
        <f t="shared" si="58"/>
        <v>8</v>
      </c>
      <c r="AC226" s="271">
        <f t="shared" si="59"/>
        <v>52444</v>
      </c>
      <c r="AD226" s="44">
        <f>+L226*VLOOKUP($AB226,'Peak Loads - 2022-2024'!$L$4:$M$15,2)</f>
        <v>82.438867001783862</v>
      </c>
      <c r="AE226" s="44">
        <f>+M226*VLOOKUP($AB226,'Peak Loads - 2022-2024'!$L$4:$M$15,2)</f>
        <v>70.491445330244417</v>
      </c>
      <c r="AF226" s="44">
        <f>+K226*VLOOKUP($AB226,'Peak Loads - 2022-2024'!$L$4:$M$15,2)</f>
        <v>75.539033246067405</v>
      </c>
      <c r="AG226" s="44"/>
    </row>
    <row r="227" spans="5:33" x14ac:dyDescent="0.2">
      <c r="E227" s="175"/>
      <c r="H227">
        <f t="shared" si="56"/>
        <v>2043</v>
      </c>
      <c r="I227">
        <f t="shared" si="54"/>
        <v>9</v>
      </c>
      <c r="J227" s="268">
        <v>52475</v>
      </c>
      <c r="K227" s="44">
        <f>+SUMIFS('Monthly Energy Data'!AE$8:AE$595,'Monthly Energy Data'!$D$8:$D$595,'Peak Load Projections'!$H227,'Monthly Energy Data'!$E$8:$E$595,'Peak Load Projections'!$I227)*VLOOKUP($I227,$A$3:$E$14,5)</f>
        <v>88.989379117700437</v>
      </c>
      <c r="L227" s="44">
        <f>+SUMIFS('Monthly Energy Data'!AF$8:AF$595,'Monthly Energy Data'!$D$8:$D$595,'Peak Load Projections'!$H227,'Monthly Energy Data'!$E$8:$E$595,'Peak Load Projections'!$I227)*VLOOKUP($I227,$A$3:$E$14,5)</f>
        <v>97.148801921716966</v>
      </c>
      <c r="M227" s="44">
        <f>+SUMIFS('Monthly Energy Data'!AG$8:AG$595,'Monthly Energy Data'!$D$8:$D$595,'Peak Load Projections'!$H227,'Monthly Energy Data'!$E$8:$E$595,'Peak Load Projections'!$I227)*VLOOKUP($I227,$A$3:$E$14,5)</f>
        <v>82.142337467011274</v>
      </c>
      <c r="N227" s="44">
        <f t="shared" si="57"/>
        <v>89.645569694364127</v>
      </c>
      <c r="O227" s="269" t="str">
        <f t="shared" si="55"/>
        <v>S</v>
      </c>
      <c r="AA227">
        <f t="shared" si="60"/>
        <v>2043</v>
      </c>
      <c r="AB227">
        <f t="shared" si="58"/>
        <v>9</v>
      </c>
      <c r="AC227" s="271">
        <f t="shared" si="59"/>
        <v>52475</v>
      </c>
      <c r="AD227" s="44">
        <f>+L227*VLOOKUP($AB227,'Peak Loads - 2022-2024'!$L$4:$M$15,2)</f>
        <v>69.475235546377419</v>
      </c>
      <c r="AE227" s="44">
        <f>+M227*VLOOKUP($AB227,'Peak Loads - 2022-2024'!$L$4:$M$15,2)</f>
        <v>58.743475276712616</v>
      </c>
      <c r="AF227" s="44">
        <f>+K227*VLOOKUP($AB227,'Peak Loads - 2022-2024'!$L$4:$M$15,2)</f>
        <v>63.640085652420673</v>
      </c>
      <c r="AG227" s="44"/>
    </row>
    <row r="228" spans="5:33" x14ac:dyDescent="0.2">
      <c r="E228" s="175"/>
      <c r="H228">
        <f t="shared" si="56"/>
        <v>2043</v>
      </c>
      <c r="I228">
        <f t="shared" si="54"/>
        <v>10</v>
      </c>
      <c r="J228" s="268">
        <v>52505</v>
      </c>
      <c r="K228" s="44">
        <f>+SUMIFS('Monthly Energy Data'!AE$8:AE$595,'Monthly Energy Data'!$D$8:$D$595,'Peak Load Projections'!$H228,'Monthly Energy Data'!$E$8:$E$595,'Peak Load Projections'!$I228)*VLOOKUP($I228,$A$3:$E$14,5)</f>
        <v>86.93576120710226</v>
      </c>
      <c r="L228" s="44">
        <f>+SUMIFS('Monthly Energy Data'!AF$8:AF$595,'Monthly Energy Data'!$D$8:$D$595,'Peak Load Projections'!$H228,'Monthly Energy Data'!$E$8:$E$595,'Peak Load Projections'!$I228)*VLOOKUP($I228,$A$3:$E$14,5)</f>
        <v>96.967643978794825</v>
      </c>
      <c r="M228" s="44">
        <f>+SUMIFS('Monthly Energy Data'!AG$8:AG$595,'Monthly Energy Data'!$D$8:$D$595,'Peak Load Projections'!$H228,'Monthly Energy Data'!$E$8:$E$595,'Peak Load Projections'!$I228)*VLOOKUP($I228,$A$3:$E$14,5)</f>
        <v>80.88521074689541</v>
      </c>
      <c r="N228" s="44">
        <f t="shared" si="57"/>
        <v>88.926427362845118</v>
      </c>
      <c r="O228" s="269" t="str">
        <f t="shared" si="55"/>
        <v>W</v>
      </c>
      <c r="AA228">
        <f t="shared" si="60"/>
        <v>2043</v>
      </c>
      <c r="AB228">
        <f t="shared" si="58"/>
        <v>10</v>
      </c>
      <c r="AC228" s="271">
        <f t="shared" si="59"/>
        <v>52505</v>
      </c>
      <c r="AD228" s="44">
        <f>+L228*VLOOKUP($AB228,'Peak Loads - 2022-2024'!$L$4:$M$15,2)</f>
        <v>67.356832339700361</v>
      </c>
      <c r="AE228" s="44">
        <f>+M228*VLOOKUP($AB228,'Peak Loads - 2022-2024'!$L$4:$M$15,2)</f>
        <v>56.185458937533703</v>
      </c>
      <c r="AF228" s="44">
        <f>+K228*VLOOKUP($AB228,'Peak Loads - 2022-2024'!$L$4:$M$15,2)</f>
        <v>60.388365146126056</v>
      </c>
      <c r="AG228" s="44"/>
    </row>
    <row r="229" spans="5:33" x14ac:dyDescent="0.2">
      <c r="E229" s="175"/>
      <c r="H229">
        <f t="shared" si="56"/>
        <v>2043</v>
      </c>
      <c r="I229">
        <f t="shared" si="54"/>
        <v>11</v>
      </c>
      <c r="J229" s="268">
        <v>52536</v>
      </c>
      <c r="K229" s="44">
        <f>+SUMIFS('Monthly Energy Data'!AE$8:AE$595,'Monthly Energy Data'!$D$8:$D$595,'Peak Load Projections'!$H229,'Monthly Energy Data'!$E$8:$E$595,'Peak Load Projections'!$I229)*VLOOKUP($I229,$A$3:$E$14,5)</f>
        <v>110.23687923783474</v>
      </c>
      <c r="L229" s="44">
        <f>+SUMIFS('Monthly Energy Data'!AF$8:AF$595,'Monthly Energy Data'!$D$8:$D$595,'Peak Load Projections'!$H229,'Monthly Energy Data'!$E$8:$E$595,'Peak Load Projections'!$I229)*VLOOKUP($I229,$A$3:$E$14,5)</f>
        <v>130.17976963720221</v>
      </c>
      <c r="M229" s="44">
        <f>+SUMIFS('Monthly Energy Data'!AG$8:AG$595,'Monthly Energy Data'!$D$8:$D$595,'Peak Load Projections'!$H229,'Monthly Energy Data'!$E$8:$E$595,'Peak Load Projections'!$I229)*VLOOKUP($I229,$A$3:$E$14,5)</f>
        <v>103.29793817024154</v>
      </c>
      <c r="N229" s="44">
        <f t="shared" si="57"/>
        <v>116.73885390372187</v>
      </c>
      <c r="O229" s="269" t="str">
        <f t="shared" si="55"/>
        <v>W</v>
      </c>
      <c r="AA229">
        <f t="shared" si="60"/>
        <v>2043</v>
      </c>
      <c r="AB229">
        <f t="shared" si="58"/>
        <v>11</v>
      </c>
      <c r="AC229" s="271">
        <f t="shared" si="59"/>
        <v>52536</v>
      </c>
      <c r="AD229" s="44">
        <f>+L229*VLOOKUP($AB229,'Peak Loads - 2022-2024'!$L$4:$M$15,2)</f>
        <v>92.589916690495457</v>
      </c>
      <c r="AE229" s="44">
        <f>+M229*VLOOKUP($AB229,'Peak Loads - 2022-2024'!$L$4:$M$15,2)</f>
        <v>73.47030584043496</v>
      </c>
      <c r="AF229" s="44">
        <f>+K229*VLOOKUP($AB229,'Peak Loads - 2022-2024'!$L$4:$M$15,2)</f>
        <v>78.405603983604422</v>
      </c>
      <c r="AG229" s="44"/>
    </row>
    <row r="230" spans="5:33" x14ac:dyDescent="0.2">
      <c r="E230" s="175"/>
      <c r="H230">
        <f t="shared" si="56"/>
        <v>2043</v>
      </c>
      <c r="I230">
        <f t="shared" si="54"/>
        <v>12</v>
      </c>
      <c r="J230" s="268">
        <v>52566</v>
      </c>
      <c r="K230" s="44">
        <f>+SUMIFS('Monthly Energy Data'!AE$8:AE$595,'Monthly Energy Data'!$D$8:$D$595,'Peak Load Projections'!$H230,'Monthly Energy Data'!$E$8:$E$595,'Peak Load Projections'!$I230)*VLOOKUP($I230,$A$3:$E$14,5)</f>
        <v>120.97616113311831</v>
      </c>
      <c r="L230" s="44">
        <f>+SUMIFS('Monthly Energy Data'!AF$8:AF$595,'Monthly Energy Data'!$D$8:$D$595,'Peak Load Projections'!$H230,'Monthly Energy Data'!$E$8:$E$595,'Peak Load Projections'!$I230)*VLOOKUP($I230,$A$3:$E$14,5)</f>
        <v>140.95261369337459</v>
      </c>
      <c r="M230" s="44">
        <f>+SUMIFS('Monthly Energy Data'!AG$8:AG$595,'Monthly Energy Data'!$D$8:$D$595,'Peak Load Projections'!$H230,'Monthly Energy Data'!$E$8:$E$595,'Peak Load Projections'!$I230)*VLOOKUP($I230,$A$3:$E$14,5)</f>
        <v>113.35114286043144</v>
      </c>
      <c r="N230" s="44">
        <f t="shared" si="57"/>
        <v>127.15187827690301</v>
      </c>
      <c r="O230" s="269" t="str">
        <f t="shared" si="55"/>
        <v>W</v>
      </c>
      <c r="AA230">
        <f t="shared" si="60"/>
        <v>2043</v>
      </c>
      <c r="AB230">
        <f t="shared" si="58"/>
        <v>12</v>
      </c>
      <c r="AC230" s="271">
        <f t="shared" si="59"/>
        <v>52566</v>
      </c>
      <c r="AD230" s="44">
        <f>+L230*VLOOKUP($AB230,'Peak Loads - 2022-2024'!$L$4:$M$15,2)</f>
        <v>120.7584319036738</v>
      </c>
      <c r="AE230" s="44">
        <f>+M230*VLOOKUP($AB230,'Peak Loads - 2022-2024'!$L$4:$M$15,2)</f>
        <v>97.111404376593072</v>
      </c>
      <c r="AF230" s="44">
        <f>+K230*VLOOKUP($AB230,'Peak Loads - 2022-2024'!$L$4:$M$15,2)</f>
        <v>103.643991646309</v>
      </c>
      <c r="AG230" s="44"/>
    </row>
    <row r="231" spans="5:33" x14ac:dyDescent="0.2">
      <c r="E231" s="175"/>
      <c r="H231">
        <f t="shared" si="56"/>
        <v>2044</v>
      </c>
      <c r="I231">
        <f t="shared" si="54"/>
        <v>1</v>
      </c>
      <c r="J231" s="268">
        <v>52597</v>
      </c>
      <c r="K231" s="44">
        <f>+SUMIFS('Monthly Energy Data'!AE$8:AE$595,'Monthly Energy Data'!$D$8:$D$595,'Peak Load Projections'!$H231,'Monthly Energy Data'!$E$8:$E$595,'Peak Load Projections'!$I231)*VLOOKUP($I231,$A$3:$E$14,5)</f>
        <v>123.91124725677861</v>
      </c>
      <c r="L231" s="44">
        <f>+SUMIFS('Monthly Energy Data'!AF$8:AF$595,'Monthly Energy Data'!$D$8:$D$595,'Peak Load Projections'!$H231,'Monthly Energy Data'!$E$8:$E$595,'Peak Load Projections'!$I231)*VLOOKUP($I231,$A$3:$E$14,5)</f>
        <v>145.51516973151581</v>
      </c>
      <c r="M231" s="44">
        <f>+SUMIFS('Monthly Energy Data'!AG$8:AG$595,'Monthly Energy Data'!$D$8:$D$595,'Peak Load Projections'!$H231,'Monthly Energy Data'!$E$8:$E$595,'Peak Load Projections'!$I231)*VLOOKUP($I231,$A$3:$E$14,5)</f>
        <v>116.59221122713468</v>
      </c>
      <c r="N231" s="44">
        <f t="shared" si="57"/>
        <v>131.05369047932524</v>
      </c>
      <c r="O231" s="269" t="str">
        <f t="shared" si="55"/>
        <v>W</v>
      </c>
      <c r="AA231">
        <f t="shared" si="60"/>
        <v>2044</v>
      </c>
      <c r="AB231">
        <f t="shared" si="58"/>
        <v>1</v>
      </c>
      <c r="AC231" s="271">
        <f t="shared" si="59"/>
        <v>52597</v>
      </c>
      <c r="AD231" s="44">
        <f>+L231*VLOOKUP($AB231,'Peak Loads - 2022-2024'!$L$4:$M$15,2)</f>
        <v>128.75434020115895</v>
      </c>
      <c r="AE231" s="44">
        <f>+M231*VLOOKUP($AB231,'Peak Loads - 2022-2024'!$L$4:$M$15,2)</f>
        <v>103.16280602800015</v>
      </c>
      <c r="AF231" s="44">
        <f>+K231*VLOOKUP($AB231,'Peak Loads - 2022-2024'!$L$4:$M$15,2)</f>
        <v>109.63881575704778</v>
      </c>
      <c r="AG231" s="44"/>
    </row>
    <row r="232" spans="5:33" x14ac:dyDescent="0.2">
      <c r="E232" s="175"/>
      <c r="H232">
        <f t="shared" si="56"/>
        <v>2044</v>
      </c>
      <c r="I232">
        <f t="shared" si="54"/>
        <v>2</v>
      </c>
      <c r="J232" s="268">
        <v>52628</v>
      </c>
      <c r="K232" s="44">
        <f>+SUMIFS('Monthly Energy Data'!AE$8:AE$595,'Monthly Energy Data'!$D$8:$D$595,'Peak Load Projections'!$H232,'Monthly Energy Data'!$E$8:$E$595,'Peak Load Projections'!$I232)*VLOOKUP($I232,$A$3:$E$14,5)</f>
        <v>117.13820876809854</v>
      </c>
      <c r="L232" s="44">
        <f>+SUMIFS('Monthly Energy Data'!AF$8:AF$595,'Monthly Energy Data'!$D$8:$D$595,'Peak Load Projections'!$H232,'Monthly Energy Data'!$E$8:$E$595,'Peak Load Projections'!$I232)*VLOOKUP($I232,$A$3:$E$14,5)</f>
        <v>136.36368165301741</v>
      </c>
      <c r="M232" s="44">
        <f>+SUMIFS('Monthly Energy Data'!AG$8:AG$595,'Monthly Energy Data'!$D$8:$D$595,'Peak Load Projections'!$H232,'Monthly Energy Data'!$E$8:$E$595,'Peak Load Projections'!$I232)*VLOOKUP($I232,$A$3:$E$14,5)</f>
        <v>109.30461134417914</v>
      </c>
      <c r="N232" s="44">
        <f t="shared" si="57"/>
        <v>122.83414649859827</v>
      </c>
      <c r="O232" s="269" t="str">
        <f t="shared" si="55"/>
        <v>W</v>
      </c>
      <c r="AA232">
        <f t="shared" si="60"/>
        <v>2044</v>
      </c>
      <c r="AB232">
        <f t="shared" si="58"/>
        <v>2</v>
      </c>
      <c r="AC232" s="271">
        <f t="shared" si="59"/>
        <v>52628</v>
      </c>
      <c r="AD232" s="44">
        <f>+L232*VLOOKUP($AB232,'Peak Loads - 2022-2024'!$L$4:$M$15,2)</f>
        <v>108.75366136006377</v>
      </c>
      <c r="AE232" s="44">
        <f>+M232*VLOOKUP($AB232,'Peak Loads - 2022-2024'!$L$4:$M$15,2)</f>
        <v>87.173333420740803</v>
      </c>
      <c r="AF232" s="44">
        <f>+K232*VLOOKUP($AB232,'Peak Loads - 2022-2024'!$L$4:$M$15,2)</f>
        <v>93.420835623268403</v>
      </c>
      <c r="AG232" s="44"/>
    </row>
    <row r="233" spans="5:33" x14ac:dyDescent="0.2">
      <c r="E233" s="175"/>
      <c r="H233">
        <f t="shared" si="56"/>
        <v>2044</v>
      </c>
      <c r="I233">
        <f t="shared" si="54"/>
        <v>3</v>
      </c>
      <c r="J233" s="268">
        <v>52657</v>
      </c>
      <c r="K233" s="44">
        <f>+SUMIFS('Monthly Energy Data'!AE$8:AE$595,'Monthly Energy Data'!$D$8:$D$595,'Peak Load Projections'!$H233,'Monthly Energy Data'!$E$8:$E$595,'Peak Load Projections'!$I233)*VLOOKUP($I233,$A$3:$E$14,5)</f>
        <v>102.87750057424331</v>
      </c>
      <c r="L233" s="44">
        <f>+SUMIFS('Monthly Energy Data'!AF$8:AF$595,'Monthly Energy Data'!$D$8:$D$595,'Peak Load Projections'!$H233,'Monthly Energy Data'!$E$8:$E$595,'Peak Load Projections'!$I233)*VLOOKUP($I233,$A$3:$E$14,5)</f>
        <v>117.51305564894932</v>
      </c>
      <c r="M233" s="44">
        <f>+SUMIFS('Monthly Energy Data'!AG$8:AG$595,'Monthly Energy Data'!$D$8:$D$595,'Peak Load Projections'!$H233,'Monthly Energy Data'!$E$8:$E$595,'Peak Load Projections'!$I233)*VLOOKUP($I233,$A$3:$E$14,5)</f>
        <v>96.309447713826842</v>
      </c>
      <c r="N233" s="44">
        <f t="shared" si="57"/>
        <v>106.91125168138808</v>
      </c>
      <c r="O233" s="269" t="str">
        <f t="shared" si="55"/>
        <v>W</v>
      </c>
      <c r="AA233">
        <f t="shared" si="60"/>
        <v>2044</v>
      </c>
      <c r="AB233">
        <f t="shared" si="58"/>
        <v>3</v>
      </c>
      <c r="AC233" s="271">
        <f t="shared" si="59"/>
        <v>52657</v>
      </c>
      <c r="AD233" s="44">
        <f>+L233*VLOOKUP($AB233,'Peak Loads - 2022-2024'!$L$4:$M$15,2)</f>
        <v>83.868338373606392</v>
      </c>
      <c r="AE233" s="44">
        <f>+M233*VLOOKUP($AB233,'Peak Loads - 2022-2024'!$L$4:$M$15,2)</f>
        <v>68.735455008233387</v>
      </c>
      <c r="AF233" s="44">
        <f>+K233*VLOOKUP($AB233,'Peak Loads - 2022-2024'!$L$4:$M$15,2)</f>
        <v>73.42303356460009</v>
      </c>
      <c r="AG233" s="44"/>
    </row>
    <row r="234" spans="5:33" x14ac:dyDescent="0.2">
      <c r="E234" s="175"/>
      <c r="H234">
        <f t="shared" si="56"/>
        <v>2044</v>
      </c>
      <c r="I234">
        <f t="shared" si="54"/>
        <v>4</v>
      </c>
      <c r="J234" s="268">
        <v>52688</v>
      </c>
      <c r="K234" s="44">
        <f>+SUMIFS('Monthly Energy Data'!AE$8:AE$595,'Monthly Energy Data'!$D$8:$D$595,'Peak Load Projections'!$H234,'Monthly Energy Data'!$E$8:$E$595,'Peak Load Projections'!$I234)*VLOOKUP($I234,$A$3:$E$14,5)</f>
        <v>99.237748760157274</v>
      </c>
      <c r="L234" s="44">
        <f>+SUMIFS('Monthly Energy Data'!AF$8:AF$595,'Monthly Energy Data'!$D$8:$D$595,'Peak Load Projections'!$H234,'Monthly Energy Data'!$E$8:$E$595,'Peak Load Projections'!$I234)*VLOOKUP($I234,$A$3:$E$14,5)</f>
        <v>111.60089756898255</v>
      </c>
      <c r="M234" s="44">
        <f>+SUMIFS('Monthly Energy Data'!AG$8:AG$595,'Monthly Energy Data'!$D$8:$D$595,'Peak Load Projections'!$H234,'Monthly Energy Data'!$E$8:$E$595,'Peak Load Projections'!$I234)*VLOOKUP($I234,$A$3:$E$14,5)</f>
        <v>91.766694015674119</v>
      </c>
      <c r="N234" s="44">
        <f t="shared" si="57"/>
        <v>101.68379579232834</v>
      </c>
      <c r="O234" s="269" t="str">
        <f t="shared" si="55"/>
        <v>W</v>
      </c>
      <c r="AA234">
        <f t="shared" si="60"/>
        <v>2044</v>
      </c>
      <c r="AB234">
        <f t="shared" si="58"/>
        <v>4</v>
      </c>
      <c r="AC234" s="271">
        <f t="shared" si="59"/>
        <v>52688</v>
      </c>
      <c r="AD234" s="44">
        <f>+L234*VLOOKUP($AB234,'Peak Loads - 2022-2024'!$L$4:$M$15,2)</f>
        <v>77.867840568094209</v>
      </c>
      <c r="AE234" s="44">
        <f>+M234*VLOOKUP($AB234,'Peak Loads - 2022-2024'!$L$4:$M$15,2)</f>
        <v>64.028824630704477</v>
      </c>
      <c r="AF234" s="44">
        <f>+K234*VLOOKUP($AB234,'Peak Loads - 2022-2024'!$L$4:$M$15,2)</f>
        <v>69.241640229784451</v>
      </c>
      <c r="AG234" s="44"/>
    </row>
    <row r="235" spans="5:33" x14ac:dyDescent="0.2">
      <c r="E235" s="175"/>
      <c r="H235">
        <f t="shared" si="56"/>
        <v>2044</v>
      </c>
      <c r="I235">
        <f t="shared" si="54"/>
        <v>5</v>
      </c>
      <c r="J235" s="268">
        <v>52718</v>
      </c>
      <c r="K235" s="44">
        <f>+SUMIFS('Monthly Energy Data'!AE$8:AE$595,'Monthly Energy Data'!$D$8:$D$595,'Peak Load Projections'!$H235,'Monthly Energy Data'!$E$8:$E$595,'Peak Load Projections'!$I235)*VLOOKUP($I235,$A$3:$E$14,5)</f>
        <v>84.293207761288727</v>
      </c>
      <c r="L235" s="44">
        <f>+SUMIFS('Monthly Energy Data'!AF$8:AF$595,'Monthly Energy Data'!$D$8:$D$595,'Peak Load Projections'!$H235,'Monthly Energy Data'!$E$8:$E$595,'Peak Load Projections'!$I235)*VLOOKUP($I235,$A$3:$E$14,5)</f>
        <v>92.222901321865848</v>
      </c>
      <c r="M235" s="44">
        <f>+SUMIFS('Monthly Energy Data'!AG$8:AG$595,'Monthly Energy Data'!$D$8:$D$595,'Peak Load Projections'!$H235,'Monthly Energy Data'!$E$8:$E$595,'Peak Load Projections'!$I235)*VLOOKUP($I235,$A$3:$E$14,5)</f>
        <v>77.895225341661487</v>
      </c>
      <c r="N235" s="44">
        <f t="shared" si="57"/>
        <v>85.059063331763667</v>
      </c>
      <c r="O235" s="269" t="str">
        <f t="shared" si="55"/>
        <v>W</v>
      </c>
      <c r="AA235">
        <f t="shared" si="60"/>
        <v>2044</v>
      </c>
      <c r="AB235">
        <f t="shared" si="58"/>
        <v>5</v>
      </c>
      <c r="AC235" s="271">
        <f t="shared" si="59"/>
        <v>52718</v>
      </c>
      <c r="AD235" s="44">
        <f>+L235*VLOOKUP($AB235,'Peak Loads - 2022-2024'!$L$4:$M$15,2)</f>
        <v>65.676447114276641</v>
      </c>
      <c r="AE235" s="44">
        <f>+M235*VLOOKUP($AB235,'Peak Loads - 2022-2024'!$L$4:$M$15,2)</f>
        <v>55.473006967666592</v>
      </c>
      <c r="AF235" s="44">
        <f>+K235*VLOOKUP($AB235,'Peak Loads - 2022-2024'!$L$4:$M$15,2)</f>
        <v>60.029323760978016</v>
      </c>
      <c r="AG235" s="44"/>
    </row>
    <row r="236" spans="5:33" x14ac:dyDescent="0.2">
      <c r="E236" s="175"/>
      <c r="H236">
        <f t="shared" si="56"/>
        <v>2044</v>
      </c>
      <c r="I236">
        <f t="shared" si="54"/>
        <v>6</v>
      </c>
      <c r="J236" s="268">
        <v>52749</v>
      </c>
      <c r="K236" s="44">
        <f>+SUMIFS('Monthly Energy Data'!AE$8:AE$595,'Monthly Energy Data'!$D$8:$D$595,'Peak Load Projections'!$H236,'Monthly Energy Data'!$E$8:$E$595,'Peak Load Projections'!$I236)*VLOOKUP($I236,$A$3:$E$14,5)</f>
        <v>104.09307188775554</v>
      </c>
      <c r="L236" s="44">
        <f>+SUMIFS('Monthly Energy Data'!AF$8:AF$595,'Monthly Energy Data'!$D$8:$D$595,'Peak Load Projections'!$H236,'Monthly Energy Data'!$E$8:$E$595,'Peak Load Projections'!$I236)*VLOOKUP($I236,$A$3:$E$14,5)</f>
        <v>114.22771213967731</v>
      </c>
      <c r="M236" s="44">
        <f>+SUMIFS('Monthly Energy Data'!AG$8:AG$595,'Monthly Energy Data'!$D$8:$D$595,'Peak Load Projections'!$H236,'Monthly Energy Data'!$E$8:$E$595,'Peak Load Projections'!$I236)*VLOOKUP($I236,$A$3:$E$14,5)</f>
        <v>96.834317193011387</v>
      </c>
      <c r="N236" s="44">
        <f t="shared" si="57"/>
        <v>105.53101466634435</v>
      </c>
      <c r="O236" s="269" t="str">
        <f t="shared" si="55"/>
        <v>S</v>
      </c>
      <c r="AA236">
        <f t="shared" si="60"/>
        <v>2044</v>
      </c>
      <c r="AB236">
        <f t="shared" si="58"/>
        <v>6</v>
      </c>
      <c r="AC236" s="271">
        <f t="shared" si="59"/>
        <v>52749</v>
      </c>
      <c r="AD236" s="44">
        <f>+L236*VLOOKUP($AB236,'Peak Loads - 2022-2024'!$L$4:$M$15,2)</f>
        <v>97.088615295233353</v>
      </c>
      <c r="AE236" s="44">
        <f>+M236*VLOOKUP($AB236,'Peak Loads - 2022-2024'!$L$4:$M$15,2)</f>
        <v>82.304981805402392</v>
      </c>
      <c r="AF236" s="44">
        <f>+K236*VLOOKUP($AB236,'Peak Loads - 2022-2024'!$L$4:$M$15,2)</f>
        <v>88.474609375450612</v>
      </c>
      <c r="AG236" s="44"/>
    </row>
    <row r="237" spans="5:33" x14ac:dyDescent="0.2">
      <c r="E237" s="175"/>
      <c r="H237">
        <f t="shared" si="56"/>
        <v>2044</v>
      </c>
      <c r="I237">
        <f t="shared" si="54"/>
        <v>7</v>
      </c>
      <c r="J237" s="268">
        <v>52779</v>
      </c>
      <c r="K237" s="44">
        <f>+SUMIFS('Monthly Energy Data'!AE$8:AE$595,'Monthly Energy Data'!$D$8:$D$595,'Peak Load Projections'!$H237,'Monthly Energy Data'!$E$8:$E$595,'Peak Load Projections'!$I237)*VLOOKUP($I237,$A$3:$E$14,5)</f>
        <v>107.66585196321925</v>
      </c>
      <c r="L237" s="44">
        <f>+SUMIFS('Monthly Energy Data'!AF$8:AF$595,'Monthly Energy Data'!$D$8:$D$595,'Peak Load Projections'!$H237,'Monthly Energy Data'!$E$8:$E$595,'Peak Load Projections'!$I237)*VLOOKUP($I237,$A$3:$E$14,5)</f>
        <v>119.85832384658669</v>
      </c>
      <c r="M237" s="44">
        <f>+SUMIFS('Monthly Energy Data'!AG$8:AG$595,'Monthly Energy Data'!$D$8:$D$595,'Peak Load Projections'!$H237,'Monthly Energy Data'!$E$8:$E$595,'Peak Load Projections'!$I237)*VLOOKUP($I237,$A$3:$E$14,5)</f>
        <v>101.44638566740973</v>
      </c>
      <c r="N237" s="44">
        <f t="shared" si="57"/>
        <v>110.65235475699821</v>
      </c>
      <c r="O237" s="269" t="str">
        <f t="shared" si="55"/>
        <v>S</v>
      </c>
      <c r="AA237">
        <f t="shared" si="60"/>
        <v>2044</v>
      </c>
      <c r="AB237">
        <f t="shared" si="58"/>
        <v>7</v>
      </c>
      <c r="AC237" s="271">
        <f t="shared" si="59"/>
        <v>52779</v>
      </c>
      <c r="AD237" s="44">
        <f>+L237*VLOOKUP($AB237,'Peak Loads - 2022-2024'!$L$4:$M$15,2)</f>
        <v>85.986649146489384</v>
      </c>
      <c r="AE237" s="44">
        <f>+M237*VLOOKUP($AB237,'Peak Loads - 2022-2024'!$L$4:$M$15,2)</f>
        <v>72.777880514398859</v>
      </c>
      <c r="AF237" s="44">
        <f>+K237*VLOOKUP($AB237,'Peak Loads - 2022-2024'!$L$4:$M$15,2)</f>
        <v>77.239740559602723</v>
      </c>
      <c r="AG237" s="44"/>
    </row>
    <row r="238" spans="5:33" x14ac:dyDescent="0.2">
      <c r="E238" s="175"/>
      <c r="H238">
        <f t="shared" si="56"/>
        <v>2044</v>
      </c>
      <c r="I238">
        <f t="shared" si="54"/>
        <v>8</v>
      </c>
      <c r="J238" s="268">
        <v>52810</v>
      </c>
      <c r="K238" s="44">
        <f>+SUMIFS('Monthly Energy Data'!AE$8:AE$595,'Monthly Energy Data'!$D$8:$D$595,'Peak Load Projections'!$H238,'Monthly Energy Data'!$E$8:$E$595,'Peak Load Projections'!$I238)*VLOOKUP($I238,$A$3:$E$14,5)</f>
        <v>105.40000475916153</v>
      </c>
      <c r="L238" s="44">
        <f>+SUMIFS('Monthly Energy Data'!AF$8:AF$595,'Monthly Energy Data'!$D$8:$D$595,'Peak Load Projections'!$H238,'Monthly Energy Data'!$E$8:$E$595,'Peak Load Projections'!$I238)*VLOOKUP($I238,$A$3:$E$14,5)</f>
        <v>116.41996223643912</v>
      </c>
      <c r="M238" s="44">
        <f>+SUMIFS('Monthly Energy Data'!AG$8:AG$595,'Monthly Energy Data'!$D$8:$D$595,'Peak Load Projections'!$H238,'Monthly Energy Data'!$E$8:$E$595,'Peak Load Projections'!$I238)*VLOOKUP($I238,$A$3:$E$14,5)</f>
        <v>98.87430278948554</v>
      </c>
      <c r="N238" s="44">
        <f t="shared" si="57"/>
        <v>107.64713251296233</v>
      </c>
      <c r="O238" s="269" t="str">
        <f t="shared" si="55"/>
        <v>S</v>
      </c>
      <c r="AA238">
        <f t="shared" si="60"/>
        <v>2044</v>
      </c>
      <c r="AB238">
        <f t="shared" si="58"/>
        <v>8</v>
      </c>
      <c r="AC238" s="271">
        <f t="shared" si="59"/>
        <v>52810</v>
      </c>
      <c r="AD238" s="44">
        <f>+L238*VLOOKUP($AB238,'Peak Loads - 2022-2024'!$L$4:$M$15,2)</f>
        <v>83.264919735004256</v>
      </c>
      <c r="AE238" s="44">
        <f>+M238*VLOOKUP($AB238,'Peak Loads - 2022-2024'!$L$4:$M$15,2)</f>
        <v>70.716058719388499</v>
      </c>
      <c r="AF238" s="44">
        <f>+K238*VLOOKUP($AB238,'Peak Loads - 2022-2024'!$L$4:$M$15,2)</f>
        <v>75.3833171541242</v>
      </c>
      <c r="AG238" s="44"/>
    </row>
    <row r="239" spans="5:33" x14ac:dyDescent="0.2">
      <c r="E239" s="175"/>
      <c r="H239">
        <f t="shared" si="56"/>
        <v>2044</v>
      </c>
      <c r="I239">
        <f t="shared" si="54"/>
        <v>9</v>
      </c>
      <c r="J239" s="268">
        <v>52841</v>
      </c>
      <c r="K239" s="44">
        <f>+SUMIFS('Monthly Energy Data'!AE$8:AE$595,'Monthly Energy Data'!$D$8:$D$595,'Peak Load Projections'!$H239,'Monthly Energy Data'!$E$8:$E$595,'Peak Load Projections'!$I239)*VLOOKUP($I239,$A$3:$E$14,5)</f>
        <v>88.657086171877566</v>
      </c>
      <c r="L239" s="44">
        <f>+SUMIFS('Monthly Energy Data'!AF$8:AF$595,'Monthly Energy Data'!$D$8:$D$595,'Peak Load Projections'!$H239,'Monthly Energy Data'!$E$8:$E$595,'Peak Load Projections'!$I239)*VLOOKUP($I239,$A$3:$E$14,5)</f>
        <v>98.118024972741154</v>
      </c>
      <c r="M239" s="44">
        <f>+SUMIFS('Monthly Energy Data'!AG$8:AG$595,'Monthly Energy Data'!$D$8:$D$595,'Peak Load Projections'!$H239,'Monthly Energy Data'!$E$8:$E$595,'Peak Load Projections'!$I239)*VLOOKUP($I239,$A$3:$E$14,5)</f>
        <v>82.261044692250962</v>
      </c>
      <c r="N239" s="44">
        <f t="shared" si="57"/>
        <v>90.189534832496065</v>
      </c>
      <c r="O239" s="269" t="str">
        <f t="shared" si="55"/>
        <v>S</v>
      </c>
      <c r="AA239">
        <f t="shared" si="60"/>
        <v>2044</v>
      </c>
      <c r="AB239">
        <f t="shared" si="58"/>
        <v>9</v>
      </c>
      <c r="AC239" s="271">
        <f t="shared" si="59"/>
        <v>52841</v>
      </c>
      <c r="AD239" s="44">
        <f>+L239*VLOOKUP($AB239,'Peak Loads - 2022-2024'!$L$4:$M$15,2)</f>
        <v>70.168368126860969</v>
      </c>
      <c r="AE239" s="44">
        <f>+M239*VLOOKUP($AB239,'Peak Loads - 2022-2024'!$L$4:$M$15,2)</f>
        <v>58.828367856666716</v>
      </c>
      <c r="AF239" s="44">
        <f>+K239*VLOOKUP($AB239,'Peak Loads - 2022-2024'!$L$4:$M$15,2)</f>
        <v>63.402448849652416</v>
      </c>
      <c r="AG239" s="44"/>
    </row>
    <row r="240" spans="5:33" x14ac:dyDescent="0.2">
      <c r="E240" s="175"/>
      <c r="H240">
        <f t="shared" si="56"/>
        <v>2044</v>
      </c>
      <c r="I240">
        <f t="shared" si="54"/>
        <v>10</v>
      </c>
      <c r="J240" s="268">
        <v>52871</v>
      </c>
      <c r="K240" s="44">
        <f>+SUMIFS('Monthly Energy Data'!AE$8:AE$595,'Monthly Energy Data'!$D$8:$D$595,'Peak Load Projections'!$H240,'Monthly Energy Data'!$E$8:$E$595,'Peak Load Projections'!$I240)*VLOOKUP($I240,$A$3:$E$14,5)</f>
        <v>86.691998962148801</v>
      </c>
      <c r="L240" s="44">
        <f>+SUMIFS('Monthly Energy Data'!AF$8:AF$595,'Monthly Energy Data'!$D$8:$D$595,'Peak Load Projections'!$H240,'Monthly Energy Data'!$E$8:$E$595,'Peak Load Projections'!$I240)*VLOOKUP($I240,$A$3:$E$14,5)</f>
        <v>97.95992856320801</v>
      </c>
      <c r="M240" s="44">
        <f>+SUMIFS('Monthly Energy Data'!AG$8:AG$595,'Monthly Energy Data'!$D$8:$D$595,'Peak Load Projections'!$H240,'Monthly Energy Data'!$E$8:$E$595,'Peak Load Projections'!$I240)*VLOOKUP($I240,$A$3:$E$14,5)</f>
        <v>81.153024230451877</v>
      </c>
      <c r="N240" s="44">
        <f t="shared" si="57"/>
        <v>89.556476396829936</v>
      </c>
      <c r="O240" s="269" t="str">
        <f t="shared" si="55"/>
        <v>W</v>
      </c>
      <c r="AA240">
        <f t="shared" si="60"/>
        <v>2044</v>
      </c>
      <c r="AB240">
        <f t="shared" si="58"/>
        <v>10</v>
      </c>
      <c r="AC240" s="271">
        <f t="shared" si="59"/>
        <v>52871</v>
      </c>
      <c r="AD240" s="44">
        <f>+L240*VLOOKUP($AB240,'Peak Loads - 2022-2024'!$L$4:$M$15,2)</f>
        <v>68.046105004716367</v>
      </c>
      <c r="AE240" s="44">
        <f>+M240*VLOOKUP($AB240,'Peak Loads - 2022-2024'!$L$4:$M$15,2)</f>
        <v>56.371490763924868</v>
      </c>
      <c r="AF240" s="44">
        <f>+K240*VLOOKUP($AB240,'Peak Loads - 2022-2024'!$L$4:$M$15,2)</f>
        <v>60.219040080667419</v>
      </c>
      <c r="AG240" s="44"/>
    </row>
    <row r="241" spans="5:33" x14ac:dyDescent="0.2">
      <c r="E241" s="175"/>
      <c r="H241">
        <f t="shared" si="56"/>
        <v>2044</v>
      </c>
      <c r="I241">
        <f t="shared" si="54"/>
        <v>11</v>
      </c>
      <c r="J241" s="268">
        <v>52902</v>
      </c>
      <c r="K241" s="44">
        <f>+SUMIFS('Monthly Energy Data'!AE$8:AE$595,'Monthly Energy Data'!$D$8:$D$595,'Peak Load Projections'!$H241,'Monthly Energy Data'!$E$8:$E$595,'Peak Load Projections'!$I241)*VLOOKUP($I241,$A$3:$E$14,5)</f>
        <v>110.16106872289704</v>
      </c>
      <c r="L241" s="44">
        <f>+SUMIFS('Monthly Energy Data'!AF$8:AF$595,'Monthly Energy Data'!$D$8:$D$595,'Peak Load Projections'!$H241,'Monthly Energy Data'!$E$8:$E$595,'Peak Load Projections'!$I241)*VLOOKUP($I241,$A$3:$E$14,5)</f>
        <v>131.77834929308221</v>
      </c>
      <c r="M241" s="44">
        <f>+SUMIFS('Monthly Energy Data'!AG$8:AG$595,'Monthly Energy Data'!$D$8:$D$595,'Peak Load Projections'!$H241,'Monthly Energy Data'!$E$8:$E$595,'Peak Load Projections'!$I241)*VLOOKUP($I241,$A$3:$E$14,5)</f>
        <v>104.16502418370466</v>
      </c>
      <c r="N241" s="44">
        <f t="shared" si="57"/>
        <v>117.97168673839343</v>
      </c>
      <c r="O241" s="269" t="str">
        <f t="shared" si="55"/>
        <v>W</v>
      </c>
      <c r="AA241">
        <f t="shared" si="60"/>
        <v>2044</v>
      </c>
      <c r="AB241">
        <f t="shared" si="58"/>
        <v>11</v>
      </c>
      <c r="AC241" s="271">
        <f t="shared" si="59"/>
        <v>52902</v>
      </c>
      <c r="AD241" s="44">
        <f>+L241*VLOOKUP($AB241,'Peak Loads - 2022-2024'!$L$4:$M$15,2)</f>
        <v>93.726901012817933</v>
      </c>
      <c r="AE241" s="44">
        <f>+M241*VLOOKUP($AB241,'Peak Loads - 2022-2024'!$L$4:$M$15,2)</f>
        <v>74.087017807077601</v>
      </c>
      <c r="AF241" s="44">
        <f>+K241*VLOOKUP($AB241,'Peak Loads - 2022-2024'!$L$4:$M$15,2)</f>
        <v>78.351684013689692</v>
      </c>
      <c r="AG241" s="44"/>
    </row>
    <row r="242" spans="5:33" x14ac:dyDescent="0.2">
      <c r="E242" s="175"/>
      <c r="H242">
        <f t="shared" si="56"/>
        <v>2044</v>
      </c>
      <c r="I242">
        <f t="shared" si="54"/>
        <v>12</v>
      </c>
      <c r="J242" s="268">
        <v>52932</v>
      </c>
      <c r="K242" s="44">
        <f>+SUMIFS('Monthly Energy Data'!AE$8:AE$595,'Monthly Energy Data'!$D$8:$D$595,'Peak Load Projections'!$H242,'Monthly Energy Data'!$E$8:$E$595,'Peak Load Projections'!$I242)*VLOOKUP($I242,$A$3:$E$14,5)</f>
        <v>120.96986494919439</v>
      </c>
      <c r="L242" s="44">
        <f>+SUMIFS('Monthly Energy Data'!AF$8:AF$595,'Monthly Energy Data'!$D$8:$D$595,'Peak Load Projections'!$H242,'Monthly Energy Data'!$E$8:$E$595,'Peak Load Projections'!$I242)*VLOOKUP($I242,$A$3:$E$14,5)</f>
        <v>142.73764967548112</v>
      </c>
      <c r="M242" s="44">
        <f>+SUMIFS('Monthly Energy Data'!AG$8:AG$595,'Monthly Energy Data'!$D$8:$D$595,'Peak Load Projections'!$H242,'Monthly Energy Data'!$E$8:$E$595,'Peak Load Projections'!$I242)*VLOOKUP($I242,$A$3:$E$14,5)</f>
        <v>114.28093585577099</v>
      </c>
      <c r="N242" s="44">
        <f t="shared" si="57"/>
        <v>128.50929276562607</v>
      </c>
      <c r="O242" s="269" t="str">
        <f t="shared" si="55"/>
        <v>W</v>
      </c>
      <c r="AA242">
        <f t="shared" si="60"/>
        <v>2044</v>
      </c>
      <c r="AB242">
        <f t="shared" si="58"/>
        <v>12</v>
      </c>
      <c r="AC242" s="271">
        <f t="shared" si="59"/>
        <v>52932</v>
      </c>
      <c r="AD242" s="44">
        <f>+L242*VLOOKUP($AB242,'Peak Loads - 2022-2024'!$L$4:$M$15,2)</f>
        <v>122.28772703657386</v>
      </c>
      <c r="AE242" s="44">
        <f>+M242*VLOOKUP($AB242,'Peak Loads - 2022-2024'!$L$4:$M$15,2)</f>
        <v>97.907986583691965</v>
      </c>
      <c r="AF242" s="44">
        <f>+K242*VLOOKUP($AB242,'Peak Loads - 2022-2024'!$L$4:$M$15,2)</f>
        <v>103.63859751222587</v>
      </c>
      <c r="AG242" s="44"/>
    </row>
    <row r="243" spans="5:33" x14ac:dyDescent="0.2">
      <c r="E243" s="175"/>
      <c r="H243">
        <f t="shared" si="56"/>
        <v>2045</v>
      </c>
      <c r="I243">
        <f t="shared" si="54"/>
        <v>1</v>
      </c>
      <c r="J243" s="268">
        <v>52963</v>
      </c>
      <c r="K243" s="44">
        <f>+SUMIFS('Monthly Energy Data'!AE$8:AE$595,'Monthly Energy Data'!$D$8:$D$595,'Peak Load Projections'!$H243,'Monthly Energy Data'!$E$8:$E$595,'Peak Load Projections'!$I243)*VLOOKUP($I243,$A$3:$E$14,5)</f>
        <v>123.94859933209833</v>
      </c>
      <c r="L243" s="44">
        <f>+SUMIFS('Monthly Energy Data'!AF$8:AF$595,'Monthly Energy Data'!$D$8:$D$595,'Peak Load Projections'!$H243,'Monthly Energy Data'!$E$8:$E$595,'Peak Load Projections'!$I243)*VLOOKUP($I243,$A$3:$E$14,5)</f>
        <v>147.354029019547</v>
      </c>
      <c r="M243" s="44">
        <f>+SUMIFS('Monthly Energy Data'!AG$8:AG$595,'Monthly Energy Data'!$D$8:$D$595,'Peak Load Projections'!$H243,'Monthly Energy Data'!$E$8:$E$595,'Peak Load Projections'!$I243)*VLOOKUP($I243,$A$3:$E$14,5)</f>
        <v>117.62130424613235</v>
      </c>
      <c r="N243" s="44">
        <f t="shared" si="57"/>
        <v>132.48766663283968</v>
      </c>
      <c r="O243" s="269" t="str">
        <f t="shared" si="55"/>
        <v>W</v>
      </c>
      <c r="AA243">
        <f t="shared" si="60"/>
        <v>2045</v>
      </c>
      <c r="AB243">
        <f t="shared" si="58"/>
        <v>1</v>
      </c>
      <c r="AC243" s="271">
        <f t="shared" si="59"/>
        <v>52963</v>
      </c>
      <c r="AD243" s="44">
        <f>+L243*VLOOKUP($AB243,'Peak Loads - 2022-2024'!$L$4:$M$15,2)</f>
        <v>130.38139471918666</v>
      </c>
      <c r="AE243" s="44">
        <f>+M243*VLOOKUP($AB243,'Peak Loads - 2022-2024'!$L$4:$M$15,2)</f>
        <v>104.07336533883444</v>
      </c>
      <c r="AF243" s="44">
        <f>+K243*VLOOKUP($AB243,'Peak Loads - 2022-2024'!$L$4:$M$15,2)</f>
        <v>109.67186551963822</v>
      </c>
      <c r="AG243" s="44"/>
    </row>
    <row r="244" spans="5:33" x14ac:dyDescent="0.2">
      <c r="E244" s="175"/>
      <c r="H244">
        <f t="shared" si="56"/>
        <v>2045</v>
      </c>
      <c r="I244">
        <f t="shared" si="54"/>
        <v>2</v>
      </c>
      <c r="J244" s="268">
        <v>52994</v>
      </c>
      <c r="K244" s="44">
        <f>+SUMIFS('Monthly Energy Data'!AE$8:AE$595,'Monthly Energy Data'!$D$8:$D$595,'Peak Load Projections'!$H244,'Monthly Energy Data'!$E$8:$E$595,'Peak Load Projections'!$I244)*VLOOKUP($I244,$A$3:$E$14,5)</f>
        <v>117.06640868646613</v>
      </c>
      <c r="L244" s="44">
        <f>+SUMIFS('Monthly Energy Data'!AF$8:AF$595,'Monthly Energy Data'!$D$8:$D$595,'Peak Load Projections'!$H244,'Monthly Energy Data'!$E$8:$E$595,'Peak Load Projections'!$I244)*VLOOKUP($I244,$A$3:$E$14,5)</f>
        <v>138.10684602343852</v>
      </c>
      <c r="M244" s="44">
        <f>+SUMIFS('Monthly Energy Data'!AG$8:AG$595,'Monthly Energy Data'!$D$8:$D$595,'Peak Load Projections'!$H244,'Monthly Energy Data'!$E$8:$E$595,'Peak Load Projections'!$I244)*VLOOKUP($I244,$A$3:$E$14,5)</f>
        <v>110.11165881153343</v>
      </c>
      <c r="N244" s="44">
        <f t="shared" si="57"/>
        <v>124.10925241748598</v>
      </c>
      <c r="O244" s="269" t="str">
        <f t="shared" si="55"/>
        <v>W</v>
      </c>
      <c r="AA244">
        <f t="shared" si="60"/>
        <v>2045</v>
      </c>
      <c r="AB244">
        <f t="shared" si="58"/>
        <v>2</v>
      </c>
      <c r="AC244" s="271">
        <f t="shared" si="59"/>
        <v>52994</v>
      </c>
      <c r="AD244" s="44">
        <f>+L244*VLOOKUP($AB244,'Peak Loads - 2022-2024'!$L$4:$M$15,2)</f>
        <v>110.14388128766949</v>
      </c>
      <c r="AE244" s="44">
        <f>+M244*VLOOKUP($AB244,'Peak Loads - 2022-2024'!$L$4:$M$15,2)</f>
        <v>87.816975231391524</v>
      </c>
      <c r="AF244" s="44">
        <f>+K244*VLOOKUP($AB244,'Peak Loads - 2022-2024'!$L$4:$M$15,2)</f>
        <v>93.363573149354394</v>
      </c>
      <c r="AG244" s="44"/>
    </row>
    <row r="245" spans="5:33" x14ac:dyDescent="0.2">
      <c r="E245" s="175"/>
      <c r="H245">
        <f t="shared" si="56"/>
        <v>2045</v>
      </c>
      <c r="I245">
        <f t="shared" si="54"/>
        <v>3</v>
      </c>
      <c r="J245" s="268">
        <v>53022</v>
      </c>
      <c r="K245" s="44">
        <f>+SUMIFS('Monthly Energy Data'!AE$8:AE$595,'Monthly Energy Data'!$D$8:$D$595,'Peak Load Projections'!$H245,'Monthly Energy Data'!$E$8:$E$595,'Peak Load Projections'!$I245)*VLOOKUP($I245,$A$3:$E$14,5)</f>
        <v>102.7838648995311</v>
      </c>
      <c r="L245" s="44">
        <f>+SUMIFS('Monthly Energy Data'!AF$8:AF$595,'Monthly Energy Data'!$D$8:$D$595,'Peak Load Projections'!$H245,'Monthly Energy Data'!$E$8:$E$595,'Peak Load Projections'!$I245)*VLOOKUP($I245,$A$3:$E$14,5)</f>
        <v>118.8996429990932</v>
      </c>
      <c r="M245" s="44">
        <f>+SUMIFS('Monthly Energy Data'!AG$8:AG$595,'Monthly Energy Data'!$D$8:$D$595,'Peak Load Projections'!$H245,'Monthly Energy Data'!$E$8:$E$595,'Peak Load Projections'!$I245)*VLOOKUP($I245,$A$3:$E$14,5)</f>
        <v>96.87738942768641</v>
      </c>
      <c r="N245" s="44">
        <f t="shared" si="57"/>
        <v>107.88851621338981</v>
      </c>
      <c r="O245" s="269" t="str">
        <f t="shared" si="55"/>
        <v>W</v>
      </c>
      <c r="AA245">
        <f t="shared" si="60"/>
        <v>2045</v>
      </c>
      <c r="AB245">
        <f t="shared" si="58"/>
        <v>3</v>
      </c>
      <c r="AC245" s="271">
        <f t="shared" si="59"/>
        <v>53022</v>
      </c>
      <c r="AD245" s="44">
        <f>+L245*VLOOKUP($AB245,'Peak Loads - 2022-2024'!$L$4:$M$15,2)</f>
        <v>84.857937158390172</v>
      </c>
      <c r="AE245" s="44">
        <f>+M245*VLOOKUP($AB245,'Peak Loads - 2022-2024'!$L$4:$M$15,2)</f>
        <v>69.140791484009767</v>
      </c>
      <c r="AF245" s="44">
        <f>+K245*VLOOKUP($AB245,'Peak Loads - 2022-2024'!$L$4:$M$15,2)</f>
        <v>73.35620636478609</v>
      </c>
      <c r="AG245" s="44"/>
    </row>
    <row r="246" spans="5:33" x14ac:dyDescent="0.2">
      <c r="E246" s="175"/>
      <c r="H246">
        <f t="shared" si="56"/>
        <v>2045</v>
      </c>
      <c r="I246">
        <f t="shared" si="54"/>
        <v>4</v>
      </c>
      <c r="J246" s="268">
        <v>53053</v>
      </c>
      <c r="K246" s="44">
        <f>+SUMIFS('Monthly Energy Data'!AE$8:AE$595,'Monthly Energy Data'!$D$8:$D$595,'Peak Load Projections'!$H246,'Monthly Energy Data'!$E$8:$E$595,'Peak Load Projections'!$I246)*VLOOKUP($I246,$A$3:$E$14,5)</f>
        <v>98.975609342029216</v>
      </c>
      <c r="L246" s="44">
        <f>+SUMIFS('Monthly Energy Data'!AF$8:AF$595,'Monthly Energy Data'!$D$8:$D$595,'Peak Load Projections'!$H246,'Monthly Energy Data'!$E$8:$E$595,'Peak Load Projections'!$I246)*VLOOKUP($I246,$A$3:$E$14,5)</f>
        <v>112.88975311691978</v>
      </c>
      <c r="M246" s="44">
        <f>+SUMIFS('Monthly Energy Data'!AG$8:AG$595,'Monthly Energy Data'!$D$8:$D$595,'Peak Load Projections'!$H246,'Monthly Energy Data'!$E$8:$E$595,'Peak Load Projections'!$I246)*VLOOKUP($I246,$A$3:$E$14,5)</f>
        <v>92.060138909634261</v>
      </c>
      <c r="N246" s="44">
        <f t="shared" si="57"/>
        <v>102.47494601327702</v>
      </c>
      <c r="O246" s="269" t="str">
        <f t="shared" si="55"/>
        <v>W</v>
      </c>
      <c r="AA246">
        <f t="shared" si="60"/>
        <v>2045</v>
      </c>
      <c r="AB246">
        <f t="shared" si="58"/>
        <v>4</v>
      </c>
      <c r="AC246" s="271">
        <f t="shared" si="59"/>
        <v>53053</v>
      </c>
      <c r="AD246" s="44">
        <f>+L246*VLOOKUP($AB246,'Peak Loads - 2022-2024'!$L$4:$M$15,2)</f>
        <v>78.767120058745661</v>
      </c>
      <c r="AE246" s="44">
        <f>+M246*VLOOKUP($AB246,'Peak Loads - 2022-2024'!$L$4:$M$15,2)</f>
        <v>64.233571373034977</v>
      </c>
      <c r="AF246" s="44">
        <f>+K246*VLOOKUP($AB246,'Peak Loads - 2022-2024'!$L$4:$M$15,2)</f>
        <v>69.058736410352424</v>
      </c>
      <c r="AG246" s="44"/>
    </row>
    <row r="247" spans="5:33" x14ac:dyDescent="0.2">
      <c r="E247" s="175"/>
      <c r="H247">
        <f t="shared" si="56"/>
        <v>2045</v>
      </c>
      <c r="I247">
        <f t="shared" si="54"/>
        <v>5</v>
      </c>
      <c r="J247" s="268">
        <v>53083</v>
      </c>
      <c r="K247" s="44">
        <f>+SUMIFS('Monthly Energy Data'!AE$8:AE$595,'Monthly Energy Data'!$D$8:$D$595,'Peak Load Projections'!$H247,'Monthly Energy Data'!$E$8:$E$595,'Peak Load Projections'!$I247)*VLOOKUP($I247,$A$3:$E$14,5)</f>
        <v>83.953369940608425</v>
      </c>
      <c r="L247" s="44">
        <f>+SUMIFS('Monthly Energy Data'!AF$8:AF$595,'Monthly Energy Data'!$D$8:$D$595,'Peak Load Projections'!$H247,'Monthly Energy Data'!$E$8:$E$595,'Peak Load Projections'!$I247)*VLOOKUP($I247,$A$3:$E$14,5)</f>
        <v>93.127127213172272</v>
      </c>
      <c r="M247" s="44">
        <f>+SUMIFS('Monthly Energy Data'!AG$8:AG$595,'Monthly Energy Data'!$D$8:$D$595,'Peak Load Projections'!$H247,'Monthly Energy Data'!$E$8:$E$595,'Peak Load Projections'!$I247)*VLOOKUP($I247,$A$3:$E$14,5)</f>
        <v>77.906967977468966</v>
      </c>
      <c r="N247" s="44">
        <f t="shared" si="57"/>
        <v>85.517047595320619</v>
      </c>
      <c r="O247" s="269" t="str">
        <f t="shared" si="55"/>
        <v>W</v>
      </c>
      <c r="AA247">
        <f t="shared" si="60"/>
        <v>2045</v>
      </c>
      <c r="AB247">
        <f t="shared" si="58"/>
        <v>5</v>
      </c>
      <c r="AC247" s="271">
        <f t="shared" si="59"/>
        <v>53083</v>
      </c>
      <c r="AD247" s="44">
        <f>+L247*VLOOKUP($AB247,'Peak Loads - 2022-2024'!$L$4:$M$15,2)</f>
        <v>66.320390680121349</v>
      </c>
      <c r="AE247" s="44">
        <f>+M247*VLOOKUP($AB247,'Peak Loads - 2022-2024'!$L$4:$M$15,2)</f>
        <v>55.481369474034729</v>
      </c>
      <c r="AF247" s="44">
        <f>+K247*VLOOKUP($AB247,'Peak Loads - 2022-2024'!$L$4:$M$15,2)</f>
        <v>59.787308596225778</v>
      </c>
      <c r="AG247" s="44"/>
    </row>
    <row r="248" spans="5:33" x14ac:dyDescent="0.2">
      <c r="E248" s="175"/>
      <c r="H248">
        <f t="shared" si="56"/>
        <v>2045</v>
      </c>
      <c r="I248">
        <f t="shared" ref="I248:I311" si="61">+MONTH(J248)</f>
        <v>6</v>
      </c>
      <c r="J248" s="268">
        <v>53114</v>
      </c>
      <c r="K248" s="44">
        <f>+SUMIFS('Monthly Energy Data'!AE$8:AE$595,'Monthly Energy Data'!$D$8:$D$595,'Peak Load Projections'!$H248,'Monthly Energy Data'!$E$8:$E$595,'Peak Load Projections'!$I248)*VLOOKUP($I248,$A$3:$E$14,5)</f>
        <v>103.79597038411498</v>
      </c>
      <c r="L248" s="44">
        <f>+SUMIFS('Monthly Energy Data'!AF$8:AF$595,'Monthly Energy Data'!$D$8:$D$595,'Peak Load Projections'!$H248,'Monthly Energy Data'!$E$8:$E$595,'Peak Load Projections'!$I248)*VLOOKUP($I248,$A$3:$E$14,5)</f>
        <v>115.3814084785089</v>
      </c>
      <c r="M248" s="44">
        <f>+SUMIFS('Monthly Energy Data'!AG$8:AG$595,'Monthly Energy Data'!$D$8:$D$595,'Peak Load Projections'!$H248,'Monthly Energy Data'!$E$8:$E$595,'Peak Load Projections'!$I248)*VLOOKUP($I248,$A$3:$E$14,5)</f>
        <v>96.973405415084031</v>
      </c>
      <c r="N248" s="44">
        <f t="shared" si="57"/>
        <v>106.17740694679647</v>
      </c>
      <c r="O248" s="269" t="str">
        <f t="shared" si="55"/>
        <v>S</v>
      </c>
      <c r="AA248">
        <f t="shared" si="60"/>
        <v>2045</v>
      </c>
      <c r="AB248">
        <f t="shared" si="58"/>
        <v>6</v>
      </c>
      <c r="AC248" s="271">
        <f t="shared" si="59"/>
        <v>53114</v>
      </c>
      <c r="AD248" s="44">
        <f>+L248*VLOOKUP($AB248,'Peak Loads - 2022-2024'!$L$4:$M$15,2)</f>
        <v>98.069207289156623</v>
      </c>
      <c r="AE248" s="44">
        <f>+M248*VLOOKUP($AB248,'Peak Loads - 2022-2024'!$L$4:$M$15,2)</f>
        <v>82.423200778994342</v>
      </c>
      <c r="AF248" s="44">
        <f>+K248*VLOOKUP($AB248,'Peak Loads - 2022-2024'!$L$4:$M$15,2)</f>
        <v>88.222085946150699</v>
      </c>
      <c r="AG248" s="44"/>
    </row>
    <row r="249" spans="5:33" x14ac:dyDescent="0.2">
      <c r="E249" s="175"/>
      <c r="H249">
        <f t="shared" si="56"/>
        <v>2045</v>
      </c>
      <c r="I249">
        <f t="shared" si="61"/>
        <v>7</v>
      </c>
      <c r="J249" s="268">
        <v>53144</v>
      </c>
      <c r="K249" s="44">
        <f>+SUMIFS('Monthly Energy Data'!AE$8:AE$595,'Monthly Energy Data'!$D$8:$D$595,'Peak Load Projections'!$H249,'Monthly Energy Data'!$E$8:$E$595,'Peak Load Projections'!$I249)*VLOOKUP($I249,$A$3:$E$14,5)</f>
        <v>107.49884137967162</v>
      </c>
      <c r="L249" s="44">
        <f>+SUMIFS('Monthly Energy Data'!AF$8:AF$595,'Monthly Energy Data'!$D$8:$D$595,'Peak Load Projections'!$H249,'Monthly Energy Data'!$E$8:$E$595,'Peak Load Projections'!$I249)*VLOOKUP($I249,$A$3:$E$14,5)</f>
        <v>121.05409812309117</v>
      </c>
      <c r="M249" s="44">
        <f>+SUMIFS('Monthly Energy Data'!AG$8:AG$595,'Monthly Energy Data'!$D$8:$D$595,'Peak Load Projections'!$H249,'Monthly Energy Data'!$E$8:$E$595,'Peak Load Projections'!$I249)*VLOOKUP($I249,$A$3:$E$14,5)</f>
        <v>101.79233763215329</v>
      </c>
      <c r="N249" s="44">
        <f t="shared" si="57"/>
        <v>111.42321787762222</v>
      </c>
      <c r="O249" s="269" t="str">
        <f t="shared" si="55"/>
        <v>S</v>
      </c>
      <c r="AA249">
        <f t="shared" si="60"/>
        <v>2045</v>
      </c>
      <c r="AB249">
        <f t="shared" si="58"/>
        <v>7</v>
      </c>
      <c r="AC249" s="271">
        <f t="shared" si="59"/>
        <v>53144</v>
      </c>
      <c r="AD249" s="44">
        <f>+L249*VLOOKUP($AB249,'Peak Loads - 2022-2024'!$L$4:$M$15,2)</f>
        <v>86.844500481902628</v>
      </c>
      <c r="AE249" s="44">
        <f>+M249*VLOOKUP($AB249,'Peak Loads - 2022-2024'!$L$4:$M$15,2)</f>
        <v>73.026067284072184</v>
      </c>
      <c r="AF249" s="44">
        <f>+K249*VLOOKUP($AB249,'Peak Loads - 2022-2024'!$L$4:$M$15,2)</f>
        <v>77.119926766197409</v>
      </c>
      <c r="AG249" s="44"/>
    </row>
    <row r="250" spans="5:33" x14ac:dyDescent="0.2">
      <c r="E250" s="175"/>
      <c r="H250">
        <f t="shared" si="56"/>
        <v>2045</v>
      </c>
      <c r="I250">
        <f t="shared" si="61"/>
        <v>8</v>
      </c>
      <c r="J250" s="268">
        <v>53175</v>
      </c>
      <c r="K250" s="44">
        <f>+SUMIFS('Monthly Energy Data'!AE$8:AE$595,'Monthly Energy Data'!$D$8:$D$595,'Peak Load Projections'!$H250,'Monthly Energy Data'!$E$8:$E$595,'Peak Load Projections'!$I250)*VLOOKUP($I250,$A$3:$E$14,5)</f>
        <v>105.19431231038173</v>
      </c>
      <c r="L250" s="44">
        <f>+SUMIFS('Monthly Energy Data'!AF$8:AF$595,'Monthly Energy Data'!$D$8:$D$595,'Peak Load Projections'!$H250,'Monthly Energy Data'!$E$8:$E$595,'Peak Load Projections'!$I250)*VLOOKUP($I250,$A$3:$E$14,5)</f>
        <v>117.58706519593463</v>
      </c>
      <c r="M250" s="44">
        <f>+SUMIFS('Monthly Energy Data'!AG$8:AG$595,'Monthly Energy Data'!$D$8:$D$595,'Peak Load Projections'!$H250,'Monthly Energy Data'!$E$8:$E$595,'Peak Load Projections'!$I250)*VLOOKUP($I250,$A$3:$E$14,5)</f>
        <v>99.120721091037254</v>
      </c>
      <c r="N250" s="44">
        <f t="shared" si="57"/>
        <v>108.35389314348595</v>
      </c>
      <c r="O250" s="269" t="str">
        <f t="shared" si="55"/>
        <v>S</v>
      </c>
      <c r="AA250">
        <f t="shared" si="60"/>
        <v>2045</v>
      </c>
      <c r="AB250">
        <f t="shared" si="58"/>
        <v>8</v>
      </c>
      <c r="AC250" s="271">
        <f t="shared" si="59"/>
        <v>53175</v>
      </c>
      <c r="AD250" s="44">
        <f>+L250*VLOOKUP($AB250,'Peak Loads - 2022-2024'!$L$4:$M$15,2)</f>
        <v>84.09964543305523</v>
      </c>
      <c r="AE250" s="44">
        <f>+M250*VLOOKUP($AB250,'Peak Loads - 2022-2024'!$L$4:$M$15,2)</f>
        <v>70.892299973085784</v>
      </c>
      <c r="AF250" s="44">
        <f>+K250*VLOOKUP($AB250,'Peak Loads - 2022-2024'!$L$4:$M$15,2)</f>
        <v>75.236203507042234</v>
      </c>
      <c r="AG250" s="44"/>
    </row>
    <row r="251" spans="5:33" x14ac:dyDescent="0.2">
      <c r="E251" s="175"/>
      <c r="H251">
        <f t="shared" si="56"/>
        <v>2045</v>
      </c>
      <c r="I251">
        <f t="shared" si="61"/>
        <v>9</v>
      </c>
      <c r="J251" s="268">
        <v>53206</v>
      </c>
      <c r="K251" s="44">
        <f>+SUMIFS('Monthly Energy Data'!AE$8:AE$595,'Monthly Energy Data'!$D$8:$D$595,'Peak Load Projections'!$H251,'Monthly Energy Data'!$E$8:$E$595,'Peak Load Projections'!$I251)*VLOOKUP($I251,$A$3:$E$14,5)</f>
        <v>88.335101793900535</v>
      </c>
      <c r="L251" s="44">
        <f>+SUMIFS('Monthly Energy Data'!AF$8:AF$595,'Monthly Energy Data'!$D$8:$D$595,'Peak Load Projections'!$H251,'Monthly Energy Data'!$E$8:$E$595,'Peak Load Projections'!$I251)*VLOOKUP($I251,$A$3:$E$14,5)</f>
        <v>99.097638298294655</v>
      </c>
      <c r="M251" s="44">
        <f>+SUMIFS('Monthly Energy Data'!AG$8:AG$595,'Monthly Energy Data'!$D$8:$D$595,'Peak Load Projections'!$H251,'Monthly Energy Data'!$E$8:$E$595,'Peak Load Projections'!$I251)*VLOOKUP($I251,$A$3:$E$14,5)</f>
        <v>82.315145628848853</v>
      </c>
      <c r="N251" s="44">
        <f t="shared" si="57"/>
        <v>90.706391963571747</v>
      </c>
      <c r="O251" s="269" t="str">
        <f t="shared" si="55"/>
        <v>S</v>
      </c>
      <c r="AA251">
        <f t="shared" si="60"/>
        <v>2045</v>
      </c>
      <c r="AB251">
        <f t="shared" si="58"/>
        <v>9</v>
      </c>
      <c r="AC251" s="271">
        <f t="shared" si="59"/>
        <v>53206</v>
      </c>
      <c r="AD251" s="44">
        <f>+L251*VLOOKUP($AB251,'Peak Loads - 2022-2024'!$L$4:$M$15,2)</f>
        <v>70.868931234083234</v>
      </c>
      <c r="AE251" s="44">
        <f>+M251*VLOOKUP($AB251,'Peak Loads - 2022-2024'!$L$4:$M$15,2)</f>
        <v>58.867057734864559</v>
      </c>
      <c r="AF251" s="44">
        <f>+K251*VLOOKUP($AB251,'Peak Loads - 2022-2024'!$L$4:$M$15,2)</f>
        <v>63.172184141702296</v>
      </c>
      <c r="AG251" s="44"/>
    </row>
    <row r="252" spans="5:33" x14ac:dyDescent="0.2">
      <c r="E252" s="175"/>
      <c r="H252">
        <f t="shared" si="56"/>
        <v>2045</v>
      </c>
      <c r="I252">
        <f t="shared" si="61"/>
        <v>10</v>
      </c>
      <c r="J252" s="268">
        <v>53236</v>
      </c>
      <c r="K252" s="44">
        <f>+SUMIFS('Monthly Energy Data'!AE$8:AE$595,'Monthly Energy Data'!$D$8:$D$595,'Peak Load Projections'!$H252,'Monthly Energy Data'!$E$8:$E$595,'Peak Load Projections'!$I252)*VLOOKUP($I252,$A$3:$E$14,5)</f>
        <v>86.454876949458878</v>
      </c>
      <c r="L252" s="44">
        <f>+SUMIFS('Monthly Energy Data'!AF$8:AF$595,'Monthly Energy Data'!$D$8:$D$595,'Peak Load Projections'!$H252,'Monthly Energy Data'!$E$8:$E$595,'Peak Load Projections'!$I252)*VLOOKUP($I252,$A$3:$E$14,5)</f>
        <v>98.958915163500649</v>
      </c>
      <c r="M252" s="44">
        <f>+SUMIFS('Monthly Energy Data'!AG$8:AG$595,'Monthly Energy Data'!$D$8:$D$595,'Peak Load Projections'!$H252,'Monthly Energy Data'!$E$8:$E$595,'Peak Load Projections'!$I252)*VLOOKUP($I252,$A$3:$E$14,5)</f>
        <v>81.36137822376466</v>
      </c>
      <c r="N252" s="44">
        <f t="shared" si="57"/>
        <v>90.160146693632655</v>
      </c>
      <c r="O252" s="269" t="str">
        <f t="shared" si="55"/>
        <v>W</v>
      </c>
      <c r="AA252">
        <f t="shared" si="60"/>
        <v>2045</v>
      </c>
      <c r="AB252">
        <f t="shared" si="58"/>
        <v>10</v>
      </c>
      <c r="AC252" s="271">
        <f t="shared" si="59"/>
        <v>53236</v>
      </c>
      <c r="AD252" s="44">
        <f>+L252*VLOOKUP($AB252,'Peak Loads - 2022-2024'!$L$4:$M$15,2)</f>
        <v>68.740033104694064</v>
      </c>
      <c r="AE252" s="44">
        <f>+M252*VLOOKUP($AB252,'Peak Loads - 2022-2024'!$L$4:$M$15,2)</f>
        <v>56.51622012331763</v>
      </c>
      <c r="AF252" s="44">
        <f>+K252*VLOOKUP($AB252,'Peak Loads - 2022-2024'!$L$4:$M$15,2)</f>
        <v>60.0543275332913</v>
      </c>
      <c r="AG252" s="44"/>
    </row>
    <row r="253" spans="5:33" x14ac:dyDescent="0.2">
      <c r="E253" s="175"/>
      <c r="H253">
        <f t="shared" si="56"/>
        <v>2045</v>
      </c>
      <c r="I253">
        <f t="shared" si="61"/>
        <v>11</v>
      </c>
      <c r="J253" s="268">
        <v>53267</v>
      </c>
      <c r="K253" s="44">
        <f>+SUMIFS('Monthly Energy Data'!AE$8:AE$595,'Monthly Energy Data'!$D$8:$D$595,'Peak Load Projections'!$H253,'Monthly Energy Data'!$E$8:$E$595,'Peak Load Projections'!$I253)*VLOOKUP($I253,$A$3:$E$14,5)</f>
        <v>110.08820875561152</v>
      </c>
      <c r="L253" s="44">
        <f>+SUMIFS('Monthly Energy Data'!AF$8:AF$595,'Monthly Energy Data'!$D$8:$D$595,'Peak Load Projections'!$H253,'Monthly Energy Data'!$E$8:$E$595,'Peak Load Projections'!$I253)*VLOOKUP($I253,$A$3:$E$14,5)</f>
        <v>133.37993998119836</v>
      </c>
      <c r="M253" s="44">
        <f>+SUMIFS('Monthly Energy Data'!AG$8:AG$595,'Monthly Energy Data'!$D$8:$D$595,'Peak Load Projections'!$H253,'Monthly Energy Data'!$E$8:$E$595,'Peak Load Projections'!$I253)*VLOOKUP($I253,$A$3:$E$14,5)</f>
        <v>104.95641167783171</v>
      </c>
      <c r="N253" s="44">
        <f t="shared" si="57"/>
        <v>119.16817582951504</v>
      </c>
      <c r="O253" s="269" t="str">
        <f t="shared" si="55"/>
        <v>W</v>
      </c>
      <c r="AA253">
        <f t="shared" si="60"/>
        <v>2045</v>
      </c>
      <c r="AB253">
        <f t="shared" si="58"/>
        <v>11</v>
      </c>
      <c r="AC253" s="271">
        <f t="shared" si="59"/>
        <v>53267</v>
      </c>
      <c r="AD253" s="44">
        <f>+L253*VLOOKUP($AB253,'Peak Loads - 2022-2024'!$L$4:$M$15,2)</f>
        <v>94.866026921538008</v>
      </c>
      <c r="AE253" s="44">
        <f>+M253*VLOOKUP($AB253,'Peak Loads - 2022-2024'!$L$4:$M$15,2)</f>
        <v>74.649889460294773</v>
      </c>
      <c r="AF253" s="44">
        <f>+K253*VLOOKUP($AB253,'Peak Loads - 2022-2024'!$L$4:$M$15,2)</f>
        <v>78.299862610718705</v>
      </c>
      <c r="AG253" s="44"/>
    </row>
    <row r="254" spans="5:33" x14ac:dyDescent="0.2">
      <c r="E254" s="175"/>
      <c r="H254">
        <f t="shared" si="56"/>
        <v>2045</v>
      </c>
      <c r="I254">
        <f t="shared" si="61"/>
        <v>12</v>
      </c>
      <c r="J254" s="268">
        <v>53297</v>
      </c>
      <c r="K254" s="44">
        <f>+SUMIFS('Monthly Energy Data'!AE$8:AE$595,'Monthly Energy Data'!$D$8:$D$595,'Peak Load Projections'!$H254,'Monthly Energy Data'!$E$8:$E$595,'Peak Load Projections'!$I254)*VLOOKUP($I254,$A$3:$E$14,5)</f>
        <v>120.965313058559</v>
      </c>
      <c r="L254" s="44">
        <f>+SUMIFS('Monthly Energy Data'!AF$8:AF$595,'Monthly Energy Data'!$D$8:$D$595,'Peak Load Projections'!$H254,'Monthly Energy Data'!$E$8:$E$595,'Peak Load Projections'!$I254)*VLOOKUP($I254,$A$3:$E$14,5)</f>
        <v>144.52447941572208</v>
      </c>
      <c r="M254" s="44">
        <f>+SUMIFS('Monthly Energy Data'!AG$8:AG$595,'Monthly Energy Data'!$D$8:$D$595,'Peak Load Projections'!$H254,'Monthly Energy Data'!$E$8:$E$595,'Peak Load Projections'!$I254)*VLOOKUP($I254,$A$3:$E$14,5)</f>
        <v>115.12902318773448</v>
      </c>
      <c r="N254" s="44">
        <f t="shared" si="57"/>
        <v>129.82675130172828</v>
      </c>
      <c r="O254" s="269" t="str">
        <f t="shared" si="55"/>
        <v>W</v>
      </c>
      <c r="AA254">
        <f t="shared" si="60"/>
        <v>2045</v>
      </c>
      <c r="AB254">
        <f t="shared" si="58"/>
        <v>12</v>
      </c>
      <c r="AC254" s="271">
        <f t="shared" si="59"/>
        <v>53297</v>
      </c>
      <c r="AD254" s="44">
        <f>+L254*VLOOKUP($AB254,'Peak Loads - 2022-2024'!$L$4:$M$15,2)</f>
        <v>123.8185589371425</v>
      </c>
      <c r="AE254" s="44">
        <f>+M254*VLOOKUP($AB254,'Peak Loads - 2022-2024'!$L$4:$M$15,2)</f>
        <v>98.634569040318624</v>
      </c>
      <c r="AF254" s="44">
        <f>+K254*VLOOKUP($AB254,'Peak Loads - 2022-2024'!$L$4:$M$15,2)</f>
        <v>103.63469776775912</v>
      </c>
      <c r="AG254" s="44"/>
    </row>
    <row r="255" spans="5:33" x14ac:dyDescent="0.2">
      <c r="E255" s="175"/>
      <c r="H255">
        <f t="shared" si="56"/>
        <v>2046</v>
      </c>
      <c r="I255">
        <f t="shared" si="61"/>
        <v>1</v>
      </c>
      <c r="J255" s="268">
        <v>53328</v>
      </c>
      <c r="K255" s="44">
        <f>+SUMIFS('Monthly Energy Data'!AE$8:AE$595,'Monthly Energy Data'!$D$8:$D$595,'Peak Load Projections'!$H255,'Monthly Energy Data'!$E$8:$E$595,'Peak Load Projections'!$I255)*VLOOKUP($I255,$A$3:$E$14,5)</f>
        <v>-0.1229666316964097</v>
      </c>
      <c r="L255" s="44">
        <f>+SUMIFS('Monthly Energy Data'!AF$8:AF$595,'Monthly Energy Data'!$D$8:$D$595,'Peak Load Projections'!$H255,'Monthly Energy Data'!$E$8:$E$595,'Peak Load Projections'!$I255)*VLOOKUP($I255,$A$3:$E$14,5)</f>
        <v>-0.1229666316964097</v>
      </c>
      <c r="M255" s="44">
        <f>+SUMIFS('Monthly Energy Data'!AG$8:AG$595,'Monthly Energy Data'!$D$8:$D$595,'Peak Load Projections'!$H255,'Monthly Energy Data'!$E$8:$E$595,'Peak Load Projections'!$I255)*VLOOKUP($I255,$A$3:$E$14,5)</f>
        <v>-0.1229666316964097</v>
      </c>
      <c r="N255" s="44">
        <f t="shared" si="57"/>
        <v>-0.1229666316964097</v>
      </c>
      <c r="O255" s="269" t="str">
        <f t="shared" si="55"/>
        <v>W</v>
      </c>
      <c r="AA255">
        <f t="shared" si="60"/>
        <v>2046</v>
      </c>
      <c r="AB255">
        <f t="shared" si="58"/>
        <v>1</v>
      </c>
      <c r="AC255" s="271">
        <f t="shared" si="59"/>
        <v>53328</v>
      </c>
      <c r="AD255" s="44">
        <f>+L255*VLOOKUP($AB255,'Peak Loads - 2022-2024'!$L$4:$M$15,2)</f>
        <v>-0.10880300356342254</v>
      </c>
      <c r="AE255" s="44">
        <f>+M255*VLOOKUP($AB255,'Peak Loads - 2022-2024'!$L$4:$M$15,2)</f>
        <v>-0.10880300356342254</v>
      </c>
      <c r="AF255" s="44">
        <f>+K255*VLOOKUP($AB255,'Peak Loads - 2022-2024'!$L$4:$M$15,2)</f>
        <v>-0.10880300356342254</v>
      </c>
      <c r="AG255" s="44"/>
    </row>
    <row r="256" spans="5:33" x14ac:dyDescent="0.2">
      <c r="E256" s="175"/>
      <c r="H256">
        <f t="shared" si="56"/>
        <v>2046</v>
      </c>
      <c r="I256">
        <f t="shared" si="61"/>
        <v>2</v>
      </c>
      <c r="J256" s="268">
        <v>53359</v>
      </c>
      <c r="K256" s="44">
        <f>+SUMIFS('Monthly Energy Data'!AE$8:AE$595,'Monthly Energy Data'!$D$8:$D$595,'Peak Load Projections'!$H256,'Monthly Energy Data'!$E$8:$E$595,'Peak Load Projections'!$I256)*VLOOKUP($I256,$A$3:$E$14,5)</f>
        <v>-0.30872807010179631</v>
      </c>
      <c r="L256" s="44">
        <f>+SUMIFS('Monthly Energy Data'!AF$8:AF$595,'Monthly Energy Data'!$D$8:$D$595,'Peak Load Projections'!$H256,'Monthly Energy Data'!$E$8:$E$595,'Peak Load Projections'!$I256)*VLOOKUP($I256,$A$3:$E$14,5)</f>
        <v>-0.30872807010179631</v>
      </c>
      <c r="M256" s="44">
        <f>+SUMIFS('Monthly Energy Data'!AG$8:AG$595,'Monthly Energy Data'!$D$8:$D$595,'Peak Load Projections'!$H256,'Monthly Energy Data'!$E$8:$E$595,'Peak Load Projections'!$I256)*VLOOKUP($I256,$A$3:$E$14,5)</f>
        <v>-0.30872807010179631</v>
      </c>
      <c r="N256" s="44">
        <f t="shared" si="57"/>
        <v>-0.30872807010179631</v>
      </c>
      <c r="O256" s="269" t="str">
        <f t="shared" si="55"/>
        <v>W</v>
      </c>
      <c r="AA256">
        <f t="shared" si="60"/>
        <v>2046</v>
      </c>
      <c r="AB256">
        <f t="shared" si="58"/>
        <v>2</v>
      </c>
      <c r="AC256" s="271">
        <f t="shared" si="59"/>
        <v>53359</v>
      </c>
      <c r="AD256" s="44">
        <f>+L256*VLOOKUP($AB256,'Peak Loads - 2022-2024'!$L$4:$M$15,2)</f>
        <v>-0.24621884347205025</v>
      </c>
      <c r="AE256" s="44">
        <f>+M256*VLOOKUP($AB256,'Peak Loads - 2022-2024'!$L$4:$M$15,2)</f>
        <v>-0.24621884347205025</v>
      </c>
      <c r="AF256" s="44">
        <f>+K256*VLOOKUP($AB256,'Peak Loads - 2022-2024'!$L$4:$M$15,2)</f>
        <v>-0.24621884347205025</v>
      </c>
      <c r="AG256" s="44"/>
    </row>
    <row r="257" spans="5:33" x14ac:dyDescent="0.2">
      <c r="E257" s="175"/>
      <c r="H257">
        <f t="shared" si="56"/>
        <v>2046</v>
      </c>
      <c r="I257">
        <f t="shared" si="61"/>
        <v>3</v>
      </c>
      <c r="J257" s="268">
        <v>53387</v>
      </c>
      <c r="K257" s="44">
        <f>+SUMIFS('Monthly Energy Data'!AE$8:AE$595,'Monthly Energy Data'!$D$8:$D$595,'Peak Load Projections'!$H257,'Monthly Energy Data'!$E$8:$E$595,'Peak Load Projections'!$I257)*VLOOKUP($I257,$A$3:$E$14,5)</f>
        <v>-0.34188030716481399</v>
      </c>
      <c r="L257" s="44">
        <f>+SUMIFS('Monthly Energy Data'!AF$8:AF$595,'Monthly Energy Data'!$D$8:$D$595,'Peak Load Projections'!$H257,'Monthly Energy Data'!$E$8:$E$595,'Peak Load Projections'!$I257)*VLOOKUP($I257,$A$3:$E$14,5)</f>
        <v>-0.34188030716481399</v>
      </c>
      <c r="M257" s="44">
        <f>+SUMIFS('Monthly Energy Data'!AG$8:AG$595,'Monthly Energy Data'!$D$8:$D$595,'Peak Load Projections'!$H257,'Monthly Energy Data'!$E$8:$E$595,'Peak Load Projections'!$I257)*VLOOKUP($I257,$A$3:$E$14,5)</f>
        <v>-0.34188030716481399</v>
      </c>
      <c r="N257" s="44">
        <f t="shared" si="57"/>
        <v>-0.34188030716481399</v>
      </c>
      <c r="O257" s="269" t="str">
        <f t="shared" si="55"/>
        <v>W</v>
      </c>
      <c r="AA257">
        <f t="shared" si="60"/>
        <v>2046</v>
      </c>
      <c r="AB257">
        <f t="shared" si="58"/>
        <v>3</v>
      </c>
      <c r="AC257" s="271">
        <f t="shared" si="59"/>
        <v>53387</v>
      </c>
      <c r="AD257" s="44">
        <f>+L257*VLOOKUP($AB257,'Peak Loads - 2022-2024'!$L$4:$M$15,2)</f>
        <v>-0.2439978530575081</v>
      </c>
      <c r="AE257" s="44">
        <f>+M257*VLOOKUP($AB257,'Peak Loads - 2022-2024'!$L$4:$M$15,2)</f>
        <v>-0.2439978530575081</v>
      </c>
      <c r="AF257" s="44">
        <f>+K257*VLOOKUP($AB257,'Peak Loads - 2022-2024'!$L$4:$M$15,2)</f>
        <v>-0.2439978530575081</v>
      </c>
      <c r="AG257" s="44"/>
    </row>
    <row r="258" spans="5:33" x14ac:dyDescent="0.2">
      <c r="E258" s="175"/>
      <c r="H258">
        <f t="shared" si="56"/>
        <v>2046</v>
      </c>
      <c r="I258">
        <f t="shared" si="61"/>
        <v>4</v>
      </c>
      <c r="J258" s="268">
        <v>53418</v>
      </c>
      <c r="K258" s="44">
        <f>+SUMIFS('Monthly Energy Data'!AE$8:AE$595,'Monthly Energy Data'!$D$8:$D$595,'Peak Load Projections'!$H258,'Monthly Energy Data'!$E$8:$E$595,'Peak Load Projections'!$I258)*VLOOKUP($I258,$A$3:$E$14,5)</f>
        <v>-0.55978038214841253</v>
      </c>
      <c r="L258" s="44">
        <f>+SUMIFS('Monthly Energy Data'!AF$8:AF$595,'Monthly Energy Data'!$D$8:$D$595,'Peak Load Projections'!$H258,'Monthly Energy Data'!$E$8:$E$595,'Peak Load Projections'!$I258)*VLOOKUP($I258,$A$3:$E$14,5)</f>
        <v>-0.55978038214841253</v>
      </c>
      <c r="M258" s="44">
        <f>+SUMIFS('Monthly Energy Data'!AG$8:AG$595,'Monthly Energy Data'!$D$8:$D$595,'Peak Load Projections'!$H258,'Monthly Energy Data'!$E$8:$E$595,'Peak Load Projections'!$I258)*VLOOKUP($I258,$A$3:$E$14,5)</f>
        <v>-0.55978038214841253</v>
      </c>
      <c r="N258" s="44">
        <f t="shared" si="57"/>
        <v>-0.55978038214841253</v>
      </c>
      <c r="O258" s="269" t="str">
        <f t="shared" si="55"/>
        <v>W</v>
      </c>
      <c r="AA258">
        <f t="shared" si="60"/>
        <v>2046</v>
      </c>
      <c r="AB258">
        <f t="shared" si="58"/>
        <v>4</v>
      </c>
      <c r="AC258" s="271">
        <f t="shared" si="59"/>
        <v>53418</v>
      </c>
      <c r="AD258" s="44">
        <f>+L258*VLOOKUP($AB258,'Peak Loads - 2022-2024'!$L$4:$M$15,2)</f>
        <v>-0.39057830626618706</v>
      </c>
      <c r="AE258" s="44">
        <f>+M258*VLOOKUP($AB258,'Peak Loads - 2022-2024'!$L$4:$M$15,2)</f>
        <v>-0.39057830626618706</v>
      </c>
      <c r="AF258" s="44">
        <f>+K258*VLOOKUP($AB258,'Peak Loads - 2022-2024'!$L$4:$M$15,2)</f>
        <v>-0.39057830626618706</v>
      </c>
      <c r="AG258" s="44"/>
    </row>
    <row r="259" spans="5:33" x14ac:dyDescent="0.2">
      <c r="E259" s="175"/>
      <c r="H259">
        <f t="shared" si="56"/>
        <v>2046</v>
      </c>
      <c r="I259">
        <f t="shared" si="61"/>
        <v>5</v>
      </c>
      <c r="J259" s="268">
        <v>53448</v>
      </c>
      <c r="K259" s="44">
        <f>+SUMIFS('Monthly Energy Data'!AE$8:AE$595,'Monthly Energy Data'!$D$8:$D$595,'Peak Load Projections'!$H259,'Monthly Energy Data'!$E$8:$E$595,'Peak Load Projections'!$I259)*VLOOKUP($I259,$A$3:$E$14,5)</f>
        <v>-0.6428168701497019</v>
      </c>
      <c r="L259" s="44">
        <f>+SUMIFS('Monthly Energy Data'!AF$8:AF$595,'Monthly Energy Data'!$D$8:$D$595,'Peak Load Projections'!$H259,'Monthly Energy Data'!$E$8:$E$595,'Peak Load Projections'!$I259)*VLOOKUP($I259,$A$3:$E$14,5)</f>
        <v>-0.6428168701497019</v>
      </c>
      <c r="M259" s="44">
        <f>+SUMIFS('Monthly Energy Data'!AG$8:AG$595,'Monthly Energy Data'!$D$8:$D$595,'Peak Load Projections'!$H259,'Monthly Energy Data'!$E$8:$E$595,'Peak Load Projections'!$I259)*VLOOKUP($I259,$A$3:$E$14,5)</f>
        <v>-0.6428168701497019</v>
      </c>
      <c r="N259" s="44">
        <f t="shared" si="57"/>
        <v>-0.6428168701497019</v>
      </c>
      <c r="O259" s="269" t="str">
        <f t="shared" ref="O259:O322" si="62">+IF(I259&lt;6,"W",IF(I259&gt;9,"W","S"))</f>
        <v>W</v>
      </c>
      <c r="AA259">
        <f t="shared" si="60"/>
        <v>2046</v>
      </c>
      <c r="AB259">
        <f t="shared" si="58"/>
        <v>5</v>
      </c>
      <c r="AC259" s="271">
        <f t="shared" si="59"/>
        <v>53448</v>
      </c>
      <c r="AD259" s="44">
        <f>+L259*VLOOKUP($AB259,'Peak Loads - 2022-2024'!$L$4:$M$15,2)</f>
        <v>-0.45778139238113469</v>
      </c>
      <c r="AE259" s="44">
        <f>+M259*VLOOKUP($AB259,'Peak Loads - 2022-2024'!$L$4:$M$15,2)</f>
        <v>-0.45778139238113469</v>
      </c>
      <c r="AF259" s="44">
        <f>+K259*VLOOKUP($AB259,'Peak Loads - 2022-2024'!$L$4:$M$15,2)</f>
        <v>-0.45778139238113469</v>
      </c>
      <c r="AG259" s="44"/>
    </row>
    <row r="260" spans="5:33" x14ac:dyDescent="0.2">
      <c r="E260" s="175"/>
      <c r="H260">
        <f t="shared" ref="H260:H323" si="63">+YEAR(J260)</f>
        <v>2046</v>
      </c>
      <c r="I260">
        <f t="shared" si="61"/>
        <v>6</v>
      </c>
      <c r="J260" s="268">
        <v>53479</v>
      </c>
      <c r="K260" s="44">
        <f>+SUMIFS('Monthly Energy Data'!AE$8:AE$595,'Monthly Energy Data'!$D$8:$D$595,'Peak Load Projections'!$H260,'Monthly Energy Data'!$E$8:$E$595,'Peak Load Projections'!$I260)*VLOOKUP($I260,$A$3:$E$14,5)</f>
        <v>-0.71244531820814361</v>
      </c>
      <c r="L260" s="44">
        <f>+SUMIFS('Monthly Energy Data'!AF$8:AF$595,'Monthly Energy Data'!$D$8:$D$595,'Peak Load Projections'!$H260,'Monthly Energy Data'!$E$8:$E$595,'Peak Load Projections'!$I260)*VLOOKUP($I260,$A$3:$E$14,5)</f>
        <v>-0.71244531820814361</v>
      </c>
      <c r="M260" s="44">
        <f>+SUMIFS('Monthly Energy Data'!AG$8:AG$595,'Monthly Energy Data'!$D$8:$D$595,'Peak Load Projections'!$H260,'Monthly Energy Data'!$E$8:$E$595,'Peak Load Projections'!$I260)*VLOOKUP($I260,$A$3:$E$14,5)</f>
        <v>-0.71244531820814361</v>
      </c>
      <c r="N260" s="44">
        <f t="shared" ref="N260:N323" si="64">+(MIN(K260:M260)+MAX(K260:M260))/2</f>
        <v>-0.71244531820814361</v>
      </c>
      <c r="O260" s="269" t="str">
        <f t="shared" si="62"/>
        <v>S</v>
      </c>
      <c r="AA260">
        <f t="shared" si="60"/>
        <v>2046</v>
      </c>
      <c r="AB260">
        <f t="shared" ref="AB260:AB323" si="65">+I260</f>
        <v>6</v>
      </c>
      <c r="AC260" s="271">
        <f t="shared" ref="AC260:AC323" si="66">+J260</f>
        <v>53479</v>
      </c>
      <c r="AD260" s="44">
        <f>+L260*VLOOKUP($AB260,'Peak Loads - 2022-2024'!$L$4:$M$15,2)</f>
        <v>-0.60554770924431445</v>
      </c>
      <c r="AE260" s="44">
        <f>+M260*VLOOKUP($AB260,'Peak Loads - 2022-2024'!$L$4:$M$15,2)</f>
        <v>-0.60554770924431445</v>
      </c>
      <c r="AF260" s="44">
        <f>+K260*VLOOKUP($AB260,'Peak Loads - 2022-2024'!$L$4:$M$15,2)</f>
        <v>-0.60554770924431445</v>
      </c>
      <c r="AG260" s="44"/>
    </row>
    <row r="261" spans="5:33" x14ac:dyDescent="0.2">
      <c r="E261" s="175"/>
      <c r="H261">
        <f t="shared" si="63"/>
        <v>2046</v>
      </c>
      <c r="I261">
        <f t="shared" si="61"/>
        <v>7</v>
      </c>
      <c r="J261" s="268">
        <v>53509</v>
      </c>
      <c r="K261" s="44">
        <f>+SUMIFS('Monthly Energy Data'!AE$8:AE$595,'Monthly Energy Data'!$D$8:$D$595,'Peak Load Projections'!$H261,'Monthly Energy Data'!$E$8:$E$595,'Peak Load Projections'!$I261)*VLOOKUP($I261,$A$3:$E$14,5)</f>
        <v>-0.64788127738280132</v>
      </c>
      <c r="L261" s="44">
        <f>+SUMIFS('Monthly Energy Data'!AF$8:AF$595,'Monthly Energy Data'!$D$8:$D$595,'Peak Load Projections'!$H261,'Monthly Energy Data'!$E$8:$E$595,'Peak Load Projections'!$I261)*VLOOKUP($I261,$A$3:$E$14,5)</f>
        <v>-0.64788127738280132</v>
      </c>
      <c r="M261" s="44">
        <f>+SUMIFS('Monthly Energy Data'!AG$8:AG$595,'Monthly Energy Data'!$D$8:$D$595,'Peak Load Projections'!$H261,'Monthly Energy Data'!$E$8:$E$595,'Peak Load Projections'!$I261)*VLOOKUP($I261,$A$3:$E$14,5)</f>
        <v>-0.64788127738280132</v>
      </c>
      <c r="N261" s="44">
        <f t="shared" si="64"/>
        <v>-0.64788127738280132</v>
      </c>
      <c r="O261" s="269" t="str">
        <f t="shared" si="62"/>
        <v>S</v>
      </c>
      <c r="AA261">
        <f t="shared" si="60"/>
        <v>2046</v>
      </c>
      <c r="AB261">
        <f t="shared" si="65"/>
        <v>7</v>
      </c>
      <c r="AC261" s="271">
        <f t="shared" si="66"/>
        <v>53509</v>
      </c>
      <c r="AD261" s="44">
        <f>+L261*VLOOKUP($AB261,'Peak Loads - 2022-2024'!$L$4:$M$15,2)</f>
        <v>-0.46479158308770879</v>
      </c>
      <c r="AE261" s="44">
        <f>+M261*VLOOKUP($AB261,'Peak Loads - 2022-2024'!$L$4:$M$15,2)</f>
        <v>-0.46479158308770879</v>
      </c>
      <c r="AF261" s="44">
        <f>+K261*VLOOKUP($AB261,'Peak Loads - 2022-2024'!$L$4:$M$15,2)</f>
        <v>-0.46479158308770879</v>
      </c>
      <c r="AG261" s="44"/>
    </row>
    <row r="262" spans="5:33" x14ac:dyDescent="0.2">
      <c r="E262" s="175"/>
      <c r="H262">
        <f t="shared" si="63"/>
        <v>2046</v>
      </c>
      <c r="I262">
        <f t="shared" si="61"/>
        <v>8</v>
      </c>
      <c r="J262" s="268">
        <v>53540</v>
      </c>
      <c r="K262" s="44">
        <f>+SUMIFS('Monthly Energy Data'!AE$8:AE$595,'Monthly Energy Data'!$D$8:$D$595,'Peak Load Projections'!$H262,'Monthly Energy Data'!$E$8:$E$595,'Peak Load Projections'!$I262)*VLOOKUP($I262,$A$3:$E$14,5)</f>
        <v>-0.60853158314371381</v>
      </c>
      <c r="L262" s="44">
        <f>+SUMIFS('Monthly Energy Data'!AF$8:AF$595,'Monthly Energy Data'!$D$8:$D$595,'Peak Load Projections'!$H262,'Monthly Energy Data'!$E$8:$E$595,'Peak Load Projections'!$I262)*VLOOKUP($I262,$A$3:$E$14,5)</f>
        <v>-0.60853158314371381</v>
      </c>
      <c r="M262" s="44">
        <f>+SUMIFS('Monthly Energy Data'!AG$8:AG$595,'Monthly Energy Data'!$D$8:$D$595,'Peak Load Projections'!$H262,'Monthly Energy Data'!$E$8:$E$595,'Peak Load Projections'!$I262)*VLOOKUP($I262,$A$3:$E$14,5)</f>
        <v>-0.60853158314371381</v>
      </c>
      <c r="N262" s="44">
        <f t="shared" si="64"/>
        <v>-0.60853158314371381</v>
      </c>
      <c r="O262" s="269" t="str">
        <f t="shared" si="62"/>
        <v>S</v>
      </c>
      <c r="AA262">
        <f t="shared" si="60"/>
        <v>2046</v>
      </c>
      <c r="AB262">
        <f t="shared" si="65"/>
        <v>8</v>
      </c>
      <c r="AC262" s="271">
        <f t="shared" si="66"/>
        <v>53540</v>
      </c>
      <c r="AD262" s="44">
        <f>+L262*VLOOKUP($AB262,'Peak Loads - 2022-2024'!$L$4:$M$15,2)</f>
        <v>-0.43522891137665259</v>
      </c>
      <c r="AE262" s="44">
        <f>+M262*VLOOKUP($AB262,'Peak Loads - 2022-2024'!$L$4:$M$15,2)</f>
        <v>-0.43522891137665259</v>
      </c>
      <c r="AF262" s="44">
        <f>+K262*VLOOKUP($AB262,'Peak Loads - 2022-2024'!$L$4:$M$15,2)</f>
        <v>-0.43522891137665259</v>
      </c>
      <c r="AG262" s="44"/>
    </row>
    <row r="263" spans="5:33" x14ac:dyDescent="0.2">
      <c r="E263" s="175"/>
      <c r="H263">
        <f t="shared" si="63"/>
        <v>2046</v>
      </c>
      <c r="I263">
        <f t="shared" si="61"/>
        <v>9</v>
      </c>
      <c r="J263" s="268">
        <v>53571</v>
      </c>
      <c r="K263" s="44">
        <f>+SUMIFS('Monthly Energy Data'!AE$8:AE$595,'Monthly Energy Data'!$D$8:$D$595,'Peak Load Projections'!$H263,'Monthly Energy Data'!$E$8:$E$595,'Peak Load Projections'!$I263)*VLOOKUP($I263,$A$3:$E$14,5)</f>
        <v>-0.5217011995805495</v>
      </c>
      <c r="L263" s="44">
        <f>+SUMIFS('Monthly Energy Data'!AF$8:AF$595,'Monthly Energy Data'!$D$8:$D$595,'Peak Load Projections'!$H263,'Monthly Energy Data'!$E$8:$E$595,'Peak Load Projections'!$I263)*VLOOKUP($I263,$A$3:$E$14,5)</f>
        <v>-0.5217011995805495</v>
      </c>
      <c r="M263" s="44">
        <f>+SUMIFS('Monthly Energy Data'!AG$8:AG$595,'Monthly Energy Data'!$D$8:$D$595,'Peak Load Projections'!$H263,'Monthly Energy Data'!$E$8:$E$595,'Peak Load Projections'!$I263)*VLOOKUP($I263,$A$3:$E$14,5)</f>
        <v>-0.5217011995805495</v>
      </c>
      <c r="N263" s="44">
        <f t="shared" si="64"/>
        <v>-0.5217011995805495</v>
      </c>
      <c r="O263" s="269" t="str">
        <f t="shared" si="62"/>
        <v>S</v>
      </c>
      <c r="AA263">
        <f t="shared" si="60"/>
        <v>2046</v>
      </c>
      <c r="AB263">
        <f t="shared" si="65"/>
        <v>9</v>
      </c>
      <c r="AC263" s="271">
        <f t="shared" si="66"/>
        <v>53571</v>
      </c>
      <c r="AD263" s="44">
        <f>+L263*VLOOKUP($AB263,'Peak Loads - 2022-2024'!$L$4:$M$15,2)</f>
        <v>-0.37309069189440963</v>
      </c>
      <c r="AE263" s="44">
        <f>+M263*VLOOKUP($AB263,'Peak Loads - 2022-2024'!$L$4:$M$15,2)</f>
        <v>-0.37309069189440963</v>
      </c>
      <c r="AF263" s="44">
        <f>+K263*VLOOKUP($AB263,'Peak Loads - 2022-2024'!$L$4:$M$15,2)</f>
        <v>-0.37309069189440963</v>
      </c>
      <c r="AG263" s="44"/>
    </row>
    <row r="264" spans="5:33" x14ac:dyDescent="0.2">
      <c r="E264" s="175"/>
      <c r="H264">
        <f t="shared" si="63"/>
        <v>2046</v>
      </c>
      <c r="I264">
        <f t="shared" si="61"/>
        <v>10</v>
      </c>
      <c r="J264" s="268">
        <v>53601</v>
      </c>
      <c r="K264" s="44">
        <f>+SUMIFS('Monthly Energy Data'!AE$8:AE$595,'Monthly Energy Data'!$D$8:$D$595,'Peak Load Projections'!$H264,'Monthly Energy Data'!$E$8:$E$595,'Peak Load Projections'!$I264)*VLOOKUP($I264,$A$3:$E$14,5)</f>
        <v>-0.33670231378798132</v>
      </c>
      <c r="L264" s="44">
        <f>+SUMIFS('Monthly Energy Data'!AF$8:AF$595,'Monthly Energy Data'!$D$8:$D$595,'Peak Load Projections'!$H264,'Monthly Energy Data'!$E$8:$E$595,'Peak Load Projections'!$I264)*VLOOKUP($I264,$A$3:$E$14,5)</f>
        <v>-0.33670231378798132</v>
      </c>
      <c r="M264" s="44">
        <f>+SUMIFS('Monthly Energy Data'!AG$8:AG$595,'Monthly Energy Data'!$D$8:$D$595,'Peak Load Projections'!$H264,'Monthly Energy Data'!$E$8:$E$595,'Peak Load Projections'!$I264)*VLOOKUP($I264,$A$3:$E$14,5)</f>
        <v>-0.33670231378798132</v>
      </c>
      <c r="N264" s="44">
        <f t="shared" si="64"/>
        <v>-0.33670231378798132</v>
      </c>
      <c r="O264" s="269" t="str">
        <f t="shared" si="62"/>
        <v>W</v>
      </c>
      <c r="AA264">
        <f t="shared" si="60"/>
        <v>2046</v>
      </c>
      <c r="AB264">
        <f t="shared" si="65"/>
        <v>10</v>
      </c>
      <c r="AC264" s="271">
        <f t="shared" si="66"/>
        <v>53601</v>
      </c>
      <c r="AD264" s="44">
        <f>+L264*VLOOKUP($AB264,'Peak Loads - 2022-2024'!$L$4:$M$15,2)</f>
        <v>-0.23388421506008533</v>
      </c>
      <c r="AE264" s="44">
        <f>+M264*VLOOKUP($AB264,'Peak Loads - 2022-2024'!$L$4:$M$15,2)</f>
        <v>-0.23388421506008533</v>
      </c>
      <c r="AF264" s="44">
        <f>+K264*VLOOKUP($AB264,'Peak Loads - 2022-2024'!$L$4:$M$15,2)</f>
        <v>-0.23388421506008533</v>
      </c>
      <c r="AG264" s="44"/>
    </row>
    <row r="265" spans="5:33" x14ac:dyDescent="0.2">
      <c r="E265" s="175"/>
      <c r="H265">
        <f t="shared" si="63"/>
        <v>2046</v>
      </c>
      <c r="I265">
        <f t="shared" si="61"/>
        <v>11</v>
      </c>
      <c r="J265" s="268">
        <v>53632</v>
      </c>
      <c r="K265" s="44">
        <f>+SUMIFS('Monthly Energy Data'!AE$8:AE$595,'Monthly Energy Data'!$D$8:$D$595,'Peak Load Projections'!$H265,'Monthly Energy Data'!$E$8:$E$595,'Peak Load Projections'!$I265)*VLOOKUP($I265,$A$3:$E$14,5)</f>
        <v>-0.15137995663023687</v>
      </c>
      <c r="L265" s="44">
        <f>+SUMIFS('Monthly Energy Data'!AF$8:AF$595,'Monthly Energy Data'!$D$8:$D$595,'Peak Load Projections'!$H265,'Monthly Energy Data'!$E$8:$E$595,'Peak Load Projections'!$I265)*VLOOKUP($I265,$A$3:$E$14,5)</f>
        <v>-0.15137995663023687</v>
      </c>
      <c r="M265" s="44">
        <f>+SUMIFS('Monthly Energy Data'!AG$8:AG$595,'Monthly Energy Data'!$D$8:$D$595,'Peak Load Projections'!$H265,'Monthly Energy Data'!$E$8:$E$595,'Peak Load Projections'!$I265)*VLOOKUP($I265,$A$3:$E$14,5)</f>
        <v>-0.15137995663023687</v>
      </c>
      <c r="N265" s="44">
        <f t="shared" si="64"/>
        <v>-0.15137995663023687</v>
      </c>
      <c r="O265" s="269" t="str">
        <f t="shared" si="62"/>
        <v>W</v>
      </c>
      <c r="AA265">
        <f t="shared" si="60"/>
        <v>2046</v>
      </c>
      <c r="AB265">
        <f t="shared" si="65"/>
        <v>11</v>
      </c>
      <c r="AC265" s="271">
        <f t="shared" si="66"/>
        <v>53632</v>
      </c>
      <c r="AD265" s="44">
        <f>+L265*VLOOKUP($AB265,'Peak Loads - 2022-2024'!$L$4:$M$15,2)</f>
        <v>-0.10766847730692974</v>
      </c>
      <c r="AE265" s="44">
        <f>+M265*VLOOKUP($AB265,'Peak Loads - 2022-2024'!$L$4:$M$15,2)</f>
        <v>-0.10766847730692974</v>
      </c>
      <c r="AF265" s="44">
        <f>+K265*VLOOKUP($AB265,'Peak Loads - 2022-2024'!$L$4:$M$15,2)</f>
        <v>-0.10766847730692974</v>
      </c>
      <c r="AG265" s="44"/>
    </row>
    <row r="266" spans="5:33" x14ac:dyDescent="0.2">
      <c r="E266" s="175"/>
      <c r="H266">
        <f t="shared" si="63"/>
        <v>2046</v>
      </c>
      <c r="I266">
        <f t="shared" si="61"/>
        <v>12</v>
      </c>
      <c r="J266" s="268">
        <v>53662</v>
      </c>
      <c r="K266" s="44">
        <f>+SUMIFS('Monthly Energy Data'!AE$8:AE$595,'Monthly Energy Data'!$D$8:$D$595,'Peak Load Projections'!$H266,'Monthly Energy Data'!$E$8:$E$595,'Peak Load Projections'!$I266)*VLOOKUP($I266,$A$3:$E$14,5)</f>
        <v>-9.0222693316725749E-2</v>
      </c>
      <c r="L266" s="44">
        <f>+SUMIFS('Monthly Energy Data'!AF$8:AF$595,'Monthly Energy Data'!$D$8:$D$595,'Peak Load Projections'!$H266,'Monthly Energy Data'!$E$8:$E$595,'Peak Load Projections'!$I266)*VLOOKUP($I266,$A$3:$E$14,5)</f>
        <v>-9.0222693316725749E-2</v>
      </c>
      <c r="M266" s="44">
        <f>+SUMIFS('Monthly Energy Data'!AG$8:AG$595,'Monthly Energy Data'!$D$8:$D$595,'Peak Load Projections'!$H266,'Monthly Energy Data'!$E$8:$E$595,'Peak Load Projections'!$I266)*VLOOKUP($I266,$A$3:$E$14,5)</f>
        <v>-9.0222693316725749E-2</v>
      </c>
      <c r="N266" s="44">
        <f t="shared" si="64"/>
        <v>-9.0222693316725749E-2</v>
      </c>
      <c r="O266" s="269" t="str">
        <f t="shared" si="62"/>
        <v>W</v>
      </c>
      <c r="AA266">
        <f t="shared" si="60"/>
        <v>2046</v>
      </c>
      <c r="AB266">
        <f t="shared" si="65"/>
        <v>12</v>
      </c>
      <c r="AC266" s="271">
        <f t="shared" si="66"/>
        <v>53662</v>
      </c>
      <c r="AD266" s="44">
        <f>+L266*VLOOKUP($AB266,'Peak Loads - 2022-2024'!$L$4:$M$15,2)</f>
        <v>-7.7296551525855059E-2</v>
      </c>
      <c r="AE266" s="44">
        <f>+M266*VLOOKUP($AB266,'Peak Loads - 2022-2024'!$L$4:$M$15,2)</f>
        <v>-7.7296551525855059E-2</v>
      </c>
      <c r="AF266" s="44">
        <f>+K266*VLOOKUP($AB266,'Peak Loads - 2022-2024'!$L$4:$M$15,2)</f>
        <v>-7.7296551525855059E-2</v>
      </c>
      <c r="AG266" s="44"/>
    </row>
    <row r="267" spans="5:33" x14ac:dyDescent="0.2">
      <c r="E267" s="175"/>
      <c r="H267">
        <f t="shared" si="63"/>
        <v>2047</v>
      </c>
      <c r="I267">
        <f t="shared" si="61"/>
        <v>1</v>
      </c>
      <c r="J267" s="268">
        <v>53693</v>
      </c>
      <c r="K267" s="44">
        <f>+SUMIFS('Monthly Energy Data'!AE$8:AE$595,'Monthly Energy Data'!$D$8:$D$595,'Peak Load Projections'!$H267,'Monthly Energy Data'!$E$8:$E$595,'Peak Load Projections'!$I267)*VLOOKUP($I267,$A$3:$E$14,5)</f>
        <v>0</v>
      </c>
      <c r="L267" s="44">
        <f>+SUMIFS('Monthly Energy Data'!AF$8:AF$595,'Monthly Energy Data'!$D$8:$D$595,'Peak Load Projections'!$H267,'Monthly Energy Data'!$E$8:$E$595,'Peak Load Projections'!$I267)*VLOOKUP($I267,$A$3:$E$14,5)</f>
        <v>0</v>
      </c>
      <c r="M267" s="44">
        <f>+SUMIFS('Monthly Energy Data'!AG$8:AG$595,'Monthly Energy Data'!$D$8:$D$595,'Peak Load Projections'!$H267,'Monthly Energy Data'!$E$8:$E$595,'Peak Load Projections'!$I267)*VLOOKUP($I267,$A$3:$E$14,5)</f>
        <v>0</v>
      </c>
      <c r="N267" s="44">
        <f t="shared" si="64"/>
        <v>0</v>
      </c>
      <c r="O267" s="269" t="str">
        <f t="shared" si="62"/>
        <v>W</v>
      </c>
      <c r="AA267">
        <f t="shared" si="60"/>
        <v>2047</v>
      </c>
      <c r="AB267">
        <f t="shared" si="65"/>
        <v>1</v>
      </c>
      <c r="AC267" s="271">
        <f t="shared" si="66"/>
        <v>53693</v>
      </c>
      <c r="AD267" s="44">
        <f>+L267*VLOOKUP($AB267,'Peak Loads - 2022-2024'!$L$4:$M$15,2)</f>
        <v>0</v>
      </c>
      <c r="AE267" s="44">
        <f>+M267*VLOOKUP($AB267,'Peak Loads - 2022-2024'!$L$4:$M$15,2)</f>
        <v>0</v>
      </c>
      <c r="AF267" s="44">
        <f>+K267*VLOOKUP($AB267,'Peak Loads - 2022-2024'!$L$4:$M$15,2)</f>
        <v>0</v>
      </c>
      <c r="AG267" s="44"/>
    </row>
    <row r="268" spans="5:33" x14ac:dyDescent="0.2">
      <c r="E268" s="175"/>
      <c r="H268">
        <f t="shared" si="63"/>
        <v>2047</v>
      </c>
      <c r="I268">
        <f t="shared" si="61"/>
        <v>2</v>
      </c>
      <c r="J268" s="268">
        <v>53724</v>
      </c>
      <c r="K268" s="44">
        <f>+SUMIFS('Monthly Energy Data'!AE$8:AE$595,'Monthly Energy Data'!$D$8:$D$595,'Peak Load Projections'!$H268,'Monthly Energy Data'!$E$8:$E$595,'Peak Load Projections'!$I268)*VLOOKUP($I268,$A$3:$E$14,5)</f>
        <v>0</v>
      </c>
      <c r="L268" s="44">
        <f>+SUMIFS('Monthly Energy Data'!AF$8:AF$595,'Monthly Energy Data'!$D$8:$D$595,'Peak Load Projections'!$H268,'Monthly Energy Data'!$E$8:$E$595,'Peak Load Projections'!$I268)*VLOOKUP($I268,$A$3:$E$14,5)</f>
        <v>0</v>
      </c>
      <c r="M268" s="44">
        <f>+SUMIFS('Monthly Energy Data'!AG$8:AG$595,'Monthly Energy Data'!$D$8:$D$595,'Peak Load Projections'!$H268,'Monthly Energy Data'!$E$8:$E$595,'Peak Load Projections'!$I268)*VLOOKUP($I268,$A$3:$E$14,5)</f>
        <v>0</v>
      </c>
      <c r="N268" s="44">
        <f t="shared" si="64"/>
        <v>0</v>
      </c>
      <c r="O268" s="269" t="str">
        <f t="shared" si="62"/>
        <v>W</v>
      </c>
      <c r="AA268">
        <f t="shared" si="60"/>
        <v>2047</v>
      </c>
      <c r="AB268">
        <f t="shared" si="65"/>
        <v>2</v>
      </c>
      <c r="AC268" s="271">
        <f t="shared" si="66"/>
        <v>53724</v>
      </c>
      <c r="AD268" s="44">
        <f>+L268*VLOOKUP($AB268,'Peak Loads - 2022-2024'!$L$4:$M$15,2)</f>
        <v>0</v>
      </c>
      <c r="AE268" s="44">
        <f>+M268*VLOOKUP($AB268,'Peak Loads - 2022-2024'!$L$4:$M$15,2)</f>
        <v>0</v>
      </c>
      <c r="AF268" s="44">
        <f>+K268*VLOOKUP($AB268,'Peak Loads - 2022-2024'!$L$4:$M$15,2)</f>
        <v>0</v>
      </c>
      <c r="AG268" s="44"/>
    </row>
    <row r="269" spans="5:33" x14ac:dyDescent="0.2">
      <c r="E269" s="175"/>
      <c r="H269">
        <f t="shared" si="63"/>
        <v>2047</v>
      </c>
      <c r="I269">
        <f t="shared" si="61"/>
        <v>3</v>
      </c>
      <c r="J269" s="268">
        <v>53752</v>
      </c>
      <c r="K269" s="44">
        <f>+SUMIFS('Monthly Energy Data'!AE$8:AE$595,'Monthly Energy Data'!$D$8:$D$595,'Peak Load Projections'!$H269,'Monthly Energy Data'!$E$8:$E$595,'Peak Load Projections'!$I269)*VLOOKUP($I269,$A$3:$E$14,5)</f>
        <v>0</v>
      </c>
      <c r="L269" s="44">
        <f>+SUMIFS('Monthly Energy Data'!AF$8:AF$595,'Monthly Energy Data'!$D$8:$D$595,'Peak Load Projections'!$H269,'Monthly Energy Data'!$E$8:$E$595,'Peak Load Projections'!$I269)*VLOOKUP($I269,$A$3:$E$14,5)</f>
        <v>0</v>
      </c>
      <c r="M269" s="44">
        <f>+SUMIFS('Monthly Energy Data'!AG$8:AG$595,'Monthly Energy Data'!$D$8:$D$595,'Peak Load Projections'!$H269,'Monthly Energy Data'!$E$8:$E$595,'Peak Load Projections'!$I269)*VLOOKUP($I269,$A$3:$E$14,5)</f>
        <v>0</v>
      </c>
      <c r="N269" s="44">
        <f t="shared" si="64"/>
        <v>0</v>
      </c>
      <c r="O269" s="269" t="str">
        <f t="shared" si="62"/>
        <v>W</v>
      </c>
      <c r="AA269">
        <f t="shared" si="60"/>
        <v>2047</v>
      </c>
      <c r="AB269">
        <f t="shared" si="65"/>
        <v>3</v>
      </c>
      <c r="AC269" s="271">
        <f t="shared" si="66"/>
        <v>53752</v>
      </c>
      <c r="AD269" s="44">
        <f>+L269*VLOOKUP($AB269,'Peak Loads - 2022-2024'!$L$4:$M$15,2)</f>
        <v>0</v>
      </c>
      <c r="AE269" s="44">
        <f>+M269*VLOOKUP($AB269,'Peak Loads - 2022-2024'!$L$4:$M$15,2)</f>
        <v>0</v>
      </c>
      <c r="AF269" s="44">
        <f>+K269*VLOOKUP($AB269,'Peak Loads - 2022-2024'!$L$4:$M$15,2)</f>
        <v>0</v>
      </c>
      <c r="AG269" s="44"/>
    </row>
    <row r="270" spans="5:33" x14ac:dyDescent="0.2">
      <c r="E270" s="175"/>
      <c r="H270">
        <f t="shared" si="63"/>
        <v>2047</v>
      </c>
      <c r="I270">
        <f t="shared" si="61"/>
        <v>4</v>
      </c>
      <c r="J270" s="268">
        <v>53783</v>
      </c>
      <c r="K270" s="44">
        <f>+SUMIFS('Monthly Energy Data'!AE$8:AE$595,'Monthly Energy Data'!$D$8:$D$595,'Peak Load Projections'!$H270,'Monthly Energy Data'!$E$8:$E$595,'Peak Load Projections'!$I270)*VLOOKUP($I270,$A$3:$E$14,5)</f>
        <v>0</v>
      </c>
      <c r="L270" s="44">
        <f>+SUMIFS('Monthly Energy Data'!AF$8:AF$595,'Monthly Energy Data'!$D$8:$D$595,'Peak Load Projections'!$H270,'Monthly Energy Data'!$E$8:$E$595,'Peak Load Projections'!$I270)*VLOOKUP($I270,$A$3:$E$14,5)</f>
        <v>0</v>
      </c>
      <c r="M270" s="44">
        <f>+SUMIFS('Monthly Energy Data'!AG$8:AG$595,'Monthly Energy Data'!$D$8:$D$595,'Peak Load Projections'!$H270,'Monthly Energy Data'!$E$8:$E$595,'Peak Load Projections'!$I270)*VLOOKUP($I270,$A$3:$E$14,5)</f>
        <v>0</v>
      </c>
      <c r="N270" s="44">
        <f t="shared" si="64"/>
        <v>0</v>
      </c>
      <c r="O270" s="269" t="str">
        <f t="shared" si="62"/>
        <v>W</v>
      </c>
      <c r="AA270">
        <f t="shared" si="60"/>
        <v>2047</v>
      </c>
      <c r="AB270">
        <f t="shared" si="65"/>
        <v>4</v>
      </c>
      <c r="AC270" s="271">
        <f t="shared" si="66"/>
        <v>53783</v>
      </c>
      <c r="AD270" s="44">
        <f>+L270*VLOOKUP($AB270,'Peak Loads - 2022-2024'!$L$4:$M$15,2)</f>
        <v>0</v>
      </c>
      <c r="AE270" s="44">
        <f>+M270*VLOOKUP($AB270,'Peak Loads - 2022-2024'!$L$4:$M$15,2)</f>
        <v>0</v>
      </c>
      <c r="AF270" s="44">
        <f>+K270*VLOOKUP($AB270,'Peak Loads - 2022-2024'!$L$4:$M$15,2)</f>
        <v>0</v>
      </c>
      <c r="AG270" s="44"/>
    </row>
    <row r="271" spans="5:33" x14ac:dyDescent="0.2">
      <c r="E271" s="175"/>
      <c r="H271">
        <f t="shared" si="63"/>
        <v>2047</v>
      </c>
      <c r="I271">
        <f t="shared" si="61"/>
        <v>5</v>
      </c>
      <c r="J271" s="268">
        <v>53813</v>
      </c>
      <c r="K271" s="44">
        <f>+SUMIFS('Monthly Energy Data'!AE$8:AE$595,'Monthly Energy Data'!$D$8:$D$595,'Peak Load Projections'!$H271,'Monthly Energy Data'!$E$8:$E$595,'Peak Load Projections'!$I271)*VLOOKUP($I271,$A$3:$E$14,5)</f>
        <v>0</v>
      </c>
      <c r="L271" s="44">
        <f>+SUMIFS('Monthly Energy Data'!AF$8:AF$595,'Monthly Energy Data'!$D$8:$D$595,'Peak Load Projections'!$H271,'Monthly Energy Data'!$E$8:$E$595,'Peak Load Projections'!$I271)*VLOOKUP($I271,$A$3:$E$14,5)</f>
        <v>0</v>
      </c>
      <c r="M271" s="44">
        <f>+SUMIFS('Monthly Energy Data'!AG$8:AG$595,'Monthly Energy Data'!$D$8:$D$595,'Peak Load Projections'!$H271,'Monthly Energy Data'!$E$8:$E$595,'Peak Load Projections'!$I271)*VLOOKUP($I271,$A$3:$E$14,5)</f>
        <v>0</v>
      </c>
      <c r="N271" s="44">
        <f t="shared" si="64"/>
        <v>0</v>
      </c>
      <c r="O271" s="269" t="str">
        <f t="shared" si="62"/>
        <v>W</v>
      </c>
      <c r="AA271">
        <f t="shared" si="60"/>
        <v>2047</v>
      </c>
      <c r="AB271">
        <f t="shared" si="65"/>
        <v>5</v>
      </c>
      <c r="AC271" s="271">
        <f t="shared" si="66"/>
        <v>53813</v>
      </c>
      <c r="AD271" s="44">
        <f>+L271*VLOOKUP($AB271,'Peak Loads - 2022-2024'!$L$4:$M$15,2)</f>
        <v>0</v>
      </c>
      <c r="AE271" s="44">
        <f>+M271*VLOOKUP($AB271,'Peak Loads - 2022-2024'!$L$4:$M$15,2)</f>
        <v>0</v>
      </c>
      <c r="AF271" s="44">
        <f>+K271*VLOOKUP($AB271,'Peak Loads - 2022-2024'!$L$4:$M$15,2)</f>
        <v>0</v>
      </c>
      <c r="AG271" s="44"/>
    </row>
    <row r="272" spans="5:33" x14ac:dyDescent="0.2">
      <c r="E272" s="175"/>
      <c r="H272">
        <f t="shared" si="63"/>
        <v>2047</v>
      </c>
      <c r="I272">
        <f t="shared" si="61"/>
        <v>6</v>
      </c>
      <c r="J272" s="268">
        <v>53844</v>
      </c>
      <c r="K272" s="44">
        <f>+SUMIFS('Monthly Energy Data'!AE$8:AE$595,'Monthly Energy Data'!$D$8:$D$595,'Peak Load Projections'!$H272,'Monthly Energy Data'!$E$8:$E$595,'Peak Load Projections'!$I272)*VLOOKUP($I272,$A$3:$E$14,5)</f>
        <v>0</v>
      </c>
      <c r="L272" s="44">
        <f>+SUMIFS('Monthly Energy Data'!AF$8:AF$595,'Monthly Energy Data'!$D$8:$D$595,'Peak Load Projections'!$H272,'Monthly Energy Data'!$E$8:$E$595,'Peak Load Projections'!$I272)*VLOOKUP($I272,$A$3:$E$14,5)</f>
        <v>0</v>
      </c>
      <c r="M272" s="44">
        <f>+SUMIFS('Monthly Energy Data'!AG$8:AG$595,'Monthly Energy Data'!$D$8:$D$595,'Peak Load Projections'!$H272,'Monthly Energy Data'!$E$8:$E$595,'Peak Load Projections'!$I272)*VLOOKUP($I272,$A$3:$E$14,5)</f>
        <v>0</v>
      </c>
      <c r="N272" s="44">
        <f t="shared" si="64"/>
        <v>0</v>
      </c>
      <c r="O272" s="269" t="str">
        <f t="shared" si="62"/>
        <v>S</v>
      </c>
      <c r="AA272">
        <f t="shared" si="60"/>
        <v>2047</v>
      </c>
      <c r="AB272">
        <f t="shared" si="65"/>
        <v>6</v>
      </c>
      <c r="AC272" s="271">
        <f t="shared" si="66"/>
        <v>53844</v>
      </c>
      <c r="AD272" s="44">
        <f>+L272*VLOOKUP($AB272,'Peak Loads - 2022-2024'!$L$4:$M$15,2)</f>
        <v>0</v>
      </c>
      <c r="AE272" s="44">
        <f>+M272*VLOOKUP($AB272,'Peak Loads - 2022-2024'!$L$4:$M$15,2)</f>
        <v>0</v>
      </c>
      <c r="AF272" s="44">
        <f>+K272*VLOOKUP($AB272,'Peak Loads - 2022-2024'!$L$4:$M$15,2)</f>
        <v>0</v>
      </c>
      <c r="AG272" s="44"/>
    </row>
    <row r="273" spans="5:33" x14ac:dyDescent="0.2">
      <c r="E273" s="175"/>
      <c r="H273">
        <f t="shared" si="63"/>
        <v>2047</v>
      </c>
      <c r="I273">
        <f t="shared" si="61"/>
        <v>7</v>
      </c>
      <c r="J273" s="268">
        <v>53874</v>
      </c>
      <c r="K273" s="44">
        <f>+SUMIFS('Monthly Energy Data'!AE$8:AE$595,'Monthly Energy Data'!$D$8:$D$595,'Peak Load Projections'!$H273,'Monthly Energy Data'!$E$8:$E$595,'Peak Load Projections'!$I273)*VLOOKUP($I273,$A$3:$E$14,5)</f>
        <v>0</v>
      </c>
      <c r="L273" s="44">
        <f>+SUMIFS('Monthly Energy Data'!AF$8:AF$595,'Monthly Energy Data'!$D$8:$D$595,'Peak Load Projections'!$H273,'Monthly Energy Data'!$E$8:$E$595,'Peak Load Projections'!$I273)*VLOOKUP($I273,$A$3:$E$14,5)</f>
        <v>0</v>
      </c>
      <c r="M273" s="44">
        <f>+SUMIFS('Monthly Energy Data'!AG$8:AG$595,'Monthly Energy Data'!$D$8:$D$595,'Peak Load Projections'!$H273,'Monthly Energy Data'!$E$8:$E$595,'Peak Load Projections'!$I273)*VLOOKUP($I273,$A$3:$E$14,5)</f>
        <v>0</v>
      </c>
      <c r="N273" s="44">
        <f t="shared" si="64"/>
        <v>0</v>
      </c>
      <c r="O273" s="269" t="str">
        <f t="shared" si="62"/>
        <v>S</v>
      </c>
      <c r="AA273">
        <f t="shared" si="60"/>
        <v>2047</v>
      </c>
      <c r="AB273">
        <f t="shared" si="65"/>
        <v>7</v>
      </c>
      <c r="AC273" s="271">
        <f t="shared" si="66"/>
        <v>53874</v>
      </c>
      <c r="AD273" s="44">
        <f>+L273*VLOOKUP($AB273,'Peak Loads - 2022-2024'!$L$4:$M$15,2)</f>
        <v>0</v>
      </c>
      <c r="AE273" s="44">
        <f>+M273*VLOOKUP($AB273,'Peak Loads - 2022-2024'!$L$4:$M$15,2)</f>
        <v>0</v>
      </c>
      <c r="AF273" s="44">
        <f>+K273*VLOOKUP($AB273,'Peak Loads - 2022-2024'!$L$4:$M$15,2)</f>
        <v>0</v>
      </c>
      <c r="AG273" s="44"/>
    </row>
    <row r="274" spans="5:33" x14ac:dyDescent="0.2">
      <c r="E274" s="175"/>
      <c r="H274">
        <f t="shared" si="63"/>
        <v>2047</v>
      </c>
      <c r="I274">
        <f t="shared" si="61"/>
        <v>8</v>
      </c>
      <c r="J274" s="268">
        <v>53905</v>
      </c>
      <c r="K274" s="44">
        <f>+SUMIFS('Monthly Energy Data'!AE$8:AE$595,'Monthly Energy Data'!$D$8:$D$595,'Peak Load Projections'!$H274,'Monthly Energy Data'!$E$8:$E$595,'Peak Load Projections'!$I274)*VLOOKUP($I274,$A$3:$E$14,5)</f>
        <v>0</v>
      </c>
      <c r="L274" s="44">
        <f>+SUMIFS('Monthly Energy Data'!AF$8:AF$595,'Monthly Energy Data'!$D$8:$D$595,'Peak Load Projections'!$H274,'Monthly Energy Data'!$E$8:$E$595,'Peak Load Projections'!$I274)*VLOOKUP($I274,$A$3:$E$14,5)</f>
        <v>0</v>
      </c>
      <c r="M274" s="44">
        <f>+SUMIFS('Monthly Energy Data'!AG$8:AG$595,'Monthly Energy Data'!$D$8:$D$595,'Peak Load Projections'!$H274,'Monthly Energy Data'!$E$8:$E$595,'Peak Load Projections'!$I274)*VLOOKUP($I274,$A$3:$E$14,5)</f>
        <v>0</v>
      </c>
      <c r="N274" s="44">
        <f t="shared" si="64"/>
        <v>0</v>
      </c>
      <c r="O274" s="269" t="str">
        <f t="shared" si="62"/>
        <v>S</v>
      </c>
      <c r="AA274">
        <f t="shared" ref="AA274:AA337" si="67">+H274</f>
        <v>2047</v>
      </c>
      <c r="AB274">
        <f t="shared" si="65"/>
        <v>8</v>
      </c>
      <c r="AC274" s="271">
        <f t="shared" si="66"/>
        <v>53905</v>
      </c>
      <c r="AD274" s="44">
        <f>+L274*VLOOKUP($AB274,'Peak Loads - 2022-2024'!$L$4:$M$15,2)</f>
        <v>0</v>
      </c>
      <c r="AE274" s="44">
        <f>+M274*VLOOKUP($AB274,'Peak Loads - 2022-2024'!$L$4:$M$15,2)</f>
        <v>0</v>
      </c>
      <c r="AF274" s="44">
        <f>+K274*VLOOKUP($AB274,'Peak Loads - 2022-2024'!$L$4:$M$15,2)</f>
        <v>0</v>
      </c>
      <c r="AG274" s="44"/>
    </row>
    <row r="275" spans="5:33" x14ac:dyDescent="0.2">
      <c r="E275" s="175"/>
      <c r="H275">
        <f t="shared" si="63"/>
        <v>2047</v>
      </c>
      <c r="I275">
        <f t="shared" si="61"/>
        <v>9</v>
      </c>
      <c r="J275" s="268">
        <v>53936</v>
      </c>
      <c r="K275" s="44">
        <f>+SUMIFS('Monthly Energy Data'!AE$8:AE$595,'Monthly Energy Data'!$D$8:$D$595,'Peak Load Projections'!$H275,'Monthly Energy Data'!$E$8:$E$595,'Peak Load Projections'!$I275)*VLOOKUP($I275,$A$3:$E$14,5)</f>
        <v>0</v>
      </c>
      <c r="L275" s="44">
        <f>+SUMIFS('Monthly Energy Data'!AF$8:AF$595,'Monthly Energy Data'!$D$8:$D$595,'Peak Load Projections'!$H275,'Monthly Energy Data'!$E$8:$E$595,'Peak Load Projections'!$I275)*VLOOKUP($I275,$A$3:$E$14,5)</f>
        <v>0</v>
      </c>
      <c r="M275" s="44">
        <f>+SUMIFS('Monthly Energy Data'!AG$8:AG$595,'Monthly Energy Data'!$D$8:$D$595,'Peak Load Projections'!$H275,'Monthly Energy Data'!$E$8:$E$595,'Peak Load Projections'!$I275)*VLOOKUP($I275,$A$3:$E$14,5)</f>
        <v>0</v>
      </c>
      <c r="N275" s="44">
        <f t="shared" si="64"/>
        <v>0</v>
      </c>
      <c r="O275" s="269" t="str">
        <f t="shared" si="62"/>
        <v>S</v>
      </c>
      <c r="AA275">
        <f t="shared" si="67"/>
        <v>2047</v>
      </c>
      <c r="AB275">
        <f t="shared" si="65"/>
        <v>9</v>
      </c>
      <c r="AC275" s="271">
        <f t="shared" si="66"/>
        <v>53936</v>
      </c>
      <c r="AD275" s="44">
        <f>+L275*VLOOKUP($AB275,'Peak Loads - 2022-2024'!$L$4:$M$15,2)</f>
        <v>0</v>
      </c>
      <c r="AE275" s="44">
        <f>+M275*VLOOKUP($AB275,'Peak Loads - 2022-2024'!$L$4:$M$15,2)</f>
        <v>0</v>
      </c>
      <c r="AF275" s="44">
        <f>+K275*VLOOKUP($AB275,'Peak Loads - 2022-2024'!$L$4:$M$15,2)</f>
        <v>0</v>
      </c>
      <c r="AG275" s="44"/>
    </row>
    <row r="276" spans="5:33" x14ac:dyDescent="0.2">
      <c r="E276" s="175"/>
      <c r="H276">
        <f t="shared" si="63"/>
        <v>2047</v>
      </c>
      <c r="I276">
        <f t="shared" si="61"/>
        <v>10</v>
      </c>
      <c r="J276" s="268">
        <v>53966</v>
      </c>
      <c r="K276" s="44">
        <f>+SUMIFS('Monthly Energy Data'!AE$8:AE$595,'Monthly Energy Data'!$D$8:$D$595,'Peak Load Projections'!$H276,'Monthly Energy Data'!$E$8:$E$595,'Peak Load Projections'!$I276)*VLOOKUP($I276,$A$3:$E$14,5)</f>
        <v>0</v>
      </c>
      <c r="L276" s="44">
        <f>+SUMIFS('Monthly Energy Data'!AF$8:AF$595,'Monthly Energy Data'!$D$8:$D$595,'Peak Load Projections'!$H276,'Monthly Energy Data'!$E$8:$E$595,'Peak Load Projections'!$I276)*VLOOKUP($I276,$A$3:$E$14,5)</f>
        <v>0</v>
      </c>
      <c r="M276" s="44">
        <f>+SUMIFS('Monthly Energy Data'!AG$8:AG$595,'Monthly Energy Data'!$D$8:$D$595,'Peak Load Projections'!$H276,'Monthly Energy Data'!$E$8:$E$595,'Peak Load Projections'!$I276)*VLOOKUP($I276,$A$3:$E$14,5)</f>
        <v>0</v>
      </c>
      <c r="N276" s="44">
        <f t="shared" si="64"/>
        <v>0</v>
      </c>
      <c r="O276" s="269" t="str">
        <f t="shared" si="62"/>
        <v>W</v>
      </c>
      <c r="AA276">
        <f t="shared" si="67"/>
        <v>2047</v>
      </c>
      <c r="AB276">
        <f t="shared" si="65"/>
        <v>10</v>
      </c>
      <c r="AC276" s="271">
        <f t="shared" si="66"/>
        <v>53966</v>
      </c>
      <c r="AD276" s="44">
        <f>+L276*VLOOKUP($AB276,'Peak Loads - 2022-2024'!$L$4:$M$15,2)</f>
        <v>0</v>
      </c>
      <c r="AE276" s="44">
        <f>+M276*VLOOKUP($AB276,'Peak Loads - 2022-2024'!$L$4:$M$15,2)</f>
        <v>0</v>
      </c>
      <c r="AF276" s="44">
        <f>+K276*VLOOKUP($AB276,'Peak Loads - 2022-2024'!$L$4:$M$15,2)</f>
        <v>0</v>
      </c>
      <c r="AG276" s="44"/>
    </row>
    <row r="277" spans="5:33" x14ac:dyDescent="0.2">
      <c r="E277" s="175"/>
      <c r="H277">
        <f t="shared" si="63"/>
        <v>2047</v>
      </c>
      <c r="I277">
        <f t="shared" si="61"/>
        <v>11</v>
      </c>
      <c r="J277" s="268">
        <v>53997</v>
      </c>
      <c r="K277" s="44">
        <f>+SUMIFS('Monthly Energy Data'!AE$8:AE$595,'Monthly Energy Data'!$D$8:$D$595,'Peak Load Projections'!$H277,'Monthly Energy Data'!$E$8:$E$595,'Peak Load Projections'!$I277)*VLOOKUP($I277,$A$3:$E$14,5)</f>
        <v>0</v>
      </c>
      <c r="L277" s="44">
        <f>+SUMIFS('Monthly Energy Data'!AF$8:AF$595,'Monthly Energy Data'!$D$8:$D$595,'Peak Load Projections'!$H277,'Monthly Energy Data'!$E$8:$E$595,'Peak Load Projections'!$I277)*VLOOKUP($I277,$A$3:$E$14,5)</f>
        <v>0</v>
      </c>
      <c r="M277" s="44">
        <f>+SUMIFS('Monthly Energy Data'!AG$8:AG$595,'Monthly Energy Data'!$D$8:$D$595,'Peak Load Projections'!$H277,'Monthly Energy Data'!$E$8:$E$595,'Peak Load Projections'!$I277)*VLOOKUP($I277,$A$3:$E$14,5)</f>
        <v>0</v>
      </c>
      <c r="N277" s="44">
        <f t="shared" si="64"/>
        <v>0</v>
      </c>
      <c r="O277" s="269" t="str">
        <f t="shared" si="62"/>
        <v>W</v>
      </c>
      <c r="AA277">
        <f t="shared" si="67"/>
        <v>2047</v>
      </c>
      <c r="AB277">
        <f t="shared" si="65"/>
        <v>11</v>
      </c>
      <c r="AC277" s="271">
        <f t="shared" si="66"/>
        <v>53997</v>
      </c>
      <c r="AD277" s="44">
        <f>+L277*VLOOKUP($AB277,'Peak Loads - 2022-2024'!$L$4:$M$15,2)</f>
        <v>0</v>
      </c>
      <c r="AE277" s="44">
        <f>+M277*VLOOKUP($AB277,'Peak Loads - 2022-2024'!$L$4:$M$15,2)</f>
        <v>0</v>
      </c>
      <c r="AF277" s="44">
        <f>+K277*VLOOKUP($AB277,'Peak Loads - 2022-2024'!$L$4:$M$15,2)</f>
        <v>0</v>
      </c>
      <c r="AG277" s="44"/>
    </row>
    <row r="278" spans="5:33" x14ac:dyDescent="0.2">
      <c r="E278" s="175"/>
      <c r="H278">
        <f t="shared" si="63"/>
        <v>2047</v>
      </c>
      <c r="I278">
        <f t="shared" si="61"/>
        <v>12</v>
      </c>
      <c r="J278" s="268">
        <v>54027</v>
      </c>
      <c r="K278" s="44">
        <f>+SUMIFS('Monthly Energy Data'!AE$8:AE$595,'Monthly Energy Data'!$D$8:$D$595,'Peak Load Projections'!$H278,'Monthly Energy Data'!$E$8:$E$595,'Peak Load Projections'!$I278)*VLOOKUP($I278,$A$3:$E$14,5)</f>
        <v>0</v>
      </c>
      <c r="L278" s="44">
        <f>+SUMIFS('Monthly Energy Data'!AF$8:AF$595,'Monthly Energy Data'!$D$8:$D$595,'Peak Load Projections'!$H278,'Monthly Energy Data'!$E$8:$E$595,'Peak Load Projections'!$I278)*VLOOKUP($I278,$A$3:$E$14,5)</f>
        <v>0</v>
      </c>
      <c r="M278" s="44">
        <f>+SUMIFS('Monthly Energy Data'!AG$8:AG$595,'Monthly Energy Data'!$D$8:$D$595,'Peak Load Projections'!$H278,'Monthly Energy Data'!$E$8:$E$595,'Peak Load Projections'!$I278)*VLOOKUP($I278,$A$3:$E$14,5)</f>
        <v>0</v>
      </c>
      <c r="N278" s="44">
        <f t="shared" si="64"/>
        <v>0</v>
      </c>
      <c r="O278" s="269" t="str">
        <f t="shared" si="62"/>
        <v>W</v>
      </c>
      <c r="AA278">
        <f t="shared" si="67"/>
        <v>2047</v>
      </c>
      <c r="AB278">
        <f t="shared" si="65"/>
        <v>12</v>
      </c>
      <c r="AC278" s="271">
        <f t="shared" si="66"/>
        <v>54027</v>
      </c>
      <c r="AD278" s="44">
        <f>+L278*VLOOKUP($AB278,'Peak Loads - 2022-2024'!$L$4:$M$15,2)</f>
        <v>0</v>
      </c>
      <c r="AE278" s="44">
        <f>+M278*VLOOKUP($AB278,'Peak Loads - 2022-2024'!$L$4:$M$15,2)</f>
        <v>0</v>
      </c>
      <c r="AF278" s="44">
        <f>+K278*VLOOKUP($AB278,'Peak Loads - 2022-2024'!$L$4:$M$15,2)</f>
        <v>0</v>
      </c>
      <c r="AG278" s="44"/>
    </row>
    <row r="279" spans="5:33" x14ac:dyDescent="0.2">
      <c r="E279" s="175"/>
      <c r="H279">
        <f t="shared" si="63"/>
        <v>2048</v>
      </c>
      <c r="I279">
        <f t="shared" si="61"/>
        <v>1</v>
      </c>
      <c r="J279" s="268">
        <v>54058</v>
      </c>
      <c r="K279" s="44">
        <f>+SUMIFS('Monthly Energy Data'!AE$8:AE$595,'Monthly Energy Data'!$D$8:$D$595,'Peak Load Projections'!$H279,'Monthly Energy Data'!$E$8:$E$595,'Peak Load Projections'!$I279)*VLOOKUP($I279,$A$3:$E$14,5)</f>
        <v>0</v>
      </c>
      <c r="L279" s="44">
        <f>+SUMIFS('Monthly Energy Data'!AF$8:AF$595,'Monthly Energy Data'!$D$8:$D$595,'Peak Load Projections'!$H279,'Monthly Energy Data'!$E$8:$E$595,'Peak Load Projections'!$I279)*VLOOKUP($I279,$A$3:$E$14,5)</f>
        <v>0</v>
      </c>
      <c r="M279" s="44">
        <f>+SUMIFS('Monthly Energy Data'!AG$8:AG$595,'Monthly Energy Data'!$D$8:$D$595,'Peak Load Projections'!$H279,'Monthly Energy Data'!$E$8:$E$595,'Peak Load Projections'!$I279)*VLOOKUP($I279,$A$3:$E$14,5)</f>
        <v>0</v>
      </c>
      <c r="N279" s="44">
        <f t="shared" si="64"/>
        <v>0</v>
      </c>
      <c r="O279" s="269" t="str">
        <f t="shared" si="62"/>
        <v>W</v>
      </c>
      <c r="AA279">
        <f t="shared" si="67"/>
        <v>2048</v>
      </c>
      <c r="AB279">
        <f t="shared" si="65"/>
        <v>1</v>
      </c>
      <c r="AC279" s="271">
        <f t="shared" si="66"/>
        <v>54058</v>
      </c>
      <c r="AD279" s="44">
        <f>+L279*VLOOKUP($AB279,'Peak Loads - 2022-2024'!$L$4:$M$15,2)</f>
        <v>0</v>
      </c>
      <c r="AE279" s="44">
        <f>+M279*VLOOKUP($AB279,'Peak Loads - 2022-2024'!$L$4:$M$15,2)</f>
        <v>0</v>
      </c>
      <c r="AF279" s="44">
        <f>+K279*VLOOKUP($AB279,'Peak Loads - 2022-2024'!$L$4:$M$15,2)</f>
        <v>0</v>
      </c>
      <c r="AG279" s="44"/>
    </row>
    <row r="280" spans="5:33" x14ac:dyDescent="0.2">
      <c r="E280" s="175"/>
      <c r="H280">
        <f t="shared" si="63"/>
        <v>2048</v>
      </c>
      <c r="I280">
        <f t="shared" si="61"/>
        <v>2</v>
      </c>
      <c r="J280" s="268">
        <v>54089</v>
      </c>
      <c r="K280" s="44">
        <f>+SUMIFS('Monthly Energy Data'!AE$8:AE$595,'Monthly Energy Data'!$D$8:$D$595,'Peak Load Projections'!$H280,'Monthly Energy Data'!$E$8:$E$595,'Peak Load Projections'!$I280)*VLOOKUP($I280,$A$3:$E$14,5)</f>
        <v>0</v>
      </c>
      <c r="L280" s="44">
        <f>+SUMIFS('Monthly Energy Data'!AF$8:AF$595,'Monthly Energy Data'!$D$8:$D$595,'Peak Load Projections'!$H280,'Monthly Energy Data'!$E$8:$E$595,'Peak Load Projections'!$I280)*VLOOKUP($I280,$A$3:$E$14,5)</f>
        <v>0</v>
      </c>
      <c r="M280" s="44">
        <f>+SUMIFS('Monthly Energy Data'!AG$8:AG$595,'Monthly Energy Data'!$D$8:$D$595,'Peak Load Projections'!$H280,'Monthly Energy Data'!$E$8:$E$595,'Peak Load Projections'!$I280)*VLOOKUP($I280,$A$3:$E$14,5)</f>
        <v>0</v>
      </c>
      <c r="N280" s="44">
        <f t="shared" si="64"/>
        <v>0</v>
      </c>
      <c r="O280" s="269" t="str">
        <f t="shared" si="62"/>
        <v>W</v>
      </c>
      <c r="AA280">
        <f t="shared" si="67"/>
        <v>2048</v>
      </c>
      <c r="AB280">
        <f t="shared" si="65"/>
        <v>2</v>
      </c>
      <c r="AC280" s="271">
        <f t="shared" si="66"/>
        <v>54089</v>
      </c>
      <c r="AD280" s="44">
        <f>+L280*VLOOKUP($AB280,'Peak Loads - 2022-2024'!$L$4:$M$15,2)</f>
        <v>0</v>
      </c>
      <c r="AE280" s="44">
        <f>+M280*VLOOKUP($AB280,'Peak Loads - 2022-2024'!$L$4:$M$15,2)</f>
        <v>0</v>
      </c>
      <c r="AF280" s="44">
        <f>+K280*VLOOKUP($AB280,'Peak Loads - 2022-2024'!$L$4:$M$15,2)</f>
        <v>0</v>
      </c>
      <c r="AG280" s="44"/>
    </row>
    <row r="281" spans="5:33" x14ac:dyDescent="0.2">
      <c r="E281" s="175"/>
      <c r="H281">
        <f t="shared" si="63"/>
        <v>2048</v>
      </c>
      <c r="I281">
        <f t="shared" si="61"/>
        <v>3</v>
      </c>
      <c r="J281" s="268">
        <v>54118</v>
      </c>
      <c r="K281" s="44">
        <f>+SUMIFS('Monthly Energy Data'!AE$8:AE$595,'Monthly Energy Data'!$D$8:$D$595,'Peak Load Projections'!$H281,'Monthly Energy Data'!$E$8:$E$595,'Peak Load Projections'!$I281)*VLOOKUP($I281,$A$3:$E$14,5)</f>
        <v>0</v>
      </c>
      <c r="L281" s="44">
        <f>+SUMIFS('Monthly Energy Data'!AF$8:AF$595,'Monthly Energy Data'!$D$8:$D$595,'Peak Load Projections'!$H281,'Monthly Energy Data'!$E$8:$E$595,'Peak Load Projections'!$I281)*VLOOKUP($I281,$A$3:$E$14,5)</f>
        <v>0</v>
      </c>
      <c r="M281" s="44">
        <f>+SUMIFS('Monthly Energy Data'!AG$8:AG$595,'Monthly Energy Data'!$D$8:$D$595,'Peak Load Projections'!$H281,'Monthly Energy Data'!$E$8:$E$595,'Peak Load Projections'!$I281)*VLOOKUP($I281,$A$3:$E$14,5)</f>
        <v>0</v>
      </c>
      <c r="N281" s="44">
        <f t="shared" si="64"/>
        <v>0</v>
      </c>
      <c r="O281" s="269" t="str">
        <f t="shared" si="62"/>
        <v>W</v>
      </c>
      <c r="AA281">
        <f t="shared" si="67"/>
        <v>2048</v>
      </c>
      <c r="AB281">
        <f t="shared" si="65"/>
        <v>3</v>
      </c>
      <c r="AC281" s="271">
        <f t="shared" si="66"/>
        <v>54118</v>
      </c>
      <c r="AD281" s="44">
        <f>+L281*VLOOKUP($AB281,'Peak Loads - 2022-2024'!$L$4:$M$15,2)</f>
        <v>0</v>
      </c>
      <c r="AE281" s="44">
        <f>+M281*VLOOKUP($AB281,'Peak Loads - 2022-2024'!$L$4:$M$15,2)</f>
        <v>0</v>
      </c>
      <c r="AF281" s="44">
        <f>+K281*VLOOKUP($AB281,'Peak Loads - 2022-2024'!$L$4:$M$15,2)</f>
        <v>0</v>
      </c>
      <c r="AG281" s="44"/>
    </row>
    <row r="282" spans="5:33" x14ac:dyDescent="0.2">
      <c r="E282" s="175"/>
      <c r="H282">
        <f t="shared" si="63"/>
        <v>2048</v>
      </c>
      <c r="I282">
        <f t="shared" si="61"/>
        <v>4</v>
      </c>
      <c r="J282" s="268">
        <v>54149</v>
      </c>
      <c r="K282" s="44">
        <f>+SUMIFS('Monthly Energy Data'!AE$8:AE$595,'Monthly Energy Data'!$D$8:$D$595,'Peak Load Projections'!$H282,'Monthly Energy Data'!$E$8:$E$595,'Peak Load Projections'!$I282)*VLOOKUP($I282,$A$3:$E$14,5)</f>
        <v>0</v>
      </c>
      <c r="L282" s="44">
        <f>+SUMIFS('Monthly Energy Data'!AF$8:AF$595,'Monthly Energy Data'!$D$8:$D$595,'Peak Load Projections'!$H282,'Monthly Energy Data'!$E$8:$E$595,'Peak Load Projections'!$I282)*VLOOKUP($I282,$A$3:$E$14,5)</f>
        <v>0</v>
      </c>
      <c r="M282" s="44">
        <f>+SUMIFS('Monthly Energy Data'!AG$8:AG$595,'Monthly Energy Data'!$D$8:$D$595,'Peak Load Projections'!$H282,'Monthly Energy Data'!$E$8:$E$595,'Peak Load Projections'!$I282)*VLOOKUP($I282,$A$3:$E$14,5)</f>
        <v>0</v>
      </c>
      <c r="N282" s="44">
        <f t="shared" si="64"/>
        <v>0</v>
      </c>
      <c r="O282" s="269" t="str">
        <f t="shared" si="62"/>
        <v>W</v>
      </c>
      <c r="AA282">
        <f t="shared" si="67"/>
        <v>2048</v>
      </c>
      <c r="AB282">
        <f t="shared" si="65"/>
        <v>4</v>
      </c>
      <c r="AC282" s="271">
        <f t="shared" si="66"/>
        <v>54149</v>
      </c>
      <c r="AD282" s="44">
        <f>+L282*VLOOKUP($AB282,'Peak Loads - 2022-2024'!$L$4:$M$15,2)</f>
        <v>0</v>
      </c>
      <c r="AE282" s="44">
        <f>+M282*VLOOKUP($AB282,'Peak Loads - 2022-2024'!$L$4:$M$15,2)</f>
        <v>0</v>
      </c>
      <c r="AF282" s="44">
        <f>+K282*VLOOKUP($AB282,'Peak Loads - 2022-2024'!$L$4:$M$15,2)</f>
        <v>0</v>
      </c>
      <c r="AG282" s="44"/>
    </row>
    <row r="283" spans="5:33" x14ac:dyDescent="0.2">
      <c r="E283" s="175"/>
      <c r="H283">
        <f t="shared" si="63"/>
        <v>2048</v>
      </c>
      <c r="I283">
        <f t="shared" si="61"/>
        <v>5</v>
      </c>
      <c r="J283" s="268">
        <v>54179</v>
      </c>
      <c r="K283" s="44">
        <f>+SUMIFS('Monthly Energy Data'!AE$8:AE$595,'Monthly Energy Data'!$D$8:$D$595,'Peak Load Projections'!$H283,'Monthly Energy Data'!$E$8:$E$595,'Peak Load Projections'!$I283)*VLOOKUP($I283,$A$3:$E$14,5)</f>
        <v>0</v>
      </c>
      <c r="L283" s="44">
        <f>+SUMIFS('Monthly Energy Data'!AF$8:AF$595,'Monthly Energy Data'!$D$8:$D$595,'Peak Load Projections'!$H283,'Monthly Energy Data'!$E$8:$E$595,'Peak Load Projections'!$I283)*VLOOKUP($I283,$A$3:$E$14,5)</f>
        <v>0</v>
      </c>
      <c r="M283" s="44">
        <f>+SUMIFS('Monthly Energy Data'!AG$8:AG$595,'Monthly Energy Data'!$D$8:$D$595,'Peak Load Projections'!$H283,'Monthly Energy Data'!$E$8:$E$595,'Peak Load Projections'!$I283)*VLOOKUP($I283,$A$3:$E$14,5)</f>
        <v>0</v>
      </c>
      <c r="N283" s="44">
        <f t="shared" si="64"/>
        <v>0</v>
      </c>
      <c r="O283" s="269" t="str">
        <f t="shared" si="62"/>
        <v>W</v>
      </c>
      <c r="AA283">
        <f t="shared" si="67"/>
        <v>2048</v>
      </c>
      <c r="AB283">
        <f t="shared" si="65"/>
        <v>5</v>
      </c>
      <c r="AC283" s="271">
        <f t="shared" si="66"/>
        <v>54179</v>
      </c>
      <c r="AD283" s="44">
        <f>+L283*VLOOKUP($AB283,'Peak Loads - 2022-2024'!$L$4:$M$15,2)</f>
        <v>0</v>
      </c>
      <c r="AE283" s="44">
        <f>+M283*VLOOKUP($AB283,'Peak Loads - 2022-2024'!$L$4:$M$15,2)</f>
        <v>0</v>
      </c>
      <c r="AF283" s="44">
        <f>+K283*VLOOKUP($AB283,'Peak Loads - 2022-2024'!$L$4:$M$15,2)</f>
        <v>0</v>
      </c>
      <c r="AG283" s="44"/>
    </row>
    <row r="284" spans="5:33" x14ac:dyDescent="0.2">
      <c r="E284" s="175"/>
      <c r="H284">
        <f t="shared" si="63"/>
        <v>2048</v>
      </c>
      <c r="I284">
        <f t="shared" si="61"/>
        <v>6</v>
      </c>
      <c r="J284" s="268">
        <v>54210</v>
      </c>
      <c r="K284" s="44">
        <f>+SUMIFS('Monthly Energy Data'!AE$8:AE$595,'Monthly Energy Data'!$D$8:$D$595,'Peak Load Projections'!$H284,'Monthly Energy Data'!$E$8:$E$595,'Peak Load Projections'!$I284)*VLOOKUP($I284,$A$3:$E$14,5)</f>
        <v>0</v>
      </c>
      <c r="L284" s="44">
        <f>+SUMIFS('Monthly Energy Data'!AF$8:AF$595,'Monthly Energy Data'!$D$8:$D$595,'Peak Load Projections'!$H284,'Monthly Energy Data'!$E$8:$E$595,'Peak Load Projections'!$I284)*VLOOKUP($I284,$A$3:$E$14,5)</f>
        <v>0</v>
      </c>
      <c r="M284" s="44">
        <f>+SUMIFS('Monthly Energy Data'!AG$8:AG$595,'Monthly Energy Data'!$D$8:$D$595,'Peak Load Projections'!$H284,'Monthly Energy Data'!$E$8:$E$595,'Peak Load Projections'!$I284)*VLOOKUP($I284,$A$3:$E$14,5)</f>
        <v>0</v>
      </c>
      <c r="N284" s="44">
        <f t="shared" si="64"/>
        <v>0</v>
      </c>
      <c r="O284" s="269" t="str">
        <f t="shared" si="62"/>
        <v>S</v>
      </c>
      <c r="AA284">
        <f t="shared" si="67"/>
        <v>2048</v>
      </c>
      <c r="AB284">
        <f t="shared" si="65"/>
        <v>6</v>
      </c>
      <c r="AC284" s="271">
        <f t="shared" si="66"/>
        <v>54210</v>
      </c>
      <c r="AD284" s="44">
        <f>+L284*VLOOKUP($AB284,'Peak Loads - 2022-2024'!$L$4:$M$15,2)</f>
        <v>0</v>
      </c>
      <c r="AE284" s="44">
        <f>+M284*VLOOKUP($AB284,'Peak Loads - 2022-2024'!$L$4:$M$15,2)</f>
        <v>0</v>
      </c>
      <c r="AF284" s="44">
        <f>+K284*VLOOKUP($AB284,'Peak Loads - 2022-2024'!$L$4:$M$15,2)</f>
        <v>0</v>
      </c>
      <c r="AG284" s="44"/>
    </row>
    <row r="285" spans="5:33" x14ac:dyDescent="0.2">
      <c r="E285" s="175"/>
      <c r="H285">
        <f t="shared" si="63"/>
        <v>2048</v>
      </c>
      <c r="I285">
        <f t="shared" si="61"/>
        <v>7</v>
      </c>
      <c r="J285" s="268">
        <v>54240</v>
      </c>
      <c r="K285" s="44">
        <f>+SUMIFS('Monthly Energy Data'!AE$8:AE$595,'Monthly Energy Data'!$D$8:$D$595,'Peak Load Projections'!$H285,'Monthly Energy Data'!$E$8:$E$595,'Peak Load Projections'!$I285)*VLOOKUP($I285,$A$3:$E$14,5)</f>
        <v>0</v>
      </c>
      <c r="L285" s="44">
        <f>+SUMIFS('Monthly Energy Data'!AF$8:AF$595,'Monthly Energy Data'!$D$8:$D$595,'Peak Load Projections'!$H285,'Monthly Energy Data'!$E$8:$E$595,'Peak Load Projections'!$I285)*VLOOKUP($I285,$A$3:$E$14,5)</f>
        <v>0</v>
      </c>
      <c r="M285" s="44">
        <f>+SUMIFS('Monthly Energy Data'!AG$8:AG$595,'Monthly Energy Data'!$D$8:$D$595,'Peak Load Projections'!$H285,'Monthly Energy Data'!$E$8:$E$595,'Peak Load Projections'!$I285)*VLOOKUP($I285,$A$3:$E$14,5)</f>
        <v>0</v>
      </c>
      <c r="N285" s="44">
        <f t="shared" si="64"/>
        <v>0</v>
      </c>
      <c r="O285" s="269" t="str">
        <f t="shared" si="62"/>
        <v>S</v>
      </c>
      <c r="AA285">
        <f t="shared" si="67"/>
        <v>2048</v>
      </c>
      <c r="AB285">
        <f t="shared" si="65"/>
        <v>7</v>
      </c>
      <c r="AC285" s="271">
        <f t="shared" si="66"/>
        <v>54240</v>
      </c>
      <c r="AD285" s="44">
        <f>+L285*VLOOKUP($AB285,'Peak Loads - 2022-2024'!$L$4:$M$15,2)</f>
        <v>0</v>
      </c>
      <c r="AE285" s="44">
        <f>+M285*VLOOKUP($AB285,'Peak Loads - 2022-2024'!$L$4:$M$15,2)</f>
        <v>0</v>
      </c>
      <c r="AF285" s="44">
        <f>+K285*VLOOKUP($AB285,'Peak Loads - 2022-2024'!$L$4:$M$15,2)</f>
        <v>0</v>
      </c>
      <c r="AG285" s="44"/>
    </row>
    <row r="286" spans="5:33" x14ac:dyDescent="0.2">
      <c r="E286" s="175"/>
      <c r="H286">
        <f t="shared" si="63"/>
        <v>2048</v>
      </c>
      <c r="I286">
        <f t="shared" si="61"/>
        <v>8</v>
      </c>
      <c r="J286" s="268">
        <v>54271</v>
      </c>
      <c r="K286" s="44">
        <f>+SUMIFS('Monthly Energy Data'!AE$8:AE$595,'Monthly Energy Data'!$D$8:$D$595,'Peak Load Projections'!$H286,'Monthly Energy Data'!$E$8:$E$595,'Peak Load Projections'!$I286)*VLOOKUP($I286,$A$3:$E$14,5)</f>
        <v>0</v>
      </c>
      <c r="L286" s="44">
        <f>+SUMIFS('Monthly Energy Data'!AF$8:AF$595,'Monthly Energy Data'!$D$8:$D$595,'Peak Load Projections'!$H286,'Monthly Energy Data'!$E$8:$E$595,'Peak Load Projections'!$I286)*VLOOKUP($I286,$A$3:$E$14,5)</f>
        <v>0</v>
      </c>
      <c r="M286" s="44">
        <f>+SUMIFS('Monthly Energy Data'!AG$8:AG$595,'Monthly Energy Data'!$D$8:$D$595,'Peak Load Projections'!$H286,'Monthly Energy Data'!$E$8:$E$595,'Peak Load Projections'!$I286)*VLOOKUP($I286,$A$3:$E$14,5)</f>
        <v>0</v>
      </c>
      <c r="N286" s="44">
        <f t="shared" si="64"/>
        <v>0</v>
      </c>
      <c r="O286" s="269" t="str">
        <f t="shared" si="62"/>
        <v>S</v>
      </c>
      <c r="AA286">
        <f t="shared" si="67"/>
        <v>2048</v>
      </c>
      <c r="AB286">
        <f t="shared" si="65"/>
        <v>8</v>
      </c>
      <c r="AC286" s="271">
        <f t="shared" si="66"/>
        <v>54271</v>
      </c>
      <c r="AD286" s="44">
        <f>+L286*VLOOKUP($AB286,'Peak Loads - 2022-2024'!$L$4:$M$15,2)</f>
        <v>0</v>
      </c>
      <c r="AE286" s="44">
        <f>+M286*VLOOKUP($AB286,'Peak Loads - 2022-2024'!$L$4:$M$15,2)</f>
        <v>0</v>
      </c>
      <c r="AF286" s="44">
        <f>+K286*VLOOKUP($AB286,'Peak Loads - 2022-2024'!$L$4:$M$15,2)</f>
        <v>0</v>
      </c>
      <c r="AG286" s="44"/>
    </row>
    <row r="287" spans="5:33" x14ac:dyDescent="0.2">
      <c r="E287" s="175"/>
      <c r="H287">
        <f t="shared" si="63"/>
        <v>2048</v>
      </c>
      <c r="I287">
        <f t="shared" si="61"/>
        <v>9</v>
      </c>
      <c r="J287" s="268">
        <v>54302</v>
      </c>
      <c r="K287" s="44">
        <f>+SUMIFS('Monthly Energy Data'!AE$8:AE$595,'Monthly Energy Data'!$D$8:$D$595,'Peak Load Projections'!$H287,'Monthly Energy Data'!$E$8:$E$595,'Peak Load Projections'!$I287)*VLOOKUP($I287,$A$3:$E$14,5)</f>
        <v>0</v>
      </c>
      <c r="L287" s="44">
        <f>+SUMIFS('Monthly Energy Data'!AF$8:AF$595,'Monthly Energy Data'!$D$8:$D$595,'Peak Load Projections'!$H287,'Monthly Energy Data'!$E$8:$E$595,'Peak Load Projections'!$I287)*VLOOKUP($I287,$A$3:$E$14,5)</f>
        <v>0</v>
      </c>
      <c r="M287" s="44">
        <f>+SUMIFS('Monthly Energy Data'!AG$8:AG$595,'Monthly Energy Data'!$D$8:$D$595,'Peak Load Projections'!$H287,'Monthly Energy Data'!$E$8:$E$595,'Peak Load Projections'!$I287)*VLOOKUP($I287,$A$3:$E$14,5)</f>
        <v>0</v>
      </c>
      <c r="N287" s="44">
        <f t="shared" si="64"/>
        <v>0</v>
      </c>
      <c r="O287" s="269" t="str">
        <f t="shared" si="62"/>
        <v>S</v>
      </c>
      <c r="AA287">
        <f t="shared" si="67"/>
        <v>2048</v>
      </c>
      <c r="AB287">
        <f t="shared" si="65"/>
        <v>9</v>
      </c>
      <c r="AC287" s="271">
        <f t="shared" si="66"/>
        <v>54302</v>
      </c>
      <c r="AD287" s="44">
        <f>+L287*VLOOKUP($AB287,'Peak Loads - 2022-2024'!$L$4:$M$15,2)</f>
        <v>0</v>
      </c>
      <c r="AE287" s="44">
        <f>+M287*VLOOKUP($AB287,'Peak Loads - 2022-2024'!$L$4:$M$15,2)</f>
        <v>0</v>
      </c>
      <c r="AF287" s="44">
        <f>+K287*VLOOKUP($AB287,'Peak Loads - 2022-2024'!$L$4:$M$15,2)</f>
        <v>0</v>
      </c>
      <c r="AG287" s="44"/>
    </row>
    <row r="288" spans="5:33" x14ac:dyDescent="0.2">
      <c r="E288" s="175"/>
      <c r="H288">
        <f t="shared" si="63"/>
        <v>2048</v>
      </c>
      <c r="I288">
        <f t="shared" si="61"/>
        <v>10</v>
      </c>
      <c r="J288" s="268">
        <v>54332</v>
      </c>
      <c r="K288" s="44">
        <f>+SUMIFS('Monthly Energy Data'!AE$8:AE$595,'Monthly Energy Data'!$D$8:$D$595,'Peak Load Projections'!$H288,'Monthly Energy Data'!$E$8:$E$595,'Peak Load Projections'!$I288)*VLOOKUP($I288,$A$3:$E$14,5)</f>
        <v>0</v>
      </c>
      <c r="L288" s="44">
        <f>+SUMIFS('Monthly Energy Data'!AF$8:AF$595,'Monthly Energy Data'!$D$8:$D$595,'Peak Load Projections'!$H288,'Monthly Energy Data'!$E$8:$E$595,'Peak Load Projections'!$I288)*VLOOKUP($I288,$A$3:$E$14,5)</f>
        <v>0</v>
      </c>
      <c r="M288" s="44">
        <f>+SUMIFS('Monthly Energy Data'!AG$8:AG$595,'Monthly Energy Data'!$D$8:$D$595,'Peak Load Projections'!$H288,'Monthly Energy Data'!$E$8:$E$595,'Peak Load Projections'!$I288)*VLOOKUP($I288,$A$3:$E$14,5)</f>
        <v>0</v>
      </c>
      <c r="N288" s="44">
        <f t="shared" si="64"/>
        <v>0</v>
      </c>
      <c r="O288" s="269" t="str">
        <f t="shared" si="62"/>
        <v>W</v>
      </c>
      <c r="AA288">
        <f t="shared" si="67"/>
        <v>2048</v>
      </c>
      <c r="AB288">
        <f t="shared" si="65"/>
        <v>10</v>
      </c>
      <c r="AC288" s="271">
        <f t="shared" si="66"/>
        <v>54332</v>
      </c>
      <c r="AD288" s="44">
        <f>+L288*VLOOKUP($AB288,'Peak Loads - 2022-2024'!$L$4:$M$15,2)</f>
        <v>0</v>
      </c>
      <c r="AE288" s="44">
        <f>+M288*VLOOKUP($AB288,'Peak Loads - 2022-2024'!$L$4:$M$15,2)</f>
        <v>0</v>
      </c>
      <c r="AF288" s="44">
        <f>+K288*VLOOKUP($AB288,'Peak Loads - 2022-2024'!$L$4:$M$15,2)</f>
        <v>0</v>
      </c>
      <c r="AG288" s="44"/>
    </row>
    <row r="289" spans="5:33" x14ac:dyDescent="0.2">
      <c r="E289" s="175"/>
      <c r="H289">
        <f t="shared" si="63"/>
        <v>2048</v>
      </c>
      <c r="I289">
        <f t="shared" si="61"/>
        <v>11</v>
      </c>
      <c r="J289" s="268">
        <v>54363</v>
      </c>
      <c r="K289" s="44">
        <f>+SUMIFS('Monthly Energy Data'!AE$8:AE$595,'Monthly Energy Data'!$D$8:$D$595,'Peak Load Projections'!$H289,'Monthly Energy Data'!$E$8:$E$595,'Peak Load Projections'!$I289)*VLOOKUP($I289,$A$3:$E$14,5)</f>
        <v>0</v>
      </c>
      <c r="L289" s="44">
        <f>+SUMIFS('Monthly Energy Data'!AF$8:AF$595,'Monthly Energy Data'!$D$8:$D$595,'Peak Load Projections'!$H289,'Monthly Energy Data'!$E$8:$E$595,'Peak Load Projections'!$I289)*VLOOKUP($I289,$A$3:$E$14,5)</f>
        <v>0</v>
      </c>
      <c r="M289" s="44">
        <f>+SUMIFS('Monthly Energy Data'!AG$8:AG$595,'Monthly Energy Data'!$D$8:$D$595,'Peak Load Projections'!$H289,'Monthly Energy Data'!$E$8:$E$595,'Peak Load Projections'!$I289)*VLOOKUP($I289,$A$3:$E$14,5)</f>
        <v>0</v>
      </c>
      <c r="N289" s="44">
        <f t="shared" si="64"/>
        <v>0</v>
      </c>
      <c r="O289" s="269" t="str">
        <f t="shared" si="62"/>
        <v>W</v>
      </c>
      <c r="AA289">
        <f t="shared" si="67"/>
        <v>2048</v>
      </c>
      <c r="AB289">
        <f t="shared" si="65"/>
        <v>11</v>
      </c>
      <c r="AC289" s="271">
        <f t="shared" si="66"/>
        <v>54363</v>
      </c>
      <c r="AD289" s="44">
        <f>+L289*VLOOKUP($AB289,'Peak Loads - 2022-2024'!$L$4:$M$15,2)</f>
        <v>0</v>
      </c>
      <c r="AE289" s="44">
        <f>+M289*VLOOKUP($AB289,'Peak Loads - 2022-2024'!$L$4:$M$15,2)</f>
        <v>0</v>
      </c>
      <c r="AF289" s="44">
        <f>+K289*VLOOKUP($AB289,'Peak Loads - 2022-2024'!$L$4:$M$15,2)</f>
        <v>0</v>
      </c>
      <c r="AG289" s="44"/>
    </row>
    <row r="290" spans="5:33" x14ac:dyDescent="0.2">
      <c r="E290" s="175"/>
      <c r="H290">
        <f t="shared" si="63"/>
        <v>2048</v>
      </c>
      <c r="I290">
        <f t="shared" si="61"/>
        <v>12</v>
      </c>
      <c r="J290" s="268">
        <v>54393</v>
      </c>
      <c r="K290" s="44">
        <f>+SUMIFS('Monthly Energy Data'!AE$8:AE$595,'Monthly Energy Data'!$D$8:$D$595,'Peak Load Projections'!$H290,'Monthly Energy Data'!$E$8:$E$595,'Peak Load Projections'!$I290)*VLOOKUP($I290,$A$3:$E$14,5)</f>
        <v>0</v>
      </c>
      <c r="L290" s="44">
        <f>+SUMIFS('Monthly Energy Data'!AF$8:AF$595,'Monthly Energy Data'!$D$8:$D$595,'Peak Load Projections'!$H290,'Monthly Energy Data'!$E$8:$E$595,'Peak Load Projections'!$I290)*VLOOKUP($I290,$A$3:$E$14,5)</f>
        <v>0</v>
      </c>
      <c r="M290" s="44">
        <f>+SUMIFS('Monthly Energy Data'!AG$8:AG$595,'Monthly Energy Data'!$D$8:$D$595,'Peak Load Projections'!$H290,'Monthly Energy Data'!$E$8:$E$595,'Peak Load Projections'!$I290)*VLOOKUP($I290,$A$3:$E$14,5)</f>
        <v>0</v>
      </c>
      <c r="N290" s="44">
        <f t="shared" si="64"/>
        <v>0</v>
      </c>
      <c r="O290" s="269" t="str">
        <f t="shared" si="62"/>
        <v>W</v>
      </c>
      <c r="AA290">
        <f t="shared" si="67"/>
        <v>2048</v>
      </c>
      <c r="AB290">
        <f t="shared" si="65"/>
        <v>12</v>
      </c>
      <c r="AC290" s="271">
        <f t="shared" si="66"/>
        <v>54393</v>
      </c>
      <c r="AD290" s="44">
        <f>+L290*VLOOKUP($AB290,'Peak Loads - 2022-2024'!$L$4:$M$15,2)</f>
        <v>0</v>
      </c>
      <c r="AE290" s="44">
        <f>+M290*VLOOKUP($AB290,'Peak Loads - 2022-2024'!$L$4:$M$15,2)</f>
        <v>0</v>
      </c>
      <c r="AF290" s="44">
        <f>+K290*VLOOKUP($AB290,'Peak Loads - 2022-2024'!$L$4:$M$15,2)</f>
        <v>0</v>
      </c>
      <c r="AG290" s="44"/>
    </row>
    <row r="291" spans="5:33" x14ac:dyDescent="0.2">
      <c r="E291" s="175"/>
      <c r="H291">
        <f t="shared" si="63"/>
        <v>2049</v>
      </c>
      <c r="I291">
        <f t="shared" si="61"/>
        <v>1</v>
      </c>
      <c r="J291" s="268">
        <v>54424</v>
      </c>
      <c r="K291" s="44">
        <f>+SUMIFS('Monthly Energy Data'!AE$8:AE$595,'Monthly Energy Data'!$D$8:$D$595,'Peak Load Projections'!$H291,'Monthly Energy Data'!$E$8:$E$595,'Peak Load Projections'!$I291)*VLOOKUP($I291,$A$3:$E$14,5)</f>
        <v>0</v>
      </c>
      <c r="L291" s="44">
        <f>+SUMIFS('Monthly Energy Data'!AF$8:AF$595,'Monthly Energy Data'!$D$8:$D$595,'Peak Load Projections'!$H291,'Monthly Energy Data'!$E$8:$E$595,'Peak Load Projections'!$I291)*VLOOKUP($I291,$A$3:$E$14,5)</f>
        <v>0</v>
      </c>
      <c r="M291" s="44">
        <f>+SUMIFS('Monthly Energy Data'!AG$8:AG$595,'Monthly Energy Data'!$D$8:$D$595,'Peak Load Projections'!$H291,'Monthly Energy Data'!$E$8:$E$595,'Peak Load Projections'!$I291)*VLOOKUP($I291,$A$3:$E$14,5)</f>
        <v>0</v>
      </c>
      <c r="N291" s="44">
        <f t="shared" si="64"/>
        <v>0</v>
      </c>
      <c r="O291" s="269" t="str">
        <f t="shared" si="62"/>
        <v>W</v>
      </c>
      <c r="AA291">
        <f t="shared" si="67"/>
        <v>2049</v>
      </c>
      <c r="AB291">
        <f t="shared" si="65"/>
        <v>1</v>
      </c>
      <c r="AC291" s="271">
        <f t="shared" si="66"/>
        <v>54424</v>
      </c>
      <c r="AD291" s="44">
        <f>+L291*VLOOKUP($AB291,'Peak Loads - 2022-2024'!$L$4:$M$15,2)</f>
        <v>0</v>
      </c>
      <c r="AE291" s="44">
        <f>+M291*VLOOKUP($AB291,'Peak Loads - 2022-2024'!$L$4:$M$15,2)</f>
        <v>0</v>
      </c>
      <c r="AF291" s="44">
        <f>+K291*VLOOKUP($AB291,'Peak Loads - 2022-2024'!$L$4:$M$15,2)</f>
        <v>0</v>
      </c>
      <c r="AG291" s="44"/>
    </row>
    <row r="292" spans="5:33" x14ac:dyDescent="0.2">
      <c r="E292" s="175"/>
      <c r="H292">
        <f t="shared" si="63"/>
        <v>2049</v>
      </c>
      <c r="I292">
        <f t="shared" si="61"/>
        <v>2</v>
      </c>
      <c r="J292" s="268">
        <v>54455</v>
      </c>
      <c r="K292" s="44">
        <f>+SUMIFS('Monthly Energy Data'!AE$8:AE$595,'Monthly Energy Data'!$D$8:$D$595,'Peak Load Projections'!$H292,'Monthly Energy Data'!$E$8:$E$595,'Peak Load Projections'!$I292)*VLOOKUP($I292,$A$3:$E$14,5)</f>
        <v>0</v>
      </c>
      <c r="L292" s="44">
        <f>+SUMIFS('Monthly Energy Data'!AF$8:AF$595,'Monthly Energy Data'!$D$8:$D$595,'Peak Load Projections'!$H292,'Monthly Energy Data'!$E$8:$E$595,'Peak Load Projections'!$I292)*VLOOKUP($I292,$A$3:$E$14,5)</f>
        <v>0</v>
      </c>
      <c r="M292" s="44">
        <f>+SUMIFS('Monthly Energy Data'!AG$8:AG$595,'Monthly Energy Data'!$D$8:$D$595,'Peak Load Projections'!$H292,'Monthly Energy Data'!$E$8:$E$595,'Peak Load Projections'!$I292)*VLOOKUP($I292,$A$3:$E$14,5)</f>
        <v>0</v>
      </c>
      <c r="N292" s="44">
        <f t="shared" si="64"/>
        <v>0</v>
      </c>
      <c r="O292" s="269" t="str">
        <f t="shared" si="62"/>
        <v>W</v>
      </c>
      <c r="AA292">
        <f t="shared" si="67"/>
        <v>2049</v>
      </c>
      <c r="AB292">
        <f t="shared" si="65"/>
        <v>2</v>
      </c>
      <c r="AC292" s="271">
        <f t="shared" si="66"/>
        <v>54455</v>
      </c>
      <c r="AD292" s="44">
        <f>+L292*VLOOKUP($AB292,'Peak Loads - 2022-2024'!$L$4:$M$15,2)</f>
        <v>0</v>
      </c>
      <c r="AE292" s="44">
        <f>+M292*VLOOKUP($AB292,'Peak Loads - 2022-2024'!$L$4:$M$15,2)</f>
        <v>0</v>
      </c>
      <c r="AF292" s="44">
        <f>+K292*VLOOKUP($AB292,'Peak Loads - 2022-2024'!$L$4:$M$15,2)</f>
        <v>0</v>
      </c>
      <c r="AG292" s="44"/>
    </row>
    <row r="293" spans="5:33" x14ac:dyDescent="0.2">
      <c r="E293" s="175"/>
      <c r="H293">
        <f t="shared" si="63"/>
        <v>2049</v>
      </c>
      <c r="I293">
        <f t="shared" si="61"/>
        <v>3</v>
      </c>
      <c r="J293" s="268">
        <v>54483</v>
      </c>
      <c r="K293" s="44">
        <f>+SUMIFS('Monthly Energy Data'!AE$8:AE$595,'Monthly Energy Data'!$D$8:$D$595,'Peak Load Projections'!$H293,'Monthly Energy Data'!$E$8:$E$595,'Peak Load Projections'!$I293)*VLOOKUP($I293,$A$3:$E$14,5)</f>
        <v>0</v>
      </c>
      <c r="L293" s="44">
        <f>+SUMIFS('Monthly Energy Data'!AF$8:AF$595,'Monthly Energy Data'!$D$8:$D$595,'Peak Load Projections'!$H293,'Monthly Energy Data'!$E$8:$E$595,'Peak Load Projections'!$I293)*VLOOKUP($I293,$A$3:$E$14,5)</f>
        <v>0</v>
      </c>
      <c r="M293" s="44">
        <f>+SUMIFS('Monthly Energy Data'!AG$8:AG$595,'Monthly Energy Data'!$D$8:$D$595,'Peak Load Projections'!$H293,'Monthly Energy Data'!$E$8:$E$595,'Peak Load Projections'!$I293)*VLOOKUP($I293,$A$3:$E$14,5)</f>
        <v>0</v>
      </c>
      <c r="N293" s="44">
        <f t="shared" si="64"/>
        <v>0</v>
      </c>
      <c r="O293" s="269" t="str">
        <f t="shared" si="62"/>
        <v>W</v>
      </c>
      <c r="AA293">
        <f t="shared" si="67"/>
        <v>2049</v>
      </c>
      <c r="AB293">
        <f t="shared" si="65"/>
        <v>3</v>
      </c>
      <c r="AC293" s="271">
        <f t="shared" si="66"/>
        <v>54483</v>
      </c>
      <c r="AD293" s="44">
        <f>+L293*VLOOKUP($AB293,'Peak Loads - 2022-2024'!$L$4:$M$15,2)</f>
        <v>0</v>
      </c>
      <c r="AE293" s="44">
        <f>+M293*VLOOKUP($AB293,'Peak Loads - 2022-2024'!$L$4:$M$15,2)</f>
        <v>0</v>
      </c>
      <c r="AF293" s="44">
        <f>+K293*VLOOKUP($AB293,'Peak Loads - 2022-2024'!$L$4:$M$15,2)</f>
        <v>0</v>
      </c>
      <c r="AG293" s="44"/>
    </row>
    <row r="294" spans="5:33" x14ac:dyDescent="0.2">
      <c r="E294" s="175"/>
      <c r="H294">
        <f t="shared" si="63"/>
        <v>2049</v>
      </c>
      <c r="I294">
        <f t="shared" si="61"/>
        <v>4</v>
      </c>
      <c r="J294" s="268">
        <v>54514</v>
      </c>
      <c r="K294" s="44">
        <f>+SUMIFS('Monthly Energy Data'!AE$8:AE$595,'Monthly Energy Data'!$D$8:$D$595,'Peak Load Projections'!$H294,'Monthly Energy Data'!$E$8:$E$595,'Peak Load Projections'!$I294)*VLOOKUP($I294,$A$3:$E$14,5)</f>
        <v>0</v>
      </c>
      <c r="L294" s="44">
        <f>+SUMIFS('Monthly Energy Data'!AF$8:AF$595,'Monthly Energy Data'!$D$8:$D$595,'Peak Load Projections'!$H294,'Monthly Energy Data'!$E$8:$E$595,'Peak Load Projections'!$I294)*VLOOKUP($I294,$A$3:$E$14,5)</f>
        <v>0</v>
      </c>
      <c r="M294" s="44">
        <f>+SUMIFS('Monthly Energy Data'!AG$8:AG$595,'Monthly Energy Data'!$D$8:$D$595,'Peak Load Projections'!$H294,'Monthly Energy Data'!$E$8:$E$595,'Peak Load Projections'!$I294)*VLOOKUP($I294,$A$3:$E$14,5)</f>
        <v>0</v>
      </c>
      <c r="N294" s="44">
        <f t="shared" si="64"/>
        <v>0</v>
      </c>
      <c r="O294" s="269" t="str">
        <f t="shared" si="62"/>
        <v>W</v>
      </c>
      <c r="AA294">
        <f t="shared" si="67"/>
        <v>2049</v>
      </c>
      <c r="AB294">
        <f t="shared" si="65"/>
        <v>4</v>
      </c>
      <c r="AC294" s="271">
        <f t="shared" si="66"/>
        <v>54514</v>
      </c>
      <c r="AD294" s="44">
        <f>+L294*VLOOKUP($AB294,'Peak Loads - 2022-2024'!$L$4:$M$15,2)</f>
        <v>0</v>
      </c>
      <c r="AE294" s="44">
        <f>+M294*VLOOKUP($AB294,'Peak Loads - 2022-2024'!$L$4:$M$15,2)</f>
        <v>0</v>
      </c>
      <c r="AF294" s="44">
        <f>+K294*VLOOKUP($AB294,'Peak Loads - 2022-2024'!$L$4:$M$15,2)</f>
        <v>0</v>
      </c>
      <c r="AG294" s="44"/>
    </row>
    <row r="295" spans="5:33" x14ac:dyDescent="0.2">
      <c r="E295" s="175"/>
      <c r="H295">
        <f t="shared" si="63"/>
        <v>2049</v>
      </c>
      <c r="I295">
        <f t="shared" si="61"/>
        <v>5</v>
      </c>
      <c r="J295" s="268">
        <v>54544</v>
      </c>
      <c r="K295" s="44">
        <f>+SUMIFS('Monthly Energy Data'!AE$8:AE$595,'Monthly Energy Data'!$D$8:$D$595,'Peak Load Projections'!$H295,'Monthly Energy Data'!$E$8:$E$595,'Peak Load Projections'!$I295)*VLOOKUP($I295,$A$3:$E$14,5)</f>
        <v>0</v>
      </c>
      <c r="L295" s="44">
        <f>+SUMIFS('Monthly Energy Data'!AF$8:AF$595,'Monthly Energy Data'!$D$8:$D$595,'Peak Load Projections'!$H295,'Monthly Energy Data'!$E$8:$E$595,'Peak Load Projections'!$I295)*VLOOKUP($I295,$A$3:$E$14,5)</f>
        <v>0</v>
      </c>
      <c r="M295" s="44">
        <f>+SUMIFS('Monthly Energy Data'!AG$8:AG$595,'Monthly Energy Data'!$D$8:$D$595,'Peak Load Projections'!$H295,'Monthly Energy Data'!$E$8:$E$595,'Peak Load Projections'!$I295)*VLOOKUP($I295,$A$3:$E$14,5)</f>
        <v>0</v>
      </c>
      <c r="N295" s="44">
        <f t="shared" si="64"/>
        <v>0</v>
      </c>
      <c r="O295" s="269" t="str">
        <f t="shared" si="62"/>
        <v>W</v>
      </c>
      <c r="AA295">
        <f t="shared" si="67"/>
        <v>2049</v>
      </c>
      <c r="AB295">
        <f t="shared" si="65"/>
        <v>5</v>
      </c>
      <c r="AC295" s="271">
        <f t="shared" si="66"/>
        <v>54544</v>
      </c>
      <c r="AD295" s="44">
        <f>+L295*VLOOKUP($AB295,'Peak Loads - 2022-2024'!$L$4:$M$15,2)</f>
        <v>0</v>
      </c>
      <c r="AE295" s="44">
        <f>+M295*VLOOKUP($AB295,'Peak Loads - 2022-2024'!$L$4:$M$15,2)</f>
        <v>0</v>
      </c>
      <c r="AF295" s="44">
        <f>+K295*VLOOKUP($AB295,'Peak Loads - 2022-2024'!$L$4:$M$15,2)</f>
        <v>0</v>
      </c>
      <c r="AG295" s="44"/>
    </row>
    <row r="296" spans="5:33" x14ac:dyDescent="0.2">
      <c r="E296" s="175"/>
      <c r="H296">
        <f t="shared" si="63"/>
        <v>2049</v>
      </c>
      <c r="I296">
        <f t="shared" si="61"/>
        <v>6</v>
      </c>
      <c r="J296" s="268">
        <v>54575</v>
      </c>
      <c r="K296" s="44">
        <f>+SUMIFS('Monthly Energy Data'!AE$8:AE$595,'Monthly Energy Data'!$D$8:$D$595,'Peak Load Projections'!$H296,'Monthly Energy Data'!$E$8:$E$595,'Peak Load Projections'!$I296)*VLOOKUP($I296,$A$3:$E$14,5)</f>
        <v>0</v>
      </c>
      <c r="L296" s="44">
        <f>+SUMIFS('Monthly Energy Data'!AF$8:AF$595,'Monthly Energy Data'!$D$8:$D$595,'Peak Load Projections'!$H296,'Monthly Energy Data'!$E$8:$E$595,'Peak Load Projections'!$I296)*VLOOKUP($I296,$A$3:$E$14,5)</f>
        <v>0</v>
      </c>
      <c r="M296" s="44">
        <f>+SUMIFS('Monthly Energy Data'!AG$8:AG$595,'Monthly Energy Data'!$D$8:$D$595,'Peak Load Projections'!$H296,'Monthly Energy Data'!$E$8:$E$595,'Peak Load Projections'!$I296)*VLOOKUP($I296,$A$3:$E$14,5)</f>
        <v>0</v>
      </c>
      <c r="N296" s="44">
        <f t="shared" si="64"/>
        <v>0</v>
      </c>
      <c r="O296" s="269" t="str">
        <f t="shared" si="62"/>
        <v>S</v>
      </c>
      <c r="AA296">
        <f t="shared" si="67"/>
        <v>2049</v>
      </c>
      <c r="AB296">
        <f t="shared" si="65"/>
        <v>6</v>
      </c>
      <c r="AC296" s="271">
        <f t="shared" si="66"/>
        <v>54575</v>
      </c>
      <c r="AD296" s="44">
        <f>+L296*VLOOKUP($AB296,'Peak Loads - 2022-2024'!$L$4:$M$15,2)</f>
        <v>0</v>
      </c>
      <c r="AE296" s="44">
        <f>+M296*VLOOKUP($AB296,'Peak Loads - 2022-2024'!$L$4:$M$15,2)</f>
        <v>0</v>
      </c>
      <c r="AF296" s="44">
        <f>+K296*VLOOKUP($AB296,'Peak Loads - 2022-2024'!$L$4:$M$15,2)</f>
        <v>0</v>
      </c>
      <c r="AG296" s="44"/>
    </row>
    <row r="297" spans="5:33" x14ac:dyDescent="0.2">
      <c r="E297" s="175"/>
      <c r="H297">
        <f t="shared" si="63"/>
        <v>2049</v>
      </c>
      <c r="I297">
        <f t="shared" si="61"/>
        <v>7</v>
      </c>
      <c r="J297" s="268">
        <v>54605</v>
      </c>
      <c r="K297" s="44">
        <f>+SUMIFS('Monthly Energy Data'!AE$8:AE$595,'Monthly Energy Data'!$D$8:$D$595,'Peak Load Projections'!$H297,'Monthly Energy Data'!$E$8:$E$595,'Peak Load Projections'!$I297)*VLOOKUP($I297,$A$3:$E$14,5)</f>
        <v>0</v>
      </c>
      <c r="L297" s="44">
        <f>+SUMIFS('Monthly Energy Data'!AF$8:AF$595,'Monthly Energy Data'!$D$8:$D$595,'Peak Load Projections'!$H297,'Monthly Energy Data'!$E$8:$E$595,'Peak Load Projections'!$I297)*VLOOKUP($I297,$A$3:$E$14,5)</f>
        <v>0</v>
      </c>
      <c r="M297" s="44">
        <f>+SUMIFS('Monthly Energy Data'!AG$8:AG$595,'Monthly Energy Data'!$D$8:$D$595,'Peak Load Projections'!$H297,'Monthly Energy Data'!$E$8:$E$595,'Peak Load Projections'!$I297)*VLOOKUP($I297,$A$3:$E$14,5)</f>
        <v>0</v>
      </c>
      <c r="N297" s="44">
        <f t="shared" si="64"/>
        <v>0</v>
      </c>
      <c r="O297" s="269" t="str">
        <f t="shared" si="62"/>
        <v>S</v>
      </c>
      <c r="AA297">
        <f t="shared" si="67"/>
        <v>2049</v>
      </c>
      <c r="AB297">
        <f t="shared" si="65"/>
        <v>7</v>
      </c>
      <c r="AC297" s="271">
        <f t="shared" si="66"/>
        <v>54605</v>
      </c>
      <c r="AD297" s="44">
        <f>+L297*VLOOKUP($AB297,'Peak Loads - 2022-2024'!$L$4:$M$15,2)</f>
        <v>0</v>
      </c>
      <c r="AE297" s="44">
        <f>+M297*VLOOKUP($AB297,'Peak Loads - 2022-2024'!$L$4:$M$15,2)</f>
        <v>0</v>
      </c>
      <c r="AF297" s="44">
        <f>+K297*VLOOKUP($AB297,'Peak Loads - 2022-2024'!$L$4:$M$15,2)</f>
        <v>0</v>
      </c>
      <c r="AG297" s="44"/>
    </row>
    <row r="298" spans="5:33" x14ac:dyDescent="0.2">
      <c r="E298" s="175"/>
      <c r="H298">
        <f t="shared" si="63"/>
        <v>2049</v>
      </c>
      <c r="I298">
        <f t="shared" si="61"/>
        <v>8</v>
      </c>
      <c r="J298" s="268">
        <v>54636</v>
      </c>
      <c r="K298" s="44">
        <f>+SUMIFS('Monthly Energy Data'!AE$8:AE$595,'Monthly Energy Data'!$D$8:$D$595,'Peak Load Projections'!$H298,'Monthly Energy Data'!$E$8:$E$595,'Peak Load Projections'!$I298)*VLOOKUP($I298,$A$3:$E$14,5)</f>
        <v>0</v>
      </c>
      <c r="L298" s="44">
        <f>+SUMIFS('Monthly Energy Data'!AF$8:AF$595,'Monthly Energy Data'!$D$8:$D$595,'Peak Load Projections'!$H298,'Monthly Energy Data'!$E$8:$E$595,'Peak Load Projections'!$I298)*VLOOKUP($I298,$A$3:$E$14,5)</f>
        <v>0</v>
      </c>
      <c r="M298" s="44">
        <f>+SUMIFS('Monthly Energy Data'!AG$8:AG$595,'Monthly Energy Data'!$D$8:$D$595,'Peak Load Projections'!$H298,'Monthly Energy Data'!$E$8:$E$595,'Peak Load Projections'!$I298)*VLOOKUP($I298,$A$3:$E$14,5)</f>
        <v>0</v>
      </c>
      <c r="N298" s="44">
        <f t="shared" si="64"/>
        <v>0</v>
      </c>
      <c r="O298" s="269" t="str">
        <f t="shared" si="62"/>
        <v>S</v>
      </c>
      <c r="AA298">
        <f t="shared" si="67"/>
        <v>2049</v>
      </c>
      <c r="AB298">
        <f t="shared" si="65"/>
        <v>8</v>
      </c>
      <c r="AC298" s="271">
        <f t="shared" si="66"/>
        <v>54636</v>
      </c>
      <c r="AD298" s="44">
        <f>+L298*VLOOKUP($AB298,'Peak Loads - 2022-2024'!$L$4:$M$15,2)</f>
        <v>0</v>
      </c>
      <c r="AE298" s="44">
        <f>+M298*VLOOKUP($AB298,'Peak Loads - 2022-2024'!$L$4:$M$15,2)</f>
        <v>0</v>
      </c>
      <c r="AF298" s="44">
        <f>+K298*VLOOKUP($AB298,'Peak Loads - 2022-2024'!$L$4:$M$15,2)</f>
        <v>0</v>
      </c>
      <c r="AG298" s="44"/>
    </row>
    <row r="299" spans="5:33" x14ac:dyDescent="0.2">
      <c r="E299" s="175"/>
      <c r="H299">
        <f t="shared" si="63"/>
        <v>2049</v>
      </c>
      <c r="I299">
        <f t="shared" si="61"/>
        <v>9</v>
      </c>
      <c r="J299" s="268">
        <v>54667</v>
      </c>
      <c r="K299" s="44">
        <f>+SUMIFS('Monthly Energy Data'!AE$8:AE$595,'Monthly Energy Data'!$D$8:$D$595,'Peak Load Projections'!$H299,'Monthly Energy Data'!$E$8:$E$595,'Peak Load Projections'!$I299)*VLOOKUP($I299,$A$3:$E$14,5)</f>
        <v>0</v>
      </c>
      <c r="L299" s="44">
        <f>+SUMIFS('Monthly Energy Data'!AF$8:AF$595,'Monthly Energy Data'!$D$8:$D$595,'Peak Load Projections'!$H299,'Monthly Energy Data'!$E$8:$E$595,'Peak Load Projections'!$I299)*VLOOKUP($I299,$A$3:$E$14,5)</f>
        <v>0</v>
      </c>
      <c r="M299" s="44">
        <f>+SUMIFS('Monthly Energy Data'!AG$8:AG$595,'Monthly Energy Data'!$D$8:$D$595,'Peak Load Projections'!$H299,'Monthly Energy Data'!$E$8:$E$595,'Peak Load Projections'!$I299)*VLOOKUP($I299,$A$3:$E$14,5)</f>
        <v>0</v>
      </c>
      <c r="N299" s="44">
        <f t="shared" si="64"/>
        <v>0</v>
      </c>
      <c r="O299" s="269" t="str">
        <f t="shared" si="62"/>
        <v>S</v>
      </c>
      <c r="AA299">
        <f t="shared" si="67"/>
        <v>2049</v>
      </c>
      <c r="AB299">
        <f t="shared" si="65"/>
        <v>9</v>
      </c>
      <c r="AC299" s="271">
        <f t="shared" si="66"/>
        <v>54667</v>
      </c>
      <c r="AD299" s="44">
        <f>+L299*VLOOKUP($AB299,'Peak Loads - 2022-2024'!$L$4:$M$15,2)</f>
        <v>0</v>
      </c>
      <c r="AE299" s="44">
        <f>+M299*VLOOKUP($AB299,'Peak Loads - 2022-2024'!$L$4:$M$15,2)</f>
        <v>0</v>
      </c>
      <c r="AF299" s="44">
        <f>+K299*VLOOKUP($AB299,'Peak Loads - 2022-2024'!$L$4:$M$15,2)</f>
        <v>0</v>
      </c>
      <c r="AG299" s="44"/>
    </row>
    <row r="300" spans="5:33" x14ac:dyDescent="0.2">
      <c r="E300" s="175"/>
      <c r="H300">
        <f t="shared" si="63"/>
        <v>2049</v>
      </c>
      <c r="I300">
        <f t="shared" si="61"/>
        <v>10</v>
      </c>
      <c r="J300" s="268">
        <v>54697</v>
      </c>
      <c r="K300" s="44">
        <f>+SUMIFS('Monthly Energy Data'!AE$8:AE$595,'Monthly Energy Data'!$D$8:$D$595,'Peak Load Projections'!$H300,'Monthly Energy Data'!$E$8:$E$595,'Peak Load Projections'!$I300)*VLOOKUP($I300,$A$3:$E$14,5)</f>
        <v>0</v>
      </c>
      <c r="L300" s="44">
        <f>+SUMIFS('Monthly Energy Data'!AF$8:AF$595,'Monthly Energy Data'!$D$8:$D$595,'Peak Load Projections'!$H300,'Monthly Energy Data'!$E$8:$E$595,'Peak Load Projections'!$I300)*VLOOKUP($I300,$A$3:$E$14,5)</f>
        <v>0</v>
      </c>
      <c r="M300" s="44">
        <f>+SUMIFS('Monthly Energy Data'!AG$8:AG$595,'Monthly Energy Data'!$D$8:$D$595,'Peak Load Projections'!$H300,'Monthly Energy Data'!$E$8:$E$595,'Peak Load Projections'!$I300)*VLOOKUP($I300,$A$3:$E$14,5)</f>
        <v>0</v>
      </c>
      <c r="N300" s="44">
        <f t="shared" si="64"/>
        <v>0</v>
      </c>
      <c r="O300" s="269" t="str">
        <f t="shared" si="62"/>
        <v>W</v>
      </c>
      <c r="AA300">
        <f t="shared" si="67"/>
        <v>2049</v>
      </c>
      <c r="AB300">
        <f t="shared" si="65"/>
        <v>10</v>
      </c>
      <c r="AC300" s="271">
        <f t="shared" si="66"/>
        <v>54697</v>
      </c>
      <c r="AD300" s="44">
        <f>+L300*VLOOKUP($AB300,'Peak Loads - 2022-2024'!$L$4:$M$15,2)</f>
        <v>0</v>
      </c>
      <c r="AE300" s="44">
        <f>+M300*VLOOKUP($AB300,'Peak Loads - 2022-2024'!$L$4:$M$15,2)</f>
        <v>0</v>
      </c>
      <c r="AF300" s="44">
        <f>+K300*VLOOKUP($AB300,'Peak Loads - 2022-2024'!$L$4:$M$15,2)</f>
        <v>0</v>
      </c>
      <c r="AG300" s="44"/>
    </row>
    <row r="301" spans="5:33" x14ac:dyDescent="0.2">
      <c r="E301" s="175"/>
      <c r="H301">
        <f t="shared" si="63"/>
        <v>2049</v>
      </c>
      <c r="I301">
        <f t="shared" si="61"/>
        <v>11</v>
      </c>
      <c r="J301" s="268">
        <v>54728</v>
      </c>
      <c r="K301" s="44">
        <f>+SUMIFS('Monthly Energy Data'!AE$8:AE$595,'Monthly Energy Data'!$D$8:$D$595,'Peak Load Projections'!$H301,'Monthly Energy Data'!$E$8:$E$595,'Peak Load Projections'!$I301)*VLOOKUP($I301,$A$3:$E$14,5)</f>
        <v>0</v>
      </c>
      <c r="L301" s="44">
        <f>+SUMIFS('Monthly Energy Data'!AF$8:AF$595,'Monthly Energy Data'!$D$8:$D$595,'Peak Load Projections'!$H301,'Monthly Energy Data'!$E$8:$E$595,'Peak Load Projections'!$I301)*VLOOKUP($I301,$A$3:$E$14,5)</f>
        <v>0</v>
      </c>
      <c r="M301" s="44">
        <f>+SUMIFS('Monthly Energy Data'!AG$8:AG$595,'Monthly Energy Data'!$D$8:$D$595,'Peak Load Projections'!$H301,'Monthly Energy Data'!$E$8:$E$595,'Peak Load Projections'!$I301)*VLOOKUP($I301,$A$3:$E$14,5)</f>
        <v>0</v>
      </c>
      <c r="N301" s="44">
        <f t="shared" si="64"/>
        <v>0</v>
      </c>
      <c r="O301" s="269" t="str">
        <f t="shared" si="62"/>
        <v>W</v>
      </c>
      <c r="AA301">
        <f t="shared" si="67"/>
        <v>2049</v>
      </c>
      <c r="AB301">
        <f t="shared" si="65"/>
        <v>11</v>
      </c>
      <c r="AC301" s="271">
        <f t="shared" si="66"/>
        <v>54728</v>
      </c>
      <c r="AD301" s="44">
        <f>+L301*VLOOKUP($AB301,'Peak Loads - 2022-2024'!$L$4:$M$15,2)</f>
        <v>0</v>
      </c>
      <c r="AE301" s="44">
        <f>+M301*VLOOKUP($AB301,'Peak Loads - 2022-2024'!$L$4:$M$15,2)</f>
        <v>0</v>
      </c>
      <c r="AF301" s="44">
        <f>+K301*VLOOKUP($AB301,'Peak Loads - 2022-2024'!$L$4:$M$15,2)</f>
        <v>0</v>
      </c>
      <c r="AG301" s="44"/>
    </row>
    <row r="302" spans="5:33" x14ac:dyDescent="0.2">
      <c r="E302" s="175"/>
      <c r="H302">
        <f t="shared" si="63"/>
        <v>2049</v>
      </c>
      <c r="I302">
        <f t="shared" si="61"/>
        <v>12</v>
      </c>
      <c r="J302" s="268">
        <v>54758</v>
      </c>
      <c r="K302" s="44">
        <f>+SUMIFS('Monthly Energy Data'!AE$8:AE$595,'Monthly Energy Data'!$D$8:$D$595,'Peak Load Projections'!$H302,'Monthly Energy Data'!$E$8:$E$595,'Peak Load Projections'!$I302)*VLOOKUP($I302,$A$3:$E$14,5)</f>
        <v>0</v>
      </c>
      <c r="L302" s="44">
        <f>+SUMIFS('Monthly Energy Data'!AF$8:AF$595,'Monthly Energy Data'!$D$8:$D$595,'Peak Load Projections'!$H302,'Monthly Energy Data'!$E$8:$E$595,'Peak Load Projections'!$I302)*VLOOKUP($I302,$A$3:$E$14,5)</f>
        <v>0</v>
      </c>
      <c r="M302" s="44">
        <f>+SUMIFS('Monthly Energy Data'!AG$8:AG$595,'Monthly Energy Data'!$D$8:$D$595,'Peak Load Projections'!$H302,'Monthly Energy Data'!$E$8:$E$595,'Peak Load Projections'!$I302)*VLOOKUP($I302,$A$3:$E$14,5)</f>
        <v>0</v>
      </c>
      <c r="N302" s="44">
        <f t="shared" si="64"/>
        <v>0</v>
      </c>
      <c r="O302" s="269" t="str">
        <f t="shared" si="62"/>
        <v>W</v>
      </c>
      <c r="AA302">
        <f t="shared" si="67"/>
        <v>2049</v>
      </c>
      <c r="AB302">
        <f t="shared" si="65"/>
        <v>12</v>
      </c>
      <c r="AC302" s="271">
        <f t="shared" si="66"/>
        <v>54758</v>
      </c>
      <c r="AD302" s="44">
        <f>+L302*VLOOKUP($AB302,'Peak Loads - 2022-2024'!$L$4:$M$15,2)</f>
        <v>0</v>
      </c>
      <c r="AE302" s="44">
        <f>+M302*VLOOKUP($AB302,'Peak Loads - 2022-2024'!$L$4:$M$15,2)</f>
        <v>0</v>
      </c>
      <c r="AF302" s="44">
        <f>+K302*VLOOKUP($AB302,'Peak Loads - 2022-2024'!$L$4:$M$15,2)</f>
        <v>0</v>
      </c>
      <c r="AG302" s="44"/>
    </row>
    <row r="303" spans="5:33" x14ac:dyDescent="0.2">
      <c r="E303" s="175"/>
      <c r="H303">
        <f t="shared" si="63"/>
        <v>2050</v>
      </c>
      <c r="I303">
        <f t="shared" si="61"/>
        <v>1</v>
      </c>
      <c r="J303" s="268">
        <v>54789</v>
      </c>
      <c r="K303" s="44">
        <f>+SUMIFS('Monthly Energy Data'!AE$8:AE$595,'Monthly Energy Data'!$D$8:$D$595,'Peak Load Projections'!$H303,'Monthly Energy Data'!$E$8:$E$595,'Peak Load Projections'!$I303)*VLOOKUP($I303,$A$3:$E$14,5)</f>
        <v>0</v>
      </c>
      <c r="L303" s="44">
        <f>+SUMIFS('Monthly Energy Data'!AF$8:AF$595,'Monthly Energy Data'!$D$8:$D$595,'Peak Load Projections'!$H303,'Monthly Energy Data'!$E$8:$E$595,'Peak Load Projections'!$I303)*VLOOKUP($I303,$A$3:$E$14,5)</f>
        <v>0</v>
      </c>
      <c r="M303" s="44">
        <f>+SUMIFS('Monthly Energy Data'!AG$8:AG$595,'Monthly Energy Data'!$D$8:$D$595,'Peak Load Projections'!$H303,'Monthly Energy Data'!$E$8:$E$595,'Peak Load Projections'!$I303)*VLOOKUP($I303,$A$3:$E$14,5)</f>
        <v>0</v>
      </c>
      <c r="N303" s="44">
        <f t="shared" si="64"/>
        <v>0</v>
      </c>
      <c r="O303" s="269" t="str">
        <f t="shared" si="62"/>
        <v>W</v>
      </c>
      <c r="AA303">
        <f t="shared" si="67"/>
        <v>2050</v>
      </c>
      <c r="AB303">
        <f t="shared" si="65"/>
        <v>1</v>
      </c>
      <c r="AC303" s="271">
        <f t="shared" si="66"/>
        <v>54789</v>
      </c>
      <c r="AD303" s="44">
        <f>+L303*VLOOKUP($AB303,'Peak Loads - 2022-2024'!$L$4:$M$15,2)</f>
        <v>0</v>
      </c>
      <c r="AE303" s="44">
        <f>+M303*VLOOKUP($AB303,'Peak Loads - 2022-2024'!$L$4:$M$15,2)</f>
        <v>0</v>
      </c>
      <c r="AF303" s="44">
        <f>+K303*VLOOKUP($AB303,'Peak Loads - 2022-2024'!$L$4:$M$15,2)</f>
        <v>0</v>
      </c>
      <c r="AG303" s="44"/>
    </row>
    <row r="304" spans="5:33" x14ac:dyDescent="0.2">
      <c r="E304" s="175"/>
      <c r="H304">
        <f t="shared" si="63"/>
        <v>2050</v>
      </c>
      <c r="I304">
        <f t="shared" si="61"/>
        <v>2</v>
      </c>
      <c r="J304" s="268">
        <v>54820</v>
      </c>
      <c r="K304" s="44">
        <f>+SUMIFS('Monthly Energy Data'!AE$8:AE$595,'Monthly Energy Data'!$D$8:$D$595,'Peak Load Projections'!$H304,'Monthly Energy Data'!$E$8:$E$595,'Peak Load Projections'!$I304)*VLOOKUP($I304,$A$3:$E$14,5)</f>
        <v>0</v>
      </c>
      <c r="L304" s="44">
        <f>+SUMIFS('Monthly Energy Data'!AF$8:AF$595,'Monthly Energy Data'!$D$8:$D$595,'Peak Load Projections'!$H304,'Monthly Energy Data'!$E$8:$E$595,'Peak Load Projections'!$I304)*VLOOKUP($I304,$A$3:$E$14,5)</f>
        <v>0</v>
      </c>
      <c r="M304" s="44">
        <f>+SUMIFS('Monthly Energy Data'!AG$8:AG$595,'Monthly Energy Data'!$D$8:$D$595,'Peak Load Projections'!$H304,'Monthly Energy Data'!$E$8:$E$595,'Peak Load Projections'!$I304)*VLOOKUP($I304,$A$3:$E$14,5)</f>
        <v>0</v>
      </c>
      <c r="N304" s="44">
        <f t="shared" si="64"/>
        <v>0</v>
      </c>
      <c r="O304" s="269" t="str">
        <f t="shared" si="62"/>
        <v>W</v>
      </c>
      <c r="AA304">
        <f t="shared" si="67"/>
        <v>2050</v>
      </c>
      <c r="AB304">
        <f t="shared" si="65"/>
        <v>2</v>
      </c>
      <c r="AC304" s="271">
        <f t="shared" si="66"/>
        <v>54820</v>
      </c>
      <c r="AD304" s="44">
        <f>+L304*VLOOKUP($AB304,'Peak Loads - 2022-2024'!$L$4:$M$15,2)</f>
        <v>0</v>
      </c>
      <c r="AE304" s="44">
        <f>+M304*VLOOKUP($AB304,'Peak Loads - 2022-2024'!$L$4:$M$15,2)</f>
        <v>0</v>
      </c>
      <c r="AF304" s="44">
        <f>+K304*VLOOKUP($AB304,'Peak Loads - 2022-2024'!$L$4:$M$15,2)</f>
        <v>0</v>
      </c>
      <c r="AG304" s="44"/>
    </row>
    <row r="305" spans="5:33" x14ac:dyDescent="0.2">
      <c r="E305" s="175"/>
      <c r="H305">
        <f t="shared" si="63"/>
        <v>2050</v>
      </c>
      <c r="I305">
        <f t="shared" si="61"/>
        <v>3</v>
      </c>
      <c r="J305" s="268">
        <v>54848</v>
      </c>
      <c r="K305" s="44">
        <f>+SUMIFS('Monthly Energy Data'!AE$8:AE$595,'Monthly Energy Data'!$D$8:$D$595,'Peak Load Projections'!$H305,'Monthly Energy Data'!$E$8:$E$595,'Peak Load Projections'!$I305)*VLOOKUP($I305,$A$3:$E$14,5)</f>
        <v>0</v>
      </c>
      <c r="L305" s="44">
        <f>+SUMIFS('Monthly Energy Data'!AF$8:AF$595,'Monthly Energy Data'!$D$8:$D$595,'Peak Load Projections'!$H305,'Monthly Energy Data'!$E$8:$E$595,'Peak Load Projections'!$I305)*VLOOKUP($I305,$A$3:$E$14,5)</f>
        <v>0</v>
      </c>
      <c r="M305" s="44">
        <f>+SUMIFS('Monthly Energy Data'!AG$8:AG$595,'Monthly Energy Data'!$D$8:$D$595,'Peak Load Projections'!$H305,'Monthly Energy Data'!$E$8:$E$595,'Peak Load Projections'!$I305)*VLOOKUP($I305,$A$3:$E$14,5)</f>
        <v>0</v>
      </c>
      <c r="N305" s="44">
        <f t="shared" si="64"/>
        <v>0</v>
      </c>
      <c r="O305" s="269" t="str">
        <f t="shared" si="62"/>
        <v>W</v>
      </c>
      <c r="AA305">
        <f t="shared" si="67"/>
        <v>2050</v>
      </c>
      <c r="AB305">
        <f t="shared" si="65"/>
        <v>3</v>
      </c>
      <c r="AC305" s="271">
        <f t="shared" si="66"/>
        <v>54848</v>
      </c>
      <c r="AD305" s="44">
        <f>+L305*VLOOKUP($AB305,'Peak Loads - 2022-2024'!$L$4:$M$15,2)</f>
        <v>0</v>
      </c>
      <c r="AE305" s="44">
        <f>+M305*VLOOKUP($AB305,'Peak Loads - 2022-2024'!$L$4:$M$15,2)</f>
        <v>0</v>
      </c>
      <c r="AF305" s="44">
        <f>+K305*VLOOKUP($AB305,'Peak Loads - 2022-2024'!$L$4:$M$15,2)</f>
        <v>0</v>
      </c>
      <c r="AG305" s="44"/>
    </row>
    <row r="306" spans="5:33" x14ac:dyDescent="0.2">
      <c r="E306" s="175"/>
      <c r="H306">
        <f t="shared" si="63"/>
        <v>2050</v>
      </c>
      <c r="I306">
        <f t="shared" si="61"/>
        <v>4</v>
      </c>
      <c r="J306" s="268">
        <v>54879</v>
      </c>
      <c r="K306" s="44">
        <f>+SUMIFS('Monthly Energy Data'!AE$8:AE$595,'Monthly Energy Data'!$D$8:$D$595,'Peak Load Projections'!$H306,'Monthly Energy Data'!$E$8:$E$595,'Peak Load Projections'!$I306)*VLOOKUP($I306,$A$3:$E$14,5)</f>
        <v>0</v>
      </c>
      <c r="L306" s="44">
        <f>+SUMIFS('Monthly Energy Data'!AF$8:AF$595,'Monthly Energy Data'!$D$8:$D$595,'Peak Load Projections'!$H306,'Monthly Energy Data'!$E$8:$E$595,'Peak Load Projections'!$I306)*VLOOKUP($I306,$A$3:$E$14,5)</f>
        <v>0</v>
      </c>
      <c r="M306" s="44">
        <f>+SUMIFS('Monthly Energy Data'!AG$8:AG$595,'Monthly Energy Data'!$D$8:$D$595,'Peak Load Projections'!$H306,'Monthly Energy Data'!$E$8:$E$595,'Peak Load Projections'!$I306)*VLOOKUP($I306,$A$3:$E$14,5)</f>
        <v>0</v>
      </c>
      <c r="N306" s="44">
        <f t="shared" si="64"/>
        <v>0</v>
      </c>
      <c r="O306" s="269" t="str">
        <f t="shared" si="62"/>
        <v>W</v>
      </c>
      <c r="AA306">
        <f t="shared" si="67"/>
        <v>2050</v>
      </c>
      <c r="AB306">
        <f t="shared" si="65"/>
        <v>4</v>
      </c>
      <c r="AC306" s="271">
        <f t="shared" si="66"/>
        <v>54879</v>
      </c>
      <c r="AD306" s="44">
        <f>+L306*VLOOKUP($AB306,'Peak Loads - 2022-2024'!$L$4:$M$15,2)</f>
        <v>0</v>
      </c>
      <c r="AE306" s="44">
        <f>+M306*VLOOKUP($AB306,'Peak Loads - 2022-2024'!$L$4:$M$15,2)</f>
        <v>0</v>
      </c>
      <c r="AF306" s="44">
        <f>+K306*VLOOKUP($AB306,'Peak Loads - 2022-2024'!$L$4:$M$15,2)</f>
        <v>0</v>
      </c>
      <c r="AG306" s="44"/>
    </row>
    <row r="307" spans="5:33" x14ac:dyDescent="0.2">
      <c r="E307" s="175"/>
      <c r="H307">
        <f t="shared" si="63"/>
        <v>2050</v>
      </c>
      <c r="I307">
        <f t="shared" si="61"/>
        <v>5</v>
      </c>
      <c r="J307" s="268">
        <v>54909</v>
      </c>
      <c r="K307" s="44">
        <f>+SUMIFS('Monthly Energy Data'!AE$8:AE$595,'Monthly Energy Data'!$D$8:$D$595,'Peak Load Projections'!$H307,'Monthly Energy Data'!$E$8:$E$595,'Peak Load Projections'!$I307)*VLOOKUP($I307,$A$3:$E$14,5)</f>
        <v>0</v>
      </c>
      <c r="L307" s="44">
        <f>+SUMIFS('Monthly Energy Data'!AF$8:AF$595,'Monthly Energy Data'!$D$8:$D$595,'Peak Load Projections'!$H307,'Monthly Energy Data'!$E$8:$E$595,'Peak Load Projections'!$I307)*VLOOKUP($I307,$A$3:$E$14,5)</f>
        <v>0</v>
      </c>
      <c r="M307" s="44">
        <f>+SUMIFS('Monthly Energy Data'!AG$8:AG$595,'Monthly Energy Data'!$D$8:$D$595,'Peak Load Projections'!$H307,'Monthly Energy Data'!$E$8:$E$595,'Peak Load Projections'!$I307)*VLOOKUP($I307,$A$3:$E$14,5)</f>
        <v>0</v>
      </c>
      <c r="N307" s="44">
        <f t="shared" si="64"/>
        <v>0</v>
      </c>
      <c r="O307" s="269" t="str">
        <f t="shared" si="62"/>
        <v>W</v>
      </c>
      <c r="AA307">
        <f t="shared" si="67"/>
        <v>2050</v>
      </c>
      <c r="AB307">
        <f t="shared" si="65"/>
        <v>5</v>
      </c>
      <c r="AC307" s="271">
        <f t="shared" si="66"/>
        <v>54909</v>
      </c>
      <c r="AD307" s="44">
        <f>+L307*VLOOKUP($AB307,'Peak Loads - 2022-2024'!$L$4:$M$15,2)</f>
        <v>0</v>
      </c>
      <c r="AE307" s="44">
        <f>+M307*VLOOKUP($AB307,'Peak Loads - 2022-2024'!$L$4:$M$15,2)</f>
        <v>0</v>
      </c>
      <c r="AF307" s="44">
        <f>+K307*VLOOKUP($AB307,'Peak Loads - 2022-2024'!$L$4:$M$15,2)</f>
        <v>0</v>
      </c>
      <c r="AG307" s="44"/>
    </row>
    <row r="308" spans="5:33" x14ac:dyDescent="0.2">
      <c r="E308" s="175"/>
      <c r="H308">
        <f t="shared" si="63"/>
        <v>2050</v>
      </c>
      <c r="I308">
        <f t="shared" si="61"/>
        <v>6</v>
      </c>
      <c r="J308" s="268">
        <v>54940</v>
      </c>
      <c r="K308" s="44">
        <f>+SUMIFS('Monthly Energy Data'!AE$8:AE$595,'Monthly Energy Data'!$D$8:$D$595,'Peak Load Projections'!$H308,'Monthly Energy Data'!$E$8:$E$595,'Peak Load Projections'!$I308)*VLOOKUP($I308,$A$3:$E$14,5)</f>
        <v>0</v>
      </c>
      <c r="L308" s="44">
        <f>+SUMIFS('Monthly Energy Data'!AF$8:AF$595,'Monthly Energy Data'!$D$8:$D$595,'Peak Load Projections'!$H308,'Monthly Energy Data'!$E$8:$E$595,'Peak Load Projections'!$I308)*VLOOKUP($I308,$A$3:$E$14,5)</f>
        <v>0</v>
      </c>
      <c r="M308" s="44">
        <f>+SUMIFS('Monthly Energy Data'!AG$8:AG$595,'Monthly Energy Data'!$D$8:$D$595,'Peak Load Projections'!$H308,'Monthly Energy Data'!$E$8:$E$595,'Peak Load Projections'!$I308)*VLOOKUP($I308,$A$3:$E$14,5)</f>
        <v>0</v>
      </c>
      <c r="N308" s="44">
        <f t="shared" si="64"/>
        <v>0</v>
      </c>
      <c r="O308" s="269" t="str">
        <f t="shared" si="62"/>
        <v>S</v>
      </c>
      <c r="AA308">
        <f t="shared" si="67"/>
        <v>2050</v>
      </c>
      <c r="AB308">
        <f t="shared" si="65"/>
        <v>6</v>
      </c>
      <c r="AC308" s="271">
        <f t="shared" si="66"/>
        <v>54940</v>
      </c>
      <c r="AD308" s="44">
        <f>+L308*VLOOKUP($AB308,'Peak Loads - 2022-2024'!$L$4:$M$15,2)</f>
        <v>0</v>
      </c>
      <c r="AE308" s="44">
        <f>+M308*VLOOKUP($AB308,'Peak Loads - 2022-2024'!$L$4:$M$15,2)</f>
        <v>0</v>
      </c>
      <c r="AF308" s="44">
        <f>+K308*VLOOKUP($AB308,'Peak Loads - 2022-2024'!$L$4:$M$15,2)</f>
        <v>0</v>
      </c>
      <c r="AG308" s="44"/>
    </row>
    <row r="309" spans="5:33" x14ac:dyDescent="0.2">
      <c r="E309" s="175"/>
      <c r="H309">
        <f t="shared" si="63"/>
        <v>2050</v>
      </c>
      <c r="I309">
        <f t="shared" si="61"/>
        <v>7</v>
      </c>
      <c r="J309" s="268">
        <v>54970</v>
      </c>
      <c r="K309" s="44">
        <f>+SUMIFS('Monthly Energy Data'!AE$8:AE$595,'Monthly Energy Data'!$D$8:$D$595,'Peak Load Projections'!$H309,'Monthly Energy Data'!$E$8:$E$595,'Peak Load Projections'!$I309)*VLOOKUP($I309,$A$3:$E$14,5)</f>
        <v>0</v>
      </c>
      <c r="L309" s="44">
        <f>+SUMIFS('Monthly Energy Data'!AF$8:AF$595,'Monthly Energy Data'!$D$8:$D$595,'Peak Load Projections'!$H309,'Monthly Energy Data'!$E$8:$E$595,'Peak Load Projections'!$I309)*VLOOKUP($I309,$A$3:$E$14,5)</f>
        <v>0</v>
      </c>
      <c r="M309" s="44">
        <f>+SUMIFS('Monthly Energy Data'!AG$8:AG$595,'Monthly Energy Data'!$D$8:$D$595,'Peak Load Projections'!$H309,'Monthly Energy Data'!$E$8:$E$595,'Peak Load Projections'!$I309)*VLOOKUP($I309,$A$3:$E$14,5)</f>
        <v>0</v>
      </c>
      <c r="N309" s="44">
        <f t="shared" si="64"/>
        <v>0</v>
      </c>
      <c r="O309" s="269" t="str">
        <f t="shared" si="62"/>
        <v>S</v>
      </c>
      <c r="AA309">
        <f t="shared" si="67"/>
        <v>2050</v>
      </c>
      <c r="AB309">
        <f t="shared" si="65"/>
        <v>7</v>
      </c>
      <c r="AC309" s="271">
        <f t="shared" si="66"/>
        <v>54970</v>
      </c>
      <c r="AD309" s="44">
        <f>+L309*VLOOKUP($AB309,'Peak Loads - 2022-2024'!$L$4:$M$15,2)</f>
        <v>0</v>
      </c>
      <c r="AE309" s="44">
        <f>+M309*VLOOKUP($AB309,'Peak Loads - 2022-2024'!$L$4:$M$15,2)</f>
        <v>0</v>
      </c>
      <c r="AF309" s="44">
        <f>+K309*VLOOKUP($AB309,'Peak Loads - 2022-2024'!$L$4:$M$15,2)</f>
        <v>0</v>
      </c>
      <c r="AG309" s="44"/>
    </row>
    <row r="310" spans="5:33" x14ac:dyDescent="0.2">
      <c r="E310" s="175"/>
      <c r="H310">
        <f t="shared" si="63"/>
        <v>2050</v>
      </c>
      <c r="I310">
        <f t="shared" si="61"/>
        <v>8</v>
      </c>
      <c r="J310" s="268">
        <v>55001</v>
      </c>
      <c r="K310" s="44">
        <f>+SUMIFS('Monthly Energy Data'!AE$8:AE$595,'Monthly Energy Data'!$D$8:$D$595,'Peak Load Projections'!$H310,'Monthly Energy Data'!$E$8:$E$595,'Peak Load Projections'!$I310)*VLOOKUP($I310,$A$3:$E$14,5)</f>
        <v>0</v>
      </c>
      <c r="L310" s="44">
        <f>+SUMIFS('Monthly Energy Data'!AF$8:AF$595,'Monthly Energy Data'!$D$8:$D$595,'Peak Load Projections'!$H310,'Monthly Energy Data'!$E$8:$E$595,'Peak Load Projections'!$I310)*VLOOKUP($I310,$A$3:$E$14,5)</f>
        <v>0</v>
      </c>
      <c r="M310" s="44">
        <f>+SUMIFS('Monthly Energy Data'!AG$8:AG$595,'Monthly Energy Data'!$D$8:$D$595,'Peak Load Projections'!$H310,'Monthly Energy Data'!$E$8:$E$595,'Peak Load Projections'!$I310)*VLOOKUP($I310,$A$3:$E$14,5)</f>
        <v>0</v>
      </c>
      <c r="N310" s="44">
        <f t="shared" si="64"/>
        <v>0</v>
      </c>
      <c r="O310" s="269" t="str">
        <f t="shared" si="62"/>
        <v>S</v>
      </c>
      <c r="AA310">
        <f t="shared" si="67"/>
        <v>2050</v>
      </c>
      <c r="AB310">
        <f t="shared" si="65"/>
        <v>8</v>
      </c>
      <c r="AC310" s="271">
        <f t="shared" si="66"/>
        <v>55001</v>
      </c>
      <c r="AD310" s="44">
        <f>+L310*VLOOKUP($AB310,'Peak Loads - 2022-2024'!$L$4:$M$15,2)</f>
        <v>0</v>
      </c>
      <c r="AE310" s="44">
        <f>+M310*VLOOKUP($AB310,'Peak Loads - 2022-2024'!$L$4:$M$15,2)</f>
        <v>0</v>
      </c>
      <c r="AF310" s="44">
        <f>+K310*VLOOKUP($AB310,'Peak Loads - 2022-2024'!$L$4:$M$15,2)</f>
        <v>0</v>
      </c>
      <c r="AG310" s="44"/>
    </row>
    <row r="311" spans="5:33" x14ac:dyDescent="0.2">
      <c r="E311" s="175"/>
      <c r="H311">
        <f t="shared" si="63"/>
        <v>2050</v>
      </c>
      <c r="I311">
        <f t="shared" si="61"/>
        <v>9</v>
      </c>
      <c r="J311" s="268">
        <v>55032</v>
      </c>
      <c r="K311" s="44">
        <f>+SUMIFS('Monthly Energy Data'!AE$8:AE$595,'Monthly Energy Data'!$D$8:$D$595,'Peak Load Projections'!$H311,'Monthly Energy Data'!$E$8:$E$595,'Peak Load Projections'!$I311)*VLOOKUP($I311,$A$3:$E$14,5)</f>
        <v>0</v>
      </c>
      <c r="L311" s="44">
        <f>+SUMIFS('Monthly Energy Data'!AF$8:AF$595,'Monthly Energy Data'!$D$8:$D$595,'Peak Load Projections'!$H311,'Monthly Energy Data'!$E$8:$E$595,'Peak Load Projections'!$I311)*VLOOKUP($I311,$A$3:$E$14,5)</f>
        <v>0</v>
      </c>
      <c r="M311" s="44">
        <f>+SUMIFS('Monthly Energy Data'!AG$8:AG$595,'Monthly Energy Data'!$D$8:$D$595,'Peak Load Projections'!$H311,'Monthly Energy Data'!$E$8:$E$595,'Peak Load Projections'!$I311)*VLOOKUP($I311,$A$3:$E$14,5)</f>
        <v>0</v>
      </c>
      <c r="N311" s="44">
        <f t="shared" si="64"/>
        <v>0</v>
      </c>
      <c r="O311" s="269" t="str">
        <f t="shared" si="62"/>
        <v>S</v>
      </c>
      <c r="AA311">
        <f t="shared" si="67"/>
        <v>2050</v>
      </c>
      <c r="AB311">
        <f t="shared" si="65"/>
        <v>9</v>
      </c>
      <c r="AC311" s="271">
        <f t="shared" si="66"/>
        <v>55032</v>
      </c>
      <c r="AD311" s="44">
        <f>+L311*VLOOKUP($AB311,'Peak Loads - 2022-2024'!$L$4:$M$15,2)</f>
        <v>0</v>
      </c>
      <c r="AE311" s="44">
        <f>+M311*VLOOKUP($AB311,'Peak Loads - 2022-2024'!$L$4:$M$15,2)</f>
        <v>0</v>
      </c>
      <c r="AF311" s="44">
        <f>+K311*VLOOKUP($AB311,'Peak Loads - 2022-2024'!$L$4:$M$15,2)</f>
        <v>0</v>
      </c>
      <c r="AG311" s="44"/>
    </row>
    <row r="312" spans="5:33" x14ac:dyDescent="0.2">
      <c r="E312" s="175"/>
      <c r="H312">
        <f t="shared" si="63"/>
        <v>2050</v>
      </c>
      <c r="I312">
        <f t="shared" ref="I312:I374" si="68">+MONTH(J312)</f>
        <v>10</v>
      </c>
      <c r="J312" s="268">
        <v>55062</v>
      </c>
      <c r="K312" s="44">
        <f>+SUMIFS('Monthly Energy Data'!AE$8:AE$595,'Monthly Energy Data'!$D$8:$D$595,'Peak Load Projections'!$H312,'Monthly Energy Data'!$E$8:$E$595,'Peak Load Projections'!$I312)*VLOOKUP($I312,$A$3:$E$14,5)</f>
        <v>0</v>
      </c>
      <c r="L312" s="44">
        <f>+SUMIFS('Monthly Energy Data'!AF$8:AF$595,'Monthly Energy Data'!$D$8:$D$595,'Peak Load Projections'!$H312,'Monthly Energy Data'!$E$8:$E$595,'Peak Load Projections'!$I312)*VLOOKUP($I312,$A$3:$E$14,5)</f>
        <v>0</v>
      </c>
      <c r="M312" s="44">
        <f>+SUMIFS('Monthly Energy Data'!AG$8:AG$595,'Monthly Energy Data'!$D$8:$D$595,'Peak Load Projections'!$H312,'Monthly Energy Data'!$E$8:$E$595,'Peak Load Projections'!$I312)*VLOOKUP($I312,$A$3:$E$14,5)</f>
        <v>0</v>
      </c>
      <c r="N312" s="44">
        <f t="shared" si="64"/>
        <v>0</v>
      </c>
      <c r="O312" s="269" t="str">
        <f t="shared" si="62"/>
        <v>W</v>
      </c>
      <c r="AA312">
        <f t="shared" si="67"/>
        <v>2050</v>
      </c>
      <c r="AB312">
        <f t="shared" si="65"/>
        <v>10</v>
      </c>
      <c r="AC312" s="271">
        <f t="shared" si="66"/>
        <v>55062</v>
      </c>
      <c r="AD312" s="44">
        <f>+L312*VLOOKUP($AB312,'Peak Loads - 2022-2024'!$L$4:$M$15,2)</f>
        <v>0</v>
      </c>
      <c r="AE312" s="44">
        <f>+M312*VLOOKUP($AB312,'Peak Loads - 2022-2024'!$L$4:$M$15,2)</f>
        <v>0</v>
      </c>
      <c r="AF312" s="44">
        <f>+K312*VLOOKUP($AB312,'Peak Loads - 2022-2024'!$L$4:$M$15,2)</f>
        <v>0</v>
      </c>
      <c r="AG312" s="44"/>
    </row>
    <row r="313" spans="5:33" x14ac:dyDescent="0.2">
      <c r="E313" s="175"/>
      <c r="H313">
        <f t="shared" si="63"/>
        <v>2050</v>
      </c>
      <c r="I313">
        <f t="shared" si="68"/>
        <v>11</v>
      </c>
      <c r="J313" s="268">
        <v>55093</v>
      </c>
      <c r="K313" s="44">
        <f>+SUMIFS('Monthly Energy Data'!AE$8:AE$595,'Monthly Energy Data'!$D$8:$D$595,'Peak Load Projections'!$H313,'Monthly Energy Data'!$E$8:$E$595,'Peak Load Projections'!$I313)*VLOOKUP($I313,$A$3:$E$14,5)</f>
        <v>0</v>
      </c>
      <c r="L313" s="44">
        <f>+SUMIFS('Monthly Energy Data'!AF$8:AF$595,'Monthly Energy Data'!$D$8:$D$595,'Peak Load Projections'!$H313,'Monthly Energy Data'!$E$8:$E$595,'Peak Load Projections'!$I313)*VLOOKUP($I313,$A$3:$E$14,5)</f>
        <v>0</v>
      </c>
      <c r="M313" s="44">
        <f>+SUMIFS('Monthly Energy Data'!AG$8:AG$595,'Monthly Energy Data'!$D$8:$D$595,'Peak Load Projections'!$H313,'Monthly Energy Data'!$E$8:$E$595,'Peak Load Projections'!$I313)*VLOOKUP($I313,$A$3:$E$14,5)</f>
        <v>0</v>
      </c>
      <c r="N313" s="44">
        <f t="shared" si="64"/>
        <v>0</v>
      </c>
      <c r="O313" s="269" t="str">
        <f t="shared" si="62"/>
        <v>W</v>
      </c>
      <c r="AA313">
        <f t="shared" si="67"/>
        <v>2050</v>
      </c>
      <c r="AB313">
        <f t="shared" si="65"/>
        <v>11</v>
      </c>
      <c r="AC313" s="271">
        <f t="shared" si="66"/>
        <v>55093</v>
      </c>
      <c r="AD313" s="44">
        <f>+L313*VLOOKUP($AB313,'Peak Loads - 2022-2024'!$L$4:$M$15,2)</f>
        <v>0</v>
      </c>
      <c r="AE313" s="44">
        <f>+M313*VLOOKUP($AB313,'Peak Loads - 2022-2024'!$L$4:$M$15,2)</f>
        <v>0</v>
      </c>
      <c r="AF313" s="44">
        <f>+K313*VLOOKUP($AB313,'Peak Loads - 2022-2024'!$L$4:$M$15,2)</f>
        <v>0</v>
      </c>
      <c r="AG313" s="44"/>
    </row>
    <row r="314" spans="5:33" x14ac:dyDescent="0.2">
      <c r="E314" s="175"/>
      <c r="H314">
        <f t="shared" si="63"/>
        <v>2050</v>
      </c>
      <c r="I314">
        <f t="shared" si="68"/>
        <v>12</v>
      </c>
      <c r="J314" s="268">
        <v>55123</v>
      </c>
      <c r="K314" s="44">
        <f>+SUMIFS('Monthly Energy Data'!AE$8:AE$595,'Monthly Energy Data'!$D$8:$D$595,'Peak Load Projections'!$H314,'Monthly Energy Data'!$E$8:$E$595,'Peak Load Projections'!$I314)*VLOOKUP($I314,$A$3:$E$14,5)</f>
        <v>0</v>
      </c>
      <c r="L314" s="44">
        <f>+SUMIFS('Monthly Energy Data'!AF$8:AF$595,'Monthly Energy Data'!$D$8:$D$595,'Peak Load Projections'!$H314,'Monthly Energy Data'!$E$8:$E$595,'Peak Load Projections'!$I314)*VLOOKUP($I314,$A$3:$E$14,5)</f>
        <v>0</v>
      </c>
      <c r="M314" s="44">
        <f>+SUMIFS('Monthly Energy Data'!AG$8:AG$595,'Monthly Energy Data'!$D$8:$D$595,'Peak Load Projections'!$H314,'Monthly Energy Data'!$E$8:$E$595,'Peak Load Projections'!$I314)*VLOOKUP($I314,$A$3:$E$14,5)</f>
        <v>0</v>
      </c>
      <c r="N314" s="44">
        <f t="shared" si="64"/>
        <v>0</v>
      </c>
      <c r="O314" s="269" t="str">
        <f t="shared" si="62"/>
        <v>W</v>
      </c>
      <c r="AA314">
        <f t="shared" si="67"/>
        <v>2050</v>
      </c>
      <c r="AB314">
        <f t="shared" si="65"/>
        <v>12</v>
      </c>
      <c r="AC314" s="271">
        <f t="shared" si="66"/>
        <v>55123</v>
      </c>
      <c r="AD314" s="44">
        <f>+L314*VLOOKUP($AB314,'Peak Loads - 2022-2024'!$L$4:$M$15,2)</f>
        <v>0</v>
      </c>
      <c r="AE314" s="44">
        <f>+M314*VLOOKUP($AB314,'Peak Loads - 2022-2024'!$L$4:$M$15,2)</f>
        <v>0</v>
      </c>
      <c r="AF314" s="44">
        <f>+K314*VLOOKUP($AB314,'Peak Loads - 2022-2024'!$L$4:$M$15,2)</f>
        <v>0</v>
      </c>
      <c r="AG314" s="44"/>
    </row>
    <row r="315" spans="5:33" x14ac:dyDescent="0.2">
      <c r="E315" s="175"/>
      <c r="H315">
        <f t="shared" si="63"/>
        <v>2051</v>
      </c>
      <c r="I315">
        <f t="shared" si="68"/>
        <v>1</v>
      </c>
      <c r="J315" s="268">
        <v>55154</v>
      </c>
      <c r="K315" s="44">
        <f>+SUMIFS('Monthly Energy Data'!AE$8:AE$595,'Monthly Energy Data'!$D$8:$D$595,'Peak Load Projections'!$H315,'Monthly Energy Data'!$E$8:$E$595,'Peak Load Projections'!$I315)*VLOOKUP($I315,$A$3:$E$14,5)</f>
        <v>0</v>
      </c>
      <c r="L315" s="44">
        <f>+SUMIFS('Monthly Energy Data'!AF$8:AF$595,'Monthly Energy Data'!$D$8:$D$595,'Peak Load Projections'!$H315,'Monthly Energy Data'!$E$8:$E$595,'Peak Load Projections'!$I315)*VLOOKUP($I315,$A$3:$E$14,5)</f>
        <v>0</v>
      </c>
      <c r="M315" s="44">
        <f>+SUMIFS('Monthly Energy Data'!AG$8:AG$595,'Monthly Energy Data'!$D$8:$D$595,'Peak Load Projections'!$H315,'Monthly Energy Data'!$E$8:$E$595,'Peak Load Projections'!$I315)*VLOOKUP($I315,$A$3:$E$14,5)</f>
        <v>0</v>
      </c>
      <c r="N315" s="44">
        <f t="shared" si="64"/>
        <v>0</v>
      </c>
      <c r="O315" s="269" t="str">
        <f t="shared" si="62"/>
        <v>W</v>
      </c>
      <c r="AA315">
        <f t="shared" si="67"/>
        <v>2051</v>
      </c>
      <c r="AB315">
        <f t="shared" si="65"/>
        <v>1</v>
      </c>
      <c r="AC315" s="271">
        <f t="shared" si="66"/>
        <v>55154</v>
      </c>
      <c r="AD315" s="44">
        <f>+L315*VLOOKUP($AB315,'Peak Loads - 2022-2024'!$L$4:$M$15,2)</f>
        <v>0</v>
      </c>
      <c r="AE315" s="44">
        <f>+M315*VLOOKUP($AB315,'Peak Loads - 2022-2024'!$L$4:$M$15,2)</f>
        <v>0</v>
      </c>
      <c r="AF315" s="44">
        <f>+K315*VLOOKUP($AB315,'Peak Loads - 2022-2024'!$L$4:$M$15,2)</f>
        <v>0</v>
      </c>
      <c r="AG315" s="44"/>
    </row>
    <row r="316" spans="5:33" x14ac:dyDescent="0.2">
      <c r="E316" s="175"/>
      <c r="H316">
        <f t="shared" si="63"/>
        <v>2051</v>
      </c>
      <c r="I316">
        <f t="shared" si="68"/>
        <v>2</v>
      </c>
      <c r="J316" s="268">
        <v>55185</v>
      </c>
      <c r="K316" s="44">
        <f>+SUMIFS('Monthly Energy Data'!AE$8:AE$595,'Monthly Energy Data'!$D$8:$D$595,'Peak Load Projections'!$H316,'Monthly Energy Data'!$E$8:$E$595,'Peak Load Projections'!$I316)*VLOOKUP($I316,$A$3:$E$14,5)</f>
        <v>0</v>
      </c>
      <c r="L316" s="44">
        <f>+SUMIFS('Monthly Energy Data'!AF$8:AF$595,'Monthly Energy Data'!$D$8:$D$595,'Peak Load Projections'!$H316,'Monthly Energy Data'!$E$8:$E$595,'Peak Load Projections'!$I316)*VLOOKUP($I316,$A$3:$E$14,5)</f>
        <v>0</v>
      </c>
      <c r="M316" s="44">
        <f>+SUMIFS('Monthly Energy Data'!AG$8:AG$595,'Monthly Energy Data'!$D$8:$D$595,'Peak Load Projections'!$H316,'Monthly Energy Data'!$E$8:$E$595,'Peak Load Projections'!$I316)*VLOOKUP($I316,$A$3:$E$14,5)</f>
        <v>0</v>
      </c>
      <c r="N316" s="44">
        <f t="shared" si="64"/>
        <v>0</v>
      </c>
      <c r="O316" s="269" t="str">
        <f t="shared" si="62"/>
        <v>W</v>
      </c>
      <c r="AA316">
        <f t="shared" si="67"/>
        <v>2051</v>
      </c>
      <c r="AB316">
        <f t="shared" si="65"/>
        <v>2</v>
      </c>
      <c r="AC316" s="271">
        <f t="shared" si="66"/>
        <v>55185</v>
      </c>
      <c r="AD316" s="44">
        <f>+L316*VLOOKUP($AB316,'Peak Loads - 2022-2024'!$L$4:$M$15,2)</f>
        <v>0</v>
      </c>
      <c r="AE316" s="44">
        <f>+M316*VLOOKUP($AB316,'Peak Loads - 2022-2024'!$L$4:$M$15,2)</f>
        <v>0</v>
      </c>
      <c r="AF316" s="44">
        <f>+K316*VLOOKUP($AB316,'Peak Loads - 2022-2024'!$L$4:$M$15,2)</f>
        <v>0</v>
      </c>
      <c r="AG316" s="44"/>
    </row>
    <row r="317" spans="5:33" x14ac:dyDescent="0.2">
      <c r="E317" s="175"/>
      <c r="H317">
        <f t="shared" si="63"/>
        <v>2051</v>
      </c>
      <c r="I317">
        <f t="shared" si="68"/>
        <v>3</v>
      </c>
      <c r="J317" s="268">
        <v>55213</v>
      </c>
      <c r="K317" s="44">
        <f>+SUMIFS('Monthly Energy Data'!AE$8:AE$595,'Monthly Energy Data'!$D$8:$D$595,'Peak Load Projections'!$H317,'Monthly Energy Data'!$E$8:$E$595,'Peak Load Projections'!$I317)*VLOOKUP($I317,$A$3:$E$14,5)</f>
        <v>0</v>
      </c>
      <c r="L317" s="44">
        <f>+SUMIFS('Monthly Energy Data'!AF$8:AF$595,'Monthly Energy Data'!$D$8:$D$595,'Peak Load Projections'!$H317,'Monthly Energy Data'!$E$8:$E$595,'Peak Load Projections'!$I317)*VLOOKUP($I317,$A$3:$E$14,5)</f>
        <v>0</v>
      </c>
      <c r="M317" s="44">
        <f>+SUMIFS('Monthly Energy Data'!AG$8:AG$595,'Monthly Energy Data'!$D$8:$D$595,'Peak Load Projections'!$H317,'Monthly Energy Data'!$E$8:$E$595,'Peak Load Projections'!$I317)*VLOOKUP($I317,$A$3:$E$14,5)</f>
        <v>0</v>
      </c>
      <c r="N317" s="44">
        <f t="shared" si="64"/>
        <v>0</v>
      </c>
      <c r="O317" s="269" t="str">
        <f t="shared" si="62"/>
        <v>W</v>
      </c>
      <c r="AA317">
        <f t="shared" si="67"/>
        <v>2051</v>
      </c>
      <c r="AB317">
        <f t="shared" si="65"/>
        <v>3</v>
      </c>
      <c r="AC317" s="271">
        <f t="shared" si="66"/>
        <v>55213</v>
      </c>
      <c r="AD317" s="44">
        <f>+L317*VLOOKUP($AB317,'Peak Loads - 2022-2024'!$L$4:$M$15,2)</f>
        <v>0</v>
      </c>
      <c r="AE317" s="44">
        <f>+M317*VLOOKUP($AB317,'Peak Loads - 2022-2024'!$L$4:$M$15,2)</f>
        <v>0</v>
      </c>
      <c r="AF317" s="44">
        <f>+K317*VLOOKUP($AB317,'Peak Loads - 2022-2024'!$L$4:$M$15,2)</f>
        <v>0</v>
      </c>
      <c r="AG317" s="44"/>
    </row>
    <row r="318" spans="5:33" x14ac:dyDescent="0.2">
      <c r="E318" s="175"/>
      <c r="H318">
        <f t="shared" si="63"/>
        <v>2051</v>
      </c>
      <c r="I318">
        <f t="shared" si="68"/>
        <v>4</v>
      </c>
      <c r="J318" s="268">
        <v>55244</v>
      </c>
      <c r="K318" s="44">
        <f>+SUMIFS('Monthly Energy Data'!AE$8:AE$595,'Monthly Energy Data'!$D$8:$D$595,'Peak Load Projections'!$H318,'Monthly Energy Data'!$E$8:$E$595,'Peak Load Projections'!$I318)*VLOOKUP($I318,$A$3:$E$14,5)</f>
        <v>0</v>
      </c>
      <c r="L318" s="44">
        <f>+SUMIFS('Monthly Energy Data'!AF$8:AF$595,'Monthly Energy Data'!$D$8:$D$595,'Peak Load Projections'!$H318,'Monthly Energy Data'!$E$8:$E$595,'Peak Load Projections'!$I318)*VLOOKUP($I318,$A$3:$E$14,5)</f>
        <v>0</v>
      </c>
      <c r="M318" s="44">
        <f>+SUMIFS('Monthly Energy Data'!AG$8:AG$595,'Monthly Energy Data'!$D$8:$D$595,'Peak Load Projections'!$H318,'Monthly Energy Data'!$E$8:$E$595,'Peak Load Projections'!$I318)*VLOOKUP($I318,$A$3:$E$14,5)</f>
        <v>0</v>
      </c>
      <c r="N318" s="44">
        <f t="shared" si="64"/>
        <v>0</v>
      </c>
      <c r="O318" s="269" t="str">
        <f t="shared" si="62"/>
        <v>W</v>
      </c>
      <c r="AA318">
        <f t="shared" si="67"/>
        <v>2051</v>
      </c>
      <c r="AB318">
        <f t="shared" si="65"/>
        <v>4</v>
      </c>
      <c r="AC318" s="271">
        <f t="shared" si="66"/>
        <v>55244</v>
      </c>
      <c r="AD318" s="44">
        <f>+L318*VLOOKUP($AB318,'Peak Loads - 2022-2024'!$L$4:$M$15,2)</f>
        <v>0</v>
      </c>
      <c r="AE318" s="44">
        <f>+M318*VLOOKUP($AB318,'Peak Loads - 2022-2024'!$L$4:$M$15,2)</f>
        <v>0</v>
      </c>
      <c r="AF318" s="44">
        <f>+K318*VLOOKUP($AB318,'Peak Loads - 2022-2024'!$L$4:$M$15,2)</f>
        <v>0</v>
      </c>
      <c r="AG318" s="44"/>
    </row>
    <row r="319" spans="5:33" x14ac:dyDescent="0.2">
      <c r="E319" s="175"/>
      <c r="H319">
        <f t="shared" si="63"/>
        <v>2051</v>
      </c>
      <c r="I319">
        <f t="shared" si="68"/>
        <v>5</v>
      </c>
      <c r="J319" s="268">
        <v>55274</v>
      </c>
      <c r="K319" s="44">
        <f>+SUMIFS('Monthly Energy Data'!AE$8:AE$595,'Monthly Energy Data'!$D$8:$D$595,'Peak Load Projections'!$H319,'Monthly Energy Data'!$E$8:$E$595,'Peak Load Projections'!$I319)*VLOOKUP($I319,$A$3:$E$14,5)</f>
        <v>0</v>
      </c>
      <c r="L319" s="44">
        <f>+SUMIFS('Monthly Energy Data'!AF$8:AF$595,'Monthly Energy Data'!$D$8:$D$595,'Peak Load Projections'!$H319,'Monthly Energy Data'!$E$8:$E$595,'Peak Load Projections'!$I319)*VLOOKUP($I319,$A$3:$E$14,5)</f>
        <v>0</v>
      </c>
      <c r="M319" s="44">
        <f>+SUMIFS('Monthly Energy Data'!AG$8:AG$595,'Monthly Energy Data'!$D$8:$D$595,'Peak Load Projections'!$H319,'Monthly Energy Data'!$E$8:$E$595,'Peak Load Projections'!$I319)*VLOOKUP($I319,$A$3:$E$14,5)</f>
        <v>0</v>
      </c>
      <c r="N319" s="44">
        <f t="shared" si="64"/>
        <v>0</v>
      </c>
      <c r="O319" s="269" t="str">
        <f t="shared" si="62"/>
        <v>W</v>
      </c>
      <c r="AA319">
        <f t="shared" si="67"/>
        <v>2051</v>
      </c>
      <c r="AB319">
        <f t="shared" si="65"/>
        <v>5</v>
      </c>
      <c r="AC319" s="271">
        <f t="shared" si="66"/>
        <v>55274</v>
      </c>
      <c r="AD319" s="44">
        <f>+L319*VLOOKUP($AB319,'Peak Loads - 2022-2024'!$L$4:$M$15,2)</f>
        <v>0</v>
      </c>
      <c r="AE319" s="44">
        <f>+M319*VLOOKUP($AB319,'Peak Loads - 2022-2024'!$L$4:$M$15,2)</f>
        <v>0</v>
      </c>
      <c r="AF319" s="44">
        <f>+K319*VLOOKUP($AB319,'Peak Loads - 2022-2024'!$L$4:$M$15,2)</f>
        <v>0</v>
      </c>
      <c r="AG319" s="44"/>
    </row>
    <row r="320" spans="5:33" x14ac:dyDescent="0.2">
      <c r="E320" s="175"/>
      <c r="H320">
        <f t="shared" si="63"/>
        <v>2051</v>
      </c>
      <c r="I320">
        <f t="shared" si="68"/>
        <v>6</v>
      </c>
      <c r="J320" s="268">
        <v>55305</v>
      </c>
      <c r="K320" s="44">
        <f>+SUMIFS('Monthly Energy Data'!AE$8:AE$595,'Monthly Energy Data'!$D$8:$D$595,'Peak Load Projections'!$H320,'Monthly Energy Data'!$E$8:$E$595,'Peak Load Projections'!$I320)*VLOOKUP($I320,$A$3:$E$14,5)</f>
        <v>0</v>
      </c>
      <c r="L320" s="44">
        <f>+SUMIFS('Monthly Energy Data'!AF$8:AF$595,'Monthly Energy Data'!$D$8:$D$595,'Peak Load Projections'!$H320,'Monthly Energy Data'!$E$8:$E$595,'Peak Load Projections'!$I320)*VLOOKUP($I320,$A$3:$E$14,5)</f>
        <v>0</v>
      </c>
      <c r="M320" s="44">
        <f>+SUMIFS('Monthly Energy Data'!AG$8:AG$595,'Monthly Energy Data'!$D$8:$D$595,'Peak Load Projections'!$H320,'Monthly Energy Data'!$E$8:$E$595,'Peak Load Projections'!$I320)*VLOOKUP($I320,$A$3:$E$14,5)</f>
        <v>0</v>
      </c>
      <c r="N320" s="44">
        <f t="shared" si="64"/>
        <v>0</v>
      </c>
      <c r="O320" s="269" t="str">
        <f t="shared" si="62"/>
        <v>S</v>
      </c>
      <c r="AA320">
        <f t="shared" si="67"/>
        <v>2051</v>
      </c>
      <c r="AB320">
        <f t="shared" si="65"/>
        <v>6</v>
      </c>
      <c r="AC320" s="271">
        <f t="shared" si="66"/>
        <v>55305</v>
      </c>
      <c r="AD320" s="44">
        <f>+L320*VLOOKUP($AB320,'Peak Loads - 2022-2024'!$L$4:$M$15,2)</f>
        <v>0</v>
      </c>
      <c r="AE320" s="44">
        <f>+M320*VLOOKUP($AB320,'Peak Loads - 2022-2024'!$L$4:$M$15,2)</f>
        <v>0</v>
      </c>
      <c r="AF320" s="44">
        <f>+K320*VLOOKUP($AB320,'Peak Loads - 2022-2024'!$L$4:$M$15,2)</f>
        <v>0</v>
      </c>
      <c r="AG320" s="44"/>
    </row>
    <row r="321" spans="5:33" x14ac:dyDescent="0.2">
      <c r="E321" s="175"/>
      <c r="H321">
        <f t="shared" si="63"/>
        <v>2051</v>
      </c>
      <c r="I321">
        <f t="shared" si="68"/>
        <v>7</v>
      </c>
      <c r="J321" s="268">
        <v>55335</v>
      </c>
      <c r="K321" s="44">
        <f>+SUMIFS('Monthly Energy Data'!AE$8:AE$595,'Monthly Energy Data'!$D$8:$D$595,'Peak Load Projections'!$H321,'Monthly Energy Data'!$E$8:$E$595,'Peak Load Projections'!$I321)*VLOOKUP($I321,$A$3:$E$14,5)</f>
        <v>0</v>
      </c>
      <c r="L321" s="44">
        <f>+SUMIFS('Monthly Energy Data'!AF$8:AF$595,'Monthly Energy Data'!$D$8:$D$595,'Peak Load Projections'!$H321,'Monthly Energy Data'!$E$8:$E$595,'Peak Load Projections'!$I321)*VLOOKUP($I321,$A$3:$E$14,5)</f>
        <v>0</v>
      </c>
      <c r="M321" s="44">
        <f>+SUMIFS('Monthly Energy Data'!AG$8:AG$595,'Monthly Energy Data'!$D$8:$D$595,'Peak Load Projections'!$H321,'Monthly Energy Data'!$E$8:$E$595,'Peak Load Projections'!$I321)*VLOOKUP($I321,$A$3:$E$14,5)</f>
        <v>0</v>
      </c>
      <c r="N321" s="44">
        <f t="shared" si="64"/>
        <v>0</v>
      </c>
      <c r="O321" s="269" t="str">
        <f t="shared" si="62"/>
        <v>S</v>
      </c>
      <c r="AA321">
        <f t="shared" si="67"/>
        <v>2051</v>
      </c>
      <c r="AB321">
        <f t="shared" si="65"/>
        <v>7</v>
      </c>
      <c r="AC321" s="271">
        <f t="shared" si="66"/>
        <v>55335</v>
      </c>
      <c r="AD321" s="44">
        <f>+L321*VLOOKUP($AB321,'Peak Loads - 2022-2024'!$L$4:$M$15,2)</f>
        <v>0</v>
      </c>
      <c r="AE321" s="44">
        <f>+M321*VLOOKUP($AB321,'Peak Loads - 2022-2024'!$L$4:$M$15,2)</f>
        <v>0</v>
      </c>
      <c r="AF321" s="44">
        <f>+K321*VLOOKUP($AB321,'Peak Loads - 2022-2024'!$L$4:$M$15,2)</f>
        <v>0</v>
      </c>
      <c r="AG321" s="44"/>
    </row>
    <row r="322" spans="5:33" x14ac:dyDescent="0.2">
      <c r="E322" s="175"/>
      <c r="H322">
        <f t="shared" si="63"/>
        <v>2051</v>
      </c>
      <c r="I322">
        <f t="shared" si="68"/>
        <v>8</v>
      </c>
      <c r="J322" s="268">
        <v>55366</v>
      </c>
      <c r="K322" s="44">
        <f>+SUMIFS('Monthly Energy Data'!AE$8:AE$595,'Monthly Energy Data'!$D$8:$D$595,'Peak Load Projections'!$H322,'Monthly Energy Data'!$E$8:$E$595,'Peak Load Projections'!$I322)*VLOOKUP($I322,$A$3:$E$14,5)</f>
        <v>0</v>
      </c>
      <c r="L322" s="44">
        <f>+SUMIFS('Monthly Energy Data'!AF$8:AF$595,'Monthly Energy Data'!$D$8:$D$595,'Peak Load Projections'!$H322,'Monthly Energy Data'!$E$8:$E$595,'Peak Load Projections'!$I322)*VLOOKUP($I322,$A$3:$E$14,5)</f>
        <v>0</v>
      </c>
      <c r="M322" s="44">
        <f>+SUMIFS('Monthly Energy Data'!AG$8:AG$595,'Monthly Energy Data'!$D$8:$D$595,'Peak Load Projections'!$H322,'Monthly Energy Data'!$E$8:$E$595,'Peak Load Projections'!$I322)*VLOOKUP($I322,$A$3:$E$14,5)</f>
        <v>0</v>
      </c>
      <c r="N322" s="44">
        <f t="shared" si="64"/>
        <v>0</v>
      </c>
      <c r="O322" s="269" t="str">
        <f t="shared" si="62"/>
        <v>S</v>
      </c>
      <c r="AA322">
        <f t="shared" si="67"/>
        <v>2051</v>
      </c>
      <c r="AB322">
        <f t="shared" si="65"/>
        <v>8</v>
      </c>
      <c r="AC322" s="271">
        <f t="shared" si="66"/>
        <v>55366</v>
      </c>
      <c r="AD322" s="44">
        <f>+L322*VLOOKUP($AB322,'Peak Loads - 2022-2024'!$L$4:$M$15,2)</f>
        <v>0</v>
      </c>
      <c r="AE322" s="44">
        <f>+M322*VLOOKUP($AB322,'Peak Loads - 2022-2024'!$L$4:$M$15,2)</f>
        <v>0</v>
      </c>
      <c r="AF322" s="44">
        <f>+K322*VLOOKUP($AB322,'Peak Loads - 2022-2024'!$L$4:$M$15,2)</f>
        <v>0</v>
      </c>
      <c r="AG322" s="44"/>
    </row>
    <row r="323" spans="5:33" x14ac:dyDescent="0.2">
      <c r="E323" s="175"/>
      <c r="H323">
        <f t="shared" si="63"/>
        <v>2051</v>
      </c>
      <c r="I323">
        <f t="shared" si="68"/>
        <v>9</v>
      </c>
      <c r="J323" s="268">
        <v>55397</v>
      </c>
      <c r="K323" s="44">
        <f>+SUMIFS('Monthly Energy Data'!AE$8:AE$595,'Monthly Energy Data'!$D$8:$D$595,'Peak Load Projections'!$H323,'Monthly Energy Data'!$E$8:$E$595,'Peak Load Projections'!$I323)*VLOOKUP($I323,$A$3:$E$14,5)</f>
        <v>0</v>
      </c>
      <c r="L323" s="44">
        <f>+SUMIFS('Monthly Energy Data'!AF$8:AF$595,'Monthly Energy Data'!$D$8:$D$595,'Peak Load Projections'!$H323,'Monthly Energy Data'!$E$8:$E$595,'Peak Load Projections'!$I323)*VLOOKUP($I323,$A$3:$E$14,5)</f>
        <v>0</v>
      </c>
      <c r="M323" s="44">
        <f>+SUMIFS('Monthly Energy Data'!AG$8:AG$595,'Monthly Energy Data'!$D$8:$D$595,'Peak Load Projections'!$H323,'Monthly Energy Data'!$E$8:$E$595,'Peak Load Projections'!$I323)*VLOOKUP($I323,$A$3:$E$14,5)</f>
        <v>0</v>
      </c>
      <c r="N323" s="44">
        <f t="shared" si="64"/>
        <v>0</v>
      </c>
      <c r="O323" s="269" t="str">
        <f t="shared" ref="O323:O374" si="69">+IF(I323&lt;6,"W",IF(I323&gt;9,"W","S"))</f>
        <v>S</v>
      </c>
      <c r="AA323">
        <f t="shared" si="67"/>
        <v>2051</v>
      </c>
      <c r="AB323">
        <f t="shared" si="65"/>
        <v>9</v>
      </c>
      <c r="AC323" s="271">
        <f t="shared" si="66"/>
        <v>55397</v>
      </c>
      <c r="AD323" s="44">
        <f>+L323*VLOOKUP($AB323,'Peak Loads - 2022-2024'!$L$4:$M$15,2)</f>
        <v>0</v>
      </c>
      <c r="AE323" s="44">
        <f>+M323*VLOOKUP($AB323,'Peak Loads - 2022-2024'!$L$4:$M$15,2)</f>
        <v>0</v>
      </c>
      <c r="AF323" s="44">
        <f>+K323*VLOOKUP($AB323,'Peak Loads - 2022-2024'!$L$4:$M$15,2)</f>
        <v>0</v>
      </c>
      <c r="AG323" s="44"/>
    </row>
    <row r="324" spans="5:33" x14ac:dyDescent="0.2">
      <c r="E324" s="175"/>
      <c r="H324">
        <f t="shared" ref="H324:H374" si="70">+YEAR(J324)</f>
        <v>2051</v>
      </c>
      <c r="I324">
        <f t="shared" si="68"/>
        <v>10</v>
      </c>
      <c r="J324" s="268">
        <v>55427</v>
      </c>
      <c r="K324" s="44">
        <f>+SUMIFS('Monthly Energy Data'!AE$8:AE$595,'Monthly Energy Data'!$D$8:$D$595,'Peak Load Projections'!$H324,'Monthly Energy Data'!$E$8:$E$595,'Peak Load Projections'!$I324)*VLOOKUP($I324,$A$3:$E$14,5)</f>
        <v>0</v>
      </c>
      <c r="L324" s="44">
        <f>+SUMIFS('Monthly Energy Data'!AF$8:AF$595,'Monthly Energy Data'!$D$8:$D$595,'Peak Load Projections'!$H324,'Monthly Energy Data'!$E$8:$E$595,'Peak Load Projections'!$I324)*VLOOKUP($I324,$A$3:$E$14,5)</f>
        <v>0</v>
      </c>
      <c r="M324" s="44">
        <f>+SUMIFS('Monthly Energy Data'!AG$8:AG$595,'Monthly Energy Data'!$D$8:$D$595,'Peak Load Projections'!$H324,'Monthly Energy Data'!$E$8:$E$595,'Peak Load Projections'!$I324)*VLOOKUP($I324,$A$3:$E$14,5)</f>
        <v>0</v>
      </c>
      <c r="N324" s="44">
        <f t="shared" ref="N324:N374" si="71">+(MIN(K324:M324)+MAX(K324:M324))/2</f>
        <v>0</v>
      </c>
      <c r="O324" s="269" t="str">
        <f t="shared" si="69"/>
        <v>W</v>
      </c>
      <c r="AA324">
        <f t="shared" si="67"/>
        <v>2051</v>
      </c>
      <c r="AB324">
        <f t="shared" ref="AB324:AB374" si="72">+I324</f>
        <v>10</v>
      </c>
      <c r="AC324" s="271">
        <f t="shared" ref="AC324:AC374" si="73">+J324</f>
        <v>55427</v>
      </c>
      <c r="AD324" s="44">
        <f>+L324*VLOOKUP($AB324,'Peak Loads - 2022-2024'!$L$4:$M$15,2)</f>
        <v>0</v>
      </c>
      <c r="AE324" s="44">
        <f>+M324*VLOOKUP($AB324,'Peak Loads - 2022-2024'!$L$4:$M$15,2)</f>
        <v>0</v>
      </c>
      <c r="AF324" s="44">
        <f>+K324*VLOOKUP($AB324,'Peak Loads - 2022-2024'!$L$4:$M$15,2)</f>
        <v>0</v>
      </c>
      <c r="AG324" s="44"/>
    </row>
    <row r="325" spans="5:33" x14ac:dyDescent="0.2">
      <c r="E325" s="175"/>
      <c r="H325">
        <f t="shared" si="70"/>
        <v>2051</v>
      </c>
      <c r="I325">
        <f t="shared" si="68"/>
        <v>11</v>
      </c>
      <c r="J325" s="268">
        <v>55458</v>
      </c>
      <c r="K325" s="44">
        <f>+SUMIFS('Monthly Energy Data'!AE$8:AE$595,'Monthly Energy Data'!$D$8:$D$595,'Peak Load Projections'!$H325,'Monthly Energy Data'!$E$8:$E$595,'Peak Load Projections'!$I325)*VLOOKUP($I325,$A$3:$E$14,5)</f>
        <v>0</v>
      </c>
      <c r="L325" s="44">
        <f>+SUMIFS('Monthly Energy Data'!AF$8:AF$595,'Monthly Energy Data'!$D$8:$D$595,'Peak Load Projections'!$H325,'Monthly Energy Data'!$E$8:$E$595,'Peak Load Projections'!$I325)*VLOOKUP($I325,$A$3:$E$14,5)</f>
        <v>0</v>
      </c>
      <c r="M325" s="44">
        <f>+SUMIFS('Monthly Energy Data'!AG$8:AG$595,'Monthly Energy Data'!$D$8:$D$595,'Peak Load Projections'!$H325,'Monthly Energy Data'!$E$8:$E$595,'Peak Load Projections'!$I325)*VLOOKUP($I325,$A$3:$E$14,5)</f>
        <v>0</v>
      </c>
      <c r="N325" s="44">
        <f t="shared" si="71"/>
        <v>0</v>
      </c>
      <c r="O325" s="269" t="str">
        <f t="shared" si="69"/>
        <v>W</v>
      </c>
      <c r="AA325">
        <f t="shared" si="67"/>
        <v>2051</v>
      </c>
      <c r="AB325">
        <f t="shared" si="72"/>
        <v>11</v>
      </c>
      <c r="AC325" s="271">
        <f t="shared" si="73"/>
        <v>55458</v>
      </c>
      <c r="AD325" s="44">
        <f>+L325*VLOOKUP($AB325,'Peak Loads - 2022-2024'!$L$4:$M$15,2)</f>
        <v>0</v>
      </c>
      <c r="AE325" s="44">
        <f>+M325*VLOOKUP($AB325,'Peak Loads - 2022-2024'!$L$4:$M$15,2)</f>
        <v>0</v>
      </c>
      <c r="AF325" s="44">
        <f>+K325*VLOOKUP($AB325,'Peak Loads - 2022-2024'!$L$4:$M$15,2)</f>
        <v>0</v>
      </c>
      <c r="AG325" s="44"/>
    </row>
    <row r="326" spans="5:33" x14ac:dyDescent="0.2">
      <c r="E326" s="175"/>
      <c r="H326">
        <f t="shared" si="70"/>
        <v>2051</v>
      </c>
      <c r="I326">
        <f t="shared" si="68"/>
        <v>12</v>
      </c>
      <c r="J326" s="268">
        <v>55488</v>
      </c>
      <c r="K326" s="44">
        <f>+SUMIFS('Monthly Energy Data'!AE$8:AE$595,'Monthly Energy Data'!$D$8:$D$595,'Peak Load Projections'!$H326,'Monthly Energy Data'!$E$8:$E$595,'Peak Load Projections'!$I326)*VLOOKUP($I326,$A$3:$E$14,5)</f>
        <v>0</v>
      </c>
      <c r="L326" s="44">
        <f>+SUMIFS('Monthly Energy Data'!AF$8:AF$595,'Monthly Energy Data'!$D$8:$D$595,'Peak Load Projections'!$H326,'Monthly Energy Data'!$E$8:$E$595,'Peak Load Projections'!$I326)*VLOOKUP($I326,$A$3:$E$14,5)</f>
        <v>0</v>
      </c>
      <c r="M326" s="44">
        <f>+SUMIFS('Monthly Energy Data'!AG$8:AG$595,'Monthly Energy Data'!$D$8:$D$595,'Peak Load Projections'!$H326,'Monthly Energy Data'!$E$8:$E$595,'Peak Load Projections'!$I326)*VLOOKUP($I326,$A$3:$E$14,5)</f>
        <v>0</v>
      </c>
      <c r="N326" s="44">
        <f t="shared" si="71"/>
        <v>0</v>
      </c>
      <c r="O326" s="269" t="str">
        <f t="shared" si="69"/>
        <v>W</v>
      </c>
      <c r="AA326">
        <f t="shared" si="67"/>
        <v>2051</v>
      </c>
      <c r="AB326">
        <f t="shared" si="72"/>
        <v>12</v>
      </c>
      <c r="AC326" s="271">
        <f t="shared" si="73"/>
        <v>55488</v>
      </c>
      <c r="AD326" s="44">
        <f>+L326*VLOOKUP($AB326,'Peak Loads - 2022-2024'!$L$4:$M$15,2)</f>
        <v>0</v>
      </c>
      <c r="AE326" s="44">
        <f>+M326*VLOOKUP($AB326,'Peak Loads - 2022-2024'!$L$4:$M$15,2)</f>
        <v>0</v>
      </c>
      <c r="AF326" s="44">
        <f>+K326*VLOOKUP($AB326,'Peak Loads - 2022-2024'!$L$4:$M$15,2)</f>
        <v>0</v>
      </c>
      <c r="AG326" s="44"/>
    </row>
    <row r="327" spans="5:33" x14ac:dyDescent="0.2">
      <c r="E327" s="175"/>
      <c r="H327">
        <f t="shared" si="70"/>
        <v>2052</v>
      </c>
      <c r="I327">
        <f t="shared" si="68"/>
        <v>1</v>
      </c>
      <c r="J327" s="268">
        <v>55519</v>
      </c>
      <c r="K327" s="44">
        <f>+SUMIFS('Monthly Energy Data'!AE$8:AE$595,'Monthly Energy Data'!$D$8:$D$595,'Peak Load Projections'!$H327,'Monthly Energy Data'!$E$8:$E$595,'Peak Load Projections'!$I327)*VLOOKUP($I327,$A$3:$E$14,5)</f>
        <v>0</v>
      </c>
      <c r="L327" s="44">
        <f>+SUMIFS('Monthly Energy Data'!AF$8:AF$595,'Monthly Energy Data'!$D$8:$D$595,'Peak Load Projections'!$H327,'Monthly Energy Data'!$E$8:$E$595,'Peak Load Projections'!$I327)*VLOOKUP($I327,$A$3:$E$14,5)</f>
        <v>0</v>
      </c>
      <c r="M327" s="44">
        <f>+SUMIFS('Monthly Energy Data'!AG$8:AG$595,'Monthly Energy Data'!$D$8:$D$595,'Peak Load Projections'!$H327,'Monthly Energy Data'!$E$8:$E$595,'Peak Load Projections'!$I327)*VLOOKUP($I327,$A$3:$E$14,5)</f>
        <v>0</v>
      </c>
      <c r="N327" s="44">
        <f t="shared" si="71"/>
        <v>0</v>
      </c>
      <c r="O327" s="269" t="str">
        <f t="shared" si="69"/>
        <v>W</v>
      </c>
      <c r="AA327">
        <f t="shared" si="67"/>
        <v>2052</v>
      </c>
      <c r="AB327">
        <f t="shared" si="72"/>
        <v>1</v>
      </c>
      <c r="AC327" s="271">
        <f t="shared" si="73"/>
        <v>55519</v>
      </c>
      <c r="AD327" s="44">
        <f>+L327*VLOOKUP($AB327,'Peak Loads - 2022-2024'!$L$4:$M$15,2)</f>
        <v>0</v>
      </c>
      <c r="AE327" s="44">
        <f>+M327*VLOOKUP($AB327,'Peak Loads - 2022-2024'!$L$4:$M$15,2)</f>
        <v>0</v>
      </c>
      <c r="AF327" s="44">
        <f>+K327*VLOOKUP($AB327,'Peak Loads - 2022-2024'!$L$4:$M$15,2)</f>
        <v>0</v>
      </c>
      <c r="AG327" s="44"/>
    </row>
    <row r="328" spans="5:33" x14ac:dyDescent="0.2">
      <c r="E328" s="175"/>
      <c r="H328">
        <f t="shared" si="70"/>
        <v>2052</v>
      </c>
      <c r="I328">
        <f t="shared" si="68"/>
        <v>2</v>
      </c>
      <c r="J328" s="268">
        <v>55550</v>
      </c>
      <c r="K328" s="44">
        <f>+SUMIFS('Monthly Energy Data'!AE$8:AE$595,'Monthly Energy Data'!$D$8:$D$595,'Peak Load Projections'!$H328,'Monthly Energy Data'!$E$8:$E$595,'Peak Load Projections'!$I328)*VLOOKUP($I328,$A$3:$E$14,5)</f>
        <v>0</v>
      </c>
      <c r="L328" s="44">
        <f>+SUMIFS('Monthly Energy Data'!AF$8:AF$595,'Monthly Energy Data'!$D$8:$D$595,'Peak Load Projections'!$H328,'Monthly Energy Data'!$E$8:$E$595,'Peak Load Projections'!$I328)*VLOOKUP($I328,$A$3:$E$14,5)</f>
        <v>0</v>
      </c>
      <c r="M328" s="44">
        <f>+SUMIFS('Monthly Energy Data'!AG$8:AG$595,'Monthly Energy Data'!$D$8:$D$595,'Peak Load Projections'!$H328,'Monthly Energy Data'!$E$8:$E$595,'Peak Load Projections'!$I328)*VLOOKUP($I328,$A$3:$E$14,5)</f>
        <v>0</v>
      </c>
      <c r="N328" s="44">
        <f t="shared" si="71"/>
        <v>0</v>
      </c>
      <c r="O328" s="269" t="str">
        <f t="shared" si="69"/>
        <v>W</v>
      </c>
      <c r="AA328">
        <f t="shared" si="67"/>
        <v>2052</v>
      </c>
      <c r="AB328">
        <f t="shared" si="72"/>
        <v>2</v>
      </c>
      <c r="AC328" s="271">
        <f t="shared" si="73"/>
        <v>55550</v>
      </c>
      <c r="AD328" s="44">
        <f>+L328*VLOOKUP($AB328,'Peak Loads - 2022-2024'!$L$4:$M$15,2)</f>
        <v>0</v>
      </c>
      <c r="AE328" s="44">
        <f>+M328*VLOOKUP($AB328,'Peak Loads - 2022-2024'!$L$4:$M$15,2)</f>
        <v>0</v>
      </c>
      <c r="AF328" s="44">
        <f>+K328*VLOOKUP($AB328,'Peak Loads - 2022-2024'!$L$4:$M$15,2)</f>
        <v>0</v>
      </c>
      <c r="AG328" s="44"/>
    </row>
    <row r="329" spans="5:33" x14ac:dyDescent="0.2">
      <c r="E329" s="175"/>
      <c r="H329">
        <f t="shared" si="70"/>
        <v>2052</v>
      </c>
      <c r="I329">
        <f t="shared" si="68"/>
        <v>3</v>
      </c>
      <c r="J329" s="268">
        <v>55579</v>
      </c>
      <c r="K329" s="44">
        <f>+SUMIFS('Monthly Energy Data'!AE$8:AE$595,'Monthly Energy Data'!$D$8:$D$595,'Peak Load Projections'!$H329,'Monthly Energy Data'!$E$8:$E$595,'Peak Load Projections'!$I329)*VLOOKUP($I329,$A$3:$E$14,5)</f>
        <v>0</v>
      </c>
      <c r="L329" s="44">
        <f>+SUMIFS('Monthly Energy Data'!AF$8:AF$595,'Monthly Energy Data'!$D$8:$D$595,'Peak Load Projections'!$H329,'Monthly Energy Data'!$E$8:$E$595,'Peak Load Projections'!$I329)*VLOOKUP($I329,$A$3:$E$14,5)</f>
        <v>0</v>
      </c>
      <c r="M329" s="44">
        <f>+SUMIFS('Monthly Energy Data'!AG$8:AG$595,'Monthly Energy Data'!$D$8:$D$595,'Peak Load Projections'!$H329,'Monthly Energy Data'!$E$8:$E$595,'Peak Load Projections'!$I329)*VLOOKUP($I329,$A$3:$E$14,5)</f>
        <v>0</v>
      </c>
      <c r="N329" s="44">
        <f t="shared" si="71"/>
        <v>0</v>
      </c>
      <c r="O329" s="269" t="str">
        <f t="shared" si="69"/>
        <v>W</v>
      </c>
      <c r="AA329">
        <f t="shared" si="67"/>
        <v>2052</v>
      </c>
      <c r="AB329">
        <f t="shared" si="72"/>
        <v>3</v>
      </c>
      <c r="AC329" s="271">
        <f t="shared" si="73"/>
        <v>55579</v>
      </c>
      <c r="AD329" s="44">
        <f>+L329*VLOOKUP($AB329,'Peak Loads - 2022-2024'!$L$4:$M$15,2)</f>
        <v>0</v>
      </c>
      <c r="AE329" s="44">
        <f>+M329*VLOOKUP($AB329,'Peak Loads - 2022-2024'!$L$4:$M$15,2)</f>
        <v>0</v>
      </c>
      <c r="AF329" s="44">
        <f>+K329*VLOOKUP($AB329,'Peak Loads - 2022-2024'!$L$4:$M$15,2)</f>
        <v>0</v>
      </c>
      <c r="AG329" s="44"/>
    </row>
    <row r="330" spans="5:33" x14ac:dyDescent="0.2">
      <c r="E330" s="175"/>
      <c r="H330">
        <f t="shared" si="70"/>
        <v>2052</v>
      </c>
      <c r="I330">
        <f t="shared" si="68"/>
        <v>4</v>
      </c>
      <c r="J330" s="268">
        <v>55610</v>
      </c>
      <c r="K330" s="44">
        <f>+SUMIFS('Monthly Energy Data'!AE$8:AE$595,'Monthly Energy Data'!$D$8:$D$595,'Peak Load Projections'!$H330,'Monthly Energy Data'!$E$8:$E$595,'Peak Load Projections'!$I330)*VLOOKUP($I330,$A$3:$E$14,5)</f>
        <v>0</v>
      </c>
      <c r="L330" s="44">
        <f>+SUMIFS('Monthly Energy Data'!AF$8:AF$595,'Monthly Energy Data'!$D$8:$D$595,'Peak Load Projections'!$H330,'Monthly Energy Data'!$E$8:$E$595,'Peak Load Projections'!$I330)*VLOOKUP($I330,$A$3:$E$14,5)</f>
        <v>0</v>
      </c>
      <c r="M330" s="44">
        <f>+SUMIFS('Monthly Energy Data'!AG$8:AG$595,'Monthly Energy Data'!$D$8:$D$595,'Peak Load Projections'!$H330,'Monthly Energy Data'!$E$8:$E$595,'Peak Load Projections'!$I330)*VLOOKUP($I330,$A$3:$E$14,5)</f>
        <v>0</v>
      </c>
      <c r="N330" s="44">
        <f t="shared" si="71"/>
        <v>0</v>
      </c>
      <c r="O330" s="269" t="str">
        <f t="shared" si="69"/>
        <v>W</v>
      </c>
      <c r="AA330">
        <f t="shared" si="67"/>
        <v>2052</v>
      </c>
      <c r="AB330">
        <f t="shared" si="72"/>
        <v>4</v>
      </c>
      <c r="AC330" s="271">
        <f t="shared" si="73"/>
        <v>55610</v>
      </c>
      <c r="AD330" s="44">
        <f>+L330*VLOOKUP($AB330,'Peak Loads - 2022-2024'!$L$4:$M$15,2)</f>
        <v>0</v>
      </c>
      <c r="AE330" s="44">
        <f>+M330*VLOOKUP($AB330,'Peak Loads - 2022-2024'!$L$4:$M$15,2)</f>
        <v>0</v>
      </c>
      <c r="AF330" s="44">
        <f>+K330*VLOOKUP($AB330,'Peak Loads - 2022-2024'!$L$4:$M$15,2)</f>
        <v>0</v>
      </c>
      <c r="AG330" s="44"/>
    </row>
    <row r="331" spans="5:33" x14ac:dyDescent="0.2">
      <c r="E331" s="175"/>
      <c r="H331">
        <f t="shared" si="70"/>
        <v>2052</v>
      </c>
      <c r="I331">
        <f t="shared" si="68"/>
        <v>5</v>
      </c>
      <c r="J331" s="268">
        <v>55640</v>
      </c>
      <c r="K331" s="44">
        <f>+SUMIFS('Monthly Energy Data'!AE$8:AE$595,'Monthly Energy Data'!$D$8:$D$595,'Peak Load Projections'!$H331,'Monthly Energy Data'!$E$8:$E$595,'Peak Load Projections'!$I331)*VLOOKUP($I331,$A$3:$E$14,5)</f>
        <v>0</v>
      </c>
      <c r="L331" s="44">
        <f>+SUMIFS('Monthly Energy Data'!AF$8:AF$595,'Monthly Energy Data'!$D$8:$D$595,'Peak Load Projections'!$H331,'Monthly Energy Data'!$E$8:$E$595,'Peak Load Projections'!$I331)*VLOOKUP($I331,$A$3:$E$14,5)</f>
        <v>0</v>
      </c>
      <c r="M331" s="44">
        <f>+SUMIFS('Monthly Energy Data'!AG$8:AG$595,'Monthly Energy Data'!$D$8:$D$595,'Peak Load Projections'!$H331,'Monthly Energy Data'!$E$8:$E$595,'Peak Load Projections'!$I331)*VLOOKUP($I331,$A$3:$E$14,5)</f>
        <v>0</v>
      </c>
      <c r="N331" s="44">
        <f t="shared" si="71"/>
        <v>0</v>
      </c>
      <c r="O331" s="269" t="str">
        <f t="shared" si="69"/>
        <v>W</v>
      </c>
      <c r="AA331">
        <f t="shared" si="67"/>
        <v>2052</v>
      </c>
      <c r="AB331">
        <f t="shared" si="72"/>
        <v>5</v>
      </c>
      <c r="AC331" s="271">
        <f t="shared" si="73"/>
        <v>55640</v>
      </c>
      <c r="AD331" s="44">
        <f>+L331*VLOOKUP($AB331,'Peak Loads - 2022-2024'!$L$4:$M$15,2)</f>
        <v>0</v>
      </c>
      <c r="AE331" s="44">
        <f>+M331*VLOOKUP($AB331,'Peak Loads - 2022-2024'!$L$4:$M$15,2)</f>
        <v>0</v>
      </c>
      <c r="AF331" s="44">
        <f>+K331*VLOOKUP($AB331,'Peak Loads - 2022-2024'!$L$4:$M$15,2)</f>
        <v>0</v>
      </c>
      <c r="AG331" s="44"/>
    </row>
    <row r="332" spans="5:33" x14ac:dyDescent="0.2">
      <c r="E332" s="175"/>
      <c r="H332">
        <f t="shared" si="70"/>
        <v>2052</v>
      </c>
      <c r="I332">
        <f t="shared" si="68"/>
        <v>6</v>
      </c>
      <c r="J332" s="268">
        <v>55671</v>
      </c>
      <c r="K332" s="44">
        <f>+SUMIFS('Monthly Energy Data'!AE$8:AE$595,'Monthly Energy Data'!$D$8:$D$595,'Peak Load Projections'!$H332,'Monthly Energy Data'!$E$8:$E$595,'Peak Load Projections'!$I332)*VLOOKUP($I332,$A$3:$E$14,5)</f>
        <v>0</v>
      </c>
      <c r="L332" s="44">
        <f>+SUMIFS('Monthly Energy Data'!AF$8:AF$595,'Monthly Energy Data'!$D$8:$D$595,'Peak Load Projections'!$H332,'Monthly Energy Data'!$E$8:$E$595,'Peak Load Projections'!$I332)*VLOOKUP($I332,$A$3:$E$14,5)</f>
        <v>0</v>
      </c>
      <c r="M332" s="44">
        <f>+SUMIFS('Monthly Energy Data'!AG$8:AG$595,'Monthly Energy Data'!$D$8:$D$595,'Peak Load Projections'!$H332,'Monthly Energy Data'!$E$8:$E$595,'Peak Load Projections'!$I332)*VLOOKUP($I332,$A$3:$E$14,5)</f>
        <v>0</v>
      </c>
      <c r="N332" s="44">
        <f t="shared" si="71"/>
        <v>0</v>
      </c>
      <c r="O332" s="269" t="str">
        <f t="shared" si="69"/>
        <v>S</v>
      </c>
      <c r="AA332">
        <f t="shared" si="67"/>
        <v>2052</v>
      </c>
      <c r="AB332">
        <f t="shared" si="72"/>
        <v>6</v>
      </c>
      <c r="AC332" s="271">
        <f t="shared" si="73"/>
        <v>55671</v>
      </c>
      <c r="AD332" s="44">
        <f>+L332*VLOOKUP($AB332,'Peak Loads - 2022-2024'!$L$4:$M$15,2)</f>
        <v>0</v>
      </c>
      <c r="AE332" s="44">
        <f>+M332*VLOOKUP($AB332,'Peak Loads - 2022-2024'!$L$4:$M$15,2)</f>
        <v>0</v>
      </c>
      <c r="AF332" s="44">
        <f>+K332*VLOOKUP($AB332,'Peak Loads - 2022-2024'!$L$4:$M$15,2)</f>
        <v>0</v>
      </c>
      <c r="AG332" s="44"/>
    </row>
    <row r="333" spans="5:33" x14ac:dyDescent="0.2">
      <c r="E333" s="175"/>
      <c r="H333">
        <f t="shared" si="70"/>
        <v>2052</v>
      </c>
      <c r="I333">
        <f t="shared" si="68"/>
        <v>7</v>
      </c>
      <c r="J333" s="268">
        <v>55701</v>
      </c>
      <c r="K333" s="44">
        <f>+SUMIFS('Monthly Energy Data'!AE$8:AE$595,'Monthly Energy Data'!$D$8:$D$595,'Peak Load Projections'!$H333,'Monthly Energy Data'!$E$8:$E$595,'Peak Load Projections'!$I333)*VLOOKUP($I333,$A$3:$E$14,5)</f>
        <v>0</v>
      </c>
      <c r="L333" s="44">
        <f>+SUMIFS('Monthly Energy Data'!AF$8:AF$595,'Monthly Energy Data'!$D$8:$D$595,'Peak Load Projections'!$H333,'Monthly Energy Data'!$E$8:$E$595,'Peak Load Projections'!$I333)*VLOOKUP($I333,$A$3:$E$14,5)</f>
        <v>0</v>
      </c>
      <c r="M333" s="44">
        <f>+SUMIFS('Monthly Energy Data'!AG$8:AG$595,'Monthly Energy Data'!$D$8:$D$595,'Peak Load Projections'!$H333,'Monthly Energy Data'!$E$8:$E$595,'Peak Load Projections'!$I333)*VLOOKUP($I333,$A$3:$E$14,5)</f>
        <v>0</v>
      </c>
      <c r="N333" s="44">
        <f t="shared" si="71"/>
        <v>0</v>
      </c>
      <c r="O333" s="269" t="str">
        <f t="shared" si="69"/>
        <v>S</v>
      </c>
      <c r="AA333">
        <f t="shared" si="67"/>
        <v>2052</v>
      </c>
      <c r="AB333">
        <f t="shared" si="72"/>
        <v>7</v>
      </c>
      <c r="AC333" s="271">
        <f t="shared" si="73"/>
        <v>55701</v>
      </c>
      <c r="AD333" s="44">
        <f>+L333*VLOOKUP($AB333,'Peak Loads - 2022-2024'!$L$4:$M$15,2)</f>
        <v>0</v>
      </c>
      <c r="AE333" s="44">
        <f>+M333*VLOOKUP($AB333,'Peak Loads - 2022-2024'!$L$4:$M$15,2)</f>
        <v>0</v>
      </c>
      <c r="AF333" s="44">
        <f>+K333*VLOOKUP($AB333,'Peak Loads - 2022-2024'!$L$4:$M$15,2)</f>
        <v>0</v>
      </c>
      <c r="AG333" s="44"/>
    </row>
    <row r="334" spans="5:33" x14ac:dyDescent="0.2">
      <c r="E334" s="175"/>
      <c r="H334">
        <f t="shared" si="70"/>
        <v>2052</v>
      </c>
      <c r="I334">
        <f t="shared" si="68"/>
        <v>8</v>
      </c>
      <c r="J334" s="268">
        <v>55732</v>
      </c>
      <c r="K334" s="44">
        <f>+SUMIFS('Monthly Energy Data'!AE$8:AE$595,'Monthly Energy Data'!$D$8:$D$595,'Peak Load Projections'!$H334,'Monthly Energy Data'!$E$8:$E$595,'Peak Load Projections'!$I334)*VLOOKUP($I334,$A$3:$E$14,5)</f>
        <v>0</v>
      </c>
      <c r="L334" s="44">
        <f>+SUMIFS('Monthly Energy Data'!AF$8:AF$595,'Monthly Energy Data'!$D$8:$D$595,'Peak Load Projections'!$H334,'Monthly Energy Data'!$E$8:$E$595,'Peak Load Projections'!$I334)*VLOOKUP($I334,$A$3:$E$14,5)</f>
        <v>0</v>
      </c>
      <c r="M334" s="44">
        <f>+SUMIFS('Monthly Energy Data'!AG$8:AG$595,'Monthly Energy Data'!$D$8:$D$595,'Peak Load Projections'!$H334,'Monthly Energy Data'!$E$8:$E$595,'Peak Load Projections'!$I334)*VLOOKUP($I334,$A$3:$E$14,5)</f>
        <v>0</v>
      </c>
      <c r="N334" s="44">
        <f t="shared" si="71"/>
        <v>0</v>
      </c>
      <c r="O334" s="269" t="str">
        <f t="shared" si="69"/>
        <v>S</v>
      </c>
      <c r="AA334">
        <f t="shared" si="67"/>
        <v>2052</v>
      </c>
      <c r="AB334">
        <f t="shared" si="72"/>
        <v>8</v>
      </c>
      <c r="AC334" s="271">
        <f t="shared" si="73"/>
        <v>55732</v>
      </c>
      <c r="AD334" s="44">
        <f>+L334*VLOOKUP($AB334,'Peak Loads - 2022-2024'!$L$4:$M$15,2)</f>
        <v>0</v>
      </c>
      <c r="AE334" s="44">
        <f>+M334*VLOOKUP($AB334,'Peak Loads - 2022-2024'!$L$4:$M$15,2)</f>
        <v>0</v>
      </c>
      <c r="AF334" s="44">
        <f>+K334*VLOOKUP($AB334,'Peak Loads - 2022-2024'!$L$4:$M$15,2)</f>
        <v>0</v>
      </c>
      <c r="AG334" s="44"/>
    </row>
    <row r="335" spans="5:33" x14ac:dyDescent="0.2">
      <c r="E335" s="175"/>
      <c r="H335">
        <f t="shared" si="70"/>
        <v>2052</v>
      </c>
      <c r="I335">
        <f t="shared" si="68"/>
        <v>9</v>
      </c>
      <c r="J335" s="268">
        <v>55763</v>
      </c>
      <c r="K335" s="44">
        <f>+SUMIFS('Monthly Energy Data'!AE$8:AE$595,'Monthly Energy Data'!$D$8:$D$595,'Peak Load Projections'!$H335,'Monthly Energy Data'!$E$8:$E$595,'Peak Load Projections'!$I335)*VLOOKUP($I335,$A$3:$E$14,5)</f>
        <v>0</v>
      </c>
      <c r="L335" s="44">
        <f>+SUMIFS('Monthly Energy Data'!AF$8:AF$595,'Monthly Energy Data'!$D$8:$D$595,'Peak Load Projections'!$H335,'Monthly Energy Data'!$E$8:$E$595,'Peak Load Projections'!$I335)*VLOOKUP($I335,$A$3:$E$14,5)</f>
        <v>0</v>
      </c>
      <c r="M335" s="44">
        <f>+SUMIFS('Monthly Energy Data'!AG$8:AG$595,'Monthly Energy Data'!$D$8:$D$595,'Peak Load Projections'!$H335,'Monthly Energy Data'!$E$8:$E$595,'Peak Load Projections'!$I335)*VLOOKUP($I335,$A$3:$E$14,5)</f>
        <v>0</v>
      </c>
      <c r="N335" s="44">
        <f t="shared" si="71"/>
        <v>0</v>
      </c>
      <c r="O335" s="269" t="str">
        <f t="shared" si="69"/>
        <v>S</v>
      </c>
      <c r="AA335">
        <f t="shared" si="67"/>
        <v>2052</v>
      </c>
      <c r="AB335">
        <f t="shared" si="72"/>
        <v>9</v>
      </c>
      <c r="AC335" s="271">
        <f t="shared" si="73"/>
        <v>55763</v>
      </c>
      <c r="AD335" s="44">
        <f>+L335*VLOOKUP($AB335,'Peak Loads - 2022-2024'!$L$4:$M$15,2)</f>
        <v>0</v>
      </c>
      <c r="AE335" s="44">
        <f>+M335*VLOOKUP($AB335,'Peak Loads - 2022-2024'!$L$4:$M$15,2)</f>
        <v>0</v>
      </c>
      <c r="AF335" s="44">
        <f>+K335*VLOOKUP($AB335,'Peak Loads - 2022-2024'!$L$4:$M$15,2)</f>
        <v>0</v>
      </c>
      <c r="AG335" s="44"/>
    </row>
    <row r="336" spans="5:33" x14ac:dyDescent="0.2">
      <c r="E336" s="175"/>
      <c r="H336">
        <f t="shared" si="70"/>
        <v>2052</v>
      </c>
      <c r="I336">
        <f t="shared" si="68"/>
        <v>10</v>
      </c>
      <c r="J336" s="268">
        <v>55793</v>
      </c>
      <c r="K336" s="44">
        <f>+SUMIFS('Monthly Energy Data'!AE$8:AE$595,'Monthly Energy Data'!$D$8:$D$595,'Peak Load Projections'!$H336,'Monthly Energy Data'!$E$8:$E$595,'Peak Load Projections'!$I336)*VLOOKUP($I336,$A$3:$E$14,5)</f>
        <v>0</v>
      </c>
      <c r="L336" s="44">
        <f>+SUMIFS('Monthly Energy Data'!AF$8:AF$595,'Monthly Energy Data'!$D$8:$D$595,'Peak Load Projections'!$H336,'Monthly Energy Data'!$E$8:$E$595,'Peak Load Projections'!$I336)*VLOOKUP($I336,$A$3:$E$14,5)</f>
        <v>0</v>
      </c>
      <c r="M336" s="44">
        <f>+SUMIFS('Monthly Energy Data'!AG$8:AG$595,'Monthly Energy Data'!$D$8:$D$595,'Peak Load Projections'!$H336,'Monthly Energy Data'!$E$8:$E$595,'Peak Load Projections'!$I336)*VLOOKUP($I336,$A$3:$E$14,5)</f>
        <v>0</v>
      </c>
      <c r="N336" s="44">
        <f t="shared" si="71"/>
        <v>0</v>
      </c>
      <c r="O336" s="269" t="str">
        <f t="shared" si="69"/>
        <v>W</v>
      </c>
      <c r="AA336">
        <f t="shared" si="67"/>
        <v>2052</v>
      </c>
      <c r="AB336">
        <f t="shared" si="72"/>
        <v>10</v>
      </c>
      <c r="AC336" s="271">
        <f t="shared" si="73"/>
        <v>55793</v>
      </c>
      <c r="AD336" s="44">
        <f>+L336*VLOOKUP($AB336,'Peak Loads - 2022-2024'!$L$4:$M$15,2)</f>
        <v>0</v>
      </c>
      <c r="AE336" s="44">
        <f>+M336*VLOOKUP($AB336,'Peak Loads - 2022-2024'!$L$4:$M$15,2)</f>
        <v>0</v>
      </c>
      <c r="AF336" s="44">
        <f>+K336*VLOOKUP($AB336,'Peak Loads - 2022-2024'!$L$4:$M$15,2)</f>
        <v>0</v>
      </c>
      <c r="AG336" s="44"/>
    </row>
    <row r="337" spans="5:33" x14ac:dyDescent="0.2">
      <c r="E337" s="175"/>
      <c r="H337">
        <f t="shared" si="70"/>
        <v>2052</v>
      </c>
      <c r="I337">
        <f t="shared" si="68"/>
        <v>11</v>
      </c>
      <c r="J337" s="268">
        <v>55824</v>
      </c>
      <c r="K337" s="44">
        <f>+SUMIFS('Monthly Energy Data'!AE$8:AE$595,'Monthly Energy Data'!$D$8:$D$595,'Peak Load Projections'!$H337,'Monthly Energy Data'!$E$8:$E$595,'Peak Load Projections'!$I337)*VLOOKUP($I337,$A$3:$E$14,5)</f>
        <v>0</v>
      </c>
      <c r="L337" s="44">
        <f>+SUMIFS('Monthly Energy Data'!AF$8:AF$595,'Monthly Energy Data'!$D$8:$D$595,'Peak Load Projections'!$H337,'Monthly Energy Data'!$E$8:$E$595,'Peak Load Projections'!$I337)*VLOOKUP($I337,$A$3:$E$14,5)</f>
        <v>0</v>
      </c>
      <c r="M337" s="44">
        <f>+SUMIFS('Monthly Energy Data'!AG$8:AG$595,'Monthly Energy Data'!$D$8:$D$595,'Peak Load Projections'!$H337,'Monthly Energy Data'!$E$8:$E$595,'Peak Load Projections'!$I337)*VLOOKUP($I337,$A$3:$E$14,5)</f>
        <v>0</v>
      </c>
      <c r="N337" s="44">
        <f t="shared" si="71"/>
        <v>0</v>
      </c>
      <c r="O337" s="269" t="str">
        <f t="shared" si="69"/>
        <v>W</v>
      </c>
      <c r="AA337">
        <f t="shared" si="67"/>
        <v>2052</v>
      </c>
      <c r="AB337">
        <f t="shared" si="72"/>
        <v>11</v>
      </c>
      <c r="AC337" s="271">
        <f t="shared" si="73"/>
        <v>55824</v>
      </c>
      <c r="AD337" s="44">
        <f>+L337*VLOOKUP($AB337,'Peak Loads - 2022-2024'!$L$4:$M$15,2)</f>
        <v>0</v>
      </c>
      <c r="AE337" s="44">
        <f>+M337*VLOOKUP($AB337,'Peak Loads - 2022-2024'!$L$4:$M$15,2)</f>
        <v>0</v>
      </c>
      <c r="AF337" s="44">
        <f>+K337*VLOOKUP($AB337,'Peak Loads - 2022-2024'!$L$4:$M$15,2)</f>
        <v>0</v>
      </c>
      <c r="AG337" s="44"/>
    </row>
    <row r="338" spans="5:33" x14ac:dyDescent="0.2">
      <c r="E338" s="175"/>
      <c r="H338">
        <f t="shared" si="70"/>
        <v>2052</v>
      </c>
      <c r="I338">
        <f t="shared" si="68"/>
        <v>12</v>
      </c>
      <c r="J338" s="268">
        <v>55854</v>
      </c>
      <c r="K338" s="44">
        <f>+SUMIFS('Monthly Energy Data'!AE$8:AE$595,'Monthly Energy Data'!$D$8:$D$595,'Peak Load Projections'!$H338,'Monthly Energy Data'!$E$8:$E$595,'Peak Load Projections'!$I338)*VLOOKUP($I338,$A$3:$E$14,5)</f>
        <v>0</v>
      </c>
      <c r="L338" s="44">
        <f>+SUMIFS('Monthly Energy Data'!AF$8:AF$595,'Monthly Energy Data'!$D$8:$D$595,'Peak Load Projections'!$H338,'Monthly Energy Data'!$E$8:$E$595,'Peak Load Projections'!$I338)*VLOOKUP($I338,$A$3:$E$14,5)</f>
        <v>0</v>
      </c>
      <c r="M338" s="44">
        <f>+SUMIFS('Monthly Energy Data'!AG$8:AG$595,'Monthly Energy Data'!$D$8:$D$595,'Peak Load Projections'!$H338,'Monthly Energy Data'!$E$8:$E$595,'Peak Load Projections'!$I338)*VLOOKUP($I338,$A$3:$E$14,5)</f>
        <v>0</v>
      </c>
      <c r="N338" s="44">
        <f t="shared" si="71"/>
        <v>0</v>
      </c>
      <c r="O338" s="269" t="str">
        <f t="shared" si="69"/>
        <v>W</v>
      </c>
      <c r="AA338">
        <f t="shared" ref="AA338:AA374" si="74">+H338</f>
        <v>2052</v>
      </c>
      <c r="AB338">
        <f t="shared" si="72"/>
        <v>12</v>
      </c>
      <c r="AC338" s="271">
        <f t="shared" si="73"/>
        <v>55854</v>
      </c>
      <c r="AD338" s="44">
        <f>+L338*VLOOKUP($AB338,'Peak Loads - 2022-2024'!$L$4:$M$15,2)</f>
        <v>0</v>
      </c>
      <c r="AE338" s="44">
        <f>+M338*VLOOKUP($AB338,'Peak Loads - 2022-2024'!$L$4:$M$15,2)</f>
        <v>0</v>
      </c>
      <c r="AF338" s="44">
        <f>+K338*VLOOKUP($AB338,'Peak Loads - 2022-2024'!$L$4:$M$15,2)</f>
        <v>0</v>
      </c>
      <c r="AG338" s="44"/>
    </row>
    <row r="339" spans="5:33" x14ac:dyDescent="0.2">
      <c r="E339" s="175"/>
      <c r="H339">
        <f t="shared" si="70"/>
        <v>2053</v>
      </c>
      <c r="I339">
        <f t="shared" si="68"/>
        <v>1</v>
      </c>
      <c r="J339" s="268">
        <v>55885</v>
      </c>
      <c r="K339" s="44">
        <f>+SUMIFS('Monthly Energy Data'!AE$8:AE$595,'Monthly Energy Data'!$D$8:$D$595,'Peak Load Projections'!$H339,'Monthly Energy Data'!$E$8:$E$595,'Peak Load Projections'!$I339)*VLOOKUP($I339,$A$3:$E$14,5)</f>
        <v>0</v>
      </c>
      <c r="L339" s="44">
        <f>+SUMIFS('Monthly Energy Data'!AF$8:AF$595,'Monthly Energy Data'!$D$8:$D$595,'Peak Load Projections'!$H339,'Monthly Energy Data'!$E$8:$E$595,'Peak Load Projections'!$I339)*VLOOKUP($I339,$A$3:$E$14,5)</f>
        <v>0</v>
      </c>
      <c r="M339" s="44">
        <f>+SUMIFS('Monthly Energy Data'!AG$8:AG$595,'Monthly Energy Data'!$D$8:$D$595,'Peak Load Projections'!$H339,'Monthly Energy Data'!$E$8:$E$595,'Peak Load Projections'!$I339)*VLOOKUP($I339,$A$3:$E$14,5)</f>
        <v>0</v>
      </c>
      <c r="N339" s="44">
        <f t="shared" si="71"/>
        <v>0</v>
      </c>
      <c r="O339" s="269" t="str">
        <f t="shared" si="69"/>
        <v>W</v>
      </c>
      <c r="AA339">
        <f t="shared" si="74"/>
        <v>2053</v>
      </c>
      <c r="AB339">
        <f t="shared" si="72"/>
        <v>1</v>
      </c>
      <c r="AC339" s="271">
        <f t="shared" si="73"/>
        <v>55885</v>
      </c>
      <c r="AD339" s="44">
        <f>+L339*VLOOKUP($AB339,'Peak Loads - 2022-2024'!$L$4:$M$15,2)</f>
        <v>0</v>
      </c>
      <c r="AE339" s="44">
        <f>+M339*VLOOKUP($AB339,'Peak Loads - 2022-2024'!$L$4:$M$15,2)</f>
        <v>0</v>
      </c>
      <c r="AF339" s="44">
        <f>+K339*VLOOKUP($AB339,'Peak Loads - 2022-2024'!$L$4:$M$15,2)</f>
        <v>0</v>
      </c>
      <c r="AG339" s="44"/>
    </row>
    <row r="340" spans="5:33" x14ac:dyDescent="0.2">
      <c r="E340" s="175"/>
      <c r="H340">
        <f t="shared" si="70"/>
        <v>2053</v>
      </c>
      <c r="I340">
        <f t="shared" si="68"/>
        <v>2</v>
      </c>
      <c r="J340" s="268">
        <v>55916</v>
      </c>
      <c r="K340" s="44">
        <f>+SUMIFS('Monthly Energy Data'!AE$8:AE$595,'Monthly Energy Data'!$D$8:$D$595,'Peak Load Projections'!$H340,'Monthly Energy Data'!$E$8:$E$595,'Peak Load Projections'!$I340)*VLOOKUP($I340,$A$3:$E$14,5)</f>
        <v>0</v>
      </c>
      <c r="L340" s="44">
        <f>+SUMIFS('Monthly Energy Data'!AF$8:AF$595,'Monthly Energy Data'!$D$8:$D$595,'Peak Load Projections'!$H340,'Monthly Energy Data'!$E$8:$E$595,'Peak Load Projections'!$I340)*VLOOKUP($I340,$A$3:$E$14,5)</f>
        <v>0</v>
      </c>
      <c r="M340" s="44">
        <f>+SUMIFS('Monthly Energy Data'!AG$8:AG$595,'Monthly Energy Data'!$D$8:$D$595,'Peak Load Projections'!$H340,'Monthly Energy Data'!$E$8:$E$595,'Peak Load Projections'!$I340)*VLOOKUP($I340,$A$3:$E$14,5)</f>
        <v>0</v>
      </c>
      <c r="N340" s="44">
        <f t="shared" si="71"/>
        <v>0</v>
      </c>
      <c r="O340" s="269" t="str">
        <f t="shared" si="69"/>
        <v>W</v>
      </c>
      <c r="AA340">
        <f t="shared" si="74"/>
        <v>2053</v>
      </c>
      <c r="AB340">
        <f t="shared" si="72"/>
        <v>2</v>
      </c>
      <c r="AC340" s="271">
        <f t="shared" si="73"/>
        <v>55916</v>
      </c>
      <c r="AD340" s="44">
        <f>+L340*VLOOKUP($AB340,'Peak Loads - 2022-2024'!$L$4:$M$15,2)</f>
        <v>0</v>
      </c>
      <c r="AE340" s="44">
        <f>+M340*VLOOKUP($AB340,'Peak Loads - 2022-2024'!$L$4:$M$15,2)</f>
        <v>0</v>
      </c>
      <c r="AF340" s="44">
        <f>+K340*VLOOKUP($AB340,'Peak Loads - 2022-2024'!$L$4:$M$15,2)</f>
        <v>0</v>
      </c>
      <c r="AG340" s="44"/>
    </row>
    <row r="341" spans="5:33" x14ac:dyDescent="0.2">
      <c r="E341" s="175"/>
      <c r="H341">
        <f t="shared" si="70"/>
        <v>2053</v>
      </c>
      <c r="I341">
        <f t="shared" si="68"/>
        <v>3</v>
      </c>
      <c r="J341" s="268">
        <v>55944</v>
      </c>
      <c r="K341" s="44">
        <f>+SUMIFS('Monthly Energy Data'!AE$8:AE$595,'Monthly Energy Data'!$D$8:$D$595,'Peak Load Projections'!$H341,'Monthly Energy Data'!$E$8:$E$595,'Peak Load Projections'!$I341)*VLOOKUP($I341,$A$3:$E$14,5)</f>
        <v>0</v>
      </c>
      <c r="L341" s="44">
        <f>+SUMIFS('Monthly Energy Data'!AF$8:AF$595,'Monthly Energy Data'!$D$8:$D$595,'Peak Load Projections'!$H341,'Monthly Energy Data'!$E$8:$E$595,'Peak Load Projections'!$I341)*VLOOKUP($I341,$A$3:$E$14,5)</f>
        <v>0</v>
      </c>
      <c r="M341" s="44">
        <f>+SUMIFS('Monthly Energy Data'!AG$8:AG$595,'Monthly Energy Data'!$D$8:$D$595,'Peak Load Projections'!$H341,'Monthly Energy Data'!$E$8:$E$595,'Peak Load Projections'!$I341)*VLOOKUP($I341,$A$3:$E$14,5)</f>
        <v>0</v>
      </c>
      <c r="N341" s="44">
        <f t="shared" si="71"/>
        <v>0</v>
      </c>
      <c r="O341" s="269" t="str">
        <f t="shared" si="69"/>
        <v>W</v>
      </c>
      <c r="AA341">
        <f t="shared" si="74"/>
        <v>2053</v>
      </c>
      <c r="AB341">
        <f t="shared" si="72"/>
        <v>3</v>
      </c>
      <c r="AC341" s="271">
        <f t="shared" si="73"/>
        <v>55944</v>
      </c>
      <c r="AD341" s="44">
        <f>+L341*VLOOKUP($AB341,'Peak Loads - 2022-2024'!$L$4:$M$15,2)</f>
        <v>0</v>
      </c>
      <c r="AE341" s="44">
        <f>+M341*VLOOKUP($AB341,'Peak Loads - 2022-2024'!$L$4:$M$15,2)</f>
        <v>0</v>
      </c>
      <c r="AF341" s="44">
        <f>+K341*VLOOKUP($AB341,'Peak Loads - 2022-2024'!$L$4:$M$15,2)</f>
        <v>0</v>
      </c>
      <c r="AG341" s="44"/>
    </row>
    <row r="342" spans="5:33" x14ac:dyDescent="0.2">
      <c r="E342" s="175"/>
      <c r="H342">
        <f t="shared" si="70"/>
        <v>2053</v>
      </c>
      <c r="I342">
        <f t="shared" si="68"/>
        <v>4</v>
      </c>
      <c r="J342" s="268">
        <v>55975</v>
      </c>
      <c r="K342" s="44">
        <f>+SUMIFS('Monthly Energy Data'!AE$8:AE$595,'Monthly Energy Data'!$D$8:$D$595,'Peak Load Projections'!$H342,'Monthly Energy Data'!$E$8:$E$595,'Peak Load Projections'!$I342)*VLOOKUP($I342,$A$3:$E$14,5)</f>
        <v>0</v>
      </c>
      <c r="L342" s="44">
        <f>+SUMIFS('Monthly Energy Data'!AF$8:AF$595,'Monthly Energy Data'!$D$8:$D$595,'Peak Load Projections'!$H342,'Monthly Energy Data'!$E$8:$E$595,'Peak Load Projections'!$I342)*VLOOKUP($I342,$A$3:$E$14,5)</f>
        <v>0</v>
      </c>
      <c r="M342" s="44">
        <f>+SUMIFS('Monthly Energy Data'!AG$8:AG$595,'Monthly Energy Data'!$D$8:$D$595,'Peak Load Projections'!$H342,'Monthly Energy Data'!$E$8:$E$595,'Peak Load Projections'!$I342)*VLOOKUP($I342,$A$3:$E$14,5)</f>
        <v>0</v>
      </c>
      <c r="N342" s="44">
        <f t="shared" si="71"/>
        <v>0</v>
      </c>
      <c r="O342" s="269" t="str">
        <f t="shared" si="69"/>
        <v>W</v>
      </c>
      <c r="AA342">
        <f t="shared" si="74"/>
        <v>2053</v>
      </c>
      <c r="AB342">
        <f t="shared" si="72"/>
        <v>4</v>
      </c>
      <c r="AC342" s="271">
        <f t="shared" si="73"/>
        <v>55975</v>
      </c>
      <c r="AD342" s="44">
        <f>+L342*VLOOKUP($AB342,'Peak Loads - 2022-2024'!$L$4:$M$15,2)</f>
        <v>0</v>
      </c>
      <c r="AE342" s="44">
        <f>+M342*VLOOKUP($AB342,'Peak Loads - 2022-2024'!$L$4:$M$15,2)</f>
        <v>0</v>
      </c>
      <c r="AF342" s="44">
        <f>+K342*VLOOKUP($AB342,'Peak Loads - 2022-2024'!$L$4:$M$15,2)</f>
        <v>0</v>
      </c>
      <c r="AG342" s="44"/>
    </row>
    <row r="343" spans="5:33" x14ac:dyDescent="0.2">
      <c r="E343" s="175"/>
      <c r="H343">
        <f t="shared" si="70"/>
        <v>2053</v>
      </c>
      <c r="I343">
        <f t="shared" si="68"/>
        <v>5</v>
      </c>
      <c r="J343" s="268">
        <v>56005</v>
      </c>
      <c r="K343" s="44">
        <f>+SUMIFS('Monthly Energy Data'!AE$8:AE$595,'Monthly Energy Data'!$D$8:$D$595,'Peak Load Projections'!$H343,'Monthly Energy Data'!$E$8:$E$595,'Peak Load Projections'!$I343)*VLOOKUP($I343,$A$3:$E$14,5)</f>
        <v>0</v>
      </c>
      <c r="L343" s="44">
        <f>+SUMIFS('Monthly Energy Data'!AF$8:AF$595,'Monthly Energy Data'!$D$8:$D$595,'Peak Load Projections'!$H343,'Monthly Energy Data'!$E$8:$E$595,'Peak Load Projections'!$I343)*VLOOKUP($I343,$A$3:$E$14,5)</f>
        <v>0</v>
      </c>
      <c r="M343" s="44">
        <f>+SUMIFS('Monthly Energy Data'!AG$8:AG$595,'Monthly Energy Data'!$D$8:$D$595,'Peak Load Projections'!$H343,'Monthly Energy Data'!$E$8:$E$595,'Peak Load Projections'!$I343)*VLOOKUP($I343,$A$3:$E$14,5)</f>
        <v>0</v>
      </c>
      <c r="N343" s="44">
        <f t="shared" si="71"/>
        <v>0</v>
      </c>
      <c r="O343" s="269" t="str">
        <f t="shared" si="69"/>
        <v>W</v>
      </c>
      <c r="AA343">
        <f t="shared" si="74"/>
        <v>2053</v>
      </c>
      <c r="AB343">
        <f t="shared" si="72"/>
        <v>5</v>
      </c>
      <c r="AC343" s="271">
        <f t="shared" si="73"/>
        <v>56005</v>
      </c>
      <c r="AD343" s="44">
        <f>+L343*VLOOKUP($AB343,'Peak Loads - 2022-2024'!$L$4:$M$15,2)</f>
        <v>0</v>
      </c>
      <c r="AE343" s="44">
        <f>+M343*VLOOKUP($AB343,'Peak Loads - 2022-2024'!$L$4:$M$15,2)</f>
        <v>0</v>
      </c>
      <c r="AF343" s="44">
        <f>+K343*VLOOKUP($AB343,'Peak Loads - 2022-2024'!$L$4:$M$15,2)</f>
        <v>0</v>
      </c>
      <c r="AG343" s="44"/>
    </row>
    <row r="344" spans="5:33" x14ac:dyDescent="0.2">
      <c r="E344" s="175"/>
      <c r="H344">
        <f t="shared" si="70"/>
        <v>2053</v>
      </c>
      <c r="I344">
        <f t="shared" si="68"/>
        <v>6</v>
      </c>
      <c r="J344" s="268">
        <v>56036</v>
      </c>
      <c r="K344" s="44">
        <f>+SUMIFS('Monthly Energy Data'!AE$8:AE$595,'Monthly Energy Data'!$D$8:$D$595,'Peak Load Projections'!$H344,'Monthly Energy Data'!$E$8:$E$595,'Peak Load Projections'!$I344)*VLOOKUP($I344,$A$3:$E$14,5)</f>
        <v>0</v>
      </c>
      <c r="L344" s="44">
        <f>+SUMIFS('Monthly Energy Data'!AF$8:AF$595,'Monthly Energy Data'!$D$8:$D$595,'Peak Load Projections'!$H344,'Monthly Energy Data'!$E$8:$E$595,'Peak Load Projections'!$I344)*VLOOKUP($I344,$A$3:$E$14,5)</f>
        <v>0</v>
      </c>
      <c r="M344" s="44">
        <f>+SUMIFS('Monthly Energy Data'!AG$8:AG$595,'Monthly Energy Data'!$D$8:$D$595,'Peak Load Projections'!$H344,'Monthly Energy Data'!$E$8:$E$595,'Peak Load Projections'!$I344)*VLOOKUP($I344,$A$3:$E$14,5)</f>
        <v>0</v>
      </c>
      <c r="N344" s="44">
        <f t="shared" si="71"/>
        <v>0</v>
      </c>
      <c r="O344" s="269" t="str">
        <f t="shared" si="69"/>
        <v>S</v>
      </c>
      <c r="AA344">
        <f t="shared" si="74"/>
        <v>2053</v>
      </c>
      <c r="AB344">
        <f t="shared" si="72"/>
        <v>6</v>
      </c>
      <c r="AC344" s="271">
        <f t="shared" si="73"/>
        <v>56036</v>
      </c>
      <c r="AD344" s="44">
        <f>+L344*VLOOKUP($AB344,'Peak Loads - 2022-2024'!$L$4:$M$15,2)</f>
        <v>0</v>
      </c>
      <c r="AE344" s="44">
        <f>+M344*VLOOKUP($AB344,'Peak Loads - 2022-2024'!$L$4:$M$15,2)</f>
        <v>0</v>
      </c>
      <c r="AF344" s="44">
        <f>+K344*VLOOKUP($AB344,'Peak Loads - 2022-2024'!$L$4:$M$15,2)</f>
        <v>0</v>
      </c>
      <c r="AG344" s="44"/>
    </row>
    <row r="345" spans="5:33" x14ac:dyDescent="0.2">
      <c r="E345" s="175"/>
      <c r="H345">
        <f t="shared" si="70"/>
        <v>2053</v>
      </c>
      <c r="I345">
        <f t="shared" si="68"/>
        <v>7</v>
      </c>
      <c r="J345" s="268">
        <v>56066</v>
      </c>
      <c r="K345" s="44">
        <f>+SUMIFS('Monthly Energy Data'!AE$8:AE$595,'Monthly Energy Data'!$D$8:$D$595,'Peak Load Projections'!$H345,'Monthly Energy Data'!$E$8:$E$595,'Peak Load Projections'!$I345)*VLOOKUP($I345,$A$3:$E$14,5)</f>
        <v>0</v>
      </c>
      <c r="L345" s="44">
        <f>+SUMIFS('Monthly Energy Data'!AF$8:AF$595,'Monthly Energy Data'!$D$8:$D$595,'Peak Load Projections'!$H345,'Monthly Energy Data'!$E$8:$E$595,'Peak Load Projections'!$I345)*VLOOKUP($I345,$A$3:$E$14,5)</f>
        <v>0</v>
      </c>
      <c r="M345" s="44">
        <f>+SUMIFS('Monthly Energy Data'!AG$8:AG$595,'Monthly Energy Data'!$D$8:$D$595,'Peak Load Projections'!$H345,'Monthly Energy Data'!$E$8:$E$595,'Peak Load Projections'!$I345)*VLOOKUP($I345,$A$3:$E$14,5)</f>
        <v>0</v>
      </c>
      <c r="N345" s="44">
        <f t="shared" si="71"/>
        <v>0</v>
      </c>
      <c r="O345" s="269" t="str">
        <f t="shared" si="69"/>
        <v>S</v>
      </c>
      <c r="AA345">
        <f t="shared" si="74"/>
        <v>2053</v>
      </c>
      <c r="AB345">
        <f t="shared" si="72"/>
        <v>7</v>
      </c>
      <c r="AC345" s="271">
        <f t="shared" si="73"/>
        <v>56066</v>
      </c>
      <c r="AD345" s="44">
        <f>+L345*VLOOKUP($AB345,'Peak Loads - 2022-2024'!$L$4:$M$15,2)</f>
        <v>0</v>
      </c>
      <c r="AE345" s="44">
        <f>+M345*VLOOKUP($AB345,'Peak Loads - 2022-2024'!$L$4:$M$15,2)</f>
        <v>0</v>
      </c>
      <c r="AF345" s="44">
        <f>+K345*VLOOKUP($AB345,'Peak Loads - 2022-2024'!$L$4:$M$15,2)</f>
        <v>0</v>
      </c>
      <c r="AG345" s="44"/>
    </row>
    <row r="346" spans="5:33" x14ac:dyDescent="0.2">
      <c r="E346" s="175"/>
      <c r="H346">
        <f t="shared" si="70"/>
        <v>2053</v>
      </c>
      <c r="I346">
        <f t="shared" si="68"/>
        <v>8</v>
      </c>
      <c r="J346" s="268">
        <v>56097</v>
      </c>
      <c r="K346" s="44">
        <f>+SUMIFS('Monthly Energy Data'!AE$8:AE$595,'Monthly Energy Data'!$D$8:$D$595,'Peak Load Projections'!$H346,'Monthly Energy Data'!$E$8:$E$595,'Peak Load Projections'!$I346)*VLOOKUP($I346,$A$3:$E$14,5)</f>
        <v>0</v>
      </c>
      <c r="L346" s="44">
        <f>+SUMIFS('Monthly Energy Data'!AF$8:AF$595,'Monthly Energy Data'!$D$8:$D$595,'Peak Load Projections'!$H346,'Monthly Energy Data'!$E$8:$E$595,'Peak Load Projections'!$I346)*VLOOKUP($I346,$A$3:$E$14,5)</f>
        <v>0</v>
      </c>
      <c r="M346" s="44">
        <f>+SUMIFS('Monthly Energy Data'!AG$8:AG$595,'Monthly Energy Data'!$D$8:$D$595,'Peak Load Projections'!$H346,'Monthly Energy Data'!$E$8:$E$595,'Peak Load Projections'!$I346)*VLOOKUP($I346,$A$3:$E$14,5)</f>
        <v>0</v>
      </c>
      <c r="N346" s="44">
        <f t="shared" si="71"/>
        <v>0</v>
      </c>
      <c r="O346" s="269" t="str">
        <f t="shared" si="69"/>
        <v>S</v>
      </c>
      <c r="AA346">
        <f t="shared" si="74"/>
        <v>2053</v>
      </c>
      <c r="AB346">
        <f t="shared" si="72"/>
        <v>8</v>
      </c>
      <c r="AC346" s="271">
        <f t="shared" si="73"/>
        <v>56097</v>
      </c>
      <c r="AD346" s="44">
        <f>+L346*VLOOKUP($AB346,'Peak Loads - 2022-2024'!$L$4:$M$15,2)</f>
        <v>0</v>
      </c>
      <c r="AE346" s="44">
        <f>+M346*VLOOKUP($AB346,'Peak Loads - 2022-2024'!$L$4:$M$15,2)</f>
        <v>0</v>
      </c>
      <c r="AF346" s="44">
        <f>+K346*VLOOKUP($AB346,'Peak Loads - 2022-2024'!$L$4:$M$15,2)</f>
        <v>0</v>
      </c>
      <c r="AG346" s="44"/>
    </row>
    <row r="347" spans="5:33" x14ac:dyDescent="0.2">
      <c r="E347" s="175"/>
      <c r="H347">
        <f t="shared" si="70"/>
        <v>2053</v>
      </c>
      <c r="I347">
        <f t="shared" si="68"/>
        <v>9</v>
      </c>
      <c r="J347" s="268">
        <v>56128</v>
      </c>
      <c r="K347" s="44">
        <f>+SUMIFS('Monthly Energy Data'!AE$8:AE$595,'Monthly Energy Data'!$D$8:$D$595,'Peak Load Projections'!$H347,'Monthly Energy Data'!$E$8:$E$595,'Peak Load Projections'!$I347)*VLOOKUP($I347,$A$3:$E$14,5)</f>
        <v>0</v>
      </c>
      <c r="L347" s="44">
        <f>+SUMIFS('Monthly Energy Data'!AF$8:AF$595,'Monthly Energy Data'!$D$8:$D$595,'Peak Load Projections'!$H347,'Monthly Energy Data'!$E$8:$E$595,'Peak Load Projections'!$I347)*VLOOKUP($I347,$A$3:$E$14,5)</f>
        <v>0</v>
      </c>
      <c r="M347" s="44">
        <f>+SUMIFS('Monthly Energy Data'!AG$8:AG$595,'Monthly Energy Data'!$D$8:$D$595,'Peak Load Projections'!$H347,'Monthly Energy Data'!$E$8:$E$595,'Peak Load Projections'!$I347)*VLOOKUP($I347,$A$3:$E$14,5)</f>
        <v>0</v>
      </c>
      <c r="N347" s="44">
        <f t="shared" si="71"/>
        <v>0</v>
      </c>
      <c r="O347" s="269" t="str">
        <f t="shared" si="69"/>
        <v>S</v>
      </c>
      <c r="AA347">
        <f t="shared" si="74"/>
        <v>2053</v>
      </c>
      <c r="AB347">
        <f t="shared" si="72"/>
        <v>9</v>
      </c>
      <c r="AC347" s="271">
        <f t="shared" si="73"/>
        <v>56128</v>
      </c>
      <c r="AD347" s="44">
        <f>+L347*VLOOKUP($AB347,'Peak Loads - 2022-2024'!$L$4:$M$15,2)</f>
        <v>0</v>
      </c>
      <c r="AE347" s="44">
        <f>+M347*VLOOKUP($AB347,'Peak Loads - 2022-2024'!$L$4:$M$15,2)</f>
        <v>0</v>
      </c>
      <c r="AF347" s="44">
        <f>+K347*VLOOKUP($AB347,'Peak Loads - 2022-2024'!$L$4:$M$15,2)</f>
        <v>0</v>
      </c>
      <c r="AG347" s="44"/>
    </row>
    <row r="348" spans="5:33" x14ac:dyDescent="0.2">
      <c r="E348" s="175"/>
      <c r="H348">
        <f t="shared" si="70"/>
        <v>2053</v>
      </c>
      <c r="I348">
        <f t="shared" si="68"/>
        <v>10</v>
      </c>
      <c r="J348" s="268">
        <v>56158</v>
      </c>
      <c r="K348" s="44">
        <f>+SUMIFS('Monthly Energy Data'!AE$8:AE$595,'Monthly Energy Data'!$D$8:$D$595,'Peak Load Projections'!$H348,'Monthly Energy Data'!$E$8:$E$595,'Peak Load Projections'!$I348)*VLOOKUP($I348,$A$3:$E$14,5)</f>
        <v>0</v>
      </c>
      <c r="L348" s="44">
        <f>+SUMIFS('Monthly Energy Data'!AF$8:AF$595,'Monthly Energy Data'!$D$8:$D$595,'Peak Load Projections'!$H348,'Monthly Energy Data'!$E$8:$E$595,'Peak Load Projections'!$I348)*VLOOKUP($I348,$A$3:$E$14,5)</f>
        <v>0</v>
      </c>
      <c r="M348" s="44">
        <f>+SUMIFS('Monthly Energy Data'!AG$8:AG$595,'Monthly Energy Data'!$D$8:$D$595,'Peak Load Projections'!$H348,'Monthly Energy Data'!$E$8:$E$595,'Peak Load Projections'!$I348)*VLOOKUP($I348,$A$3:$E$14,5)</f>
        <v>0</v>
      </c>
      <c r="N348" s="44">
        <f t="shared" si="71"/>
        <v>0</v>
      </c>
      <c r="O348" s="269" t="str">
        <f t="shared" si="69"/>
        <v>W</v>
      </c>
      <c r="AA348">
        <f t="shared" si="74"/>
        <v>2053</v>
      </c>
      <c r="AB348">
        <f t="shared" si="72"/>
        <v>10</v>
      </c>
      <c r="AC348" s="271">
        <f t="shared" si="73"/>
        <v>56158</v>
      </c>
      <c r="AD348" s="44">
        <f>+L348*VLOOKUP($AB348,'Peak Loads - 2022-2024'!$L$4:$M$15,2)</f>
        <v>0</v>
      </c>
      <c r="AE348" s="44">
        <f>+M348*VLOOKUP($AB348,'Peak Loads - 2022-2024'!$L$4:$M$15,2)</f>
        <v>0</v>
      </c>
      <c r="AF348" s="44">
        <f>+K348*VLOOKUP($AB348,'Peak Loads - 2022-2024'!$L$4:$M$15,2)</f>
        <v>0</v>
      </c>
      <c r="AG348" s="44"/>
    </row>
    <row r="349" spans="5:33" x14ac:dyDescent="0.2">
      <c r="E349" s="175"/>
      <c r="H349">
        <f t="shared" si="70"/>
        <v>2053</v>
      </c>
      <c r="I349">
        <f t="shared" si="68"/>
        <v>11</v>
      </c>
      <c r="J349" s="268">
        <v>56189</v>
      </c>
      <c r="K349" s="44">
        <f>+SUMIFS('Monthly Energy Data'!AE$8:AE$595,'Monthly Energy Data'!$D$8:$D$595,'Peak Load Projections'!$H349,'Monthly Energy Data'!$E$8:$E$595,'Peak Load Projections'!$I349)*VLOOKUP($I349,$A$3:$E$14,5)</f>
        <v>0</v>
      </c>
      <c r="L349" s="44">
        <f>+SUMIFS('Monthly Energy Data'!AF$8:AF$595,'Monthly Energy Data'!$D$8:$D$595,'Peak Load Projections'!$H349,'Monthly Energy Data'!$E$8:$E$595,'Peak Load Projections'!$I349)*VLOOKUP($I349,$A$3:$E$14,5)</f>
        <v>0</v>
      </c>
      <c r="M349" s="44">
        <f>+SUMIFS('Monthly Energy Data'!AG$8:AG$595,'Monthly Energy Data'!$D$8:$D$595,'Peak Load Projections'!$H349,'Monthly Energy Data'!$E$8:$E$595,'Peak Load Projections'!$I349)*VLOOKUP($I349,$A$3:$E$14,5)</f>
        <v>0</v>
      </c>
      <c r="N349" s="44">
        <f t="shared" si="71"/>
        <v>0</v>
      </c>
      <c r="O349" s="269" t="str">
        <f t="shared" si="69"/>
        <v>W</v>
      </c>
      <c r="AA349">
        <f t="shared" si="74"/>
        <v>2053</v>
      </c>
      <c r="AB349">
        <f t="shared" si="72"/>
        <v>11</v>
      </c>
      <c r="AC349" s="271">
        <f t="shared" si="73"/>
        <v>56189</v>
      </c>
      <c r="AD349" s="44">
        <f>+L349*VLOOKUP($AB349,'Peak Loads - 2022-2024'!$L$4:$M$15,2)</f>
        <v>0</v>
      </c>
      <c r="AE349" s="44">
        <f>+M349*VLOOKUP($AB349,'Peak Loads - 2022-2024'!$L$4:$M$15,2)</f>
        <v>0</v>
      </c>
      <c r="AF349" s="44">
        <f>+K349*VLOOKUP($AB349,'Peak Loads - 2022-2024'!$L$4:$M$15,2)</f>
        <v>0</v>
      </c>
      <c r="AG349" s="44"/>
    </row>
    <row r="350" spans="5:33" x14ac:dyDescent="0.2">
      <c r="E350" s="175"/>
      <c r="H350">
        <f t="shared" si="70"/>
        <v>2053</v>
      </c>
      <c r="I350">
        <f t="shared" si="68"/>
        <v>12</v>
      </c>
      <c r="J350" s="268">
        <v>56219</v>
      </c>
      <c r="K350" s="44">
        <f>+SUMIFS('Monthly Energy Data'!AE$8:AE$595,'Monthly Energy Data'!$D$8:$D$595,'Peak Load Projections'!$H350,'Monthly Energy Data'!$E$8:$E$595,'Peak Load Projections'!$I350)*VLOOKUP($I350,$A$3:$E$14,5)</f>
        <v>0</v>
      </c>
      <c r="L350" s="44">
        <f>+SUMIFS('Monthly Energy Data'!AF$8:AF$595,'Monthly Energy Data'!$D$8:$D$595,'Peak Load Projections'!$H350,'Monthly Energy Data'!$E$8:$E$595,'Peak Load Projections'!$I350)*VLOOKUP($I350,$A$3:$E$14,5)</f>
        <v>0</v>
      </c>
      <c r="M350" s="44">
        <f>+SUMIFS('Monthly Energy Data'!AG$8:AG$595,'Monthly Energy Data'!$D$8:$D$595,'Peak Load Projections'!$H350,'Monthly Energy Data'!$E$8:$E$595,'Peak Load Projections'!$I350)*VLOOKUP($I350,$A$3:$E$14,5)</f>
        <v>0</v>
      </c>
      <c r="N350" s="44">
        <f t="shared" si="71"/>
        <v>0</v>
      </c>
      <c r="O350" s="269" t="str">
        <f t="shared" si="69"/>
        <v>W</v>
      </c>
      <c r="AA350">
        <f t="shared" si="74"/>
        <v>2053</v>
      </c>
      <c r="AB350">
        <f t="shared" si="72"/>
        <v>12</v>
      </c>
      <c r="AC350" s="271">
        <f t="shared" si="73"/>
        <v>56219</v>
      </c>
      <c r="AD350" s="44">
        <f>+L350*VLOOKUP($AB350,'Peak Loads - 2022-2024'!$L$4:$M$15,2)</f>
        <v>0</v>
      </c>
      <c r="AE350" s="44">
        <f>+M350*VLOOKUP($AB350,'Peak Loads - 2022-2024'!$L$4:$M$15,2)</f>
        <v>0</v>
      </c>
      <c r="AF350" s="44">
        <f>+K350*VLOOKUP($AB350,'Peak Loads - 2022-2024'!$L$4:$M$15,2)</f>
        <v>0</v>
      </c>
      <c r="AG350" s="44"/>
    </row>
    <row r="351" spans="5:33" x14ac:dyDescent="0.2">
      <c r="E351" s="175"/>
      <c r="H351">
        <f t="shared" si="70"/>
        <v>2054</v>
      </c>
      <c r="I351">
        <f t="shared" si="68"/>
        <v>1</v>
      </c>
      <c r="J351" s="268">
        <v>56250</v>
      </c>
      <c r="K351" s="44">
        <f>+SUMIFS('Monthly Energy Data'!AE$8:AE$595,'Monthly Energy Data'!$D$8:$D$595,'Peak Load Projections'!$H351,'Monthly Energy Data'!$E$8:$E$595,'Peak Load Projections'!$I351)*VLOOKUP($I351,$A$3:$E$14,5)</f>
        <v>0</v>
      </c>
      <c r="L351" s="44">
        <f>+SUMIFS('Monthly Energy Data'!AF$8:AF$595,'Monthly Energy Data'!$D$8:$D$595,'Peak Load Projections'!$H351,'Monthly Energy Data'!$E$8:$E$595,'Peak Load Projections'!$I351)*VLOOKUP($I351,$A$3:$E$14,5)</f>
        <v>0</v>
      </c>
      <c r="M351" s="44">
        <f>+SUMIFS('Monthly Energy Data'!AG$8:AG$595,'Monthly Energy Data'!$D$8:$D$595,'Peak Load Projections'!$H351,'Monthly Energy Data'!$E$8:$E$595,'Peak Load Projections'!$I351)*VLOOKUP($I351,$A$3:$E$14,5)</f>
        <v>0</v>
      </c>
      <c r="N351" s="44">
        <f t="shared" si="71"/>
        <v>0</v>
      </c>
      <c r="O351" s="269" t="str">
        <f t="shared" si="69"/>
        <v>W</v>
      </c>
      <c r="AA351">
        <f t="shared" si="74"/>
        <v>2054</v>
      </c>
      <c r="AB351">
        <f t="shared" si="72"/>
        <v>1</v>
      </c>
      <c r="AC351" s="271">
        <f t="shared" si="73"/>
        <v>56250</v>
      </c>
      <c r="AD351" s="44">
        <f>+L351*VLOOKUP($AB351,'Peak Loads - 2022-2024'!$L$4:$M$15,2)</f>
        <v>0</v>
      </c>
      <c r="AE351" s="44">
        <f>+M351*VLOOKUP($AB351,'Peak Loads - 2022-2024'!$L$4:$M$15,2)</f>
        <v>0</v>
      </c>
      <c r="AF351" s="44">
        <f>+K351*VLOOKUP($AB351,'Peak Loads - 2022-2024'!$L$4:$M$15,2)</f>
        <v>0</v>
      </c>
      <c r="AG351" s="44"/>
    </row>
    <row r="352" spans="5:33" x14ac:dyDescent="0.2">
      <c r="E352" s="175"/>
      <c r="H352">
        <f t="shared" si="70"/>
        <v>2054</v>
      </c>
      <c r="I352">
        <f t="shared" si="68"/>
        <v>2</v>
      </c>
      <c r="J352" s="268">
        <v>56281</v>
      </c>
      <c r="K352" s="44">
        <f>+SUMIFS('Monthly Energy Data'!AE$8:AE$595,'Monthly Energy Data'!$D$8:$D$595,'Peak Load Projections'!$H352,'Monthly Energy Data'!$E$8:$E$595,'Peak Load Projections'!$I352)*VLOOKUP($I352,$A$3:$E$14,5)</f>
        <v>0</v>
      </c>
      <c r="L352" s="44">
        <f>+SUMIFS('Monthly Energy Data'!AF$8:AF$595,'Monthly Energy Data'!$D$8:$D$595,'Peak Load Projections'!$H352,'Monthly Energy Data'!$E$8:$E$595,'Peak Load Projections'!$I352)*VLOOKUP($I352,$A$3:$E$14,5)</f>
        <v>0</v>
      </c>
      <c r="M352" s="44">
        <f>+SUMIFS('Monthly Energy Data'!AG$8:AG$595,'Monthly Energy Data'!$D$8:$D$595,'Peak Load Projections'!$H352,'Monthly Energy Data'!$E$8:$E$595,'Peak Load Projections'!$I352)*VLOOKUP($I352,$A$3:$E$14,5)</f>
        <v>0</v>
      </c>
      <c r="N352" s="44">
        <f t="shared" si="71"/>
        <v>0</v>
      </c>
      <c r="O352" s="269" t="str">
        <f t="shared" si="69"/>
        <v>W</v>
      </c>
      <c r="AA352">
        <f t="shared" si="74"/>
        <v>2054</v>
      </c>
      <c r="AB352">
        <f t="shared" si="72"/>
        <v>2</v>
      </c>
      <c r="AC352" s="271">
        <f t="shared" si="73"/>
        <v>56281</v>
      </c>
      <c r="AD352" s="44">
        <f>+L352*VLOOKUP($AB352,'Peak Loads - 2022-2024'!$L$4:$M$15,2)</f>
        <v>0</v>
      </c>
      <c r="AE352" s="44">
        <f>+M352*VLOOKUP($AB352,'Peak Loads - 2022-2024'!$L$4:$M$15,2)</f>
        <v>0</v>
      </c>
      <c r="AF352" s="44">
        <f>+K352*VLOOKUP($AB352,'Peak Loads - 2022-2024'!$L$4:$M$15,2)</f>
        <v>0</v>
      </c>
      <c r="AG352" s="44"/>
    </row>
    <row r="353" spans="5:33" x14ac:dyDescent="0.2">
      <c r="E353" s="175"/>
      <c r="H353">
        <f t="shared" si="70"/>
        <v>2054</v>
      </c>
      <c r="I353">
        <f t="shared" si="68"/>
        <v>3</v>
      </c>
      <c r="J353" s="268">
        <v>56309</v>
      </c>
      <c r="K353" s="44">
        <f>+SUMIFS('Monthly Energy Data'!AE$8:AE$595,'Monthly Energy Data'!$D$8:$D$595,'Peak Load Projections'!$H353,'Monthly Energy Data'!$E$8:$E$595,'Peak Load Projections'!$I353)*VLOOKUP($I353,$A$3:$E$14,5)</f>
        <v>0</v>
      </c>
      <c r="L353" s="44">
        <f>+SUMIFS('Monthly Energy Data'!AF$8:AF$595,'Monthly Energy Data'!$D$8:$D$595,'Peak Load Projections'!$H353,'Monthly Energy Data'!$E$8:$E$595,'Peak Load Projections'!$I353)*VLOOKUP($I353,$A$3:$E$14,5)</f>
        <v>0</v>
      </c>
      <c r="M353" s="44">
        <f>+SUMIFS('Monthly Energy Data'!AG$8:AG$595,'Monthly Energy Data'!$D$8:$D$595,'Peak Load Projections'!$H353,'Monthly Energy Data'!$E$8:$E$595,'Peak Load Projections'!$I353)*VLOOKUP($I353,$A$3:$E$14,5)</f>
        <v>0</v>
      </c>
      <c r="N353" s="44">
        <f t="shared" si="71"/>
        <v>0</v>
      </c>
      <c r="O353" s="269" t="str">
        <f t="shared" si="69"/>
        <v>W</v>
      </c>
      <c r="AA353">
        <f t="shared" si="74"/>
        <v>2054</v>
      </c>
      <c r="AB353">
        <f t="shared" si="72"/>
        <v>3</v>
      </c>
      <c r="AC353" s="271">
        <f t="shared" si="73"/>
        <v>56309</v>
      </c>
      <c r="AD353" s="44">
        <f>+L353*VLOOKUP($AB353,'Peak Loads - 2022-2024'!$L$4:$M$15,2)</f>
        <v>0</v>
      </c>
      <c r="AE353" s="44">
        <f>+M353*VLOOKUP($AB353,'Peak Loads - 2022-2024'!$L$4:$M$15,2)</f>
        <v>0</v>
      </c>
      <c r="AF353" s="44">
        <f>+K353*VLOOKUP($AB353,'Peak Loads - 2022-2024'!$L$4:$M$15,2)</f>
        <v>0</v>
      </c>
      <c r="AG353" s="44"/>
    </row>
    <row r="354" spans="5:33" x14ac:dyDescent="0.2">
      <c r="E354" s="175"/>
      <c r="H354">
        <f t="shared" si="70"/>
        <v>2054</v>
      </c>
      <c r="I354">
        <f t="shared" si="68"/>
        <v>4</v>
      </c>
      <c r="J354" s="268">
        <v>56340</v>
      </c>
      <c r="K354" s="44">
        <f>+SUMIFS('Monthly Energy Data'!AE$8:AE$595,'Monthly Energy Data'!$D$8:$D$595,'Peak Load Projections'!$H354,'Monthly Energy Data'!$E$8:$E$595,'Peak Load Projections'!$I354)*VLOOKUP($I354,$A$3:$E$14,5)</f>
        <v>0</v>
      </c>
      <c r="L354" s="44">
        <f>+SUMIFS('Monthly Energy Data'!AF$8:AF$595,'Monthly Energy Data'!$D$8:$D$595,'Peak Load Projections'!$H354,'Monthly Energy Data'!$E$8:$E$595,'Peak Load Projections'!$I354)*VLOOKUP($I354,$A$3:$E$14,5)</f>
        <v>0</v>
      </c>
      <c r="M354" s="44">
        <f>+SUMIFS('Monthly Energy Data'!AG$8:AG$595,'Monthly Energy Data'!$D$8:$D$595,'Peak Load Projections'!$H354,'Monthly Energy Data'!$E$8:$E$595,'Peak Load Projections'!$I354)*VLOOKUP($I354,$A$3:$E$14,5)</f>
        <v>0</v>
      </c>
      <c r="N354" s="44">
        <f t="shared" si="71"/>
        <v>0</v>
      </c>
      <c r="O354" s="269" t="str">
        <f t="shared" si="69"/>
        <v>W</v>
      </c>
      <c r="AA354">
        <f t="shared" si="74"/>
        <v>2054</v>
      </c>
      <c r="AB354">
        <f t="shared" si="72"/>
        <v>4</v>
      </c>
      <c r="AC354" s="271">
        <f t="shared" si="73"/>
        <v>56340</v>
      </c>
      <c r="AD354" s="44">
        <f>+L354*VLOOKUP($AB354,'Peak Loads - 2022-2024'!$L$4:$M$15,2)</f>
        <v>0</v>
      </c>
      <c r="AE354" s="44">
        <f>+M354*VLOOKUP($AB354,'Peak Loads - 2022-2024'!$L$4:$M$15,2)</f>
        <v>0</v>
      </c>
      <c r="AF354" s="44">
        <f>+K354*VLOOKUP($AB354,'Peak Loads - 2022-2024'!$L$4:$M$15,2)</f>
        <v>0</v>
      </c>
      <c r="AG354" s="44"/>
    </row>
    <row r="355" spans="5:33" x14ac:dyDescent="0.2">
      <c r="E355" s="175"/>
      <c r="H355">
        <f t="shared" si="70"/>
        <v>2054</v>
      </c>
      <c r="I355">
        <f t="shared" si="68"/>
        <v>5</v>
      </c>
      <c r="J355" s="268">
        <v>56370</v>
      </c>
      <c r="K355" s="44">
        <f>+SUMIFS('Monthly Energy Data'!AE$8:AE$595,'Monthly Energy Data'!$D$8:$D$595,'Peak Load Projections'!$H355,'Monthly Energy Data'!$E$8:$E$595,'Peak Load Projections'!$I355)*VLOOKUP($I355,$A$3:$E$14,5)</f>
        <v>0</v>
      </c>
      <c r="L355" s="44">
        <f>+SUMIFS('Monthly Energy Data'!AF$8:AF$595,'Monthly Energy Data'!$D$8:$D$595,'Peak Load Projections'!$H355,'Monthly Energy Data'!$E$8:$E$595,'Peak Load Projections'!$I355)*VLOOKUP($I355,$A$3:$E$14,5)</f>
        <v>0</v>
      </c>
      <c r="M355" s="44">
        <f>+SUMIFS('Monthly Energy Data'!AG$8:AG$595,'Monthly Energy Data'!$D$8:$D$595,'Peak Load Projections'!$H355,'Monthly Energy Data'!$E$8:$E$595,'Peak Load Projections'!$I355)*VLOOKUP($I355,$A$3:$E$14,5)</f>
        <v>0</v>
      </c>
      <c r="N355" s="44">
        <f t="shared" si="71"/>
        <v>0</v>
      </c>
      <c r="O355" s="269" t="str">
        <f t="shared" si="69"/>
        <v>W</v>
      </c>
      <c r="AA355">
        <f t="shared" si="74"/>
        <v>2054</v>
      </c>
      <c r="AB355">
        <f t="shared" si="72"/>
        <v>5</v>
      </c>
      <c r="AC355" s="271">
        <f t="shared" si="73"/>
        <v>56370</v>
      </c>
      <c r="AD355" s="44">
        <f>+L355*VLOOKUP($AB355,'Peak Loads - 2022-2024'!$L$4:$M$15,2)</f>
        <v>0</v>
      </c>
      <c r="AE355" s="44">
        <f>+M355*VLOOKUP($AB355,'Peak Loads - 2022-2024'!$L$4:$M$15,2)</f>
        <v>0</v>
      </c>
      <c r="AF355" s="44">
        <f>+K355*VLOOKUP($AB355,'Peak Loads - 2022-2024'!$L$4:$M$15,2)</f>
        <v>0</v>
      </c>
      <c r="AG355" s="44"/>
    </row>
    <row r="356" spans="5:33" x14ac:dyDescent="0.2">
      <c r="E356" s="175"/>
      <c r="H356">
        <f t="shared" si="70"/>
        <v>2054</v>
      </c>
      <c r="I356">
        <f t="shared" si="68"/>
        <v>6</v>
      </c>
      <c r="J356" s="268">
        <v>56401</v>
      </c>
      <c r="K356" s="44">
        <f>+SUMIFS('Monthly Energy Data'!AE$8:AE$595,'Monthly Energy Data'!$D$8:$D$595,'Peak Load Projections'!$H356,'Monthly Energy Data'!$E$8:$E$595,'Peak Load Projections'!$I356)*VLOOKUP($I356,$A$3:$E$14,5)</f>
        <v>0</v>
      </c>
      <c r="L356" s="44">
        <f>+SUMIFS('Monthly Energy Data'!AF$8:AF$595,'Monthly Energy Data'!$D$8:$D$595,'Peak Load Projections'!$H356,'Monthly Energy Data'!$E$8:$E$595,'Peak Load Projections'!$I356)*VLOOKUP($I356,$A$3:$E$14,5)</f>
        <v>0</v>
      </c>
      <c r="M356" s="44">
        <f>+SUMIFS('Monthly Energy Data'!AG$8:AG$595,'Monthly Energy Data'!$D$8:$D$595,'Peak Load Projections'!$H356,'Monthly Energy Data'!$E$8:$E$595,'Peak Load Projections'!$I356)*VLOOKUP($I356,$A$3:$E$14,5)</f>
        <v>0</v>
      </c>
      <c r="N356" s="44">
        <f t="shared" si="71"/>
        <v>0</v>
      </c>
      <c r="O356" s="269" t="str">
        <f t="shared" si="69"/>
        <v>S</v>
      </c>
      <c r="AA356">
        <f t="shared" si="74"/>
        <v>2054</v>
      </c>
      <c r="AB356">
        <f t="shared" si="72"/>
        <v>6</v>
      </c>
      <c r="AC356" s="271">
        <f t="shared" si="73"/>
        <v>56401</v>
      </c>
      <c r="AD356" s="44">
        <f>+L356*VLOOKUP($AB356,'Peak Loads - 2022-2024'!$L$4:$M$15,2)</f>
        <v>0</v>
      </c>
      <c r="AE356" s="44">
        <f>+M356*VLOOKUP($AB356,'Peak Loads - 2022-2024'!$L$4:$M$15,2)</f>
        <v>0</v>
      </c>
      <c r="AF356" s="44">
        <f>+K356*VLOOKUP($AB356,'Peak Loads - 2022-2024'!$L$4:$M$15,2)</f>
        <v>0</v>
      </c>
      <c r="AG356" s="44"/>
    </row>
    <row r="357" spans="5:33" x14ac:dyDescent="0.2">
      <c r="E357" s="175"/>
      <c r="H357">
        <f t="shared" si="70"/>
        <v>2054</v>
      </c>
      <c r="I357">
        <f t="shared" si="68"/>
        <v>7</v>
      </c>
      <c r="J357" s="268">
        <v>56431</v>
      </c>
      <c r="K357" s="44">
        <f>+SUMIFS('Monthly Energy Data'!AE$8:AE$595,'Monthly Energy Data'!$D$8:$D$595,'Peak Load Projections'!$H357,'Monthly Energy Data'!$E$8:$E$595,'Peak Load Projections'!$I357)*VLOOKUP($I357,$A$3:$E$14,5)</f>
        <v>0</v>
      </c>
      <c r="L357" s="44">
        <f>+SUMIFS('Monthly Energy Data'!AF$8:AF$595,'Monthly Energy Data'!$D$8:$D$595,'Peak Load Projections'!$H357,'Monthly Energy Data'!$E$8:$E$595,'Peak Load Projections'!$I357)*VLOOKUP($I357,$A$3:$E$14,5)</f>
        <v>0</v>
      </c>
      <c r="M357" s="44">
        <f>+SUMIFS('Monthly Energy Data'!AG$8:AG$595,'Monthly Energy Data'!$D$8:$D$595,'Peak Load Projections'!$H357,'Monthly Energy Data'!$E$8:$E$595,'Peak Load Projections'!$I357)*VLOOKUP($I357,$A$3:$E$14,5)</f>
        <v>0</v>
      </c>
      <c r="N357" s="44">
        <f t="shared" si="71"/>
        <v>0</v>
      </c>
      <c r="O357" s="269" t="str">
        <f t="shared" si="69"/>
        <v>S</v>
      </c>
      <c r="AA357">
        <f t="shared" si="74"/>
        <v>2054</v>
      </c>
      <c r="AB357">
        <f t="shared" si="72"/>
        <v>7</v>
      </c>
      <c r="AC357" s="271">
        <f t="shared" si="73"/>
        <v>56431</v>
      </c>
      <c r="AD357" s="44">
        <f>+L357*VLOOKUP($AB357,'Peak Loads - 2022-2024'!$L$4:$M$15,2)</f>
        <v>0</v>
      </c>
      <c r="AE357" s="44">
        <f>+M357*VLOOKUP($AB357,'Peak Loads - 2022-2024'!$L$4:$M$15,2)</f>
        <v>0</v>
      </c>
      <c r="AF357" s="44">
        <f>+K357*VLOOKUP($AB357,'Peak Loads - 2022-2024'!$L$4:$M$15,2)</f>
        <v>0</v>
      </c>
      <c r="AG357" s="44"/>
    </row>
    <row r="358" spans="5:33" x14ac:dyDescent="0.2">
      <c r="E358" s="175"/>
      <c r="H358">
        <f t="shared" si="70"/>
        <v>2054</v>
      </c>
      <c r="I358">
        <f t="shared" si="68"/>
        <v>8</v>
      </c>
      <c r="J358" s="268">
        <v>56462</v>
      </c>
      <c r="K358" s="44">
        <f>+SUMIFS('Monthly Energy Data'!AE$8:AE$595,'Monthly Energy Data'!$D$8:$D$595,'Peak Load Projections'!$H358,'Monthly Energy Data'!$E$8:$E$595,'Peak Load Projections'!$I358)*VLOOKUP($I358,$A$3:$E$14,5)</f>
        <v>0</v>
      </c>
      <c r="L358" s="44">
        <f>+SUMIFS('Monthly Energy Data'!AF$8:AF$595,'Monthly Energy Data'!$D$8:$D$595,'Peak Load Projections'!$H358,'Monthly Energy Data'!$E$8:$E$595,'Peak Load Projections'!$I358)*VLOOKUP($I358,$A$3:$E$14,5)</f>
        <v>0</v>
      </c>
      <c r="M358" s="44">
        <f>+SUMIFS('Monthly Energy Data'!AG$8:AG$595,'Monthly Energy Data'!$D$8:$D$595,'Peak Load Projections'!$H358,'Monthly Energy Data'!$E$8:$E$595,'Peak Load Projections'!$I358)*VLOOKUP($I358,$A$3:$E$14,5)</f>
        <v>0</v>
      </c>
      <c r="N358" s="44">
        <f t="shared" si="71"/>
        <v>0</v>
      </c>
      <c r="O358" s="269" t="str">
        <f t="shared" si="69"/>
        <v>S</v>
      </c>
      <c r="AA358">
        <f t="shared" si="74"/>
        <v>2054</v>
      </c>
      <c r="AB358">
        <f t="shared" si="72"/>
        <v>8</v>
      </c>
      <c r="AC358" s="271">
        <f t="shared" si="73"/>
        <v>56462</v>
      </c>
      <c r="AD358" s="44">
        <f>+L358*VLOOKUP($AB358,'Peak Loads - 2022-2024'!$L$4:$M$15,2)</f>
        <v>0</v>
      </c>
      <c r="AE358" s="44">
        <f>+M358*VLOOKUP($AB358,'Peak Loads - 2022-2024'!$L$4:$M$15,2)</f>
        <v>0</v>
      </c>
      <c r="AF358" s="44">
        <f>+K358*VLOOKUP($AB358,'Peak Loads - 2022-2024'!$L$4:$M$15,2)</f>
        <v>0</v>
      </c>
      <c r="AG358" s="44"/>
    </row>
    <row r="359" spans="5:33" x14ac:dyDescent="0.2">
      <c r="E359" s="175"/>
      <c r="H359">
        <f t="shared" si="70"/>
        <v>2054</v>
      </c>
      <c r="I359">
        <f t="shared" si="68"/>
        <v>9</v>
      </c>
      <c r="J359" s="268">
        <v>56493</v>
      </c>
      <c r="K359" s="44">
        <f>+SUMIFS('Monthly Energy Data'!AE$8:AE$595,'Monthly Energy Data'!$D$8:$D$595,'Peak Load Projections'!$H359,'Monthly Energy Data'!$E$8:$E$595,'Peak Load Projections'!$I359)*VLOOKUP($I359,$A$3:$E$14,5)</f>
        <v>0</v>
      </c>
      <c r="L359" s="44">
        <f>+SUMIFS('Monthly Energy Data'!AF$8:AF$595,'Monthly Energy Data'!$D$8:$D$595,'Peak Load Projections'!$H359,'Monthly Energy Data'!$E$8:$E$595,'Peak Load Projections'!$I359)*VLOOKUP($I359,$A$3:$E$14,5)</f>
        <v>0</v>
      </c>
      <c r="M359" s="44">
        <f>+SUMIFS('Monthly Energy Data'!AG$8:AG$595,'Monthly Energy Data'!$D$8:$D$595,'Peak Load Projections'!$H359,'Monthly Energy Data'!$E$8:$E$595,'Peak Load Projections'!$I359)*VLOOKUP($I359,$A$3:$E$14,5)</f>
        <v>0</v>
      </c>
      <c r="N359" s="44">
        <f t="shared" si="71"/>
        <v>0</v>
      </c>
      <c r="O359" s="269" t="str">
        <f t="shared" si="69"/>
        <v>S</v>
      </c>
      <c r="AA359">
        <f t="shared" si="74"/>
        <v>2054</v>
      </c>
      <c r="AB359">
        <f t="shared" si="72"/>
        <v>9</v>
      </c>
      <c r="AC359" s="271">
        <f t="shared" si="73"/>
        <v>56493</v>
      </c>
      <c r="AD359" s="44">
        <f>+L359*VLOOKUP($AB359,'Peak Loads - 2022-2024'!$L$4:$M$15,2)</f>
        <v>0</v>
      </c>
      <c r="AE359" s="44">
        <f>+M359*VLOOKUP($AB359,'Peak Loads - 2022-2024'!$L$4:$M$15,2)</f>
        <v>0</v>
      </c>
      <c r="AF359" s="44">
        <f>+K359*VLOOKUP($AB359,'Peak Loads - 2022-2024'!$L$4:$M$15,2)</f>
        <v>0</v>
      </c>
      <c r="AG359" s="44"/>
    </row>
    <row r="360" spans="5:33" x14ac:dyDescent="0.2">
      <c r="E360" s="175"/>
      <c r="H360">
        <f t="shared" si="70"/>
        <v>2054</v>
      </c>
      <c r="I360">
        <f t="shared" si="68"/>
        <v>10</v>
      </c>
      <c r="J360" s="268">
        <v>56523</v>
      </c>
      <c r="K360" s="44">
        <f>+SUMIFS('Monthly Energy Data'!AE$8:AE$595,'Monthly Energy Data'!$D$8:$D$595,'Peak Load Projections'!$H360,'Monthly Energy Data'!$E$8:$E$595,'Peak Load Projections'!$I360)*VLOOKUP($I360,$A$3:$E$14,5)</f>
        <v>0</v>
      </c>
      <c r="L360" s="44">
        <f>+SUMIFS('Monthly Energy Data'!AF$8:AF$595,'Monthly Energy Data'!$D$8:$D$595,'Peak Load Projections'!$H360,'Monthly Energy Data'!$E$8:$E$595,'Peak Load Projections'!$I360)*VLOOKUP($I360,$A$3:$E$14,5)</f>
        <v>0</v>
      </c>
      <c r="M360" s="44">
        <f>+SUMIFS('Monthly Energy Data'!AG$8:AG$595,'Monthly Energy Data'!$D$8:$D$595,'Peak Load Projections'!$H360,'Monthly Energy Data'!$E$8:$E$595,'Peak Load Projections'!$I360)*VLOOKUP($I360,$A$3:$E$14,5)</f>
        <v>0</v>
      </c>
      <c r="N360" s="44">
        <f t="shared" si="71"/>
        <v>0</v>
      </c>
      <c r="O360" s="269" t="str">
        <f t="shared" si="69"/>
        <v>W</v>
      </c>
      <c r="AA360">
        <f t="shared" si="74"/>
        <v>2054</v>
      </c>
      <c r="AB360">
        <f t="shared" si="72"/>
        <v>10</v>
      </c>
      <c r="AC360" s="271">
        <f t="shared" si="73"/>
        <v>56523</v>
      </c>
      <c r="AD360" s="44">
        <f>+L360*VLOOKUP($AB360,'Peak Loads - 2022-2024'!$L$4:$M$15,2)</f>
        <v>0</v>
      </c>
      <c r="AE360" s="44">
        <f>+M360*VLOOKUP($AB360,'Peak Loads - 2022-2024'!$L$4:$M$15,2)</f>
        <v>0</v>
      </c>
      <c r="AF360" s="44">
        <f>+K360*VLOOKUP($AB360,'Peak Loads - 2022-2024'!$L$4:$M$15,2)</f>
        <v>0</v>
      </c>
      <c r="AG360" s="44"/>
    </row>
    <row r="361" spans="5:33" x14ac:dyDescent="0.2">
      <c r="E361" s="175"/>
      <c r="H361">
        <f t="shared" si="70"/>
        <v>2054</v>
      </c>
      <c r="I361">
        <f t="shared" si="68"/>
        <v>11</v>
      </c>
      <c r="J361" s="268">
        <v>56554</v>
      </c>
      <c r="K361" s="44">
        <f>+SUMIFS('Monthly Energy Data'!AE$8:AE$595,'Monthly Energy Data'!$D$8:$D$595,'Peak Load Projections'!$H361,'Monthly Energy Data'!$E$8:$E$595,'Peak Load Projections'!$I361)*VLOOKUP($I361,$A$3:$E$14,5)</f>
        <v>0</v>
      </c>
      <c r="L361" s="44">
        <f>+SUMIFS('Monthly Energy Data'!AF$8:AF$595,'Monthly Energy Data'!$D$8:$D$595,'Peak Load Projections'!$H361,'Monthly Energy Data'!$E$8:$E$595,'Peak Load Projections'!$I361)*VLOOKUP($I361,$A$3:$E$14,5)</f>
        <v>0</v>
      </c>
      <c r="M361" s="44">
        <f>+SUMIFS('Monthly Energy Data'!AG$8:AG$595,'Monthly Energy Data'!$D$8:$D$595,'Peak Load Projections'!$H361,'Monthly Energy Data'!$E$8:$E$595,'Peak Load Projections'!$I361)*VLOOKUP($I361,$A$3:$E$14,5)</f>
        <v>0</v>
      </c>
      <c r="N361" s="44">
        <f t="shared" si="71"/>
        <v>0</v>
      </c>
      <c r="O361" s="269" t="str">
        <f t="shared" si="69"/>
        <v>W</v>
      </c>
      <c r="AA361">
        <f t="shared" si="74"/>
        <v>2054</v>
      </c>
      <c r="AB361">
        <f t="shared" si="72"/>
        <v>11</v>
      </c>
      <c r="AC361" s="271">
        <f t="shared" si="73"/>
        <v>56554</v>
      </c>
      <c r="AD361" s="44">
        <f>+L361*VLOOKUP($AB361,'Peak Loads - 2022-2024'!$L$4:$M$15,2)</f>
        <v>0</v>
      </c>
      <c r="AE361" s="44">
        <f>+M361*VLOOKUP($AB361,'Peak Loads - 2022-2024'!$L$4:$M$15,2)</f>
        <v>0</v>
      </c>
      <c r="AF361" s="44">
        <f>+K361*VLOOKUP($AB361,'Peak Loads - 2022-2024'!$L$4:$M$15,2)</f>
        <v>0</v>
      </c>
      <c r="AG361" s="44"/>
    </row>
    <row r="362" spans="5:33" x14ac:dyDescent="0.2">
      <c r="E362" s="175"/>
      <c r="H362">
        <f t="shared" si="70"/>
        <v>2054</v>
      </c>
      <c r="I362">
        <f t="shared" si="68"/>
        <v>12</v>
      </c>
      <c r="J362" s="268">
        <v>56584</v>
      </c>
      <c r="K362" s="44">
        <f>+SUMIFS('Monthly Energy Data'!AE$8:AE$595,'Monthly Energy Data'!$D$8:$D$595,'Peak Load Projections'!$H362,'Monthly Energy Data'!$E$8:$E$595,'Peak Load Projections'!$I362)*VLOOKUP($I362,$A$3:$E$14,5)</f>
        <v>0</v>
      </c>
      <c r="L362" s="44">
        <f>+SUMIFS('Monthly Energy Data'!AF$8:AF$595,'Monthly Energy Data'!$D$8:$D$595,'Peak Load Projections'!$H362,'Monthly Energy Data'!$E$8:$E$595,'Peak Load Projections'!$I362)*VLOOKUP($I362,$A$3:$E$14,5)</f>
        <v>0</v>
      </c>
      <c r="M362" s="44">
        <f>+SUMIFS('Monthly Energy Data'!AG$8:AG$595,'Monthly Energy Data'!$D$8:$D$595,'Peak Load Projections'!$H362,'Monthly Energy Data'!$E$8:$E$595,'Peak Load Projections'!$I362)*VLOOKUP($I362,$A$3:$E$14,5)</f>
        <v>0</v>
      </c>
      <c r="N362" s="44">
        <f t="shared" si="71"/>
        <v>0</v>
      </c>
      <c r="O362" s="269" t="str">
        <f t="shared" si="69"/>
        <v>W</v>
      </c>
      <c r="AA362">
        <f t="shared" si="74"/>
        <v>2054</v>
      </c>
      <c r="AB362">
        <f t="shared" si="72"/>
        <v>12</v>
      </c>
      <c r="AC362" s="271">
        <f t="shared" si="73"/>
        <v>56584</v>
      </c>
      <c r="AD362" s="44">
        <f>+L362*VLOOKUP($AB362,'Peak Loads - 2022-2024'!$L$4:$M$15,2)</f>
        <v>0</v>
      </c>
      <c r="AE362" s="44">
        <f>+M362*VLOOKUP($AB362,'Peak Loads - 2022-2024'!$L$4:$M$15,2)</f>
        <v>0</v>
      </c>
      <c r="AF362" s="44">
        <f>+K362*VLOOKUP($AB362,'Peak Loads - 2022-2024'!$L$4:$M$15,2)</f>
        <v>0</v>
      </c>
      <c r="AG362" s="44"/>
    </row>
    <row r="363" spans="5:33" x14ac:dyDescent="0.2">
      <c r="E363" s="175"/>
      <c r="H363">
        <f t="shared" si="70"/>
        <v>2055</v>
      </c>
      <c r="I363">
        <f t="shared" si="68"/>
        <v>1</v>
      </c>
      <c r="J363" s="268">
        <v>56615</v>
      </c>
      <c r="K363" s="44">
        <f>+SUMIFS('Monthly Energy Data'!AE$8:AE$595,'Monthly Energy Data'!$D$8:$D$595,'Peak Load Projections'!$H363,'Monthly Energy Data'!$E$8:$E$595,'Peak Load Projections'!$I363)*VLOOKUP($I363,$A$3:$E$14,5)</f>
        <v>0</v>
      </c>
      <c r="L363" s="44">
        <f>+SUMIFS('Monthly Energy Data'!AF$8:AF$595,'Monthly Energy Data'!$D$8:$D$595,'Peak Load Projections'!$H363,'Monthly Energy Data'!$E$8:$E$595,'Peak Load Projections'!$I363)*VLOOKUP($I363,$A$3:$E$14,5)</f>
        <v>0</v>
      </c>
      <c r="M363" s="44">
        <f>+SUMIFS('Monthly Energy Data'!AG$8:AG$595,'Monthly Energy Data'!$D$8:$D$595,'Peak Load Projections'!$H363,'Monthly Energy Data'!$E$8:$E$595,'Peak Load Projections'!$I363)*VLOOKUP($I363,$A$3:$E$14,5)</f>
        <v>0</v>
      </c>
      <c r="N363" s="44">
        <f t="shared" si="71"/>
        <v>0</v>
      </c>
      <c r="O363" s="269" t="str">
        <f t="shared" si="69"/>
        <v>W</v>
      </c>
      <c r="AA363">
        <f t="shared" si="74"/>
        <v>2055</v>
      </c>
      <c r="AB363">
        <f t="shared" si="72"/>
        <v>1</v>
      </c>
      <c r="AC363" s="271">
        <f t="shared" si="73"/>
        <v>56615</v>
      </c>
      <c r="AD363" s="44">
        <f>+L363*VLOOKUP($AB363,'Peak Loads - 2022-2024'!$L$4:$M$15,2)</f>
        <v>0</v>
      </c>
      <c r="AE363" s="44">
        <f>+M363*VLOOKUP($AB363,'Peak Loads - 2022-2024'!$L$4:$M$15,2)</f>
        <v>0</v>
      </c>
      <c r="AF363" s="44">
        <f>+K363*VLOOKUP($AB363,'Peak Loads - 2022-2024'!$L$4:$M$15,2)</f>
        <v>0</v>
      </c>
      <c r="AG363" s="44"/>
    </row>
    <row r="364" spans="5:33" x14ac:dyDescent="0.2">
      <c r="E364" s="175"/>
      <c r="H364">
        <f t="shared" si="70"/>
        <v>2055</v>
      </c>
      <c r="I364">
        <f t="shared" si="68"/>
        <v>2</v>
      </c>
      <c r="J364" s="268">
        <v>56646</v>
      </c>
      <c r="K364" s="44">
        <f>+SUMIFS('Monthly Energy Data'!AE$8:AE$595,'Monthly Energy Data'!$D$8:$D$595,'Peak Load Projections'!$H364,'Monthly Energy Data'!$E$8:$E$595,'Peak Load Projections'!$I364)*VLOOKUP($I364,$A$3:$E$14,5)</f>
        <v>0</v>
      </c>
      <c r="L364" s="44">
        <f>+SUMIFS('Monthly Energy Data'!AF$8:AF$595,'Monthly Energy Data'!$D$8:$D$595,'Peak Load Projections'!$H364,'Monthly Energy Data'!$E$8:$E$595,'Peak Load Projections'!$I364)*VLOOKUP($I364,$A$3:$E$14,5)</f>
        <v>0</v>
      </c>
      <c r="M364" s="44">
        <f>+SUMIFS('Monthly Energy Data'!AG$8:AG$595,'Monthly Energy Data'!$D$8:$D$595,'Peak Load Projections'!$H364,'Monthly Energy Data'!$E$8:$E$595,'Peak Load Projections'!$I364)*VLOOKUP($I364,$A$3:$E$14,5)</f>
        <v>0</v>
      </c>
      <c r="N364" s="44">
        <f t="shared" si="71"/>
        <v>0</v>
      </c>
      <c r="O364" s="269" t="str">
        <f t="shared" si="69"/>
        <v>W</v>
      </c>
      <c r="AA364">
        <f t="shared" si="74"/>
        <v>2055</v>
      </c>
      <c r="AB364">
        <f t="shared" si="72"/>
        <v>2</v>
      </c>
      <c r="AC364" s="271">
        <f t="shared" si="73"/>
        <v>56646</v>
      </c>
      <c r="AD364" s="44">
        <f>+L364*VLOOKUP($AB364,'Peak Loads - 2022-2024'!$L$4:$M$15,2)</f>
        <v>0</v>
      </c>
      <c r="AE364" s="44">
        <f>+M364*VLOOKUP($AB364,'Peak Loads - 2022-2024'!$L$4:$M$15,2)</f>
        <v>0</v>
      </c>
      <c r="AF364" s="44">
        <f>+K364*VLOOKUP($AB364,'Peak Loads - 2022-2024'!$L$4:$M$15,2)</f>
        <v>0</v>
      </c>
      <c r="AG364" s="44"/>
    </row>
    <row r="365" spans="5:33" x14ac:dyDescent="0.2">
      <c r="E365" s="175"/>
      <c r="H365">
        <f t="shared" si="70"/>
        <v>2055</v>
      </c>
      <c r="I365">
        <f t="shared" si="68"/>
        <v>3</v>
      </c>
      <c r="J365" s="268">
        <v>56674</v>
      </c>
      <c r="K365" s="44">
        <f>+SUMIFS('Monthly Energy Data'!AE$8:AE$595,'Monthly Energy Data'!$D$8:$D$595,'Peak Load Projections'!$H365,'Monthly Energy Data'!$E$8:$E$595,'Peak Load Projections'!$I365)*VLOOKUP($I365,$A$3:$E$14,5)</f>
        <v>0</v>
      </c>
      <c r="L365" s="44">
        <f>+SUMIFS('Monthly Energy Data'!AF$8:AF$595,'Monthly Energy Data'!$D$8:$D$595,'Peak Load Projections'!$H365,'Monthly Energy Data'!$E$8:$E$595,'Peak Load Projections'!$I365)*VLOOKUP($I365,$A$3:$E$14,5)</f>
        <v>0</v>
      </c>
      <c r="M365" s="44">
        <f>+SUMIFS('Monthly Energy Data'!AG$8:AG$595,'Monthly Energy Data'!$D$8:$D$595,'Peak Load Projections'!$H365,'Monthly Energy Data'!$E$8:$E$595,'Peak Load Projections'!$I365)*VLOOKUP($I365,$A$3:$E$14,5)</f>
        <v>0</v>
      </c>
      <c r="N365" s="44">
        <f t="shared" si="71"/>
        <v>0</v>
      </c>
      <c r="O365" s="269" t="str">
        <f t="shared" si="69"/>
        <v>W</v>
      </c>
      <c r="AA365">
        <f t="shared" si="74"/>
        <v>2055</v>
      </c>
      <c r="AB365">
        <f t="shared" si="72"/>
        <v>3</v>
      </c>
      <c r="AC365" s="271">
        <f t="shared" si="73"/>
        <v>56674</v>
      </c>
      <c r="AD365" s="44">
        <f>+L365*VLOOKUP($AB365,'Peak Loads - 2022-2024'!$L$4:$M$15,2)</f>
        <v>0</v>
      </c>
      <c r="AE365" s="44">
        <f>+M365*VLOOKUP($AB365,'Peak Loads - 2022-2024'!$L$4:$M$15,2)</f>
        <v>0</v>
      </c>
      <c r="AF365" s="44">
        <f>+K365*VLOOKUP($AB365,'Peak Loads - 2022-2024'!$L$4:$M$15,2)</f>
        <v>0</v>
      </c>
      <c r="AG365" s="44"/>
    </row>
    <row r="366" spans="5:33" x14ac:dyDescent="0.2">
      <c r="E366" s="175"/>
      <c r="H366">
        <f t="shared" si="70"/>
        <v>2055</v>
      </c>
      <c r="I366">
        <f t="shared" si="68"/>
        <v>4</v>
      </c>
      <c r="J366" s="268">
        <v>56705</v>
      </c>
      <c r="K366" s="44">
        <f>+SUMIFS('Monthly Energy Data'!AE$8:AE$595,'Monthly Energy Data'!$D$8:$D$595,'Peak Load Projections'!$H366,'Monthly Energy Data'!$E$8:$E$595,'Peak Load Projections'!$I366)*VLOOKUP($I366,$A$3:$E$14,5)</f>
        <v>0</v>
      </c>
      <c r="L366" s="44">
        <f>+SUMIFS('Monthly Energy Data'!AF$8:AF$595,'Monthly Energy Data'!$D$8:$D$595,'Peak Load Projections'!$H366,'Monthly Energy Data'!$E$8:$E$595,'Peak Load Projections'!$I366)*VLOOKUP($I366,$A$3:$E$14,5)</f>
        <v>0</v>
      </c>
      <c r="M366" s="44">
        <f>+SUMIFS('Monthly Energy Data'!AG$8:AG$595,'Monthly Energy Data'!$D$8:$D$595,'Peak Load Projections'!$H366,'Monthly Energy Data'!$E$8:$E$595,'Peak Load Projections'!$I366)*VLOOKUP($I366,$A$3:$E$14,5)</f>
        <v>0</v>
      </c>
      <c r="N366" s="44">
        <f t="shared" si="71"/>
        <v>0</v>
      </c>
      <c r="O366" s="269" t="str">
        <f t="shared" si="69"/>
        <v>W</v>
      </c>
      <c r="AA366">
        <f t="shared" si="74"/>
        <v>2055</v>
      </c>
      <c r="AB366">
        <f t="shared" si="72"/>
        <v>4</v>
      </c>
      <c r="AC366" s="271">
        <f t="shared" si="73"/>
        <v>56705</v>
      </c>
      <c r="AD366" s="44">
        <f>+L366*VLOOKUP($AB366,'Peak Loads - 2022-2024'!$L$4:$M$15,2)</f>
        <v>0</v>
      </c>
      <c r="AE366" s="44">
        <f>+M366*VLOOKUP($AB366,'Peak Loads - 2022-2024'!$L$4:$M$15,2)</f>
        <v>0</v>
      </c>
      <c r="AF366" s="44">
        <f>+K366*VLOOKUP($AB366,'Peak Loads - 2022-2024'!$L$4:$M$15,2)</f>
        <v>0</v>
      </c>
      <c r="AG366" s="44"/>
    </row>
    <row r="367" spans="5:33" x14ac:dyDescent="0.2">
      <c r="E367" s="175"/>
      <c r="H367">
        <f t="shared" si="70"/>
        <v>2055</v>
      </c>
      <c r="I367">
        <f t="shared" si="68"/>
        <v>5</v>
      </c>
      <c r="J367" s="268">
        <v>56735</v>
      </c>
      <c r="K367" s="44">
        <f>+SUMIFS('Monthly Energy Data'!AE$8:AE$595,'Monthly Energy Data'!$D$8:$D$595,'Peak Load Projections'!$H367,'Monthly Energy Data'!$E$8:$E$595,'Peak Load Projections'!$I367)*VLOOKUP($I367,$A$3:$E$14,5)</f>
        <v>0</v>
      </c>
      <c r="L367" s="44">
        <f>+SUMIFS('Monthly Energy Data'!AF$8:AF$595,'Monthly Energy Data'!$D$8:$D$595,'Peak Load Projections'!$H367,'Monthly Energy Data'!$E$8:$E$595,'Peak Load Projections'!$I367)*VLOOKUP($I367,$A$3:$E$14,5)</f>
        <v>0</v>
      </c>
      <c r="M367" s="44">
        <f>+SUMIFS('Monthly Energy Data'!AG$8:AG$595,'Monthly Energy Data'!$D$8:$D$595,'Peak Load Projections'!$H367,'Monthly Energy Data'!$E$8:$E$595,'Peak Load Projections'!$I367)*VLOOKUP($I367,$A$3:$E$14,5)</f>
        <v>0</v>
      </c>
      <c r="N367" s="44">
        <f t="shared" si="71"/>
        <v>0</v>
      </c>
      <c r="O367" s="269" t="str">
        <f t="shared" si="69"/>
        <v>W</v>
      </c>
      <c r="AA367">
        <f t="shared" si="74"/>
        <v>2055</v>
      </c>
      <c r="AB367">
        <f t="shared" si="72"/>
        <v>5</v>
      </c>
      <c r="AC367" s="271">
        <f t="shared" si="73"/>
        <v>56735</v>
      </c>
      <c r="AD367" s="44">
        <f>+L367*VLOOKUP($AB367,'Peak Loads - 2022-2024'!$L$4:$M$15,2)</f>
        <v>0</v>
      </c>
      <c r="AE367" s="44">
        <f>+M367*VLOOKUP($AB367,'Peak Loads - 2022-2024'!$L$4:$M$15,2)</f>
        <v>0</v>
      </c>
      <c r="AF367" s="44">
        <f>+K367*VLOOKUP($AB367,'Peak Loads - 2022-2024'!$L$4:$M$15,2)</f>
        <v>0</v>
      </c>
      <c r="AG367" s="44"/>
    </row>
    <row r="368" spans="5:33" x14ac:dyDescent="0.2">
      <c r="E368" s="175"/>
      <c r="H368">
        <f t="shared" si="70"/>
        <v>2055</v>
      </c>
      <c r="I368">
        <f t="shared" si="68"/>
        <v>6</v>
      </c>
      <c r="J368" s="268">
        <v>56766</v>
      </c>
      <c r="K368" s="44">
        <f>+SUMIFS('Monthly Energy Data'!AE$8:AE$595,'Monthly Energy Data'!$D$8:$D$595,'Peak Load Projections'!$H368,'Monthly Energy Data'!$E$8:$E$595,'Peak Load Projections'!$I368)*VLOOKUP($I368,$A$3:$E$14,5)</f>
        <v>0</v>
      </c>
      <c r="L368" s="44">
        <f>+SUMIFS('Monthly Energy Data'!AF$8:AF$595,'Monthly Energy Data'!$D$8:$D$595,'Peak Load Projections'!$H368,'Monthly Energy Data'!$E$8:$E$595,'Peak Load Projections'!$I368)*VLOOKUP($I368,$A$3:$E$14,5)</f>
        <v>0</v>
      </c>
      <c r="M368" s="44">
        <f>+SUMIFS('Monthly Energy Data'!AG$8:AG$595,'Monthly Energy Data'!$D$8:$D$595,'Peak Load Projections'!$H368,'Monthly Energy Data'!$E$8:$E$595,'Peak Load Projections'!$I368)*VLOOKUP($I368,$A$3:$E$14,5)</f>
        <v>0</v>
      </c>
      <c r="N368" s="44">
        <f t="shared" si="71"/>
        <v>0</v>
      </c>
      <c r="O368" s="269" t="str">
        <f t="shared" si="69"/>
        <v>S</v>
      </c>
      <c r="AA368">
        <f t="shared" si="74"/>
        <v>2055</v>
      </c>
      <c r="AB368">
        <f t="shared" si="72"/>
        <v>6</v>
      </c>
      <c r="AC368" s="271">
        <f t="shared" si="73"/>
        <v>56766</v>
      </c>
      <c r="AD368" s="44">
        <f>+L368*VLOOKUP($AB368,'Peak Loads - 2022-2024'!$L$4:$M$15,2)</f>
        <v>0</v>
      </c>
      <c r="AE368" s="44">
        <f>+M368*VLOOKUP($AB368,'Peak Loads - 2022-2024'!$L$4:$M$15,2)</f>
        <v>0</v>
      </c>
      <c r="AF368" s="44">
        <f>+K368*VLOOKUP($AB368,'Peak Loads - 2022-2024'!$L$4:$M$15,2)</f>
        <v>0</v>
      </c>
      <c r="AG368" s="44"/>
    </row>
    <row r="369" spans="5:33" x14ac:dyDescent="0.2">
      <c r="E369" s="175"/>
      <c r="H369">
        <f t="shared" si="70"/>
        <v>2055</v>
      </c>
      <c r="I369">
        <f t="shared" si="68"/>
        <v>7</v>
      </c>
      <c r="J369" s="268">
        <v>56796</v>
      </c>
      <c r="K369" s="44">
        <f>+SUMIFS('Monthly Energy Data'!AE$8:AE$595,'Monthly Energy Data'!$D$8:$D$595,'Peak Load Projections'!$H369,'Monthly Energy Data'!$E$8:$E$595,'Peak Load Projections'!$I369)*VLOOKUP($I369,$A$3:$E$14,5)</f>
        <v>0</v>
      </c>
      <c r="L369" s="44">
        <f>+SUMIFS('Monthly Energy Data'!AF$8:AF$595,'Monthly Energy Data'!$D$8:$D$595,'Peak Load Projections'!$H369,'Monthly Energy Data'!$E$8:$E$595,'Peak Load Projections'!$I369)*VLOOKUP($I369,$A$3:$E$14,5)</f>
        <v>0</v>
      </c>
      <c r="M369" s="44">
        <f>+SUMIFS('Monthly Energy Data'!AG$8:AG$595,'Monthly Energy Data'!$D$8:$D$595,'Peak Load Projections'!$H369,'Monthly Energy Data'!$E$8:$E$595,'Peak Load Projections'!$I369)*VLOOKUP($I369,$A$3:$E$14,5)</f>
        <v>0</v>
      </c>
      <c r="N369" s="44">
        <f t="shared" si="71"/>
        <v>0</v>
      </c>
      <c r="O369" s="269" t="str">
        <f t="shared" si="69"/>
        <v>S</v>
      </c>
      <c r="AA369">
        <f t="shared" si="74"/>
        <v>2055</v>
      </c>
      <c r="AB369">
        <f t="shared" si="72"/>
        <v>7</v>
      </c>
      <c r="AC369" s="271">
        <f t="shared" si="73"/>
        <v>56796</v>
      </c>
      <c r="AD369" s="44">
        <f>+L369*VLOOKUP($AB369,'Peak Loads - 2022-2024'!$L$4:$M$15,2)</f>
        <v>0</v>
      </c>
      <c r="AE369" s="44">
        <f>+M369*VLOOKUP($AB369,'Peak Loads - 2022-2024'!$L$4:$M$15,2)</f>
        <v>0</v>
      </c>
      <c r="AF369" s="44">
        <f>+K369*VLOOKUP($AB369,'Peak Loads - 2022-2024'!$L$4:$M$15,2)</f>
        <v>0</v>
      </c>
      <c r="AG369" s="44"/>
    </row>
    <row r="370" spans="5:33" x14ac:dyDescent="0.2">
      <c r="E370" s="175"/>
      <c r="H370">
        <f t="shared" si="70"/>
        <v>2055</v>
      </c>
      <c r="I370">
        <f t="shared" si="68"/>
        <v>8</v>
      </c>
      <c r="J370" s="268">
        <v>56827</v>
      </c>
      <c r="K370" s="44">
        <f>+SUMIFS('Monthly Energy Data'!AE$8:AE$595,'Monthly Energy Data'!$D$8:$D$595,'Peak Load Projections'!$H370,'Monthly Energy Data'!$E$8:$E$595,'Peak Load Projections'!$I370)*VLOOKUP($I370,$A$3:$E$14,5)</f>
        <v>0</v>
      </c>
      <c r="L370" s="44">
        <f>+SUMIFS('Monthly Energy Data'!AF$8:AF$595,'Monthly Energy Data'!$D$8:$D$595,'Peak Load Projections'!$H370,'Monthly Energy Data'!$E$8:$E$595,'Peak Load Projections'!$I370)*VLOOKUP($I370,$A$3:$E$14,5)</f>
        <v>0</v>
      </c>
      <c r="M370" s="44">
        <f>+SUMIFS('Monthly Energy Data'!AG$8:AG$595,'Monthly Energy Data'!$D$8:$D$595,'Peak Load Projections'!$H370,'Monthly Energy Data'!$E$8:$E$595,'Peak Load Projections'!$I370)*VLOOKUP($I370,$A$3:$E$14,5)</f>
        <v>0</v>
      </c>
      <c r="N370" s="44">
        <f t="shared" si="71"/>
        <v>0</v>
      </c>
      <c r="O370" s="269" t="str">
        <f t="shared" si="69"/>
        <v>S</v>
      </c>
      <c r="AA370">
        <f t="shared" si="74"/>
        <v>2055</v>
      </c>
      <c r="AB370">
        <f t="shared" si="72"/>
        <v>8</v>
      </c>
      <c r="AC370" s="271">
        <f t="shared" si="73"/>
        <v>56827</v>
      </c>
      <c r="AD370" s="44">
        <f>+L370*VLOOKUP($AB370,'Peak Loads - 2022-2024'!$L$4:$M$15,2)</f>
        <v>0</v>
      </c>
      <c r="AE370" s="44">
        <f>+M370*VLOOKUP($AB370,'Peak Loads - 2022-2024'!$L$4:$M$15,2)</f>
        <v>0</v>
      </c>
      <c r="AF370" s="44">
        <f>+K370*VLOOKUP($AB370,'Peak Loads - 2022-2024'!$L$4:$M$15,2)</f>
        <v>0</v>
      </c>
      <c r="AG370" s="44"/>
    </row>
    <row r="371" spans="5:33" x14ac:dyDescent="0.2">
      <c r="E371" s="175"/>
      <c r="H371">
        <f t="shared" si="70"/>
        <v>2055</v>
      </c>
      <c r="I371">
        <f t="shared" si="68"/>
        <v>9</v>
      </c>
      <c r="J371" s="268">
        <v>56858</v>
      </c>
      <c r="K371" s="44">
        <f>+SUMIFS('Monthly Energy Data'!AE$8:AE$595,'Monthly Energy Data'!$D$8:$D$595,'Peak Load Projections'!$H371,'Monthly Energy Data'!$E$8:$E$595,'Peak Load Projections'!$I371)*VLOOKUP($I371,$A$3:$E$14,5)</f>
        <v>0</v>
      </c>
      <c r="L371" s="44">
        <f>+SUMIFS('Monthly Energy Data'!AF$8:AF$595,'Monthly Energy Data'!$D$8:$D$595,'Peak Load Projections'!$H371,'Monthly Energy Data'!$E$8:$E$595,'Peak Load Projections'!$I371)*VLOOKUP($I371,$A$3:$E$14,5)</f>
        <v>0</v>
      </c>
      <c r="M371" s="44">
        <f>+SUMIFS('Monthly Energy Data'!AG$8:AG$595,'Monthly Energy Data'!$D$8:$D$595,'Peak Load Projections'!$H371,'Monthly Energy Data'!$E$8:$E$595,'Peak Load Projections'!$I371)*VLOOKUP($I371,$A$3:$E$14,5)</f>
        <v>0</v>
      </c>
      <c r="N371" s="44">
        <f t="shared" si="71"/>
        <v>0</v>
      </c>
      <c r="O371" s="269" t="str">
        <f t="shared" si="69"/>
        <v>S</v>
      </c>
      <c r="AA371">
        <f t="shared" si="74"/>
        <v>2055</v>
      </c>
      <c r="AB371">
        <f t="shared" si="72"/>
        <v>9</v>
      </c>
      <c r="AC371" s="271">
        <f t="shared" si="73"/>
        <v>56858</v>
      </c>
      <c r="AD371" s="44">
        <f>+L371*VLOOKUP($AB371,'Peak Loads - 2022-2024'!$L$4:$M$15,2)</f>
        <v>0</v>
      </c>
      <c r="AE371" s="44">
        <f>+M371*VLOOKUP($AB371,'Peak Loads - 2022-2024'!$L$4:$M$15,2)</f>
        <v>0</v>
      </c>
      <c r="AF371" s="44">
        <f>+K371*VLOOKUP($AB371,'Peak Loads - 2022-2024'!$L$4:$M$15,2)</f>
        <v>0</v>
      </c>
      <c r="AG371" s="44"/>
    </row>
    <row r="372" spans="5:33" x14ac:dyDescent="0.2">
      <c r="E372" s="175"/>
      <c r="H372">
        <f t="shared" si="70"/>
        <v>2055</v>
      </c>
      <c r="I372">
        <f t="shared" si="68"/>
        <v>10</v>
      </c>
      <c r="J372" s="268">
        <v>56888</v>
      </c>
      <c r="K372" s="44">
        <f>+SUMIFS('Monthly Energy Data'!AE$8:AE$595,'Monthly Energy Data'!$D$8:$D$595,'Peak Load Projections'!$H372,'Monthly Energy Data'!$E$8:$E$595,'Peak Load Projections'!$I372)*VLOOKUP($I372,$A$3:$E$14,5)</f>
        <v>0</v>
      </c>
      <c r="L372" s="44">
        <f>+SUMIFS('Monthly Energy Data'!AF$8:AF$595,'Monthly Energy Data'!$D$8:$D$595,'Peak Load Projections'!$H372,'Monthly Energy Data'!$E$8:$E$595,'Peak Load Projections'!$I372)*VLOOKUP($I372,$A$3:$E$14,5)</f>
        <v>0</v>
      </c>
      <c r="M372" s="44">
        <f>+SUMIFS('Monthly Energy Data'!AG$8:AG$595,'Monthly Energy Data'!$D$8:$D$595,'Peak Load Projections'!$H372,'Monthly Energy Data'!$E$8:$E$595,'Peak Load Projections'!$I372)*VLOOKUP($I372,$A$3:$E$14,5)</f>
        <v>0</v>
      </c>
      <c r="N372" s="44">
        <f t="shared" si="71"/>
        <v>0</v>
      </c>
      <c r="O372" s="269" t="str">
        <f t="shared" si="69"/>
        <v>W</v>
      </c>
      <c r="AA372">
        <f t="shared" si="74"/>
        <v>2055</v>
      </c>
      <c r="AB372">
        <f t="shared" si="72"/>
        <v>10</v>
      </c>
      <c r="AC372" s="271">
        <f t="shared" si="73"/>
        <v>56888</v>
      </c>
      <c r="AD372" s="44">
        <f>+L372*VLOOKUP($AB372,'Peak Loads - 2022-2024'!$L$4:$M$15,2)</f>
        <v>0</v>
      </c>
      <c r="AE372" s="44">
        <f>+M372*VLOOKUP($AB372,'Peak Loads - 2022-2024'!$L$4:$M$15,2)</f>
        <v>0</v>
      </c>
      <c r="AF372" s="44">
        <f>+K372*VLOOKUP($AB372,'Peak Loads - 2022-2024'!$L$4:$M$15,2)</f>
        <v>0</v>
      </c>
      <c r="AG372" s="44"/>
    </row>
    <row r="373" spans="5:33" x14ac:dyDescent="0.2">
      <c r="E373" s="175"/>
      <c r="H373">
        <f t="shared" si="70"/>
        <v>2055</v>
      </c>
      <c r="I373">
        <f t="shared" si="68"/>
        <v>11</v>
      </c>
      <c r="J373" s="268">
        <v>56919</v>
      </c>
      <c r="K373" s="44">
        <f>+SUMIFS('Monthly Energy Data'!AE$8:AE$595,'Monthly Energy Data'!$D$8:$D$595,'Peak Load Projections'!$H373,'Monthly Energy Data'!$E$8:$E$595,'Peak Load Projections'!$I373)*VLOOKUP($I373,$A$3:$E$14,5)</f>
        <v>0</v>
      </c>
      <c r="L373" s="44">
        <f>+SUMIFS('Monthly Energy Data'!AF$8:AF$595,'Monthly Energy Data'!$D$8:$D$595,'Peak Load Projections'!$H373,'Monthly Energy Data'!$E$8:$E$595,'Peak Load Projections'!$I373)*VLOOKUP($I373,$A$3:$E$14,5)</f>
        <v>0</v>
      </c>
      <c r="M373" s="44">
        <f>+SUMIFS('Monthly Energy Data'!AG$8:AG$595,'Monthly Energy Data'!$D$8:$D$595,'Peak Load Projections'!$H373,'Monthly Energy Data'!$E$8:$E$595,'Peak Load Projections'!$I373)*VLOOKUP($I373,$A$3:$E$14,5)</f>
        <v>0</v>
      </c>
      <c r="N373" s="44">
        <f t="shared" si="71"/>
        <v>0</v>
      </c>
      <c r="O373" s="269" t="str">
        <f t="shared" si="69"/>
        <v>W</v>
      </c>
      <c r="AA373">
        <f t="shared" si="74"/>
        <v>2055</v>
      </c>
      <c r="AB373">
        <f t="shared" si="72"/>
        <v>11</v>
      </c>
      <c r="AC373" s="271">
        <f t="shared" si="73"/>
        <v>56919</v>
      </c>
      <c r="AD373" s="44">
        <f>+L373*VLOOKUP($AB373,'Peak Loads - 2022-2024'!$L$4:$M$15,2)</f>
        <v>0</v>
      </c>
      <c r="AE373" s="44">
        <f>+M373*VLOOKUP($AB373,'Peak Loads - 2022-2024'!$L$4:$M$15,2)</f>
        <v>0</v>
      </c>
      <c r="AF373" s="44">
        <f>+K373*VLOOKUP($AB373,'Peak Loads - 2022-2024'!$L$4:$M$15,2)</f>
        <v>0</v>
      </c>
      <c r="AG373" s="44"/>
    </row>
    <row r="374" spans="5:33" x14ac:dyDescent="0.2">
      <c r="E374" s="175"/>
      <c r="H374">
        <f t="shared" si="70"/>
        <v>2055</v>
      </c>
      <c r="I374">
        <f t="shared" si="68"/>
        <v>12</v>
      </c>
      <c r="J374" s="268">
        <v>56949</v>
      </c>
      <c r="K374" s="44">
        <f>+SUMIFS('Monthly Energy Data'!AE$8:AE$595,'Monthly Energy Data'!$D$8:$D$595,'Peak Load Projections'!$H374,'Monthly Energy Data'!$E$8:$E$595,'Peak Load Projections'!$I374)*VLOOKUP($I374,$A$3:$E$14,5)</f>
        <v>0</v>
      </c>
      <c r="L374" s="44">
        <f>+SUMIFS('Monthly Energy Data'!AF$8:AF$595,'Monthly Energy Data'!$D$8:$D$595,'Peak Load Projections'!$H374,'Monthly Energy Data'!$E$8:$E$595,'Peak Load Projections'!$I374)*VLOOKUP($I374,$A$3:$E$14,5)</f>
        <v>0</v>
      </c>
      <c r="M374" s="44">
        <f>+SUMIFS('Monthly Energy Data'!AG$8:AG$595,'Monthly Energy Data'!$D$8:$D$595,'Peak Load Projections'!$H374,'Monthly Energy Data'!$E$8:$E$595,'Peak Load Projections'!$I374)*VLOOKUP($I374,$A$3:$E$14,5)</f>
        <v>0</v>
      </c>
      <c r="N374" s="44">
        <f t="shared" si="71"/>
        <v>0</v>
      </c>
      <c r="O374" s="269" t="str">
        <f t="shared" si="69"/>
        <v>W</v>
      </c>
      <c r="AA374">
        <f t="shared" si="74"/>
        <v>2055</v>
      </c>
      <c r="AB374">
        <f t="shared" si="72"/>
        <v>12</v>
      </c>
      <c r="AC374" s="271">
        <f t="shared" si="73"/>
        <v>56949</v>
      </c>
      <c r="AD374" s="44">
        <f>+L374*VLOOKUP($AB374,'Peak Loads - 2022-2024'!$L$4:$M$15,2)</f>
        <v>0</v>
      </c>
      <c r="AE374" s="44">
        <f>+M374*VLOOKUP($AB374,'Peak Loads - 2022-2024'!$L$4:$M$15,2)</f>
        <v>0</v>
      </c>
      <c r="AF374" s="44">
        <f>+K374*VLOOKUP($AB374,'Peak Loads - 2022-2024'!$L$4:$M$15,2)</f>
        <v>0</v>
      </c>
      <c r="AG374" s="44"/>
    </row>
    <row r="375" spans="5:33" x14ac:dyDescent="0.2">
      <c r="E375" s="175"/>
    </row>
    <row r="376" spans="5:33" x14ac:dyDescent="0.2">
      <c r="E376" s="175"/>
    </row>
    <row r="377" spans="5:33" x14ac:dyDescent="0.2">
      <c r="E377" s="175"/>
    </row>
    <row r="378" spans="5:33" x14ac:dyDescent="0.2">
      <c r="E378" s="175"/>
    </row>
    <row r="379" spans="5:33" x14ac:dyDescent="0.2">
      <c r="E379" s="175"/>
    </row>
    <row r="380" spans="5:33" x14ac:dyDescent="0.2">
      <c r="E380" s="175"/>
    </row>
    <row r="381" spans="5:33" x14ac:dyDescent="0.2">
      <c r="E381" s="175"/>
    </row>
    <row r="382" spans="5:33" x14ac:dyDescent="0.2">
      <c r="E382" s="175"/>
    </row>
    <row r="383" spans="5:33" x14ac:dyDescent="0.2">
      <c r="E383" s="175"/>
    </row>
    <row r="384" spans="5:33" x14ac:dyDescent="0.2">
      <c r="E384" s="175"/>
    </row>
    <row r="385" spans="5:5" x14ac:dyDescent="0.2">
      <c r="E385" s="175"/>
    </row>
    <row r="386" spans="5:5" x14ac:dyDescent="0.2">
      <c r="E386" s="17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7A855-BA87-4453-83D9-0AC1BB44B1A5}">
  <dimension ref="A2:N39"/>
  <sheetViews>
    <sheetView workbookViewId="0">
      <selection activeCell="N4" sqref="N4"/>
    </sheetView>
  </sheetViews>
  <sheetFormatPr defaultRowHeight="12.75" x14ac:dyDescent="0.2"/>
  <cols>
    <col min="3" max="3" width="10.140625" bestFit="1" customWidth="1"/>
    <col min="8" max="8" width="11.85546875" bestFit="1" customWidth="1"/>
    <col min="9" max="10" width="11" bestFit="1" customWidth="1"/>
  </cols>
  <sheetData>
    <row r="2" spans="1:14" x14ac:dyDescent="0.2">
      <c r="L2" s="106" t="s">
        <v>457</v>
      </c>
    </row>
    <row r="3" spans="1:14" ht="63.75" x14ac:dyDescent="0.2">
      <c r="B3" s="61" t="s">
        <v>9</v>
      </c>
      <c r="C3" s="59" t="s">
        <v>451</v>
      </c>
      <c r="D3" s="59" t="s">
        <v>452</v>
      </c>
      <c r="E3" s="59" t="s">
        <v>450</v>
      </c>
      <c r="F3" s="59" t="s">
        <v>455</v>
      </c>
      <c r="G3" s="59" t="s">
        <v>453</v>
      </c>
      <c r="H3" s="59" t="s">
        <v>459</v>
      </c>
      <c r="I3" s="59" t="s">
        <v>458</v>
      </c>
      <c r="J3" s="59" t="s">
        <v>456</v>
      </c>
      <c r="L3" s="59" t="s">
        <v>9</v>
      </c>
      <c r="M3" s="59" t="s">
        <v>456</v>
      </c>
      <c r="N3" s="59" t="s">
        <v>454</v>
      </c>
    </row>
    <row r="4" spans="1:14" x14ac:dyDescent="0.2">
      <c r="A4">
        <f>+MONTH(B4)</f>
        <v>1</v>
      </c>
      <c r="B4" s="268">
        <v>44562</v>
      </c>
      <c r="C4" s="274">
        <v>44590</v>
      </c>
      <c r="D4" s="76">
        <v>19</v>
      </c>
      <c r="E4" s="277">
        <v>862.65099999999995</v>
      </c>
      <c r="F4" s="275">
        <v>83.594999999999999</v>
      </c>
      <c r="G4" s="277">
        <v>62.095999999999997</v>
      </c>
      <c r="H4" s="278">
        <f>+F4/E4</f>
        <v>9.6904773772939462E-2</v>
      </c>
      <c r="I4" s="68">
        <f t="shared" ref="I4:I27" si="0">+G4/E4</f>
        <v>7.1982760119677594E-2</v>
      </c>
      <c r="J4" s="68">
        <f t="shared" ref="J4:J27" si="1">+G4/F4</f>
        <v>0.74281954662360183</v>
      </c>
      <c r="L4">
        <f t="shared" ref="L4:L15" si="2">+A4</f>
        <v>1</v>
      </c>
      <c r="M4" s="68">
        <f>+AVERAGE(J4,J16,J28)</f>
        <v>0.88481730419390925</v>
      </c>
      <c r="N4" s="68">
        <f>+AVERAGE(H4,H15,H28)</f>
        <v>9.7891721788631147E-2</v>
      </c>
    </row>
    <row r="5" spans="1:14" x14ac:dyDescent="0.2">
      <c r="A5">
        <f t="shared" ref="A5:A15" si="3">+MONTH(B5)</f>
        <v>2</v>
      </c>
      <c r="B5" s="268">
        <v>44593</v>
      </c>
      <c r="C5" s="274">
        <v>44597</v>
      </c>
      <c r="D5" s="76">
        <v>19</v>
      </c>
      <c r="E5" s="277">
        <v>798.83699999999999</v>
      </c>
      <c r="F5" s="275">
        <v>79.783999999999992</v>
      </c>
      <c r="G5" s="277">
        <v>57.017000000000003</v>
      </c>
      <c r="H5" s="278">
        <f t="shared" ref="H5:H39" si="4">+F5/E5</f>
        <v>9.9875193562641684E-2</v>
      </c>
      <c r="I5" s="68">
        <f t="shared" si="0"/>
        <v>7.1375011422855988E-2</v>
      </c>
      <c r="J5" s="68">
        <f t="shared" si="1"/>
        <v>0.71464203349042421</v>
      </c>
      <c r="L5">
        <f t="shared" si="2"/>
        <v>2</v>
      </c>
      <c r="M5" s="68">
        <f t="shared" ref="M5:M15" si="5">+AVERAGE(J5,J17,J29)</f>
        <v>0.79752658509757468</v>
      </c>
      <c r="N5" s="68">
        <f t="shared" ref="N5:N15" si="6">+AVERAGE(H5,H16,H29)</f>
        <v>9.991965727710321E-2</v>
      </c>
    </row>
    <row r="6" spans="1:14" x14ac:dyDescent="0.2">
      <c r="A6">
        <f t="shared" si="3"/>
        <v>3</v>
      </c>
      <c r="B6" s="268">
        <v>44621</v>
      </c>
      <c r="C6" s="274">
        <v>44621</v>
      </c>
      <c r="D6" s="76">
        <v>19</v>
      </c>
      <c r="E6" s="277">
        <v>742.09400000000005</v>
      </c>
      <c r="F6" s="275">
        <v>73.478999999999999</v>
      </c>
      <c r="G6" s="277">
        <v>54.006999999999998</v>
      </c>
      <c r="H6" s="278">
        <f t="shared" si="4"/>
        <v>9.9015758111506078E-2</v>
      </c>
      <c r="I6" s="68">
        <f t="shared" si="0"/>
        <v>7.2776494621975107E-2</v>
      </c>
      <c r="J6" s="68">
        <f t="shared" si="1"/>
        <v>0.73499911539351381</v>
      </c>
      <c r="L6">
        <f t="shared" si="2"/>
        <v>3</v>
      </c>
      <c r="M6" s="68">
        <f t="shared" si="5"/>
        <v>0.71369379266376221</v>
      </c>
      <c r="N6" s="68">
        <f t="shared" si="6"/>
        <v>0.10263442009850608</v>
      </c>
    </row>
    <row r="7" spans="1:14" x14ac:dyDescent="0.2">
      <c r="A7">
        <f t="shared" si="3"/>
        <v>4</v>
      </c>
      <c r="B7" s="268">
        <v>44652</v>
      </c>
      <c r="C7" s="274">
        <v>44658</v>
      </c>
      <c r="D7" s="76">
        <v>19</v>
      </c>
      <c r="E7" s="277">
        <v>638.91099999999994</v>
      </c>
      <c r="F7" s="275">
        <v>66.867999999999995</v>
      </c>
      <c r="G7" s="277">
        <v>46.665999999999997</v>
      </c>
      <c r="H7" s="278">
        <f t="shared" si="4"/>
        <v>0.10465933439868777</v>
      </c>
      <c r="I7" s="68">
        <f t="shared" si="0"/>
        <v>7.3039906966698029E-2</v>
      </c>
      <c r="J7" s="68">
        <f t="shared" si="1"/>
        <v>0.69788239516659689</v>
      </c>
      <c r="L7">
        <f t="shared" si="2"/>
        <v>4</v>
      </c>
      <c r="M7" s="68">
        <f t="shared" si="5"/>
        <v>0.69773489518722442</v>
      </c>
      <c r="N7" s="68">
        <f t="shared" si="6"/>
        <v>0.10523532344969662</v>
      </c>
    </row>
    <row r="8" spans="1:14" x14ac:dyDescent="0.2">
      <c r="A8">
        <f t="shared" si="3"/>
        <v>5</v>
      </c>
      <c r="B8" s="268">
        <v>44682</v>
      </c>
      <c r="C8" s="274">
        <v>44697</v>
      </c>
      <c r="D8" s="76">
        <v>18</v>
      </c>
      <c r="E8" s="277">
        <v>675.62699999999995</v>
      </c>
      <c r="F8" s="275">
        <v>60.344999999999999</v>
      </c>
      <c r="G8" s="277">
        <v>44.478000000000002</v>
      </c>
      <c r="H8" s="278">
        <f t="shared" si="4"/>
        <v>8.9317034399158127E-2</v>
      </c>
      <c r="I8" s="68">
        <f t="shared" si="0"/>
        <v>6.583218255043094E-2</v>
      </c>
      <c r="J8" s="68">
        <f t="shared" si="1"/>
        <v>0.73706189410887402</v>
      </c>
      <c r="L8">
        <f t="shared" si="2"/>
        <v>5</v>
      </c>
      <c r="M8" s="68">
        <f t="shared" si="5"/>
        <v>0.71214900174372309</v>
      </c>
      <c r="N8" s="68">
        <f t="shared" si="6"/>
        <v>9.7935126249965102E-2</v>
      </c>
    </row>
    <row r="9" spans="1:14" x14ac:dyDescent="0.2">
      <c r="A9">
        <f t="shared" si="3"/>
        <v>6</v>
      </c>
      <c r="B9" s="268">
        <v>44713</v>
      </c>
      <c r="C9" s="274">
        <v>44738</v>
      </c>
      <c r="D9" s="76">
        <v>21</v>
      </c>
      <c r="E9" s="277">
        <v>719.71100000000001</v>
      </c>
      <c r="F9" s="275">
        <v>70.426999999999992</v>
      </c>
      <c r="G9" s="277">
        <v>53.265000000000001</v>
      </c>
      <c r="H9" s="278">
        <f t="shared" si="4"/>
        <v>9.7854555509086269E-2</v>
      </c>
      <c r="I9" s="68">
        <f t="shared" si="0"/>
        <v>7.4008873005970449E-2</v>
      </c>
      <c r="J9" s="68">
        <f t="shared" si="1"/>
        <v>0.75631504962585383</v>
      </c>
      <c r="L9">
        <f t="shared" si="2"/>
        <v>6</v>
      </c>
      <c r="M9" s="68">
        <f t="shared" si="5"/>
        <v>0.84995675284569894</v>
      </c>
      <c r="N9" s="68">
        <f t="shared" si="6"/>
        <v>9.5916442597781704E-2</v>
      </c>
    </row>
    <row r="10" spans="1:14" x14ac:dyDescent="0.2">
      <c r="A10">
        <f t="shared" si="3"/>
        <v>7</v>
      </c>
      <c r="B10" s="268">
        <v>44743</v>
      </c>
      <c r="C10" s="274">
        <v>44762</v>
      </c>
      <c r="D10" s="76">
        <v>21</v>
      </c>
      <c r="E10" s="277">
        <v>834.16600000000005</v>
      </c>
      <c r="F10" s="275">
        <v>76.248999999999995</v>
      </c>
      <c r="G10" s="277">
        <v>56.475000000000001</v>
      </c>
      <c r="H10" s="278">
        <f t="shared" si="4"/>
        <v>9.1407465660312201E-2</v>
      </c>
      <c r="I10" s="68">
        <f t="shared" si="0"/>
        <v>6.7702351810071379E-2</v>
      </c>
      <c r="J10" s="68">
        <f t="shared" si="1"/>
        <v>0.74066545135018169</v>
      </c>
      <c r="L10">
        <f t="shared" si="2"/>
        <v>7</v>
      </c>
      <c r="M10" s="68">
        <f t="shared" si="5"/>
        <v>0.71740239965768637</v>
      </c>
      <c r="N10" s="68">
        <f t="shared" si="6"/>
        <v>9.6681529037596026E-2</v>
      </c>
    </row>
    <row r="11" spans="1:14" x14ac:dyDescent="0.2">
      <c r="A11">
        <f t="shared" si="3"/>
        <v>8</v>
      </c>
      <c r="B11" s="268">
        <v>44774</v>
      </c>
      <c r="C11" s="274">
        <v>44803</v>
      </c>
      <c r="D11" s="76">
        <v>18</v>
      </c>
      <c r="E11" s="277">
        <v>834.21799999999996</v>
      </c>
      <c r="F11" s="275">
        <v>81.652000000000001</v>
      </c>
      <c r="G11" s="277">
        <v>58.128</v>
      </c>
      <c r="H11" s="278">
        <f t="shared" si="4"/>
        <v>9.7878492192688252E-2</v>
      </c>
      <c r="I11" s="68">
        <f t="shared" si="0"/>
        <v>6.9679628106801825E-2</v>
      </c>
      <c r="J11" s="68">
        <f t="shared" si="1"/>
        <v>0.7118992798706707</v>
      </c>
      <c r="L11">
        <f t="shared" si="2"/>
        <v>8</v>
      </c>
      <c r="M11" s="68">
        <f t="shared" si="5"/>
        <v>0.71521170541096923</v>
      </c>
      <c r="N11" s="68">
        <f t="shared" si="6"/>
        <v>0.10084827264228018</v>
      </c>
    </row>
    <row r="12" spans="1:14" x14ac:dyDescent="0.2">
      <c r="A12">
        <f t="shared" si="3"/>
        <v>9</v>
      </c>
      <c r="B12" s="268">
        <v>44805</v>
      </c>
      <c r="C12" s="274">
        <v>44816</v>
      </c>
      <c r="D12" s="76">
        <v>20</v>
      </c>
      <c r="E12" s="277">
        <v>705.62699999999995</v>
      </c>
      <c r="F12" s="275">
        <v>69.11</v>
      </c>
      <c r="G12" s="277">
        <v>51.331000000000003</v>
      </c>
      <c r="H12" s="278">
        <f t="shared" si="4"/>
        <v>9.7941263585435367E-2</v>
      </c>
      <c r="I12" s="68">
        <f t="shared" si="0"/>
        <v>7.2745232254434716E-2</v>
      </c>
      <c r="J12" s="68">
        <f t="shared" si="1"/>
        <v>0.74274345246708151</v>
      </c>
      <c r="L12">
        <f t="shared" si="2"/>
        <v>9</v>
      </c>
      <c r="M12" s="68">
        <f t="shared" si="5"/>
        <v>0.71514248423115856</v>
      </c>
      <c r="N12" s="68">
        <f t="shared" si="6"/>
        <v>9.8964122958797182E-2</v>
      </c>
    </row>
    <row r="13" spans="1:14" x14ac:dyDescent="0.2">
      <c r="A13">
        <f t="shared" si="3"/>
        <v>10</v>
      </c>
      <c r="B13" s="268">
        <v>44835</v>
      </c>
      <c r="C13" s="274">
        <v>44860</v>
      </c>
      <c r="D13" s="76">
        <v>19</v>
      </c>
      <c r="E13" s="277">
        <v>635.45899999999995</v>
      </c>
      <c r="F13" s="275">
        <v>61.794000000000004</v>
      </c>
      <c r="G13" s="277">
        <v>41.484000000000002</v>
      </c>
      <c r="H13" s="278">
        <f t="shared" si="4"/>
        <v>9.7243095148546177E-2</v>
      </c>
      <c r="I13" s="68">
        <f t="shared" si="0"/>
        <v>6.5281945806102373E-2</v>
      </c>
      <c r="J13" s="68">
        <f t="shared" si="1"/>
        <v>0.6713273133313914</v>
      </c>
      <c r="L13">
        <f t="shared" si="2"/>
        <v>10</v>
      </c>
      <c r="M13" s="68">
        <f t="shared" si="5"/>
        <v>0.69463203988363531</v>
      </c>
      <c r="N13" s="68">
        <f t="shared" si="6"/>
        <v>0.10133012709925186</v>
      </c>
    </row>
    <row r="14" spans="1:14" x14ac:dyDescent="0.2">
      <c r="A14">
        <f t="shared" si="3"/>
        <v>11</v>
      </c>
      <c r="B14" s="268">
        <v>44866</v>
      </c>
      <c r="C14" s="274">
        <v>44886</v>
      </c>
      <c r="D14" s="76">
        <v>18</v>
      </c>
      <c r="E14" s="277">
        <v>738.57600000000002</v>
      </c>
      <c r="F14" s="275">
        <v>71.515999999999991</v>
      </c>
      <c r="G14" s="277">
        <v>50.223999999999997</v>
      </c>
      <c r="H14" s="278">
        <f t="shared" si="4"/>
        <v>9.682957474924718E-2</v>
      </c>
      <c r="I14" s="68">
        <f t="shared" si="0"/>
        <v>6.8001126492060388E-2</v>
      </c>
      <c r="J14" s="68">
        <f t="shared" si="1"/>
        <v>0.70227641366966842</v>
      </c>
      <c r="L14">
        <f t="shared" si="2"/>
        <v>11</v>
      </c>
      <c r="M14" s="68">
        <f t="shared" si="5"/>
        <v>0.71124658576777444</v>
      </c>
      <c r="N14" s="68">
        <f t="shared" si="6"/>
        <v>9.9910306229795062E-2</v>
      </c>
    </row>
    <row r="15" spans="1:14" x14ac:dyDescent="0.2">
      <c r="A15">
        <f t="shared" si="3"/>
        <v>12</v>
      </c>
      <c r="B15" s="268">
        <v>44896</v>
      </c>
      <c r="C15" s="274">
        <v>44922</v>
      </c>
      <c r="D15" s="76">
        <v>18</v>
      </c>
      <c r="E15" s="277">
        <v>807.07399999999996</v>
      </c>
      <c r="F15" s="275">
        <v>77.481999999999999</v>
      </c>
      <c r="G15" s="277">
        <v>73.257000000000005</v>
      </c>
      <c r="H15" s="278">
        <f t="shared" si="4"/>
        <v>9.60035882707162E-2</v>
      </c>
      <c r="I15" s="68">
        <f t="shared" si="0"/>
        <v>9.0768628403343446E-2</v>
      </c>
      <c r="J15" s="68">
        <f t="shared" si="1"/>
        <v>0.94547120621563729</v>
      </c>
      <c r="L15">
        <f t="shared" si="2"/>
        <v>12</v>
      </c>
      <c r="M15" s="68">
        <f t="shared" si="5"/>
        <v>0.85673070359921955</v>
      </c>
      <c r="N15" s="68">
        <f t="shared" si="6"/>
        <v>9.7130376821842654E-2</v>
      </c>
    </row>
    <row r="16" spans="1:14" x14ac:dyDescent="0.2">
      <c r="A16">
        <f>+MONTH(B16)</f>
        <v>1</v>
      </c>
      <c r="B16" s="268">
        <v>44927</v>
      </c>
      <c r="C16" s="274">
        <v>44940</v>
      </c>
      <c r="D16" s="76">
        <v>18</v>
      </c>
      <c r="E16" s="277">
        <v>791.81200000000001</v>
      </c>
      <c r="F16" s="276">
        <v>78.271000000000001</v>
      </c>
      <c r="G16" s="277">
        <v>72.77</v>
      </c>
      <c r="H16" s="278">
        <f t="shared" si="4"/>
        <v>9.8850484711017261E-2</v>
      </c>
      <c r="I16" s="68">
        <f t="shared" si="0"/>
        <v>9.1903128520406357E-2</v>
      </c>
      <c r="J16" s="68">
        <f t="shared" si="1"/>
        <v>0.92971854198873138</v>
      </c>
    </row>
    <row r="17" spans="1:10" x14ac:dyDescent="0.2">
      <c r="A17">
        <f t="shared" ref="A17:A27" si="7">+MONTH(B17)</f>
        <v>2</v>
      </c>
      <c r="B17" s="268">
        <v>44958</v>
      </c>
      <c r="C17" s="274">
        <v>44960</v>
      </c>
      <c r="D17" s="76">
        <v>18</v>
      </c>
      <c r="E17" s="277">
        <v>861.51300000000003</v>
      </c>
      <c r="F17" s="276">
        <v>88.247000000000014</v>
      </c>
      <c r="G17" s="277">
        <v>63.932000000000002</v>
      </c>
      <c r="H17" s="278">
        <f t="shared" si="4"/>
        <v>0.10243258082002246</v>
      </c>
      <c r="I17" s="68">
        <f t="shared" si="0"/>
        <v>7.4208978854642935E-2</v>
      </c>
      <c r="J17" s="68">
        <f t="shared" si="1"/>
        <v>0.7244665541038221</v>
      </c>
    </row>
    <row r="18" spans="1:10" x14ac:dyDescent="0.2">
      <c r="A18">
        <f t="shared" si="7"/>
        <v>3</v>
      </c>
      <c r="B18" s="268">
        <v>44986</v>
      </c>
      <c r="C18" s="274">
        <v>44992</v>
      </c>
      <c r="D18" s="76">
        <v>19</v>
      </c>
      <c r="E18" s="277">
        <v>719.10599999999999</v>
      </c>
      <c r="F18" s="276">
        <v>73.438000000000002</v>
      </c>
      <c r="G18" s="277">
        <v>53.104999999999997</v>
      </c>
      <c r="H18" s="278">
        <f t="shared" si="4"/>
        <v>0.10212402622144719</v>
      </c>
      <c r="I18" s="68">
        <f t="shared" si="0"/>
        <v>7.3848639838911087E-2</v>
      </c>
      <c r="J18" s="68">
        <f t="shared" si="1"/>
        <v>0.72312699147580262</v>
      </c>
    </row>
    <row r="19" spans="1:10" x14ac:dyDescent="0.2">
      <c r="A19">
        <f t="shared" si="7"/>
        <v>4</v>
      </c>
      <c r="B19" s="268">
        <v>45017</v>
      </c>
      <c r="C19" s="274">
        <v>45021</v>
      </c>
      <c r="D19" s="76">
        <v>19</v>
      </c>
      <c r="E19" s="277">
        <v>646.15099999999995</v>
      </c>
      <c r="F19" s="276">
        <v>70.262</v>
      </c>
      <c r="G19" s="277">
        <v>49.390999999999998</v>
      </c>
      <c r="H19" s="278">
        <f t="shared" si="4"/>
        <v>0.10873928849448504</v>
      </c>
      <c r="I19" s="68">
        <f t="shared" si="0"/>
        <v>7.6438789075618546E-2</v>
      </c>
      <c r="J19" s="68">
        <f t="shared" si="1"/>
        <v>0.702954655432524</v>
      </c>
    </row>
    <row r="20" spans="1:10" x14ac:dyDescent="0.2">
      <c r="A20">
        <f t="shared" si="7"/>
        <v>5</v>
      </c>
      <c r="B20" s="268">
        <v>45047</v>
      </c>
      <c r="C20" s="274">
        <v>45077</v>
      </c>
      <c r="D20" s="76">
        <v>20</v>
      </c>
      <c r="E20" s="277">
        <v>615.81799999999998</v>
      </c>
      <c r="F20" s="276">
        <v>64.066000000000003</v>
      </c>
      <c r="G20" s="277">
        <v>45.25</v>
      </c>
      <c r="H20" s="278">
        <f t="shared" si="4"/>
        <v>0.10403398406672101</v>
      </c>
      <c r="I20" s="68">
        <f t="shared" si="0"/>
        <v>7.3479502060673774E-2</v>
      </c>
      <c r="J20" s="68">
        <f t="shared" si="1"/>
        <v>0.70630287515999124</v>
      </c>
    </row>
    <row r="21" spans="1:10" x14ac:dyDescent="0.2">
      <c r="A21">
        <f t="shared" si="7"/>
        <v>6</v>
      </c>
      <c r="B21" s="268">
        <v>45078</v>
      </c>
      <c r="C21" s="274">
        <v>45079</v>
      </c>
      <c r="D21" s="76">
        <v>21</v>
      </c>
      <c r="E21" s="277">
        <v>684.87900000000002</v>
      </c>
      <c r="F21" s="276">
        <v>69.207999999999998</v>
      </c>
      <c r="G21" s="277">
        <v>48.454999999999998</v>
      </c>
      <c r="H21" s="278">
        <f t="shared" si="4"/>
        <v>0.10105142660236333</v>
      </c>
      <c r="I21" s="68">
        <f t="shared" si="0"/>
        <v>7.0749723673816836E-2</v>
      </c>
      <c r="J21" s="68">
        <f t="shared" si="1"/>
        <v>0.70013582244827188</v>
      </c>
    </row>
    <row r="22" spans="1:10" x14ac:dyDescent="0.2">
      <c r="A22">
        <f t="shared" si="7"/>
        <v>7</v>
      </c>
      <c r="B22" s="268">
        <v>45108</v>
      </c>
      <c r="C22" s="274">
        <v>45113</v>
      </c>
      <c r="D22" s="76">
        <v>21</v>
      </c>
      <c r="E22" s="277">
        <v>800.01300000000003</v>
      </c>
      <c r="F22" s="276">
        <v>81.478999999999999</v>
      </c>
      <c r="G22" s="277">
        <v>59.273000000000003</v>
      </c>
      <c r="H22" s="278">
        <f t="shared" si="4"/>
        <v>0.1018470949847065</v>
      </c>
      <c r="I22" s="68">
        <f t="shared" si="0"/>
        <v>7.40900460367519E-2</v>
      </c>
      <c r="J22" s="68">
        <f t="shared" si="1"/>
        <v>0.7274635182071455</v>
      </c>
    </row>
    <row r="23" spans="1:10" x14ac:dyDescent="0.2">
      <c r="A23">
        <f t="shared" si="7"/>
        <v>8</v>
      </c>
      <c r="B23" s="268">
        <v>45139</v>
      </c>
      <c r="C23" s="274">
        <v>45146</v>
      </c>
      <c r="D23" s="76">
        <v>19</v>
      </c>
      <c r="E23" s="277">
        <v>677.827</v>
      </c>
      <c r="F23" s="276">
        <v>66.094000000000008</v>
      </c>
      <c r="G23" s="277">
        <v>46.521999999999998</v>
      </c>
      <c r="H23" s="278">
        <f t="shared" si="4"/>
        <v>9.7508656338564273E-2</v>
      </c>
      <c r="I23" s="68">
        <f t="shared" si="0"/>
        <v>6.8634031987513042E-2</v>
      </c>
      <c r="J23" s="68">
        <f t="shared" si="1"/>
        <v>0.70387629739461965</v>
      </c>
    </row>
    <row r="24" spans="1:10" x14ac:dyDescent="0.2">
      <c r="A24">
        <f t="shared" si="7"/>
        <v>9</v>
      </c>
      <c r="B24" s="268">
        <v>45170</v>
      </c>
      <c r="C24" s="274">
        <v>45175</v>
      </c>
      <c r="D24" s="76">
        <v>21</v>
      </c>
      <c r="E24" s="277">
        <v>799.31700000000001</v>
      </c>
      <c r="F24" s="276">
        <v>80.736999999999995</v>
      </c>
      <c r="G24" s="277">
        <v>55.137</v>
      </c>
      <c r="H24" s="278">
        <f t="shared" si="4"/>
        <v>0.10100748514043864</v>
      </c>
      <c r="I24" s="68">
        <f t="shared" si="0"/>
        <v>6.8980141796058381E-2</v>
      </c>
      <c r="J24" s="68">
        <f t="shared" si="1"/>
        <v>0.6829210894633192</v>
      </c>
    </row>
    <row r="25" spans="1:10" x14ac:dyDescent="0.2">
      <c r="A25">
        <f t="shared" si="7"/>
        <v>10</v>
      </c>
      <c r="B25" s="268">
        <v>45200</v>
      </c>
      <c r="C25" s="274">
        <v>45203</v>
      </c>
      <c r="D25" s="76">
        <v>19</v>
      </c>
      <c r="E25" s="277">
        <v>651.73199999999997</v>
      </c>
      <c r="F25" s="276">
        <v>63.762</v>
      </c>
      <c r="G25" s="277">
        <v>43.798000000000002</v>
      </c>
      <c r="H25" s="278">
        <f t="shared" si="4"/>
        <v>9.7834692787833036E-2</v>
      </c>
      <c r="I25" s="68">
        <f t="shared" si="0"/>
        <v>6.720246972682023E-2</v>
      </c>
      <c r="J25" s="68">
        <f t="shared" si="1"/>
        <v>0.6868981525046266</v>
      </c>
    </row>
    <row r="26" spans="1:10" x14ac:dyDescent="0.2">
      <c r="A26">
        <f t="shared" si="7"/>
        <v>11</v>
      </c>
      <c r="B26" s="268">
        <v>45231</v>
      </c>
      <c r="C26" s="274">
        <v>45258</v>
      </c>
      <c r="D26" s="76">
        <v>18</v>
      </c>
      <c r="E26" s="277">
        <v>739.91099999999994</v>
      </c>
      <c r="F26" s="276">
        <v>74.956999999999994</v>
      </c>
      <c r="G26" s="277">
        <v>55.374000000000002</v>
      </c>
      <c r="H26" s="278">
        <f t="shared" si="4"/>
        <v>0.10130542727436137</v>
      </c>
      <c r="I26" s="68">
        <f t="shared" si="0"/>
        <v>7.4838730604086176E-2</v>
      </c>
      <c r="J26" s="68">
        <f t="shared" si="1"/>
        <v>0.73874354629987871</v>
      </c>
    </row>
    <row r="27" spans="1:10" x14ac:dyDescent="0.2">
      <c r="A27">
        <f t="shared" si="7"/>
        <v>12</v>
      </c>
      <c r="B27" s="268">
        <v>45261</v>
      </c>
      <c r="C27" s="274">
        <v>45274</v>
      </c>
      <c r="D27" s="76">
        <v>18</v>
      </c>
      <c r="E27" s="277">
        <v>788.76099999999997</v>
      </c>
      <c r="F27" s="276">
        <v>77.458999999999989</v>
      </c>
      <c r="G27" s="277">
        <v>72.736000000000004</v>
      </c>
      <c r="H27" s="278">
        <f t="shared" si="4"/>
        <v>9.8203384802240459E-2</v>
      </c>
      <c r="I27" s="68">
        <f t="shared" si="0"/>
        <v>9.221551268381678E-2</v>
      </c>
      <c r="J27" s="68">
        <f t="shared" si="1"/>
        <v>0.93902580720122919</v>
      </c>
    </row>
    <row r="28" spans="1:10" x14ac:dyDescent="0.2">
      <c r="A28">
        <f>+MONTH(B28)</f>
        <v>1</v>
      </c>
      <c r="B28" s="268">
        <v>45292</v>
      </c>
      <c r="C28" s="272">
        <v>45306</v>
      </c>
      <c r="D28" s="76">
        <v>18</v>
      </c>
      <c r="E28" s="134">
        <v>809.33399999999995</v>
      </c>
      <c r="F28" s="134">
        <v>81.554000000000002</v>
      </c>
      <c r="G28" s="134">
        <v>80.078999999999994</v>
      </c>
      <c r="H28" s="278">
        <f t="shared" si="4"/>
        <v>0.10076680332223779</v>
      </c>
      <c r="I28" s="68">
        <f>+G28/E28</f>
        <v>9.894431717931039E-2</v>
      </c>
      <c r="J28" s="68">
        <f>+G28/F28</f>
        <v>0.98191382396939442</v>
      </c>
    </row>
    <row r="29" spans="1:10" x14ac:dyDescent="0.2">
      <c r="A29">
        <f t="shared" ref="A29:A39" si="8">+MONTH(B29)</f>
        <v>2</v>
      </c>
      <c r="B29" s="268">
        <v>45323</v>
      </c>
      <c r="C29" s="272">
        <v>45341</v>
      </c>
      <c r="D29" s="76">
        <v>18</v>
      </c>
      <c r="E29" s="134">
        <v>762.61</v>
      </c>
      <c r="F29" s="134">
        <v>77.049000000000007</v>
      </c>
      <c r="G29" s="134">
        <v>73.463999999999999</v>
      </c>
      <c r="H29" s="278">
        <f t="shared" si="4"/>
        <v>0.1010332935576507</v>
      </c>
      <c r="I29" s="68">
        <f t="shared" ref="I29:I39" si="9">+G29/E29</f>
        <v>9.6332332384836281E-2</v>
      </c>
      <c r="J29" s="68">
        <f t="shared" ref="J29:J39" si="10">+G29/F29</f>
        <v>0.95347116769847751</v>
      </c>
    </row>
    <row r="30" spans="1:10" x14ac:dyDescent="0.2">
      <c r="A30">
        <f t="shared" si="8"/>
        <v>3</v>
      </c>
      <c r="B30" s="268">
        <v>45352</v>
      </c>
      <c r="C30" s="272">
        <v>45374</v>
      </c>
      <c r="D30" s="76">
        <v>13</v>
      </c>
      <c r="E30" s="134">
        <v>676.66200000000003</v>
      </c>
      <c r="F30" s="134">
        <v>72.034000000000006</v>
      </c>
      <c r="G30" s="134">
        <v>49.195999999999998</v>
      </c>
      <c r="H30" s="278">
        <f t="shared" si="4"/>
        <v>0.10645492136398971</v>
      </c>
      <c r="I30" s="68">
        <f t="shared" si="9"/>
        <v>7.2703949682411589E-2</v>
      </c>
      <c r="J30" s="68">
        <f t="shared" si="10"/>
        <v>0.68295527112197008</v>
      </c>
    </row>
    <row r="31" spans="1:10" x14ac:dyDescent="0.2">
      <c r="A31">
        <f t="shared" si="8"/>
        <v>4</v>
      </c>
      <c r="B31" s="268">
        <v>45383</v>
      </c>
      <c r="C31" s="272">
        <v>45385</v>
      </c>
      <c r="D31" s="76">
        <v>19</v>
      </c>
      <c r="E31" s="134">
        <v>636.20399999999995</v>
      </c>
      <c r="F31" s="134">
        <v>69.296999999999997</v>
      </c>
      <c r="G31" s="134">
        <v>47.978999999999999</v>
      </c>
      <c r="H31" s="278">
        <f t="shared" si="4"/>
        <v>0.10892260972895487</v>
      </c>
      <c r="I31" s="68">
        <f t="shared" si="9"/>
        <v>7.5414489691985595E-2</v>
      </c>
      <c r="J31" s="68">
        <f t="shared" si="10"/>
        <v>0.69236763496255249</v>
      </c>
    </row>
    <row r="32" spans="1:10" x14ac:dyDescent="0.2">
      <c r="A32">
        <f t="shared" si="8"/>
        <v>5</v>
      </c>
      <c r="B32" s="268">
        <v>45413</v>
      </c>
      <c r="C32" s="272">
        <v>45434</v>
      </c>
      <c r="D32" s="76">
        <v>22</v>
      </c>
      <c r="E32" s="134">
        <v>663.82899999999995</v>
      </c>
      <c r="F32" s="134">
        <v>63.561</v>
      </c>
      <c r="G32" s="134">
        <v>44.052999999999997</v>
      </c>
      <c r="H32" s="278">
        <f t="shared" si="4"/>
        <v>9.5749055856252138E-2</v>
      </c>
      <c r="I32" s="68">
        <f t="shared" si="9"/>
        <v>6.6361969724130762E-2</v>
      </c>
      <c r="J32" s="68">
        <f t="shared" si="10"/>
        <v>0.69308223596230389</v>
      </c>
    </row>
    <row r="33" spans="1:10" x14ac:dyDescent="0.2">
      <c r="A33">
        <f t="shared" si="8"/>
        <v>6</v>
      </c>
      <c r="B33" s="268">
        <v>45444</v>
      </c>
      <c r="C33" s="272">
        <v>45462</v>
      </c>
      <c r="D33" s="76">
        <v>21</v>
      </c>
      <c r="E33" s="134">
        <v>855.37300000000005</v>
      </c>
      <c r="F33" s="273">
        <v>73.442999999999998</v>
      </c>
      <c r="G33" s="134">
        <v>80.304000000000002</v>
      </c>
      <c r="H33" s="278">
        <f t="shared" si="4"/>
        <v>8.5860788217537842E-2</v>
      </c>
      <c r="I33" s="68">
        <f t="shared" si="9"/>
        <v>9.3881850374047338E-2</v>
      </c>
      <c r="J33" s="68">
        <f t="shared" si="10"/>
        <v>1.0934193864629713</v>
      </c>
    </row>
    <row r="34" spans="1:10" x14ac:dyDescent="0.2">
      <c r="A34">
        <f t="shared" si="8"/>
        <v>7</v>
      </c>
      <c r="B34" s="268">
        <v>45474</v>
      </c>
      <c r="C34" s="272">
        <v>45489</v>
      </c>
      <c r="D34" s="76">
        <v>18</v>
      </c>
      <c r="E34" s="134">
        <v>835.72699999999998</v>
      </c>
      <c r="F34" s="134">
        <v>81.554999999999993</v>
      </c>
      <c r="G34" s="134">
        <v>55.79</v>
      </c>
      <c r="H34" s="278">
        <f t="shared" si="4"/>
        <v>9.7585694850112537E-2</v>
      </c>
      <c r="I34" s="68">
        <f t="shared" si="9"/>
        <v>6.6756249349368871E-2</v>
      </c>
      <c r="J34" s="68">
        <f t="shared" si="10"/>
        <v>0.68407822941573182</v>
      </c>
    </row>
    <row r="35" spans="1:10" x14ac:dyDescent="0.2">
      <c r="A35">
        <f t="shared" si="8"/>
        <v>8</v>
      </c>
      <c r="B35" s="268">
        <v>45505</v>
      </c>
      <c r="C35" s="272">
        <v>45507</v>
      </c>
      <c r="D35" s="76">
        <v>20</v>
      </c>
      <c r="E35" s="134">
        <v>777.58799999999997</v>
      </c>
      <c r="F35" s="134">
        <v>79.951000000000008</v>
      </c>
      <c r="G35" s="134">
        <v>58.353000000000002</v>
      </c>
      <c r="H35" s="278">
        <f t="shared" si="4"/>
        <v>0.10281923074944574</v>
      </c>
      <c r="I35" s="68">
        <f t="shared" si="9"/>
        <v>7.5043596351795555E-2</v>
      </c>
      <c r="J35" s="68">
        <f t="shared" si="10"/>
        <v>0.72985953896761757</v>
      </c>
    </row>
    <row r="36" spans="1:10" x14ac:dyDescent="0.2">
      <c r="A36">
        <f t="shared" si="8"/>
        <v>9</v>
      </c>
      <c r="B36" s="268">
        <v>45536</v>
      </c>
      <c r="C36" s="272">
        <v>45550</v>
      </c>
      <c r="D36" s="76">
        <v>19</v>
      </c>
      <c r="E36" s="134">
        <v>660.26599999999996</v>
      </c>
      <c r="F36" s="134">
        <v>66.978999999999999</v>
      </c>
      <c r="G36" s="134">
        <v>48.209000000000003</v>
      </c>
      <c r="H36" s="278">
        <f t="shared" si="4"/>
        <v>0.10144244895239192</v>
      </c>
      <c r="I36" s="68">
        <f t="shared" si="9"/>
        <v>7.301451233290826E-2</v>
      </c>
      <c r="J36" s="68">
        <f t="shared" si="10"/>
        <v>0.71976291076307508</v>
      </c>
    </row>
    <row r="37" spans="1:10" x14ac:dyDescent="0.2">
      <c r="A37">
        <f t="shared" si="8"/>
        <v>10</v>
      </c>
      <c r="B37" s="268">
        <v>45566</v>
      </c>
      <c r="C37" s="272">
        <v>45579</v>
      </c>
      <c r="D37" s="76">
        <v>18</v>
      </c>
      <c r="E37" s="134">
        <v>651.48599999999999</v>
      </c>
      <c r="F37" s="134">
        <v>68.888000000000005</v>
      </c>
      <c r="G37" s="134">
        <v>49.99</v>
      </c>
      <c r="H37" s="278">
        <f t="shared" si="4"/>
        <v>0.10573980100877073</v>
      </c>
      <c r="I37" s="68">
        <f t="shared" si="9"/>
        <v>7.67322705322908E-2</v>
      </c>
      <c r="J37" s="68">
        <f t="shared" si="10"/>
        <v>0.72567065381488793</v>
      </c>
    </row>
    <row r="38" spans="1:10" x14ac:dyDescent="0.2">
      <c r="A38">
        <f t="shared" si="8"/>
        <v>11</v>
      </c>
      <c r="B38" s="268">
        <v>45597</v>
      </c>
      <c r="C38" s="272">
        <v>45626</v>
      </c>
      <c r="D38" s="76">
        <v>18</v>
      </c>
      <c r="E38" s="134">
        <v>687.53499999999997</v>
      </c>
      <c r="F38" s="134">
        <v>72.236999999999995</v>
      </c>
      <c r="G38" s="134">
        <v>50.04</v>
      </c>
      <c r="H38" s="278">
        <f t="shared" si="4"/>
        <v>0.10506665115230497</v>
      </c>
      <c r="I38" s="68">
        <f t="shared" si="9"/>
        <v>7.2781749292763279E-2</v>
      </c>
      <c r="J38" s="68">
        <f t="shared" si="10"/>
        <v>0.69271979733377631</v>
      </c>
    </row>
    <row r="39" spans="1:10" x14ac:dyDescent="0.2">
      <c r="A39">
        <f t="shared" si="8"/>
        <v>12</v>
      </c>
      <c r="B39" s="268">
        <v>45627</v>
      </c>
      <c r="C39" s="272">
        <v>46014</v>
      </c>
      <c r="D39" s="76">
        <v>11</v>
      </c>
      <c r="E39" s="134">
        <v>870.46299999999997</v>
      </c>
      <c r="F39" s="134">
        <v>81.894999999999996</v>
      </c>
      <c r="G39" s="134">
        <v>56.155000000000001</v>
      </c>
      <c r="H39" s="278">
        <f t="shared" si="4"/>
        <v>9.4082114920450377E-2</v>
      </c>
      <c r="I39" s="68">
        <f t="shared" si="9"/>
        <v>6.4511644952169142E-2</v>
      </c>
      <c r="J39" s="68">
        <f t="shared" si="10"/>
        <v>0.68569509738079248</v>
      </c>
    </row>
  </sheetData>
  <conditionalFormatting sqref="J4:J39">
    <cfRule type="cellIs" dxfId="0" priority="1" operator="greaterThan">
      <formula>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38"/>
  <sheetViews>
    <sheetView topLeftCell="R1" workbookViewId="0">
      <selection activeCell="AD130" sqref="AD130:AE136"/>
    </sheetView>
  </sheetViews>
  <sheetFormatPr defaultRowHeight="12.75" x14ac:dyDescent="0.2"/>
  <cols>
    <col min="29" max="29" width="9.7109375" customWidth="1"/>
    <col min="32" max="32" width="9.140625" style="5"/>
    <col min="34" max="35" width="9.140625" style="5"/>
  </cols>
  <sheetData>
    <row r="1" spans="1:44" x14ac:dyDescent="0.2">
      <c r="D1" s="7" t="s">
        <v>12</v>
      </c>
      <c r="AF1"/>
      <c r="AH1"/>
      <c r="AI1"/>
    </row>
    <row r="2" spans="1:44" x14ac:dyDescent="0.2">
      <c r="D2" s="2" t="s">
        <v>13</v>
      </c>
      <c r="N2" s="2">
        <v>0</v>
      </c>
      <c r="AB2" s="2">
        <v>3.7874548996000001</v>
      </c>
      <c r="AD2" s="2">
        <v>10</v>
      </c>
      <c r="AE2" s="2">
        <v>8</v>
      </c>
      <c r="AF2" s="2">
        <v>0</v>
      </c>
      <c r="AG2" s="2">
        <v>2.4</v>
      </c>
      <c r="AH2" s="2"/>
      <c r="AI2" s="2"/>
      <c r="AJ2" s="2">
        <v>0</v>
      </c>
      <c r="AK2" s="2">
        <v>0</v>
      </c>
      <c r="AL2" s="2">
        <v>0</v>
      </c>
      <c r="AM2" s="2">
        <v>0</v>
      </c>
      <c r="AN2" s="2">
        <v>0</v>
      </c>
      <c r="AO2" s="2">
        <v>0</v>
      </c>
      <c r="AP2" s="2">
        <v>0</v>
      </c>
    </row>
    <row r="3" spans="1:44" x14ac:dyDescent="0.2">
      <c r="I3" t="s">
        <v>18</v>
      </c>
      <c r="J3" t="s">
        <v>18</v>
      </c>
      <c r="K3" t="s">
        <v>18</v>
      </c>
      <c r="L3" t="s">
        <v>18</v>
      </c>
      <c r="M3" t="s">
        <v>18</v>
      </c>
      <c r="N3" s="37">
        <v>0</v>
      </c>
      <c r="O3" t="s">
        <v>18</v>
      </c>
      <c r="P3" t="s">
        <v>18</v>
      </c>
      <c r="Q3" t="s">
        <v>17</v>
      </c>
      <c r="T3" t="s">
        <v>16</v>
      </c>
      <c r="U3" t="s">
        <v>16</v>
      </c>
      <c r="W3" t="s">
        <v>16</v>
      </c>
      <c r="AB3" s="37">
        <v>0.48108971766038339</v>
      </c>
      <c r="AD3" s="44">
        <v>0.32441939890710381</v>
      </c>
      <c r="AE3" s="37">
        <v>0.27067207999999998</v>
      </c>
      <c r="AF3" s="37">
        <v>0.97499999999999998</v>
      </c>
      <c r="AG3" s="37">
        <f>16/24</f>
        <v>0.66666666666666663</v>
      </c>
      <c r="AH3" s="37"/>
      <c r="AI3" s="37"/>
      <c r="AJ3" s="37">
        <v>0</v>
      </c>
      <c r="AK3" s="37">
        <v>0</v>
      </c>
      <c r="AL3" s="2">
        <v>0.9</v>
      </c>
      <c r="AM3" s="2">
        <v>0.9</v>
      </c>
      <c r="AN3" s="2">
        <v>1</v>
      </c>
      <c r="AO3" s="2">
        <v>1</v>
      </c>
      <c r="AP3" s="2">
        <v>1</v>
      </c>
    </row>
    <row r="4" spans="1:44" ht="76.5" x14ac:dyDescent="0.2">
      <c r="A4" s="6" t="s">
        <v>19</v>
      </c>
      <c r="B4" s="6" t="s">
        <v>20</v>
      </c>
      <c r="C4" s="6" t="s">
        <v>21</v>
      </c>
      <c r="D4" s="3" t="s">
        <v>8</v>
      </c>
      <c r="E4" s="3" t="s">
        <v>9</v>
      </c>
      <c r="F4" s="6" t="s">
        <v>44</v>
      </c>
      <c r="G4" s="6" t="s">
        <v>45</v>
      </c>
      <c r="H4" s="6" t="s">
        <v>46</v>
      </c>
      <c r="I4" s="6" t="str">
        <f>+'Monthly Cap Data'!I4</f>
        <v>HQ B</v>
      </c>
      <c r="J4" s="6" t="str">
        <f>+'Monthly Cap Data'!J4</f>
        <v>HQ C-1</v>
      </c>
      <c r="K4" s="6" t="str">
        <f>+'Monthly Cap Data'!K4</f>
        <v>HQ C-2</v>
      </c>
      <c r="L4" s="6" t="str">
        <f>+'Monthly Cap Data'!L4</f>
        <v>HQ C-3</v>
      </c>
      <c r="M4" s="6" t="str">
        <f>+'Monthly Cap Data'!M4</f>
        <v>HQ C-4b</v>
      </c>
      <c r="N4" s="6" t="str">
        <f>+'Monthly Cap Data'!N4</f>
        <v>Rock Tenn</v>
      </c>
      <c r="O4" s="6" t="str">
        <f>+'Monthly Cap Data'!O4</f>
        <v>Niagara</v>
      </c>
      <c r="P4" s="6" t="str">
        <f>+'Monthly Cap Data'!P4</f>
        <v>St Lawrence</v>
      </c>
      <c r="Q4" s="6" t="str">
        <f>+'Monthly Cap Data'!Q4</f>
        <v>VEPPI</v>
      </c>
      <c r="R4" s="6" t="str">
        <f>+'Monthly Cap Data'!R4</f>
        <v>Swanton Peaker</v>
      </c>
      <c r="S4" s="6" t="str">
        <f>+'Monthly Cap Data'!S4</f>
        <v>Ryegate</v>
      </c>
      <c r="T4" s="6" t="str">
        <f>+'Monthly Cap Data'!T4</f>
        <v>UPC Wind - Sheffield - Fixed Price</v>
      </c>
      <c r="U4" s="6" t="str">
        <f>+'Monthly Cap Data'!U4</f>
        <v>Kingdom Wind</v>
      </c>
      <c r="V4" s="6" t="str">
        <f>+'Monthly Cap Data'!V4</f>
        <v>Next Era - Seabrook</v>
      </c>
      <c r="W4" s="6" t="str">
        <f>+'Monthly Cap Data'!W4</f>
        <v>New Cap Resource 5</v>
      </c>
      <c r="X4" s="6" t="str">
        <f>+'Monthly Cap Data'!X4</f>
        <v>New Cap Resource 6</v>
      </c>
      <c r="Y4" s="6" t="str">
        <f>+'Monthly Cap Data'!Y4</f>
        <v>New Cap Resource 7</v>
      </c>
      <c r="Z4" s="6" t="str">
        <f>+'Monthly Cap Data'!Z4</f>
        <v>New Cap Resource 8</v>
      </c>
      <c r="AA4" s="6" t="str">
        <f>+'Monthly Cap Data'!AA4</f>
        <v>New Cap Resource 9</v>
      </c>
      <c r="AB4" s="6" t="str">
        <f>+'Monthly Cap Data'!AB4</f>
        <v>SPEED Standard Offer Rates</v>
      </c>
      <c r="AC4" s="6" t="str">
        <f>+'Monthly Cap Data'!AC4</f>
        <v>Total Existing Resources</v>
      </c>
      <c r="AD4" s="6" t="str">
        <f>+'Monthly Cap Data'!AD4</f>
        <v>Next Era - 9/2013</v>
      </c>
      <c r="AE4" s="6" t="str">
        <f>+'Monthly Cap Data'!AE4</f>
        <v>Constellation - 1/2014</v>
      </c>
      <c r="AF4" s="6" t="str">
        <f>+'Monthly Cap Data'!AF4</f>
        <v>PSEG - 1/2014</v>
      </c>
      <c r="AG4" s="6" t="str">
        <f>+'Monthly Cap Data'!AG4</f>
        <v>Proposed Cap Resource 1</v>
      </c>
      <c r="AH4" s="6" t="str">
        <f>+'Monthly Cap Data'!AH4</f>
        <v>Proposed Cap Resource 2</v>
      </c>
      <c r="AI4" s="6" t="str">
        <f>+'Monthly Cap Data'!AI4</f>
        <v>Proposed Cap Resource 3</v>
      </c>
      <c r="AJ4" s="6" t="str">
        <f>+'Monthly Cap Data'!AJ4</f>
        <v>Proposed Cap Resource 4</v>
      </c>
      <c r="AK4" s="6" t="str">
        <f>+'Monthly Cap Data'!AK4</f>
        <v>Proposed Cap Resource 5</v>
      </c>
      <c r="AL4" s="6" t="str">
        <f>+'Monthly Cap Data'!AL4</f>
        <v>Proposed Cap Resource 6</v>
      </c>
      <c r="AM4" s="6" t="str">
        <f>+'Monthly Cap Data'!AM4</f>
        <v>Proposed Cap Resource 7</v>
      </c>
      <c r="AN4" s="6" t="str">
        <f>+'Monthly Cap Data'!AN4</f>
        <v>Proposed Cap Resource 8</v>
      </c>
      <c r="AO4" s="6" t="str">
        <f>+'Monthly Cap Data'!AO4</f>
        <v>Proposed Cap Resource 9</v>
      </c>
      <c r="AP4" s="6" t="str">
        <f>+'Monthly Cap Data'!AP4</f>
        <v>Proposed Cap Resource 10</v>
      </c>
      <c r="AQ4" s="6" t="str">
        <f>+'Monthly Cap Data'!AQ4</f>
        <v>Total Pending Resources</v>
      </c>
      <c r="AR4" s="6" t="str">
        <f>+'Monthly Cap Data'!AR4</f>
        <v>Total Resources Existing + Pending</v>
      </c>
    </row>
    <row r="5" spans="1:44" x14ac:dyDescent="0.2">
      <c r="A5" s="43">
        <v>0.01</v>
      </c>
      <c r="B5" s="43"/>
      <c r="C5" s="43">
        <v>0</v>
      </c>
      <c r="D5" s="2">
        <v>2012</v>
      </c>
      <c r="E5" s="2">
        <v>1</v>
      </c>
      <c r="F5" s="47" t="e">
        <f>+AVERAGE('Monthly Cap Data'!F5:F16)</f>
        <v>#N/A</v>
      </c>
      <c r="G5" s="47">
        <f>+AVERAGE('Monthly Cap Data'!G5:G16)</f>
        <v>81.513900000000021</v>
      </c>
      <c r="H5" s="47" t="e">
        <f>+AVERAGE('Monthly Cap Data'!H5:H16)</f>
        <v>#N/A</v>
      </c>
      <c r="I5" s="47">
        <f>+AVERAGE('Monthly Cap Data'!I5:I16)</f>
        <v>0.41499999999999998</v>
      </c>
      <c r="J5" s="47">
        <f>+AVERAGE('Monthly Cap Data'!J5:J16)</f>
        <v>16.662500000000001</v>
      </c>
      <c r="K5" s="47">
        <f>+AVERAGE('Monthly Cap Data'!K5:K16)</f>
        <v>4.2766666666666655</v>
      </c>
      <c r="L5" s="47">
        <f>+AVERAGE('Monthly Cap Data'!L5:L16)</f>
        <v>0.125</v>
      </c>
      <c r="M5" s="47">
        <f>+AVERAGE('Monthly Cap Data'!M5:M16)</f>
        <v>5.6710000000000003</v>
      </c>
      <c r="N5" s="47">
        <f>+AVERAGE('Monthly Cap Data'!N5:N16)</f>
        <v>4.6869999999999994</v>
      </c>
      <c r="O5" s="47">
        <f>+AVERAGE('Monthly Cap Data'!O5:O16)</f>
        <v>5.2492977284550033</v>
      </c>
      <c r="P5" s="47">
        <f>+AVERAGE('Monthly Cap Data'!P5:P16)</f>
        <v>0.10870227154499738</v>
      </c>
      <c r="Q5" s="47">
        <f>+AVERAGE('Monthly Cap Data'!Q5:Q16)</f>
        <v>2.8763394263999995</v>
      </c>
      <c r="R5" s="47">
        <f>+AVERAGE('Monthly Cap Data'!R5:R16)</f>
        <v>3.3590000000000013</v>
      </c>
      <c r="S5" s="47">
        <f>+AVERAGE('Monthly Cap Data'!S5:S16)</f>
        <v>0.26600000000000001</v>
      </c>
      <c r="T5" s="47">
        <f>+AVERAGE('Monthly Cap Data'!T5:T16)</f>
        <v>3</v>
      </c>
      <c r="U5" s="47"/>
      <c r="V5" s="47"/>
      <c r="W5" s="47" t="e">
        <f>+AVERAGE('Monthly Cap Data'!W5:W16)</f>
        <v>#DIV/0!</v>
      </c>
      <c r="X5" s="47" t="e">
        <f>+AVERAGE('Monthly Cap Data'!X5:X16)</f>
        <v>#DIV/0!</v>
      </c>
      <c r="Y5" s="47" t="e">
        <f>+AVERAGE('Monthly Cap Data'!Y5:Y16)</f>
        <v>#DIV/0!</v>
      </c>
      <c r="Z5" s="47" t="e">
        <f>+AVERAGE('Monthly Cap Data'!Z5:Z16)</f>
        <v>#DIV/0!</v>
      </c>
      <c r="AA5" s="47" t="e">
        <f>+AVERAGE('Monthly Cap Data'!AA5:AA16)</f>
        <v>#DIV/0!</v>
      </c>
      <c r="AB5" s="47">
        <f>+AVERAGE('Monthly Cap Data'!AB5:AB16)</f>
        <v>0.80394668749999987</v>
      </c>
      <c r="AC5" s="47" t="e">
        <f>+AVERAGE('Monthly Cap Data'!AC5:AC16)</f>
        <v>#N/A</v>
      </c>
      <c r="AD5" s="47"/>
      <c r="AE5" s="47"/>
      <c r="AF5" s="47"/>
      <c r="AG5" s="47" t="e">
        <f>+AVERAGE('Monthly Cap Data'!AG5:AG16)</f>
        <v>#DIV/0!</v>
      </c>
      <c r="AH5" s="47" t="e">
        <f>+AVERAGE('Monthly Cap Data'!AH5:AH16)</f>
        <v>#DIV/0!</v>
      </c>
      <c r="AI5" s="47" t="e">
        <f>+AVERAGE('Monthly Cap Data'!AI5:AI16)</f>
        <v>#DIV/0!</v>
      </c>
      <c r="AJ5" s="47" t="e">
        <f>+AVERAGE('Monthly Cap Data'!AJ5:AJ16)</f>
        <v>#DIV/0!</v>
      </c>
      <c r="AK5" s="47" t="e">
        <f>+AVERAGE('Monthly Cap Data'!AK5:AK16)</f>
        <v>#DIV/0!</v>
      </c>
      <c r="AL5" s="47" t="e">
        <f>+AVERAGE('Monthly Cap Data'!AL5:AL16)</f>
        <v>#DIV/0!</v>
      </c>
      <c r="AM5" s="47" t="e">
        <f>+AVERAGE('Monthly Cap Data'!AM5:AM16)</f>
        <v>#DIV/0!</v>
      </c>
      <c r="AN5" s="47" t="e">
        <f>+AVERAGE('Monthly Cap Data'!AN5:AN16)</f>
        <v>#DIV/0!</v>
      </c>
      <c r="AO5" s="47" t="e">
        <f>+AVERAGE('Monthly Cap Data'!AO5:AO16)</f>
        <v>#DIV/0!</v>
      </c>
      <c r="AP5" s="47" t="e">
        <f>+AVERAGE('Monthly Cap Data'!AP5:AP16)</f>
        <v>#DIV/0!</v>
      </c>
      <c r="AQ5" s="47" t="e">
        <f>+AVERAGE('Monthly Cap Data'!AQ5:AQ16)</f>
        <v>#N/A</v>
      </c>
      <c r="AR5" s="47" t="e">
        <f>+AVERAGE('Monthly Cap Data'!AR5:AR16)</f>
        <v>#N/A</v>
      </c>
    </row>
    <row r="6" spans="1:44" x14ac:dyDescent="0.2">
      <c r="A6" s="43">
        <v>0.01</v>
      </c>
      <c r="B6" s="43"/>
      <c r="C6" s="43">
        <v>0</v>
      </c>
      <c r="D6" s="7" t="e">
        <f>#N/A</f>
        <v>#N/A</v>
      </c>
      <c r="E6" s="7" t="e">
        <f>#N/A</f>
        <v>#N/A</v>
      </c>
      <c r="F6" s="47" t="e">
        <f>+AVERAGE('Monthly Cap Data'!F17:F28)</f>
        <v>#N/A</v>
      </c>
      <c r="G6" s="47" t="e">
        <f>+AVERAGE('Monthly Cap Data'!G17:G28)</f>
        <v>#N/A</v>
      </c>
      <c r="H6" s="47" t="e">
        <f>+AVERAGE('Monthly Cap Data'!H17:H28)</f>
        <v>#N/A</v>
      </c>
      <c r="I6" s="47">
        <f>+AVERAGE('Monthly Cap Data'!I17:I28)</f>
        <v>0.41499999999999998</v>
      </c>
      <c r="J6" s="71"/>
      <c r="K6" s="71"/>
      <c r="L6" s="47">
        <f>+AVERAGE('Monthly Cap Data'!L17:L28)</f>
        <v>0.125</v>
      </c>
      <c r="M6" s="47">
        <f>+AVERAGE('Monthly Cap Data'!M17:M28)</f>
        <v>5.6710000000000003</v>
      </c>
      <c r="N6" s="47">
        <f>+AVERAGE('Monthly Cap Data'!N17:N28)</f>
        <v>5.0637499999999998</v>
      </c>
      <c r="O6" s="47">
        <f>+AVERAGE('Monthly Cap Data'!O17:O28)</f>
        <v>5.2492977284550033</v>
      </c>
      <c r="P6" s="47">
        <f>+AVERAGE('Monthly Cap Data'!P17:P28)</f>
        <v>0.10870227154499738</v>
      </c>
      <c r="Q6" s="47">
        <f>+AVERAGE('Monthly Cap Data'!Q17:Q28)</f>
        <v>1.3429008861583334</v>
      </c>
      <c r="R6" s="47">
        <f>+AVERAGE('Monthly Cap Data'!R17:R28)</f>
        <v>3.3590000000000013</v>
      </c>
      <c r="S6" s="47">
        <f>+AVERAGE('Monthly Cap Data'!S17:S28)</f>
        <v>1.5137499999999999</v>
      </c>
      <c r="T6" s="47">
        <f>+AVERAGE('Monthly Cap Data'!T17:T28)</f>
        <v>3</v>
      </c>
      <c r="U6" s="47">
        <f>+AVERAGE('Monthly Cap Data'!U17:U28)</f>
        <v>2.3999999999999995</v>
      </c>
      <c r="V6" s="47"/>
      <c r="W6" s="47" t="e">
        <f>+AVERAGE('Monthly Cap Data'!W17:W28)</f>
        <v>#DIV/0!</v>
      </c>
      <c r="X6" s="47" t="e">
        <f>+AVERAGE('Monthly Cap Data'!X17:X28)</f>
        <v>#DIV/0!</v>
      </c>
      <c r="Y6" s="47" t="e">
        <f>+AVERAGE('Monthly Cap Data'!Y17:Y28)</f>
        <v>#DIV/0!</v>
      </c>
      <c r="Z6" s="47" t="e">
        <f>+AVERAGE('Monthly Cap Data'!Z17:Z28)</f>
        <v>#DIV/0!</v>
      </c>
      <c r="AA6" s="47" t="e">
        <f>+AVERAGE('Monthly Cap Data'!AA17:AA28)</f>
        <v>#DIV/0!</v>
      </c>
      <c r="AB6" s="47">
        <f>+AVERAGE('Monthly Cap Data'!AB17:AB28)</f>
        <v>1.4103719245006723</v>
      </c>
      <c r="AC6" s="47" t="e">
        <f>+AVERAGE('Monthly Cap Data'!AC17:AC28)</f>
        <v>#N/A</v>
      </c>
      <c r="AD6" s="47"/>
      <c r="AE6" s="47"/>
      <c r="AF6" s="47"/>
      <c r="AG6" s="47" t="e">
        <f>+AVERAGE('Monthly Cap Data'!AG17:AG28)</f>
        <v>#DIV/0!</v>
      </c>
      <c r="AH6" s="47" t="e">
        <f>+AVERAGE('Monthly Cap Data'!AH17:AH28)</f>
        <v>#DIV/0!</v>
      </c>
      <c r="AI6" s="47" t="e">
        <f>+AVERAGE('Monthly Cap Data'!AI17:AI28)</f>
        <v>#DIV/0!</v>
      </c>
      <c r="AJ6" s="47" t="e">
        <f>+AVERAGE('Monthly Cap Data'!AJ17:AJ28)</f>
        <v>#DIV/0!</v>
      </c>
      <c r="AK6" s="47" t="e">
        <f>+AVERAGE('Monthly Cap Data'!AK17:AK28)</f>
        <v>#DIV/0!</v>
      </c>
      <c r="AL6" s="47" t="e">
        <f>+AVERAGE('Monthly Cap Data'!AL17:AL28)</f>
        <v>#DIV/0!</v>
      </c>
      <c r="AM6" s="47" t="e">
        <f>+AVERAGE('Monthly Cap Data'!AM17:AM28)</f>
        <v>#DIV/0!</v>
      </c>
      <c r="AN6" s="47" t="e">
        <f>+AVERAGE('Monthly Cap Data'!AN17:AN28)</f>
        <v>#DIV/0!</v>
      </c>
      <c r="AO6" s="47" t="e">
        <f>+AVERAGE('Monthly Cap Data'!AO17:AO28)</f>
        <v>#DIV/0!</v>
      </c>
      <c r="AP6" s="47" t="e">
        <f>+AVERAGE('Monthly Cap Data'!AP17:AP28)</f>
        <v>#DIV/0!</v>
      </c>
      <c r="AQ6" s="47" t="e">
        <f>+AVERAGE('Monthly Cap Data'!AQ17:AQ28)</f>
        <v>#N/A</v>
      </c>
      <c r="AR6" s="47" t="e">
        <f>+AVERAGE('Monthly Cap Data'!AR17:AR28)</f>
        <v>#N/A</v>
      </c>
    </row>
    <row r="7" spans="1:44" x14ac:dyDescent="0.2">
      <c r="A7" s="43">
        <v>0.01</v>
      </c>
      <c r="B7" s="43"/>
      <c r="C7" s="43">
        <v>0</v>
      </c>
      <c r="D7" s="7" t="e">
        <f>#N/A</f>
        <v>#N/A</v>
      </c>
      <c r="E7" s="7" t="e">
        <f>#N/A</f>
        <v>#N/A</v>
      </c>
      <c r="F7" s="47" t="e">
        <f>+AVERAGE('Monthly Cap Data'!F29:F40)</f>
        <v>#N/A</v>
      </c>
      <c r="G7" s="47" t="e">
        <f>+AVERAGE('Monthly Cap Data'!G29:G40)</f>
        <v>#N/A</v>
      </c>
      <c r="H7" s="47" t="e">
        <f>+AVERAGE('Monthly Cap Data'!H29:H40)</f>
        <v>#N/A</v>
      </c>
      <c r="I7" s="47">
        <f>+AVERAGE('Monthly Cap Data'!I29:I40)</f>
        <v>0.41499999999999998</v>
      </c>
      <c r="J7" s="71"/>
      <c r="K7" s="71"/>
      <c r="L7" s="47">
        <f>+AVERAGE('Monthly Cap Data'!L29:L40)</f>
        <v>0.125</v>
      </c>
      <c r="M7" s="47">
        <f>+AVERAGE('Monthly Cap Data'!M29:M40)</f>
        <v>5.6710000000000003</v>
      </c>
      <c r="N7" s="47">
        <f>+AVERAGE('Monthly Cap Data'!N29:N40)</f>
        <v>5.0649999999999995</v>
      </c>
      <c r="O7" s="47">
        <f>+AVERAGE('Monthly Cap Data'!O29:O40)</f>
        <v>5.2492977284550033</v>
      </c>
      <c r="P7" s="47">
        <f>+AVERAGE('Monthly Cap Data'!P29:P40)</f>
        <v>0.10870227154499738</v>
      </c>
      <c r="Q7" s="47">
        <f>+AVERAGE('Monthly Cap Data'!Q29:Q40)</f>
        <v>1.2540906352249999</v>
      </c>
      <c r="R7" s="47">
        <f>+AVERAGE('Monthly Cap Data'!R29:R40)</f>
        <v>3.3590000000000013</v>
      </c>
      <c r="S7" s="47">
        <f>+AVERAGE('Monthly Cap Data'!S29:S40)</f>
        <v>1.4550000000000001</v>
      </c>
      <c r="T7" s="47">
        <f>+AVERAGE('Monthly Cap Data'!T29:T40)</f>
        <v>3.6666666666666665</v>
      </c>
      <c r="U7" s="47">
        <f>+AVERAGE('Monthly Cap Data'!U29:U40)</f>
        <v>2.0502312925170063</v>
      </c>
      <c r="V7" s="47"/>
      <c r="W7" s="47" t="e">
        <f>+AVERAGE('Monthly Cap Data'!W29:W40)</f>
        <v>#DIV/0!</v>
      </c>
      <c r="X7" s="47" t="e">
        <f>+AVERAGE('Monthly Cap Data'!X29:X40)</f>
        <v>#DIV/0!</v>
      </c>
      <c r="Y7" s="47" t="e">
        <f>+AVERAGE('Monthly Cap Data'!Y29:Y40)</f>
        <v>#DIV/0!</v>
      </c>
      <c r="Z7" s="47" t="e">
        <f>+AVERAGE('Monthly Cap Data'!Z29:Z40)</f>
        <v>#DIV/0!</v>
      </c>
      <c r="AA7" s="47" t="e">
        <f>+AVERAGE('Monthly Cap Data'!AA29:AA40)</f>
        <v>#DIV/0!</v>
      </c>
      <c r="AB7" s="47">
        <f>+AVERAGE('Monthly Cap Data'!AB29:AB40)</f>
        <v>2.1510789989819892</v>
      </c>
      <c r="AC7" s="47" t="e">
        <f>+AVERAGE('Monthly Cap Data'!AC29:AC40)</f>
        <v>#N/A</v>
      </c>
      <c r="AD7" s="47"/>
      <c r="AE7" s="47"/>
      <c r="AF7" s="47"/>
      <c r="AG7" s="47" t="e">
        <f>+AVERAGE('Monthly Cap Data'!AG29:AG40)</f>
        <v>#DIV/0!</v>
      </c>
      <c r="AH7" s="47" t="e">
        <f>+AVERAGE('Monthly Cap Data'!AH29:AH40)</f>
        <v>#DIV/0!</v>
      </c>
      <c r="AI7" s="47" t="e">
        <f>+AVERAGE('Monthly Cap Data'!AI29:AI40)</f>
        <v>#DIV/0!</v>
      </c>
      <c r="AJ7" s="47" t="e">
        <f>+AVERAGE('Monthly Cap Data'!AJ29:AJ40)</f>
        <v>#DIV/0!</v>
      </c>
      <c r="AK7" s="47" t="e">
        <f>+AVERAGE('Monthly Cap Data'!AK29:AK40)</f>
        <v>#DIV/0!</v>
      </c>
      <c r="AL7" s="47" t="e">
        <f>+AVERAGE('Monthly Cap Data'!AL29:AL40)</f>
        <v>#DIV/0!</v>
      </c>
      <c r="AM7" s="47" t="e">
        <f>+AVERAGE('Monthly Cap Data'!AM29:AM40)</f>
        <v>#DIV/0!</v>
      </c>
      <c r="AN7" s="47" t="e">
        <f>+AVERAGE('Monthly Cap Data'!AN29:AN40)</f>
        <v>#DIV/0!</v>
      </c>
      <c r="AO7" s="47" t="e">
        <f>+AVERAGE('Monthly Cap Data'!AO29:AO40)</f>
        <v>#DIV/0!</v>
      </c>
      <c r="AP7" s="47" t="e">
        <f>+AVERAGE('Monthly Cap Data'!AP29:AP40)</f>
        <v>#DIV/0!</v>
      </c>
      <c r="AQ7" s="47" t="e">
        <f>+AVERAGE('Monthly Cap Data'!AQ29:AQ40)</f>
        <v>#N/A</v>
      </c>
      <c r="AR7" s="47" t="e">
        <f>+AVERAGE('Monthly Cap Data'!AR29:AR40)</f>
        <v>#N/A</v>
      </c>
    </row>
    <row r="8" spans="1:44" x14ac:dyDescent="0.2">
      <c r="A8" s="43">
        <v>0.01</v>
      </c>
      <c r="B8" s="43"/>
      <c r="C8" s="43">
        <v>0</v>
      </c>
      <c r="D8" s="7" t="e">
        <f>#N/A</f>
        <v>#N/A</v>
      </c>
      <c r="E8" s="7" t="e">
        <f>#N/A</f>
        <v>#N/A</v>
      </c>
      <c r="F8" s="47" t="e">
        <f>+AVERAGE('Monthly Cap Data'!F41:F52)</f>
        <v>#N/A</v>
      </c>
      <c r="G8" s="47" t="e">
        <f>+AVERAGE('Monthly Cap Data'!G41:G52)</f>
        <v>#N/A</v>
      </c>
      <c r="H8" s="47" t="e">
        <f>+AVERAGE('Monthly Cap Data'!H41:H52)</f>
        <v>#N/A</v>
      </c>
      <c r="I8" s="47">
        <f>+AVERAGE('Monthly Cap Data'!I41:I52)</f>
        <v>0.34583333333333327</v>
      </c>
      <c r="J8" s="71"/>
      <c r="K8" s="71"/>
      <c r="L8" s="47">
        <f>+AVERAGE('Monthly Cap Data'!L41:L52)</f>
        <v>0.10416666666666667</v>
      </c>
      <c r="M8" s="47">
        <f>+AVERAGE('Monthly Cap Data'!M41:M52)</f>
        <v>5.6710000000000003</v>
      </c>
      <c r="N8" s="47">
        <f>+AVERAGE('Monthly Cap Data'!N41:N52)</f>
        <v>5.0649999999999995</v>
      </c>
      <c r="O8" s="47">
        <f>+AVERAGE('Monthly Cap Data'!O41:O52)</f>
        <v>5.2492977284550033</v>
      </c>
      <c r="P8" s="47">
        <f>+AVERAGE('Monthly Cap Data'!P41:P52)</f>
        <v>0.10870227154499738</v>
      </c>
      <c r="Q8" s="47">
        <f>+AVERAGE('Monthly Cap Data'!Q41:Q52)</f>
        <v>1.2547023647666666</v>
      </c>
      <c r="R8" s="47">
        <f>+AVERAGE('Monthly Cap Data'!R41:R52)</f>
        <v>3.3590000000000013</v>
      </c>
      <c r="S8" s="47">
        <f>+AVERAGE('Monthly Cap Data'!S41:S52)</f>
        <v>1.4550000000000001</v>
      </c>
      <c r="T8" s="47">
        <f>+AVERAGE('Monthly Cap Data'!T41:T52)</f>
        <v>3.6666666666666665</v>
      </c>
      <c r="U8" s="47">
        <f>+AVERAGE('Monthly Cap Data'!U41:U52)</f>
        <v>2.3426878306878307</v>
      </c>
      <c r="V8" s="47" t="e">
        <f>+AVERAGE('Monthly Cap Data'!V41:V52)</f>
        <v>#N/A</v>
      </c>
      <c r="W8" s="47" t="e">
        <f>+AVERAGE('Monthly Cap Data'!W41:W52)</f>
        <v>#DIV/0!</v>
      </c>
      <c r="X8" s="47" t="e">
        <f>+AVERAGE('Monthly Cap Data'!X41:X52)</f>
        <v>#DIV/0!</v>
      </c>
      <c r="Y8" s="47" t="e">
        <f>+AVERAGE('Monthly Cap Data'!Y41:Y52)</f>
        <v>#DIV/0!</v>
      </c>
      <c r="Z8" s="47" t="e">
        <f>+AVERAGE('Monthly Cap Data'!Z41:Z52)</f>
        <v>#DIV/0!</v>
      </c>
      <c r="AA8" s="47" t="e">
        <f>+AVERAGE('Monthly Cap Data'!AA41:AA52)</f>
        <v>#DIV/0!</v>
      </c>
      <c r="AB8" s="47">
        <f>+AVERAGE('Monthly Cap Data'!AB41:AB52)</f>
        <v>2.5777197424887093</v>
      </c>
      <c r="AC8" s="47" t="e">
        <f>+AVERAGE('Monthly Cap Data'!AC41:AC52)</f>
        <v>#N/A</v>
      </c>
      <c r="AD8" s="47"/>
      <c r="AE8" s="47"/>
      <c r="AF8" s="47"/>
      <c r="AG8" s="47" t="e">
        <f>+AVERAGE('Monthly Cap Data'!AG41:AG52)</f>
        <v>#DIV/0!</v>
      </c>
      <c r="AH8" s="47" t="e">
        <f>+AVERAGE('Monthly Cap Data'!AH41:AH52)</f>
        <v>#DIV/0!</v>
      </c>
      <c r="AI8" s="47" t="e">
        <f>+AVERAGE('Monthly Cap Data'!AI41:AI52)</f>
        <v>#DIV/0!</v>
      </c>
      <c r="AJ8" s="47" t="e">
        <f>+AVERAGE('Monthly Cap Data'!AJ41:AJ52)</f>
        <v>#DIV/0!</v>
      </c>
      <c r="AK8" s="47" t="e">
        <f>+AVERAGE('Monthly Cap Data'!AK41:AK52)</f>
        <v>#DIV/0!</v>
      </c>
      <c r="AL8" s="47" t="e">
        <f>+AVERAGE('Monthly Cap Data'!AL41:AL52)</f>
        <v>#DIV/0!</v>
      </c>
      <c r="AM8" s="47" t="e">
        <f>+AVERAGE('Monthly Cap Data'!AM41:AM52)</f>
        <v>#DIV/0!</v>
      </c>
      <c r="AN8" s="47" t="e">
        <f>+AVERAGE('Monthly Cap Data'!AN41:AN52)</f>
        <v>#DIV/0!</v>
      </c>
      <c r="AO8" s="47" t="e">
        <f>+AVERAGE('Monthly Cap Data'!AO41:AO52)</f>
        <v>#DIV/0!</v>
      </c>
      <c r="AP8" s="47" t="e">
        <f>+AVERAGE('Monthly Cap Data'!AP41:AP52)</f>
        <v>#DIV/0!</v>
      </c>
      <c r="AQ8" s="47" t="e">
        <f>+AVERAGE('Monthly Cap Data'!AQ41:AQ52)</f>
        <v>#N/A</v>
      </c>
      <c r="AR8" s="47" t="e">
        <f>+AVERAGE('Monthly Cap Data'!AR41:AR52)</f>
        <v>#N/A</v>
      </c>
    </row>
    <row r="9" spans="1:44" x14ac:dyDescent="0.2">
      <c r="A9" s="43">
        <v>0.01</v>
      </c>
      <c r="B9" s="43"/>
      <c r="C9" s="43">
        <v>0</v>
      </c>
      <c r="D9" s="7" t="e">
        <f>#N/A</f>
        <v>#N/A</v>
      </c>
      <c r="E9" s="7" t="e">
        <f>#N/A</f>
        <v>#N/A</v>
      </c>
      <c r="F9" s="47" t="e">
        <f>+AVERAGE('Monthly Cap Data'!F53:F64)</f>
        <v>#N/A</v>
      </c>
      <c r="G9" s="47" t="e">
        <f>+AVERAGE('Monthly Cap Data'!G53:G64)</f>
        <v>#N/A</v>
      </c>
      <c r="H9" s="47" t="e">
        <f>+AVERAGE('Monthly Cap Data'!H53:H64)</f>
        <v>#N/A</v>
      </c>
      <c r="I9" s="71"/>
      <c r="J9" s="71"/>
      <c r="K9" s="71"/>
      <c r="L9" s="71"/>
      <c r="M9" s="47">
        <f>+AVERAGE('Monthly Cap Data'!M53:M64)</f>
        <v>5.6710000000000003</v>
      </c>
      <c r="N9" s="47">
        <f>+AVERAGE('Monthly Cap Data'!N53:N64)</f>
        <v>5.0649999999999995</v>
      </c>
      <c r="O9" s="47">
        <f>+AVERAGE('Monthly Cap Data'!O53:O64)</f>
        <v>5.2492977284550033</v>
      </c>
      <c r="P9" s="47">
        <f>+AVERAGE('Monthly Cap Data'!P53:P64)</f>
        <v>0.10870227154499738</v>
      </c>
      <c r="Q9" s="47">
        <f>+AVERAGE('Monthly Cap Data'!Q53:Q64)</f>
        <v>1.2537493545333334</v>
      </c>
      <c r="R9" s="47">
        <f>+AVERAGE('Monthly Cap Data'!R53:R64)</f>
        <v>3.3590000000000013</v>
      </c>
      <c r="S9" s="47">
        <f>+AVERAGE('Monthly Cap Data'!S53:S64)</f>
        <v>1.4550000000000001</v>
      </c>
      <c r="T9" s="47">
        <f>+AVERAGE('Monthly Cap Data'!T53:T64)</f>
        <v>3.6666666666666665</v>
      </c>
      <c r="U9" s="47">
        <f>+AVERAGE('Monthly Cap Data'!U53:U64)</f>
        <v>2.3426878306878307</v>
      </c>
      <c r="V9" s="47" t="e">
        <f>+AVERAGE('Monthly Cap Data'!V53:V64)</f>
        <v>#N/A</v>
      </c>
      <c r="W9" s="47" t="e">
        <f>+AVERAGE('Monthly Cap Data'!W53:W64)</f>
        <v>#DIV/0!</v>
      </c>
      <c r="X9" s="47" t="e">
        <f>+AVERAGE('Monthly Cap Data'!X53:X64)</f>
        <v>#DIV/0!</v>
      </c>
      <c r="Y9" s="47" t="e">
        <f>+AVERAGE('Monthly Cap Data'!Y53:Y64)</f>
        <v>#DIV/0!</v>
      </c>
      <c r="Z9" s="47" t="e">
        <f>+AVERAGE('Monthly Cap Data'!Z53:Z64)</f>
        <v>#DIV/0!</v>
      </c>
      <c r="AA9" s="47" t="e">
        <f>+AVERAGE('Monthly Cap Data'!AA53:AA64)</f>
        <v>#DIV/0!</v>
      </c>
      <c r="AB9" s="47">
        <f>+AVERAGE('Monthly Cap Data'!AB53:AB64)</f>
        <v>2.2255360549887095</v>
      </c>
      <c r="AC9" s="47" t="e">
        <f>+AVERAGE('Monthly Cap Data'!AC53:AC64)</f>
        <v>#N/A</v>
      </c>
      <c r="AD9" s="47"/>
      <c r="AE9" s="47"/>
      <c r="AF9" s="47"/>
      <c r="AG9" s="47" t="e">
        <f>+AVERAGE('Monthly Cap Data'!AG53:AG64)</f>
        <v>#DIV/0!</v>
      </c>
      <c r="AH9" s="47" t="e">
        <f>+AVERAGE('Monthly Cap Data'!AH53:AH64)</f>
        <v>#DIV/0!</v>
      </c>
      <c r="AI9" s="47" t="e">
        <f>+AVERAGE('Monthly Cap Data'!AI53:AI64)</f>
        <v>#DIV/0!</v>
      </c>
      <c r="AJ9" s="47" t="e">
        <f>+AVERAGE('Monthly Cap Data'!AJ53:AJ64)</f>
        <v>#DIV/0!</v>
      </c>
      <c r="AK9" s="47" t="e">
        <f>+AVERAGE('Monthly Cap Data'!AK53:AK64)</f>
        <v>#DIV/0!</v>
      </c>
      <c r="AL9" s="47" t="e">
        <f>+AVERAGE('Monthly Cap Data'!AL53:AL64)</f>
        <v>#DIV/0!</v>
      </c>
      <c r="AM9" s="47" t="e">
        <f>+AVERAGE('Monthly Cap Data'!AM53:AM64)</f>
        <v>#DIV/0!</v>
      </c>
      <c r="AN9" s="47" t="e">
        <f>+AVERAGE('Monthly Cap Data'!AN53:AN64)</f>
        <v>#DIV/0!</v>
      </c>
      <c r="AO9" s="47" t="e">
        <f>+AVERAGE('Monthly Cap Data'!AO53:AO64)</f>
        <v>#DIV/0!</v>
      </c>
      <c r="AP9" s="47" t="e">
        <f>+AVERAGE('Monthly Cap Data'!AP53:AP64)</f>
        <v>#DIV/0!</v>
      </c>
      <c r="AQ9" s="47" t="e">
        <f>+AVERAGE('Monthly Cap Data'!AQ53:AQ64)</f>
        <v>#N/A</v>
      </c>
      <c r="AR9" s="47" t="e">
        <f>+AVERAGE('Monthly Cap Data'!AR53:AR64)</f>
        <v>#N/A</v>
      </c>
    </row>
    <row r="10" spans="1:44" x14ac:dyDescent="0.2">
      <c r="A10" s="43">
        <v>0.01</v>
      </c>
      <c r="B10" s="43"/>
      <c r="C10" s="43">
        <v>0</v>
      </c>
      <c r="D10" s="7" t="e">
        <f>#N/A</f>
        <v>#N/A</v>
      </c>
      <c r="E10" s="7" t="e">
        <f>#N/A</f>
        <v>#N/A</v>
      </c>
      <c r="F10" s="47" t="e">
        <f>+AVERAGE('Monthly Cap Data'!F65:F76)</f>
        <v>#N/A</v>
      </c>
      <c r="G10" s="47" t="e">
        <f>+AVERAGE('Monthly Cap Data'!G65:G76)</f>
        <v>#N/A</v>
      </c>
      <c r="H10" s="47" t="e">
        <f>+AVERAGE('Monthly Cap Data'!H65:H76)</f>
        <v>#N/A</v>
      </c>
      <c r="I10" s="71"/>
      <c r="J10" s="71"/>
      <c r="K10" s="71"/>
      <c r="L10" s="71"/>
      <c r="M10" s="47">
        <f>+AVERAGE('Monthly Cap Data'!M65:M76)</f>
        <v>5.6710000000000003</v>
      </c>
      <c r="N10" s="47">
        <f>+AVERAGE('Monthly Cap Data'!N65:N76)</f>
        <v>5.0649999999999995</v>
      </c>
      <c r="O10" s="47">
        <f>+AVERAGE('Monthly Cap Data'!O65:O76)</f>
        <v>5.2492977284550033</v>
      </c>
      <c r="P10" s="47">
        <f>+AVERAGE('Monthly Cap Data'!P65:P76)</f>
        <v>0.10870227154499738</v>
      </c>
      <c r="Q10" s="47">
        <f>+AVERAGE('Monthly Cap Data'!Q65:Q76)</f>
        <v>1.1622796899083332</v>
      </c>
      <c r="R10" s="47">
        <f>+AVERAGE('Monthly Cap Data'!R65:R76)</f>
        <v>3.3590000000000013</v>
      </c>
      <c r="S10" s="47">
        <f>+AVERAGE('Monthly Cap Data'!S65:S76)</f>
        <v>1.4550000000000001</v>
      </c>
      <c r="T10" s="47">
        <f>+AVERAGE('Monthly Cap Data'!T65:T76)</f>
        <v>3.6666666666666665</v>
      </c>
      <c r="U10" s="47">
        <f>+AVERAGE('Monthly Cap Data'!U65:U76)</f>
        <v>2.3426878306878307</v>
      </c>
      <c r="V10" s="47" t="e">
        <f>+AVERAGE('Monthly Cap Data'!V65:V76)</f>
        <v>#N/A</v>
      </c>
      <c r="W10" s="47" t="e">
        <f>+AVERAGE('Monthly Cap Data'!W65:W76)</f>
        <v>#DIV/0!</v>
      </c>
      <c r="X10" s="47" t="e">
        <f>+AVERAGE('Monthly Cap Data'!X65:X76)</f>
        <v>#DIV/0!</v>
      </c>
      <c r="Y10" s="47" t="e">
        <f>+AVERAGE('Monthly Cap Data'!Y65:Y76)</f>
        <v>#DIV/0!</v>
      </c>
      <c r="Z10" s="47" t="e">
        <f>+AVERAGE('Monthly Cap Data'!Z65:Z76)</f>
        <v>#DIV/0!</v>
      </c>
      <c r="AA10" s="47" t="e">
        <f>+AVERAGE('Monthly Cap Data'!AA65:AA76)</f>
        <v>#DIV/0!</v>
      </c>
      <c r="AB10" s="47">
        <f>+AVERAGE('Monthly Cap Data'!AB65:AB76)</f>
        <v>2.2255360549887095</v>
      </c>
      <c r="AC10" s="47" t="e">
        <f>+AVERAGE('Monthly Cap Data'!AC65:AC76)</f>
        <v>#N/A</v>
      </c>
      <c r="AD10" s="47">
        <f>+AVERAGE('Monthly Cap Data'!AD65:AD76)</f>
        <v>6.666666666666667</v>
      </c>
      <c r="AE10" s="47">
        <f>+AVERAGE('Monthly Cap Data'!AE65:AE76)</f>
        <v>3.3333333333333335</v>
      </c>
      <c r="AF10" s="47">
        <f>+AVERAGE('Monthly Cap Data'!AF65:AF76)</f>
        <v>3.3333333333333335</v>
      </c>
      <c r="AG10" s="47" t="e">
        <f>+AVERAGE('Monthly Cap Data'!AG65:AG76)</f>
        <v>#DIV/0!</v>
      </c>
      <c r="AH10" s="47" t="e">
        <f>+AVERAGE('Monthly Cap Data'!AH65:AH76)</f>
        <v>#DIV/0!</v>
      </c>
      <c r="AI10" s="47" t="e">
        <f>+AVERAGE('Monthly Cap Data'!AI65:AI76)</f>
        <v>#DIV/0!</v>
      </c>
      <c r="AJ10" s="47" t="e">
        <f>+AVERAGE('Monthly Cap Data'!AJ65:AJ76)</f>
        <v>#DIV/0!</v>
      </c>
      <c r="AK10" s="47" t="e">
        <f>+AVERAGE('Monthly Cap Data'!AK65:AK76)</f>
        <v>#DIV/0!</v>
      </c>
      <c r="AL10" s="47" t="e">
        <f>+AVERAGE('Monthly Cap Data'!AL65:AL76)</f>
        <v>#DIV/0!</v>
      </c>
      <c r="AM10" s="47" t="e">
        <f>+AVERAGE('Monthly Cap Data'!AM65:AM76)</f>
        <v>#DIV/0!</v>
      </c>
      <c r="AN10" s="47" t="e">
        <f>+AVERAGE('Monthly Cap Data'!AN65:AN76)</f>
        <v>#DIV/0!</v>
      </c>
      <c r="AO10" s="47" t="e">
        <f>+AVERAGE('Monthly Cap Data'!AO65:AO76)</f>
        <v>#DIV/0!</v>
      </c>
      <c r="AP10" s="47" t="e">
        <f>+AVERAGE('Monthly Cap Data'!AP65:AP76)</f>
        <v>#DIV/0!</v>
      </c>
      <c r="AQ10" s="47" t="e">
        <f>+AVERAGE('Monthly Cap Data'!AQ65:AQ76)</f>
        <v>#N/A</v>
      </c>
      <c r="AR10" s="47" t="e">
        <f>+AVERAGE('Monthly Cap Data'!AR65:AR76)</f>
        <v>#N/A</v>
      </c>
    </row>
    <row r="11" spans="1:44" x14ac:dyDescent="0.2">
      <c r="A11" s="43">
        <v>0.01</v>
      </c>
      <c r="B11" s="43"/>
      <c r="C11" s="43">
        <v>0</v>
      </c>
      <c r="D11" s="7" t="e">
        <f>#N/A</f>
        <v>#N/A</v>
      </c>
      <c r="E11" s="7" t="e">
        <f>#N/A</f>
        <v>#N/A</v>
      </c>
      <c r="F11" s="47" t="e">
        <f>+AVERAGE('Monthly Cap Data'!F77:F88)</f>
        <v>#N/A</v>
      </c>
      <c r="G11" s="47" t="e">
        <f>+AVERAGE('Monthly Cap Data'!G77:G88)</f>
        <v>#N/A</v>
      </c>
      <c r="H11" s="47" t="e">
        <f>+AVERAGE('Monthly Cap Data'!H77:H88)</f>
        <v>#N/A</v>
      </c>
      <c r="I11" s="71"/>
      <c r="J11" s="71"/>
      <c r="K11" s="71"/>
      <c r="L11" s="71"/>
      <c r="M11" s="47">
        <f>+AVERAGE('Monthly Cap Data'!M77:M88)</f>
        <v>5.6710000000000003</v>
      </c>
      <c r="N11" s="47">
        <f>+AVERAGE('Monthly Cap Data'!N77:N88)</f>
        <v>5.0649999999999995</v>
      </c>
      <c r="O11" s="47">
        <f>+AVERAGE('Monthly Cap Data'!O77:O88)</f>
        <v>5.2492977284550033</v>
      </c>
      <c r="P11" s="47">
        <f>+AVERAGE('Monthly Cap Data'!P77:P88)</f>
        <v>0.10870227154499738</v>
      </c>
      <c r="Q11" s="47">
        <f>+AVERAGE('Monthly Cap Data'!Q77:Q88)</f>
        <v>0.65099613898333331</v>
      </c>
      <c r="R11" s="47">
        <f>+AVERAGE('Monthly Cap Data'!R77:R88)</f>
        <v>3.3590000000000013</v>
      </c>
      <c r="S11" s="47">
        <f>+AVERAGE('Monthly Cap Data'!S77:S88)</f>
        <v>1.4550000000000001</v>
      </c>
      <c r="T11" s="47">
        <f>+AVERAGE('Monthly Cap Data'!T77:T88)</f>
        <v>3.6666666666666665</v>
      </c>
      <c r="U11" s="47">
        <f>+AVERAGE('Monthly Cap Data'!U77:U88)</f>
        <v>2.3426878306878307</v>
      </c>
      <c r="V11" s="47" t="e">
        <f>+AVERAGE('Monthly Cap Data'!V77:V88)</f>
        <v>#N/A</v>
      </c>
      <c r="W11" s="47" t="e">
        <f>+AVERAGE('Monthly Cap Data'!W77:W88)</f>
        <v>#DIV/0!</v>
      </c>
      <c r="X11" s="47" t="e">
        <f>+AVERAGE('Monthly Cap Data'!X77:X88)</f>
        <v>#DIV/0!</v>
      </c>
      <c r="Y11" s="47" t="e">
        <f>+AVERAGE('Monthly Cap Data'!Y77:Y88)</f>
        <v>#DIV/0!</v>
      </c>
      <c r="Z11" s="47" t="e">
        <f>+AVERAGE('Monthly Cap Data'!Z77:Z88)</f>
        <v>#DIV/0!</v>
      </c>
      <c r="AA11" s="47" t="e">
        <f>+AVERAGE('Monthly Cap Data'!AA77:AA88)</f>
        <v>#DIV/0!</v>
      </c>
      <c r="AB11" s="47">
        <f>+AVERAGE('Monthly Cap Data'!AB77:AB88)</f>
        <v>2.2255360549887095</v>
      </c>
      <c r="AC11" s="47" t="e">
        <f>+AVERAGE('Monthly Cap Data'!AC77:AC88)</f>
        <v>#N/A</v>
      </c>
      <c r="AD11" s="47">
        <f>+AVERAGE('Monthly Cap Data'!AD77:AD88)</f>
        <v>10</v>
      </c>
      <c r="AE11" s="47">
        <f>+AVERAGE('Monthly Cap Data'!AE77:AE88)</f>
        <v>5</v>
      </c>
      <c r="AF11" s="47">
        <f>+AVERAGE('Monthly Cap Data'!AF77:AF88)</f>
        <v>5</v>
      </c>
      <c r="AG11" s="47" t="e">
        <f>+AVERAGE('Monthly Cap Data'!AG77:AG88)</f>
        <v>#DIV/0!</v>
      </c>
      <c r="AH11" s="47" t="e">
        <f>+AVERAGE('Monthly Cap Data'!AH77:AH88)</f>
        <v>#DIV/0!</v>
      </c>
      <c r="AI11" s="47" t="e">
        <f>+AVERAGE('Monthly Cap Data'!AI77:AI88)</f>
        <v>#DIV/0!</v>
      </c>
      <c r="AJ11" s="47" t="e">
        <f>+AVERAGE('Monthly Cap Data'!AJ77:AJ88)</f>
        <v>#DIV/0!</v>
      </c>
      <c r="AK11" s="47" t="e">
        <f>+AVERAGE('Monthly Cap Data'!AK77:AK88)</f>
        <v>#DIV/0!</v>
      </c>
      <c r="AL11" s="47" t="e">
        <f>+AVERAGE('Monthly Cap Data'!AL77:AL88)</f>
        <v>#DIV/0!</v>
      </c>
      <c r="AM11" s="47" t="e">
        <f>+AVERAGE('Monthly Cap Data'!AM77:AM88)</f>
        <v>#DIV/0!</v>
      </c>
      <c r="AN11" s="47" t="e">
        <f>+AVERAGE('Monthly Cap Data'!AN77:AN88)</f>
        <v>#DIV/0!</v>
      </c>
      <c r="AO11" s="47" t="e">
        <f>+AVERAGE('Monthly Cap Data'!AO77:AO88)</f>
        <v>#DIV/0!</v>
      </c>
      <c r="AP11" s="47" t="e">
        <f>+AVERAGE('Monthly Cap Data'!AP77:AP88)</f>
        <v>#DIV/0!</v>
      </c>
      <c r="AQ11" s="47" t="e">
        <f>+AVERAGE('Monthly Cap Data'!AQ77:AQ88)</f>
        <v>#N/A</v>
      </c>
      <c r="AR11" s="47" t="e">
        <f>+AVERAGE('Monthly Cap Data'!AR77:AR88)</f>
        <v>#N/A</v>
      </c>
    </row>
    <row r="12" spans="1:44" x14ac:dyDescent="0.2">
      <c r="A12" s="43">
        <v>0.01</v>
      </c>
      <c r="B12" s="43"/>
      <c r="C12" s="43">
        <v>0</v>
      </c>
      <c r="D12" s="7" t="e">
        <f>#N/A</f>
        <v>#N/A</v>
      </c>
      <c r="E12" s="7" t="e">
        <f>#N/A</f>
        <v>#N/A</v>
      </c>
      <c r="F12" s="47" t="e">
        <f>+AVERAGE('Monthly Cap Data'!F89:F100)</f>
        <v>#N/A</v>
      </c>
      <c r="G12" s="47" t="e">
        <f>+AVERAGE('Monthly Cap Data'!G89:G100)</f>
        <v>#N/A</v>
      </c>
      <c r="H12" s="47" t="e">
        <f>+AVERAGE('Monthly Cap Data'!H89:H100)</f>
        <v>#N/A</v>
      </c>
      <c r="I12" s="71"/>
      <c r="J12" s="71"/>
      <c r="K12" s="71"/>
      <c r="L12" s="71"/>
      <c r="M12" s="47">
        <f>+AVERAGE('Monthly Cap Data'!M89:M100)</f>
        <v>5.6710000000000003</v>
      </c>
      <c r="N12" s="47">
        <f>+AVERAGE('Monthly Cap Data'!N89:N100)</f>
        <v>5.0649999999999995</v>
      </c>
      <c r="O12" s="47">
        <f>+AVERAGE('Monthly Cap Data'!O89:O100)</f>
        <v>5.2492977284550033</v>
      </c>
      <c r="P12" s="47">
        <f>+AVERAGE('Monthly Cap Data'!P89:P100)</f>
        <v>0.10870227154499738</v>
      </c>
      <c r="Q12" s="47">
        <f>+AVERAGE('Monthly Cap Data'!Q89:Q100)</f>
        <v>0.34050798066666665</v>
      </c>
      <c r="R12" s="47">
        <f>+AVERAGE('Monthly Cap Data'!R89:R100)</f>
        <v>3.3590000000000013</v>
      </c>
      <c r="S12" s="47">
        <f>+AVERAGE('Monthly Cap Data'!S89:S100)</f>
        <v>1.4550000000000001</v>
      </c>
      <c r="T12" s="47">
        <f>+AVERAGE('Monthly Cap Data'!T89:T100)</f>
        <v>3.6666666666666665</v>
      </c>
      <c r="U12" s="47">
        <f>+AVERAGE('Monthly Cap Data'!U89:U100)</f>
        <v>2.3426878306878307</v>
      </c>
      <c r="V12" s="47" t="e">
        <f>+AVERAGE('Monthly Cap Data'!V89:V100)</f>
        <v>#N/A</v>
      </c>
      <c r="W12" s="47" t="e">
        <f>+AVERAGE('Monthly Cap Data'!W89:W100)</f>
        <v>#DIV/0!</v>
      </c>
      <c r="X12" s="47" t="e">
        <f>+AVERAGE('Monthly Cap Data'!X89:X100)</f>
        <v>#DIV/0!</v>
      </c>
      <c r="Y12" s="47" t="e">
        <f>+AVERAGE('Monthly Cap Data'!Y89:Y100)</f>
        <v>#DIV/0!</v>
      </c>
      <c r="Z12" s="47" t="e">
        <f>+AVERAGE('Monthly Cap Data'!Z89:Z100)</f>
        <v>#DIV/0!</v>
      </c>
      <c r="AA12" s="47" t="e">
        <f>+AVERAGE('Monthly Cap Data'!AA89:AA100)</f>
        <v>#DIV/0!</v>
      </c>
      <c r="AB12" s="47">
        <f>+AVERAGE('Monthly Cap Data'!AB89:AB100)</f>
        <v>2.2255360549887095</v>
      </c>
      <c r="AC12" s="47" t="e">
        <f>+AVERAGE('Monthly Cap Data'!AC89:AC100)</f>
        <v>#N/A</v>
      </c>
      <c r="AD12" s="47">
        <f>+AVERAGE('Monthly Cap Data'!AD89:AD100)</f>
        <v>10</v>
      </c>
      <c r="AE12" s="47">
        <f>+AVERAGE('Monthly Cap Data'!AE89:AE100)</f>
        <v>5</v>
      </c>
      <c r="AF12" s="47">
        <f>+AVERAGE('Monthly Cap Data'!AF89:AF100)</f>
        <v>2.0833333333333335</v>
      </c>
      <c r="AG12" s="47" t="e">
        <f>+AVERAGE('Monthly Cap Data'!AG89:AG100)</f>
        <v>#DIV/0!</v>
      </c>
      <c r="AH12" s="47" t="e">
        <f>+AVERAGE('Monthly Cap Data'!AH89:AH100)</f>
        <v>#DIV/0!</v>
      </c>
      <c r="AI12" s="47" t="e">
        <f>+AVERAGE('Monthly Cap Data'!AI89:AI100)</f>
        <v>#DIV/0!</v>
      </c>
      <c r="AJ12" s="47" t="e">
        <f>+AVERAGE('Monthly Cap Data'!AJ89:AJ100)</f>
        <v>#DIV/0!</v>
      </c>
      <c r="AK12" s="47" t="e">
        <f>+AVERAGE('Monthly Cap Data'!AK89:AK100)</f>
        <v>#DIV/0!</v>
      </c>
      <c r="AL12" s="47" t="e">
        <f>+AVERAGE('Monthly Cap Data'!AL89:AL100)</f>
        <v>#DIV/0!</v>
      </c>
      <c r="AM12" s="47" t="e">
        <f>+AVERAGE('Monthly Cap Data'!AM89:AM100)</f>
        <v>#DIV/0!</v>
      </c>
      <c r="AN12" s="47" t="e">
        <f>+AVERAGE('Monthly Cap Data'!AN89:AN100)</f>
        <v>#DIV/0!</v>
      </c>
      <c r="AO12" s="47" t="e">
        <f>+AVERAGE('Monthly Cap Data'!AO89:AO100)</f>
        <v>#DIV/0!</v>
      </c>
      <c r="AP12" s="47" t="e">
        <f>+AVERAGE('Monthly Cap Data'!AP89:AP100)</f>
        <v>#DIV/0!</v>
      </c>
      <c r="AQ12" s="47" t="e">
        <f>+AVERAGE('Monthly Cap Data'!AQ89:AQ100)</f>
        <v>#N/A</v>
      </c>
      <c r="AR12" s="47" t="e">
        <f>+AVERAGE('Monthly Cap Data'!AR89:AR100)</f>
        <v>#N/A</v>
      </c>
    </row>
    <row r="13" spans="1:44" x14ac:dyDescent="0.2">
      <c r="A13" s="43">
        <v>0.01</v>
      </c>
      <c r="B13" s="43"/>
      <c r="C13" s="43">
        <v>0</v>
      </c>
      <c r="D13" s="7" t="e">
        <f>#N/A</f>
        <v>#N/A</v>
      </c>
      <c r="E13" s="7" t="e">
        <f>#N/A</f>
        <v>#N/A</v>
      </c>
      <c r="F13" s="47" t="e">
        <f>+AVERAGE('Monthly Cap Data'!F101:F112)</f>
        <v>#N/A</v>
      </c>
      <c r="G13" s="47" t="e">
        <f>+AVERAGE('Monthly Cap Data'!G101:G112)</f>
        <v>#N/A</v>
      </c>
      <c r="H13" s="47" t="e">
        <f>+AVERAGE('Monthly Cap Data'!H101:H112)</f>
        <v>#N/A</v>
      </c>
      <c r="I13" s="71"/>
      <c r="J13" s="71"/>
      <c r="K13" s="71"/>
      <c r="L13" s="71"/>
      <c r="M13" s="47">
        <f>+AVERAGE('Monthly Cap Data'!M101:M112)</f>
        <v>5.6710000000000003</v>
      </c>
      <c r="N13" s="47">
        <f>+AVERAGE('Monthly Cap Data'!N101:N112)</f>
        <v>5.0649999999999995</v>
      </c>
      <c r="O13" s="47">
        <f>+AVERAGE('Monthly Cap Data'!O101:O112)</f>
        <v>5.2492977284550033</v>
      </c>
      <c r="P13" s="47">
        <f>+AVERAGE('Monthly Cap Data'!P101:P112)</f>
        <v>0.10870227154499738</v>
      </c>
      <c r="Q13" s="47">
        <f>+AVERAGE('Monthly Cap Data'!Q101:Q112)</f>
        <v>0.32884004456666666</v>
      </c>
      <c r="R13" s="47">
        <f>+AVERAGE('Monthly Cap Data'!R101:R112)</f>
        <v>3.3590000000000013</v>
      </c>
      <c r="S13" s="47">
        <f>+AVERAGE('Monthly Cap Data'!S101:S112)</f>
        <v>1.4550000000000001</v>
      </c>
      <c r="T13" s="47">
        <f>+AVERAGE('Monthly Cap Data'!T101:T112)</f>
        <v>3.6666666666666665</v>
      </c>
      <c r="U13" s="47">
        <f>+AVERAGE('Monthly Cap Data'!U101:U112)</f>
        <v>2.3426878306878307</v>
      </c>
      <c r="V13" s="47" t="e">
        <f>+AVERAGE('Monthly Cap Data'!V101:V112)</f>
        <v>#N/A</v>
      </c>
      <c r="W13" s="47" t="e">
        <f>+AVERAGE('Monthly Cap Data'!W101:W112)</f>
        <v>#DIV/0!</v>
      </c>
      <c r="X13" s="47" t="e">
        <f>+AVERAGE('Monthly Cap Data'!X101:X112)</f>
        <v>#DIV/0!</v>
      </c>
      <c r="Y13" s="47" t="e">
        <f>+AVERAGE('Monthly Cap Data'!Y101:Y112)</f>
        <v>#DIV/0!</v>
      </c>
      <c r="Z13" s="47" t="e">
        <f>+AVERAGE('Monthly Cap Data'!Z101:Z112)</f>
        <v>#DIV/0!</v>
      </c>
      <c r="AA13" s="47" t="e">
        <f>+AVERAGE('Monthly Cap Data'!AA101:AA112)</f>
        <v>#DIV/0!</v>
      </c>
      <c r="AB13" s="47">
        <f>+AVERAGE('Monthly Cap Data'!AB101:AB112)</f>
        <v>2.2255360549887095</v>
      </c>
      <c r="AC13" s="47" t="e">
        <f>+AVERAGE('Monthly Cap Data'!AC101:AC112)</f>
        <v>#N/A</v>
      </c>
      <c r="AD13" s="47">
        <f>+AVERAGE('Monthly Cap Data'!AD101:AD112)</f>
        <v>10</v>
      </c>
      <c r="AE13" s="47">
        <f>+AVERAGE('Monthly Cap Data'!AE101:AE112)</f>
        <v>5</v>
      </c>
      <c r="AF13" s="47"/>
      <c r="AG13" s="47" t="e">
        <f>+AVERAGE('Monthly Cap Data'!AG101:AG112)</f>
        <v>#DIV/0!</v>
      </c>
      <c r="AH13" s="47" t="e">
        <f>+AVERAGE('Monthly Cap Data'!AH101:AH112)</f>
        <v>#DIV/0!</v>
      </c>
      <c r="AI13" s="47" t="e">
        <f>+AVERAGE('Monthly Cap Data'!AI101:AI112)</f>
        <v>#DIV/0!</v>
      </c>
      <c r="AJ13" s="47" t="e">
        <f>+AVERAGE('Monthly Cap Data'!AJ101:AJ112)</f>
        <v>#DIV/0!</v>
      </c>
      <c r="AK13" s="47" t="e">
        <f>+AVERAGE('Monthly Cap Data'!AK101:AK112)</f>
        <v>#DIV/0!</v>
      </c>
      <c r="AL13" s="47" t="e">
        <f>+AVERAGE('Monthly Cap Data'!AL101:AL112)</f>
        <v>#DIV/0!</v>
      </c>
      <c r="AM13" s="47" t="e">
        <f>+AVERAGE('Monthly Cap Data'!AM101:AM112)</f>
        <v>#DIV/0!</v>
      </c>
      <c r="AN13" s="47" t="e">
        <f>+AVERAGE('Monthly Cap Data'!AN101:AN112)</f>
        <v>#DIV/0!</v>
      </c>
      <c r="AO13" s="47" t="e">
        <f>+AVERAGE('Monthly Cap Data'!AO101:AO112)</f>
        <v>#DIV/0!</v>
      </c>
      <c r="AP13" s="47" t="e">
        <f>+AVERAGE('Monthly Cap Data'!AP101:AP112)</f>
        <v>#DIV/0!</v>
      </c>
      <c r="AQ13" s="47" t="e">
        <f>+AVERAGE('Monthly Cap Data'!AQ101:AQ112)</f>
        <v>#N/A</v>
      </c>
      <c r="AR13" s="47" t="e">
        <f>+AVERAGE('Monthly Cap Data'!AR101:AR112)</f>
        <v>#N/A</v>
      </c>
    </row>
    <row r="14" spans="1:44" x14ac:dyDescent="0.2">
      <c r="A14" s="43">
        <v>0.01</v>
      </c>
      <c r="B14" s="43"/>
      <c r="C14" s="43">
        <v>0</v>
      </c>
      <c r="D14" s="7" t="e">
        <f>#N/A</f>
        <v>#N/A</v>
      </c>
      <c r="E14" s="7" t="e">
        <f>#N/A</f>
        <v>#N/A</v>
      </c>
      <c r="F14" s="47" t="e">
        <f>+AVERAGE('Monthly Cap Data'!F113:F124)</f>
        <v>#N/A</v>
      </c>
      <c r="G14" s="47" t="e">
        <f>+AVERAGE('Monthly Cap Data'!G113:G124)</f>
        <v>#N/A</v>
      </c>
      <c r="H14" s="47" t="e">
        <f>+AVERAGE('Monthly Cap Data'!H113:H124)</f>
        <v>#N/A</v>
      </c>
      <c r="I14" s="71"/>
      <c r="J14" s="71"/>
      <c r="K14" s="71"/>
      <c r="L14" s="71"/>
      <c r="M14" s="71"/>
      <c r="N14" s="47">
        <f>+AVERAGE('Monthly Cap Data'!N113:N124)</f>
        <v>5.0649999999999995</v>
      </c>
      <c r="O14" s="47">
        <f>+AVERAGE('Monthly Cap Data'!O113:O124)</f>
        <v>5.2492977284550033</v>
      </c>
      <c r="P14" s="47">
        <f>+AVERAGE('Monthly Cap Data'!P113:P124)</f>
        <v>0.10870227154499738</v>
      </c>
      <c r="Q14" s="71"/>
      <c r="R14" s="47">
        <f>+AVERAGE('Monthly Cap Data'!R113:R124)</f>
        <v>3.3590000000000013</v>
      </c>
      <c r="S14" s="47">
        <f>+AVERAGE('Monthly Cap Data'!S113:S124)</f>
        <v>1.4550000000000001</v>
      </c>
      <c r="T14" s="47">
        <f>+AVERAGE('Monthly Cap Data'!T113:T124)</f>
        <v>3.4722222222222223</v>
      </c>
      <c r="U14" s="47">
        <f>+AVERAGE('Monthly Cap Data'!U113:U124)</f>
        <v>2.3426878306878307</v>
      </c>
      <c r="V14" s="47" t="e">
        <f>+AVERAGE('Monthly Cap Data'!V113:V124)</f>
        <v>#N/A</v>
      </c>
      <c r="W14" s="47" t="e">
        <f>+AVERAGE('Monthly Cap Data'!W113:W124)</f>
        <v>#DIV/0!</v>
      </c>
      <c r="X14" s="47" t="e">
        <f>+AVERAGE('Monthly Cap Data'!X113:X124)</f>
        <v>#DIV/0!</v>
      </c>
      <c r="Y14" s="47" t="e">
        <f>+AVERAGE('Monthly Cap Data'!Y113:Y124)</f>
        <v>#DIV/0!</v>
      </c>
      <c r="Z14" s="47" t="e">
        <f>+AVERAGE('Monthly Cap Data'!Z113:Z124)</f>
        <v>#DIV/0!</v>
      </c>
      <c r="AA14" s="47" t="e">
        <f>+AVERAGE('Monthly Cap Data'!AA113:AA124)</f>
        <v>#DIV/0!</v>
      </c>
      <c r="AB14" s="47">
        <f>+AVERAGE('Monthly Cap Data'!AB113:AB124)</f>
        <v>2.2255360549887095</v>
      </c>
      <c r="AC14" s="47" t="e">
        <f>+AVERAGE('Monthly Cap Data'!AC113:AC124)</f>
        <v>#N/A</v>
      </c>
      <c r="AD14" s="47">
        <f>+AVERAGE('Monthly Cap Data'!AD113:AD124)</f>
        <v>10</v>
      </c>
      <c r="AE14" s="47">
        <f>+AVERAGE('Monthly Cap Data'!AE113:AE124)</f>
        <v>5</v>
      </c>
      <c r="AF14" s="47"/>
      <c r="AG14" s="47" t="e">
        <f>+AVERAGE('Monthly Cap Data'!AG113:AG124)</f>
        <v>#DIV/0!</v>
      </c>
      <c r="AH14" s="47" t="e">
        <f>+AVERAGE('Monthly Cap Data'!AH113:AH124)</f>
        <v>#DIV/0!</v>
      </c>
      <c r="AI14" s="47" t="e">
        <f>+AVERAGE('Monthly Cap Data'!AI113:AI124)</f>
        <v>#DIV/0!</v>
      </c>
      <c r="AJ14" s="47" t="e">
        <f>+AVERAGE('Monthly Cap Data'!AJ113:AJ124)</f>
        <v>#DIV/0!</v>
      </c>
      <c r="AK14" s="47" t="e">
        <f>+AVERAGE('Monthly Cap Data'!AK113:AK124)</f>
        <v>#DIV/0!</v>
      </c>
      <c r="AL14" s="47" t="e">
        <f>+AVERAGE('Monthly Cap Data'!AL113:AL124)</f>
        <v>#DIV/0!</v>
      </c>
      <c r="AM14" s="47" t="e">
        <f>+AVERAGE('Monthly Cap Data'!AM113:AM124)</f>
        <v>#DIV/0!</v>
      </c>
      <c r="AN14" s="47" t="e">
        <f>+AVERAGE('Monthly Cap Data'!AN113:AN124)</f>
        <v>#DIV/0!</v>
      </c>
      <c r="AO14" s="47" t="e">
        <f>+AVERAGE('Monthly Cap Data'!AO113:AO124)</f>
        <v>#DIV/0!</v>
      </c>
      <c r="AP14" s="47" t="e">
        <f>+AVERAGE('Monthly Cap Data'!AP113:AP124)</f>
        <v>#DIV/0!</v>
      </c>
      <c r="AQ14" s="47" t="e">
        <f>+AVERAGE('Monthly Cap Data'!AQ113:AQ124)</f>
        <v>#N/A</v>
      </c>
      <c r="AR14" s="47" t="e">
        <f>+AVERAGE('Monthly Cap Data'!AR113:AR124)</f>
        <v>#N/A</v>
      </c>
    </row>
    <row r="15" spans="1:44" x14ac:dyDescent="0.2">
      <c r="A15" s="43">
        <v>0.01</v>
      </c>
      <c r="B15" s="43"/>
      <c r="C15" s="43">
        <v>0</v>
      </c>
      <c r="D15" s="7" t="e">
        <f>#N/A</f>
        <v>#N/A</v>
      </c>
      <c r="E15" s="7" t="e">
        <f>#N/A</f>
        <v>#N/A</v>
      </c>
      <c r="F15" s="47" t="e">
        <f>+AVERAGE('Monthly Cap Data'!F125:F136)</f>
        <v>#N/A</v>
      </c>
      <c r="G15" s="47" t="e">
        <f>+AVERAGE('Monthly Cap Data'!G125:G136)</f>
        <v>#N/A</v>
      </c>
      <c r="H15" s="47" t="e">
        <f>+AVERAGE('Monthly Cap Data'!H125:H136)</f>
        <v>#N/A</v>
      </c>
      <c r="I15" s="71"/>
      <c r="J15" s="71"/>
      <c r="K15" s="71"/>
      <c r="L15" s="71"/>
      <c r="M15" s="71"/>
      <c r="N15" s="47">
        <f>+AVERAGE('Monthly Cap Data'!N125:N136)</f>
        <v>5.0649999999999995</v>
      </c>
      <c r="O15" s="47">
        <f>+AVERAGE('Monthly Cap Data'!O125:O136)</f>
        <v>5.2492977284550033</v>
      </c>
      <c r="P15" s="47">
        <f>+AVERAGE('Monthly Cap Data'!P125:P136)</f>
        <v>0.10870227154499738</v>
      </c>
      <c r="Q15" s="71"/>
      <c r="R15" s="47">
        <f>+AVERAGE('Monthly Cap Data'!R125:R136)</f>
        <v>3.3590000000000013</v>
      </c>
      <c r="S15" s="47">
        <f>+AVERAGE('Monthly Cap Data'!S125:S136)</f>
        <v>1.4550000000000001</v>
      </c>
      <c r="T15" s="71"/>
      <c r="U15" s="47" t="e">
        <f>+AVERAGE('Monthly Cap Data'!U125:U136)</f>
        <v>#N/A</v>
      </c>
      <c r="V15" s="47" t="e">
        <f>+AVERAGE('Monthly Cap Data'!V125:V136)</f>
        <v>#N/A</v>
      </c>
      <c r="W15" s="47" t="e">
        <f>+AVERAGE('Monthly Cap Data'!W125:W136)</f>
        <v>#DIV/0!</v>
      </c>
      <c r="X15" s="47" t="e">
        <f>+AVERAGE('Monthly Cap Data'!X125:X136)</f>
        <v>#DIV/0!</v>
      </c>
      <c r="Y15" s="47" t="e">
        <f>+AVERAGE('Monthly Cap Data'!Y125:Y136)</f>
        <v>#DIV/0!</v>
      </c>
      <c r="Z15" s="47" t="e">
        <f>+AVERAGE('Monthly Cap Data'!Z125:Z136)</f>
        <v>#DIV/0!</v>
      </c>
      <c r="AA15" s="47" t="e">
        <f>+AVERAGE('Monthly Cap Data'!AA125:AA136)</f>
        <v>#DIV/0!</v>
      </c>
      <c r="AB15" s="47">
        <f>+AVERAGE('Monthly Cap Data'!AB125:AB136)</f>
        <v>2.5777197424887093</v>
      </c>
      <c r="AC15" s="47" t="e">
        <f>+AVERAGE('Monthly Cap Data'!AC125:AC136)</f>
        <v>#N/A</v>
      </c>
      <c r="AD15" s="47">
        <f>+AVERAGE('Monthly Cap Data'!AD125:AD136)</f>
        <v>4.166666666666667</v>
      </c>
      <c r="AE15" s="47">
        <f>+AVERAGE('Monthly Cap Data'!AE125:AE136)</f>
        <v>2.0833333333333335</v>
      </c>
      <c r="AF15" s="47"/>
      <c r="AG15" s="47" t="e">
        <f>+AVERAGE('Monthly Cap Data'!AG125:AG136)</f>
        <v>#DIV/0!</v>
      </c>
      <c r="AH15" s="47" t="e">
        <f>+AVERAGE('Monthly Cap Data'!AH125:AH136)</f>
        <v>#DIV/0!</v>
      </c>
      <c r="AI15" s="47" t="e">
        <f>+AVERAGE('Monthly Cap Data'!AI125:AI136)</f>
        <v>#DIV/0!</v>
      </c>
      <c r="AJ15" s="47" t="e">
        <f>+AVERAGE('Monthly Cap Data'!AJ125:AJ136)</f>
        <v>#DIV/0!</v>
      </c>
      <c r="AK15" s="47" t="e">
        <f>+AVERAGE('Monthly Cap Data'!AK125:AK136)</f>
        <v>#DIV/0!</v>
      </c>
      <c r="AL15" s="47" t="e">
        <f>+AVERAGE('Monthly Cap Data'!AL125:AL136)</f>
        <v>#DIV/0!</v>
      </c>
      <c r="AM15" s="47" t="e">
        <f>+AVERAGE('Monthly Cap Data'!AM125:AM136)</f>
        <v>#DIV/0!</v>
      </c>
      <c r="AN15" s="47" t="e">
        <f>+AVERAGE('Monthly Cap Data'!AN125:AN136)</f>
        <v>#DIV/0!</v>
      </c>
      <c r="AO15" s="47" t="e">
        <f>+AVERAGE('Monthly Cap Data'!AO125:AO136)</f>
        <v>#DIV/0!</v>
      </c>
      <c r="AP15" s="47" t="e">
        <f>+AVERAGE('Monthly Cap Data'!AP125:AP136)</f>
        <v>#DIV/0!</v>
      </c>
      <c r="AQ15" s="47" t="e">
        <f>+AVERAGE('Monthly Cap Data'!AQ125:AQ136)</f>
        <v>#N/A</v>
      </c>
      <c r="AR15" s="47" t="e">
        <f>+AVERAGE('Monthly Cap Data'!AR125:AR136)</f>
        <v>#N/A</v>
      </c>
    </row>
    <row r="16" spans="1:44" x14ac:dyDescent="0.2">
      <c r="A16" s="43">
        <v>0.01</v>
      </c>
      <c r="B16" s="43"/>
      <c r="C16" s="43">
        <v>0</v>
      </c>
      <c r="D16" s="7" t="e">
        <f>#N/A</f>
        <v>#N/A</v>
      </c>
      <c r="E16" s="7" t="e">
        <f>#N/A</f>
        <v>#N/A</v>
      </c>
      <c r="F16" s="47" t="e">
        <f>+AVERAGE('Monthly Cap Data'!F137:F148)</f>
        <v>#N/A</v>
      </c>
      <c r="G16" s="47" t="e">
        <f>+AVERAGE('Monthly Cap Data'!G137:G148)</f>
        <v>#N/A</v>
      </c>
      <c r="H16" s="47" t="e">
        <f>+AVERAGE('Monthly Cap Data'!H137:H148)</f>
        <v>#N/A</v>
      </c>
      <c r="I16" s="71"/>
      <c r="J16" s="71"/>
      <c r="K16" s="71"/>
      <c r="L16" s="71"/>
      <c r="M16" s="71"/>
      <c r="N16" s="47">
        <f>+AVERAGE('Monthly Cap Data'!N137:N148)</f>
        <v>5.0649999999999995</v>
      </c>
      <c r="O16" s="47">
        <f>+AVERAGE('Monthly Cap Data'!O137:O148)</f>
        <v>5.2492977284550033</v>
      </c>
      <c r="P16" s="47">
        <f>+AVERAGE('Monthly Cap Data'!P137:P148)</f>
        <v>0.10870227154499738</v>
      </c>
      <c r="Q16" s="71"/>
      <c r="R16" s="47">
        <f>+AVERAGE('Monthly Cap Data'!R137:R148)</f>
        <v>3.3590000000000013</v>
      </c>
      <c r="S16" s="47">
        <f>+AVERAGE('Monthly Cap Data'!S137:S148)</f>
        <v>1.4550000000000001</v>
      </c>
      <c r="T16" s="71"/>
      <c r="U16" s="47" t="e">
        <f>+AVERAGE('Monthly Cap Data'!U137:U148)</f>
        <v>#N/A</v>
      </c>
      <c r="V16" s="47" t="e">
        <f>+AVERAGE('Monthly Cap Data'!V137:V148)</f>
        <v>#N/A</v>
      </c>
      <c r="W16" s="47" t="e">
        <f>+AVERAGE('Monthly Cap Data'!W137:W148)</f>
        <v>#DIV/0!</v>
      </c>
      <c r="X16" s="47" t="e">
        <f>+AVERAGE('Monthly Cap Data'!X137:X148)</f>
        <v>#DIV/0!</v>
      </c>
      <c r="Y16" s="47" t="e">
        <f>+AVERAGE('Monthly Cap Data'!Y137:Y148)</f>
        <v>#DIV/0!</v>
      </c>
      <c r="Z16" s="47" t="e">
        <f>+AVERAGE('Monthly Cap Data'!Z137:Z148)</f>
        <v>#DIV/0!</v>
      </c>
      <c r="AA16" s="47" t="e">
        <f>+AVERAGE('Monthly Cap Data'!AA137:AA148)</f>
        <v>#DIV/0!</v>
      </c>
      <c r="AB16" s="47">
        <f>+AVERAGE('Monthly Cap Data'!AB137:AB148)</f>
        <v>2.5777197424887093</v>
      </c>
      <c r="AC16" s="47" t="e">
        <f>+AVERAGE('Monthly Cap Data'!AC137:AC148)</f>
        <v>#N/A</v>
      </c>
      <c r="AD16" s="47"/>
      <c r="AE16" s="47"/>
      <c r="AF16" s="47"/>
      <c r="AG16" s="47" t="e">
        <f>+AVERAGE('Monthly Cap Data'!AG137:AG148)</f>
        <v>#DIV/0!</v>
      </c>
      <c r="AH16" s="47" t="e">
        <f>+AVERAGE('Monthly Cap Data'!AH137:AH148)</f>
        <v>#DIV/0!</v>
      </c>
      <c r="AI16" s="47" t="e">
        <f>+AVERAGE('Monthly Cap Data'!AI137:AI148)</f>
        <v>#DIV/0!</v>
      </c>
      <c r="AJ16" s="47" t="e">
        <f>+AVERAGE('Monthly Cap Data'!AJ137:AJ148)</f>
        <v>#DIV/0!</v>
      </c>
      <c r="AK16" s="47" t="e">
        <f>+AVERAGE('Monthly Cap Data'!AK137:AK148)</f>
        <v>#DIV/0!</v>
      </c>
      <c r="AL16" s="47" t="e">
        <f>+AVERAGE('Monthly Cap Data'!AL137:AL148)</f>
        <v>#DIV/0!</v>
      </c>
      <c r="AM16" s="47" t="e">
        <f>+AVERAGE('Monthly Cap Data'!AM137:AM148)</f>
        <v>#DIV/0!</v>
      </c>
      <c r="AN16" s="47" t="e">
        <f>+AVERAGE('Monthly Cap Data'!AN137:AN148)</f>
        <v>#DIV/0!</v>
      </c>
      <c r="AO16" s="47" t="e">
        <f>+AVERAGE('Monthly Cap Data'!AO137:AO148)</f>
        <v>#DIV/0!</v>
      </c>
      <c r="AP16" s="47" t="e">
        <f>+AVERAGE('Monthly Cap Data'!AP137:AP148)</f>
        <v>#DIV/0!</v>
      </c>
      <c r="AQ16" s="47" t="e">
        <f>+AVERAGE('Monthly Cap Data'!AQ137:AQ148)</f>
        <v>#N/A</v>
      </c>
      <c r="AR16" s="47" t="e">
        <f>+AVERAGE('Monthly Cap Data'!AR137:AR148)</f>
        <v>#N/A</v>
      </c>
    </row>
    <row r="17" spans="1:44" x14ac:dyDescent="0.2">
      <c r="A17" s="43">
        <v>0.01</v>
      </c>
      <c r="B17" s="43"/>
      <c r="C17" s="43">
        <v>0</v>
      </c>
      <c r="D17" s="7" t="e">
        <f>#N/A</f>
        <v>#N/A</v>
      </c>
      <c r="E17" s="7" t="e">
        <f>#N/A</f>
        <v>#N/A</v>
      </c>
      <c r="F17" s="47" t="e">
        <f>+AVERAGE('Monthly Cap Data'!F149:F160)</f>
        <v>#N/A</v>
      </c>
      <c r="G17" s="47" t="e">
        <f>+AVERAGE('Monthly Cap Data'!G149:G160)</f>
        <v>#N/A</v>
      </c>
      <c r="H17" s="47" t="e">
        <f>+AVERAGE('Monthly Cap Data'!H149:H160)</f>
        <v>#N/A</v>
      </c>
      <c r="I17" s="71"/>
      <c r="J17" s="71"/>
      <c r="K17" s="71"/>
      <c r="L17" s="71"/>
      <c r="M17" s="71"/>
      <c r="N17" s="47">
        <f>+AVERAGE('Monthly Cap Data'!N149:N160)</f>
        <v>5.0649999999999995</v>
      </c>
      <c r="O17" s="47">
        <f>+AVERAGE('Monthly Cap Data'!O149:O160)</f>
        <v>5.2492977284550033</v>
      </c>
      <c r="P17" s="47">
        <f>+AVERAGE('Monthly Cap Data'!P149:P160)</f>
        <v>0.10870227154499738</v>
      </c>
      <c r="Q17" s="71"/>
      <c r="R17" s="47">
        <f>+AVERAGE('Monthly Cap Data'!R149:R160)</f>
        <v>3.3590000000000013</v>
      </c>
      <c r="S17" s="47">
        <f>+AVERAGE('Monthly Cap Data'!S149:S160)</f>
        <v>1.4550000000000001</v>
      </c>
      <c r="T17" s="71"/>
      <c r="U17" s="47" t="e">
        <f>+AVERAGE('Monthly Cap Data'!U149:U160)</f>
        <v>#N/A</v>
      </c>
      <c r="V17" s="47" t="e">
        <f>+AVERAGE('Monthly Cap Data'!V149:V160)</f>
        <v>#N/A</v>
      </c>
      <c r="W17" s="47" t="e">
        <f>+AVERAGE('Monthly Cap Data'!W149:W160)</f>
        <v>#DIV/0!</v>
      </c>
      <c r="X17" s="47" t="e">
        <f>+AVERAGE('Monthly Cap Data'!X149:X160)</f>
        <v>#DIV/0!</v>
      </c>
      <c r="Y17" s="47" t="e">
        <f>+AVERAGE('Monthly Cap Data'!Y149:Y160)</f>
        <v>#DIV/0!</v>
      </c>
      <c r="Z17" s="47" t="e">
        <f>+AVERAGE('Monthly Cap Data'!Z149:Z160)</f>
        <v>#DIV/0!</v>
      </c>
      <c r="AA17" s="47" t="e">
        <f>+AVERAGE('Monthly Cap Data'!AA149:AA160)</f>
        <v>#DIV/0!</v>
      </c>
      <c r="AB17" s="47">
        <f>+AVERAGE('Monthly Cap Data'!AB149:AB160)</f>
        <v>2.5777197424887093</v>
      </c>
      <c r="AC17" s="47" t="e">
        <f>+AVERAGE('Monthly Cap Data'!AC149:AC160)</f>
        <v>#N/A</v>
      </c>
      <c r="AD17" s="47"/>
      <c r="AE17" s="47"/>
      <c r="AF17" s="47"/>
      <c r="AG17" s="47" t="e">
        <f>+AVERAGE('Monthly Cap Data'!AG149:AG160)</f>
        <v>#DIV/0!</v>
      </c>
      <c r="AH17" s="47" t="e">
        <f>+AVERAGE('Monthly Cap Data'!AH149:AH160)</f>
        <v>#DIV/0!</v>
      </c>
      <c r="AI17" s="47" t="e">
        <f>+AVERAGE('Monthly Cap Data'!AI149:AI160)</f>
        <v>#DIV/0!</v>
      </c>
      <c r="AJ17" s="47" t="e">
        <f>+AVERAGE('Monthly Cap Data'!AJ149:AJ160)</f>
        <v>#DIV/0!</v>
      </c>
      <c r="AK17" s="47" t="e">
        <f>+AVERAGE('Monthly Cap Data'!AK149:AK160)</f>
        <v>#DIV/0!</v>
      </c>
      <c r="AL17" s="47" t="e">
        <f>+AVERAGE('Monthly Cap Data'!AL149:AL160)</f>
        <v>#DIV/0!</v>
      </c>
      <c r="AM17" s="47" t="e">
        <f>+AVERAGE('Monthly Cap Data'!AM149:AM160)</f>
        <v>#DIV/0!</v>
      </c>
      <c r="AN17" s="47" t="e">
        <f>+AVERAGE('Monthly Cap Data'!AN149:AN160)</f>
        <v>#DIV/0!</v>
      </c>
      <c r="AO17" s="47" t="e">
        <f>+AVERAGE('Monthly Cap Data'!AO149:AO160)</f>
        <v>#DIV/0!</v>
      </c>
      <c r="AP17" s="47" t="e">
        <f>+AVERAGE('Monthly Cap Data'!AP149:AP160)</f>
        <v>#DIV/0!</v>
      </c>
      <c r="AQ17" s="47" t="e">
        <f>+AVERAGE('Monthly Cap Data'!AQ149:AQ160)</f>
        <v>#N/A</v>
      </c>
      <c r="AR17" s="47" t="e">
        <f>+AVERAGE('Monthly Cap Data'!AR149:AR160)</f>
        <v>#N/A</v>
      </c>
    </row>
    <row r="18" spans="1:44" x14ac:dyDescent="0.2">
      <c r="A18" s="43">
        <v>0.01</v>
      </c>
      <c r="B18" s="43"/>
      <c r="C18" s="43">
        <v>0</v>
      </c>
      <c r="D18" s="7" t="e">
        <f>#N/A</f>
        <v>#N/A</v>
      </c>
      <c r="E18" s="7" t="e">
        <f>#N/A</f>
        <v>#N/A</v>
      </c>
      <c r="F18" s="47" t="e">
        <f>+AVERAGE('Monthly Cap Data'!F161:F172)</f>
        <v>#N/A</v>
      </c>
      <c r="G18" s="47" t="e">
        <f>+AVERAGE('Monthly Cap Data'!G161:G172)</f>
        <v>#N/A</v>
      </c>
      <c r="H18" s="47" t="e">
        <f>+AVERAGE('Monthly Cap Data'!H161:H172)</f>
        <v>#N/A</v>
      </c>
      <c r="I18" s="71"/>
      <c r="J18" s="71"/>
      <c r="K18" s="71"/>
      <c r="L18" s="71"/>
      <c r="M18" s="71"/>
      <c r="N18" s="47">
        <f>+AVERAGE('Monthly Cap Data'!N161:N172)</f>
        <v>5.0649999999999995</v>
      </c>
      <c r="O18" s="47">
        <f>+AVERAGE('Monthly Cap Data'!O161:O172)</f>
        <v>5.2492977284550033</v>
      </c>
      <c r="P18" s="47">
        <f>+AVERAGE('Monthly Cap Data'!P161:P172)</f>
        <v>0.10870227154499738</v>
      </c>
      <c r="Q18" s="71"/>
      <c r="R18" s="47">
        <f>+AVERAGE('Monthly Cap Data'!R161:R172)</f>
        <v>3.3590000000000013</v>
      </c>
      <c r="S18" s="47">
        <f>+AVERAGE('Monthly Cap Data'!S161:S172)</f>
        <v>1.4550000000000001</v>
      </c>
      <c r="T18" s="71"/>
      <c r="U18" s="47" t="e">
        <f>+AVERAGE('Monthly Cap Data'!U161:U172)</f>
        <v>#N/A</v>
      </c>
      <c r="V18" s="47" t="e">
        <f>+AVERAGE('Monthly Cap Data'!V161:V172)</f>
        <v>#N/A</v>
      </c>
      <c r="W18" s="47" t="e">
        <f>+AVERAGE('Monthly Cap Data'!W161:W172)</f>
        <v>#DIV/0!</v>
      </c>
      <c r="X18" s="47" t="e">
        <f>+AVERAGE('Monthly Cap Data'!X161:X172)</f>
        <v>#DIV/0!</v>
      </c>
      <c r="Y18" s="47" t="e">
        <f>+AVERAGE('Monthly Cap Data'!Y161:Y172)</f>
        <v>#DIV/0!</v>
      </c>
      <c r="Z18" s="47" t="e">
        <f>+AVERAGE('Monthly Cap Data'!Z161:Z172)</f>
        <v>#DIV/0!</v>
      </c>
      <c r="AA18" s="47" t="e">
        <f>+AVERAGE('Monthly Cap Data'!AA161:AA172)</f>
        <v>#DIV/0!</v>
      </c>
      <c r="AB18" s="47">
        <f>+AVERAGE('Monthly Cap Data'!AB161:AB172)</f>
        <v>2.2255360549887095</v>
      </c>
      <c r="AC18" s="47" t="e">
        <f>+AVERAGE('Monthly Cap Data'!AC161:AC172)</f>
        <v>#N/A</v>
      </c>
      <c r="AD18" s="47"/>
      <c r="AE18" s="47"/>
      <c r="AF18" s="47"/>
      <c r="AG18" s="47" t="e">
        <f>+AVERAGE('Monthly Cap Data'!AG161:AG172)</f>
        <v>#DIV/0!</v>
      </c>
      <c r="AH18" s="47" t="e">
        <f>+AVERAGE('Monthly Cap Data'!AH161:AH172)</f>
        <v>#DIV/0!</v>
      </c>
      <c r="AI18" s="47" t="e">
        <f>+AVERAGE('Monthly Cap Data'!AI161:AI172)</f>
        <v>#DIV/0!</v>
      </c>
      <c r="AJ18" s="47" t="e">
        <f>+AVERAGE('Monthly Cap Data'!AJ161:AJ172)</f>
        <v>#DIV/0!</v>
      </c>
      <c r="AK18" s="47" t="e">
        <f>+AVERAGE('Monthly Cap Data'!AK161:AK172)</f>
        <v>#DIV/0!</v>
      </c>
      <c r="AL18" s="47" t="e">
        <f>+AVERAGE('Monthly Cap Data'!AL161:AL172)</f>
        <v>#DIV/0!</v>
      </c>
      <c r="AM18" s="47" t="e">
        <f>+AVERAGE('Monthly Cap Data'!AM161:AM172)</f>
        <v>#DIV/0!</v>
      </c>
      <c r="AN18" s="47" t="e">
        <f>+AVERAGE('Monthly Cap Data'!AN161:AN172)</f>
        <v>#DIV/0!</v>
      </c>
      <c r="AO18" s="47" t="e">
        <f>+AVERAGE('Monthly Cap Data'!AO161:AO172)</f>
        <v>#DIV/0!</v>
      </c>
      <c r="AP18" s="47" t="e">
        <f>+AVERAGE('Monthly Cap Data'!AP161:AP172)</f>
        <v>#DIV/0!</v>
      </c>
      <c r="AQ18" s="47" t="e">
        <f>+AVERAGE('Monthly Cap Data'!AQ161:AQ172)</f>
        <v>#N/A</v>
      </c>
      <c r="AR18" s="47" t="e">
        <f>+AVERAGE('Monthly Cap Data'!AR161:AR172)</f>
        <v>#N/A</v>
      </c>
    </row>
    <row r="19" spans="1:44" x14ac:dyDescent="0.2">
      <c r="A19" s="43">
        <v>0.01</v>
      </c>
      <c r="B19" s="43"/>
      <c r="C19" s="43">
        <v>0</v>
      </c>
      <c r="D19" s="7" t="e">
        <f>#N/A</f>
        <v>#N/A</v>
      </c>
      <c r="E19" s="7" t="e">
        <f>#N/A</f>
        <v>#N/A</v>
      </c>
      <c r="F19" s="47" t="e">
        <f>+AVERAGE('Monthly Cap Data'!F173:F184)</f>
        <v>#N/A</v>
      </c>
      <c r="G19" s="47" t="e">
        <f>+AVERAGE('Monthly Cap Data'!G173:G184)</f>
        <v>#N/A</v>
      </c>
      <c r="H19" s="47" t="e">
        <f>+AVERAGE('Monthly Cap Data'!H173:H184)</f>
        <v>#N/A</v>
      </c>
      <c r="I19" s="71"/>
      <c r="J19" s="71"/>
      <c r="K19" s="71"/>
      <c r="L19" s="71"/>
      <c r="M19" s="71"/>
      <c r="N19" s="47">
        <f>+AVERAGE('Monthly Cap Data'!N173:N184)</f>
        <v>5.0649999999999995</v>
      </c>
      <c r="O19" s="47">
        <f>+AVERAGE('Monthly Cap Data'!O173:O184)</f>
        <v>5.2492977284550033</v>
      </c>
      <c r="P19" s="47">
        <f>+AVERAGE('Monthly Cap Data'!P173:P184)</f>
        <v>0.10870227154499738</v>
      </c>
      <c r="Q19" s="71"/>
      <c r="R19" s="47">
        <f>+AVERAGE('Monthly Cap Data'!R173:R184)</f>
        <v>3.3590000000000013</v>
      </c>
      <c r="S19" s="47">
        <f>+AVERAGE('Monthly Cap Data'!S173:S184)</f>
        <v>1.4550000000000001</v>
      </c>
      <c r="T19" s="71"/>
      <c r="U19" s="47" t="e">
        <f>+AVERAGE('Monthly Cap Data'!U173:U184)</f>
        <v>#N/A</v>
      </c>
      <c r="V19" s="47" t="e">
        <f>+AVERAGE('Monthly Cap Data'!V173:V184)</f>
        <v>#N/A</v>
      </c>
      <c r="W19" s="47" t="e">
        <f>+AVERAGE('Monthly Cap Data'!W173:W184)</f>
        <v>#DIV/0!</v>
      </c>
      <c r="X19" s="47" t="e">
        <f>+AVERAGE('Monthly Cap Data'!X173:X184)</f>
        <v>#DIV/0!</v>
      </c>
      <c r="Y19" s="47" t="e">
        <f>+AVERAGE('Monthly Cap Data'!Y173:Y184)</f>
        <v>#DIV/0!</v>
      </c>
      <c r="Z19" s="47" t="e">
        <f>+AVERAGE('Monthly Cap Data'!Z173:Z184)</f>
        <v>#DIV/0!</v>
      </c>
      <c r="AA19" s="47" t="e">
        <f>+AVERAGE('Monthly Cap Data'!AA173:AA184)</f>
        <v>#DIV/0!</v>
      </c>
      <c r="AB19" s="47">
        <f>+AVERAGE('Monthly Cap Data'!AB173:AB184)</f>
        <v>2.2255360549887095</v>
      </c>
      <c r="AC19" s="47" t="e">
        <f>+AVERAGE('Monthly Cap Data'!AC173:AC184)</f>
        <v>#N/A</v>
      </c>
      <c r="AD19" s="47"/>
      <c r="AE19" s="47"/>
      <c r="AF19" s="47"/>
      <c r="AG19" s="47" t="e">
        <f>+AVERAGE('Monthly Cap Data'!AG173:AG184)</f>
        <v>#DIV/0!</v>
      </c>
      <c r="AH19" s="47" t="e">
        <f>+AVERAGE('Monthly Cap Data'!AH173:AH184)</f>
        <v>#DIV/0!</v>
      </c>
      <c r="AI19" s="47" t="e">
        <f>+AVERAGE('Monthly Cap Data'!AI173:AI184)</f>
        <v>#DIV/0!</v>
      </c>
      <c r="AJ19" s="47" t="e">
        <f>+AVERAGE('Monthly Cap Data'!AJ173:AJ184)</f>
        <v>#DIV/0!</v>
      </c>
      <c r="AK19" s="47" t="e">
        <f>+AVERAGE('Monthly Cap Data'!AK173:AK184)</f>
        <v>#DIV/0!</v>
      </c>
      <c r="AL19" s="47" t="e">
        <f>+AVERAGE('Monthly Cap Data'!AL173:AL184)</f>
        <v>#DIV/0!</v>
      </c>
      <c r="AM19" s="47" t="e">
        <f>+AVERAGE('Monthly Cap Data'!AM173:AM184)</f>
        <v>#DIV/0!</v>
      </c>
      <c r="AN19" s="47" t="e">
        <f>+AVERAGE('Monthly Cap Data'!AN173:AN184)</f>
        <v>#DIV/0!</v>
      </c>
      <c r="AO19" s="47" t="e">
        <f>+AVERAGE('Monthly Cap Data'!AO173:AO184)</f>
        <v>#DIV/0!</v>
      </c>
      <c r="AP19" s="47" t="e">
        <f>+AVERAGE('Monthly Cap Data'!AP173:AP184)</f>
        <v>#DIV/0!</v>
      </c>
      <c r="AQ19" s="47" t="e">
        <f>+AVERAGE('Monthly Cap Data'!AQ173:AQ184)</f>
        <v>#N/A</v>
      </c>
      <c r="AR19" s="47" t="e">
        <f>+AVERAGE('Monthly Cap Data'!AR173:AR184)</f>
        <v>#N/A</v>
      </c>
    </row>
    <row r="20" spans="1:44" x14ac:dyDescent="0.2">
      <c r="A20" s="43">
        <v>0.01</v>
      </c>
      <c r="B20" s="43"/>
      <c r="C20" s="43">
        <v>0</v>
      </c>
      <c r="D20" s="7" t="e">
        <f>#N/A</f>
        <v>#N/A</v>
      </c>
      <c r="E20" s="7" t="e">
        <f>#N/A</f>
        <v>#N/A</v>
      </c>
      <c r="F20" s="47" t="e">
        <f>+AVERAGE('Monthly Cap Data'!F185:F196)</f>
        <v>#N/A</v>
      </c>
      <c r="G20" s="47" t="e">
        <f>+AVERAGE('Monthly Cap Data'!G185:G196)</f>
        <v>#N/A</v>
      </c>
      <c r="H20" s="47" t="e">
        <f>+AVERAGE('Monthly Cap Data'!H185:H196)</f>
        <v>#N/A</v>
      </c>
      <c r="I20" s="71"/>
      <c r="J20" s="71"/>
      <c r="K20" s="71"/>
      <c r="L20" s="71"/>
      <c r="M20" s="71"/>
      <c r="N20" s="47">
        <f>+AVERAGE('Monthly Cap Data'!N185:N196)</f>
        <v>5.0649999999999995</v>
      </c>
      <c r="O20" s="47">
        <f>+AVERAGE('Monthly Cap Data'!O185:O196)</f>
        <v>5.2492977284550033</v>
      </c>
      <c r="P20" s="47">
        <f>+AVERAGE('Monthly Cap Data'!P185:P196)</f>
        <v>0.10870227154499738</v>
      </c>
      <c r="Q20" s="71"/>
      <c r="R20" s="47">
        <f>+AVERAGE('Monthly Cap Data'!R185:R196)</f>
        <v>3.3590000000000013</v>
      </c>
      <c r="S20" s="47">
        <f>+AVERAGE('Monthly Cap Data'!S185:S196)</f>
        <v>1.4550000000000001</v>
      </c>
      <c r="T20" s="71"/>
      <c r="U20" s="47" t="e">
        <f>+AVERAGE('Monthly Cap Data'!U185:U196)</f>
        <v>#N/A</v>
      </c>
      <c r="V20" s="47" t="e">
        <f>+AVERAGE('Monthly Cap Data'!V185:V196)</f>
        <v>#N/A</v>
      </c>
      <c r="W20" s="47" t="e">
        <f>+AVERAGE('Monthly Cap Data'!W185:W196)</f>
        <v>#DIV/0!</v>
      </c>
      <c r="X20" s="47" t="e">
        <f>+AVERAGE('Monthly Cap Data'!X185:X196)</f>
        <v>#DIV/0!</v>
      </c>
      <c r="Y20" s="47" t="e">
        <f>+AVERAGE('Monthly Cap Data'!Y185:Y196)</f>
        <v>#DIV/0!</v>
      </c>
      <c r="Z20" s="47" t="e">
        <f>+AVERAGE('Monthly Cap Data'!Z185:Z196)</f>
        <v>#DIV/0!</v>
      </c>
      <c r="AA20" s="47" t="e">
        <f>+AVERAGE('Monthly Cap Data'!AA185:AA196)</f>
        <v>#DIV/0!</v>
      </c>
      <c r="AB20" s="47">
        <f>+AVERAGE('Monthly Cap Data'!AB185:AB196)</f>
        <v>2.2255360549887095</v>
      </c>
      <c r="AC20" s="47" t="e">
        <f>+AVERAGE('Monthly Cap Data'!AC185:AC196)</f>
        <v>#N/A</v>
      </c>
      <c r="AD20" s="47"/>
      <c r="AE20" s="47"/>
      <c r="AF20" s="47"/>
      <c r="AG20" s="47" t="e">
        <f>+AVERAGE('Monthly Cap Data'!AG185:AG196)</f>
        <v>#DIV/0!</v>
      </c>
      <c r="AH20" s="47" t="e">
        <f>+AVERAGE('Monthly Cap Data'!AH185:AH196)</f>
        <v>#DIV/0!</v>
      </c>
      <c r="AI20" s="47" t="e">
        <f>+AVERAGE('Monthly Cap Data'!AI185:AI196)</f>
        <v>#DIV/0!</v>
      </c>
      <c r="AJ20" s="47" t="e">
        <f>+AVERAGE('Monthly Cap Data'!AJ185:AJ196)</f>
        <v>#DIV/0!</v>
      </c>
      <c r="AK20" s="47" t="e">
        <f>+AVERAGE('Monthly Cap Data'!AK185:AK196)</f>
        <v>#DIV/0!</v>
      </c>
      <c r="AL20" s="47" t="e">
        <f>+AVERAGE('Monthly Cap Data'!AL185:AL196)</f>
        <v>#DIV/0!</v>
      </c>
      <c r="AM20" s="47" t="e">
        <f>+AVERAGE('Monthly Cap Data'!AM185:AM196)</f>
        <v>#DIV/0!</v>
      </c>
      <c r="AN20" s="47" t="e">
        <f>+AVERAGE('Monthly Cap Data'!AN185:AN196)</f>
        <v>#DIV/0!</v>
      </c>
      <c r="AO20" s="47" t="e">
        <f>+AVERAGE('Monthly Cap Data'!AO185:AO196)</f>
        <v>#DIV/0!</v>
      </c>
      <c r="AP20" s="47" t="e">
        <f>+AVERAGE('Monthly Cap Data'!AP185:AP196)</f>
        <v>#DIV/0!</v>
      </c>
      <c r="AQ20" s="47" t="e">
        <f>+AVERAGE('Monthly Cap Data'!AQ185:AQ196)</f>
        <v>#N/A</v>
      </c>
      <c r="AR20" s="47" t="e">
        <f>+AVERAGE('Monthly Cap Data'!AR185:AR196)</f>
        <v>#N/A</v>
      </c>
    </row>
    <row r="21" spans="1:44" x14ac:dyDescent="0.2">
      <c r="A21" s="43">
        <v>0.01</v>
      </c>
      <c r="B21" s="43"/>
      <c r="C21" s="43">
        <v>0</v>
      </c>
      <c r="D21" s="7" t="e">
        <f>#N/A</f>
        <v>#N/A</v>
      </c>
      <c r="E21" s="7" t="e">
        <f>#N/A</f>
        <v>#N/A</v>
      </c>
      <c r="F21" s="47" t="e">
        <f>+AVERAGE('Monthly Cap Data'!F197:F208)</f>
        <v>#N/A</v>
      </c>
      <c r="G21" s="47" t="e">
        <f>+AVERAGE('Monthly Cap Data'!G197:G208)</f>
        <v>#N/A</v>
      </c>
      <c r="H21" s="47" t="e">
        <f>+AVERAGE('Monthly Cap Data'!H197:H208)</f>
        <v>#N/A</v>
      </c>
      <c r="I21" s="71"/>
      <c r="J21" s="71"/>
      <c r="K21" s="71"/>
      <c r="L21" s="71"/>
      <c r="M21" s="71"/>
      <c r="N21" s="47">
        <f>+AVERAGE('Monthly Cap Data'!N197:N208)</f>
        <v>5.0649999999999995</v>
      </c>
      <c r="O21" s="47">
        <f>+AVERAGE('Monthly Cap Data'!O197:O208)</f>
        <v>5.2492977284550033</v>
      </c>
      <c r="P21" s="47">
        <f>+AVERAGE('Monthly Cap Data'!P197:P208)</f>
        <v>0.10870227154499738</v>
      </c>
      <c r="Q21" s="71"/>
      <c r="R21" s="47">
        <f>+AVERAGE('Monthly Cap Data'!R197:R208)</f>
        <v>3.3590000000000013</v>
      </c>
      <c r="S21" s="47">
        <f>+AVERAGE('Monthly Cap Data'!S197:S208)</f>
        <v>1.4550000000000001</v>
      </c>
      <c r="T21" s="71"/>
      <c r="U21" s="47" t="e">
        <f>+AVERAGE('Monthly Cap Data'!U197:U208)</f>
        <v>#N/A</v>
      </c>
      <c r="V21" s="47" t="e">
        <f>+AVERAGE('Monthly Cap Data'!V197:V208)</f>
        <v>#N/A</v>
      </c>
      <c r="W21" s="47" t="e">
        <f>+AVERAGE('Monthly Cap Data'!W197:W208)</f>
        <v>#DIV/0!</v>
      </c>
      <c r="X21" s="47" t="e">
        <f>+AVERAGE('Monthly Cap Data'!X197:X208)</f>
        <v>#DIV/0!</v>
      </c>
      <c r="Y21" s="47" t="e">
        <f>+AVERAGE('Monthly Cap Data'!Y197:Y208)</f>
        <v>#DIV/0!</v>
      </c>
      <c r="Z21" s="47" t="e">
        <f>+AVERAGE('Monthly Cap Data'!Z197:Z208)</f>
        <v>#DIV/0!</v>
      </c>
      <c r="AA21" s="47" t="e">
        <f>+AVERAGE('Monthly Cap Data'!AA197:AA208)</f>
        <v>#DIV/0!</v>
      </c>
      <c r="AB21" s="47">
        <f>+AVERAGE('Monthly Cap Data'!AB197:AB208)</f>
        <v>2.2255360549887095</v>
      </c>
      <c r="AC21" s="47" t="e">
        <f>+AVERAGE('Monthly Cap Data'!AC197:AC208)</f>
        <v>#N/A</v>
      </c>
      <c r="AD21" s="47"/>
      <c r="AE21" s="47"/>
      <c r="AF21" s="47"/>
      <c r="AG21" s="47" t="e">
        <f>+AVERAGE('Monthly Cap Data'!AG197:AG208)</f>
        <v>#DIV/0!</v>
      </c>
      <c r="AH21" s="47" t="e">
        <f>+AVERAGE('Monthly Cap Data'!AH197:AH208)</f>
        <v>#DIV/0!</v>
      </c>
      <c r="AI21" s="47" t="e">
        <f>+AVERAGE('Monthly Cap Data'!AI197:AI208)</f>
        <v>#DIV/0!</v>
      </c>
      <c r="AJ21" s="47" t="e">
        <f>+AVERAGE('Monthly Cap Data'!AJ197:AJ208)</f>
        <v>#DIV/0!</v>
      </c>
      <c r="AK21" s="47" t="e">
        <f>+AVERAGE('Monthly Cap Data'!AK197:AK208)</f>
        <v>#DIV/0!</v>
      </c>
      <c r="AL21" s="47" t="e">
        <f>+AVERAGE('Monthly Cap Data'!AL197:AL208)</f>
        <v>#DIV/0!</v>
      </c>
      <c r="AM21" s="47" t="e">
        <f>+AVERAGE('Monthly Cap Data'!AM197:AM208)</f>
        <v>#DIV/0!</v>
      </c>
      <c r="AN21" s="47" t="e">
        <f>+AVERAGE('Monthly Cap Data'!AN197:AN208)</f>
        <v>#DIV/0!</v>
      </c>
      <c r="AO21" s="47" t="e">
        <f>+AVERAGE('Monthly Cap Data'!AO197:AO208)</f>
        <v>#DIV/0!</v>
      </c>
      <c r="AP21" s="47" t="e">
        <f>+AVERAGE('Monthly Cap Data'!AP197:AP208)</f>
        <v>#DIV/0!</v>
      </c>
      <c r="AQ21" s="47" t="e">
        <f>+AVERAGE('Monthly Cap Data'!AQ197:AQ208)</f>
        <v>#N/A</v>
      </c>
      <c r="AR21" s="47" t="e">
        <f>+AVERAGE('Monthly Cap Data'!AR197:AR208)</f>
        <v>#N/A</v>
      </c>
    </row>
    <row r="22" spans="1:44" x14ac:dyDescent="0.2">
      <c r="A22" s="43">
        <v>0.01</v>
      </c>
      <c r="B22" s="43"/>
      <c r="C22" s="43">
        <v>0</v>
      </c>
      <c r="D22" s="7" t="e">
        <f>#N/A</f>
        <v>#N/A</v>
      </c>
      <c r="E22" s="7" t="e">
        <f>#N/A</f>
        <v>#N/A</v>
      </c>
      <c r="F22" s="47" t="e">
        <f>+AVERAGE('Monthly Cap Data'!F209:F220)</f>
        <v>#N/A</v>
      </c>
      <c r="G22" s="47" t="e">
        <f>+AVERAGE('Monthly Cap Data'!G209:G220)</f>
        <v>#N/A</v>
      </c>
      <c r="H22" s="47" t="e">
        <f>+AVERAGE('Monthly Cap Data'!H209:H220)</f>
        <v>#N/A</v>
      </c>
      <c r="I22" s="71"/>
      <c r="J22" s="71"/>
      <c r="K22" s="71"/>
      <c r="L22" s="71"/>
      <c r="M22" s="71"/>
      <c r="N22" s="47">
        <f>+AVERAGE('Monthly Cap Data'!N209:N220)</f>
        <v>5.0649999999999995</v>
      </c>
      <c r="O22" s="47">
        <f>+AVERAGE('Monthly Cap Data'!O209:O220)</f>
        <v>5.2492977284550033</v>
      </c>
      <c r="P22" s="47">
        <f>+AVERAGE('Monthly Cap Data'!P209:P220)</f>
        <v>0.10870227154499738</v>
      </c>
      <c r="Q22" s="71"/>
      <c r="R22" s="47">
        <f>+AVERAGE('Monthly Cap Data'!R209:R220)</f>
        <v>3.3590000000000013</v>
      </c>
      <c r="S22" s="47">
        <f>+AVERAGE('Monthly Cap Data'!S209:S220)</f>
        <v>1.4550000000000001</v>
      </c>
      <c r="T22" s="71"/>
      <c r="U22" s="47" t="e">
        <f>+AVERAGE('Monthly Cap Data'!U209:U220)</f>
        <v>#N/A</v>
      </c>
      <c r="V22" s="47" t="e">
        <f>+AVERAGE('Monthly Cap Data'!V209:V220)</f>
        <v>#N/A</v>
      </c>
      <c r="W22" s="47" t="e">
        <f>+AVERAGE('Monthly Cap Data'!W209:W220)</f>
        <v>#DIV/0!</v>
      </c>
      <c r="X22" s="47" t="e">
        <f>+AVERAGE('Monthly Cap Data'!X209:X220)</f>
        <v>#DIV/0!</v>
      </c>
      <c r="Y22" s="47" t="e">
        <f>+AVERAGE('Monthly Cap Data'!Y209:Y220)</f>
        <v>#DIV/0!</v>
      </c>
      <c r="Z22" s="47" t="e">
        <f>+AVERAGE('Monthly Cap Data'!Z209:Z220)</f>
        <v>#DIV/0!</v>
      </c>
      <c r="AA22" s="47" t="e">
        <f>+AVERAGE('Monthly Cap Data'!AA209:AA220)</f>
        <v>#DIV/0!</v>
      </c>
      <c r="AB22" s="47">
        <f>+AVERAGE('Monthly Cap Data'!AB209:AB220)</f>
        <v>2.2255360549887095</v>
      </c>
      <c r="AC22" s="47" t="e">
        <f>+AVERAGE('Monthly Cap Data'!AC209:AC220)</f>
        <v>#N/A</v>
      </c>
      <c r="AD22" s="47"/>
      <c r="AE22" s="47"/>
      <c r="AF22" s="47"/>
      <c r="AG22" s="47" t="e">
        <f>+AVERAGE('Monthly Cap Data'!AG209:AG220)</f>
        <v>#DIV/0!</v>
      </c>
      <c r="AH22" s="47" t="e">
        <f>+AVERAGE('Monthly Cap Data'!AH209:AH220)</f>
        <v>#DIV/0!</v>
      </c>
      <c r="AI22" s="47" t="e">
        <f>+AVERAGE('Monthly Cap Data'!AI209:AI220)</f>
        <v>#DIV/0!</v>
      </c>
      <c r="AJ22" s="47" t="e">
        <f>+AVERAGE('Monthly Cap Data'!AJ209:AJ220)</f>
        <v>#DIV/0!</v>
      </c>
      <c r="AK22" s="47" t="e">
        <f>+AVERAGE('Monthly Cap Data'!AK209:AK220)</f>
        <v>#DIV/0!</v>
      </c>
      <c r="AL22" s="47" t="e">
        <f>+AVERAGE('Monthly Cap Data'!AL209:AL220)</f>
        <v>#DIV/0!</v>
      </c>
      <c r="AM22" s="47" t="e">
        <f>+AVERAGE('Monthly Cap Data'!AM209:AM220)</f>
        <v>#DIV/0!</v>
      </c>
      <c r="AN22" s="47" t="e">
        <f>+AVERAGE('Monthly Cap Data'!AN209:AN220)</f>
        <v>#DIV/0!</v>
      </c>
      <c r="AO22" s="47" t="e">
        <f>+AVERAGE('Monthly Cap Data'!AO209:AO220)</f>
        <v>#DIV/0!</v>
      </c>
      <c r="AP22" s="47" t="e">
        <f>+AVERAGE('Monthly Cap Data'!AP209:AP220)</f>
        <v>#DIV/0!</v>
      </c>
      <c r="AQ22" s="47" t="e">
        <f>+AVERAGE('Monthly Cap Data'!AQ209:AQ220)</f>
        <v>#N/A</v>
      </c>
      <c r="AR22" s="47" t="e">
        <f>+AVERAGE('Monthly Cap Data'!AR209:AR220)</f>
        <v>#N/A</v>
      </c>
    </row>
    <row r="23" spans="1:44" x14ac:dyDescent="0.2">
      <c r="A23" s="43">
        <v>0.01</v>
      </c>
      <c r="B23" s="43"/>
      <c r="C23" s="43">
        <v>0</v>
      </c>
      <c r="D23" s="7" t="e">
        <f>#N/A</f>
        <v>#N/A</v>
      </c>
      <c r="E23" s="7" t="e">
        <f>#N/A</f>
        <v>#N/A</v>
      </c>
      <c r="F23" s="47" t="e">
        <f>+AVERAGE('Monthly Cap Data'!F221:F232)</f>
        <v>#N/A</v>
      </c>
      <c r="G23" s="47" t="e">
        <f>+AVERAGE('Monthly Cap Data'!G221:G232)</f>
        <v>#N/A</v>
      </c>
      <c r="H23" s="47" t="e">
        <f>+AVERAGE('Monthly Cap Data'!H221:H232)</f>
        <v>#N/A</v>
      </c>
      <c r="I23" s="71"/>
      <c r="J23" s="71"/>
      <c r="K23" s="71"/>
      <c r="L23" s="71"/>
      <c r="M23" s="71"/>
      <c r="N23" s="47">
        <f>+AVERAGE('Monthly Cap Data'!N221:N232)</f>
        <v>5.0649999999999995</v>
      </c>
      <c r="O23" s="47">
        <f>+AVERAGE('Monthly Cap Data'!O221:O232)</f>
        <v>5.2492977284550033</v>
      </c>
      <c r="P23" s="47">
        <f>+AVERAGE('Monthly Cap Data'!P221:P232)</f>
        <v>0.10870227154499738</v>
      </c>
      <c r="Q23" s="71"/>
      <c r="R23" s="47">
        <f>+AVERAGE('Monthly Cap Data'!R221:R232)</f>
        <v>3.3590000000000013</v>
      </c>
      <c r="S23" s="47">
        <f>+AVERAGE('Monthly Cap Data'!S221:S232)</f>
        <v>1.4550000000000001</v>
      </c>
      <c r="T23" s="71"/>
      <c r="U23" s="47" t="e">
        <f>+AVERAGE('Monthly Cap Data'!U221:U232)</f>
        <v>#N/A</v>
      </c>
      <c r="V23" s="47" t="e">
        <f>+AVERAGE('Monthly Cap Data'!V221:V232)</f>
        <v>#N/A</v>
      </c>
      <c r="W23" s="47" t="e">
        <f>+AVERAGE('Monthly Cap Data'!W221:W232)</f>
        <v>#DIV/0!</v>
      </c>
      <c r="X23" s="47" t="e">
        <f>+AVERAGE('Monthly Cap Data'!X221:X232)</f>
        <v>#DIV/0!</v>
      </c>
      <c r="Y23" s="47" t="e">
        <f>+AVERAGE('Monthly Cap Data'!Y221:Y232)</f>
        <v>#DIV/0!</v>
      </c>
      <c r="Z23" s="47" t="e">
        <f>+AVERAGE('Monthly Cap Data'!Z221:Z232)</f>
        <v>#DIV/0!</v>
      </c>
      <c r="AA23" s="47" t="e">
        <f>+AVERAGE('Monthly Cap Data'!AA221:AA232)</f>
        <v>#DIV/0!</v>
      </c>
      <c r="AB23" s="47">
        <f>+AVERAGE('Monthly Cap Data'!AB221:AB232)</f>
        <v>2.2255360549887095</v>
      </c>
      <c r="AC23" s="47" t="e">
        <f>+AVERAGE('Monthly Cap Data'!AC221:AC232)</f>
        <v>#N/A</v>
      </c>
      <c r="AD23" s="47"/>
      <c r="AE23" s="47"/>
      <c r="AF23" s="47"/>
      <c r="AG23" s="47" t="e">
        <f>+AVERAGE('Monthly Cap Data'!AG221:AG232)</f>
        <v>#DIV/0!</v>
      </c>
      <c r="AH23" s="47" t="e">
        <f>+AVERAGE('Monthly Cap Data'!AH221:AH232)</f>
        <v>#DIV/0!</v>
      </c>
      <c r="AI23" s="47" t="e">
        <f>+AVERAGE('Monthly Cap Data'!AI221:AI232)</f>
        <v>#DIV/0!</v>
      </c>
      <c r="AJ23" s="47" t="e">
        <f>+AVERAGE('Monthly Cap Data'!AJ221:AJ232)</f>
        <v>#DIV/0!</v>
      </c>
      <c r="AK23" s="47" t="e">
        <f>+AVERAGE('Monthly Cap Data'!AK221:AK232)</f>
        <v>#DIV/0!</v>
      </c>
      <c r="AL23" s="47" t="e">
        <f>+AVERAGE('Monthly Cap Data'!AL221:AL232)</f>
        <v>#DIV/0!</v>
      </c>
      <c r="AM23" s="47" t="e">
        <f>+AVERAGE('Monthly Cap Data'!AM221:AM232)</f>
        <v>#DIV/0!</v>
      </c>
      <c r="AN23" s="47" t="e">
        <f>+AVERAGE('Monthly Cap Data'!AN221:AN232)</f>
        <v>#DIV/0!</v>
      </c>
      <c r="AO23" s="47" t="e">
        <f>+AVERAGE('Monthly Cap Data'!AO221:AO232)</f>
        <v>#DIV/0!</v>
      </c>
      <c r="AP23" s="47" t="e">
        <f>+AVERAGE('Monthly Cap Data'!AP221:AP232)</f>
        <v>#DIV/0!</v>
      </c>
      <c r="AQ23" s="47" t="e">
        <f>+AVERAGE('Monthly Cap Data'!AQ221:AQ232)</f>
        <v>#N/A</v>
      </c>
      <c r="AR23" s="47" t="e">
        <f>+AVERAGE('Monthly Cap Data'!AR221:AR232)</f>
        <v>#N/A</v>
      </c>
    </row>
    <row r="24" spans="1:44" x14ac:dyDescent="0.2">
      <c r="A24" s="43">
        <v>0.01</v>
      </c>
      <c r="B24" s="43"/>
      <c r="C24" s="43">
        <v>0</v>
      </c>
      <c r="D24" s="7" t="e">
        <f>#N/A</f>
        <v>#N/A</v>
      </c>
      <c r="E24" s="7" t="e">
        <f>#N/A</f>
        <v>#N/A</v>
      </c>
      <c r="F24" s="47" t="e">
        <f>+AVERAGE('Monthly Cap Data'!F233:F244)</f>
        <v>#N/A</v>
      </c>
      <c r="G24" s="47" t="e">
        <f>+AVERAGE('Monthly Cap Data'!G233:G244)</f>
        <v>#N/A</v>
      </c>
      <c r="H24" s="47" t="e">
        <f>+AVERAGE('Monthly Cap Data'!H233:H244)</f>
        <v>#N/A</v>
      </c>
      <c r="I24" s="71"/>
      <c r="J24" s="71"/>
      <c r="K24" s="71"/>
      <c r="L24" s="71"/>
      <c r="M24" s="71"/>
      <c r="N24" s="47">
        <f>+AVERAGE('Monthly Cap Data'!N233:N244)</f>
        <v>5.0649999999999995</v>
      </c>
      <c r="O24" s="47">
        <f>+AVERAGE('Monthly Cap Data'!O233:O244)</f>
        <v>5.2492977284550033</v>
      </c>
      <c r="P24" s="47">
        <f>+AVERAGE('Monthly Cap Data'!P233:P244)</f>
        <v>0.10870227154499738</v>
      </c>
      <c r="Q24" s="71"/>
      <c r="R24" s="47">
        <f>+AVERAGE('Monthly Cap Data'!R233:R244)</f>
        <v>3.3590000000000013</v>
      </c>
      <c r="S24" s="47">
        <f>+AVERAGE('Monthly Cap Data'!S233:S244)</f>
        <v>1.4550000000000001</v>
      </c>
      <c r="T24" s="71"/>
      <c r="U24" s="47" t="e">
        <f>+AVERAGE('Monthly Cap Data'!U233:U244)</f>
        <v>#N/A</v>
      </c>
      <c r="V24" s="47" t="e">
        <f>+AVERAGE('Monthly Cap Data'!V233:V244)</f>
        <v>#N/A</v>
      </c>
      <c r="W24" s="47" t="e">
        <f>+AVERAGE('Monthly Cap Data'!W233:W244)</f>
        <v>#DIV/0!</v>
      </c>
      <c r="X24" s="47" t="e">
        <f>+AVERAGE('Monthly Cap Data'!X233:X244)</f>
        <v>#DIV/0!</v>
      </c>
      <c r="Y24" s="47" t="e">
        <f>+AVERAGE('Monthly Cap Data'!Y233:Y244)</f>
        <v>#DIV/0!</v>
      </c>
      <c r="Z24" s="47" t="e">
        <f>+AVERAGE('Monthly Cap Data'!Z233:Z244)</f>
        <v>#DIV/0!</v>
      </c>
      <c r="AA24" s="47" t="e">
        <f>+AVERAGE('Monthly Cap Data'!AA233:AA244)</f>
        <v>#DIV/0!</v>
      </c>
      <c r="AB24" s="47">
        <f>+AVERAGE('Monthly Cap Data'!AB233:AB244)</f>
        <v>2.2255360549887095</v>
      </c>
      <c r="AC24" s="47" t="e">
        <f>+AVERAGE('Monthly Cap Data'!AC233:AC244)</f>
        <v>#N/A</v>
      </c>
      <c r="AD24" s="47"/>
      <c r="AE24" s="47"/>
      <c r="AF24" s="47"/>
      <c r="AG24" s="47" t="e">
        <f>+AVERAGE('Monthly Cap Data'!AG233:AG244)</f>
        <v>#DIV/0!</v>
      </c>
      <c r="AH24" s="47" t="e">
        <f>+AVERAGE('Monthly Cap Data'!AH233:AH244)</f>
        <v>#DIV/0!</v>
      </c>
      <c r="AI24" s="47" t="e">
        <f>+AVERAGE('Monthly Cap Data'!AI233:AI244)</f>
        <v>#DIV/0!</v>
      </c>
      <c r="AJ24" s="47" t="e">
        <f>+AVERAGE('Monthly Cap Data'!AJ233:AJ244)</f>
        <v>#DIV/0!</v>
      </c>
      <c r="AK24" s="47" t="e">
        <f>+AVERAGE('Monthly Cap Data'!AK233:AK244)</f>
        <v>#DIV/0!</v>
      </c>
      <c r="AL24" s="47" t="e">
        <f>+AVERAGE('Monthly Cap Data'!AL233:AL244)</f>
        <v>#DIV/0!</v>
      </c>
      <c r="AM24" s="47" t="e">
        <f>+AVERAGE('Monthly Cap Data'!AM233:AM244)</f>
        <v>#DIV/0!</v>
      </c>
      <c r="AN24" s="47" t="e">
        <f>+AVERAGE('Monthly Cap Data'!AN233:AN244)</f>
        <v>#DIV/0!</v>
      </c>
      <c r="AO24" s="47" t="e">
        <f>+AVERAGE('Monthly Cap Data'!AO233:AO244)</f>
        <v>#DIV/0!</v>
      </c>
      <c r="AP24" s="47" t="e">
        <f>+AVERAGE('Monthly Cap Data'!AP233:AP244)</f>
        <v>#DIV/0!</v>
      </c>
      <c r="AQ24" s="47" t="e">
        <f>+AVERAGE('Monthly Cap Data'!AQ233:AQ244)</f>
        <v>#N/A</v>
      </c>
      <c r="AR24" s="47" t="e">
        <f>+AVERAGE('Monthly Cap Data'!AR233:AR244)</f>
        <v>#N/A</v>
      </c>
    </row>
    <row r="25" spans="1:44" x14ac:dyDescent="0.2">
      <c r="A25" s="43">
        <v>0.01</v>
      </c>
      <c r="B25" s="43">
        <v>5.0000000000000001E-3</v>
      </c>
      <c r="C25" s="43">
        <v>0</v>
      </c>
      <c r="D25" s="7" t="e">
        <f>#N/A</f>
        <v>#N/A</v>
      </c>
      <c r="E25" s="7" t="e">
        <f>#N/A</f>
        <v>#N/A</v>
      </c>
      <c r="F25" s="47" t="e">
        <f>+AVERAGE('Monthly Cap Data'!F245:F256)</f>
        <v>#N/A</v>
      </c>
      <c r="G25" s="47" t="e">
        <f>+AVERAGE('Monthly Cap Data'!G245:G256)</f>
        <v>#N/A</v>
      </c>
      <c r="H25" s="47" t="e">
        <f>+AVERAGE('Monthly Cap Data'!H245:H256)</f>
        <v>#N/A</v>
      </c>
      <c r="I25" s="71"/>
      <c r="J25" s="71"/>
      <c r="K25" s="71"/>
      <c r="L25" s="71"/>
      <c r="M25" s="71"/>
      <c r="N25" s="47">
        <f>+AVERAGE('Monthly Cap Data'!N245:N256)</f>
        <v>5.0649999999999995</v>
      </c>
      <c r="O25" s="47">
        <f>+AVERAGE('Monthly Cap Data'!O245:O256)</f>
        <v>5.2492977284550033</v>
      </c>
      <c r="P25" s="47">
        <f>+AVERAGE('Monthly Cap Data'!P245:P256)</f>
        <v>0.10870227154499738</v>
      </c>
      <c r="Q25" s="71"/>
      <c r="R25" s="71"/>
      <c r="S25" s="47">
        <f>+AVERAGE('Monthly Cap Data'!S245:S256)</f>
        <v>1.4550000000000001</v>
      </c>
      <c r="T25" s="71"/>
      <c r="U25" s="47" t="e">
        <f>+AVERAGE('Monthly Cap Data'!U245:U256)</f>
        <v>#N/A</v>
      </c>
      <c r="V25" s="47" t="e">
        <f>+AVERAGE('Monthly Cap Data'!V245:V256)</f>
        <v>#N/A</v>
      </c>
      <c r="W25" s="47" t="e">
        <f>+AVERAGE('Monthly Cap Data'!W245:W256)</f>
        <v>#DIV/0!</v>
      </c>
      <c r="X25" s="47" t="e">
        <f>+AVERAGE('Monthly Cap Data'!X245:X256)</f>
        <v>#DIV/0!</v>
      </c>
      <c r="Y25" s="47" t="e">
        <f>+AVERAGE('Monthly Cap Data'!Y245:Y256)</f>
        <v>#DIV/0!</v>
      </c>
      <c r="Z25" s="47" t="e">
        <f>+AVERAGE('Monthly Cap Data'!Z245:Z256)</f>
        <v>#DIV/0!</v>
      </c>
      <c r="AA25" s="47" t="e">
        <f>+AVERAGE('Monthly Cap Data'!AA245:AA256)</f>
        <v>#DIV/0!</v>
      </c>
      <c r="AB25" s="47">
        <f>+AVERAGE('Monthly Cap Data'!AB245:AB256)</f>
        <v>2.2255360549887095</v>
      </c>
      <c r="AC25" s="47" t="e">
        <f>+AVERAGE('Monthly Cap Data'!AC245:AC256)</f>
        <v>#N/A</v>
      </c>
      <c r="AD25" s="47"/>
      <c r="AE25" s="47"/>
      <c r="AF25" s="47"/>
      <c r="AG25" s="47" t="e">
        <f>+AVERAGE('Monthly Cap Data'!AG245:AG256)</f>
        <v>#DIV/0!</v>
      </c>
      <c r="AH25" s="47" t="e">
        <f>+AVERAGE('Monthly Cap Data'!AH245:AH256)</f>
        <v>#DIV/0!</v>
      </c>
      <c r="AI25" s="47" t="e">
        <f>+AVERAGE('Monthly Cap Data'!AI245:AI256)</f>
        <v>#DIV/0!</v>
      </c>
      <c r="AJ25" s="47" t="e">
        <f>+AVERAGE('Monthly Cap Data'!AJ245:AJ256)</f>
        <v>#DIV/0!</v>
      </c>
      <c r="AK25" s="47" t="e">
        <f>+AVERAGE('Monthly Cap Data'!AK245:AK256)</f>
        <v>#DIV/0!</v>
      </c>
      <c r="AL25" s="47" t="e">
        <f>+AVERAGE('Monthly Cap Data'!AL245:AL256)</f>
        <v>#DIV/0!</v>
      </c>
      <c r="AM25" s="47" t="e">
        <f>+AVERAGE('Monthly Cap Data'!AM245:AM256)</f>
        <v>#DIV/0!</v>
      </c>
      <c r="AN25" s="47" t="e">
        <f>+AVERAGE('Monthly Cap Data'!AN245:AN256)</f>
        <v>#DIV/0!</v>
      </c>
      <c r="AO25" s="47" t="e">
        <f>+AVERAGE('Monthly Cap Data'!AO245:AO256)</f>
        <v>#DIV/0!</v>
      </c>
      <c r="AP25" s="47" t="e">
        <f>+AVERAGE('Monthly Cap Data'!AP245:AP256)</f>
        <v>#DIV/0!</v>
      </c>
      <c r="AQ25" s="47" t="e">
        <f>+AVERAGE('Monthly Cap Data'!AQ245:AQ256)</f>
        <v>#N/A</v>
      </c>
      <c r="AR25" s="47" t="e">
        <f>+AVERAGE('Monthly Cap Data'!AR245:AR256)</f>
        <v>#N/A</v>
      </c>
    </row>
    <row r="26" spans="1:44" x14ac:dyDescent="0.2">
      <c r="A26" s="43">
        <v>0.01</v>
      </c>
      <c r="B26" s="43">
        <v>5.0000000000000001E-3</v>
      </c>
      <c r="C26" s="43">
        <v>0</v>
      </c>
      <c r="D26" s="7" t="e">
        <f>#N/A</f>
        <v>#N/A</v>
      </c>
      <c r="E26" s="7" t="e">
        <f>#N/A</f>
        <v>#N/A</v>
      </c>
      <c r="F26" s="47" t="e">
        <f>+AVERAGE('Monthly Cap Data'!F257:F268)</f>
        <v>#N/A</v>
      </c>
      <c r="G26" s="47" t="e">
        <f>+AVERAGE('Monthly Cap Data'!G257:G268)</f>
        <v>#N/A</v>
      </c>
      <c r="H26" s="47" t="e">
        <f>+AVERAGE('Monthly Cap Data'!H257:H268)</f>
        <v>#N/A</v>
      </c>
      <c r="I26" s="71"/>
      <c r="J26" s="71"/>
      <c r="K26" s="71"/>
      <c r="L26" s="71"/>
      <c r="M26" s="71"/>
      <c r="N26" s="47">
        <f>+AVERAGE('Monthly Cap Data'!N257:N268)</f>
        <v>5.0649999999999995</v>
      </c>
      <c r="O26" s="47">
        <f>+AVERAGE('Monthly Cap Data'!O257:O268)</f>
        <v>5.2492977284550033</v>
      </c>
      <c r="P26" s="47">
        <f>+AVERAGE('Monthly Cap Data'!P257:P268)</f>
        <v>0.10870227154499738</v>
      </c>
      <c r="Q26" s="71"/>
      <c r="R26" s="71"/>
      <c r="S26" s="71"/>
      <c r="T26" s="71"/>
      <c r="U26" s="47" t="e">
        <f>+AVERAGE('Monthly Cap Data'!U257:U268)</f>
        <v>#N/A</v>
      </c>
      <c r="V26" s="47" t="e">
        <f>+AVERAGE('Monthly Cap Data'!V257:V268)</f>
        <v>#N/A</v>
      </c>
      <c r="W26" s="47" t="e">
        <f>+AVERAGE('Monthly Cap Data'!W257:W268)</f>
        <v>#DIV/0!</v>
      </c>
      <c r="X26" s="47" t="e">
        <f>+AVERAGE('Monthly Cap Data'!X257:X268)</f>
        <v>#DIV/0!</v>
      </c>
      <c r="Y26" s="47" t="e">
        <f>+AVERAGE('Monthly Cap Data'!Y257:Y268)</f>
        <v>#DIV/0!</v>
      </c>
      <c r="Z26" s="47" t="e">
        <f>+AVERAGE('Monthly Cap Data'!Z257:Z268)</f>
        <v>#DIV/0!</v>
      </c>
      <c r="AA26" s="47" t="e">
        <f>+AVERAGE('Monthly Cap Data'!AA257:AA268)</f>
        <v>#DIV/0!</v>
      </c>
      <c r="AB26" s="47">
        <f>+AVERAGE('Monthly Cap Data'!AB257:AB268)</f>
        <v>2.2255360549887095</v>
      </c>
      <c r="AC26" s="47" t="e">
        <f>+AVERAGE('Monthly Cap Data'!AC257:AC268)</f>
        <v>#N/A</v>
      </c>
      <c r="AD26" s="47"/>
      <c r="AE26" s="47"/>
      <c r="AF26" s="47"/>
      <c r="AG26" s="47" t="e">
        <f>+AVERAGE('Monthly Cap Data'!AG257:AG268)</f>
        <v>#DIV/0!</v>
      </c>
      <c r="AH26" s="47" t="e">
        <f>+AVERAGE('Monthly Cap Data'!AH257:AH268)</f>
        <v>#DIV/0!</v>
      </c>
      <c r="AI26" s="47" t="e">
        <f>+AVERAGE('Monthly Cap Data'!AI257:AI268)</f>
        <v>#DIV/0!</v>
      </c>
      <c r="AJ26" s="47" t="e">
        <f>+AVERAGE('Monthly Cap Data'!AJ257:AJ268)</f>
        <v>#DIV/0!</v>
      </c>
      <c r="AK26" s="47" t="e">
        <f>+AVERAGE('Monthly Cap Data'!AK257:AK268)</f>
        <v>#DIV/0!</v>
      </c>
      <c r="AL26" s="47" t="e">
        <f>+AVERAGE('Monthly Cap Data'!AL257:AL268)</f>
        <v>#DIV/0!</v>
      </c>
      <c r="AM26" s="47" t="e">
        <f>+AVERAGE('Monthly Cap Data'!AM257:AM268)</f>
        <v>#DIV/0!</v>
      </c>
      <c r="AN26" s="47" t="e">
        <f>+AVERAGE('Monthly Cap Data'!AN257:AN268)</f>
        <v>#DIV/0!</v>
      </c>
      <c r="AO26" s="47" t="e">
        <f>+AVERAGE('Monthly Cap Data'!AO257:AO268)</f>
        <v>#DIV/0!</v>
      </c>
      <c r="AP26" s="47" t="e">
        <f>+AVERAGE('Monthly Cap Data'!AP257:AP268)</f>
        <v>#DIV/0!</v>
      </c>
      <c r="AQ26" s="47" t="e">
        <f>+AVERAGE('Monthly Cap Data'!AQ257:AQ268)</f>
        <v>#N/A</v>
      </c>
      <c r="AR26" s="47" t="e">
        <f>+AVERAGE('Monthly Cap Data'!AR257:AR268)</f>
        <v>#N/A</v>
      </c>
    </row>
    <row r="27" spans="1:44" x14ac:dyDescent="0.2">
      <c r="A27" s="43">
        <v>0.01</v>
      </c>
      <c r="B27" s="43">
        <v>5.0000000000000001E-3</v>
      </c>
      <c r="C27" s="43">
        <v>0</v>
      </c>
      <c r="D27" s="7" t="e">
        <f>#N/A</f>
        <v>#N/A</v>
      </c>
      <c r="E27" s="7" t="e">
        <f>#N/A</f>
        <v>#N/A</v>
      </c>
      <c r="F27" s="47" t="e">
        <f>+AVERAGE('Monthly Cap Data'!F269:F280)</f>
        <v>#N/A</v>
      </c>
      <c r="G27" s="47" t="e">
        <f>+AVERAGE('Monthly Cap Data'!G269:G280)</f>
        <v>#N/A</v>
      </c>
      <c r="H27" s="47" t="e">
        <f>+AVERAGE('Monthly Cap Data'!H269:H280)</f>
        <v>#N/A</v>
      </c>
      <c r="I27" s="71"/>
      <c r="J27" s="71"/>
      <c r="K27" s="71"/>
      <c r="L27" s="71"/>
      <c r="M27" s="71"/>
      <c r="N27" s="47">
        <f>+AVERAGE('Monthly Cap Data'!N269:N280)</f>
        <v>5.0649999999999995</v>
      </c>
      <c r="O27" s="47">
        <f>+AVERAGE('Monthly Cap Data'!O269:O280)</f>
        <v>5.2492977284550033</v>
      </c>
      <c r="P27" s="47">
        <f>+AVERAGE('Monthly Cap Data'!P269:P280)</f>
        <v>0.10870227154499738</v>
      </c>
      <c r="Q27" s="71"/>
      <c r="R27" s="71"/>
      <c r="S27" s="71"/>
      <c r="T27" s="71"/>
      <c r="U27" s="47" t="e">
        <f>+AVERAGE('Monthly Cap Data'!U269:U280)</f>
        <v>#N/A</v>
      </c>
      <c r="V27" s="47" t="e">
        <f>+AVERAGE('Monthly Cap Data'!V269:V280)</f>
        <v>#N/A</v>
      </c>
      <c r="W27" s="47" t="e">
        <f>+AVERAGE('Monthly Cap Data'!W269:W280)</f>
        <v>#DIV/0!</v>
      </c>
      <c r="X27" s="47" t="e">
        <f>+AVERAGE('Monthly Cap Data'!X269:X280)</f>
        <v>#DIV/0!</v>
      </c>
      <c r="Y27" s="47" t="e">
        <f>+AVERAGE('Monthly Cap Data'!Y269:Y280)</f>
        <v>#DIV/0!</v>
      </c>
      <c r="Z27" s="47" t="e">
        <f>+AVERAGE('Monthly Cap Data'!Z269:Z280)</f>
        <v>#DIV/0!</v>
      </c>
      <c r="AA27" s="47" t="e">
        <f>+AVERAGE('Monthly Cap Data'!AA269:AA280)</f>
        <v>#DIV/0!</v>
      </c>
      <c r="AB27" s="47">
        <f>+AVERAGE('Monthly Cap Data'!AB269:AB280)</f>
        <v>2.2255360549887095</v>
      </c>
      <c r="AC27" s="47" t="e">
        <f>+AVERAGE('Monthly Cap Data'!AC269:AC280)</f>
        <v>#N/A</v>
      </c>
      <c r="AD27" s="47"/>
      <c r="AE27" s="47"/>
      <c r="AF27" s="47"/>
      <c r="AG27" s="47" t="e">
        <f>+AVERAGE('Monthly Cap Data'!AG269:AG280)</f>
        <v>#DIV/0!</v>
      </c>
      <c r="AH27" s="47" t="e">
        <f>+AVERAGE('Monthly Cap Data'!AH269:AH280)</f>
        <v>#DIV/0!</v>
      </c>
      <c r="AI27" s="47" t="e">
        <f>+AVERAGE('Monthly Cap Data'!AI269:AI280)</f>
        <v>#DIV/0!</v>
      </c>
      <c r="AJ27" s="47" t="e">
        <f>+AVERAGE('Monthly Cap Data'!AJ269:AJ280)</f>
        <v>#DIV/0!</v>
      </c>
      <c r="AK27" s="47" t="e">
        <f>+AVERAGE('Monthly Cap Data'!AK269:AK280)</f>
        <v>#DIV/0!</v>
      </c>
      <c r="AL27" s="47" t="e">
        <f>+AVERAGE('Monthly Cap Data'!AL269:AL280)</f>
        <v>#DIV/0!</v>
      </c>
      <c r="AM27" s="47" t="e">
        <f>+AVERAGE('Monthly Cap Data'!AM269:AM280)</f>
        <v>#DIV/0!</v>
      </c>
      <c r="AN27" s="47" t="e">
        <f>+AVERAGE('Monthly Cap Data'!AN269:AN280)</f>
        <v>#DIV/0!</v>
      </c>
      <c r="AO27" s="47" t="e">
        <f>+AVERAGE('Monthly Cap Data'!AO269:AO280)</f>
        <v>#DIV/0!</v>
      </c>
      <c r="AP27" s="47" t="e">
        <f>+AVERAGE('Monthly Cap Data'!AP269:AP280)</f>
        <v>#DIV/0!</v>
      </c>
      <c r="AQ27" s="47" t="e">
        <f>+AVERAGE('Monthly Cap Data'!AQ269:AQ280)</f>
        <v>#N/A</v>
      </c>
      <c r="AR27" s="47" t="e">
        <f>+AVERAGE('Monthly Cap Data'!AR269:AR280)</f>
        <v>#N/A</v>
      </c>
    </row>
    <row r="28" spans="1:44" x14ac:dyDescent="0.2">
      <c r="A28" s="43">
        <v>0.01</v>
      </c>
      <c r="B28" s="43">
        <v>5.0000000000000001E-3</v>
      </c>
      <c r="C28" s="43">
        <v>0</v>
      </c>
      <c r="D28" s="7" t="e">
        <f>#N/A</f>
        <v>#N/A</v>
      </c>
      <c r="E28" s="7" t="e">
        <f>#N/A</f>
        <v>#N/A</v>
      </c>
      <c r="F28" s="47" t="e">
        <f>+AVERAGE('Monthly Cap Data'!F281:F292)</f>
        <v>#N/A</v>
      </c>
      <c r="G28" s="47" t="e">
        <f>+AVERAGE('Monthly Cap Data'!G281:G292)</f>
        <v>#N/A</v>
      </c>
      <c r="H28" s="47" t="e">
        <f>+AVERAGE('Monthly Cap Data'!H281:H292)</f>
        <v>#N/A</v>
      </c>
      <c r="I28" s="71"/>
      <c r="J28" s="71"/>
      <c r="K28" s="71"/>
      <c r="L28" s="71"/>
      <c r="M28" s="71"/>
      <c r="N28" s="47">
        <f>+AVERAGE('Monthly Cap Data'!N281:N292)</f>
        <v>5.0649999999999995</v>
      </c>
      <c r="O28" s="47">
        <f>+AVERAGE('Monthly Cap Data'!O281:O292)</f>
        <v>5.2492977284550033</v>
      </c>
      <c r="P28" s="47">
        <f>+AVERAGE('Monthly Cap Data'!P281:P292)</f>
        <v>0.10870227154499738</v>
      </c>
      <c r="Q28" s="71"/>
      <c r="R28" s="71"/>
      <c r="S28" s="71"/>
      <c r="T28" s="71"/>
      <c r="U28" s="47" t="e">
        <f>+AVERAGE('Monthly Cap Data'!U281:U292)</f>
        <v>#N/A</v>
      </c>
      <c r="V28" s="71"/>
      <c r="W28" s="47" t="e">
        <f>+AVERAGE('Monthly Cap Data'!W281:W292)</f>
        <v>#DIV/0!</v>
      </c>
      <c r="X28" s="47" t="e">
        <f>+AVERAGE('Monthly Cap Data'!X281:X292)</f>
        <v>#DIV/0!</v>
      </c>
      <c r="Y28" s="47" t="e">
        <f>+AVERAGE('Monthly Cap Data'!Y281:Y292)</f>
        <v>#DIV/0!</v>
      </c>
      <c r="Z28" s="47" t="e">
        <f>+AVERAGE('Monthly Cap Data'!Z281:Z292)</f>
        <v>#DIV/0!</v>
      </c>
      <c r="AA28" s="47" t="e">
        <f>+AVERAGE('Monthly Cap Data'!AA281:AA292)</f>
        <v>#DIV/0!</v>
      </c>
      <c r="AB28" s="47">
        <f>+AVERAGE('Monthly Cap Data'!AB281:AB292)</f>
        <v>2.2255360549887095</v>
      </c>
      <c r="AC28" s="47" t="e">
        <f>+AVERAGE('Monthly Cap Data'!AC281:AC292)</f>
        <v>#N/A</v>
      </c>
      <c r="AD28" s="47"/>
      <c r="AE28" s="47"/>
      <c r="AF28" s="47"/>
      <c r="AG28" s="47" t="e">
        <f>+AVERAGE('Monthly Cap Data'!AG281:AG292)</f>
        <v>#DIV/0!</v>
      </c>
      <c r="AH28" s="47" t="e">
        <f>+AVERAGE('Monthly Cap Data'!AH281:AH292)</f>
        <v>#DIV/0!</v>
      </c>
      <c r="AI28" s="47" t="e">
        <f>+AVERAGE('Monthly Cap Data'!AI281:AI292)</f>
        <v>#DIV/0!</v>
      </c>
      <c r="AJ28" s="47" t="e">
        <f>+AVERAGE('Monthly Cap Data'!AJ281:AJ292)</f>
        <v>#DIV/0!</v>
      </c>
      <c r="AK28" s="47" t="e">
        <f>+AVERAGE('Monthly Cap Data'!AK281:AK292)</f>
        <v>#DIV/0!</v>
      </c>
      <c r="AL28" s="47" t="e">
        <f>+AVERAGE('Monthly Cap Data'!AL281:AL292)</f>
        <v>#DIV/0!</v>
      </c>
      <c r="AM28" s="47" t="e">
        <f>+AVERAGE('Monthly Cap Data'!AM281:AM292)</f>
        <v>#DIV/0!</v>
      </c>
      <c r="AN28" s="47" t="e">
        <f>+AVERAGE('Monthly Cap Data'!AN281:AN292)</f>
        <v>#DIV/0!</v>
      </c>
      <c r="AO28" s="47" t="e">
        <f>+AVERAGE('Monthly Cap Data'!AO281:AO292)</f>
        <v>#DIV/0!</v>
      </c>
      <c r="AP28" s="47" t="e">
        <f>+AVERAGE('Monthly Cap Data'!AP281:AP292)</f>
        <v>#DIV/0!</v>
      </c>
      <c r="AQ28" s="47" t="e">
        <f>+AVERAGE('Monthly Cap Data'!AQ281:AQ292)</f>
        <v>#N/A</v>
      </c>
      <c r="AR28" s="47" t="e">
        <f>+AVERAGE('Monthly Cap Data'!AR281:AR292)</f>
        <v>#N/A</v>
      </c>
    </row>
    <row r="29" spans="1:44" x14ac:dyDescent="0.2">
      <c r="A29" s="43">
        <v>0.01</v>
      </c>
      <c r="B29" s="43">
        <v>5.0000000000000001E-3</v>
      </c>
      <c r="C29" s="43">
        <v>0</v>
      </c>
      <c r="D29" s="7" t="e">
        <f>#N/A</f>
        <v>#N/A</v>
      </c>
      <c r="E29" s="7" t="e">
        <f>#N/A</f>
        <v>#N/A</v>
      </c>
      <c r="F29" s="47" t="e">
        <f>+AVERAGE('Monthly Cap Data'!F293:F304)</f>
        <v>#N/A</v>
      </c>
      <c r="G29" s="47" t="e">
        <f>+AVERAGE('Monthly Cap Data'!G293:G304)</f>
        <v>#N/A</v>
      </c>
      <c r="H29" s="47" t="e">
        <f>+AVERAGE('Monthly Cap Data'!H293:H304)</f>
        <v>#N/A</v>
      </c>
      <c r="I29" s="71"/>
      <c r="J29" s="71"/>
      <c r="K29" s="71"/>
      <c r="L29" s="71"/>
      <c r="M29" s="71"/>
      <c r="N29" s="47">
        <f>+AVERAGE('Monthly Cap Data'!N293:N304)</f>
        <v>5.0649999999999995</v>
      </c>
      <c r="O29" s="47">
        <f>+AVERAGE('Monthly Cap Data'!O293:O304)</f>
        <v>5.2492977284550033</v>
      </c>
      <c r="P29" s="47">
        <f>+AVERAGE('Monthly Cap Data'!P293:P304)</f>
        <v>0.10870227154499738</v>
      </c>
      <c r="Q29" s="71"/>
      <c r="R29" s="71"/>
      <c r="S29" s="71"/>
      <c r="T29" s="71"/>
      <c r="U29" s="47" t="e">
        <f>+AVERAGE('Monthly Cap Data'!U293:U304)</f>
        <v>#N/A</v>
      </c>
      <c r="V29" s="71"/>
      <c r="W29" s="47" t="e">
        <f>+AVERAGE('Monthly Cap Data'!W293:W304)</f>
        <v>#DIV/0!</v>
      </c>
      <c r="X29" s="47" t="e">
        <f>+AVERAGE('Monthly Cap Data'!X293:X304)</f>
        <v>#DIV/0!</v>
      </c>
      <c r="Y29" s="47" t="e">
        <f>+AVERAGE('Monthly Cap Data'!Y293:Y304)</f>
        <v>#DIV/0!</v>
      </c>
      <c r="Z29" s="47" t="e">
        <f>+AVERAGE('Monthly Cap Data'!Z293:Z304)</f>
        <v>#DIV/0!</v>
      </c>
      <c r="AA29" s="47" t="e">
        <f>+AVERAGE('Monthly Cap Data'!AA293:AA304)</f>
        <v>#DIV/0!</v>
      </c>
      <c r="AB29" s="47">
        <f>+AVERAGE('Monthly Cap Data'!AB293:AB304)</f>
        <v>2.2255360549887095</v>
      </c>
      <c r="AC29" s="47" t="e">
        <f>+AVERAGE('Monthly Cap Data'!AC293:AC304)</f>
        <v>#N/A</v>
      </c>
      <c r="AD29" s="47"/>
      <c r="AE29" s="47"/>
      <c r="AF29" s="47"/>
      <c r="AG29" s="47" t="e">
        <f>+AVERAGE('Monthly Cap Data'!AG293:AG304)</f>
        <v>#DIV/0!</v>
      </c>
      <c r="AH29" s="47" t="e">
        <f>+AVERAGE('Monthly Cap Data'!AH293:AH304)</f>
        <v>#DIV/0!</v>
      </c>
      <c r="AI29" s="47" t="e">
        <f>+AVERAGE('Monthly Cap Data'!AI293:AI304)</f>
        <v>#DIV/0!</v>
      </c>
      <c r="AJ29" s="47" t="e">
        <f>+AVERAGE('Monthly Cap Data'!AJ293:AJ304)</f>
        <v>#DIV/0!</v>
      </c>
      <c r="AK29" s="47" t="e">
        <f>+AVERAGE('Monthly Cap Data'!AK293:AK304)</f>
        <v>#DIV/0!</v>
      </c>
      <c r="AL29" s="47" t="e">
        <f>+AVERAGE('Monthly Cap Data'!AL293:AL304)</f>
        <v>#DIV/0!</v>
      </c>
      <c r="AM29" s="47" t="e">
        <f>+AVERAGE('Monthly Cap Data'!AM293:AM304)</f>
        <v>#DIV/0!</v>
      </c>
      <c r="AN29" s="47" t="e">
        <f>+AVERAGE('Monthly Cap Data'!AN293:AN304)</f>
        <v>#DIV/0!</v>
      </c>
      <c r="AO29" s="47" t="e">
        <f>+AVERAGE('Monthly Cap Data'!AO293:AO304)</f>
        <v>#DIV/0!</v>
      </c>
      <c r="AP29" s="47" t="e">
        <f>+AVERAGE('Monthly Cap Data'!AP293:AP304)</f>
        <v>#DIV/0!</v>
      </c>
      <c r="AQ29" s="47" t="e">
        <f>+AVERAGE('Monthly Cap Data'!AQ293:AQ304)</f>
        <v>#N/A</v>
      </c>
      <c r="AR29" s="47" t="e">
        <f>+AVERAGE('Monthly Cap Data'!AR293:AR304)</f>
        <v>#N/A</v>
      </c>
    </row>
    <row r="30" spans="1:44" x14ac:dyDescent="0.2">
      <c r="A30" s="43">
        <v>0.01</v>
      </c>
      <c r="B30" s="43">
        <v>5.0000000000000001E-3</v>
      </c>
      <c r="C30" s="43">
        <v>0</v>
      </c>
      <c r="D30" s="7" t="e">
        <f>#N/A</f>
        <v>#N/A</v>
      </c>
      <c r="E30" s="7" t="e">
        <f>#N/A</f>
        <v>#N/A</v>
      </c>
      <c r="F30" s="47" t="e">
        <f>+AVERAGE('Monthly Cap Data'!F305:F316)</f>
        <v>#N/A</v>
      </c>
      <c r="G30" s="47" t="e">
        <f>+AVERAGE('Monthly Cap Data'!G305:G316)</f>
        <v>#N/A</v>
      </c>
      <c r="H30" s="47" t="e">
        <f>+AVERAGE('Monthly Cap Data'!H305:H316)</f>
        <v>#N/A</v>
      </c>
      <c r="I30" s="71"/>
      <c r="J30" s="71"/>
      <c r="K30" s="71"/>
      <c r="L30" s="71"/>
      <c r="M30" s="71"/>
      <c r="N30" s="47">
        <f>+AVERAGE('Monthly Cap Data'!N305:N316)</f>
        <v>5.0649999999999995</v>
      </c>
      <c r="O30" s="47">
        <f>+AVERAGE('Monthly Cap Data'!O305:O316)</f>
        <v>5.2492977284550033</v>
      </c>
      <c r="P30" s="47">
        <f>+AVERAGE('Monthly Cap Data'!P305:P316)</f>
        <v>0.10870227154499738</v>
      </c>
      <c r="Q30" s="71"/>
      <c r="R30" s="71"/>
      <c r="S30" s="71"/>
      <c r="T30" s="71"/>
      <c r="U30" s="47" t="e">
        <f>+AVERAGE('Monthly Cap Data'!U305:U316)</f>
        <v>#N/A</v>
      </c>
      <c r="V30" s="71"/>
      <c r="W30" s="47" t="e">
        <f>+AVERAGE('Monthly Cap Data'!W305:W316)</f>
        <v>#DIV/0!</v>
      </c>
      <c r="X30" s="47" t="e">
        <f>+AVERAGE('Monthly Cap Data'!X305:X316)</f>
        <v>#DIV/0!</v>
      </c>
      <c r="Y30" s="47" t="e">
        <f>+AVERAGE('Monthly Cap Data'!Y305:Y316)</f>
        <v>#DIV/0!</v>
      </c>
      <c r="Z30" s="47" t="e">
        <f>+AVERAGE('Monthly Cap Data'!Z305:Z316)</f>
        <v>#DIV/0!</v>
      </c>
      <c r="AA30" s="47" t="e">
        <f>+AVERAGE('Monthly Cap Data'!AA305:AA316)</f>
        <v>#DIV/0!</v>
      </c>
      <c r="AB30" s="47">
        <f>+AVERAGE('Monthly Cap Data'!AB305:AB316)</f>
        <v>2.2255360549887095</v>
      </c>
      <c r="AC30" s="47" t="e">
        <f>+AVERAGE('Monthly Cap Data'!AC305:AC316)</f>
        <v>#N/A</v>
      </c>
      <c r="AD30" s="47"/>
      <c r="AE30" s="47"/>
      <c r="AF30" s="47"/>
      <c r="AG30" s="47" t="e">
        <f>+AVERAGE('Monthly Cap Data'!AG305:AG316)</f>
        <v>#DIV/0!</v>
      </c>
      <c r="AH30" s="47" t="e">
        <f>+AVERAGE('Monthly Cap Data'!AH305:AH316)</f>
        <v>#DIV/0!</v>
      </c>
      <c r="AI30" s="47" t="e">
        <f>+AVERAGE('Monthly Cap Data'!AI305:AI316)</f>
        <v>#DIV/0!</v>
      </c>
      <c r="AJ30" s="47" t="e">
        <f>+AVERAGE('Monthly Cap Data'!AJ305:AJ316)</f>
        <v>#DIV/0!</v>
      </c>
      <c r="AK30" s="47" t="e">
        <f>+AVERAGE('Monthly Cap Data'!AK305:AK316)</f>
        <v>#DIV/0!</v>
      </c>
      <c r="AL30" s="47" t="e">
        <f>+AVERAGE('Monthly Cap Data'!AL305:AL316)</f>
        <v>#DIV/0!</v>
      </c>
      <c r="AM30" s="47" t="e">
        <f>+AVERAGE('Monthly Cap Data'!AM305:AM316)</f>
        <v>#DIV/0!</v>
      </c>
      <c r="AN30" s="47" t="e">
        <f>+AVERAGE('Monthly Cap Data'!AN305:AN316)</f>
        <v>#DIV/0!</v>
      </c>
      <c r="AO30" s="47" t="e">
        <f>+AVERAGE('Monthly Cap Data'!AO305:AO316)</f>
        <v>#DIV/0!</v>
      </c>
      <c r="AP30" s="47" t="e">
        <f>+AVERAGE('Monthly Cap Data'!AP305:AP316)</f>
        <v>#DIV/0!</v>
      </c>
      <c r="AQ30" s="47" t="e">
        <f>+AVERAGE('Monthly Cap Data'!AQ305:AQ316)</f>
        <v>#N/A</v>
      </c>
      <c r="AR30" s="47" t="e">
        <f>+AVERAGE('Monthly Cap Data'!AR305:AR316)</f>
        <v>#N/A</v>
      </c>
    </row>
    <row r="31" spans="1:44" x14ac:dyDescent="0.2">
      <c r="A31" s="43">
        <v>0.01</v>
      </c>
      <c r="B31" s="43">
        <v>5.0000000000000001E-3</v>
      </c>
      <c r="C31" s="43">
        <v>0</v>
      </c>
      <c r="D31" s="7" t="e">
        <f>#N/A</f>
        <v>#N/A</v>
      </c>
      <c r="E31" s="7" t="e">
        <f>#N/A</f>
        <v>#N/A</v>
      </c>
      <c r="F31" s="47" t="e">
        <f>+AVERAGE('Monthly Cap Data'!F317:F328)</f>
        <v>#N/A</v>
      </c>
      <c r="G31" s="47" t="e">
        <f>+AVERAGE('Monthly Cap Data'!G317:G328)</f>
        <v>#N/A</v>
      </c>
      <c r="H31" s="47" t="e">
        <f>+AVERAGE('Monthly Cap Data'!H317:H328)</f>
        <v>#N/A</v>
      </c>
      <c r="I31" s="71"/>
      <c r="J31" s="71"/>
      <c r="K31" s="71"/>
      <c r="L31" s="71"/>
      <c r="M31" s="71"/>
      <c r="N31" s="47">
        <f>+AVERAGE('Monthly Cap Data'!N317:N328)</f>
        <v>5.0649999999999995</v>
      </c>
      <c r="O31" s="47">
        <f>+AVERAGE('Monthly Cap Data'!O317:O328)</f>
        <v>5.2492977284550033</v>
      </c>
      <c r="P31" s="47">
        <f>+AVERAGE('Monthly Cap Data'!P317:P328)</f>
        <v>0.10870227154499738</v>
      </c>
      <c r="Q31" s="71"/>
      <c r="R31" s="71"/>
      <c r="S31" s="71"/>
      <c r="T31" s="71"/>
      <c r="U31" s="71"/>
      <c r="V31" s="71"/>
      <c r="W31" s="47" t="e">
        <f>+AVERAGE('Monthly Cap Data'!W317:W328)</f>
        <v>#DIV/0!</v>
      </c>
      <c r="X31" s="47" t="e">
        <f>+AVERAGE('Monthly Cap Data'!X317:X328)</f>
        <v>#DIV/0!</v>
      </c>
      <c r="Y31" s="47" t="e">
        <f>+AVERAGE('Monthly Cap Data'!Y317:Y328)</f>
        <v>#DIV/0!</v>
      </c>
      <c r="Z31" s="47" t="e">
        <f>+AVERAGE('Monthly Cap Data'!Z317:Z328)</f>
        <v>#DIV/0!</v>
      </c>
      <c r="AA31" s="47" t="e">
        <f>+AVERAGE('Monthly Cap Data'!AA317:AA328)</f>
        <v>#DIV/0!</v>
      </c>
      <c r="AB31" s="47">
        <f>+AVERAGE('Monthly Cap Data'!AB317:AB328)</f>
        <v>2.2255360549887095</v>
      </c>
      <c r="AC31" s="47" t="e">
        <f>+AVERAGE('Monthly Cap Data'!AC317:AC328)</f>
        <v>#N/A</v>
      </c>
      <c r="AD31" s="47"/>
      <c r="AE31" s="47"/>
      <c r="AF31" s="47"/>
      <c r="AG31" s="47" t="e">
        <f>+AVERAGE('Monthly Cap Data'!AG317:AG328)</f>
        <v>#DIV/0!</v>
      </c>
      <c r="AH31" s="47" t="e">
        <f>+AVERAGE('Monthly Cap Data'!AH317:AH328)</f>
        <v>#DIV/0!</v>
      </c>
      <c r="AI31" s="47" t="e">
        <f>+AVERAGE('Monthly Cap Data'!AI317:AI328)</f>
        <v>#DIV/0!</v>
      </c>
      <c r="AJ31" s="47" t="e">
        <f>+AVERAGE('Monthly Cap Data'!AJ317:AJ328)</f>
        <v>#DIV/0!</v>
      </c>
      <c r="AK31" s="47" t="e">
        <f>+AVERAGE('Monthly Cap Data'!AK317:AK328)</f>
        <v>#DIV/0!</v>
      </c>
      <c r="AL31" s="47" t="e">
        <f>+AVERAGE('Monthly Cap Data'!AL317:AL328)</f>
        <v>#DIV/0!</v>
      </c>
      <c r="AM31" s="47" t="e">
        <f>+AVERAGE('Monthly Cap Data'!AM317:AM328)</f>
        <v>#DIV/0!</v>
      </c>
      <c r="AN31" s="47" t="e">
        <f>+AVERAGE('Monthly Cap Data'!AN317:AN328)</f>
        <v>#DIV/0!</v>
      </c>
      <c r="AO31" s="47" t="e">
        <f>+AVERAGE('Monthly Cap Data'!AO317:AO328)</f>
        <v>#DIV/0!</v>
      </c>
      <c r="AP31" s="47" t="e">
        <f>+AVERAGE('Monthly Cap Data'!AP317:AP328)</f>
        <v>#DIV/0!</v>
      </c>
      <c r="AQ31" s="47" t="e">
        <f>+AVERAGE('Monthly Cap Data'!AQ317:AQ328)</f>
        <v>#N/A</v>
      </c>
      <c r="AR31" s="47" t="e">
        <f>+AVERAGE('Monthly Cap Data'!AR317:AR328)</f>
        <v>#N/A</v>
      </c>
    </row>
    <row r="32" spans="1:44" x14ac:dyDescent="0.2">
      <c r="A32" s="23"/>
      <c r="B32" s="23"/>
      <c r="C32" s="23"/>
      <c r="D32" s="7"/>
      <c r="E32" s="7"/>
      <c r="F32" s="7"/>
      <c r="G32" s="8"/>
      <c r="H32" s="8"/>
      <c r="I32" s="4"/>
      <c r="J32" s="4"/>
      <c r="K32" s="4"/>
      <c r="L32" s="4"/>
      <c r="M32" s="4"/>
      <c r="N32" s="18"/>
      <c r="O32" s="8"/>
      <c r="P32" s="8"/>
      <c r="Q32" s="5"/>
      <c r="R32" s="5"/>
      <c r="S32" s="5"/>
      <c r="T32" s="5"/>
      <c r="U32" s="5"/>
      <c r="V32" s="5"/>
      <c r="W32" s="5"/>
      <c r="X32" s="5"/>
      <c r="Y32" s="5"/>
      <c r="Z32" s="5"/>
      <c r="AA32" s="5"/>
      <c r="AB32" s="5"/>
      <c r="AC32" s="8"/>
      <c r="AD32" s="5"/>
      <c r="AE32" s="10"/>
      <c r="AF32" s="18"/>
      <c r="AG32" s="18"/>
      <c r="AH32" s="18"/>
      <c r="AI32" s="18"/>
      <c r="AJ32" s="18"/>
      <c r="AK32" s="18"/>
      <c r="AL32" s="18"/>
      <c r="AM32" s="18"/>
      <c r="AN32" s="18"/>
      <c r="AO32" s="5"/>
      <c r="AP32" s="5"/>
      <c r="AQ32" s="8"/>
      <c r="AR32" s="8"/>
    </row>
    <row r="33" spans="1:44" x14ac:dyDescent="0.2">
      <c r="A33" s="23"/>
      <c r="B33" s="23"/>
      <c r="C33" s="23"/>
      <c r="D33" s="7"/>
      <c r="E33" s="7"/>
      <c r="F33" s="7"/>
      <c r="G33" s="8"/>
      <c r="H33" s="8"/>
      <c r="I33" s="4"/>
      <c r="J33" s="4"/>
      <c r="K33" s="4"/>
      <c r="L33" s="4"/>
      <c r="M33" s="4"/>
      <c r="N33" s="18"/>
      <c r="O33" s="8"/>
      <c r="P33" s="8"/>
      <c r="Q33" s="5"/>
      <c r="R33" s="5"/>
      <c r="S33" s="5"/>
      <c r="T33" s="5"/>
      <c r="U33" s="5"/>
      <c r="V33" s="5"/>
      <c r="W33" s="5"/>
      <c r="X33" s="5"/>
      <c r="Y33" s="5"/>
      <c r="Z33" s="5"/>
      <c r="AA33" s="5"/>
      <c r="AB33" s="5"/>
      <c r="AC33" s="8"/>
      <c r="AD33" s="5"/>
      <c r="AE33" s="10"/>
      <c r="AF33" s="18"/>
      <c r="AG33" s="18"/>
      <c r="AH33" s="18"/>
      <c r="AI33" s="18"/>
      <c r="AJ33" s="18"/>
      <c r="AK33" s="18"/>
      <c r="AL33" s="18"/>
      <c r="AM33" s="18"/>
      <c r="AN33" s="18"/>
      <c r="AO33" s="5"/>
      <c r="AP33" s="5"/>
      <c r="AQ33" s="8"/>
      <c r="AR33" s="8"/>
    </row>
    <row r="34" spans="1:44" x14ac:dyDescent="0.2">
      <c r="A34" s="23"/>
      <c r="B34" s="23"/>
      <c r="C34" s="23"/>
      <c r="D34" s="7"/>
      <c r="E34" s="7"/>
      <c r="F34" s="7"/>
      <c r="G34" s="8"/>
      <c r="H34" s="8"/>
      <c r="I34" s="4"/>
      <c r="J34" s="4"/>
      <c r="K34" s="4"/>
      <c r="L34" s="4"/>
      <c r="M34" s="4"/>
      <c r="N34" s="18"/>
      <c r="O34" s="8"/>
      <c r="P34" s="8"/>
      <c r="Q34" s="5"/>
      <c r="R34" s="5"/>
      <c r="S34" s="5"/>
      <c r="T34" s="5"/>
      <c r="U34" s="5"/>
      <c r="V34" s="5"/>
      <c r="W34" s="5"/>
      <c r="X34" s="5"/>
      <c r="Y34" s="5"/>
      <c r="Z34" s="5"/>
      <c r="AA34" s="5"/>
      <c r="AB34" s="5"/>
      <c r="AC34" s="8"/>
      <c r="AD34" s="5"/>
      <c r="AE34" s="10"/>
      <c r="AF34" s="18"/>
      <c r="AG34" s="18"/>
      <c r="AH34" s="18"/>
      <c r="AI34" s="18"/>
      <c r="AJ34" s="18"/>
      <c r="AK34" s="18"/>
      <c r="AL34" s="18"/>
      <c r="AM34" s="18"/>
      <c r="AN34" s="18"/>
      <c r="AO34" s="5"/>
      <c r="AP34" s="5"/>
      <c r="AQ34" s="8"/>
      <c r="AR34" s="8"/>
    </row>
    <row r="35" spans="1:44" x14ac:dyDescent="0.2">
      <c r="A35" s="23"/>
      <c r="B35" s="23"/>
      <c r="C35" s="23"/>
      <c r="D35" s="7"/>
      <c r="E35" s="7"/>
      <c r="F35" s="7"/>
      <c r="G35" s="8"/>
      <c r="H35" s="8"/>
      <c r="I35" s="4"/>
      <c r="J35" s="4"/>
      <c r="K35" s="4"/>
      <c r="L35" s="4"/>
      <c r="M35" s="4"/>
      <c r="N35" s="18"/>
      <c r="O35" s="8"/>
      <c r="P35" s="8"/>
      <c r="Q35" s="5"/>
      <c r="R35" s="5"/>
      <c r="S35" s="5"/>
      <c r="T35" s="5"/>
      <c r="U35" s="5"/>
      <c r="V35" s="5"/>
      <c r="W35" s="5"/>
      <c r="X35" s="5"/>
      <c r="Y35" s="5"/>
      <c r="Z35" s="5"/>
      <c r="AA35" s="5"/>
      <c r="AB35" s="5"/>
      <c r="AC35" s="8"/>
      <c r="AD35" s="5"/>
      <c r="AE35" s="10"/>
      <c r="AF35" s="18"/>
      <c r="AG35" s="18"/>
      <c r="AH35" s="18"/>
      <c r="AI35" s="18"/>
      <c r="AJ35" s="18"/>
      <c r="AK35" s="18"/>
      <c r="AL35" s="18"/>
      <c r="AM35" s="18"/>
      <c r="AN35" s="18"/>
      <c r="AO35" s="5"/>
      <c r="AP35" s="5"/>
      <c r="AQ35" s="8"/>
      <c r="AR35" s="8"/>
    </row>
    <row r="36" spans="1:44" x14ac:dyDescent="0.2">
      <c r="A36" s="23"/>
      <c r="B36" s="23"/>
      <c r="C36" s="23"/>
      <c r="D36" s="7"/>
      <c r="E36" s="7"/>
      <c r="F36" s="7"/>
      <c r="G36" s="8"/>
      <c r="H36" s="8"/>
      <c r="I36" s="4"/>
      <c r="J36" s="4"/>
      <c r="K36" s="4"/>
      <c r="L36" s="4"/>
      <c r="M36" s="4"/>
      <c r="N36" s="18"/>
      <c r="O36" s="8"/>
      <c r="P36" s="8"/>
      <c r="Q36" s="5"/>
      <c r="R36" s="5"/>
      <c r="S36" s="5"/>
      <c r="T36" s="5"/>
      <c r="U36" s="5"/>
      <c r="V36" s="5"/>
      <c r="W36" s="5"/>
      <c r="X36" s="5"/>
      <c r="Y36" s="5"/>
      <c r="Z36" s="5"/>
      <c r="AA36" s="5"/>
      <c r="AB36" s="5"/>
      <c r="AC36" s="8"/>
      <c r="AD36" s="5"/>
      <c r="AE36" s="10"/>
      <c r="AF36" s="18"/>
      <c r="AG36" s="18"/>
      <c r="AH36" s="18"/>
      <c r="AI36" s="18"/>
      <c r="AJ36" s="18"/>
      <c r="AK36" s="18"/>
      <c r="AL36" s="18"/>
      <c r="AM36" s="18"/>
      <c r="AN36" s="18"/>
      <c r="AO36" s="5"/>
      <c r="AP36" s="5"/>
      <c r="AQ36" s="8"/>
      <c r="AR36" s="8"/>
    </row>
    <row r="37" spans="1:44" x14ac:dyDescent="0.2">
      <c r="A37" s="23"/>
      <c r="B37" s="23"/>
      <c r="C37" s="23"/>
      <c r="D37" s="7"/>
      <c r="E37" s="7"/>
      <c r="F37" s="7"/>
      <c r="G37" s="8"/>
      <c r="H37" s="8"/>
      <c r="I37" s="4"/>
      <c r="J37" s="4"/>
      <c r="K37" s="4"/>
      <c r="L37" s="4"/>
      <c r="M37" s="4"/>
      <c r="N37" s="18"/>
      <c r="O37" s="8"/>
      <c r="P37" s="8"/>
      <c r="Q37" s="5"/>
      <c r="R37" s="5"/>
      <c r="S37" s="5"/>
      <c r="T37" s="5"/>
      <c r="U37" s="5"/>
      <c r="V37" s="5"/>
      <c r="W37" s="5"/>
      <c r="X37" s="5"/>
      <c r="Y37" s="5"/>
      <c r="Z37" s="5"/>
      <c r="AA37" s="5"/>
      <c r="AB37" s="5"/>
      <c r="AC37" s="8"/>
      <c r="AD37" s="5"/>
      <c r="AE37" s="10"/>
      <c r="AF37" s="18"/>
      <c r="AG37" s="18"/>
      <c r="AH37" s="18"/>
      <c r="AI37" s="18"/>
      <c r="AJ37" s="18"/>
      <c r="AK37" s="18"/>
      <c r="AL37" s="18"/>
      <c r="AM37" s="18"/>
      <c r="AN37" s="18"/>
      <c r="AO37" s="5"/>
      <c r="AP37" s="5"/>
      <c r="AQ37" s="8"/>
      <c r="AR37" s="8"/>
    </row>
    <row r="38" spans="1:44" x14ac:dyDescent="0.2">
      <c r="A38" s="23"/>
      <c r="B38" s="23"/>
      <c r="C38" s="23"/>
      <c r="D38" s="7"/>
      <c r="E38" s="7"/>
      <c r="F38" s="7"/>
      <c r="G38" s="8"/>
      <c r="H38" s="8"/>
      <c r="I38" s="4"/>
      <c r="J38" s="4"/>
      <c r="K38" s="4"/>
      <c r="L38" s="4"/>
      <c r="M38" s="4"/>
      <c r="N38" s="18"/>
      <c r="O38" s="8"/>
      <c r="P38" s="8"/>
      <c r="Q38" s="5"/>
      <c r="R38" s="5"/>
      <c r="S38" s="5"/>
      <c r="T38" s="5"/>
      <c r="U38" s="5"/>
      <c r="V38" s="5"/>
      <c r="W38" s="5"/>
      <c r="X38" s="5"/>
      <c r="Y38" s="5"/>
      <c r="Z38" s="5"/>
      <c r="AA38" s="5"/>
      <c r="AB38" s="5"/>
      <c r="AC38" s="8"/>
      <c r="AD38" s="5"/>
      <c r="AE38" s="10"/>
      <c r="AF38" s="18"/>
      <c r="AG38" s="18"/>
      <c r="AH38" s="18"/>
      <c r="AI38" s="18"/>
      <c r="AJ38" s="18"/>
      <c r="AK38" s="18"/>
      <c r="AL38" s="18"/>
      <c r="AM38" s="18"/>
      <c r="AN38" s="18"/>
      <c r="AO38" s="5"/>
      <c r="AP38" s="5"/>
      <c r="AQ38" s="8"/>
      <c r="AR38" s="8"/>
    </row>
  </sheetData>
  <phoneticPr fontId="3" type="noConversion"/>
  <pageMargins left="0.75" right="0.75" top="1" bottom="1" header="0.5" footer="0.5"/>
  <pageSetup orientation="portrait" horizontalDpi="1200"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9"/>
  <sheetViews>
    <sheetView topLeftCell="E1" workbookViewId="0">
      <selection activeCell="AD130" sqref="AD130:AE136"/>
    </sheetView>
  </sheetViews>
  <sheetFormatPr defaultColWidth="9.140625" defaultRowHeight="12.75" x14ac:dyDescent="0.2"/>
  <cols>
    <col min="1" max="3" width="9.140625" style="22"/>
    <col min="4" max="8" width="10.7109375" style="22" customWidth="1"/>
    <col min="9" max="16384" width="9.140625" style="22"/>
  </cols>
  <sheetData>
    <row r="1" spans="1:23" x14ac:dyDescent="0.2">
      <c r="E1" s="22" t="s">
        <v>31</v>
      </c>
      <c r="F1" s="22" t="s">
        <v>32</v>
      </c>
    </row>
    <row r="2" spans="1:23" ht="51" x14ac:dyDescent="0.2">
      <c r="B2" s="39" t="s">
        <v>34</v>
      </c>
      <c r="C2" s="39" t="s">
        <v>35</v>
      </c>
      <c r="D2" s="38" t="s">
        <v>26</v>
      </c>
      <c r="E2" s="39" t="s">
        <v>29</v>
      </c>
      <c r="F2" s="39" t="s">
        <v>29</v>
      </c>
      <c r="G2" s="39" t="s">
        <v>30</v>
      </c>
      <c r="H2" s="39" t="s">
        <v>33</v>
      </c>
      <c r="K2" s="67" t="s">
        <v>8</v>
      </c>
      <c r="L2" s="22" t="str">
        <f>+B2</f>
        <v>Base Forecast Net DSM</v>
      </c>
      <c r="M2" s="67" t="s">
        <v>75</v>
      </c>
      <c r="N2" s="67" t="s">
        <v>76</v>
      </c>
      <c r="O2" s="67" t="s">
        <v>86</v>
      </c>
      <c r="P2" s="67" t="s">
        <v>87</v>
      </c>
      <c r="Q2" s="67" t="s">
        <v>82</v>
      </c>
      <c r="R2" s="67" t="s">
        <v>83</v>
      </c>
      <c r="S2" s="67" t="s">
        <v>47</v>
      </c>
      <c r="T2" s="67" t="s">
        <v>29</v>
      </c>
      <c r="U2" s="67"/>
      <c r="V2" s="67"/>
    </row>
    <row r="3" spans="1:23" x14ac:dyDescent="0.2">
      <c r="A3" s="22">
        <f>+'Annual Cap Data'!D5</f>
        <v>2012</v>
      </c>
      <c r="B3" s="53">
        <f>+'Annual Cap Data'!G5</f>
        <v>81.513900000000021</v>
      </c>
      <c r="C3" s="53" t="e">
        <f>+'Annual Cap Data'!H5</f>
        <v>#N/A</v>
      </c>
      <c r="D3" s="54" t="e">
        <f>+'Annual Cap Data'!AC5</f>
        <v>#N/A</v>
      </c>
      <c r="E3" s="54" t="e">
        <f>+B3-D3</f>
        <v>#N/A</v>
      </c>
      <c r="F3" s="54" t="e">
        <f>+C3-D3</f>
        <v>#N/A</v>
      </c>
      <c r="G3" s="40" t="e">
        <f>+E3/B3</f>
        <v>#N/A</v>
      </c>
      <c r="H3" s="40" t="e">
        <f>#N/A</f>
        <v>#N/A</v>
      </c>
      <c r="J3" s="45"/>
      <c r="K3" s="22">
        <f>+A3</f>
        <v>2012</v>
      </c>
      <c r="L3" s="53">
        <f>+B3</f>
        <v>81.513900000000021</v>
      </c>
      <c r="M3" s="22">
        <f>+'Annual Cap Data'!O5+'Annual Cap Data'!P5</f>
        <v>5.3580000000000005</v>
      </c>
      <c r="N3" s="22">
        <f>+SUM('Annual Cap Data'!I5:M5)</f>
        <v>27.150166666666664</v>
      </c>
      <c r="O3" s="22">
        <f>+SUM('Annual Cap Data'!Q5,'Annual Cap Data'!S5,'Annual Cap Data'!AB5)</f>
        <v>3.9462861138999994</v>
      </c>
      <c r="P3" s="22">
        <f>+'Annual Cap Data'!T5+'Annual Cap Data'!U5</f>
        <v>3</v>
      </c>
      <c r="Q3" s="22">
        <f>+'Annual Cap Data'!V5</f>
        <v>0</v>
      </c>
      <c r="R3" s="22">
        <f>+'Annual Cap Data'!R5</f>
        <v>3.3590000000000013</v>
      </c>
      <c r="S3" s="22">
        <f>+'Annual Cap Data'!N5</f>
        <v>4.6869999999999994</v>
      </c>
      <c r="T3" s="53">
        <f>+L3-SUM(M3:S3)</f>
        <v>34.013447219433353</v>
      </c>
      <c r="W3" s="54" t="e">
        <f>+SUM(M3:S3)-D3</f>
        <v>#N/A</v>
      </c>
    </row>
    <row r="4" spans="1:23" x14ac:dyDescent="0.2">
      <c r="A4" s="22" t="e">
        <f>+'Annual Cap Data'!D6</f>
        <v>#N/A</v>
      </c>
      <c r="B4" s="53" t="e">
        <f>+'Annual Cap Data'!G6</f>
        <v>#N/A</v>
      </c>
      <c r="C4" s="53" t="e">
        <f>+'Annual Cap Data'!H6</f>
        <v>#N/A</v>
      </c>
      <c r="D4" s="54" t="e">
        <f>+'Annual Cap Data'!AC6</f>
        <v>#N/A</v>
      </c>
      <c r="E4" s="54" t="e">
        <f>#N/A</f>
        <v>#N/A</v>
      </c>
      <c r="F4" s="54" t="e">
        <f>#N/A</f>
        <v>#N/A</v>
      </c>
      <c r="G4" s="40" t="e">
        <f>#N/A</f>
        <v>#N/A</v>
      </c>
      <c r="H4" s="40" t="e">
        <f>#N/A</f>
        <v>#N/A</v>
      </c>
      <c r="J4" s="45"/>
      <c r="K4" s="22" t="e">
        <f>#N/A</f>
        <v>#N/A</v>
      </c>
      <c r="L4" s="53" t="e">
        <f>#N/A</f>
        <v>#N/A</v>
      </c>
      <c r="M4" s="22">
        <f>+'Annual Cap Data'!O6+'Annual Cap Data'!P6</f>
        <v>5.3580000000000005</v>
      </c>
      <c r="N4" s="22">
        <f>+SUM('Annual Cap Data'!I6:M6)</f>
        <v>6.2110000000000003</v>
      </c>
      <c r="O4" s="22">
        <f>+SUM('Annual Cap Data'!Q6,'Annual Cap Data'!S6,'Annual Cap Data'!AB6)</f>
        <v>4.2670228106590056</v>
      </c>
      <c r="P4" s="22">
        <f>+'Annual Cap Data'!T6+'Annual Cap Data'!U6</f>
        <v>5.3999999999999995</v>
      </c>
      <c r="Q4" s="22">
        <f>+'Annual Cap Data'!V6</f>
        <v>0</v>
      </c>
      <c r="R4" s="22">
        <f>+'Annual Cap Data'!R6</f>
        <v>3.3590000000000013</v>
      </c>
      <c r="S4" s="22">
        <f>+'Annual Cap Data'!N6</f>
        <v>5.0637499999999998</v>
      </c>
      <c r="T4" s="53" t="e">
        <f>#N/A</f>
        <v>#N/A</v>
      </c>
      <c r="W4" s="54" t="e">
        <f>#N/A</f>
        <v>#N/A</v>
      </c>
    </row>
    <row r="5" spans="1:23" x14ac:dyDescent="0.2">
      <c r="A5" s="22" t="e">
        <f>+'Annual Cap Data'!D7</f>
        <v>#N/A</v>
      </c>
      <c r="B5" s="53" t="e">
        <f>+'Annual Cap Data'!G7</f>
        <v>#N/A</v>
      </c>
      <c r="C5" s="53" t="e">
        <f>+'Annual Cap Data'!H7</f>
        <v>#N/A</v>
      </c>
      <c r="D5" s="54" t="e">
        <f>+'Annual Cap Data'!AC7</f>
        <v>#N/A</v>
      </c>
      <c r="E5" s="54" t="e">
        <f>#N/A</f>
        <v>#N/A</v>
      </c>
      <c r="F5" s="54" t="e">
        <f>#N/A</f>
        <v>#N/A</v>
      </c>
      <c r="G5" s="40" t="e">
        <f>#N/A</f>
        <v>#N/A</v>
      </c>
      <c r="H5" s="40" t="e">
        <f>#N/A</f>
        <v>#N/A</v>
      </c>
      <c r="J5" s="45"/>
      <c r="K5" s="22" t="e">
        <f>#N/A</f>
        <v>#N/A</v>
      </c>
      <c r="L5" s="53" t="e">
        <f>#N/A</f>
        <v>#N/A</v>
      </c>
      <c r="M5" s="22">
        <f>+'Annual Cap Data'!O7+'Annual Cap Data'!P7</f>
        <v>5.3580000000000005</v>
      </c>
      <c r="N5" s="22">
        <f>+SUM('Annual Cap Data'!I7:M7)</f>
        <v>6.2110000000000003</v>
      </c>
      <c r="O5" s="22">
        <f>+SUM('Annual Cap Data'!Q7,'Annual Cap Data'!S7,'Annual Cap Data'!AB7)</f>
        <v>4.8601696342069891</v>
      </c>
      <c r="P5" s="22">
        <f>+'Annual Cap Data'!T7+'Annual Cap Data'!U7</f>
        <v>5.7168979591836724</v>
      </c>
      <c r="Q5" s="22">
        <f>+'Annual Cap Data'!V7</f>
        <v>0</v>
      </c>
      <c r="R5" s="22">
        <f>+'Annual Cap Data'!R7</f>
        <v>3.3590000000000013</v>
      </c>
      <c r="S5" s="22">
        <f>+'Annual Cap Data'!N7</f>
        <v>5.0649999999999995</v>
      </c>
      <c r="T5" s="53" t="e">
        <f>#N/A</f>
        <v>#N/A</v>
      </c>
      <c r="W5" s="54" t="e">
        <f>#N/A</f>
        <v>#N/A</v>
      </c>
    </row>
    <row r="6" spans="1:23" x14ac:dyDescent="0.2">
      <c r="A6" s="22" t="e">
        <f>+'Annual Cap Data'!D8</f>
        <v>#N/A</v>
      </c>
      <c r="B6" s="53" t="e">
        <f>+'Annual Cap Data'!G8</f>
        <v>#N/A</v>
      </c>
      <c r="C6" s="53" t="e">
        <f>+'Annual Cap Data'!H8</f>
        <v>#N/A</v>
      </c>
      <c r="D6" s="54" t="e">
        <f>+'Annual Cap Data'!AC8</f>
        <v>#N/A</v>
      </c>
      <c r="E6" s="54" t="e">
        <f>#N/A</f>
        <v>#N/A</v>
      </c>
      <c r="F6" s="54" t="e">
        <f>#N/A</f>
        <v>#N/A</v>
      </c>
      <c r="G6" s="40" t="e">
        <f>#N/A</f>
        <v>#N/A</v>
      </c>
      <c r="H6" s="40" t="e">
        <f>#N/A</f>
        <v>#N/A</v>
      </c>
      <c r="J6" s="45"/>
      <c r="K6" s="22" t="e">
        <f>#N/A</f>
        <v>#N/A</v>
      </c>
      <c r="L6" s="53" t="e">
        <f>#N/A</f>
        <v>#N/A</v>
      </c>
      <c r="M6" s="22">
        <f>+'Annual Cap Data'!O8+'Annual Cap Data'!P8</f>
        <v>5.3580000000000005</v>
      </c>
      <c r="N6" s="22">
        <f>+SUM('Annual Cap Data'!I8:M8)</f>
        <v>6.1210000000000004</v>
      </c>
      <c r="O6" s="22">
        <f>+SUM('Annual Cap Data'!Q8,'Annual Cap Data'!S8,'Annual Cap Data'!AB8)</f>
        <v>5.2874221072553755</v>
      </c>
      <c r="P6" s="22">
        <f>+'Annual Cap Data'!T8+'Annual Cap Data'!U8</f>
        <v>6.0093544973544972</v>
      </c>
      <c r="Q6" s="22" t="e">
        <f>+'Annual Cap Data'!V8</f>
        <v>#N/A</v>
      </c>
      <c r="R6" s="22">
        <f>+'Annual Cap Data'!R8</f>
        <v>3.3590000000000013</v>
      </c>
      <c r="S6" s="22">
        <f>+'Annual Cap Data'!N8</f>
        <v>5.0649999999999995</v>
      </c>
      <c r="T6" s="53" t="e">
        <f>#N/A</f>
        <v>#N/A</v>
      </c>
      <c r="W6" s="54" t="e">
        <f>#N/A</f>
        <v>#N/A</v>
      </c>
    </row>
    <row r="7" spans="1:23" x14ac:dyDescent="0.2">
      <c r="A7" s="22" t="e">
        <f>+'Annual Cap Data'!D9</f>
        <v>#N/A</v>
      </c>
      <c r="B7" s="53" t="e">
        <f>+'Annual Cap Data'!G9</f>
        <v>#N/A</v>
      </c>
      <c r="C7" s="53" t="e">
        <f>+'Annual Cap Data'!H9</f>
        <v>#N/A</v>
      </c>
      <c r="D7" s="54" t="e">
        <f>+'Annual Cap Data'!AC9</f>
        <v>#N/A</v>
      </c>
      <c r="E7" s="54" t="e">
        <f>#N/A</f>
        <v>#N/A</v>
      </c>
      <c r="F7" s="54" t="e">
        <f>#N/A</f>
        <v>#N/A</v>
      </c>
      <c r="G7" s="40" t="e">
        <f>#N/A</f>
        <v>#N/A</v>
      </c>
      <c r="H7" s="40" t="e">
        <f>#N/A</f>
        <v>#N/A</v>
      </c>
      <c r="J7" s="45"/>
      <c r="K7" s="22" t="e">
        <f>#N/A</f>
        <v>#N/A</v>
      </c>
      <c r="L7" s="53" t="e">
        <f>#N/A</f>
        <v>#N/A</v>
      </c>
      <c r="M7" s="22">
        <f>+'Annual Cap Data'!O9+'Annual Cap Data'!P9</f>
        <v>5.3580000000000005</v>
      </c>
      <c r="N7" s="22">
        <f>+SUM('Annual Cap Data'!I9:M9)</f>
        <v>5.6710000000000003</v>
      </c>
      <c r="O7" s="22">
        <f>+SUM('Annual Cap Data'!Q9,'Annual Cap Data'!S9,'Annual Cap Data'!AB9)</f>
        <v>4.934285409522043</v>
      </c>
      <c r="P7" s="22">
        <f>+'Annual Cap Data'!T9+'Annual Cap Data'!U9</f>
        <v>6.0093544973544972</v>
      </c>
      <c r="Q7" s="22" t="e">
        <f>+'Annual Cap Data'!V9</f>
        <v>#N/A</v>
      </c>
      <c r="R7" s="22">
        <f>+'Annual Cap Data'!R9</f>
        <v>3.3590000000000013</v>
      </c>
      <c r="S7" s="22">
        <f>+'Annual Cap Data'!N9</f>
        <v>5.0649999999999995</v>
      </c>
      <c r="T7" s="53" t="e">
        <f>#N/A</f>
        <v>#N/A</v>
      </c>
      <c r="W7" s="54" t="e">
        <f>#N/A</f>
        <v>#N/A</v>
      </c>
    </row>
    <row r="8" spans="1:23" x14ac:dyDescent="0.2">
      <c r="A8" s="22" t="e">
        <f>+'Annual Cap Data'!D10</f>
        <v>#N/A</v>
      </c>
      <c r="B8" s="53" t="e">
        <f>+'Annual Cap Data'!G10</f>
        <v>#N/A</v>
      </c>
      <c r="C8" s="53" t="e">
        <f>+'Annual Cap Data'!H10</f>
        <v>#N/A</v>
      </c>
      <c r="D8" s="54" t="e">
        <f>+'Annual Cap Data'!AC10</f>
        <v>#N/A</v>
      </c>
      <c r="E8" s="54" t="e">
        <f>#N/A</f>
        <v>#N/A</v>
      </c>
      <c r="F8" s="54" t="e">
        <f>#N/A</f>
        <v>#N/A</v>
      </c>
      <c r="G8" s="40" t="e">
        <f>#N/A</f>
        <v>#N/A</v>
      </c>
      <c r="H8" s="40" t="e">
        <f>#N/A</f>
        <v>#N/A</v>
      </c>
      <c r="J8" s="45"/>
      <c r="K8" s="22" t="e">
        <f>#N/A</f>
        <v>#N/A</v>
      </c>
      <c r="L8" s="53" t="e">
        <f>#N/A</f>
        <v>#N/A</v>
      </c>
      <c r="M8" s="22">
        <f>+'Annual Cap Data'!O10+'Annual Cap Data'!P10</f>
        <v>5.3580000000000005</v>
      </c>
      <c r="N8" s="22">
        <f>+SUM('Annual Cap Data'!I10:M10)</f>
        <v>5.6710000000000003</v>
      </c>
      <c r="O8" s="22">
        <f>+SUM('Annual Cap Data'!Q10,'Annual Cap Data'!S10,'Annual Cap Data'!AB10)</f>
        <v>4.8428157448970426</v>
      </c>
      <c r="P8" s="22">
        <f>+'Annual Cap Data'!T10+'Annual Cap Data'!U10</f>
        <v>6.0093544973544972</v>
      </c>
      <c r="Q8" s="22" t="e">
        <f>+'Annual Cap Data'!V10</f>
        <v>#N/A</v>
      </c>
      <c r="R8" s="22">
        <f>+'Annual Cap Data'!R10</f>
        <v>3.3590000000000013</v>
      </c>
      <c r="S8" s="22">
        <f>+'Annual Cap Data'!N10</f>
        <v>5.0649999999999995</v>
      </c>
      <c r="T8" s="53" t="e">
        <f>#N/A</f>
        <v>#N/A</v>
      </c>
      <c r="W8" s="54" t="e">
        <f>#N/A</f>
        <v>#N/A</v>
      </c>
    </row>
    <row r="9" spans="1:23" x14ac:dyDescent="0.2">
      <c r="A9" s="22" t="e">
        <f>+'Annual Cap Data'!D11</f>
        <v>#N/A</v>
      </c>
      <c r="B9" s="53" t="e">
        <f>+'Annual Cap Data'!G11</f>
        <v>#N/A</v>
      </c>
      <c r="C9" s="53" t="e">
        <f>+'Annual Cap Data'!H11</f>
        <v>#N/A</v>
      </c>
      <c r="D9" s="54" t="e">
        <f>+'Annual Cap Data'!AC11</f>
        <v>#N/A</v>
      </c>
      <c r="E9" s="54" t="e">
        <f>#N/A</f>
        <v>#N/A</v>
      </c>
      <c r="F9" s="54" t="e">
        <f>#N/A</f>
        <v>#N/A</v>
      </c>
      <c r="G9" s="40" t="e">
        <f>#N/A</f>
        <v>#N/A</v>
      </c>
      <c r="H9" s="40" t="e">
        <f>#N/A</f>
        <v>#N/A</v>
      </c>
      <c r="J9" s="45"/>
      <c r="K9" s="22" t="e">
        <f>#N/A</f>
        <v>#N/A</v>
      </c>
      <c r="L9" s="53" t="e">
        <f>#N/A</f>
        <v>#N/A</v>
      </c>
      <c r="M9" s="22">
        <f>+'Annual Cap Data'!O11+'Annual Cap Data'!P11</f>
        <v>5.3580000000000005</v>
      </c>
      <c r="N9" s="22">
        <f>+SUM('Annual Cap Data'!I11:M11)</f>
        <v>5.6710000000000003</v>
      </c>
      <c r="O9" s="22">
        <f>+SUM('Annual Cap Data'!Q11,'Annual Cap Data'!S11,'Annual Cap Data'!AB11)</f>
        <v>4.331532193972043</v>
      </c>
      <c r="P9" s="22">
        <f>+'Annual Cap Data'!T11+'Annual Cap Data'!U11</f>
        <v>6.0093544973544972</v>
      </c>
      <c r="Q9" s="22" t="e">
        <f>+'Annual Cap Data'!V11</f>
        <v>#N/A</v>
      </c>
      <c r="R9" s="22">
        <f>+'Annual Cap Data'!R11</f>
        <v>3.3590000000000013</v>
      </c>
      <c r="S9" s="22">
        <f>+'Annual Cap Data'!N11</f>
        <v>5.0649999999999995</v>
      </c>
      <c r="T9" s="53" t="e">
        <f>#N/A</f>
        <v>#N/A</v>
      </c>
      <c r="W9" s="54" t="e">
        <f>#N/A</f>
        <v>#N/A</v>
      </c>
    </row>
    <row r="10" spans="1:23" x14ac:dyDescent="0.2">
      <c r="A10" s="22" t="e">
        <f>+'Annual Cap Data'!D12</f>
        <v>#N/A</v>
      </c>
      <c r="B10" s="53" t="e">
        <f>+'Annual Cap Data'!G12</f>
        <v>#N/A</v>
      </c>
      <c r="C10" s="53" t="e">
        <f>+'Annual Cap Data'!H12</f>
        <v>#N/A</v>
      </c>
      <c r="D10" s="54" t="e">
        <f>+'Annual Cap Data'!AC12</f>
        <v>#N/A</v>
      </c>
      <c r="E10" s="54" t="e">
        <f>#N/A</f>
        <v>#N/A</v>
      </c>
      <c r="F10" s="54" t="e">
        <f>#N/A</f>
        <v>#N/A</v>
      </c>
      <c r="G10" s="40" t="e">
        <f>#N/A</f>
        <v>#N/A</v>
      </c>
      <c r="H10" s="40" t="e">
        <f>#N/A</f>
        <v>#N/A</v>
      </c>
      <c r="J10" s="45"/>
      <c r="K10" s="22" t="e">
        <f>#N/A</f>
        <v>#N/A</v>
      </c>
      <c r="L10" s="53" t="e">
        <f>#N/A</f>
        <v>#N/A</v>
      </c>
      <c r="M10" s="22">
        <f>+'Annual Cap Data'!O12+'Annual Cap Data'!P12</f>
        <v>5.3580000000000005</v>
      </c>
      <c r="N10" s="22">
        <f>+SUM('Annual Cap Data'!I12:M12)</f>
        <v>5.6710000000000003</v>
      </c>
      <c r="O10" s="22">
        <f>+SUM('Annual Cap Data'!Q12,'Annual Cap Data'!S12,'Annual Cap Data'!AB12)</f>
        <v>4.0210440356553763</v>
      </c>
      <c r="P10" s="22">
        <f>+'Annual Cap Data'!T12+'Annual Cap Data'!U12</f>
        <v>6.0093544973544972</v>
      </c>
      <c r="Q10" s="22" t="e">
        <f>+'Annual Cap Data'!V12</f>
        <v>#N/A</v>
      </c>
      <c r="R10" s="22">
        <f>+'Annual Cap Data'!R12</f>
        <v>3.3590000000000013</v>
      </c>
      <c r="S10" s="22">
        <f>+'Annual Cap Data'!N12</f>
        <v>5.0649999999999995</v>
      </c>
      <c r="T10" s="53" t="e">
        <f>#N/A</f>
        <v>#N/A</v>
      </c>
      <c r="W10" s="54" t="e">
        <f>#N/A</f>
        <v>#N/A</v>
      </c>
    </row>
    <row r="11" spans="1:23" x14ac:dyDescent="0.2">
      <c r="A11" s="22" t="e">
        <f>+'Annual Cap Data'!D13</f>
        <v>#N/A</v>
      </c>
      <c r="B11" s="53" t="e">
        <f>+'Annual Cap Data'!G13</f>
        <v>#N/A</v>
      </c>
      <c r="C11" s="53" t="e">
        <f>+'Annual Cap Data'!H13</f>
        <v>#N/A</v>
      </c>
      <c r="D11" s="54" t="e">
        <f>+'Annual Cap Data'!AC13</f>
        <v>#N/A</v>
      </c>
      <c r="E11" s="54" t="e">
        <f>#N/A</f>
        <v>#N/A</v>
      </c>
      <c r="F11" s="54" t="e">
        <f>#N/A</f>
        <v>#N/A</v>
      </c>
      <c r="G11" s="40" t="e">
        <f>#N/A</f>
        <v>#N/A</v>
      </c>
      <c r="H11" s="40" t="e">
        <f>#N/A</f>
        <v>#N/A</v>
      </c>
      <c r="J11" s="45"/>
      <c r="K11" s="22" t="e">
        <f>#N/A</f>
        <v>#N/A</v>
      </c>
      <c r="L11" s="53" t="e">
        <f>#N/A</f>
        <v>#N/A</v>
      </c>
      <c r="M11" s="22">
        <f>+'Annual Cap Data'!O13+'Annual Cap Data'!P13</f>
        <v>5.3580000000000005</v>
      </c>
      <c r="N11" s="22">
        <f>+SUM('Annual Cap Data'!I13:M13)</f>
        <v>5.6710000000000003</v>
      </c>
      <c r="O11" s="22">
        <f>+SUM('Annual Cap Data'!Q13,'Annual Cap Data'!S13,'Annual Cap Data'!AB13)</f>
        <v>4.009376099555376</v>
      </c>
      <c r="P11" s="22">
        <f>+'Annual Cap Data'!T13+'Annual Cap Data'!U13</f>
        <v>6.0093544973544972</v>
      </c>
      <c r="Q11" s="22" t="e">
        <f>+'Annual Cap Data'!V13</f>
        <v>#N/A</v>
      </c>
      <c r="R11" s="22">
        <f>+'Annual Cap Data'!R13</f>
        <v>3.3590000000000013</v>
      </c>
      <c r="S11" s="22">
        <f>+'Annual Cap Data'!N13</f>
        <v>5.0649999999999995</v>
      </c>
      <c r="T11" s="53" t="e">
        <f>#N/A</f>
        <v>#N/A</v>
      </c>
      <c r="W11" s="54" t="e">
        <f>#N/A</f>
        <v>#N/A</v>
      </c>
    </row>
    <row r="12" spans="1:23" x14ac:dyDescent="0.2">
      <c r="A12" s="22" t="e">
        <f>+'Annual Cap Data'!D14</f>
        <v>#N/A</v>
      </c>
      <c r="B12" s="53" t="e">
        <f>+'Annual Cap Data'!G14</f>
        <v>#N/A</v>
      </c>
      <c r="C12" s="53" t="e">
        <f>+'Annual Cap Data'!H14</f>
        <v>#N/A</v>
      </c>
      <c r="D12" s="54" t="e">
        <f>+'Annual Cap Data'!AC14</f>
        <v>#N/A</v>
      </c>
      <c r="E12" s="54" t="e">
        <f>#N/A</f>
        <v>#N/A</v>
      </c>
      <c r="F12" s="54" t="e">
        <f>#N/A</f>
        <v>#N/A</v>
      </c>
      <c r="G12" s="40" t="e">
        <f>#N/A</f>
        <v>#N/A</v>
      </c>
      <c r="H12" s="40" t="e">
        <f>#N/A</f>
        <v>#N/A</v>
      </c>
      <c r="J12" s="45"/>
      <c r="K12" s="22" t="e">
        <f>#N/A</f>
        <v>#N/A</v>
      </c>
      <c r="L12" s="53" t="e">
        <f>#N/A</f>
        <v>#N/A</v>
      </c>
      <c r="M12" s="22">
        <f>+'Annual Cap Data'!O14+'Annual Cap Data'!P14</f>
        <v>5.3580000000000005</v>
      </c>
      <c r="N12" s="22">
        <f>+SUM('Annual Cap Data'!I14:M14)</f>
        <v>0</v>
      </c>
      <c r="O12" s="22">
        <f>+SUM('Annual Cap Data'!Q14,'Annual Cap Data'!S14,'Annual Cap Data'!AB14)</f>
        <v>3.6805360549887096</v>
      </c>
      <c r="P12" s="22">
        <f>+'Annual Cap Data'!T14+'Annual Cap Data'!U14</f>
        <v>5.8149100529100526</v>
      </c>
      <c r="Q12" s="22" t="e">
        <f>+'Annual Cap Data'!V14</f>
        <v>#N/A</v>
      </c>
      <c r="R12" s="22">
        <f>+'Annual Cap Data'!R14</f>
        <v>3.3590000000000013</v>
      </c>
      <c r="S12" s="22">
        <f>+'Annual Cap Data'!N14</f>
        <v>5.0649999999999995</v>
      </c>
      <c r="T12" s="53" t="e">
        <f>#N/A</f>
        <v>#N/A</v>
      </c>
      <c r="W12" s="54" t="e">
        <f>#N/A</f>
        <v>#N/A</v>
      </c>
    </row>
    <row r="13" spans="1:23" x14ac:dyDescent="0.2">
      <c r="A13" s="22" t="e">
        <f>+'Annual Cap Data'!D15</f>
        <v>#N/A</v>
      </c>
      <c r="B13" s="53" t="e">
        <f>+'Annual Cap Data'!G15</f>
        <v>#N/A</v>
      </c>
      <c r="C13" s="53" t="e">
        <f>+'Annual Cap Data'!H15</f>
        <v>#N/A</v>
      </c>
      <c r="D13" s="54" t="e">
        <f>+'Annual Cap Data'!AC15</f>
        <v>#N/A</v>
      </c>
      <c r="E13" s="54" t="e">
        <f>#N/A</f>
        <v>#N/A</v>
      </c>
      <c r="F13" s="54" t="e">
        <f>#N/A</f>
        <v>#N/A</v>
      </c>
      <c r="G13" s="40" t="e">
        <f>#N/A</f>
        <v>#N/A</v>
      </c>
      <c r="H13" s="40" t="e">
        <f>#N/A</f>
        <v>#N/A</v>
      </c>
      <c r="J13" s="45"/>
      <c r="K13" s="22" t="e">
        <f>#N/A</f>
        <v>#N/A</v>
      </c>
      <c r="L13" s="53" t="e">
        <f>#N/A</f>
        <v>#N/A</v>
      </c>
      <c r="M13" s="22">
        <f>+'Annual Cap Data'!O15+'Annual Cap Data'!P15</f>
        <v>5.3580000000000005</v>
      </c>
      <c r="N13" s="22">
        <f>+SUM('Annual Cap Data'!I15:M15)</f>
        <v>0</v>
      </c>
      <c r="O13" s="22">
        <f>+SUM('Annual Cap Data'!Q15,'Annual Cap Data'!S15,'Annual Cap Data'!AB15)</f>
        <v>4.0327197424887089</v>
      </c>
      <c r="P13" s="22" t="e">
        <f>+'Annual Cap Data'!T15+'Annual Cap Data'!U15</f>
        <v>#N/A</v>
      </c>
      <c r="Q13" s="22" t="e">
        <f>+'Annual Cap Data'!V15</f>
        <v>#N/A</v>
      </c>
      <c r="R13" s="22">
        <f>+'Annual Cap Data'!R15</f>
        <v>3.3590000000000013</v>
      </c>
      <c r="S13" s="22">
        <f>+'Annual Cap Data'!N15</f>
        <v>5.0649999999999995</v>
      </c>
      <c r="T13" s="53" t="e">
        <f>#N/A</f>
        <v>#N/A</v>
      </c>
      <c r="W13" s="54" t="e">
        <f>#N/A</f>
        <v>#N/A</v>
      </c>
    </row>
    <row r="14" spans="1:23" x14ac:dyDescent="0.2">
      <c r="A14" s="22" t="e">
        <f>+'Annual Cap Data'!D16</f>
        <v>#N/A</v>
      </c>
      <c r="B14" s="53" t="e">
        <f>+'Annual Cap Data'!G16</f>
        <v>#N/A</v>
      </c>
      <c r="C14" s="53" t="e">
        <f>+'Annual Cap Data'!H16</f>
        <v>#N/A</v>
      </c>
      <c r="D14" s="54" t="e">
        <f>+'Annual Cap Data'!AC16</f>
        <v>#N/A</v>
      </c>
      <c r="E14" s="54" t="e">
        <f>#N/A</f>
        <v>#N/A</v>
      </c>
      <c r="F14" s="54" t="e">
        <f>#N/A</f>
        <v>#N/A</v>
      </c>
      <c r="G14" s="40" t="e">
        <f>#N/A</f>
        <v>#N/A</v>
      </c>
      <c r="H14" s="40" t="e">
        <f>#N/A</f>
        <v>#N/A</v>
      </c>
      <c r="J14" s="45"/>
      <c r="K14" s="22" t="e">
        <f>#N/A</f>
        <v>#N/A</v>
      </c>
      <c r="L14" s="53" t="e">
        <f>#N/A</f>
        <v>#N/A</v>
      </c>
      <c r="M14" s="22">
        <f>+'Annual Cap Data'!O16+'Annual Cap Data'!P16</f>
        <v>5.3580000000000005</v>
      </c>
      <c r="N14" s="22">
        <f>+SUM('Annual Cap Data'!I16:M16)</f>
        <v>0</v>
      </c>
      <c r="O14" s="22">
        <f>+SUM('Annual Cap Data'!Q16,'Annual Cap Data'!S16,'Annual Cap Data'!AB16)</f>
        <v>4.0327197424887089</v>
      </c>
      <c r="P14" s="22" t="e">
        <f>+'Annual Cap Data'!T16+'Annual Cap Data'!U16</f>
        <v>#N/A</v>
      </c>
      <c r="Q14" s="22" t="e">
        <f>+'Annual Cap Data'!V16</f>
        <v>#N/A</v>
      </c>
      <c r="R14" s="22">
        <f>+'Annual Cap Data'!R16</f>
        <v>3.3590000000000013</v>
      </c>
      <c r="S14" s="22">
        <f>+'Annual Cap Data'!N16</f>
        <v>5.0649999999999995</v>
      </c>
      <c r="T14" s="53" t="e">
        <f>#N/A</f>
        <v>#N/A</v>
      </c>
      <c r="W14" s="54" t="e">
        <f>#N/A</f>
        <v>#N/A</v>
      </c>
    </row>
    <row r="15" spans="1:23" x14ac:dyDescent="0.2">
      <c r="A15" s="22" t="e">
        <f>+'Annual Cap Data'!D17</f>
        <v>#N/A</v>
      </c>
      <c r="B15" s="53" t="e">
        <f>+'Annual Cap Data'!G17</f>
        <v>#N/A</v>
      </c>
      <c r="C15" s="53" t="e">
        <f>+'Annual Cap Data'!H17</f>
        <v>#N/A</v>
      </c>
      <c r="D15" s="54" t="e">
        <f>+'Annual Cap Data'!AC17</f>
        <v>#N/A</v>
      </c>
      <c r="E15" s="54" t="e">
        <f>#N/A</f>
        <v>#N/A</v>
      </c>
      <c r="F15" s="54" t="e">
        <f>#N/A</f>
        <v>#N/A</v>
      </c>
      <c r="G15" s="40" t="e">
        <f>#N/A</f>
        <v>#N/A</v>
      </c>
      <c r="H15" s="40" t="e">
        <f>#N/A</f>
        <v>#N/A</v>
      </c>
      <c r="J15" s="45"/>
      <c r="K15" s="22" t="e">
        <f>#N/A</f>
        <v>#N/A</v>
      </c>
      <c r="L15" s="53" t="e">
        <f>#N/A</f>
        <v>#N/A</v>
      </c>
      <c r="M15" s="22">
        <f>+'Annual Cap Data'!O17+'Annual Cap Data'!P17</f>
        <v>5.3580000000000005</v>
      </c>
      <c r="N15" s="22">
        <f>+SUM('Annual Cap Data'!I17:M17)</f>
        <v>0</v>
      </c>
      <c r="O15" s="22">
        <f>+SUM('Annual Cap Data'!Q17,'Annual Cap Data'!S17,'Annual Cap Data'!AB17)</f>
        <v>4.0327197424887089</v>
      </c>
      <c r="P15" s="22" t="e">
        <f>+'Annual Cap Data'!T17+'Annual Cap Data'!U17</f>
        <v>#N/A</v>
      </c>
      <c r="Q15" s="22" t="e">
        <f>+'Annual Cap Data'!V17</f>
        <v>#N/A</v>
      </c>
      <c r="R15" s="22">
        <f>+'Annual Cap Data'!R17</f>
        <v>3.3590000000000013</v>
      </c>
      <c r="S15" s="22">
        <f>+'Annual Cap Data'!N17</f>
        <v>5.0649999999999995</v>
      </c>
      <c r="T15" s="53" t="e">
        <f>#N/A</f>
        <v>#N/A</v>
      </c>
      <c r="W15" s="54" t="e">
        <f>#N/A</f>
        <v>#N/A</v>
      </c>
    </row>
    <row r="16" spans="1:23" x14ac:dyDescent="0.2">
      <c r="A16" s="22" t="e">
        <f>+'Annual Cap Data'!D18</f>
        <v>#N/A</v>
      </c>
      <c r="B16" s="53" t="e">
        <f>+'Annual Cap Data'!G18</f>
        <v>#N/A</v>
      </c>
      <c r="C16" s="53" t="e">
        <f>+'Annual Cap Data'!H18</f>
        <v>#N/A</v>
      </c>
      <c r="D16" s="54" t="e">
        <f>+'Annual Cap Data'!AC18</f>
        <v>#N/A</v>
      </c>
      <c r="E16" s="54" t="e">
        <f>#N/A</f>
        <v>#N/A</v>
      </c>
      <c r="F16" s="54" t="e">
        <f>#N/A</f>
        <v>#N/A</v>
      </c>
      <c r="G16" s="40" t="e">
        <f>#N/A</f>
        <v>#N/A</v>
      </c>
      <c r="H16" s="40" t="e">
        <f>#N/A</f>
        <v>#N/A</v>
      </c>
      <c r="J16" s="45"/>
      <c r="K16" s="22" t="e">
        <f>#N/A</f>
        <v>#N/A</v>
      </c>
      <c r="L16" s="53" t="e">
        <f>#N/A</f>
        <v>#N/A</v>
      </c>
      <c r="M16" s="22">
        <f>+'Annual Cap Data'!O18+'Annual Cap Data'!P18</f>
        <v>5.3580000000000005</v>
      </c>
      <c r="N16" s="22">
        <f>+SUM('Annual Cap Data'!I18:M18)</f>
        <v>0</v>
      </c>
      <c r="O16" s="22">
        <f>+SUM('Annual Cap Data'!Q18,'Annual Cap Data'!S18,'Annual Cap Data'!AB18)</f>
        <v>3.6805360549887096</v>
      </c>
      <c r="P16" s="22" t="e">
        <f>+'Annual Cap Data'!T18+'Annual Cap Data'!U18</f>
        <v>#N/A</v>
      </c>
      <c r="Q16" s="22" t="e">
        <f>+'Annual Cap Data'!V18</f>
        <v>#N/A</v>
      </c>
      <c r="R16" s="22">
        <f>+'Annual Cap Data'!R18</f>
        <v>3.3590000000000013</v>
      </c>
      <c r="S16" s="22">
        <f>+'Annual Cap Data'!N18</f>
        <v>5.0649999999999995</v>
      </c>
      <c r="T16" s="53" t="e">
        <f>#N/A</f>
        <v>#N/A</v>
      </c>
      <c r="W16" s="54" t="e">
        <f>#N/A</f>
        <v>#N/A</v>
      </c>
    </row>
    <row r="17" spans="1:23" x14ac:dyDescent="0.2">
      <c r="A17" s="22" t="e">
        <f>+'Annual Cap Data'!D19</f>
        <v>#N/A</v>
      </c>
      <c r="B17" s="53" t="e">
        <f>+'Annual Cap Data'!G19</f>
        <v>#N/A</v>
      </c>
      <c r="C17" s="53" t="e">
        <f>+'Annual Cap Data'!H19</f>
        <v>#N/A</v>
      </c>
      <c r="D17" s="54" t="e">
        <f>+'Annual Cap Data'!AC19</f>
        <v>#N/A</v>
      </c>
      <c r="E17" s="54" t="e">
        <f>#N/A</f>
        <v>#N/A</v>
      </c>
      <c r="F17" s="54" t="e">
        <f>#N/A</f>
        <v>#N/A</v>
      </c>
      <c r="G17" s="40" t="e">
        <f>#N/A</f>
        <v>#N/A</v>
      </c>
      <c r="H17" s="40" t="e">
        <f>#N/A</f>
        <v>#N/A</v>
      </c>
      <c r="J17" s="45"/>
      <c r="K17" s="22" t="e">
        <f>#N/A</f>
        <v>#N/A</v>
      </c>
      <c r="L17" s="53" t="e">
        <f>#N/A</f>
        <v>#N/A</v>
      </c>
      <c r="M17" s="22">
        <f>+'Annual Cap Data'!O19+'Annual Cap Data'!P19</f>
        <v>5.3580000000000005</v>
      </c>
      <c r="N17" s="22">
        <f>+SUM('Annual Cap Data'!I19:M19)</f>
        <v>0</v>
      </c>
      <c r="O17" s="22">
        <f>+SUM('Annual Cap Data'!Q19,'Annual Cap Data'!S19,'Annual Cap Data'!AB19)</f>
        <v>3.6805360549887096</v>
      </c>
      <c r="P17" s="22" t="e">
        <f>+'Annual Cap Data'!T19+'Annual Cap Data'!U19</f>
        <v>#N/A</v>
      </c>
      <c r="Q17" s="22" t="e">
        <f>+'Annual Cap Data'!V19</f>
        <v>#N/A</v>
      </c>
      <c r="R17" s="22">
        <f>+'Annual Cap Data'!R19</f>
        <v>3.3590000000000013</v>
      </c>
      <c r="S17" s="22">
        <f>+'Annual Cap Data'!N19</f>
        <v>5.0649999999999995</v>
      </c>
      <c r="T17" s="53" t="e">
        <f>#N/A</f>
        <v>#N/A</v>
      </c>
      <c r="W17" s="54" t="e">
        <f>#N/A</f>
        <v>#N/A</v>
      </c>
    </row>
    <row r="18" spans="1:23" x14ac:dyDescent="0.2">
      <c r="A18" s="22" t="e">
        <f>+'Annual Cap Data'!D20</f>
        <v>#N/A</v>
      </c>
      <c r="B18" s="53" t="e">
        <f>+'Annual Cap Data'!G20</f>
        <v>#N/A</v>
      </c>
      <c r="C18" s="53" t="e">
        <f>+'Annual Cap Data'!H20</f>
        <v>#N/A</v>
      </c>
      <c r="D18" s="54" t="e">
        <f>+'Annual Cap Data'!AC20</f>
        <v>#N/A</v>
      </c>
      <c r="E18" s="54" t="e">
        <f>#N/A</f>
        <v>#N/A</v>
      </c>
      <c r="F18" s="54" t="e">
        <f>#N/A</f>
        <v>#N/A</v>
      </c>
      <c r="G18" s="40" t="e">
        <f>#N/A</f>
        <v>#N/A</v>
      </c>
      <c r="H18" s="40" t="e">
        <f>#N/A</f>
        <v>#N/A</v>
      </c>
      <c r="J18" s="45"/>
      <c r="K18" s="22" t="e">
        <f>#N/A</f>
        <v>#N/A</v>
      </c>
      <c r="L18" s="53" t="e">
        <f>#N/A</f>
        <v>#N/A</v>
      </c>
      <c r="M18" s="22">
        <f>+'Annual Cap Data'!O20+'Annual Cap Data'!P20</f>
        <v>5.3580000000000005</v>
      </c>
      <c r="N18" s="22">
        <f>+SUM('Annual Cap Data'!I20:M20)</f>
        <v>0</v>
      </c>
      <c r="O18" s="22">
        <f>+SUM('Annual Cap Data'!Q20,'Annual Cap Data'!S20,'Annual Cap Data'!AB20)</f>
        <v>3.6805360549887096</v>
      </c>
      <c r="P18" s="22" t="e">
        <f>+'Annual Cap Data'!T20+'Annual Cap Data'!U20</f>
        <v>#N/A</v>
      </c>
      <c r="Q18" s="22" t="e">
        <f>+'Annual Cap Data'!V20</f>
        <v>#N/A</v>
      </c>
      <c r="R18" s="22">
        <f>+'Annual Cap Data'!R20</f>
        <v>3.3590000000000013</v>
      </c>
      <c r="S18" s="22">
        <f>+'Annual Cap Data'!N20</f>
        <v>5.0649999999999995</v>
      </c>
      <c r="T18" s="53" t="e">
        <f>#N/A</f>
        <v>#N/A</v>
      </c>
      <c r="W18" s="54" t="e">
        <f>#N/A</f>
        <v>#N/A</v>
      </c>
    </row>
    <row r="19" spans="1:23" x14ac:dyDescent="0.2">
      <c r="A19" s="22" t="e">
        <f>+'Annual Cap Data'!D21</f>
        <v>#N/A</v>
      </c>
      <c r="B19" s="53" t="e">
        <f>+'Annual Cap Data'!G21</f>
        <v>#N/A</v>
      </c>
      <c r="C19" s="53" t="e">
        <f>+'Annual Cap Data'!H21</f>
        <v>#N/A</v>
      </c>
      <c r="D19" s="54" t="e">
        <f>+'Annual Cap Data'!AC21</f>
        <v>#N/A</v>
      </c>
      <c r="E19" s="54" t="e">
        <f>#N/A</f>
        <v>#N/A</v>
      </c>
      <c r="F19" s="54" t="e">
        <f>#N/A</f>
        <v>#N/A</v>
      </c>
      <c r="G19" s="40" t="e">
        <f>#N/A</f>
        <v>#N/A</v>
      </c>
      <c r="H19" s="40" t="e">
        <f>#N/A</f>
        <v>#N/A</v>
      </c>
      <c r="J19" s="45"/>
      <c r="K19" s="22" t="e">
        <f>#N/A</f>
        <v>#N/A</v>
      </c>
      <c r="L19" s="53" t="e">
        <f>#N/A</f>
        <v>#N/A</v>
      </c>
      <c r="M19" s="22">
        <f>+'Annual Cap Data'!O21+'Annual Cap Data'!P21</f>
        <v>5.3580000000000005</v>
      </c>
      <c r="N19" s="22">
        <f>+SUM('Annual Cap Data'!I21:M21)</f>
        <v>0</v>
      </c>
      <c r="O19" s="22">
        <f>+SUM('Annual Cap Data'!Q21,'Annual Cap Data'!S21,'Annual Cap Data'!AB21)</f>
        <v>3.6805360549887096</v>
      </c>
      <c r="P19" s="22" t="e">
        <f>+'Annual Cap Data'!T21+'Annual Cap Data'!U21</f>
        <v>#N/A</v>
      </c>
      <c r="Q19" s="22" t="e">
        <f>+'Annual Cap Data'!V21</f>
        <v>#N/A</v>
      </c>
      <c r="R19" s="22">
        <f>+'Annual Cap Data'!R21</f>
        <v>3.3590000000000013</v>
      </c>
      <c r="S19" s="22">
        <f>+'Annual Cap Data'!N21</f>
        <v>5.0649999999999995</v>
      </c>
      <c r="T19" s="53" t="e">
        <f>#N/A</f>
        <v>#N/A</v>
      </c>
      <c r="W19" s="54" t="e">
        <f>#N/A</f>
        <v>#N/A</v>
      </c>
    </row>
    <row r="20" spans="1:23" x14ac:dyDescent="0.2">
      <c r="A20" s="22" t="e">
        <f>+'Annual Cap Data'!D22</f>
        <v>#N/A</v>
      </c>
      <c r="B20" s="53" t="e">
        <f>+'Annual Cap Data'!G22</f>
        <v>#N/A</v>
      </c>
      <c r="C20" s="53" t="e">
        <f>+'Annual Cap Data'!H22</f>
        <v>#N/A</v>
      </c>
      <c r="D20" s="54" t="e">
        <f>+'Annual Cap Data'!AC22</f>
        <v>#N/A</v>
      </c>
      <c r="E20" s="54" t="e">
        <f>#N/A</f>
        <v>#N/A</v>
      </c>
      <c r="F20" s="54" t="e">
        <f>#N/A</f>
        <v>#N/A</v>
      </c>
      <c r="G20" s="40" t="e">
        <f>#N/A</f>
        <v>#N/A</v>
      </c>
      <c r="H20" s="40" t="e">
        <f>#N/A</f>
        <v>#N/A</v>
      </c>
      <c r="J20" s="45"/>
      <c r="K20" s="22" t="e">
        <f>#N/A</f>
        <v>#N/A</v>
      </c>
      <c r="L20" s="53" t="e">
        <f>#N/A</f>
        <v>#N/A</v>
      </c>
      <c r="M20" s="22">
        <f>+'Annual Cap Data'!O22+'Annual Cap Data'!P22</f>
        <v>5.3580000000000005</v>
      </c>
      <c r="N20" s="22">
        <f>+SUM('Annual Cap Data'!I22:M22)</f>
        <v>0</v>
      </c>
      <c r="O20" s="22">
        <f>+SUM('Annual Cap Data'!Q22,'Annual Cap Data'!S22,'Annual Cap Data'!AB22)</f>
        <v>3.6805360549887096</v>
      </c>
      <c r="P20" s="22" t="e">
        <f>+'Annual Cap Data'!T22+'Annual Cap Data'!U22</f>
        <v>#N/A</v>
      </c>
      <c r="Q20" s="22" t="e">
        <f>+'Annual Cap Data'!V22</f>
        <v>#N/A</v>
      </c>
      <c r="R20" s="22">
        <f>+'Annual Cap Data'!R22</f>
        <v>3.3590000000000013</v>
      </c>
      <c r="S20" s="22">
        <f>+'Annual Cap Data'!N22</f>
        <v>5.0649999999999995</v>
      </c>
      <c r="T20" s="53" t="e">
        <f>#N/A</f>
        <v>#N/A</v>
      </c>
      <c r="W20" s="54" t="e">
        <f>#N/A</f>
        <v>#N/A</v>
      </c>
    </row>
    <row r="21" spans="1:23" x14ac:dyDescent="0.2">
      <c r="A21" s="22" t="e">
        <f>+'Annual Cap Data'!D23</f>
        <v>#N/A</v>
      </c>
      <c r="B21" s="53" t="e">
        <f>+'Annual Cap Data'!G23</f>
        <v>#N/A</v>
      </c>
      <c r="C21" s="53" t="e">
        <f>+'Annual Cap Data'!H23</f>
        <v>#N/A</v>
      </c>
      <c r="D21" s="54" t="e">
        <f>+'Annual Cap Data'!AC23</f>
        <v>#N/A</v>
      </c>
      <c r="E21" s="54" t="e">
        <f>#N/A</f>
        <v>#N/A</v>
      </c>
      <c r="F21" s="54" t="e">
        <f>#N/A</f>
        <v>#N/A</v>
      </c>
      <c r="G21" s="40" t="e">
        <f>#N/A</f>
        <v>#N/A</v>
      </c>
      <c r="H21" s="40" t="e">
        <f>#N/A</f>
        <v>#N/A</v>
      </c>
      <c r="J21" s="45"/>
      <c r="K21" s="22" t="e">
        <f>#N/A</f>
        <v>#N/A</v>
      </c>
      <c r="L21" s="53" t="e">
        <f>#N/A</f>
        <v>#N/A</v>
      </c>
      <c r="M21" s="22">
        <f>+'Annual Cap Data'!O23+'Annual Cap Data'!P23</f>
        <v>5.3580000000000005</v>
      </c>
      <c r="N21" s="22">
        <f>+SUM('Annual Cap Data'!I23:M23)</f>
        <v>0</v>
      </c>
      <c r="O21" s="22">
        <f>+SUM('Annual Cap Data'!Q23,'Annual Cap Data'!S23,'Annual Cap Data'!AB23)</f>
        <v>3.6805360549887096</v>
      </c>
      <c r="P21" s="22" t="e">
        <f>+'Annual Cap Data'!T23+'Annual Cap Data'!U23</f>
        <v>#N/A</v>
      </c>
      <c r="Q21" s="22" t="e">
        <f>+'Annual Cap Data'!V23</f>
        <v>#N/A</v>
      </c>
      <c r="R21" s="22">
        <f>+'Annual Cap Data'!R23</f>
        <v>3.3590000000000013</v>
      </c>
      <c r="S21" s="22">
        <f>+'Annual Cap Data'!N23</f>
        <v>5.0649999999999995</v>
      </c>
      <c r="T21" s="53" t="e">
        <f>#N/A</f>
        <v>#N/A</v>
      </c>
      <c r="W21" s="54" t="e">
        <f>#N/A</f>
        <v>#N/A</v>
      </c>
    </row>
    <row r="22" spans="1:23" x14ac:dyDescent="0.2">
      <c r="A22" s="22" t="e">
        <f>+'Annual Cap Data'!D24</f>
        <v>#N/A</v>
      </c>
      <c r="B22" s="53" t="e">
        <f>+'Annual Cap Data'!G24</f>
        <v>#N/A</v>
      </c>
      <c r="C22" s="53" t="e">
        <f>+'Annual Cap Data'!H24</f>
        <v>#N/A</v>
      </c>
      <c r="D22" s="54" t="e">
        <f>+'Annual Cap Data'!AC24</f>
        <v>#N/A</v>
      </c>
      <c r="E22" s="54" t="e">
        <f>#N/A</f>
        <v>#N/A</v>
      </c>
      <c r="F22" s="54" t="e">
        <f>#N/A</f>
        <v>#N/A</v>
      </c>
      <c r="G22" s="40" t="e">
        <f>#N/A</f>
        <v>#N/A</v>
      </c>
      <c r="H22" s="40" t="e">
        <f>#N/A</f>
        <v>#N/A</v>
      </c>
      <c r="J22" s="45"/>
      <c r="K22" s="22" t="e">
        <f>#N/A</f>
        <v>#N/A</v>
      </c>
      <c r="L22" s="53" t="e">
        <f>#N/A</f>
        <v>#N/A</v>
      </c>
      <c r="M22" s="22">
        <f>+'Annual Cap Data'!O24+'Annual Cap Data'!P24</f>
        <v>5.3580000000000005</v>
      </c>
      <c r="N22" s="22">
        <f>+SUM('Annual Cap Data'!I24:M24)</f>
        <v>0</v>
      </c>
      <c r="O22" s="22">
        <f>+SUM('Annual Cap Data'!Q24,'Annual Cap Data'!S24,'Annual Cap Data'!AB24)</f>
        <v>3.6805360549887096</v>
      </c>
      <c r="P22" s="22" t="e">
        <f>+'Annual Cap Data'!T24+'Annual Cap Data'!U24</f>
        <v>#N/A</v>
      </c>
      <c r="Q22" s="22" t="e">
        <f>+'Annual Cap Data'!V24</f>
        <v>#N/A</v>
      </c>
      <c r="R22" s="22">
        <f>+'Annual Cap Data'!R24</f>
        <v>3.3590000000000013</v>
      </c>
      <c r="S22" s="22">
        <f>+'Annual Cap Data'!N24</f>
        <v>5.0649999999999995</v>
      </c>
      <c r="T22" s="53" t="e">
        <f>#N/A</f>
        <v>#N/A</v>
      </c>
      <c r="W22" s="54" t="e">
        <f>#N/A</f>
        <v>#N/A</v>
      </c>
    </row>
    <row r="23" spans="1:23" x14ac:dyDescent="0.2">
      <c r="A23" s="22" t="e">
        <f>+'Annual Cap Data'!D25</f>
        <v>#N/A</v>
      </c>
      <c r="B23" s="53" t="e">
        <f>+'Annual Cap Data'!G25</f>
        <v>#N/A</v>
      </c>
      <c r="C23" s="53" t="e">
        <f>+'Annual Cap Data'!H25</f>
        <v>#N/A</v>
      </c>
      <c r="D23" s="54" t="e">
        <f>+'Annual Cap Data'!AC25</f>
        <v>#N/A</v>
      </c>
      <c r="E23" s="54" t="e">
        <f>#N/A</f>
        <v>#N/A</v>
      </c>
      <c r="F23" s="54" t="e">
        <f>#N/A</f>
        <v>#N/A</v>
      </c>
      <c r="G23" s="40" t="e">
        <f>#N/A</f>
        <v>#N/A</v>
      </c>
      <c r="H23" s="40" t="e">
        <f>#N/A</f>
        <v>#N/A</v>
      </c>
      <c r="K23" s="22" t="e">
        <f>#N/A</f>
        <v>#N/A</v>
      </c>
      <c r="L23" s="53" t="e">
        <f>#N/A</f>
        <v>#N/A</v>
      </c>
      <c r="M23" s="22">
        <f>+'Annual Cap Data'!O25+'Annual Cap Data'!P25</f>
        <v>5.3580000000000005</v>
      </c>
      <c r="N23" s="22">
        <f>+SUM('Annual Cap Data'!I25:M25)</f>
        <v>0</v>
      </c>
      <c r="O23" s="22">
        <f>+SUM('Annual Cap Data'!Q25,'Annual Cap Data'!S25,'Annual Cap Data'!AB25)</f>
        <v>3.6805360549887096</v>
      </c>
      <c r="P23" s="22" t="e">
        <f>+'Annual Cap Data'!T25+'Annual Cap Data'!U25</f>
        <v>#N/A</v>
      </c>
      <c r="Q23" s="22" t="e">
        <f>+'Annual Cap Data'!V25</f>
        <v>#N/A</v>
      </c>
      <c r="R23" s="22">
        <f>+'Annual Cap Data'!R25</f>
        <v>0</v>
      </c>
      <c r="S23" s="22">
        <f>+'Annual Cap Data'!N25</f>
        <v>5.0649999999999995</v>
      </c>
      <c r="T23" s="53" t="e">
        <f>#N/A</f>
        <v>#N/A</v>
      </c>
      <c r="W23" s="54" t="e">
        <f>#N/A</f>
        <v>#N/A</v>
      </c>
    </row>
    <row r="24" spans="1:23" x14ac:dyDescent="0.2">
      <c r="A24" s="22" t="e">
        <f>+'Annual Cap Data'!D26</f>
        <v>#N/A</v>
      </c>
      <c r="B24" s="53" t="e">
        <f>+'Annual Cap Data'!G26</f>
        <v>#N/A</v>
      </c>
      <c r="C24" s="53" t="e">
        <f>+'Annual Cap Data'!H26</f>
        <v>#N/A</v>
      </c>
      <c r="D24" s="54" t="e">
        <f>+'Annual Cap Data'!AC26</f>
        <v>#N/A</v>
      </c>
      <c r="E24" s="54" t="e">
        <f>#N/A</f>
        <v>#N/A</v>
      </c>
      <c r="F24" s="54" t="e">
        <f>#N/A</f>
        <v>#N/A</v>
      </c>
      <c r="G24" s="40" t="e">
        <f>#N/A</f>
        <v>#N/A</v>
      </c>
      <c r="H24" s="40" t="e">
        <f>#N/A</f>
        <v>#N/A</v>
      </c>
      <c r="K24" s="22" t="e">
        <f>#N/A</f>
        <v>#N/A</v>
      </c>
      <c r="L24" s="53" t="e">
        <f>#N/A</f>
        <v>#N/A</v>
      </c>
      <c r="M24" s="22">
        <f>+'Annual Cap Data'!O26+'Annual Cap Data'!P26</f>
        <v>5.3580000000000005</v>
      </c>
      <c r="N24" s="22">
        <f>+SUM('Annual Cap Data'!I26:M26)</f>
        <v>0</v>
      </c>
      <c r="O24" s="22">
        <f>+SUM('Annual Cap Data'!Q26,'Annual Cap Data'!S26,'Annual Cap Data'!AB26)</f>
        <v>2.2255360549887095</v>
      </c>
      <c r="P24" s="22" t="e">
        <f>+'Annual Cap Data'!T26+'Annual Cap Data'!U26</f>
        <v>#N/A</v>
      </c>
      <c r="Q24" s="22" t="e">
        <f>+'Annual Cap Data'!V26</f>
        <v>#N/A</v>
      </c>
      <c r="R24" s="22">
        <f>+'Annual Cap Data'!R26</f>
        <v>0</v>
      </c>
      <c r="S24" s="22">
        <f>+'Annual Cap Data'!N26</f>
        <v>5.0649999999999995</v>
      </c>
      <c r="T24" s="53" t="e">
        <f>#N/A</f>
        <v>#N/A</v>
      </c>
      <c r="W24" s="54" t="e">
        <f>#N/A</f>
        <v>#N/A</v>
      </c>
    </row>
    <row r="25" spans="1:23" x14ac:dyDescent="0.2">
      <c r="A25" s="22" t="e">
        <f>+'Annual Cap Data'!D27</f>
        <v>#N/A</v>
      </c>
      <c r="B25" s="53" t="e">
        <f>+'Annual Cap Data'!G27</f>
        <v>#N/A</v>
      </c>
      <c r="C25" s="53" t="e">
        <f>+'Annual Cap Data'!H27</f>
        <v>#N/A</v>
      </c>
      <c r="D25" s="54" t="e">
        <f>+'Annual Cap Data'!AC27</f>
        <v>#N/A</v>
      </c>
      <c r="E25" s="54" t="e">
        <f>#N/A</f>
        <v>#N/A</v>
      </c>
      <c r="F25" s="54" t="e">
        <f>#N/A</f>
        <v>#N/A</v>
      </c>
      <c r="G25" s="40" t="e">
        <f>#N/A</f>
        <v>#N/A</v>
      </c>
      <c r="H25" s="40" t="e">
        <f>#N/A</f>
        <v>#N/A</v>
      </c>
      <c r="K25" s="22" t="e">
        <f>#N/A</f>
        <v>#N/A</v>
      </c>
      <c r="L25" s="53" t="e">
        <f>#N/A</f>
        <v>#N/A</v>
      </c>
      <c r="M25" s="22">
        <f>+'Annual Cap Data'!O27+'Annual Cap Data'!P27</f>
        <v>5.3580000000000005</v>
      </c>
      <c r="N25" s="22">
        <f>+SUM('Annual Cap Data'!I27:M27)</f>
        <v>0</v>
      </c>
      <c r="O25" s="22">
        <f>+SUM('Annual Cap Data'!Q27,'Annual Cap Data'!S27,'Annual Cap Data'!AB27)</f>
        <v>2.2255360549887095</v>
      </c>
      <c r="P25" s="22" t="e">
        <f>+'Annual Cap Data'!T27+'Annual Cap Data'!U27</f>
        <v>#N/A</v>
      </c>
      <c r="Q25" s="22" t="e">
        <f>+'Annual Cap Data'!V27</f>
        <v>#N/A</v>
      </c>
      <c r="R25" s="22">
        <f>+'Annual Cap Data'!R27</f>
        <v>0</v>
      </c>
      <c r="S25" s="22">
        <f>+'Annual Cap Data'!N27</f>
        <v>5.0649999999999995</v>
      </c>
      <c r="T25" s="53" t="e">
        <f>#N/A</f>
        <v>#N/A</v>
      </c>
      <c r="W25" s="54" t="e">
        <f>#N/A</f>
        <v>#N/A</v>
      </c>
    </row>
    <row r="26" spans="1:23" x14ac:dyDescent="0.2">
      <c r="A26" s="22" t="e">
        <f>+'Annual Cap Data'!D28</f>
        <v>#N/A</v>
      </c>
      <c r="B26" s="53" t="e">
        <f>+'Annual Cap Data'!G28</f>
        <v>#N/A</v>
      </c>
      <c r="C26" s="53" t="e">
        <f>+'Annual Cap Data'!H28</f>
        <v>#N/A</v>
      </c>
      <c r="D26" s="54" t="e">
        <f>+'Annual Cap Data'!AC28</f>
        <v>#N/A</v>
      </c>
      <c r="E26" s="54" t="e">
        <f>#N/A</f>
        <v>#N/A</v>
      </c>
      <c r="F26" s="54" t="e">
        <f>#N/A</f>
        <v>#N/A</v>
      </c>
      <c r="G26" s="40" t="e">
        <f>#N/A</f>
        <v>#N/A</v>
      </c>
      <c r="H26" s="40" t="e">
        <f>#N/A</f>
        <v>#N/A</v>
      </c>
      <c r="K26" s="22" t="e">
        <f>#N/A</f>
        <v>#N/A</v>
      </c>
      <c r="L26" s="53" t="e">
        <f>#N/A</f>
        <v>#N/A</v>
      </c>
      <c r="M26" s="22">
        <f>+'Annual Cap Data'!O28+'Annual Cap Data'!P28</f>
        <v>5.3580000000000005</v>
      </c>
      <c r="N26" s="22">
        <f>+SUM('Annual Cap Data'!I28:M28)</f>
        <v>0</v>
      </c>
      <c r="O26" s="22">
        <f>+SUM('Annual Cap Data'!Q28,'Annual Cap Data'!S28,'Annual Cap Data'!AB28)</f>
        <v>2.2255360549887095</v>
      </c>
      <c r="P26" s="22" t="e">
        <f>+'Annual Cap Data'!T28+'Annual Cap Data'!U28</f>
        <v>#N/A</v>
      </c>
      <c r="Q26" s="22">
        <f>+'Annual Cap Data'!V28</f>
        <v>0</v>
      </c>
      <c r="R26" s="22">
        <f>+'Annual Cap Data'!R28</f>
        <v>0</v>
      </c>
      <c r="S26" s="22">
        <f>+'Annual Cap Data'!N28</f>
        <v>5.0649999999999995</v>
      </c>
      <c r="T26" s="53" t="e">
        <f>#N/A</f>
        <v>#N/A</v>
      </c>
      <c r="W26" s="54" t="e">
        <f>#N/A</f>
        <v>#N/A</v>
      </c>
    </row>
    <row r="27" spans="1:23" x14ac:dyDescent="0.2">
      <c r="A27" s="22" t="e">
        <f>+'Annual Cap Data'!D29</f>
        <v>#N/A</v>
      </c>
      <c r="B27" s="53" t="e">
        <f>+'Annual Cap Data'!G29</f>
        <v>#N/A</v>
      </c>
      <c r="C27" s="53" t="e">
        <f>+'Annual Cap Data'!H29</f>
        <v>#N/A</v>
      </c>
      <c r="D27" s="54" t="e">
        <f>+'Annual Cap Data'!AC29</f>
        <v>#N/A</v>
      </c>
      <c r="E27" s="54" t="e">
        <f>#N/A</f>
        <v>#N/A</v>
      </c>
      <c r="F27" s="54" t="e">
        <f>#N/A</f>
        <v>#N/A</v>
      </c>
      <c r="G27" s="40" t="e">
        <f>#N/A</f>
        <v>#N/A</v>
      </c>
      <c r="H27" s="40" t="e">
        <f>#N/A</f>
        <v>#N/A</v>
      </c>
      <c r="K27" s="22" t="e">
        <f>#N/A</f>
        <v>#N/A</v>
      </c>
      <c r="L27" s="53" t="e">
        <f>#N/A</f>
        <v>#N/A</v>
      </c>
      <c r="M27" s="22">
        <f>+'Annual Cap Data'!O29+'Annual Cap Data'!P29</f>
        <v>5.3580000000000005</v>
      </c>
      <c r="N27" s="22">
        <f>+SUM('Annual Cap Data'!I29:M29)</f>
        <v>0</v>
      </c>
      <c r="O27" s="22">
        <f>+SUM('Annual Cap Data'!Q29,'Annual Cap Data'!S29,'Annual Cap Data'!AB29)</f>
        <v>2.2255360549887095</v>
      </c>
      <c r="P27" s="22" t="e">
        <f>+'Annual Cap Data'!T29+'Annual Cap Data'!U29</f>
        <v>#N/A</v>
      </c>
      <c r="Q27" s="22">
        <f>+'Annual Cap Data'!V29</f>
        <v>0</v>
      </c>
      <c r="R27" s="22">
        <f>+'Annual Cap Data'!R29</f>
        <v>0</v>
      </c>
      <c r="S27" s="22">
        <f>+'Annual Cap Data'!N29</f>
        <v>5.0649999999999995</v>
      </c>
      <c r="T27" s="53" t="e">
        <f>#N/A</f>
        <v>#N/A</v>
      </c>
      <c r="W27" s="54" t="e">
        <f>#N/A</f>
        <v>#N/A</v>
      </c>
    </row>
    <row r="28" spans="1:23" x14ac:dyDescent="0.2">
      <c r="A28" s="22" t="e">
        <f>+'Annual Cap Data'!D30</f>
        <v>#N/A</v>
      </c>
      <c r="B28" s="53" t="e">
        <f>+'Annual Cap Data'!G30</f>
        <v>#N/A</v>
      </c>
      <c r="C28" s="53" t="e">
        <f>+'Annual Cap Data'!H30</f>
        <v>#N/A</v>
      </c>
      <c r="D28" s="54" t="e">
        <f>+'Annual Cap Data'!AC30</f>
        <v>#N/A</v>
      </c>
      <c r="E28" s="54" t="e">
        <f>#N/A</f>
        <v>#N/A</v>
      </c>
      <c r="F28" s="54" t="e">
        <f>#N/A</f>
        <v>#N/A</v>
      </c>
      <c r="G28" s="40" t="e">
        <f>+E28/B28</f>
        <v>#N/A</v>
      </c>
      <c r="H28" s="40" t="e">
        <f>+F28/C28</f>
        <v>#N/A</v>
      </c>
      <c r="K28" s="22" t="e">
        <f>#N/A</f>
        <v>#N/A</v>
      </c>
      <c r="L28" s="53" t="e">
        <f>#N/A</f>
        <v>#N/A</v>
      </c>
      <c r="M28" s="22">
        <f>+'Annual Cap Data'!O30+'Annual Cap Data'!P30</f>
        <v>5.3580000000000005</v>
      </c>
      <c r="N28" s="22">
        <f>+SUM('Annual Cap Data'!I30:M30)</f>
        <v>0</v>
      </c>
      <c r="O28" s="22">
        <f>+SUM('Annual Cap Data'!Q30,'Annual Cap Data'!S30,'Annual Cap Data'!AB30)</f>
        <v>2.2255360549887095</v>
      </c>
      <c r="P28" s="22" t="e">
        <f>+'Annual Cap Data'!T30+'Annual Cap Data'!U30</f>
        <v>#N/A</v>
      </c>
      <c r="Q28" s="22">
        <f>+'Annual Cap Data'!V30</f>
        <v>0</v>
      </c>
      <c r="R28" s="22">
        <f>+'Annual Cap Data'!R30</f>
        <v>0</v>
      </c>
      <c r="S28" s="22">
        <f>+'Annual Cap Data'!N30</f>
        <v>5.0649999999999995</v>
      </c>
      <c r="T28" s="53" t="e">
        <f>#N/A</f>
        <v>#N/A</v>
      </c>
      <c r="W28" s="54" t="e">
        <f>#N/A</f>
        <v>#N/A</v>
      </c>
    </row>
    <row r="29" spans="1:23" x14ac:dyDescent="0.2">
      <c r="A29" s="22" t="e">
        <f>+'Annual Cap Data'!D31</f>
        <v>#N/A</v>
      </c>
      <c r="B29" s="53" t="e">
        <f>+'Annual Cap Data'!G31</f>
        <v>#N/A</v>
      </c>
      <c r="C29" s="53" t="e">
        <f>+'Annual Cap Data'!H31</f>
        <v>#N/A</v>
      </c>
      <c r="D29" s="54" t="e">
        <f>+'Annual Cap Data'!AC31</f>
        <v>#N/A</v>
      </c>
      <c r="E29" s="54" t="e">
        <f>#N/A</f>
        <v>#N/A</v>
      </c>
      <c r="F29" s="54" t="e">
        <f>#N/A</f>
        <v>#N/A</v>
      </c>
      <c r="G29" s="40" t="e">
        <f>+E29/B29</f>
        <v>#N/A</v>
      </c>
      <c r="H29" s="40" t="e">
        <f>+F29/C29</f>
        <v>#N/A</v>
      </c>
      <c r="K29" s="22" t="e">
        <f>#N/A</f>
        <v>#N/A</v>
      </c>
      <c r="L29" s="53" t="e">
        <f>#N/A</f>
        <v>#N/A</v>
      </c>
      <c r="M29" s="22">
        <f>+'Annual Cap Data'!O31+'Annual Cap Data'!P31</f>
        <v>5.3580000000000005</v>
      </c>
      <c r="N29" s="22">
        <f>+SUM('Annual Cap Data'!I31:M31)</f>
        <v>0</v>
      </c>
      <c r="O29" s="22">
        <f>+SUM('Annual Cap Data'!Q31,'Annual Cap Data'!S31,'Annual Cap Data'!AB31)</f>
        <v>2.2255360549887095</v>
      </c>
      <c r="P29" s="22">
        <f>+'Annual Cap Data'!T31+'Annual Cap Data'!U31</f>
        <v>0</v>
      </c>
      <c r="Q29" s="22">
        <f>+'Annual Cap Data'!V31</f>
        <v>0</v>
      </c>
      <c r="R29" s="22">
        <f>+'Annual Cap Data'!R31</f>
        <v>0</v>
      </c>
      <c r="S29" s="22">
        <f>+'Annual Cap Data'!N31</f>
        <v>5.0649999999999995</v>
      </c>
      <c r="T29" s="53" t="e">
        <f>#N/A</f>
        <v>#N/A</v>
      </c>
      <c r="W29" s="54" t="e">
        <f>#N/A</f>
        <v>#N/A</v>
      </c>
    </row>
  </sheetData>
  <phoneticPr fontId="3" type="noConversion"/>
  <conditionalFormatting sqref="G3:H29">
    <cfRule type="cellIs" dxfId="7" priority="1" stopIfTrue="1" operator="lessThan">
      <formula>0</formula>
    </cfRule>
  </conditionalFormatting>
  <pageMargins left="0.75" right="0.75" top="1" bottom="1"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29"/>
  <sheetViews>
    <sheetView topLeftCell="H2" workbookViewId="0">
      <selection activeCell="N3" sqref="N3"/>
    </sheetView>
  </sheetViews>
  <sheetFormatPr defaultColWidth="9.140625" defaultRowHeight="12.75" x14ac:dyDescent="0.2"/>
  <cols>
    <col min="1" max="3" width="9.140625" style="22"/>
    <col min="4" max="11" width="10.7109375" style="22" customWidth="1"/>
    <col min="12" max="22" width="9.140625" style="22"/>
    <col min="23" max="23" width="8.85546875" customWidth="1"/>
    <col min="24" max="16384" width="9.140625" style="22"/>
  </cols>
  <sheetData>
    <row r="1" spans="1:26" x14ac:dyDescent="0.2">
      <c r="H1" s="22" t="s">
        <v>31</v>
      </c>
      <c r="I1" s="22" t="s">
        <v>32</v>
      </c>
    </row>
    <row r="2" spans="1:26" ht="51" x14ac:dyDescent="0.2">
      <c r="B2" s="39" t="s">
        <v>34</v>
      </c>
      <c r="C2" s="39" t="s">
        <v>35</v>
      </c>
      <c r="D2" s="38" t="s">
        <v>26</v>
      </c>
      <c r="E2" s="38"/>
      <c r="F2" s="38" t="s">
        <v>27</v>
      </c>
      <c r="G2" s="38" t="s">
        <v>28</v>
      </c>
      <c r="H2" s="39" t="s">
        <v>29</v>
      </c>
      <c r="I2" s="39" t="s">
        <v>29</v>
      </c>
      <c r="J2" s="39" t="s">
        <v>30</v>
      </c>
      <c r="K2" s="39" t="s">
        <v>33</v>
      </c>
      <c r="N2" s="22" t="str">
        <f>+'Committed Capacity Data'!K2</f>
        <v>Year</v>
      </c>
      <c r="O2" s="22" t="str">
        <f>+'Committed Capacity Data'!L2</f>
        <v>Base Forecast Net DSM</v>
      </c>
      <c r="P2" s="22" t="str">
        <f>+'Committed Capacity Data'!M2</f>
        <v>NYPA</v>
      </c>
      <c r="Q2" s="22" t="str">
        <f>+'Committed Capacity Data'!N2</f>
        <v>HQ</v>
      </c>
      <c r="R2" s="22" t="str">
        <f>+'Committed Capacity Data'!O2</f>
        <v>VEPPI/SPEED</v>
      </c>
      <c r="S2" s="22" t="str">
        <f>+'Committed Capacity Data'!P2</f>
        <v>FW/KCW</v>
      </c>
      <c r="T2" s="22" t="str">
        <f>+'Committed Capacity Data'!Q2</f>
        <v>NextEra - Seabrook</v>
      </c>
      <c r="U2" s="22" t="str">
        <f>+'Committed Capacity Data'!R2</f>
        <v>Swanton</v>
      </c>
      <c r="V2" s="22" t="str">
        <f>+'Committed Capacity Data'!S2</f>
        <v>Rock Tenn</v>
      </c>
      <c r="W2" t="s">
        <v>84</v>
      </c>
      <c r="X2" s="22" t="s">
        <v>85</v>
      </c>
      <c r="Y2" s="22" t="s">
        <v>81</v>
      </c>
      <c r="Z2" s="22" t="str">
        <f>+'Committed Capacity Data'!T2</f>
        <v>Open (Excess) Position</v>
      </c>
    </row>
    <row r="3" spans="1:26" x14ac:dyDescent="0.2">
      <c r="A3" s="22">
        <f>+'Annual Cap Data'!D5</f>
        <v>2012</v>
      </c>
      <c r="B3" s="53">
        <f>+'Annual Cap Data'!G5</f>
        <v>81.513900000000021</v>
      </c>
      <c r="C3" s="53" t="e">
        <f>+'Annual Cap Data'!H5</f>
        <v>#N/A</v>
      </c>
      <c r="D3" s="54" t="e">
        <f>+'Annual Cap Data'!AC5</f>
        <v>#N/A</v>
      </c>
      <c r="E3" s="54"/>
      <c r="F3" s="54">
        <f>+'Annual Cap Data'!AD5</f>
        <v>0</v>
      </c>
      <c r="G3" s="54">
        <v>0</v>
      </c>
      <c r="H3" s="54" t="e">
        <f>+B3-D3-F3-G3</f>
        <v>#N/A</v>
      </c>
      <c r="I3" s="54" t="e">
        <f>+C3-D3-F3-G3</f>
        <v>#N/A</v>
      </c>
      <c r="J3" s="40" t="e">
        <f>#N/A</f>
        <v>#N/A</v>
      </c>
      <c r="K3" s="40" t="e">
        <f>#N/A</f>
        <v>#N/A</v>
      </c>
      <c r="M3" s="45"/>
      <c r="N3" s="22">
        <f>+'Committed Capacity Data'!K3</f>
        <v>2012</v>
      </c>
      <c r="O3" s="72">
        <f>+'Committed Capacity Data'!L3</f>
        <v>81.513900000000021</v>
      </c>
      <c r="P3" s="72">
        <f>+'Committed Capacity Data'!M3</f>
        <v>5.3580000000000005</v>
      </c>
      <c r="Q3" s="72">
        <f>+'Committed Capacity Data'!N3</f>
        <v>27.150166666666664</v>
      </c>
      <c r="R3" s="72">
        <f>+'Committed Capacity Data'!O3</f>
        <v>3.9462861138999994</v>
      </c>
      <c r="S3" s="72">
        <f>+'Committed Capacity Data'!P3</f>
        <v>3</v>
      </c>
      <c r="T3" s="72">
        <f>+'Committed Capacity Data'!Q3</f>
        <v>0</v>
      </c>
      <c r="U3" s="72">
        <f>+'Committed Capacity Data'!R3</f>
        <v>3.3590000000000013</v>
      </c>
      <c r="V3" s="72">
        <f>+'Committed Capacity Data'!S3</f>
        <v>4.6869999999999994</v>
      </c>
      <c r="W3" s="44">
        <f>+'Annual Cap Data'!AD5</f>
        <v>0</v>
      </c>
      <c r="X3" s="44">
        <f>+'Annual Cap Data'!AE5</f>
        <v>0</v>
      </c>
      <c r="Y3" s="44">
        <f>+'Annual Cap Data'!AF5</f>
        <v>0</v>
      </c>
      <c r="Z3" s="72">
        <f>+O3-SUM(P3:Y3)</f>
        <v>34.013447219433353</v>
      </c>
    </row>
    <row r="4" spans="1:26" x14ac:dyDescent="0.2">
      <c r="A4" s="22" t="e">
        <f>+'Annual Cap Data'!D6</f>
        <v>#N/A</v>
      </c>
      <c r="B4" s="53" t="e">
        <f>+'Annual Cap Data'!G6</f>
        <v>#N/A</v>
      </c>
      <c r="C4" s="53" t="e">
        <f>+'Annual Cap Data'!H6</f>
        <v>#N/A</v>
      </c>
      <c r="D4" s="54" t="e">
        <f>+'Annual Cap Data'!AC6</f>
        <v>#N/A</v>
      </c>
      <c r="E4" s="54"/>
      <c r="F4" s="54">
        <f>+'Annual Cap Data'!AD6</f>
        <v>0</v>
      </c>
      <c r="G4" s="54">
        <f>+'Annual Cap Data'!AE6</f>
        <v>0</v>
      </c>
      <c r="H4" s="54" t="e">
        <f>#N/A</f>
        <v>#N/A</v>
      </c>
      <c r="I4" s="54" t="e">
        <f>#N/A</f>
        <v>#N/A</v>
      </c>
      <c r="J4" s="40" t="e">
        <f>#N/A</f>
        <v>#N/A</v>
      </c>
      <c r="K4" s="40" t="e">
        <f>#N/A</f>
        <v>#N/A</v>
      </c>
      <c r="M4" s="45"/>
      <c r="N4" s="22" t="e">
        <f>+'Committed Capacity Data'!K4</f>
        <v>#N/A</v>
      </c>
      <c r="O4" s="72" t="e">
        <f>+'Committed Capacity Data'!L4</f>
        <v>#N/A</v>
      </c>
      <c r="P4" s="72">
        <f>+'Committed Capacity Data'!M4</f>
        <v>5.3580000000000005</v>
      </c>
      <c r="Q4" s="72">
        <f>+'Committed Capacity Data'!N4</f>
        <v>6.2110000000000003</v>
      </c>
      <c r="R4" s="72">
        <f>+'Committed Capacity Data'!O4</f>
        <v>4.2670228106590056</v>
      </c>
      <c r="S4" s="72">
        <f>+'Committed Capacity Data'!P4</f>
        <v>5.3999999999999995</v>
      </c>
      <c r="T4" s="72">
        <f>+'Committed Capacity Data'!Q4</f>
        <v>0</v>
      </c>
      <c r="U4" s="72">
        <f>+'Committed Capacity Data'!R4</f>
        <v>3.3590000000000013</v>
      </c>
      <c r="V4" s="72">
        <f>+'Committed Capacity Data'!S4</f>
        <v>5.0637499999999998</v>
      </c>
      <c r="W4" s="44">
        <f>+'Annual Cap Data'!AD6</f>
        <v>0</v>
      </c>
      <c r="X4" s="44">
        <f>+'Annual Cap Data'!AE6</f>
        <v>0</v>
      </c>
      <c r="Y4" s="44">
        <f>+'Annual Cap Data'!AF6</f>
        <v>0</v>
      </c>
      <c r="Z4" s="72" t="e">
        <f>#N/A</f>
        <v>#N/A</v>
      </c>
    </row>
    <row r="5" spans="1:26" x14ac:dyDescent="0.2">
      <c r="A5" s="22" t="e">
        <f>+'Annual Cap Data'!D7</f>
        <v>#N/A</v>
      </c>
      <c r="B5" s="53" t="e">
        <f>+'Annual Cap Data'!G7</f>
        <v>#N/A</v>
      </c>
      <c r="C5" s="53" t="e">
        <f>+'Annual Cap Data'!H7</f>
        <v>#N/A</v>
      </c>
      <c r="D5" s="54" t="e">
        <f>+'Annual Cap Data'!AC7</f>
        <v>#N/A</v>
      </c>
      <c r="E5" s="54"/>
      <c r="F5" s="54">
        <f>+'Annual Cap Data'!AD7</f>
        <v>0</v>
      </c>
      <c r="G5" s="54">
        <f>+'Annual Cap Data'!AE7</f>
        <v>0</v>
      </c>
      <c r="H5" s="54" t="e">
        <f>#N/A</f>
        <v>#N/A</v>
      </c>
      <c r="I5" s="54" t="e">
        <f>#N/A</f>
        <v>#N/A</v>
      </c>
      <c r="J5" s="40" t="e">
        <f>#N/A</f>
        <v>#N/A</v>
      </c>
      <c r="K5" s="40" t="e">
        <f>#N/A</f>
        <v>#N/A</v>
      </c>
      <c r="M5" s="45"/>
      <c r="N5" s="22" t="e">
        <f>+'Committed Capacity Data'!K5</f>
        <v>#N/A</v>
      </c>
      <c r="O5" s="72" t="e">
        <f>+'Committed Capacity Data'!L5</f>
        <v>#N/A</v>
      </c>
      <c r="P5" s="72">
        <f>+'Committed Capacity Data'!M5</f>
        <v>5.3580000000000005</v>
      </c>
      <c r="Q5" s="72">
        <f>+'Committed Capacity Data'!N5</f>
        <v>6.2110000000000003</v>
      </c>
      <c r="R5" s="72">
        <f>+'Committed Capacity Data'!O5</f>
        <v>4.8601696342069891</v>
      </c>
      <c r="S5" s="72">
        <f>+'Committed Capacity Data'!P5</f>
        <v>5.7168979591836724</v>
      </c>
      <c r="T5" s="72">
        <f>+'Committed Capacity Data'!Q5</f>
        <v>0</v>
      </c>
      <c r="U5" s="72">
        <f>+'Committed Capacity Data'!R5</f>
        <v>3.3590000000000013</v>
      </c>
      <c r="V5" s="72">
        <f>+'Committed Capacity Data'!S5</f>
        <v>5.0649999999999995</v>
      </c>
      <c r="W5" s="44">
        <f>+'Annual Cap Data'!AD7</f>
        <v>0</v>
      </c>
      <c r="X5" s="44">
        <f>+'Annual Cap Data'!AE7</f>
        <v>0</v>
      </c>
      <c r="Y5" s="44">
        <f>+'Annual Cap Data'!AF7</f>
        <v>0</v>
      </c>
      <c r="Z5" s="72" t="e">
        <f>#N/A</f>
        <v>#N/A</v>
      </c>
    </row>
    <row r="6" spans="1:26" x14ac:dyDescent="0.2">
      <c r="A6" s="22" t="e">
        <f>+'Annual Cap Data'!D8</f>
        <v>#N/A</v>
      </c>
      <c r="B6" s="53" t="e">
        <f>+'Annual Cap Data'!G8</f>
        <v>#N/A</v>
      </c>
      <c r="C6" s="53" t="e">
        <f>+'Annual Cap Data'!H8</f>
        <v>#N/A</v>
      </c>
      <c r="D6" s="54" t="e">
        <f>+'Annual Cap Data'!AC8</f>
        <v>#N/A</v>
      </c>
      <c r="E6" s="54"/>
      <c r="F6" s="54">
        <f>+'Annual Cap Data'!AD8</f>
        <v>0</v>
      </c>
      <c r="G6" s="54">
        <f>+'Annual Cap Data'!AE8</f>
        <v>0</v>
      </c>
      <c r="H6" s="54" t="e">
        <f>#N/A</f>
        <v>#N/A</v>
      </c>
      <c r="I6" s="54" t="e">
        <f>#N/A</f>
        <v>#N/A</v>
      </c>
      <c r="J6" s="40" t="e">
        <f>#N/A</f>
        <v>#N/A</v>
      </c>
      <c r="K6" s="40" t="e">
        <f>#N/A</f>
        <v>#N/A</v>
      </c>
      <c r="M6" s="45"/>
      <c r="N6" s="22" t="e">
        <f>+'Committed Capacity Data'!K6</f>
        <v>#N/A</v>
      </c>
      <c r="O6" s="72" t="e">
        <f>+'Committed Capacity Data'!L6</f>
        <v>#N/A</v>
      </c>
      <c r="P6" s="72">
        <f>+'Committed Capacity Data'!M6</f>
        <v>5.3580000000000005</v>
      </c>
      <c r="Q6" s="72">
        <f>+'Committed Capacity Data'!N6</f>
        <v>6.1210000000000004</v>
      </c>
      <c r="R6" s="72">
        <f>+'Committed Capacity Data'!O6</f>
        <v>5.2874221072553755</v>
      </c>
      <c r="S6" s="72">
        <f>+'Committed Capacity Data'!P6</f>
        <v>6.0093544973544972</v>
      </c>
      <c r="T6" s="72" t="e">
        <f>+'Committed Capacity Data'!Q6</f>
        <v>#N/A</v>
      </c>
      <c r="U6" s="72">
        <f>+'Committed Capacity Data'!R6</f>
        <v>3.3590000000000013</v>
      </c>
      <c r="V6" s="72">
        <f>+'Committed Capacity Data'!S6</f>
        <v>5.0649999999999995</v>
      </c>
      <c r="W6" s="44">
        <f>+'Annual Cap Data'!AD8</f>
        <v>0</v>
      </c>
      <c r="X6" s="44">
        <f>+'Annual Cap Data'!AE8</f>
        <v>0</v>
      </c>
      <c r="Y6" s="44">
        <f>+'Annual Cap Data'!AF8</f>
        <v>0</v>
      </c>
      <c r="Z6" s="72" t="e">
        <f>#N/A</f>
        <v>#N/A</v>
      </c>
    </row>
    <row r="7" spans="1:26" x14ac:dyDescent="0.2">
      <c r="A7" s="22" t="e">
        <f>+'Annual Cap Data'!D9</f>
        <v>#N/A</v>
      </c>
      <c r="B7" s="53" t="e">
        <f>+'Annual Cap Data'!G9</f>
        <v>#N/A</v>
      </c>
      <c r="C7" s="53" t="e">
        <f>+'Annual Cap Data'!H9</f>
        <v>#N/A</v>
      </c>
      <c r="D7" s="54" t="e">
        <f>+'Annual Cap Data'!AC9</f>
        <v>#N/A</v>
      </c>
      <c r="E7" s="54"/>
      <c r="F7" s="54">
        <f>+'Annual Cap Data'!AD9</f>
        <v>0</v>
      </c>
      <c r="G7" s="54">
        <f>+'Annual Cap Data'!AE9</f>
        <v>0</v>
      </c>
      <c r="H7" s="54" t="e">
        <f>#N/A</f>
        <v>#N/A</v>
      </c>
      <c r="I7" s="54" t="e">
        <f>#N/A</f>
        <v>#N/A</v>
      </c>
      <c r="J7" s="40" t="e">
        <f>#N/A</f>
        <v>#N/A</v>
      </c>
      <c r="K7" s="40" t="e">
        <f>#N/A</f>
        <v>#N/A</v>
      </c>
      <c r="M7" s="45"/>
      <c r="N7" s="22" t="e">
        <f>+'Committed Capacity Data'!K7</f>
        <v>#N/A</v>
      </c>
      <c r="O7" s="72" t="e">
        <f>+'Committed Capacity Data'!L7</f>
        <v>#N/A</v>
      </c>
      <c r="P7" s="72">
        <f>+'Committed Capacity Data'!M7</f>
        <v>5.3580000000000005</v>
      </c>
      <c r="Q7" s="72">
        <f>+'Committed Capacity Data'!N7</f>
        <v>5.6710000000000003</v>
      </c>
      <c r="R7" s="72">
        <f>+'Committed Capacity Data'!O7</f>
        <v>4.934285409522043</v>
      </c>
      <c r="S7" s="72">
        <f>+'Committed Capacity Data'!P7</f>
        <v>6.0093544973544972</v>
      </c>
      <c r="T7" s="72" t="e">
        <f>+'Committed Capacity Data'!Q7</f>
        <v>#N/A</v>
      </c>
      <c r="U7" s="72">
        <f>+'Committed Capacity Data'!R7</f>
        <v>3.3590000000000013</v>
      </c>
      <c r="V7" s="72">
        <f>+'Committed Capacity Data'!S7</f>
        <v>5.0649999999999995</v>
      </c>
      <c r="W7" s="44">
        <f>+'Annual Cap Data'!AD9</f>
        <v>0</v>
      </c>
      <c r="X7" s="44">
        <f>+'Annual Cap Data'!AE9</f>
        <v>0</v>
      </c>
      <c r="Y7" s="44">
        <f>+'Annual Cap Data'!AF9</f>
        <v>0</v>
      </c>
      <c r="Z7" s="72" t="e">
        <f>#N/A</f>
        <v>#N/A</v>
      </c>
    </row>
    <row r="8" spans="1:26" x14ac:dyDescent="0.2">
      <c r="A8" s="22" t="e">
        <f>+'Annual Cap Data'!D10</f>
        <v>#N/A</v>
      </c>
      <c r="B8" s="53" t="e">
        <f>+'Annual Cap Data'!G10</f>
        <v>#N/A</v>
      </c>
      <c r="C8" s="53" t="e">
        <f>+'Annual Cap Data'!H10</f>
        <v>#N/A</v>
      </c>
      <c r="D8" s="54" t="e">
        <f>+'Annual Cap Data'!AC10</f>
        <v>#N/A</v>
      </c>
      <c r="E8" s="54"/>
      <c r="F8" s="54">
        <f>+'Annual Cap Data'!AD10</f>
        <v>6.666666666666667</v>
      </c>
      <c r="G8" s="54">
        <f>+'Annual Cap Data'!AE10</f>
        <v>3.3333333333333335</v>
      </c>
      <c r="H8" s="54" t="e">
        <f>#N/A</f>
        <v>#N/A</v>
      </c>
      <c r="I8" s="54" t="e">
        <f>#N/A</f>
        <v>#N/A</v>
      </c>
      <c r="J8" s="40" t="e">
        <f>#N/A</f>
        <v>#N/A</v>
      </c>
      <c r="K8" s="40" t="e">
        <f>#N/A</f>
        <v>#N/A</v>
      </c>
      <c r="M8" s="45"/>
      <c r="N8" s="22" t="e">
        <f>+'Committed Capacity Data'!K8</f>
        <v>#N/A</v>
      </c>
      <c r="O8" s="72" t="e">
        <f>+'Committed Capacity Data'!L8</f>
        <v>#N/A</v>
      </c>
      <c r="P8" s="72">
        <f>+'Committed Capacity Data'!M8</f>
        <v>5.3580000000000005</v>
      </c>
      <c r="Q8" s="72">
        <f>+'Committed Capacity Data'!N8</f>
        <v>5.6710000000000003</v>
      </c>
      <c r="R8" s="72">
        <f>+'Committed Capacity Data'!O8</f>
        <v>4.8428157448970426</v>
      </c>
      <c r="S8" s="72">
        <f>+'Committed Capacity Data'!P8</f>
        <v>6.0093544973544972</v>
      </c>
      <c r="T8" s="72" t="e">
        <f>+'Committed Capacity Data'!Q8</f>
        <v>#N/A</v>
      </c>
      <c r="U8" s="72">
        <f>+'Committed Capacity Data'!R8</f>
        <v>3.3590000000000013</v>
      </c>
      <c r="V8" s="72">
        <f>+'Committed Capacity Data'!S8</f>
        <v>5.0649999999999995</v>
      </c>
      <c r="W8" s="44">
        <f>+'Annual Cap Data'!AD10</f>
        <v>6.666666666666667</v>
      </c>
      <c r="X8" s="44">
        <f>+'Annual Cap Data'!AE10</f>
        <v>3.3333333333333335</v>
      </c>
      <c r="Y8" s="44">
        <f>+'Annual Cap Data'!AF10</f>
        <v>3.3333333333333335</v>
      </c>
      <c r="Z8" s="72" t="e">
        <f>#N/A</f>
        <v>#N/A</v>
      </c>
    </row>
    <row r="9" spans="1:26" x14ac:dyDescent="0.2">
      <c r="A9" s="22" t="e">
        <f>+'Annual Cap Data'!D11</f>
        <v>#N/A</v>
      </c>
      <c r="B9" s="53" t="e">
        <f>+'Annual Cap Data'!G11</f>
        <v>#N/A</v>
      </c>
      <c r="C9" s="53" t="e">
        <f>+'Annual Cap Data'!H11</f>
        <v>#N/A</v>
      </c>
      <c r="D9" s="54" t="e">
        <f>+'Annual Cap Data'!AC11</f>
        <v>#N/A</v>
      </c>
      <c r="E9" s="54"/>
      <c r="F9" s="54">
        <f>+'Annual Cap Data'!AD11</f>
        <v>10</v>
      </c>
      <c r="G9" s="54">
        <f>+'Annual Cap Data'!AE11</f>
        <v>5</v>
      </c>
      <c r="H9" s="54" t="e">
        <f>#N/A</f>
        <v>#N/A</v>
      </c>
      <c r="I9" s="54" t="e">
        <f>#N/A</f>
        <v>#N/A</v>
      </c>
      <c r="J9" s="40" t="e">
        <f>#N/A</f>
        <v>#N/A</v>
      </c>
      <c r="K9" s="40" t="e">
        <f>#N/A</f>
        <v>#N/A</v>
      </c>
      <c r="M9" s="45"/>
      <c r="N9" s="22" t="e">
        <f>+'Committed Capacity Data'!K9</f>
        <v>#N/A</v>
      </c>
      <c r="O9" s="72" t="e">
        <f>+'Committed Capacity Data'!L9</f>
        <v>#N/A</v>
      </c>
      <c r="P9" s="72">
        <f>+'Committed Capacity Data'!M9</f>
        <v>5.3580000000000005</v>
      </c>
      <c r="Q9" s="72">
        <f>+'Committed Capacity Data'!N9</f>
        <v>5.6710000000000003</v>
      </c>
      <c r="R9" s="72">
        <f>+'Committed Capacity Data'!O9</f>
        <v>4.331532193972043</v>
      </c>
      <c r="S9" s="72">
        <f>+'Committed Capacity Data'!P9</f>
        <v>6.0093544973544972</v>
      </c>
      <c r="T9" s="72" t="e">
        <f>+'Committed Capacity Data'!Q9</f>
        <v>#N/A</v>
      </c>
      <c r="U9" s="72">
        <f>+'Committed Capacity Data'!R9</f>
        <v>3.3590000000000013</v>
      </c>
      <c r="V9" s="72">
        <f>+'Committed Capacity Data'!S9</f>
        <v>5.0649999999999995</v>
      </c>
      <c r="W9" s="44">
        <f>+'Annual Cap Data'!AD11</f>
        <v>10</v>
      </c>
      <c r="X9" s="44">
        <f>+'Annual Cap Data'!AE11</f>
        <v>5</v>
      </c>
      <c r="Y9" s="44">
        <f>+'Annual Cap Data'!AF11</f>
        <v>5</v>
      </c>
      <c r="Z9" s="72" t="e">
        <f>#N/A</f>
        <v>#N/A</v>
      </c>
    </row>
    <row r="10" spans="1:26" x14ac:dyDescent="0.2">
      <c r="A10" s="22" t="e">
        <f>+'Annual Cap Data'!D12</f>
        <v>#N/A</v>
      </c>
      <c r="B10" s="53" t="e">
        <f>+'Annual Cap Data'!G12</f>
        <v>#N/A</v>
      </c>
      <c r="C10" s="53" t="e">
        <f>+'Annual Cap Data'!H12</f>
        <v>#N/A</v>
      </c>
      <c r="D10" s="54" t="e">
        <f>+'Annual Cap Data'!AC12</f>
        <v>#N/A</v>
      </c>
      <c r="E10" s="54"/>
      <c r="F10" s="54">
        <f>+'Annual Cap Data'!AD12</f>
        <v>10</v>
      </c>
      <c r="G10" s="54">
        <f>+'Annual Cap Data'!AE12</f>
        <v>5</v>
      </c>
      <c r="H10" s="54" t="e">
        <f>#N/A</f>
        <v>#N/A</v>
      </c>
      <c r="I10" s="54" t="e">
        <f>#N/A</f>
        <v>#N/A</v>
      </c>
      <c r="J10" s="40" t="e">
        <f>#N/A</f>
        <v>#N/A</v>
      </c>
      <c r="K10" s="40" t="e">
        <f>#N/A</f>
        <v>#N/A</v>
      </c>
      <c r="M10" s="45"/>
      <c r="N10" s="22" t="e">
        <f>+'Committed Capacity Data'!K10</f>
        <v>#N/A</v>
      </c>
      <c r="O10" s="72" t="e">
        <f>+'Committed Capacity Data'!L10</f>
        <v>#N/A</v>
      </c>
      <c r="P10" s="72">
        <f>+'Committed Capacity Data'!M10</f>
        <v>5.3580000000000005</v>
      </c>
      <c r="Q10" s="72">
        <f>+'Committed Capacity Data'!N10</f>
        <v>5.6710000000000003</v>
      </c>
      <c r="R10" s="72">
        <f>+'Committed Capacity Data'!O10</f>
        <v>4.0210440356553763</v>
      </c>
      <c r="S10" s="72">
        <f>+'Committed Capacity Data'!P10</f>
        <v>6.0093544973544972</v>
      </c>
      <c r="T10" s="72" t="e">
        <f>+'Committed Capacity Data'!Q10</f>
        <v>#N/A</v>
      </c>
      <c r="U10" s="72">
        <f>+'Committed Capacity Data'!R10</f>
        <v>3.3590000000000013</v>
      </c>
      <c r="V10" s="72">
        <f>+'Committed Capacity Data'!S10</f>
        <v>5.0649999999999995</v>
      </c>
      <c r="W10" s="44">
        <f>+'Annual Cap Data'!AD12</f>
        <v>10</v>
      </c>
      <c r="X10" s="44">
        <f>+'Annual Cap Data'!AE12</f>
        <v>5</v>
      </c>
      <c r="Y10" s="44">
        <f>+'Annual Cap Data'!AF12</f>
        <v>2.0833333333333335</v>
      </c>
      <c r="Z10" s="72" t="e">
        <f>#N/A</f>
        <v>#N/A</v>
      </c>
    </row>
    <row r="11" spans="1:26" x14ac:dyDescent="0.2">
      <c r="A11" s="22" t="e">
        <f>+'Annual Cap Data'!D13</f>
        <v>#N/A</v>
      </c>
      <c r="B11" s="53" t="e">
        <f>+'Annual Cap Data'!G13</f>
        <v>#N/A</v>
      </c>
      <c r="C11" s="53" t="e">
        <f>+'Annual Cap Data'!H13</f>
        <v>#N/A</v>
      </c>
      <c r="D11" s="54" t="e">
        <f>+'Annual Cap Data'!AC13</f>
        <v>#N/A</v>
      </c>
      <c r="E11" s="54"/>
      <c r="F11" s="54">
        <f>+'Annual Cap Data'!AD13</f>
        <v>10</v>
      </c>
      <c r="G11" s="54">
        <f>+'Annual Cap Data'!AE13</f>
        <v>5</v>
      </c>
      <c r="H11" s="54" t="e">
        <f>#N/A</f>
        <v>#N/A</v>
      </c>
      <c r="I11" s="54" t="e">
        <f>#N/A</f>
        <v>#N/A</v>
      </c>
      <c r="J11" s="40" t="e">
        <f>#N/A</f>
        <v>#N/A</v>
      </c>
      <c r="K11" s="40" t="e">
        <f>#N/A</f>
        <v>#N/A</v>
      </c>
      <c r="M11" s="45"/>
      <c r="N11" s="22" t="e">
        <f>+'Committed Capacity Data'!K11</f>
        <v>#N/A</v>
      </c>
      <c r="O11" s="72" t="e">
        <f>+'Committed Capacity Data'!L11</f>
        <v>#N/A</v>
      </c>
      <c r="P11" s="72">
        <f>+'Committed Capacity Data'!M11</f>
        <v>5.3580000000000005</v>
      </c>
      <c r="Q11" s="72">
        <f>+'Committed Capacity Data'!N11</f>
        <v>5.6710000000000003</v>
      </c>
      <c r="R11" s="72">
        <f>+'Committed Capacity Data'!O11</f>
        <v>4.009376099555376</v>
      </c>
      <c r="S11" s="72">
        <f>+'Committed Capacity Data'!P11</f>
        <v>6.0093544973544972</v>
      </c>
      <c r="T11" s="72" t="e">
        <f>+'Committed Capacity Data'!Q11</f>
        <v>#N/A</v>
      </c>
      <c r="U11" s="72">
        <f>+'Committed Capacity Data'!R11</f>
        <v>3.3590000000000013</v>
      </c>
      <c r="V11" s="72">
        <f>+'Committed Capacity Data'!S11</f>
        <v>5.0649999999999995</v>
      </c>
      <c r="W11" s="44">
        <f>+'Annual Cap Data'!AD13</f>
        <v>10</v>
      </c>
      <c r="X11" s="44">
        <f>+'Annual Cap Data'!AE13</f>
        <v>5</v>
      </c>
      <c r="Y11" s="44">
        <f>+'Annual Cap Data'!AF13</f>
        <v>0</v>
      </c>
      <c r="Z11" s="72" t="e">
        <f>#N/A</f>
        <v>#N/A</v>
      </c>
    </row>
    <row r="12" spans="1:26" x14ac:dyDescent="0.2">
      <c r="A12" s="22" t="e">
        <f>+'Annual Cap Data'!D14</f>
        <v>#N/A</v>
      </c>
      <c r="B12" s="53" t="e">
        <f>+'Annual Cap Data'!G14</f>
        <v>#N/A</v>
      </c>
      <c r="C12" s="53" t="e">
        <f>+'Annual Cap Data'!H14</f>
        <v>#N/A</v>
      </c>
      <c r="D12" s="54" t="e">
        <f>+'Annual Cap Data'!AC14</f>
        <v>#N/A</v>
      </c>
      <c r="E12" s="54"/>
      <c r="F12" s="54">
        <f>+'Annual Cap Data'!AD14</f>
        <v>10</v>
      </c>
      <c r="G12" s="54">
        <f>+'Annual Cap Data'!AE14</f>
        <v>5</v>
      </c>
      <c r="H12" s="54" t="e">
        <f>#N/A</f>
        <v>#N/A</v>
      </c>
      <c r="I12" s="54" t="e">
        <f>#N/A</f>
        <v>#N/A</v>
      </c>
      <c r="J12" s="40" t="e">
        <f>#N/A</f>
        <v>#N/A</v>
      </c>
      <c r="K12" s="40" t="e">
        <f>#N/A</f>
        <v>#N/A</v>
      </c>
      <c r="M12" s="45"/>
      <c r="N12" s="22" t="e">
        <f>+'Committed Capacity Data'!K12</f>
        <v>#N/A</v>
      </c>
      <c r="O12" s="72" t="e">
        <f>+'Committed Capacity Data'!L12</f>
        <v>#N/A</v>
      </c>
      <c r="P12" s="72">
        <f>+'Committed Capacity Data'!M12</f>
        <v>5.3580000000000005</v>
      </c>
      <c r="Q12" s="72">
        <f>+'Committed Capacity Data'!N12</f>
        <v>0</v>
      </c>
      <c r="R12" s="72">
        <f>+'Committed Capacity Data'!O12</f>
        <v>3.6805360549887096</v>
      </c>
      <c r="S12" s="72">
        <f>+'Committed Capacity Data'!P12</f>
        <v>5.8149100529100526</v>
      </c>
      <c r="T12" s="72" t="e">
        <f>+'Committed Capacity Data'!Q12</f>
        <v>#N/A</v>
      </c>
      <c r="U12" s="72">
        <f>+'Committed Capacity Data'!R12</f>
        <v>3.3590000000000013</v>
      </c>
      <c r="V12" s="72">
        <f>+'Committed Capacity Data'!S12</f>
        <v>5.0649999999999995</v>
      </c>
      <c r="W12" s="44">
        <f>+'Annual Cap Data'!AD14</f>
        <v>10</v>
      </c>
      <c r="X12" s="44">
        <f>+'Annual Cap Data'!AE14</f>
        <v>5</v>
      </c>
      <c r="Y12" s="44">
        <f>+'Annual Cap Data'!AF14</f>
        <v>0</v>
      </c>
      <c r="Z12" s="72" t="e">
        <f>#N/A</f>
        <v>#N/A</v>
      </c>
    </row>
    <row r="13" spans="1:26" x14ac:dyDescent="0.2">
      <c r="A13" s="22" t="e">
        <f>+'Annual Cap Data'!D15</f>
        <v>#N/A</v>
      </c>
      <c r="B13" s="53" t="e">
        <f>+'Annual Cap Data'!G15</f>
        <v>#N/A</v>
      </c>
      <c r="C13" s="53" t="e">
        <f>+'Annual Cap Data'!H15</f>
        <v>#N/A</v>
      </c>
      <c r="D13" s="54" t="e">
        <f>+'Annual Cap Data'!AC15</f>
        <v>#N/A</v>
      </c>
      <c r="E13" s="54"/>
      <c r="F13" s="54"/>
      <c r="G13" s="54">
        <f>+'Annual Cap Data'!AE15</f>
        <v>2.0833333333333335</v>
      </c>
      <c r="H13" s="54" t="e">
        <f>#N/A</f>
        <v>#N/A</v>
      </c>
      <c r="I13" s="54" t="e">
        <f>#N/A</f>
        <v>#N/A</v>
      </c>
      <c r="J13" s="40" t="e">
        <f>#N/A</f>
        <v>#N/A</v>
      </c>
      <c r="K13" s="40" t="e">
        <f>#N/A</f>
        <v>#N/A</v>
      </c>
      <c r="M13" s="45"/>
      <c r="N13" s="22" t="e">
        <f>+'Committed Capacity Data'!K13</f>
        <v>#N/A</v>
      </c>
      <c r="O13" s="72" t="e">
        <f>+'Committed Capacity Data'!L13</f>
        <v>#N/A</v>
      </c>
      <c r="P13" s="72">
        <f>+'Committed Capacity Data'!M13</f>
        <v>5.3580000000000005</v>
      </c>
      <c r="Q13" s="72">
        <f>+'Committed Capacity Data'!N13</f>
        <v>0</v>
      </c>
      <c r="R13" s="72">
        <f>+'Committed Capacity Data'!O13</f>
        <v>4.0327197424887089</v>
      </c>
      <c r="S13" s="72" t="e">
        <f>+'Committed Capacity Data'!P13</f>
        <v>#N/A</v>
      </c>
      <c r="T13" s="72" t="e">
        <f>+'Committed Capacity Data'!Q13</f>
        <v>#N/A</v>
      </c>
      <c r="U13" s="72">
        <f>+'Committed Capacity Data'!R13</f>
        <v>3.3590000000000013</v>
      </c>
      <c r="V13" s="72">
        <f>+'Committed Capacity Data'!S13</f>
        <v>5.0649999999999995</v>
      </c>
      <c r="W13" s="44">
        <f>+'Annual Cap Data'!AD15</f>
        <v>4.166666666666667</v>
      </c>
      <c r="X13" s="44">
        <f>+'Annual Cap Data'!AE15</f>
        <v>2.0833333333333335</v>
      </c>
      <c r="Y13" s="44">
        <f>+'Annual Cap Data'!AF15</f>
        <v>0</v>
      </c>
      <c r="Z13" s="72" t="e">
        <f>#N/A</f>
        <v>#N/A</v>
      </c>
    </row>
    <row r="14" spans="1:26" x14ac:dyDescent="0.2">
      <c r="A14" s="22" t="e">
        <f>+'Annual Cap Data'!D16</f>
        <v>#N/A</v>
      </c>
      <c r="B14" s="53" t="e">
        <f>+'Annual Cap Data'!G16</f>
        <v>#N/A</v>
      </c>
      <c r="C14" s="53" t="e">
        <f>+'Annual Cap Data'!H16</f>
        <v>#N/A</v>
      </c>
      <c r="D14" s="54" t="e">
        <f>+'Annual Cap Data'!AC16</f>
        <v>#N/A</v>
      </c>
      <c r="E14" s="54"/>
      <c r="F14" s="54"/>
      <c r="G14" s="54">
        <f>+'Annual Cap Data'!AE16</f>
        <v>0</v>
      </c>
      <c r="H14" s="54" t="e">
        <f>#N/A</f>
        <v>#N/A</v>
      </c>
      <c r="I14" s="54" t="e">
        <f>#N/A</f>
        <v>#N/A</v>
      </c>
      <c r="J14" s="40" t="e">
        <f>#N/A</f>
        <v>#N/A</v>
      </c>
      <c r="K14" s="40" t="e">
        <f>#N/A</f>
        <v>#N/A</v>
      </c>
      <c r="M14" s="45"/>
      <c r="N14" s="22" t="e">
        <f>+'Committed Capacity Data'!K14</f>
        <v>#N/A</v>
      </c>
      <c r="O14" s="72" t="e">
        <f>+'Committed Capacity Data'!L14</f>
        <v>#N/A</v>
      </c>
      <c r="P14" s="72">
        <f>+'Committed Capacity Data'!M14</f>
        <v>5.3580000000000005</v>
      </c>
      <c r="Q14" s="72">
        <f>+'Committed Capacity Data'!N14</f>
        <v>0</v>
      </c>
      <c r="R14" s="72">
        <f>+'Committed Capacity Data'!O14</f>
        <v>4.0327197424887089</v>
      </c>
      <c r="S14" s="72" t="e">
        <f>+'Committed Capacity Data'!P14</f>
        <v>#N/A</v>
      </c>
      <c r="T14" s="72" t="e">
        <f>+'Committed Capacity Data'!Q14</f>
        <v>#N/A</v>
      </c>
      <c r="U14" s="72">
        <f>+'Committed Capacity Data'!R14</f>
        <v>3.3590000000000013</v>
      </c>
      <c r="V14" s="72">
        <f>+'Committed Capacity Data'!S14</f>
        <v>5.0649999999999995</v>
      </c>
      <c r="W14" s="44">
        <f>+'Annual Cap Data'!AD16</f>
        <v>0</v>
      </c>
      <c r="X14" s="44">
        <f>+'Annual Cap Data'!AE16</f>
        <v>0</v>
      </c>
      <c r="Y14" s="44">
        <f>+'Annual Cap Data'!AF16</f>
        <v>0</v>
      </c>
      <c r="Z14" s="72" t="e">
        <f>#N/A</f>
        <v>#N/A</v>
      </c>
    </row>
    <row r="15" spans="1:26" x14ac:dyDescent="0.2">
      <c r="A15" s="22" t="e">
        <f>+'Annual Cap Data'!D17</f>
        <v>#N/A</v>
      </c>
      <c r="B15" s="53" t="e">
        <f>+'Annual Cap Data'!G17</f>
        <v>#N/A</v>
      </c>
      <c r="C15" s="53" t="e">
        <f>+'Annual Cap Data'!H17</f>
        <v>#N/A</v>
      </c>
      <c r="D15" s="54" t="e">
        <f>+'Annual Cap Data'!AC17</f>
        <v>#N/A</v>
      </c>
      <c r="E15" s="54"/>
      <c r="F15" s="54"/>
      <c r="G15" s="54">
        <f>+'Annual Cap Data'!AE17</f>
        <v>0</v>
      </c>
      <c r="H15" s="54" t="e">
        <f>#N/A</f>
        <v>#N/A</v>
      </c>
      <c r="I15" s="54" t="e">
        <f>#N/A</f>
        <v>#N/A</v>
      </c>
      <c r="J15" s="40" t="e">
        <f>#N/A</f>
        <v>#N/A</v>
      </c>
      <c r="K15" s="40" t="e">
        <f>#N/A</f>
        <v>#N/A</v>
      </c>
      <c r="M15" s="45"/>
      <c r="N15" s="22" t="e">
        <f>+'Committed Capacity Data'!K15</f>
        <v>#N/A</v>
      </c>
      <c r="O15" s="72" t="e">
        <f>+'Committed Capacity Data'!L15</f>
        <v>#N/A</v>
      </c>
      <c r="P15" s="72">
        <f>+'Committed Capacity Data'!M15</f>
        <v>5.3580000000000005</v>
      </c>
      <c r="Q15" s="72">
        <f>+'Committed Capacity Data'!N15</f>
        <v>0</v>
      </c>
      <c r="R15" s="72">
        <f>+'Committed Capacity Data'!O15</f>
        <v>4.0327197424887089</v>
      </c>
      <c r="S15" s="72" t="e">
        <f>+'Committed Capacity Data'!P15</f>
        <v>#N/A</v>
      </c>
      <c r="T15" s="72" t="e">
        <f>+'Committed Capacity Data'!Q15</f>
        <v>#N/A</v>
      </c>
      <c r="U15" s="72">
        <f>+'Committed Capacity Data'!R15</f>
        <v>3.3590000000000013</v>
      </c>
      <c r="V15" s="72">
        <f>+'Committed Capacity Data'!S15</f>
        <v>5.0649999999999995</v>
      </c>
      <c r="W15" s="44">
        <f>+'Annual Cap Data'!AD17</f>
        <v>0</v>
      </c>
      <c r="X15" s="44">
        <f>+'Annual Cap Data'!AE17</f>
        <v>0</v>
      </c>
      <c r="Y15" s="44">
        <f>+'Annual Cap Data'!AF17</f>
        <v>0</v>
      </c>
      <c r="Z15" s="72" t="e">
        <f>#N/A</f>
        <v>#N/A</v>
      </c>
    </row>
    <row r="16" spans="1:26" x14ac:dyDescent="0.2">
      <c r="A16" s="22" t="e">
        <f>+'Annual Cap Data'!D18</f>
        <v>#N/A</v>
      </c>
      <c r="B16" s="53" t="e">
        <f>+'Annual Cap Data'!G18</f>
        <v>#N/A</v>
      </c>
      <c r="C16" s="53" t="e">
        <f>+'Annual Cap Data'!H18</f>
        <v>#N/A</v>
      </c>
      <c r="D16" s="54" t="e">
        <f>+'Annual Cap Data'!AC18</f>
        <v>#N/A</v>
      </c>
      <c r="E16" s="54"/>
      <c r="F16" s="54"/>
      <c r="G16" s="54">
        <f>+'Annual Cap Data'!AE18</f>
        <v>0</v>
      </c>
      <c r="H16" s="54" t="e">
        <f>#N/A</f>
        <v>#N/A</v>
      </c>
      <c r="I16" s="54" t="e">
        <f>#N/A</f>
        <v>#N/A</v>
      </c>
      <c r="J16" s="40" t="e">
        <f>#N/A</f>
        <v>#N/A</v>
      </c>
      <c r="K16" s="40" t="e">
        <f>#N/A</f>
        <v>#N/A</v>
      </c>
      <c r="M16" s="45"/>
      <c r="N16" s="22" t="e">
        <f>+'Committed Capacity Data'!K16</f>
        <v>#N/A</v>
      </c>
      <c r="O16" s="72" t="e">
        <f>+'Committed Capacity Data'!L16</f>
        <v>#N/A</v>
      </c>
      <c r="P16" s="72">
        <f>+'Committed Capacity Data'!M16</f>
        <v>5.3580000000000005</v>
      </c>
      <c r="Q16" s="72">
        <f>+'Committed Capacity Data'!N16</f>
        <v>0</v>
      </c>
      <c r="R16" s="72">
        <f>+'Committed Capacity Data'!O16</f>
        <v>3.6805360549887096</v>
      </c>
      <c r="S16" s="72" t="e">
        <f>+'Committed Capacity Data'!P16</f>
        <v>#N/A</v>
      </c>
      <c r="T16" s="72" t="e">
        <f>+'Committed Capacity Data'!Q16</f>
        <v>#N/A</v>
      </c>
      <c r="U16" s="72">
        <f>+'Committed Capacity Data'!R16</f>
        <v>3.3590000000000013</v>
      </c>
      <c r="V16" s="72">
        <f>+'Committed Capacity Data'!S16</f>
        <v>5.0649999999999995</v>
      </c>
      <c r="W16" s="44">
        <f>+'Annual Cap Data'!AD18</f>
        <v>0</v>
      </c>
      <c r="X16" s="44">
        <f>+'Annual Cap Data'!AE18</f>
        <v>0</v>
      </c>
      <c r="Y16" s="44">
        <f>+'Annual Cap Data'!AF18</f>
        <v>0</v>
      </c>
      <c r="Z16" s="72" t="e">
        <f>#N/A</f>
        <v>#N/A</v>
      </c>
    </row>
    <row r="17" spans="1:26" x14ac:dyDescent="0.2">
      <c r="A17" s="22" t="e">
        <f>+'Annual Cap Data'!D19</f>
        <v>#N/A</v>
      </c>
      <c r="B17" s="53" t="e">
        <f>+'Annual Cap Data'!G19</f>
        <v>#N/A</v>
      </c>
      <c r="C17" s="53" t="e">
        <f>+'Annual Cap Data'!H19</f>
        <v>#N/A</v>
      </c>
      <c r="D17" s="54" t="e">
        <f>+'Annual Cap Data'!AC19</f>
        <v>#N/A</v>
      </c>
      <c r="E17" s="54"/>
      <c r="F17" s="54"/>
      <c r="G17" s="54">
        <f>+'Annual Cap Data'!AE19</f>
        <v>0</v>
      </c>
      <c r="H17" s="54" t="e">
        <f>#N/A</f>
        <v>#N/A</v>
      </c>
      <c r="I17" s="54" t="e">
        <f>#N/A</f>
        <v>#N/A</v>
      </c>
      <c r="J17" s="40" t="e">
        <f>#N/A</f>
        <v>#N/A</v>
      </c>
      <c r="K17" s="40" t="e">
        <f>#N/A</f>
        <v>#N/A</v>
      </c>
      <c r="M17" s="45"/>
      <c r="N17" s="22" t="e">
        <f>+'Committed Capacity Data'!K17</f>
        <v>#N/A</v>
      </c>
      <c r="O17" s="72" t="e">
        <f>+'Committed Capacity Data'!L17</f>
        <v>#N/A</v>
      </c>
      <c r="P17" s="72">
        <f>+'Committed Capacity Data'!M17</f>
        <v>5.3580000000000005</v>
      </c>
      <c r="Q17" s="72">
        <f>+'Committed Capacity Data'!N17</f>
        <v>0</v>
      </c>
      <c r="R17" s="72">
        <f>+'Committed Capacity Data'!O17</f>
        <v>3.6805360549887096</v>
      </c>
      <c r="S17" s="72" t="e">
        <f>+'Committed Capacity Data'!P17</f>
        <v>#N/A</v>
      </c>
      <c r="T17" s="72" t="e">
        <f>+'Committed Capacity Data'!Q17</f>
        <v>#N/A</v>
      </c>
      <c r="U17" s="72">
        <f>+'Committed Capacity Data'!R17</f>
        <v>3.3590000000000013</v>
      </c>
      <c r="V17" s="72">
        <f>+'Committed Capacity Data'!S17</f>
        <v>5.0649999999999995</v>
      </c>
      <c r="W17" s="44">
        <f>+'Annual Cap Data'!AD19</f>
        <v>0</v>
      </c>
      <c r="X17" s="44">
        <f>+'Annual Cap Data'!AE19</f>
        <v>0</v>
      </c>
      <c r="Y17" s="44">
        <f>+'Annual Cap Data'!AF19</f>
        <v>0</v>
      </c>
      <c r="Z17" s="72" t="e">
        <f>#N/A</f>
        <v>#N/A</v>
      </c>
    </row>
    <row r="18" spans="1:26" x14ac:dyDescent="0.2">
      <c r="A18" s="22" t="e">
        <f>+'Annual Cap Data'!D20</f>
        <v>#N/A</v>
      </c>
      <c r="B18" s="53" t="e">
        <f>+'Annual Cap Data'!G20</f>
        <v>#N/A</v>
      </c>
      <c r="C18" s="53" t="e">
        <f>+'Annual Cap Data'!H20</f>
        <v>#N/A</v>
      </c>
      <c r="D18" s="54" t="e">
        <f>+'Annual Cap Data'!AC20</f>
        <v>#N/A</v>
      </c>
      <c r="E18" s="54"/>
      <c r="F18" s="54"/>
      <c r="G18" s="54">
        <f>+'Annual Cap Data'!AE20</f>
        <v>0</v>
      </c>
      <c r="H18" s="54" t="e">
        <f>#N/A</f>
        <v>#N/A</v>
      </c>
      <c r="I18" s="54" t="e">
        <f>#N/A</f>
        <v>#N/A</v>
      </c>
      <c r="J18" s="40" t="e">
        <f>#N/A</f>
        <v>#N/A</v>
      </c>
      <c r="K18" s="40" t="e">
        <f>#N/A</f>
        <v>#N/A</v>
      </c>
      <c r="M18" s="45"/>
      <c r="N18" s="22" t="e">
        <f>+'Committed Capacity Data'!K18</f>
        <v>#N/A</v>
      </c>
      <c r="O18" s="72" t="e">
        <f>+'Committed Capacity Data'!L18</f>
        <v>#N/A</v>
      </c>
      <c r="P18" s="72">
        <f>+'Committed Capacity Data'!M18</f>
        <v>5.3580000000000005</v>
      </c>
      <c r="Q18" s="72">
        <f>+'Committed Capacity Data'!N18</f>
        <v>0</v>
      </c>
      <c r="R18" s="72">
        <f>+'Committed Capacity Data'!O18</f>
        <v>3.6805360549887096</v>
      </c>
      <c r="S18" s="72" t="e">
        <f>+'Committed Capacity Data'!P18</f>
        <v>#N/A</v>
      </c>
      <c r="T18" s="72" t="e">
        <f>+'Committed Capacity Data'!Q18</f>
        <v>#N/A</v>
      </c>
      <c r="U18" s="72">
        <f>+'Committed Capacity Data'!R18</f>
        <v>3.3590000000000013</v>
      </c>
      <c r="V18" s="72">
        <f>+'Committed Capacity Data'!S18</f>
        <v>5.0649999999999995</v>
      </c>
      <c r="W18" s="44">
        <f>+'Annual Cap Data'!AD20</f>
        <v>0</v>
      </c>
      <c r="X18" s="44">
        <f>+'Annual Cap Data'!AE20</f>
        <v>0</v>
      </c>
      <c r="Y18" s="44">
        <f>+'Annual Cap Data'!AF20</f>
        <v>0</v>
      </c>
      <c r="Z18" s="72" t="e">
        <f>#N/A</f>
        <v>#N/A</v>
      </c>
    </row>
    <row r="19" spans="1:26" x14ac:dyDescent="0.2">
      <c r="A19" s="22" t="e">
        <f>+'Annual Cap Data'!D21</f>
        <v>#N/A</v>
      </c>
      <c r="B19" s="53" t="e">
        <f>+'Annual Cap Data'!G21</f>
        <v>#N/A</v>
      </c>
      <c r="C19" s="53" t="e">
        <f>+'Annual Cap Data'!H21</f>
        <v>#N/A</v>
      </c>
      <c r="D19" s="54" t="e">
        <f>+'Annual Cap Data'!AC21</f>
        <v>#N/A</v>
      </c>
      <c r="E19" s="54"/>
      <c r="F19" s="54"/>
      <c r="G19" s="54">
        <f>+'Annual Cap Data'!AE21</f>
        <v>0</v>
      </c>
      <c r="H19" s="54" t="e">
        <f>#N/A</f>
        <v>#N/A</v>
      </c>
      <c r="I19" s="54" t="e">
        <f>#N/A</f>
        <v>#N/A</v>
      </c>
      <c r="J19" s="40" t="e">
        <f>#N/A</f>
        <v>#N/A</v>
      </c>
      <c r="K19" s="40" t="e">
        <f>#N/A</f>
        <v>#N/A</v>
      </c>
      <c r="M19" s="45"/>
      <c r="N19" s="22" t="e">
        <f>+'Committed Capacity Data'!K19</f>
        <v>#N/A</v>
      </c>
      <c r="O19" s="72" t="e">
        <f>+'Committed Capacity Data'!L19</f>
        <v>#N/A</v>
      </c>
      <c r="P19" s="72">
        <f>+'Committed Capacity Data'!M19</f>
        <v>5.3580000000000005</v>
      </c>
      <c r="Q19" s="72">
        <f>+'Committed Capacity Data'!N19</f>
        <v>0</v>
      </c>
      <c r="R19" s="72">
        <f>+'Committed Capacity Data'!O19</f>
        <v>3.6805360549887096</v>
      </c>
      <c r="S19" s="72" t="e">
        <f>+'Committed Capacity Data'!P19</f>
        <v>#N/A</v>
      </c>
      <c r="T19" s="72" t="e">
        <f>+'Committed Capacity Data'!Q19</f>
        <v>#N/A</v>
      </c>
      <c r="U19" s="72">
        <f>+'Committed Capacity Data'!R19</f>
        <v>3.3590000000000013</v>
      </c>
      <c r="V19" s="72">
        <f>+'Committed Capacity Data'!S19</f>
        <v>5.0649999999999995</v>
      </c>
      <c r="W19" s="44">
        <f>+'Annual Cap Data'!AD21</f>
        <v>0</v>
      </c>
      <c r="X19" s="44">
        <f>+'Annual Cap Data'!AE21</f>
        <v>0</v>
      </c>
      <c r="Y19" s="44">
        <f>+'Annual Cap Data'!AF21</f>
        <v>0</v>
      </c>
      <c r="Z19" s="72" t="e">
        <f>#N/A</f>
        <v>#N/A</v>
      </c>
    </row>
    <row r="20" spans="1:26" x14ac:dyDescent="0.2">
      <c r="A20" s="22" t="e">
        <f>+'Annual Cap Data'!D22</f>
        <v>#N/A</v>
      </c>
      <c r="B20" s="53" t="e">
        <f>+'Annual Cap Data'!G22</f>
        <v>#N/A</v>
      </c>
      <c r="C20" s="53" t="e">
        <f>+'Annual Cap Data'!H22</f>
        <v>#N/A</v>
      </c>
      <c r="D20" s="54" t="e">
        <f>+'Annual Cap Data'!AC22</f>
        <v>#N/A</v>
      </c>
      <c r="E20" s="54"/>
      <c r="F20" s="54"/>
      <c r="G20" s="54">
        <f>+'Annual Cap Data'!AE22</f>
        <v>0</v>
      </c>
      <c r="H20" s="54" t="e">
        <f>#N/A</f>
        <v>#N/A</v>
      </c>
      <c r="I20" s="54" t="e">
        <f>#N/A</f>
        <v>#N/A</v>
      </c>
      <c r="J20" s="40" t="e">
        <f>#N/A</f>
        <v>#N/A</v>
      </c>
      <c r="K20" s="40" t="e">
        <f>#N/A</f>
        <v>#N/A</v>
      </c>
      <c r="M20" s="45"/>
      <c r="N20" s="22" t="e">
        <f>+'Committed Capacity Data'!K20</f>
        <v>#N/A</v>
      </c>
      <c r="O20" s="72" t="e">
        <f>+'Committed Capacity Data'!L20</f>
        <v>#N/A</v>
      </c>
      <c r="P20" s="72">
        <f>+'Committed Capacity Data'!M20</f>
        <v>5.3580000000000005</v>
      </c>
      <c r="Q20" s="72">
        <f>+'Committed Capacity Data'!N20</f>
        <v>0</v>
      </c>
      <c r="R20" s="72">
        <f>+'Committed Capacity Data'!O20</f>
        <v>3.6805360549887096</v>
      </c>
      <c r="S20" s="72" t="e">
        <f>+'Committed Capacity Data'!P20</f>
        <v>#N/A</v>
      </c>
      <c r="T20" s="72" t="e">
        <f>+'Committed Capacity Data'!Q20</f>
        <v>#N/A</v>
      </c>
      <c r="U20" s="72">
        <f>+'Committed Capacity Data'!R20</f>
        <v>3.3590000000000013</v>
      </c>
      <c r="V20" s="72">
        <f>+'Committed Capacity Data'!S20</f>
        <v>5.0649999999999995</v>
      </c>
      <c r="W20" s="44">
        <f>+'Annual Cap Data'!AD22</f>
        <v>0</v>
      </c>
      <c r="X20" s="44">
        <f>+'Annual Cap Data'!AE22</f>
        <v>0</v>
      </c>
      <c r="Y20" s="44">
        <f>+'Annual Cap Data'!AF22</f>
        <v>0</v>
      </c>
      <c r="Z20" s="72" t="e">
        <f>#N/A</f>
        <v>#N/A</v>
      </c>
    </row>
    <row r="21" spans="1:26" x14ac:dyDescent="0.2">
      <c r="A21" s="22" t="e">
        <f>+'Annual Cap Data'!D23</f>
        <v>#N/A</v>
      </c>
      <c r="B21" s="53" t="e">
        <f>+'Annual Cap Data'!G23</f>
        <v>#N/A</v>
      </c>
      <c r="C21" s="53" t="e">
        <f>+'Annual Cap Data'!H23</f>
        <v>#N/A</v>
      </c>
      <c r="D21" s="54" t="e">
        <f>+'Annual Cap Data'!AC23</f>
        <v>#N/A</v>
      </c>
      <c r="E21" s="54"/>
      <c r="F21" s="54"/>
      <c r="G21" s="54">
        <f>+'Annual Cap Data'!AE23</f>
        <v>0</v>
      </c>
      <c r="H21" s="54" t="e">
        <f>#N/A</f>
        <v>#N/A</v>
      </c>
      <c r="I21" s="54" t="e">
        <f>#N/A</f>
        <v>#N/A</v>
      </c>
      <c r="J21" s="40" t="e">
        <f>#N/A</f>
        <v>#N/A</v>
      </c>
      <c r="K21" s="40" t="e">
        <f>#N/A</f>
        <v>#N/A</v>
      </c>
      <c r="M21" s="45"/>
      <c r="N21" s="22" t="e">
        <f>+'Committed Capacity Data'!K21</f>
        <v>#N/A</v>
      </c>
      <c r="O21" s="72" t="e">
        <f>+'Committed Capacity Data'!L21</f>
        <v>#N/A</v>
      </c>
      <c r="P21" s="72">
        <f>+'Committed Capacity Data'!M21</f>
        <v>5.3580000000000005</v>
      </c>
      <c r="Q21" s="72">
        <f>+'Committed Capacity Data'!N21</f>
        <v>0</v>
      </c>
      <c r="R21" s="72">
        <f>+'Committed Capacity Data'!O21</f>
        <v>3.6805360549887096</v>
      </c>
      <c r="S21" s="72" t="e">
        <f>+'Committed Capacity Data'!P21</f>
        <v>#N/A</v>
      </c>
      <c r="T21" s="72" t="e">
        <f>+'Committed Capacity Data'!Q21</f>
        <v>#N/A</v>
      </c>
      <c r="U21" s="72">
        <f>+'Committed Capacity Data'!R21</f>
        <v>3.3590000000000013</v>
      </c>
      <c r="V21" s="72">
        <f>+'Committed Capacity Data'!S21</f>
        <v>5.0649999999999995</v>
      </c>
      <c r="W21" s="44">
        <f>+'Annual Cap Data'!AD23</f>
        <v>0</v>
      </c>
      <c r="X21" s="44">
        <f>+'Annual Cap Data'!AE23</f>
        <v>0</v>
      </c>
      <c r="Y21" s="44">
        <f>+'Annual Cap Data'!AF23</f>
        <v>0</v>
      </c>
      <c r="Z21" s="72" t="e">
        <f>#N/A</f>
        <v>#N/A</v>
      </c>
    </row>
    <row r="22" spans="1:26" x14ac:dyDescent="0.2">
      <c r="A22" s="22" t="e">
        <f>+'Annual Cap Data'!D24</f>
        <v>#N/A</v>
      </c>
      <c r="B22" s="53" t="e">
        <f>+'Annual Cap Data'!G24</f>
        <v>#N/A</v>
      </c>
      <c r="C22" s="53" t="e">
        <f>+'Annual Cap Data'!H24</f>
        <v>#N/A</v>
      </c>
      <c r="D22" s="54" t="e">
        <f>+'Annual Cap Data'!AC24</f>
        <v>#N/A</v>
      </c>
      <c r="E22" s="54"/>
      <c r="F22" s="54"/>
      <c r="G22" s="54">
        <f>+'Annual Cap Data'!AE24</f>
        <v>0</v>
      </c>
      <c r="H22" s="54" t="e">
        <f>#N/A</f>
        <v>#N/A</v>
      </c>
      <c r="I22" s="54" t="e">
        <f>#N/A</f>
        <v>#N/A</v>
      </c>
      <c r="J22" s="40" t="e">
        <f>#N/A</f>
        <v>#N/A</v>
      </c>
      <c r="K22" s="40" t="e">
        <f>#N/A</f>
        <v>#N/A</v>
      </c>
      <c r="M22" s="45"/>
      <c r="N22" s="22" t="e">
        <f>+'Committed Capacity Data'!K22</f>
        <v>#N/A</v>
      </c>
      <c r="O22" s="72" t="e">
        <f>+'Committed Capacity Data'!L22</f>
        <v>#N/A</v>
      </c>
      <c r="P22" s="72">
        <f>+'Committed Capacity Data'!M22</f>
        <v>5.3580000000000005</v>
      </c>
      <c r="Q22" s="72">
        <f>+'Committed Capacity Data'!N22</f>
        <v>0</v>
      </c>
      <c r="R22" s="72">
        <f>+'Committed Capacity Data'!O22</f>
        <v>3.6805360549887096</v>
      </c>
      <c r="S22" s="72" t="e">
        <f>+'Committed Capacity Data'!P22</f>
        <v>#N/A</v>
      </c>
      <c r="T22" s="72" t="e">
        <f>+'Committed Capacity Data'!Q22</f>
        <v>#N/A</v>
      </c>
      <c r="U22" s="72">
        <f>+'Committed Capacity Data'!R22</f>
        <v>3.3590000000000013</v>
      </c>
      <c r="V22" s="72">
        <f>+'Committed Capacity Data'!S22</f>
        <v>5.0649999999999995</v>
      </c>
      <c r="W22" s="44">
        <f>+'Annual Cap Data'!AD24</f>
        <v>0</v>
      </c>
      <c r="X22" s="44">
        <f>+'Annual Cap Data'!AE24</f>
        <v>0</v>
      </c>
      <c r="Y22" s="44">
        <f>+'Annual Cap Data'!AF24</f>
        <v>0</v>
      </c>
      <c r="Z22" s="72" t="e">
        <f>#N/A</f>
        <v>#N/A</v>
      </c>
    </row>
    <row r="23" spans="1:26" x14ac:dyDescent="0.2">
      <c r="A23" s="22" t="e">
        <f>+'Annual Cap Data'!D25</f>
        <v>#N/A</v>
      </c>
      <c r="B23" s="53" t="e">
        <f>+'Annual Cap Data'!G25</f>
        <v>#N/A</v>
      </c>
      <c r="C23" s="53" t="e">
        <f>+'Annual Cap Data'!H25</f>
        <v>#N/A</v>
      </c>
      <c r="D23" s="54" t="e">
        <f>+'Annual Cap Data'!AC25</f>
        <v>#N/A</v>
      </c>
      <c r="E23" s="54"/>
      <c r="F23" s="54"/>
      <c r="G23" s="54">
        <f>+'Annual Cap Data'!AE25</f>
        <v>0</v>
      </c>
      <c r="H23" s="54" t="e">
        <f>#N/A</f>
        <v>#N/A</v>
      </c>
      <c r="I23" s="54" t="e">
        <f>#N/A</f>
        <v>#N/A</v>
      </c>
      <c r="J23" s="40" t="e">
        <f>#N/A</f>
        <v>#N/A</v>
      </c>
      <c r="K23" s="40" t="e">
        <f>#N/A</f>
        <v>#N/A</v>
      </c>
      <c r="N23" s="22" t="e">
        <f>+'Committed Capacity Data'!K23</f>
        <v>#N/A</v>
      </c>
      <c r="O23" s="72" t="e">
        <f>+'Committed Capacity Data'!L23</f>
        <v>#N/A</v>
      </c>
      <c r="P23" s="72">
        <f>+'Committed Capacity Data'!M23</f>
        <v>5.3580000000000005</v>
      </c>
      <c r="Q23" s="72">
        <f>+'Committed Capacity Data'!N23</f>
        <v>0</v>
      </c>
      <c r="R23" s="72">
        <f>+'Committed Capacity Data'!O23</f>
        <v>3.6805360549887096</v>
      </c>
      <c r="S23" s="72" t="e">
        <f>+'Committed Capacity Data'!P23</f>
        <v>#N/A</v>
      </c>
      <c r="T23" s="72" t="e">
        <f>+'Committed Capacity Data'!Q23</f>
        <v>#N/A</v>
      </c>
      <c r="U23" s="72">
        <f>+'Committed Capacity Data'!R23</f>
        <v>0</v>
      </c>
      <c r="V23" s="72">
        <f>+'Committed Capacity Data'!S23</f>
        <v>5.0649999999999995</v>
      </c>
      <c r="W23" s="44">
        <f>+'Annual Cap Data'!AD25</f>
        <v>0</v>
      </c>
      <c r="X23" s="44">
        <f>+'Annual Cap Data'!AE25</f>
        <v>0</v>
      </c>
      <c r="Y23" s="44">
        <f>+'Annual Cap Data'!AF25</f>
        <v>0</v>
      </c>
      <c r="Z23" s="72" t="e">
        <f>#N/A</f>
        <v>#N/A</v>
      </c>
    </row>
    <row r="24" spans="1:26" x14ac:dyDescent="0.2">
      <c r="A24" s="22" t="e">
        <f>+'Annual Cap Data'!D26</f>
        <v>#N/A</v>
      </c>
      <c r="B24" s="53" t="e">
        <f>+'Annual Cap Data'!G26</f>
        <v>#N/A</v>
      </c>
      <c r="C24" s="53" t="e">
        <f>+'Annual Cap Data'!H26</f>
        <v>#N/A</v>
      </c>
      <c r="D24" s="54" t="e">
        <f>+'Annual Cap Data'!AC26</f>
        <v>#N/A</v>
      </c>
      <c r="E24" s="54"/>
      <c r="F24" s="54"/>
      <c r="G24" s="54">
        <f>+'Annual Cap Data'!AE26</f>
        <v>0</v>
      </c>
      <c r="H24" s="54" t="e">
        <f>#N/A</f>
        <v>#N/A</v>
      </c>
      <c r="I24" s="54" t="e">
        <f>#N/A</f>
        <v>#N/A</v>
      </c>
      <c r="J24" s="40" t="e">
        <f>#N/A</f>
        <v>#N/A</v>
      </c>
      <c r="K24" s="40" t="e">
        <f>#N/A</f>
        <v>#N/A</v>
      </c>
      <c r="N24" s="22" t="e">
        <f>+'Committed Capacity Data'!K24</f>
        <v>#N/A</v>
      </c>
      <c r="O24" s="72" t="e">
        <f>+'Committed Capacity Data'!L24</f>
        <v>#N/A</v>
      </c>
      <c r="P24" s="72">
        <f>+'Committed Capacity Data'!M24</f>
        <v>5.3580000000000005</v>
      </c>
      <c r="Q24" s="72">
        <f>+'Committed Capacity Data'!N24</f>
        <v>0</v>
      </c>
      <c r="R24" s="72">
        <f>+'Committed Capacity Data'!O24</f>
        <v>2.2255360549887095</v>
      </c>
      <c r="S24" s="72" t="e">
        <f>+'Committed Capacity Data'!P24</f>
        <v>#N/A</v>
      </c>
      <c r="T24" s="72" t="e">
        <f>+'Committed Capacity Data'!Q24</f>
        <v>#N/A</v>
      </c>
      <c r="U24" s="72">
        <f>+'Committed Capacity Data'!R24</f>
        <v>0</v>
      </c>
      <c r="V24" s="72">
        <f>+'Committed Capacity Data'!S24</f>
        <v>5.0649999999999995</v>
      </c>
      <c r="W24" s="44">
        <f>+'Annual Cap Data'!AD26</f>
        <v>0</v>
      </c>
      <c r="X24" s="44">
        <f>+'Annual Cap Data'!AE26</f>
        <v>0</v>
      </c>
      <c r="Y24" s="44">
        <f>+'Annual Cap Data'!AF26</f>
        <v>0</v>
      </c>
      <c r="Z24" s="72" t="e">
        <f>#N/A</f>
        <v>#N/A</v>
      </c>
    </row>
    <row r="25" spans="1:26" x14ac:dyDescent="0.2">
      <c r="A25" s="22" t="e">
        <f>+'Annual Cap Data'!D27</f>
        <v>#N/A</v>
      </c>
      <c r="B25" s="53" t="e">
        <f>+'Annual Cap Data'!G27</f>
        <v>#N/A</v>
      </c>
      <c r="C25" s="53" t="e">
        <f>+'Annual Cap Data'!H27</f>
        <v>#N/A</v>
      </c>
      <c r="D25" s="54" t="e">
        <f>+'Annual Cap Data'!AC27</f>
        <v>#N/A</v>
      </c>
      <c r="E25" s="54"/>
      <c r="F25" s="54"/>
      <c r="G25" s="54">
        <f>+'Annual Cap Data'!AE27</f>
        <v>0</v>
      </c>
      <c r="H25" s="54" t="e">
        <f>#N/A</f>
        <v>#N/A</v>
      </c>
      <c r="I25" s="54" t="e">
        <f>#N/A</f>
        <v>#N/A</v>
      </c>
      <c r="J25" s="40" t="e">
        <f>#N/A</f>
        <v>#N/A</v>
      </c>
      <c r="K25" s="40" t="e">
        <f>#N/A</f>
        <v>#N/A</v>
      </c>
      <c r="N25" s="22" t="e">
        <f>+'Committed Capacity Data'!K25</f>
        <v>#N/A</v>
      </c>
      <c r="O25" s="72" t="e">
        <f>+'Committed Capacity Data'!L25</f>
        <v>#N/A</v>
      </c>
      <c r="P25" s="72">
        <f>+'Committed Capacity Data'!M25</f>
        <v>5.3580000000000005</v>
      </c>
      <c r="Q25" s="72">
        <f>+'Committed Capacity Data'!N25</f>
        <v>0</v>
      </c>
      <c r="R25" s="72">
        <f>+'Committed Capacity Data'!O25</f>
        <v>2.2255360549887095</v>
      </c>
      <c r="S25" s="72" t="e">
        <f>+'Committed Capacity Data'!P25</f>
        <v>#N/A</v>
      </c>
      <c r="T25" s="72" t="e">
        <f>+'Committed Capacity Data'!Q25</f>
        <v>#N/A</v>
      </c>
      <c r="U25" s="72">
        <f>+'Committed Capacity Data'!R25</f>
        <v>0</v>
      </c>
      <c r="V25" s="72">
        <f>+'Committed Capacity Data'!S25</f>
        <v>5.0649999999999995</v>
      </c>
      <c r="W25" s="44">
        <f>+'Annual Cap Data'!AD27</f>
        <v>0</v>
      </c>
      <c r="X25" s="44">
        <f>+'Annual Cap Data'!AE27</f>
        <v>0</v>
      </c>
      <c r="Y25" s="44">
        <f>+'Annual Cap Data'!AF27</f>
        <v>0</v>
      </c>
      <c r="Z25" s="72" t="e">
        <f>#N/A</f>
        <v>#N/A</v>
      </c>
    </row>
    <row r="26" spans="1:26" x14ac:dyDescent="0.2">
      <c r="A26" s="22" t="e">
        <f>+'Annual Cap Data'!D28</f>
        <v>#N/A</v>
      </c>
      <c r="B26" s="53" t="e">
        <f>+'Annual Cap Data'!G28</f>
        <v>#N/A</v>
      </c>
      <c r="C26" s="53" t="e">
        <f>+'Annual Cap Data'!H28</f>
        <v>#N/A</v>
      </c>
      <c r="D26" s="54" t="e">
        <f>+'Annual Cap Data'!AC28</f>
        <v>#N/A</v>
      </c>
      <c r="E26" s="54"/>
      <c r="F26" s="54"/>
      <c r="G26" s="54">
        <f>+'Annual Cap Data'!AE28</f>
        <v>0</v>
      </c>
      <c r="H26" s="54" t="e">
        <f>#N/A</f>
        <v>#N/A</v>
      </c>
      <c r="I26" s="54" t="e">
        <f>#N/A</f>
        <v>#N/A</v>
      </c>
      <c r="J26" s="40" t="e">
        <f>#N/A</f>
        <v>#N/A</v>
      </c>
      <c r="K26" s="40" t="e">
        <f>#N/A</f>
        <v>#N/A</v>
      </c>
      <c r="N26" s="22" t="e">
        <f>+'Committed Capacity Data'!K26</f>
        <v>#N/A</v>
      </c>
      <c r="O26" s="72" t="e">
        <f>+'Committed Capacity Data'!L26</f>
        <v>#N/A</v>
      </c>
      <c r="P26" s="72">
        <f>+'Committed Capacity Data'!M26</f>
        <v>5.3580000000000005</v>
      </c>
      <c r="Q26" s="72">
        <f>+'Committed Capacity Data'!N26</f>
        <v>0</v>
      </c>
      <c r="R26" s="72">
        <f>+'Committed Capacity Data'!O26</f>
        <v>2.2255360549887095</v>
      </c>
      <c r="S26" s="72" t="e">
        <f>+'Committed Capacity Data'!P26</f>
        <v>#N/A</v>
      </c>
      <c r="T26" s="72">
        <f>+'Committed Capacity Data'!Q26</f>
        <v>0</v>
      </c>
      <c r="U26" s="72">
        <f>+'Committed Capacity Data'!R26</f>
        <v>0</v>
      </c>
      <c r="V26" s="72">
        <f>+'Committed Capacity Data'!S26</f>
        <v>5.0649999999999995</v>
      </c>
      <c r="W26" s="44">
        <f>+'Annual Cap Data'!AD28</f>
        <v>0</v>
      </c>
      <c r="X26" s="44">
        <f>+'Annual Cap Data'!AE28</f>
        <v>0</v>
      </c>
      <c r="Y26" s="44">
        <f>+'Annual Cap Data'!AF28</f>
        <v>0</v>
      </c>
      <c r="Z26" s="72" t="e">
        <f>#N/A</f>
        <v>#N/A</v>
      </c>
    </row>
    <row r="27" spans="1:26" x14ac:dyDescent="0.2">
      <c r="A27" s="22" t="e">
        <f>+'Annual Cap Data'!D29</f>
        <v>#N/A</v>
      </c>
      <c r="B27" s="53" t="e">
        <f>+'Annual Cap Data'!G29</f>
        <v>#N/A</v>
      </c>
      <c r="C27" s="53" t="e">
        <f>+'Annual Cap Data'!H29</f>
        <v>#N/A</v>
      </c>
      <c r="D27" s="54" t="e">
        <f>+'Annual Cap Data'!AC29</f>
        <v>#N/A</v>
      </c>
      <c r="E27" s="54"/>
      <c r="F27" s="54"/>
      <c r="G27" s="54">
        <f>+'Annual Cap Data'!AE29</f>
        <v>0</v>
      </c>
      <c r="H27" s="54" t="e">
        <f>#N/A</f>
        <v>#N/A</v>
      </c>
      <c r="I27" s="54" t="e">
        <f>#N/A</f>
        <v>#N/A</v>
      </c>
      <c r="J27" s="40" t="e">
        <f>#N/A</f>
        <v>#N/A</v>
      </c>
      <c r="K27" s="40" t="e">
        <f>+I27/C27</f>
        <v>#N/A</v>
      </c>
      <c r="N27" s="22" t="e">
        <f>+'Committed Capacity Data'!K27</f>
        <v>#N/A</v>
      </c>
      <c r="O27" s="72" t="e">
        <f>+'Committed Capacity Data'!L27</f>
        <v>#N/A</v>
      </c>
      <c r="P27" s="72">
        <f>+'Committed Capacity Data'!M27</f>
        <v>5.3580000000000005</v>
      </c>
      <c r="Q27" s="72">
        <f>+'Committed Capacity Data'!N27</f>
        <v>0</v>
      </c>
      <c r="R27" s="72">
        <f>+'Committed Capacity Data'!O27</f>
        <v>2.2255360549887095</v>
      </c>
      <c r="S27" s="72" t="e">
        <f>+'Committed Capacity Data'!P27</f>
        <v>#N/A</v>
      </c>
      <c r="T27" s="72">
        <f>+'Committed Capacity Data'!Q27</f>
        <v>0</v>
      </c>
      <c r="U27" s="72">
        <f>+'Committed Capacity Data'!R27</f>
        <v>0</v>
      </c>
      <c r="V27" s="72">
        <f>+'Committed Capacity Data'!S27</f>
        <v>5.0649999999999995</v>
      </c>
      <c r="W27" s="44">
        <f>+'Annual Cap Data'!AD29</f>
        <v>0</v>
      </c>
      <c r="X27" s="44">
        <f>+'Annual Cap Data'!AE29</f>
        <v>0</v>
      </c>
      <c r="Y27" s="44">
        <f>+'Annual Cap Data'!AF29</f>
        <v>0</v>
      </c>
      <c r="Z27" s="72" t="e">
        <f>#N/A</f>
        <v>#N/A</v>
      </c>
    </row>
    <row r="28" spans="1:26" x14ac:dyDescent="0.2">
      <c r="A28" s="22" t="e">
        <f>+'Annual Cap Data'!D30</f>
        <v>#N/A</v>
      </c>
      <c r="B28" s="53" t="e">
        <f>+'Annual Cap Data'!G30</f>
        <v>#N/A</v>
      </c>
      <c r="C28" s="53" t="e">
        <f>+'Annual Cap Data'!H30</f>
        <v>#N/A</v>
      </c>
      <c r="D28" s="54" t="e">
        <f>+'Annual Cap Data'!AC30</f>
        <v>#N/A</v>
      </c>
      <c r="E28" s="54"/>
      <c r="F28" s="54"/>
      <c r="G28" s="54">
        <f>+'Annual Cap Data'!AE30</f>
        <v>0</v>
      </c>
      <c r="H28" s="54" t="e">
        <f>#N/A</f>
        <v>#N/A</v>
      </c>
      <c r="I28" s="54" t="e">
        <f>#N/A</f>
        <v>#N/A</v>
      </c>
      <c r="J28" s="40" t="e">
        <f>#N/A</f>
        <v>#N/A</v>
      </c>
      <c r="K28" s="40" t="e">
        <f>+I28/C28</f>
        <v>#N/A</v>
      </c>
      <c r="N28" s="22" t="e">
        <f>+'Committed Capacity Data'!K28</f>
        <v>#N/A</v>
      </c>
      <c r="O28" s="72" t="e">
        <f>+'Committed Capacity Data'!L28</f>
        <v>#N/A</v>
      </c>
      <c r="P28" s="72">
        <f>+'Committed Capacity Data'!M28</f>
        <v>5.3580000000000005</v>
      </c>
      <c r="Q28" s="72">
        <f>+'Committed Capacity Data'!N28</f>
        <v>0</v>
      </c>
      <c r="R28" s="72">
        <f>+'Committed Capacity Data'!O28</f>
        <v>2.2255360549887095</v>
      </c>
      <c r="S28" s="72" t="e">
        <f>+'Committed Capacity Data'!P28</f>
        <v>#N/A</v>
      </c>
      <c r="T28" s="72">
        <f>+'Committed Capacity Data'!Q28</f>
        <v>0</v>
      </c>
      <c r="U28" s="72">
        <f>+'Committed Capacity Data'!R28</f>
        <v>0</v>
      </c>
      <c r="V28" s="72">
        <f>+'Committed Capacity Data'!S28</f>
        <v>5.0649999999999995</v>
      </c>
      <c r="W28" s="44">
        <f>+'Annual Cap Data'!AD30</f>
        <v>0</v>
      </c>
      <c r="X28" s="44">
        <f>+'Annual Cap Data'!AE30</f>
        <v>0</v>
      </c>
      <c r="Y28" s="44">
        <f>+'Annual Cap Data'!AF30</f>
        <v>0</v>
      </c>
      <c r="Z28" s="72" t="e">
        <f>#N/A</f>
        <v>#N/A</v>
      </c>
    </row>
    <row r="29" spans="1:26" x14ac:dyDescent="0.2">
      <c r="A29" s="22" t="e">
        <f>+'Annual Cap Data'!D31</f>
        <v>#N/A</v>
      </c>
      <c r="B29" s="53" t="e">
        <f>+'Annual Cap Data'!G31</f>
        <v>#N/A</v>
      </c>
      <c r="C29" s="53" t="e">
        <f>+'Annual Cap Data'!H31</f>
        <v>#N/A</v>
      </c>
      <c r="D29" s="54" t="e">
        <f>+'Annual Cap Data'!AC31</f>
        <v>#N/A</v>
      </c>
      <c r="E29" s="54"/>
      <c r="F29" s="54"/>
      <c r="G29" s="54">
        <f>+'Annual Cap Data'!AE31</f>
        <v>0</v>
      </c>
      <c r="H29" s="54" t="e">
        <f>#N/A</f>
        <v>#N/A</v>
      </c>
      <c r="I29" s="54" t="e">
        <f>#N/A</f>
        <v>#N/A</v>
      </c>
      <c r="J29" s="40" t="e">
        <f>#N/A</f>
        <v>#N/A</v>
      </c>
      <c r="K29" s="40" t="e">
        <f>+I29/C29</f>
        <v>#N/A</v>
      </c>
      <c r="N29" s="22" t="e">
        <f>+'Committed Capacity Data'!K29</f>
        <v>#N/A</v>
      </c>
      <c r="O29" s="72" t="e">
        <f>+'Committed Capacity Data'!L29</f>
        <v>#N/A</v>
      </c>
      <c r="P29" s="72">
        <f>+'Committed Capacity Data'!M29</f>
        <v>5.3580000000000005</v>
      </c>
      <c r="Q29" s="72">
        <f>+'Committed Capacity Data'!N29</f>
        <v>0</v>
      </c>
      <c r="R29" s="72">
        <f>+'Committed Capacity Data'!O29</f>
        <v>2.2255360549887095</v>
      </c>
      <c r="S29" s="72">
        <f>+'Committed Capacity Data'!P29</f>
        <v>0</v>
      </c>
      <c r="T29" s="72">
        <f>+'Committed Capacity Data'!Q29</f>
        <v>0</v>
      </c>
      <c r="U29" s="72">
        <f>+'Committed Capacity Data'!R29</f>
        <v>0</v>
      </c>
      <c r="V29" s="72">
        <f>+'Committed Capacity Data'!S29</f>
        <v>5.0649999999999995</v>
      </c>
      <c r="W29" s="44">
        <f>+'Annual Cap Data'!AD31</f>
        <v>0</v>
      </c>
      <c r="X29" s="44">
        <f>+'Annual Cap Data'!AE31</f>
        <v>0</v>
      </c>
      <c r="Y29" s="44">
        <f>+'Annual Cap Data'!AF31</f>
        <v>0</v>
      </c>
      <c r="Z29" s="72" t="e">
        <f>#N/A</f>
        <v>#N/A</v>
      </c>
    </row>
  </sheetData>
  <phoneticPr fontId="3" type="noConversion"/>
  <conditionalFormatting sqref="J3:K29">
    <cfRule type="cellIs" dxfId="6" priority="1" stopIfTrue="1" operator="lessThan">
      <formula>0</formula>
    </cfRule>
  </conditionalFormatting>
  <pageMargins left="0.75" right="0.75" top="1" bottom="1" header="0.5" footer="0.5"/>
  <pageSetup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EP595"/>
  <sheetViews>
    <sheetView zoomScaleNormal="100" workbookViewId="0">
      <pane xSplit="5" ySplit="7" topLeftCell="AX351" activePane="bottomRight" state="frozen"/>
      <selection activeCell="K5" sqref="K5"/>
      <selection pane="topRight" activeCell="K5" sqref="K5"/>
      <selection pane="bottomLeft" activeCell="K5" sqref="K5"/>
      <selection pane="bottomRight" activeCell="BA367" sqref="BA367"/>
    </sheetView>
  </sheetViews>
  <sheetFormatPr defaultRowHeight="12.75" x14ac:dyDescent="0.2"/>
  <cols>
    <col min="13" max="13" width="10.140625" customWidth="1"/>
    <col min="14" max="14" width="10.42578125" customWidth="1"/>
    <col min="15" max="15" width="10.5703125" customWidth="1"/>
    <col min="16" max="16" width="16.28515625" bestFit="1" customWidth="1"/>
    <col min="20" max="20" width="9.140625" style="76"/>
    <col min="38" max="54" width="10.7109375" customWidth="1"/>
    <col min="55" max="55" width="12.5703125" customWidth="1"/>
    <col min="56" max="67" width="10.7109375" customWidth="1"/>
    <col min="78" max="79" width="10.140625" customWidth="1"/>
    <col min="80" max="80" width="11.5703125" customWidth="1"/>
    <col min="81" max="87" width="10.140625" customWidth="1"/>
    <col min="89" max="89" width="9.7109375" customWidth="1"/>
    <col min="108" max="108" width="10.85546875" customWidth="1"/>
    <col min="109" max="116" width="10.7109375" customWidth="1"/>
  </cols>
  <sheetData>
    <row r="1" spans="1:146" x14ac:dyDescent="0.2">
      <c r="D1" s="61" t="s">
        <v>422</v>
      </c>
      <c r="AL1">
        <f>+IF(AL4="Non-Renewable",0,1)</f>
        <v>1</v>
      </c>
      <c r="AM1">
        <f t="shared" ref="AM1:CI1" si="0">+IF(AM4="Non-Renewable",0,1)</f>
        <v>1</v>
      </c>
      <c r="AN1">
        <f t="shared" si="0"/>
        <v>1</v>
      </c>
      <c r="AO1">
        <f t="shared" si="0"/>
        <v>1</v>
      </c>
      <c r="AP1">
        <f t="shared" si="0"/>
        <v>1</v>
      </c>
      <c r="AQ1">
        <f t="shared" si="0"/>
        <v>1</v>
      </c>
      <c r="AR1">
        <f t="shared" si="0"/>
        <v>1</v>
      </c>
      <c r="AS1">
        <f t="shared" si="0"/>
        <v>1</v>
      </c>
      <c r="AT1">
        <f t="shared" si="0"/>
        <v>1</v>
      </c>
      <c r="AU1">
        <f t="shared" si="0"/>
        <v>1</v>
      </c>
      <c r="AV1">
        <f t="shared" si="0"/>
        <v>1</v>
      </c>
      <c r="AW1">
        <v>0</v>
      </c>
      <c r="AX1">
        <v>0</v>
      </c>
      <c r="AY1">
        <f t="shared" si="0"/>
        <v>1</v>
      </c>
      <c r="AZ1">
        <f t="shared" si="0"/>
        <v>1</v>
      </c>
      <c r="BA1">
        <f t="shared" si="0"/>
        <v>1</v>
      </c>
      <c r="BB1">
        <f t="shared" si="0"/>
        <v>1</v>
      </c>
      <c r="BC1">
        <f t="shared" si="0"/>
        <v>1</v>
      </c>
      <c r="BD1">
        <f t="shared" si="0"/>
        <v>1</v>
      </c>
      <c r="BE1">
        <f t="shared" si="0"/>
        <v>1</v>
      </c>
      <c r="BF1">
        <f t="shared" si="0"/>
        <v>0</v>
      </c>
      <c r="BG1">
        <f t="shared" si="0"/>
        <v>1</v>
      </c>
      <c r="BH1">
        <f t="shared" si="0"/>
        <v>1</v>
      </c>
      <c r="BI1">
        <f t="shared" si="0"/>
        <v>1</v>
      </c>
      <c r="BJ1">
        <f t="shared" si="0"/>
        <v>1</v>
      </c>
      <c r="BK1">
        <f t="shared" si="0"/>
        <v>1</v>
      </c>
      <c r="BL1">
        <f t="shared" si="0"/>
        <v>0</v>
      </c>
      <c r="BM1">
        <f t="shared" si="0"/>
        <v>1</v>
      </c>
      <c r="BN1">
        <f t="shared" si="0"/>
        <v>1</v>
      </c>
      <c r="BO1">
        <f t="shared" si="0"/>
        <v>1</v>
      </c>
      <c r="BP1">
        <f t="shared" si="0"/>
        <v>1</v>
      </c>
      <c r="BQ1">
        <f t="shared" si="0"/>
        <v>1</v>
      </c>
      <c r="BR1">
        <f t="shared" si="0"/>
        <v>1</v>
      </c>
      <c r="BS1">
        <f t="shared" si="0"/>
        <v>1</v>
      </c>
      <c r="BT1">
        <f t="shared" si="0"/>
        <v>1</v>
      </c>
      <c r="BU1">
        <f t="shared" si="0"/>
        <v>1</v>
      </c>
      <c r="BV1">
        <f t="shared" si="0"/>
        <v>0</v>
      </c>
      <c r="BW1">
        <f t="shared" si="0"/>
        <v>1</v>
      </c>
      <c r="BX1">
        <f t="shared" si="0"/>
        <v>1</v>
      </c>
      <c r="BY1">
        <f t="shared" si="0"/>
        <v>1</v>
      </c>
      <c r="BZ1">
        <f t="shared" si="0"/>
        <v>1</v>
      </c>
      <c r="CA1">
        <f t="shared" si="0"/>
        <v>0</v>
      </c>
      <c r="CB1">
        <f t="shared" si="0"/>
        <v>0</v>
      </c>
      <c r="CC1">
        <f t="shared" si="0"/>
        <v>0</v>
      </c>
      <c r="CD1">
        <f t="shared" si="0"/>
        <v>0</v>
      </c>
      <c r="CE1">
        <f t="shared" si="0"/>
        <v>0</v>
      </c>
      <c r="CF1">
        <f t="shared" si="0"/>
        <v>1</v>
      </c>
      <c r="CG1">
        <f t="shared" si="0"/>
        <v>1</v>
      </c>
      <c r="CH1">
        <f t="shared" si="0"/>
        <v>1</v>
      </c>
      <c r="CI1">
        <f t="shared" si="0"/>
        <v>0</v>
      </c>
      <c r="CJ1" s="64">
        <v>0</v>
      </c>
      <c r="CK1" s="64">
        <v>0</v>
      </c>
      <c r="CL1" s="64">
        <v>0</v>
      </c>
      <c r="CM1" s="64">
        <v>0</v>
      </c>
      <c r="CN1" s="64">
        <v>0</v>
      </c>
      <c r="CO1" s="64">
        <v>0</v>
      </c>
      <c r="CP1" s="64">
        <v>0</v>
      </c>
      <c r="CQ1" s="64">
        <v>0</v>
      </c>
      <c r="CR1" s="64">
        <v>0</v>
      </c>
      <c r="CS1" s="64">
        <v>0</v>
      </c>
      <c r="CT1" s="64">
        <v>0</v>
      </c>
      <c r="CU1" s="64">
        <v>0</v>
      </c>
      <c r="CV1" s="64">
        <v>0</v>
      </c>
      <c r="CW1" s="64">
        <v>0</v>
      </c>
      <c r="CX1" s="64">
        <v>0</v>
      </c>
      <c r="CY1" s="64">
        <v>0</v>
      </c>
      <c r="CZ1" s="64">
        <v>0</v>
      </c>
      <c r="DA1" s="64">
        <v>0</v>
      </c>
      <c r="DB1" s="64">
        <v>0</v>
      </c>
      <c r="DC1" s="64">
        <v>0</v>
      </c>
      <c r="DD1">
        <f t="shared" ref="DD1:DL1" si="1">+IF(DD4="Non-Renewable",0,1)</f>
        <v>1</v>
      </c>
      <c r="DE1">
        <f t="shared" si="1"/>
        <v>1</v>
      </c>
      <c r="DF1">
        <f t="shared" si="1"/>
        <v>1</v>
      </c>
      <c r="DG1">
        <f t="shared" si="1"/>
        <v>1</v>
      </c>
      <c r="DH1">
        <f t="shared" si="1"/>
        <v>1</v>
      </c>
      <c r="DI1">
        <f t="shared" si="1"/>
        <v>1</v>
      </c>
      <c r="DJ1">
        <f t="shared" si="1"/>
        <v>1</v>
      </c>
      <c r="DK1">
        <f t="shared" si="1"/>
        <v>1</v>
      </c>
      <c r="DL1">
        <f t="shared" si="1"/>
        <v>1</v>
      </c>
      <c r="EI1" s="68"/>
      <c r="EK1" s="68"/>
      <c r="EL1" s="68"/>
      <c r="EN1" s="68"/>
    </row>
    <row r="2" spans="1:146" x14ac:dyDescent="0.2">
      <c r="D2" s="61" t="s">
        <v>423</v>
      </c>
      <c r="AL2">
        <f>+IF(AL4="Non-Renewable",0,IF(AL4="Carbon Free",0,1))</f>
        <v>1</v>
      </c>
      <c r="AM2">
        <f t="shared" ref="AM2:CI2" si="2">+IF(AM4="Non-Renewable",0,IF(AM4="Carbon Free",0,1))</f>
        <v>1</v>
      </c>
      <c r="AN2">
        <f t="shared" si="2"/>
        <v>1</v>
      </c>
      <c r="AO2">
        <f t="shared" si="2"/>
        <v>1</v>
      </c>
      <c r="AP2">
        <f t="shared" si="2"/>
        <v>1</v>
      </c>
      <c r="AQ2">
        <f t="shared" si="2"/>
        <v>1</v>
      </c>
      <c r="AR2">
        <f t="shared" si="2"/>
        <v>1</v>
      </c>
      <c r="AS2">
        <f t="shared" si="2"/>
        <v>1</v>
      </c>
      <c r="AT2">
        <f t="shared" si="2"/>
        <v>1</v>
      </c>
      <c r="AU2">
        <f t="shared" si="2"/>
        <v>1</v>
      </c>
      <c r="AV2">
        <f t="shared" si="2"/>
        <v>1</v>
      </c>
      <c r="AW2">
        <v>0</v>
      </c>
      <c r="AX2">
        <v>0</v>
      </c>
      <c r="AY2">
        <f t="shared" si="2"/>
        <v>1</v>
      </c>
      <c r="AZ2">
        <f t="shared" si="2"/>
        <v>1</v>
      </c>
      <c r="BA2">
        <f t="shared" si="2"/>
        <v>1</v>
      </c>
      <c r="BB2">
        <f t="shared" si="2"/>
        <v>1</v>
      </c>
      <c r="BC2">
        <f t="shared" si="2"/>
        <v>1</v>
      </c>
      <c r="BD2">
        <f t="shared" si="2"/>
        <v>1</v>
      </c>
      <c r="BE2">
        <f t="shared" si="2"/>
        <v>1</v>
      </c>
      <c r="BF2">
        <f t="shared" si="2"/>
        <v>0</v>
      </c>
      <c r="BG2">
        <f t="shared" si="2"/>
        <v>1</v>
      </c>
      <c r="BH2">
        <f t="shared" si="2"/>
        <v>1</v>
      </c>
      <c r="BI2">
        <f t="shared" si="2"/>
        <v>1</v>
      </c>
      <c r="BJ2">
        <f t="shared" si="2"/>
        <v>1</v>
      </c>
      <c r="BK2">
        <f t="shared" si="2"/>
        <v>1</v>
      </c>
      <c r="BL2">
        <f t="shared" si="2"/>
        <v>0</v>
      </c>
      <c r="BM2">
        <f t="shared" si="2"/>
        <v>1</v>
      </c>
      <c r="BN2">
        <f t="shared" si="2"/>
        <v>1</v>
      </c>
      <c r="BO2">
        <f t="shared" si="2"/>
        <v>1</v>
      </c>
      <c r="BP2">
        <f t="shared" si="2"/>
        <v>1</v>
      </c>
      <c r="BQ2">
        <f t="shared" si="2"/>
        <v>1</v>
      </c>
      <c r="BR2">
        <f t="shared" si="2"/>
        <v>1</v>
      </c>
      <c r="BS2">
        <f t="shared" si="2"/>
        <v>1</v>
      </c>
      <c r="BT2">
        <f t="shared" si="2"/>
        <v>1</v>
      </c>
      <c r="BU2">
        <f t="shared" si="2"/>
        <v>1</v>
      </c>
      <c r="BV2">
        <f t="shared" si="2"/>
        <v>0</v>
      </c>
      <c r="BW2">
        <f t="shared" si="2"/>
        <v>1</v>
      </c>
      <c r="BX2">
        <f t="shared" si="2"/>
        <v>1</v>
      </c>
      <c r="BY2">
        <f t="shared" si="2"/>
        <v>1</v>
      </c>
      <c r="BZ2">
        <f t="shared" si="2"/>
        <v>0</v>
      </c>
      <c r="CA2">
        <f t="shared" si="2"/>
        <v>0</v>
      </c>
      <c r="CB2">
        <f t="shared" si="2"/>
        <v>0</v>
      </c>
      <c r="CC2">
        <f t="shared" si="2"/>
        <v>0</v>
      </c>
      <c r="CD2">
        <f t="shared" si="2"/>
        <v>0</v>
      </c>
      <c r="CE2">
        <f t="shared" si="2"/>
        <v>0</v>
      </c>
      <c r="CF2">
        <f t="shared" si="2"/>
        <v>1</v>
      </c>
      <c r="CG2">
        <f t="shared" si="2"/>
        <v>1</v>
      </c>
      <c r="CH2">
        <f t="shared" si="2"/>
        <v>1</v>
      </c>
      <c r="CI2">
        <f t="shared" si="2"/>
        <v>0</v>
      </c>
      <c r="CJ2" s="64">
        <v>0</v>
      </c>
      <c r="CK2" s="64">
        <v>0</v>
      </c>
      <c r="CL2" s="64">
        <v>0</v>
      </c>
      <c r="CM2" s="64">
        <v>0</v>
      </c>
      <c r="CN2" s="64">
        <v>0</v>
      </c>
      <c r="CO2" s="64">
        <v>0</v>
      </c>
      <c r="CP2" s="64">
        <v>0</v>
      </c>
      <c r="CQ2" s="64">
        <v>0</v>
      </c>
      <c r="CR2" s="64">
        <v>0</v>
      </c>
      <c r="CS2" s="64">
        <v>0</v>
      </c>
      <c r="CT2" s="64">
        <v>0</v>
      </c>
      <c r="CU2" s="64">
        <v>0</v>
      </c>
      <c r="CV2" s="64">
        <v>0</v>
      </c>
      <c r="CW2" s="64">
        <v>0</v>
      </c>
      <c r="CX2" s="64">
        <v>0</v>
      </c>
      <c r="CY2" s="64">
        <v>0</v>
      </c>
      <c r="CZ2" s="64">
        <v>0</v>
      </c>
      <c r="DA2" s="64">
        <v>0</v>
      </c>
      <c r="DB2" s="64">
        <v>0</v>
      </c>
      <c r="DC2" s="64">
        <v>0</v>
      </c>
      <c r="DD2">
        <f t="shared" ref="DD2:DL2" si="3">+IF(DD4="Non-Renewable",0,IF(DD4="Carbon Free",0,1))</f>
        <v>1</v>
      </c>
      <c r="DE2">
        <f t="shared" si="3"/>
        <v>1</v>
      </c>
      <c r="DF2">
        <f t="shared" si="3"/>
        <v>1</v>
      </c>
      <c r="DG2">
        <f t="shared" si="3"/>
        <v>1</v>
      </c>
      <c r="DH2">
        <f t="shared" si="3"/>
        <v>1</v>
      </c>
      <c r="DI2">
        <f t="shared" si="3"/>
        <v>1</v>
      </c>
      <c r="DJ2">
        <f t="shared" si="3"/>
        <v>1</v>
      </c>
      <c r="DK2">
        <f t="shared" si="3"/>
        <v>1</v>
      </c>
      <c r="DL2">
        <f t="shared" si="3"/>
        <v>1</v>
      </c>
      <c r="EI2" s="68"/>
      <c r="EK2" s="68"/>
      <c r="EL2" s="68"/>
      <c r="EN2" s="68"/>
    </row>
    <row r="3" spans="1:146" x14ac:dyDescent="0.2">
      <c r="D3" s="61" t="s">
        <v>118</v>
      </c>
      <c r="AL3">
        <f>+IF(AL4="Tier 2",1,0)</f>
        <v>0</v>
      </c>
      <c r="AM3">
        <f t="shared" ref="AM3:CX3" si="4">+IF(AM4="Tier 2",1,0)</f>
        <v>0</v>
      </c>
      <c r="AN3">
        <f t="shared" si="4"/>
        <v>0</v>
      </c>
      <c r="AO3">
        <f t="shared" si="4"/>
        <v>0</v>
      </c>
      <c r="AP3">
        <f t="shared" si="4"/>
        <v>0</v>
      </c>
      <c r="AQ3">
        <f t="shared" si="4"/>
        <v>0</v>
      </c>
      <c r="AR3">
        <f t="shared" si="4"/>
        <v>0</v>
      </c>
      <c r="AS3">
        <f t="shared" si="4"/>
        <v>0</v>
      </c>
      <c r="AT3">
        <f t="shared" si="4"/>
        <v>0</v>
      </c>
      <c r="AU3">
        <f t="shared" si="4"/>
        <v>0</v>
      </c>
      <c r="AV3">
        <f t="shared" si="4"/>
        <v>0</v>
      </c>
      <c r="AW3">
        <f t="shared" si="4"/>
        <v>0</v>
      </c>
      <c r="AX3">
        <f t="shared" si="4"/>
        <v>0</v>
      </c>
      <c r="AY3">
        <f t="shared" si="4"/>
        <v>0</v>
      </c>
      <c r="AZ3">
        <f t="shared" si="4"/>
        <v>0</v>
      </c>
      <c r="BA3">
        <f t="shared" si="4"/>
        <v>0</v>
      </c>
      <c r="BB3">
        <f t="shared" si="4"/>
        <v>0</v>
      </c>
      <c r="BC3">
        <f t="shared" si="4"/>
        <v>1</v>
      </c>
      <c r="BD3">
        <f t="shared" si="4"/>
        <v>1</v>
      </c>
      <c r="BE3">
        <f t="shared" si="4"/>
        <v>1</v>
      </c>
      <c r="BF3">
        <f t="shared" si="4"/>
        <v>0</v>
      </c>
      <c r="BG3">
        <f t="shared" si="4"/>
        <v>1</v>
      </c>
      <c r="BH3">
        <f t="shared" si="4"/>
        <v>1</v>
      </c>
      <c r="BI3">
        <f t="shared" si="4"/>
        <v>1</v>
      </c>
      <c r="BJ3">
        <f t="shared" si="4"/>
        <v>1</v>
      </c>
      <c r="BK3">
        <f t="shared" si="4"/>
        <v>1</v>
      </c>
      <c r="BL3">
        <f t="shared" si="4"/>
        <v>0</v>
      </c>
      <c r="BM3">
        <f t="shared" si="4"/>
        <v>1</v>
      </c>
      <c r="BN3">
        <f t="shared" si="4"/>
        <v>1</v>
      </c>
      <c r="BO3">
        <f t="shared" si="4"/>
        <v>1</v>
      </c>
      <c r="BP3">
        <f t="shared" si="4"/>
        <v>0</v>
      </c>
      <c r="BQ3">
        <f t="shared" si="4"/>
        <v>1</v>
      </c>
      <c r="BR3">
        <f t="shared" si="4"/>
        <v>1</v>
      </c>
      <c r="BS3">
        <f t="shared" si="4"/>
        <v>1</v>
      </c>
      <c r="BT3">
        <f t="shared" si="4"/>
        <v>1</v>
      </c>
      <c r="BU3">
        <f t="shared" si="4"/>
        <v>1</v>
      </c>
      <c r="BV3">
        <f t="shared" si="4"/>
        <v>0</v>
      </c>
      <c r="BW3">
        <f t="shared" si="4"/>
        <v>1</v>
      </c>
      <c r="BX3">
        <f t="shared" si="4"/>
        <v>1</v>
      </c>
      <c r="BY3">
        <f t="shared" si="4"/>
        <v>0</v>
      </c>
      <c r="BZ3">
        <f t="shared" si="4"/>
        <v>0</v>
      </c>
      <c r="CA3">
        <f t="shared" si="4"/>
        <v>0</v>
      </c>
      <c r="CB3">
        <f t="shared" si="4"/>
        <v>0</v>
      </c>
      <c r="CC3">
        <f t="shared" si="4"/>
        <v>0</v>
      </c>
      <c r="CD3">
        <f t="shared" si="4"/>
        <v>0</v>
      </c>
      <c r="CE3">
        <f t="shared" si="4"/>
        <v>0</v>
      </c>
      <c r="CF3">
        <f t="shared" si="4"/>
        <v>0</v>
      </c>
      <c r="CG3">
        <f t="shared" si="4"/>
        <v>0</v>
      </c>
      <c r="CH3">
        <f t="shared" si="4"/>
        <v>0</v>
      </c>
      <c r="CI3">
        <f t="shared" si="4"/>
        <v>0</v>
      </c>
      <c r="CJ3">
        <f t="shared" si="4"/>
        <v>0</v>
      </c>
      <c r="CK3">
        <f t="shared" si="4"/>
        <v>0</v>
      </c>
      <c r="CL3">
        <f t="shared" si="4"/>
        <v>0</v>
      </c>
      <c r="CM3">
        <f t="shared" si="4"/>
        <v>0</v>
      </c>
      <c r="CN3">
        <f t="shared" si="4"/>
        <v>0</v>
      </c>
      <c r="CO3">
        <f t="shared" si="4"/>
        <v>0</v>
      </c>
      <c r="CP3">
        <f t="shared" si="4"/>
        <v>0</v>
      </c>
      <c r="CQ3">
        <f t="shared" si="4"/>
        <v>0</v>
      </c>
      <c r="CR3">
        <f t="shared" si="4"/>
        <v>0</v>
      </c>
      <c r="CS3">
        <f t="shared" si="4"/>
        <v>0</v>
      </c>
      <c r="CT3">
        <f t="shared" si="4"/>
        <v>0</v>
      </c>
      <c r="CU3">
        <f t="shared" si="4"/>
        <v>0</v>
      </c>
      <c r="CV3">
        <f t="shared" si="4"/>
        <v>0</v>
      </c>
      <c r="CW3">
        <f t="shared" si="4"/>
        <v>0</v>
      </c>
      <c r="CX3">
        <f t="shared" si="4"/>
        <v>0</v>
      </c>
      <c r="CY3">
        <f t="shared" ref="CY3:DL3" si="5">+IF(CY4="Tier 2",1,0)</f>
        <v>0</v>
      </c>
      <c r="CZ3">
        <f t="shared" si="5"/>
        <v>0</v>
      </c>
      <c r="DA3">
        <f t="shared" si="5"/>
        <v>0</v>
      </c>
      <c r="DB3">
        <f t="shared" si="5"/>
        <v>0</v>
      </c>
      <c r="DC3">
        <f t="shared" si="5"/>
        <v>0</v>
      </c>
      <c r="DD3">
        <f t="shared" si="5"/>
        <v>1</v>
      </c>
      <c r="DE3">
        <f t="shared" si="5"/>
        <v>1</v>
      </c>
      <c r="DF3">
        <f t="shared" si="5"/>
        <v>1</v>
      </c>
      <c r="DG3">
        <f t="shared" si="5"/>
        <v>1</v>
      </c>
      <c r="DH3">
        <f t="shared" si="5"/>
        <v>1</v>
      </c>
      <c r="DI3">
        <f t="shared" si="5"/>
        <v>1</v>
      </c>
      <c r="DJ3">
        <f t="shared" si="5"/>
        <v>1</v>
      </c>
      <c r="DK3">
        <f t="shared" si="5"/>
        <v>1</v>
      </c>
      <c r="DL3">
        <f t="shared" si="5"/>
        <v>1</v>
      </c>
      <c r="EI3" s="68"/>
      <c r="EK3" s="68"/>
      <c r="EL3" s="68"/>
      <c r="EN3" s="68"/>
    </row>
    <row r="4" spans="1:146" ht="38.25" x14ac:dyDescent="0.2">
      <c r="D4" s="7" t="s">
        <v>12</v>
      </c>
      <c r="M4" s="59" t="s">
        <v>251</v>
      </c>
      <c r="N4" s="92" t="s">
        <v>118</v>
      </c>
      <c r="O4" s="92" t="s">
        <v>118</v>
      </c>
      <c r="S4" s="61" t="s">
        <v>429</v>
      </c>
      <c r="T4"/>
      <c r="AB4" s="107"/>
      <c r="AL4" s="93" t="s">
        <v>110</v>
      </c>
      <c r="AM4" s="93" t="s">
        <v>110</v>
      </c>
      <c r="AN4" s="93" t="s">
        <v>110</v>
      </c>
      <c r="AO4" s="93" t="s">
        <v>110</v>
      </c>
      <c r="AP4" s="93" t="s">
        <v>110</v>
      </c>
      <c r="AQ4" s="93" t="s">
        <v>110</v>
      </c>
      <c r="AR4" s="93" t="s">
        <v>110</v>
      </c>
      <c r="AS4" s="93" t="s">
        <v>110</v>
      </c>
      <c r="AT4" s="93" t="s">
        <v>110</v>
      </c>
      <c r="AU4" s="93" t="s">
        <v>110</v>
      </c>
      <c r="AV4" s="93" t="s">
        <v>110</v>
      </c>
      <c r="AW4" s="93" t="s">
        <v>110</v>
      </c>
      <c r="AX4" s="93" t="s">
        <v>110</v>
      </c>
      <c r="AY4" s="93" t="s">
        <v>110</v>
      </c>
      <c r="AZ4" s="93" t="s">
        <v>110</v>
      </c>
      <c r="BA4" s="93" t="s">
        <v>110</v>
      </c>
      <c r="BB4" s="93" t="s">
        <v>110</v>
      </c>
      <c r="BC4" s="92" t="s">
        <v>118</v>
      </c>
      <c r="BD4" s="92" t="s">
        <v>118</v>
      </c>
      <c r="BE4" s="92" t="s">
        <v>118</v>
      </c>
      <c r="BF4" s="94" t="s">
        <v>120</v>
      </c>
      <c r="BG4" s="92" t="s">
        <v>118</v>
      </c>
      <c r="BH4" s="92" t="s">
        <v>118</v>
      </c>
      <c r="BI4" s="92" t="s">
        <v>118</v>
      </c>
      <c r="BJ4" s="92" t="s">
        <v>118</v>
      </c>
      <c r="BK4" s="92" t="s">
        <v>118</v>
      </c>
      <c r="BL4" s="94" t="s">
        <v>120</v>
      </c>
      <c r="BM4" s="92" t="s">
        <v>118</v>
      </c>
      <c r="BN4" s="92" t="s">
        <v>118</v>
      </c>
      <c r="BO4" s="92" t="s">
        <v>118</v>
      </c>
      <c r="BP4" s="93" t="s">
        <v>110</v>
      </c>
      <c r="BQ4" s="92" t="s">
        <v>118</v>
      </c>
      <c r="BR4" s="92" t="s">
        <v>118</v>
      </c>
      <c r="BS4" s="92" t="s">
        <v>118</v>
      </c>
      <c r="BT4" s="92" t="s">
        <v>118</v>
      </c>
      <c r="BU4" s="92" t="s">
        <v>118</v>
      </c>
      <c r="BV4" s="94" t="s">
        <v>120</v>
      </c>
      <c r="BW4" s="92" t="s">
        <v>118</v>
      </c>
      <c r="BX4" s="92" t="s">
        <v>118</v>
      </c>
      <c r="BZ4" s="126" t="s">
        <v>422</v>
      </c>
      <c r="CA4" s="94" t="s">
        <v>120</v>
      </c>
      <c r="CB4" s="94" t="s">
        <v>120</v>
      </c>
      <c r="CC4" s="94" t="s">
        <v>120</v>
      </c>
      <c r="CD4" s="94" t="s">
        <v>120</v>
      </c>
      <c r="CE4" s="94" t="s">
        <v>120</v>
      </c>
      <c r="CF4" s="93" t="s">
        <v>110</v>
      </c>
      <c r="CG4" s="93" t="s">
        <v>110</v>
      </c>
      <c r="CH4" s="93" t="s">
        <v>110</v>
      </c>
      <c r="CI4" s="94" t="s">
        <v>120</v>
      </c>
      <c r="DD4" s="92" t="s">
        <v>118</v>
      </c>
      <c r="DE4" s="92" t="s">
        <v>118</v>
      </c>
      <c r="DF4" s="92" t="s">
        <v>118</v>
      </c>
      <c r="DG4" s="92" t="s">
        <v>118</v>
      </c>
      <c r="DH4" s="92" t="s">
        <v>118</v>
      </c>
      <c r="DI4" s="92" t="s">
        <v>118</v>
      </c>
      <c r="DJ4" s="92" t="s">
        <v>118</v>
      </c>
      <c r="DK4" s="92" t="s">
        <v>118</v>
      </c>
      <c r="DL4" s="92" t="s">
        <v>118</v>
      </c>
    </row>
    <row r="5" spans="1:146" x14ac:dyDescent="0.2">
      <c r="D5" s="2" t="s">
        <v>13</v>
      </c>
      <c r="S5" s="61" t="s">
        <v>430</v>
      </c>
      <c r="T5" s="58">
        <f>+SUM(T140:T151)</f>
        <v>0</v>
      </c>
      <c r="Z5" s="58">
        <f>+SUM(Z140:Z151)</f>
        <v>0</v>
      </c>
      <c r="AA5" s="58"/>
      <c r="AB5" s="107"/>
      <c r="AF5" s="58">
        <f>+SUM(AF140:AF151)</f>
        <v>0</v>
      </c>
      <c r="AQ5" s="2"/>
      <c r="AR5" s="2"/>
      <c r="AS5" s="2"/>
      <c r="AT5" s="2"/>
      <c r="BA5" s="2">
        <v>8</v>
      </c>
      <c r="BB5" s="2">
        <v>5</v>
      </c>
      <c r="BC5" s="2"/>
      <c r="BD5" s="2"/>
      <c r="BE5" s="2"/>
      <c r="BF5" s="2"/>
      <c r="BG5" s="2"/>
      <c r="BH5" s="2"/>
      <c r="BI5" s="2"/>
      <c r="BJ5" s="2"/>
      <c r="BK5" s="2"/>
      <c r="BL5" s="2"/>
      <c r="BM5" s="2"/>
      <c r="BN5" s="2"/>
      <c r="BO5" s="2"/>
      <c r="BZ5" s="2">
        <v>10</v>
      </c>
      <c r="CJ5" s="27">
        <v>10</v>
      </c>
      <c r="EI5" s="68"/>
      <c r="EK5" s="68"/>
      <c r="EL5" s="68"/>
      <c r="EN5" s="68"/>
    </row>
    <row r="6" spans="1:146" x14ac:dyDescent="0.2">
      <c r="M6" s="61" t="s">
        <v>414</v>
      </c>
      <c r="N6" s="61" t="s">
        <v>414</v>
      </c>
      <c r="O6" s="61" t="s">
        <v>414</v>
      </c>
      <c r="T6"/>
      <c r="Y6" s="70">
        <v>1.1000000000000001</v>
      </c>
      <c r="AA6" s="70">
        <v>0.9</v>
      </c>
      <c r="AL6" t="s">
        <v>18</v>
      </c>
      <c r="AM6" t="s">
        <v>18</v>
      </c>
      <c r="AN6" t="s">
        <v>18</v>
      </c>
      <c r="AO6" t="s">
        <v>18</v>
      </c>
      <c r="AP6" t="s">
        <v>18</v>
      </c>
      <c r="AQ6" t="s">
        <v>18</v>
      </c>
      <c r="AR6" t="s">
        <v>18</v>
      </c>
      <c r="AS6" t="s">
        <v>18</v>
      </c>
      <c r="AT6" t="s">
        <v>18</v>
      </c>
      <c r="AU6" t="s">
        <v>18</v>
      </c>
      <c r="AV6" t="s">
        <v>18</v>
      </c>
      <c r="AW6" t="s">
        <v>18</v>
      </c>
      <c r="AX6" t="s">
        <v>18</v>
      </c>
      <c r="AY6" s="61" t="s">
        <v>72</v>
      </c>
      <c r="AZ6" s="61" t="s">
        <v>18</v>
      </c>
      <c r="BA6" s="37"/>
      <c r="BB6" s="44"/>
      <c r="BC6" s="44"/>
      <c r="BD6" s="44"/>
      <c r="BE6" s="44"/>
      <c r="BF6" s="44"/>
      <c r="BG6" s="44"/>
      <c r="BH6" s="44"/>
      <c r="BI6" s="44"/>
      <c r="BJ6" s="44"/>
      <c r="BK6" s="44"/>
      <c r="BL6" s="44"/>
      <c r="BM6" s="44"/>
      <c r="BN6" s="44"/>
      <c r="BO6" s="44"/>
      <c r="BZ6" s="37">
        <v>0.97499999999999998</v>
      </c>
      <c r="CJ6" s="27">
        <v>20</v>
      </c>
      <c r="EI6" s="68"/>
      <c r="EK6" s="68"/>
      <c r="EL6" s="68"/>
      <c r="EN6" s="68"/>
    </row>
    <row r="7" spans="1:146" ht="114.75" x14ac:dyDescent="0.2">
      <c r="A7" s="6" t="s">
        <v>19</v>
      </c>
      <c r="B7" s="6" t="s">
        <v>20</v>
      </c>
      <c r="C7" s="6" t="s">
        <v>21</v>
      </c>
      <c r="D7" s="3" t="s">
        <v>8</v>
      </c>
      <c r="E7" s="3" t="s">
        <v>9</v>
      </c>
      <c r="F7" s="6" t="s">
        <v>43</v>
      </c>
      <c r="G7" s="130" t="s">
        <v>365</v>
      </c>
      <c r="H7" s="267" t="s">
        <v>428</v>
      </c>
      <c r="I7" s="56" t="s">
        <v>366</v>
      </c>
      <c r="J7" s="56" t="s">
        <v>42</v>
      </c>
      <c r="K7" s="56" t="s">
        <v>40</v>
      </c>
      <c r="L7" s="56" t="s">
        <v>41</v>
      </c>
      <c r="M7" s="267" t="s">
        <v>434</v>
      </c>
      <c r="N7" s="267" t="s">
        <v>294</v>
      </c>
      <c r="O7" s="267" t="s">
        <v>250</v>
      </c>
      <c r="P7" s="56" t="s">
        <v>219</v>
      </c>
      <c r="Q7" s="56" t="s">
        <v>217</v>
      </c>
      <c r="R7" s="56" t="s">
        <v>218</v>
      </c>
      <c r="S7" s="130" t="s">
        <v>431</v>
      </c>
      <c r="T7" s="130" t="s">
        <v>432</v>
      </c>
      <c r="U7" s="130" t="s">
        <v>433</v>
      </c>
      <c r="V7" s="56" t="s">
        <v>220</v>
      </c>
      <c r="W7" s="56" t="s">
        <v>221</v>
      </c>
      <c r="X7" s="56" t="s">
        <v>222</v>
      </c>
      <c r="Y7" s="130" t="s">
        <v>449</v>
      </c>
      <c r="Z7" s="130" t="s">
        <v>368</v>
      </c>
      <c r="AA7" s="56" t="s">
        <v>435</v>
      </c>
      <c r="AB7" s="56" t="s">
        <v>310</v>
      </c>
      <c r="AC7" s="56" t="s">
        <v>311</v>
      </c>
      <c r="AD7" s="56" t="s">
        <v>312</v>
      </c>
      <c r="AE7" s="56" t="s">
        <v>466</v>
      </c>
      <c r="AF7" s="56" t="s">
        <v>467</v>
      </c>
      <c r="AG7" s="56" t="s">
        <v>468</v>
      </c>
      <c r="AH7" s="56" t="s">
        <v>464</v>
      </c>
      <c r="AI7" s="56" t="s">
        <v>313</v>
      </c>
      <c r="AJ7" s="56" t="s">
        <v>314</v>
      </c>
      <c r="AK7" s="56" t="s">
        <v>315</v>
      </c>
      <c r="AL7" s="6" t="s">
        <v>3</v>
      </c>
      <c r="AM7" s="6" t="s">
        <v>4</v>
      </c>
      <c r="AN7" s="6" t="s">
        <v>5</v>
      </c>
      <c r="AO7" s="6" t="s">
        <v>6</v>
      </c>
      <c r="AP7" s="56" t="s">
        <v>358</v>
      </c>
      <c r="AQ7" s="6" t="s">
        <v>38</v>
      </c>
      <c r="AR7" s="6" t="s">
        <v>39</v>
      </c>
      <c r="AS7" s="56" t="s">
        <v>73</v>
      </c>
      <c r="AT7" s="56" t="s">
        <v>74</v>
      </c>
      <c r="AU7" s="6" t="s">
        <v>1</v>
      </c>
      <c r="AV7" s="6" t="s">
        <v>0</v>
      </c>
      <c r="AW7" s="6" t="s">
        <v>123</v>
      </c>
      <c r="AX7" s="6" t="s">
        <v>11</v>
      </c>
      <c r="AY7" s="56" t="s">
        <v>64</v>
      </c>
      <c r="AZ7" s="6" t="s">
        <v>2</v>
      </c>
      <c r="BA7" s="6" t="s">
        <v>23</v>
      </c>
      <c r="BB7" s="130" t="s">
        <v>491</v>
      </c>
      <c r="BC7" s="130" t="s">
        <v>124</v>
      </c>
      <c r="BD7" s="130" t="s">
        <v>126</v>
      </c>
      <c r="BE7" s="130" t="s">
        <v>125</v>
      </c>
      <c r="BF7" s="130" t="s">
        <v>127</v>
      </c>
      <c r="BG7" s="130" t="s">
        <v>128</v>
      </c>
      <c r="BH7" s="130" t="s">
        <v>129</v>
      </c>
      <c r="BI7" s="130" t="s">
        <v>130</v>
      </c>
      <c r="BJ7" s="130" t="s">
        <v>131</v>
      </c>
      <c r="BK7" s="130" t="s">
        <v>132</v>
      </c>
      <c r="BL7" s="130" t="s">
        <v>133</v>
      </c>
      <c r="BM7" s="130" t="s">
        <v>134</v>
      </c>
      <c r="BN7" s="130" t="s">
        <v>135</v>
      </c>
      <c r="BO7" s="130" t="s">
        <v>216</v>
      </c>
      <c r="BP7" s="6" t="s">
        <v>37</v>
      </c>
      <c r="BQ7" s="56" t="s">
        <v>360</v>
      </c>
      <c r="BR7" s="56" t="s">
        <v>361</v>
      </c>
      <c r="BS7" s="56" t="s">
        <v>362</v>
      </c>
      <c r="BT7" s="56" t="s">
        <v>363</v>
      </c>
      <c r="BU7" s="56" t="s">
        <v>364</v>
      </c>
      <c r="BV7" s="56" t="s">
        <v>293</v>
      </c>
      <c r="BW7" s="56" t="s">
        <v>294</v>
      </c>
      <c r="BX7" s="56" t="s">
        <v>250</v>
      </c>
      <c r="BY7" s="56" t="s">
        <v>89</v>
      </c>
      <c r="BZ7" s="56" t="s">
        <v>78</v>
      </c>
      <c r="CA7" s="56" t="s">
        <v>359</v>
      </c>
      <c r="CB7" s="56" t="s">
        <v>121</v>
      </c>
      <c r="CC7" s="6" t="s">
        <v>36</v>
      </c>
      <c r="CD7" s="6" t="s">
        <v>355</v>
      </c>
      <c r="CE7" s="56" t="s">
        <v>88</v>
      </c>
      <c r="CF7" s="56" t="s">
        <v>214</v>
      </c>
      <c r="CG7" s="56" t="s">
        <v>413</v>
      </c>
      <c r="CH7" s="56" t="s">
        <v>415</v>
      </c>
      <c r="CI7" s="56" t="s">
        <v>136</v>
      </c>
      <c r="CJ7" s="282" t="s">
        <v>492</v>
      </c>
      <c r="CK7" s="6" t="s">
        <v>10</v>
      </c>
      <c r="CL7" s="56" t="s">
        <v>223</v>
      </c>
      <c r="CM7" s="56" t="s">
        <v>224</v>
      </c>
      <c r="CN7" s="56" t="s">
        <v>225</v>
      </c>
      <c r="CO7" s="56" t="s">
        <v>226</v>
      </c>
      <c r="CP7" s="56" t="s">
        <v>227</v>
      </c>
      <c r="CQ7" s="56" t="s">
        <v>228</v>
      </c>
      <c r="CR7" s="56" t="s">
        <v>229</v>
      </c>
      <c r="CS7" s="56" t="s">
        <v>230</v>
      </c>
      <c r="CT7" s="56" t="s">
        <v>231</v>
      </c>
      <c r="CU7" s="56" t="s">
        <v>232</v>
      </c>
      <c r="CV7" s="56" t="s">
        <v>233</v>
      </c>
      <c r="CW7" s="56" t="s">
        <v>234</v>
      </c>
      <c r="CX7" s="56" t="s">
        <v>235</v>
      </c>
      <c r="CY7" s="56" t="s">
        <v>236</v>
      </c>
      <c r="CZ7" s="56" t="s">
        <v>237</v>
      </c>
      <c r="DA7" s="56" t="s">
        <v>238</v>
      </c>
      <c r="DB7" s="56" t="s">
        <v>239</v>
      </c>
      <c r="DC7" s="56" t="s">
        <v>240</v>
      </c>
      <c r="DD7" s="56" t="s">
        <v>65</v>
      </c>
      <c r="DE7" s="56" t="s">
        <v>66</v>
      </c>
      <c r="DF7" s="56" t="s">
        <v>67</v>
      </c>
      <c r="DG7" s="56" t="s">
        <v>68</v>
      </c>
      <c r="DH7" s="56" t="s">
        <v>98</v>
      </c>
      <c r="DI7" s="56" t="s">
        <v>99</v>
      </c>
      <c r="DJ7" s="56" t="s">
        <v>137</v>
      </c>
      <c r="DK7" s="56" t="s">
        <v>138</v>
      </c>
      <c r="DL7" s="56" t="s">
        <v>140</v>
      </c>
      <c r="DM7" s="6" t="s">
        <v>14</v>
      </c>
      <c r="DN7" s="6" t="s">
        <v>15</v>
      </c>
      <c r="DO7" s="6" t="str">
        <f t="shared" ref="DO7" si="6">+CL7</f>
        <v>High Forecast - High DSM    Net Load Forecast Shortfall (Excess)</v>
      </c>
      <c r="DP7" s="6" t="str">
        <f t="shared" ref="DP7" si="7">+CM7</f>
        <v>High Forecast - Base DSM     Net Load Forecast Shortfall (Excess)</v>
      </c>
      <c r="DQ7" s="6" t="str">
        <f t="shared" ref="DQ7" si="8">+CN7</f>
        <v>High Forecast - Low DSM     Net Load Forecast Shortfall (Excess)</v>
      </c>
      <c r="DR7" s="6" t="str">
        <f t="shared" ref="DR7" si="9">+CO7</f>
        <v>Base Forecast - High DSM    Net Load Forecast Shortfall (Excess)</v>
      </c>
      <c r="DS7" s="6" t="str">
        <f t="shared" ref="DS7" si="10">+CP7</f>
        <v xml:space="preserve">Base Forecast - Base DSM    Net Load Forecast Shortfall (Excess) </v>
      </c>
      <c r="DT7" s="6" t="str">
        <f t="shared" ref="DT7" si="11">+CQ7</f>
        <v>Base Forecast - Low DSM     Net Load Forecast Shortfall (Excess)</v>
      </c>
      <c r="DU7" s="6" t="str">
        <f t="shared" ref="DU7" si="12">+CR7</f>
        <v>Low Forecast - High DSM    Net Load Forecast Shortfall (Excess)</v>
      </c>
      <c r="DV7" s="6" t="str">
        <f t="shared" ref="DV7" si="13">+CS7</f>
        <v>Low Forecast - Base DSM    Net Load Forecast Shortfall (Excess)</v>
      </c>
      <c r="DW7" s="6" t="str">
        <f t="shared" ref="DW7" si="14">+CT7</f>
        <v>Low Forecast - Low DSM    Net Load Forecast Shortfall (Excess)</v>
      </c>
      <c r="DX7" s="6" t="str">
        <f t="shared" ref="DX7:EF7" si="15">+CU7</f>
        <v>High Forecast - High DSM    Net Load Forecast % Shortfall (Excess)</v>
      </c>
      <c r="DY7" s="6" t="str">
        <f t="shared" si="15"/>
        <v>High Forecast - Base DSM     Net Load Forecast % Shortfall (Excess)</v>
      </c>
      <c r="DZ7" s="6" t="str">
        <f t="shared" si="15"/>
        <v>High Forecast - Low DSM     Net Load Forecast % Shortfall (Excess)</v>
      </c>
      <c r="EA7" s="6" t="str">
        <f t="shared" si="15"/>
        <v>Base Forecast - High DSM    Net Load Forecast % Shortfall (Excess)</v>
      </c>
      <c r="EB7" s="6" t="str">
        <f t="shared" si="15"/>
        <v xml:space="preserve">Base Forecast - Base DSM    Net Load Forecast % Shortfall (Excess) </v>
      </c>
      <c r="EC7" s="6" t="str">
        <f t="shared" si="15"/>
        <v>Base Forecast - Low DSM     Net Load Forecast % Shortfall (Excess)</v>
      </c>
      <c r="ED7" s="6" t="str">
        <f t="shared" si="15"/>
        <v>Low Forecast - High DSM    Net Load Forecast % Shortfall (Excess)</v>
      </c>
      <c r="EE7" s="6" t="str">
        <f t="shared" si="15"/>
        <v>Low Forecast - Base DSM    Net Load Forecast % Shortfall (Excess)</v>
      </c>
      <c r="EF7" s="6" t="str">
        <f t="shared" si="15"/>
        <v>Low Forecast - Low DSM    Net Load Forecast % Shortfall (Excess)</v>
      </c>
      <c r="EH7" s="61" t="s">
        <v>424</v>
      </c>
      <c r="EI7" s="264" t="s">
        <v>407</v>
      </c>
      <c r="EJ7" s="61" t="s">
        <v>425</v>
      </c>
      <c r="EK7" s="264" t="s">
        <v>408</v>
      </c>
      <c r="EL7" s="59" t="s">
        <v>426</v>
      </c>
      <c r="EM7" s="59" t="s">
        <v>427</v>
      </c>
      <c r="EN7" s="264"/>
      <c r="EO7" s="137" t="s">
        <v>257</v>
      </c>
      <c r="EP7" s="137" t="s">
        <v>258</v>
      </c>
    </row>
    <row r="8" spans="1:146" x14ac:dyDescent="0.2">
      <c r="D8" s="2">
        <v>2008</v>
      </c>
      <c r="E8" s="2">
        <v>1</v>
      </c>
      <c r="F8" s="2"/>
      <c r="G8" s="63"/>
      <c r="H8" s="63"/>
      <c r="I8" s="63"/>
      <c r="J8" s="63"/>
      <c r="K8" s="63"/>
      <c r="L8" s="63"/>
      <c r="M8" s="1"/>
      <c r="N8" s="1"/>
      <c r="O8" s="1"/>
      <c r="P8" s="8">
        <f>+G8-L8</f>
        <v>0</v>
      </c>
      <c r="Q8" s="8">
        <f>+G8-K8</f>
        <v>0</v>
      </c>
      <c r="R8" s="8">
        <f>+G8-J8</f>
        <v>0</v>
      </c>
      <c r="S8" s="8">
        <f>+H8-L8</f>
        <v>0</v>
      </c>
      <c r="T8" s="69">
        <f>+H8-K8</f>
        <v>0</v>
      </c>
      <c r="U8" s="8">
        <f>+H8-J8</f>
        <v>0</v>
      </c>
      <c r="V8" s="8">
        <f>+I8-L8</f>
        <v>0</v>
      </c>
      <c r="W8" s="8">
        <f>+I8-K8</f>
        <v>0</v>
      </c>
      <c r="X8" s="8">
        <f>+I8-J8</f>
        <v>0</v>
      </c>
      <c r="Y8" s="8"/>
      <c r="Z8" s="8"/>
      <c r="AA8" s="8"/>
      <c r="AB8" s="8"/>
      <c r="AC8" s="8"/>
      <c r="AD8" s="8"/>
      <c r="AE8" s="8"/>
      <c r="AF8" s="8"/>
      <c r="AG8" s="8"/>
      <c r="AH8" s="8"/>
      <c r="AI8" s="8"/>
      <c r="AJ8" s="8"/>
      <c r="AK8" s="8"/>
      <c r="AL8" s="63"/>
      <c r="AM8" s="63"/>
      <c r="AN8" s="63"/>
      <c r="AO8" s="63"/>
      <c r="AP8" s="63"/>
      <c r="AQ8" s="5"/>
      <c r="AR8" s="5"/>
      <c r="AS8" s="5"/>
      <c r="AT8" s="5"/>
      <c r="AU8" s="1">
        <v>2657.4251200000003</v>
      </c>
      <c r="AV8" s="1">
        <v>66.834000000000003</v>
      </c>
      <c r="AW8" s="1">
        <v>5.8545454545454554</v>
      </c>
      <c r="AX8" s="1">
        <v>2.9496666666666664</v>
      </c>
      <c r="AY8" s="1"/>
      <c r="AZ8" s="1">
        <v>2295.458150975825</v>
      </c>
      <c r="BA8" s="5"/>
      <c r="BB8" s="5"/>
      <c r="BC8" s="5"/>
      <c r="BD8" s="5"/>
      <c r="BE8" s="5"/>
      <c r="BF8" s="5"/>
      <c r="BG8" s="5"/>
      <c r="BH8" s="5"/>
      <c r="BI8" s="5"/>
      <c r="BJ8" s="5"/>
      <c r="BK8" s="5"/>
      <c r="BL8" s="5"/>
      <c r="BM8" s="5"/>
      <c r="BN8" s="5"/>
      <c r="BO8" s="5"/>
      <c r="BP8" s="5"/>
      <c r="BQ8" s="5"/>
      <c r="BR8" s="1"/>
      <c r="BS8" s="2">
        <v>7068</v>
      </c>
      <c r="BT8" s="1">
        <v>3441</v>
      </c>
      <c r="BU8" s="1">
        <v>3720</v>
      </c>
      <c r="BV8" s="1"/>
      <c r="BW8" s="1"/>
      <c r="BX8" s="1"/>
      <c r="BY8" s="1"/>
      <c r="BZ8" s="1"/>
      <c r="CA8" s="2">
        <v>0</v>
      </c>
      <c r="CB8" s="2"/>
      <c r="CC8" s="2"/>
      <c r="CD8" s="2"/>
      <c r="CE8" s="2"/>
      <c r="CF8" s="2"/>
      <c r="CG8" s="2"/>
      <c r="CH8" s="2"/>
      <c r="CI8" s="2"/>
      <c r="CJ8" s="27"/>
      <c r="CK8" s="8" t="e">
        <f>#N/A</f>
        <v>#N/A</v>
      </c>
      <c r="CL8" s="9" t="e">
        <f>#N/A</f>
        <v>#N/A</v>
      </c>
      <c r="CM8" s="9" t="e">
        <f>#N/A</f>
        <v>#N/A</v>
      </c>
      <c r="CN8" s="9" t="e">
        <f>#N/A</f>
        <v>#N/A</v>
      </c>
      <c r="CO8" s="9" t="e">
        <f>#N/A</f>
        <v>#N/A</v>
      </c>
      <c r="CP8" s="9" t="e">
        <f>#N/A</f>
        <v>#N/A</v>
      </c>
      <c r="CQ8" s="9" t="e">
        <f>#N/A</f>
        <v>#N/A</v>
      </c>
      <c r="CR8" s="9" t="e">
        <f>#N/A</f>
        <v>#N/A</v>
      </c>
      <c r="CS8" s="9" t="e">
        <f>#N/A</f>
        <v>#N/A</v>
      </c>
      <c r="CT8" s="9" t="e">
        <f>#N/A</f>
        <v>#N/A</v>
      </c>
      <c r="CU8" s="19" t="e">
        <f>#N/A</f>
        <v>#N/A</v>
      </c>
      <c r="CV8" s="19" t="e">
        <f>#N/A</f>
        <v>#N/A</v>
      </c>
      <c r="CW8" s="19" t="e">
        <f>#N/A</f>
        <v>#N/A</v>
      </c>
      <c r="CX8" s="19" t="e">
        <f>#N/A</f>
        <v>#N/A</v>
      </c>
      <c r="CY8" s="30" t="e">
        <f>#N/A</f>
        <v>#N/A</v>
      </c>
      <c r="CZ8" s="19" t="e">
        <f>#N/A</f>
        <v>#N/A</v>
      </c>
      <c r="DA8" s="19" t="e">
        <f>#N/A</f>
        <v>#N/A</v>
      </c>
      <c r="DB8" s="19" t="e">
        <f>#N/A</f>
        <v>#N/A</v>
      </c>
      <c r="DC8" s="19" t="e">
        <f>#N/A</f>
        <v>#N/A</v>
      </c>
      <c r="DD8" s="5"/>
      <c r="DE8" s="5"/>
      <c r="DF8" s="18"/>
      <c r="DG8" s="5"/>
      <c r="DH8" s="5"/>
      <c r="DI8" s="5"/>
      <c r="DJ8" s="5"/>
      <c r="DK8" s="5"/>
      <c r="DL8" s="5"/>
      <c r="DM8" s="8" t="e">
        <f>#N/A</f>
        <v>#N/A</v>
      </c>
      <c r="DN8" s="8" t="e">
        <f>#N/A</f>
        <v>#N/A</v>
      </c>
      <c r="DO8" s="202" t="e">
        <f>#N/A</f>
        <v>#N/A</v>
      </c>
      <c r="DP8" s="202" t="e">
        <f>#N/A</f>
        <v>#N/A</v>
      </c>
      <c r="DQ8" s="202" t="e">
        <f>#N/A</f>
        <v>#N/A</v>
      </c>
      <c r="DR8" s="9" t="e">
        <f>#N/A</f>
        <v>#N/A</v>
      </c>
      <c r="DS8" s="9" t="e">
        <f>#N/A</f>
        <v>#N/A</v>
      </c>
      <c r="DT8" s="9" t="e">
        <f>#N/A</f>
        <v>#N/A</v>
      </c>
      <c r="DU8" s="202" t="e">
        <f>#N/A</f>
        <v>#N/A</v>
      </c>
      <c r="DV8" s="202" t="e">
        <f>#N/A</f>
        <v>#N/A</v>
      </c>
      <c r="DW8" s="202" t="e">
        <f>#N/A</f>
        <v>#N/A</v>
      </c>
      <c r="DX8" s="203" t="e">
        <f t="shared" ref="DX8:DX71" si="16">+DO8/P8</f>
        <v>#N/A</v>
      </c>
      <c r="DY8" s="203" t="e">
        <f t="shared" ref="DY8:DY71" si="17">+DP8/Q8</f>
        <v>#N/A</v>
      </c>
      <c r="DZ8" s="203" t="e">
        <f t="shared" ref="DZ8:DZ71" si="18">+DQ8/R8</f>
        <v>#N/A</v>
      </c>
      <c r="EA8" s="19" t="e">
        <f t="shared" ref="EA8:EA71" si="19">+DR8/S8</f>
        <v>#N/A</v>
      </c>
      <c r="EB8" s="19" t="e">
        <f t="shared" ref="EB8:EB71" si="20">+DS8/T8</f>
        <v>#N/A</v>
      </c>
      <c r="EC8" s="19" t="e">
        <f t="shared" ref="EC8:EC71" si="21">+DT8/U8</f>
        <v>#N/A</v>
      </c>
      <c r="ED8" s="203" t="e">
        <f t="shared" ref="ED8:ED71" si="22">+DU8/V8</f>
        <v>#N/A</v>
      </c>
      <c r="EE8" s="203" t="e">
        <f t="shared" ref="EE8:EE71" si="23">+DV8/W8</f>
        <v>#N/A</v>
      </c>
      <c r="EF8" s="203" t="e">
        <f t="shared" ref="EF8:EF71" si="24">+DW8/X8</f>
        <v>#N/A</v>
      </c>
      <c r="EH8" s="58">
        <f>SUMIF($AL$1:$DL$1,1,$AL8:$DL8)</f>
        <v>19248.717270975823</v>
      </c>
      <c r="EI8" s="68" t="e">
        <f>+EH8/$AF8</f>
        <v>#DIV/0!</v>
      </c>
      <c r="EJ8" s="58">
        <f>SUMIF($AL$2:$DL$2,1,$AL8:$DL8)</f>
        <v>19248.717270975823</v>
      </c>
      <c r="EK8" s="68" t="e">
        <f>+EJ8/$AF8</f>
        <v>#DIV/0!</v>
      </c>
      <c r="EL8" s="58">
        <f>+EM8-BX8</f>
        <v>14229</v>
      </c>
      <c r="EM8" s="58">
        <f>SUMIF($AL$3:$DL$3,1,$AL8:$DL8)</f>
        <v>14229</v>
      </c>
      <c r="EN8" s="68"/>
    </row>
    <row r="9" spans="1:146" x14ac:dyDescent="0.2">
      <c r="D9" s="2">
        <v>2008</v>
      </c>
      <c r="E9" s="2">
        <f>1+E8</f>
        <v>2</v>
      </c>
      <c r="F9" s="2"/>
      <c r="G9" s="63"/>
      <c r="H9" s="63"/>
      <c r="I9" s="63"/>
      <c r="J9" s="63"/>
      <c r="K9" s="63"/>
      <c r="L9" s="63"/>
      <c r="M9" s="1"/>
      <c r="N9" s="1"/>
      <c r="O9" s="1"/>
      <c r="P9" s="8" t="e">
        <f>#N/A</f>
        <v>#N/A</v>
      </c>
      <c r="Q9" s="8" t="e">
        <f>#N/A</f>
        <v>#N/A</v>
      </c>
      <c r="R9" s="8" t="e">
        <f>#N/A</f>
        <v>#N/A</v>
      </c>
      <c r="S9" s="8" t="e">
        <f>#N/A</f>
        <v>#N/A</v>
      </c>
      <c r="T9" s="69" t="e">
        <f>#N/A</f>
        <v>#N/A</v>
      </c>
      <c r="U9" s="8" t="e">
        <f>#N/A</f>
        <v>#N/A</v>
      </c>
      <c r="V9" s="8" t="e">
        <f>#N/A</f>
        <v>#N/A</v>
      </c>
      <c r="W9" s="8" t="e">
        <f>#N/A</f>
        <v>#N/A</v>
      </c>
      <c r="X9" s="8" t="e">
        <f>#N/A</f>
        <v>#N/A</v>
      </c>
      <c r="Y9" s="8"/>
      <c r="Z9" s="8"/>
      <c r="AA9" s="8"/>
      <c r="AB9" s="8"/>
      <c r="AC9" s="8"/>
      <c r="AD9" s="8"/>
      <c r="AE9" s="8"/>
      <c r="AF9" s="8"/>
      <c r="AG9" s="8"/>
      <c r="AH9" s="8"/>
      <c r="AI9" s="8"/>
      <c r="AJ9" s="8"/>
      <c r="AK9" s="8"/>
      <c r="AL9" s="63"/>
      <c r="AM9" s="63"/>
      <c r="AN9" s="63"/>
      <c r="AO9" s="63"/>
      <c r="AP9" s="63"/>
      <c r="AQ9" s="5"/>
      <c r="AR9" s="5"/>
      <c r="AS9" s="5"/>
      <c r="AT9" s="5"/>
      <c r="AU9" s="1">
        <v>2291.2622880000004</v>
      </c>
      <c r="AV9" s="1">
        <v>55.246000000000002</v>
      </c>
      <c r="AW9" s="1">
        <v>4.7854545454545452</v>
      </c>
      <c r="AX9" s="1">
        <v>2.7113333333333336</v>
      </c>
      <c r="AY9" s="1"/>
      <c r="AZ9" s="1">
        <v>1925.9883022332249</v>
      </c>
      <c r="BA9" s="5"/>
      <c r="BB9" s="5"/>
      <c r="BC9" s="5"/>
      <c r="BD9" s="5"/>
      <c r="BE9" s="5"/>
      <c r="BF9" s="5"/>
      <c r="BG9" s="5"/>
      <c r="BH9" s="5"/>
      <c r="BI9" s="5"/>
      <c r="BJ9" s="5"/>
      <c r="BK9" s="5"/>
      <c r="BL9" s="5"/>
      <c r="BM9" s="5"/>
      <c r="BN9" s="5"/>
      <c r="BO9" s="5"/>
      <c r="BP9" s="5"/>
      <c r="BQ9" s="5"/>
      <c r="BR9" s="1"/>
      <c r="BS9" s="2">
        <v>6612</v>
      </c>
      <c r="BT9" s="1">
        <v>3219</v>
      </c>
      <c r="BU9" s="1">
        <v>3480</v>
      </c>
      <c r="BV9" s="1"/>
      <c r="BW9" s="1"/>
      <c r="BX9" s="1"/>
      <c r="BY9" s="1"/>
      <c r="BZ9" s="1"/>
      <c r="CA9" s="2">
        <v>0</v>
      </c>
      <c r="CB9" s="2"/>
      <c r="CC9" s="2"/>
      <c r="CD9" s="2"/>
      <c r="CE9" s="2"/>
      <c r="CF9" s="2"/>
      <c r="CG9" s="2"/>
      <c r="CH9" s="2"/>
      <c r="CI9" s="2"/>
      <c r="CJ9" s="27"/>
      <c r="CK9" s="8" t="e">
        <f>#N/A</f>
        <v>#N/A</v>
      </c>
      <c r="CL9" s="9" t="e">
        <f>#N/A</f>
        <v>#N/A</v>
      </c>
      <c r="CM9" s="9" t="e">
        <f>#N/A</f>
        <v>#N/A</v>
      </c>
      <c r="CN9" s="9" t="e">
        <f>#N/A</f>
        <v>#N/A</v>
      </c>
      <c r="CO9" s="9" t="e">
        <f>#N/A</f>
        <v>#N/A</v>
      </c>
      <c r="CP9" s="9" t="e">
        <f>#N/A</f>
        <v>#N/A</v>
      </c>
      <c r="CQ9" s="9" t="e">
        <f>#N/A</f>
        <v>#N/A</v>
      </c>
      <c r="CR9" s="9" t="e">
        <f>#N/A</f>
        <v>#N/A</v>
      </c>
      <c r="CS9" s="9" t="e">
        <f>#N/A</f>
        <v>#N/A</v>
      </c>
      <c r="CT9" s="9" t="e">
        <f>#N/A</f>
        <v>#N/A</v>
      </c>
      <c r="CU9" s="19" t="e">
        <f>#N/A</f>
        <v>#N/A</v>
      </c>
      <c r="CV9" s="19" t="e">
        <f>#N/A</f>
        <v>#N/A</v>
      </c>
      <c r="CW9" s="19" t="e">
        <f>#N/A</f>
        <v>#N/A</v>
      </c>
      <c r="CX9" s="19" t="e">
        <f>#N/A</f>
        <v>#N/A</v>
      </c>
      <c r="CY9" s="30" t="e">
        <f>#N/A</f>
        <v>#N/A</v>
      </c>
      <c r="CZ9" s="19" t="e">
        <f>#N/A</f>
        <v>#N/A</v>
      </c>
      <c r="DA9" s="19" t="e">
        <f>#N/A</f>
        <v>#N/A</v>
      </c>
      <c r="DB9" s="19" t="e">
        <f>#N/A</f>
        <v>#N/A</v>
      </c>
      <c r="DC9" s="19" t="e">
        <f>#N/A</f>
        <v>#N/A</v>
      </c>
      <c r="DD9" s="5"/>
      <c r="DE9" s="5"/>
      <c r="DF9" s="18"/>
      <c r="DG9" s="5"/>
      <c r="DH9" s="5"/>
      <c r="DI9" s="5"/>
      <c r="DJ9" s="5"/>
      <c r="DK9" s="5"/>
      <c r="DL9" s="5"/>
      <c r="DM9" s="8" t="e">
        <f>#N/A</f>
        <v>#N/A</v>
      </c>
      <c r="DN9" s="8" t="e">
        <f>#N/A</f>
        <v>#N/A</v>
      </c>
      <c r="DO9" s="202" t="e">
        <f>#N/A</f>
        <v>#N/A</v>
      </c>
      <c r="DP9" s="202" t="e">
        <f>#N/A</f>
        <v>#N/A</v>
      </c>
      <c r="DQ9" s="202" t="e">
        <f>#N/A</f>
        <v>#N/A</v>
      </c>
      <c r="DR9" s="9" t="e">
        <f>#N/A</f>
        <v>#N/A</v>
      </c>
      <c r="DS9" s="9" t="e">
        <f>#N/A</f>
        <v>#N/A</v>
      </c>
      <c r="DT9" s="9" t="e">
        <f>#N/A</f>
        <v>#N/A</v>
      </c>
      <c r="DU9" s="202" t="e">
        <f>#N/A</f>
        <v>#N/A</v>
      </c>
      <c r="DV9" s="202" t="e">
        <f>#N/A</f>
        <v>#N/A</v>
      </c>
      <c r="DW9" s="202" t="e">
        <f>#N/A</f>
        <v>#N/A</v>
      </c>
      <c r="DX9" s="203" t="e">
        <f t="shared" si="16"/>
        <v>#N/A</v>
      </c>
      <c r="DY9" s="203" t="e">
        <f t="shared" si="17"/>
        <v>#N/A</v>
      </c>
      <c r="DZ9" s="203" t="e">
        <f t="shared" si="18"/>
        <v>#N/A</v>
      </c>
      <c r="EA9" s="19" t="e">
        <f t="shared" si="19"/>
        <v>#N/A</v>
      </c>
      <c r="EB9" s="19" t="e">
        <f t="shared" si="20"/>
        <v>#N/A</v>
      </c>
      <c r="EC9" s="19" t="e">
        <f t="shared" si="21"/>
        <v>#N/A</v>
      </c>
      <c r="ED9" s="203" t="e">
        <f t="shared" si="22"/>
        <v>#N/A</v>
      </c>
      <c r="EE9" s="203" t="e">
        <f t="shared" si="23"/>
        <v>#N/A</v>
      </c>
      <c r="EF9" s="203" t="e">
        <f t="shared" si="24"/>
        <v>#N/A</v>
      </c>
      <c r="EH9" s="58">
        <f t="shared" ref="EH9:EH72" si="25">SUMIF($AL$1:$DL$1,1,$AL9:$DL9)</f>
        <v>17583.496590233226</v>
      </c>
      <c r="EI9" s="68" t="e">
        <f t="shared" ref="EI9:EN72" si="26">+EH9/$AF9</f>
        <v>#DIV/0!</v>
      </c>
      <c r="EJ9" s="58">
        <f t="shared" ref="EJ9:EJ72" si="27">SUMIF($AL$2:$DL$2,1,$AL9:$DL9)</f>
        <v>17583.496590233226</v>
      </c>
      <c r="EK9" s="68" t="e">
        <f t="shared" si="26"/>
        <v>#DIV/0!</v>
      </c>
      <c r="EL9" s="58">
        <f t="shared" ref="EL9:EL72" si="28">+EM9-BX9</f>
        <v>13311</v>
      </c>
      <c r="EM9" s="58">
        <f t="shared" ref="EM9:EM72" si="29">SUMIF($AL$3:$DL$3,1,$AL9:$DL9)</f>
        <v>13311</v>
      </c>
      <c r="EN9" s="68"/>
    </row>
    <row r="10" spans="1:146" x14ac:dyDescent="0.2">
      <c r="D10" s="2">
        <v>2008</v>
      </c>
      <c r="E10" s="2" t="e">
        <f>#N/A</f>
        <v>#N/A</v>
      </c>
      <c r="F10" s="2"/>
      <c r="G10" s="63"/>
      <c r="H10" s="63"/>
      <c r="I10" s="63"/>
      <c r="J10" s="63"/>
      <c r="K10" s="63"/>
      <c r="L10" s="63"/>
      <c r="M10" s="1"/>
      <c r="N10" s="1"/>
      <c r="O10" s="1"/>
      <c r="P10" s="8" t="e">
        <f>#N/A</f>
        <v>#N/A</v>
      </c>
      <c r="Q10" s="8" t="e">
        <f>#N/A</f>
        <v>#N/A</v>
      </c>
      <c r="R10" s="8" t="e">
        <f>#N/A</f>
        <v>#N/A</v>
      </c>
      <c r="S10" s="8" t="e">
        <f>#N/A</f>
        <v>#N/A</v>
      </c>
      <c r="T10" s="69" t="e">
        <f>#N/A</f>
        <v>#N/A</v>
      </c>
      <c r="U10" s="8" t="e">
        <f>#N/A</f>
        <v>#N/A</v>
      </c>
      <c r="V10" s="8" t="e">
        <f>#N/A</f>
        <v>#N/A</v>
      </c>
      <c r="W10" s="8" t="e">
        <f>#N/A</f>
        <v>#N/A</v>
      </c>
      <c r="X10" s="8" t="e">
        <f>#N/A</f>
        <v>#N/A</v>
      </c>
      <c r="Y10" s="8"/>
      <c r="Z10" s="8"/>
      <c r="AA10" s="8"/>
      <c r="AB10" s="8"/>
      <c r="AC10" s="8"/>
      <c r="AD10" s="8"/>
      <c r="AE10" s="8"/>
      <c r="AF10" s="8"/>
      <c r="AG10" s="8"/>
      <c r="AH10" s="8"/>
      <c r="AI10" s="8"/>
      <c r="AJ10" s="8"/>
      <c r="AK10" s="8"/>
      <c r="AL10" s="63"/>
      <c r="AM10" s="63"/>
      <c r="AN10" s="63"/>
      <c r="AO10" s="63"/>
      <c r="AP10" s="63"/>
      <c r="AQ10" s="5"/>
      <c r="AR10" s="5"/>
      <c r="AS10" s="5"/>
      <c r="AT10" s="5"/>
      <c r="AU10" s="1">
        <v>2462.2853920000002</v>
      </c>
      <c r="AV10" s="1">
        <v>64.141999999999996</v>
      </c>
      <c r="AW10" s="1">
        <v>6.4072727272727272</v>
      </c>
      <c r="AX10" s="1">
        <v>3.4415</v>
      </c>
      <c r="AY10" s="1"/>
      <c r="AZ10" s="1">
        <v>2683.7442159384341</v>
      </c>
      <c r="BA10" s="5"/>
      <c r="BB10" s="5"/>
      <c r="BC10" s="5"/>
      <c r="BD10" s="5"/>
      <c r="BE10" s="5"/>
      <c r="BF10" s="5"/>
      <c r="BG10" s="5"/>
      <c r="BH10" s="5"/>
      <c r="BI10" s="5"/>
      <c r="BJ10" s="5"/>
      <c r="BK10" s="5"/>
      <c r="BL10" s="5"/>
      <c r="BM10" s="5"/>
      <c r="BN10" s="5"/>
      <c r="BO10" s="5"/>
      <c r="BP10" s="5"/>
      <c r="BQ10" s="5"/>
      <c r="BR10" s="1"/>
      <c r="BS10" s="2">
        <v>7068</v>
      </c>
      <c r="BT10" s="1">
        <v>3441</v>
      </c>
      <c r="BU10" s="1">
        <v>3720</v>
      </c>
      <c r="BV10" s="1"/>
      <c r="BW10" s="1"/>
      <c r="BX10" s="1"/>
      <c r="BY10" s="1"/>
      <c r="BZ10" s="1"/>
      <c r="CA10" s="2">
        <v>0</v>
      </c>
      <c r="CB10" s="2"/>
      <c r="CC10" s="2"/>
      <c r="CD10" s="2"/>
      <c r="CE10" s="2"/>
      <c r="CF10" s="2"/>
      <c r="CG10" s="2"/>
      <c r="CH10" s="2"/>
      <c r="CI10" s="2"/>
      <c r="CJ10" s="27"/>
      <c r="CK10" s="8" t="e">
        <f>#N/A</f>
        <v>#N/A</v>
      </c>
      <c r="CL10" s="9" t="e">
        <f>#N/A</f>
        <v>#N/A</v>
      </c>
      <c r="CM10" s="9" t="e">
        <f>#N/A</f>
        <v>#N/A</v>
      </c>
      <c r="CN10" s="9" t="e">
        <f>#N/A</f>
        <v>#N/A</v>
      </c>
      <c r="CO10" s="9" t="e">
        <f>#N/A</f>
        <v>#N/A</v>
      </c>
      <c r="CP10" s="9" t="e">
        <f>#N/A</f>
        <v>#N/A</v>
      </c>
      <c r="CQ10" s="9" t="e">
        <f>#N/A</f>
        <v>#N/A</v>
      </c>
      <c r="CR10" s="9" t="e">
        <f>#N/A</f>
        <v>#N/A</v>
      </c>
      <c r="CS10" s="9" t="e">
        <f>#N/A</f>
        <v>#N/A</v>
      </c>
      <c r="CT10" s="9" t="e">
        <f>#N/A</f>
        <v>#N/A</v>
      </c>
      <c r="CU10" s="19" t="e">
        <f>#N/A</f>
        <v>#N/A</v>
      </c>
      <c r="CV10" s="19" t="e">
        <f>#N/A</f>
        <v>#N/A</v>
      </c>
      <c r="CW10" s="19" t="e">
        <f>#N/A</f>
        <v>#N/A</v>
      </c>
      <c r="CX10" s="19" t="e">
        <f>#N/A</f>
        <v>#N/A</v>
      </c>
      <c r="CY10" s="30" t="e">
        <f>#N/A</f>
        <v>#N/A</v>
      </c>
      <c r="CZ10" s="19" t="e">
        <f>#N/A</f>
        <v>#N/A</v>
      </c>
      <c r="DA10" s="19" t="e">
        <f>#N/A</f>
        <v>#N/A</v>
      </c>
      <c r="DB10" s="19" t="e">
        <f>#N/A</f>
        <v>#N/A</v>
      </c>
      <c r="DC10" s="19" t="e">
        <f>#N/A</f>
        <v>#N/A</v>
      </c>
      <c r="DD10" s="5"/>
      <c r="DE10" s="5"/>
      <c r="DF10" s="18"/>
      <c r="DG10" s="5"/>
      <c r="DH10" s="5"/>
      <c r="DI10" s="5"/>
      <c r="DJ10" s="5"/>
      <c r="DK10" s="5"/>
      <c r="DL10" s="5"/>
      <c r="DM10" s="8" t="e">
        <f>#N/A</f>
        <v>#N/A</v>
      </c>
      <c r="DN10" s="8" t="e">
        <f>#N/A</f>
        <v>#N/A</v>
      </c>
      <c r="DO10" s="202" t="e">
        <f>#N/A</f>
        <v>#N/A</v>
      </c>
      <c r="DP10" s="202" t="e">
        <f>#N/A</f>
        <v>#N/A</v>
      </c>
      <c r="DQ10" s="202" t="e">
        <f>#N/A</f>
        <v>#N/A</v>
      </c>
      <c r="DR10" s="9" t="e">
        <f>#N/A</f>
        <v>#N/A</v>
      </c>
      <c r="DS10" s="9" t="e">
        <f>#N/A</f>
        <v>#N/A</v>
      </c>
      <c r="DT10" s="9" t="e">
        <f>#N/A</f>
        <v>#N/A</v>
      </c>
      <c r="DU10" s="202" t="e">
        <f>#N/A</f>
        <v>#N/A</v>
      </c>
      <c r="DV10" s="202" t="e">
        <f>#N/A</f>
        <v>#N/A</v>
      </c>
      <c r="DW10" s="202" t="e">
        <f>#N/A</f>
        <v>#N/A</v>
      </c>
      <c r="DX10" s="203" t="e">
        <f t="shared" si="16"/>
        <v>#N/A</v>
      </c>
      <c r="DY10" s="203" t="e">
        <f t="shared" si="17"/>
        <v>#N/A</v>
      </c>
      <c r="DZ10" s="203" t="e">
        <f t="shared" si="18"/>
        <v>#N/A</v>
      </c>
      <c r="EA10" s="19" t="e">
        <f t="shared" si="19"/>
        <v>#N/A</v>
      </c>
      <c r="EB10" s="19" t="e">
        <f t="shared" si="20"/>
        <v>#N/A</v>
      </c>
      <c r="EC10" s="19" t="e">
        <f t="shared" si="21"/>
        <v>#N/A</v>
      </c>
      <c r="ED10" s="203" t="e">
        <f t="shared" si="22"/>
        <v>#N/A</v>
      </c>
      <c r="EE10" s="203" t="e">
        <f t="shared" si="23"/>
        <v>#N/A</v>
      </c>
      <c r="EF10" s="203" t="e">
        <f t="shared" si="24"/>
        <v>#N/A</v>
      </c>
      <c r="EH10" s="58">
        <f t="shared" si="25"/>
        <v>19439.171607938435</v>
      </c>
      <c r="EI10" s="68" t="e">
        <f t="shared" si="26"/>
        <v>#DIV/0!</v>
      </c>
      <c r="EJ10" s="58">
        <f t="shared" si="27"/>
        <v>19439.171607938435</v>
      </c>
      <c r="EK10" s="68" t="e">
        <f t="shared" si="26"/>
        <v>#DIV/0!</v>
      </c>
      <c r="EL10" s="58">
        <f t="shared" si="28"/>
        <v>14229</v>
      </c>
      <c r="EM10" s="58">
        <f t="shared" si="29"/>
        <v>14229</v>
      </c>
      <c r="EN10" s="68"/>
    </row>
    <row r="11" spans="1:146" x14ac:dyDescent="0.2">
      <c r="D11" s="2">
        <v>2008</v>
      </c>
      <c r="E11" s="2" t="e">
        <f>#N/A</f>
        <v>#N/A</v>
      </c>
      <c r="F11" s="2"/>
      <c r="G11" s="63"/>
      <c r="H11" s="63"/>
      <c r="I11" s="63"/>
      <c r="J11" s="63"/>
      <c r="K11" s="63"/>
      <c r="L11" s="63"/>
      <c r="M11" s="1"/>
      <c r="N11" s="1"/>
      <c r="O11" s="1"/>
      <c r="P11" s="8" t="e">
        <f>#N/A</f>
        <v>#N/A</v>
      </c>
      <c r="Q11" s="8" t="e">
        <f>#N/A</f>
        <v>#N/A</v>
      </c>
      <c r="R11" s="8" t="e">
        <f>#N/A</f>
        <v>#N/A</v>
      </c>
      <c r="S11" s="8" t="e">
        <f>#N/A</f>
        <v>#N/A</v>
      </c>
      <c r="T11" s="69" t="e">
        <f>#N/A</f>
        <v>#N/A</v>
      </c>
      <c r="U11" s="8" t="e">
        <f>#N/A</f>
        <v>#N/A</v>
      </c>
      <c r="V11" s="8" t="e">
        <f>#N/A</f>
        <v>#N/A</v>
      </c>
      <c r="W11" s="8" t="e">
        <f>#N/A</f>
        <v>#N/A</v>
      </c>
      <c r="X11" s="8" t="e">
        <f>#N/A</f>
        <v>#N/A</v>
      </c>
      <c r="Y11" s="8"/>
      <c r="Z11" s="8"/>
      <c r="AA11" s="8"/>
      <c r="AB11" s="8"/>
      <c r="AC11" s="8"/>
      <c r="AD11" s="8"/>
      <c r="AE11" s="8"/>
      <c r="AF11" s="8"/>
      <c r="AG11" s="8"/>
      <c r="AH11" s="8"/>
      <c r="AI11" s="8"/>
      <c r="AJ11" s="8"/>
      <c r="AK11" s="8"/>
      <c r="AL11" s="63"/>
      <c r="AM11" s="63"/>
      <c r="AN11" s="63"/>
      <c r="AO11" s="63"/>
      <c r="AP11" s="63"/>
      <c r="AQ11" s="5"/>
      <c r="AR11" s="5"/>
      <c r="AS11" s="5"/>
      <c r="AT11" s="5"/>
      <c r="AU11" s="1">
        <v>2193.8761600000003</v>
      </c>
      <c r="AV11" s="1">
        <v>62.386000000000003</v>
      </c>
      <c r="AW11" s="1">
        <v>10.778181818181817</v>
      </c>
      <c r="AX11" s="1">
        <v>4.6859999999999999</v>
      </c>
      <c r="AY11" s="1"/>
      <c r="AZ11" s="1">
        <v>3385.1404876642177</v>
      </c>
      <c r="BA11" s="5"/>
      <c r="BB11" s="5"/>
      <c r="BC11" s="5"/>
      <c r="BD11" s="5"/>
      <c r="BE11" s="5"/>
      <c r="BF11" s="5"/>
      <c r="BG11" s="5"/>
      <c r="BH11" s="5"/>
      <c r="BI11" s="5"/>
      <c r="BJ11" s="5"/>
      <c r="BK11" s="5"/>
      <c r="BL11" s="5"/>
      <c r="BM11" s="5"/>
      <c r="BN11" s="5"/>
      <c r="BO11" s="5"/>
      <c r="BP11" s="5"/>
      <c r="BQ11" s="5"/>
      <c r="BR11" s="1"/>
      <c r="BS11" s="2">
        <v>6840</v>
      </c>
      <c r="BT11" s="1">
        <v>3330</v>
      </c>
      <c r="BU11" s="1">
        <v>3600</v>
      </c>
      <c r="BV11" s="1"/>
      <c r="BW11" s="1"/>
      <c r="BX11" s="1"/>
      <c r="BY11" s="1"/>
      <c r="BZ11" s="1"/>
      <c r="CA11" s="2">
        <v>0</v>
      </c>
      <c r="CB11" s="2"/>
      <c r="CC11" s="2"/>
      <c r="CD11" s="2"/>
      <c r="CE11" s="2"/>
      <c r="CF11" s="2"/>
      <c r="CG11" s="2"/>
      <c r="CH11" s="2"/>
      <c r="CI11" s="2"/>
      <c r="CJ11" s="27"/>
      <c r="CK11" s="8" t="e">
        <f>#N/A</f>
        <v>#N/A</v>
      </c>
      <c r="CL11" s="9" t="e">
        <f>#N/A</f>
        <v>#N/A</v>
      </c>
      <c r="CM11" s="9" t="e">
        <f>#N/A</f>
        <v>#N/A</v>
      </c>
      <c r="CN11" s="9" t="e">
        <f>#N/A</f>
        <v>#N/A</v>
      </c>
      <c r="CO11" s="9" t="e">
        <f>#N/A</f>
        <v>#N/A</v>
      </c>
      <c r="CP11" s="9" t="e">
        <f>#N/A</f>
        <v>#N/A</v>
      </c>
      <c r="CQ11" s="9" t="e">
        <f>#N/A</f>
        <v>#N/A</v>
      </c>
      <c r="CR11" s="9" t="e">
        <f>#N/A</f>
        <v>#N/A</v>
      </c>
      <c r="CS11" s="9" t="e">
        <f>#N/A</f>
        <v>#N/A</v>
      </c>
      <c r="CT11" s="9" t="e">
        <f>#N/A</f>
        <v>#N/A</v>
      </c>
      <c r="CU11" s="19" t="e">
        <f>#N/A</f>
        <v>#N/A</v>
      </c>
      <c r="CV11" s="19" t="e">
        <f>#N/A</f>
        <v>#N/A</v>
      </c>
      <c r="CW11" s="19" t="e">
        <f>#N/A</f>
        <v>#N/A</v>
      </c>
      <c r="CX11" s="19" t="e">
        <f>#N/A</f>
        <v>#N/A</v>
      </c>
      <c r="CY11" s="30" t="e">
        <f>#N/A</f>
        <v>#N/A</v>
      </c>
      <c r="CZ11" s="19" t="e">
        <f>#N/A</f>
        <v>#N/A</v>
      </c>
      <c r="DA11" s="19" t="e">
        <f>#N/A</f>
        <v>#N/A</v>
      </c>
      <c r="DB11" s="19" t="e">
        <f>#N/A</f>
        <v>#N/A</v>
      </c>
      <c r="DC11" s="19" t="e">
        <f>#N/A</f>
        <v>#N/A</v>
      </c>
      <c r="DD11" s="5"/>
      <c r="DE11" s="5"/>
      <c r="DF11" s="18"/>
      <c r="DG11" s="5"/>
      <c r="DH11" s="5"/>
      <c r="DI11" s="5"/>
      <c r="DJ11" s="5"/>
      <c r="DK11" s="5"/>
      <c r="DL11" s="5"/>
      <c r="DM11" s="8" t="e">
        <f>#N/A</f>
        <v>#N/A</v>
      </c>
      <c r="DN11" s="8" t="e">
        <f>#N/A</f>
        <v>#N/A</v>
      </c>
      <c r="DO11" s="202" t="e">
        <f>#N/A</f>
        <v>#N/A</v>
      </c>
      <c r="DP11" s="202" t="e">
        <f>#N/A</f>
        <v>#N/A</v>
      </c>
      <c r="DQ11" s="202" t="e">
        <f>#N/A</f>
        <v>#N/A</v>
      </c>
      <c r="DR11" s="9" t="e">
        <f>#N/A</f>
        <v>#N/A</v>
      </c>
      <c r="DS11" s="9" t="e">
        <f>#N/A</f>
        <v>#N/A</v>
      </c>
      <c r="DT11" s="9" t="e">
        <f>#N/A</f>
        <v>#N/A</v>
      </c>
      <c r="DU11" s="202" t="e">
        <f>#N/A</f>
        <v>#N/A</v>
      </c>
      <c r="DV11" s="202" t="e">
        <f>#N/A</f>
        <v>#N/A</v>
      </c>
      <c r="DW11" s="202" t="e">
        <f>#N/A</f>
        <v>#N/A</v>
      </c>
      <c r="DX11" s="203" t="e">
        <f t="shared" si="16"/>
        <v>#N/A</v>
      </c>
      <c r="DY11" s="203" t="e">
        <f t="shared" si="17"/>
        <v>#N/A</v>
      </c>
      <c r="DZ11" s="203" t="e">
        <f t="shared" si="18"/>
        <v>#N/A</v>
      </c>
      <c r="EA11" s="19" t="e">
        <f t="shared" si="19"/>
        <v>#N/A</v>
      </c>
      <c r="EB11" s="19" t="e">
        <f t="shared" si="20"/>
        <v>#N/A</v>
      </c>
      <c r="EC11" s="19" t="e">
        <f t="shared" si="21"/>
        <v>#N/A</v>
      </c>
      <c r="ED11" s="203" t="e">
        <f t="shared" si="22"/>
        <v>#N/A</v>
      </c>
      <c r="EE11" s="203" t="e">
        <f t="shared" si="23"/>
        <v>#N/A</v>
      </c>
      <c r="EF11" s="203" t="e">
        <f t="shared" si="24"/>
        <v>#N/A</v>
      </c>
      <c r="EH11" s="58">
        <f t="shared" si="25"/>
        <v>19411.402647664218</v>
      </c>
      <c r="EI11" s="68" t="e">
        <f t="shared" si="26"/>
        <v>#DIV/0!</v>
      </c>
      <c r="EJ11" s="58">
        <f t="shared" si="27"/>
        <v>19411.402647664218</v>
      </c>
      <c r="EK11" s="68" t="e">
        <f t="shared" si="26"/>
        <v>#DIV/0!</v>
      </c>
      <c r="EL11" s="58">
        <f t="shared" si="28"/>
        <v>13770</v>
      </c>
      <c r="EM11" s="58">
        <f t="shared" si="29"/>
        <v>13770</v>
      </c>
      <c r="EN11" s="68"/>
    </row>
    <row r="12" spans="1:146" x14ac:dyDescent="0.2">
      <c r="D12" s="2">
        <v>2008</v>
      </c>
      <c r="E12" s="2" t="e">
        <f>#N/A</f>
        <v>#N/A</v>
      </c>
      <c r="F12" s="2"/>
      <c r="G12" s="63"/>
      <c r="H12" s="63"/>
      <c r="I12" s="63"/>
      <c r="J12" s="63"/>
      <c r="K12" s="63"/>
      <c r="L12" s="63"/>
      <c r="M12" s="1"/>
      <c r="N12" s="1"/>
      <c r="O12" s="1"/>
      <c r="P12" s="8" t="e">
        <f>#N/A</f>
        <v>#N/A</v>
      </c>
      <c r="Q12" s="8" t="e">
        <f>#N/A</f>
        <v>#N/A</v>
      </c>
      <c r="R12" s="8" t="e">
        <f>#N/A</f>
        <v>#N/A</v>
      </c>
      <c r="S12" s="8" t="e">
        <f>#N/A</f>
        <v>#N/A</v>
      </c>
      <c r="T12" s="69" t="e">
        <f>#N/A</f>
        <v>#N/A</v>
      </c>
      <c r="U12" s="8" t="e">
        <f>#N/A</f>
        <v>#N/A</v>
      </c>
      <c r="V12" s="8" t="e">
        <f>#N/A</f>
        <v>#N/A</v>
      </c>
      <c r="W12" s="8" t="e">
        <f>#N/A</f>
        <v>#N/A</v>
      </c>
      <c r="X12" s="8" t="e">
        <f>#N/A</f>
        <v>#N/A</v>
      </c>
      <c r="Y12" s="8"/>
      <c r="Z12" s="8"/>
      <c r="AA12" s="8"/>
      <c r="AB12" s="8"/>
      <c r="AC12" s="8"/>
      <c r="AD12" s="8"/>
      <c r="AE12" s="8"/>
      <c r="AF12" s="8"/>
      <c r="AG12" s="8"/>
      <c r="AH12" s="8"/>
      <c r="AI12" s="8"/>
      <c r="AJ12" s="8"/>
      <c r="AK12" s="8"/>
      <c r="AL12" s="63"/>
      <c r="AM12" s="63"/>
      <c r="AN12" s="63"/>
      <c r="AO12" s="63"/>
      <c r="AP12" s="63"/>
      <c r="AQ12" s="5"/>
      <c r="AR12" s="5"/>
      <c r="AS12" s="5"/>
      <c r="AT12" s="5"/>
      <c r="AU12" s="1">
        <v>2462.6470400000003</v>
      </c>
      <c r="AV12" s="1">
        <v>65.078000000000003</v>
      </c>
      <c r="AW12" s="1">
        <v>10.814545454545454</v>
      </c>
      <c r="AX12" s="1">
        <v>3.6317272727272725</v>
      </c>
      <c r="AY12" s="1"/>
      <c r="AZ12" s="1">
        <v>2623.0423305195727</v>
      </c>
      <c r="BA12" s="5"/>
      <c r="BB12" s="5"/>
      <c r="BC12" s="5"/>
      <c r="BD12" s="5"/>
      <c r="BE12" s="5"/>
      <c r="BF12" s="5"/>
      <c r="BG12" s="5"/>
      <c r="BH12" s="5"/>
      <c r="BI12" s="5"/>
      <c r="BJ12" s="5"/>
      <c r="BK12" s="5"/>
      <c r="BL12" s="5"/>
      <c r="BM12" s="5"/>
      <c r="BN12" s="5"/>
      <c r="BO12" s="5"/>
      <c r="BP12" s="5"/>
      <c r="BQ12" s="5"/>
      <c r="BR12" s="1"/>
      <c r="BS12" s="2">
        <v>7068</v>
      </c>
      <c r="BT12" s="1">
        <v>3441</v>
      </c>
      <c r="BU12" s="1">
        <v>3720</v>
      </c>
      <c r="BV12" s="1"/>
      <c r="BW12" s="1"/>
      <c r="BX12" s="1"/>
      <c r="BY12" s="1"/>
      <c r="BZ12" s="1"/>
      <c r="CA12" s="2">
        <v>0</v>
      </c>
      <c r="CB12" s="2"/>
      <c r="CC12" s="2"/>
      <c r="CD12" s="2"/>
      <c r="CE12" s="2"/>
      <c r="CF12" s="2"/>
      <c r="CG12" s="2"/>
      <c r="CH12" s="2"/>
      <c r="CI12" s="2"/>
      <c r="CJ12" s="27"/>
      <c r="CK12" s="8" t="e">
        <f>#N/A</f>
        <v>#N/A</v>
      </c>
      <c r="CL12" s="9" t="e">
        <f>#N/A</f>
        <v>#N/A</v>
      </c>
      <c r="CM12" s="9" t="e">
        <f>#N/A</f>
        <v>#N/A</v>
      </c>
      <c r="CN12" s="9" t="e">
        <f>#N/A</f>
        <v>#N/A</v>
      </c>
      <c r="CO12" s="9" t="e">
        <f>#N/A</f>
        <v>#N/A</v>
      </c>
      <c r="CP12" s="9" t="e">
        <f>#N/A</f>
        <v>#N/A</v>
      </c>
      <c r="CQ12" s="9" t="e">
        <f>#N/A</f>
        <v>#N/A</v>
      </c>
      <c r="CR12" s="9" t="e">
        <f>#N/A</f>
        <v>#N/A</v>
      </c>
      <c r="CS12" s="9" t="e">
        <f>#N/A</f>
        <v>#N/A</v>
      </c>
      <c r="CT12" s="9" t="e">
        <f>#N/A</f>
        <v>#N/A</v>
      </c>
      <c r="CU12" s="19" t="e">
        <f>#N/A</f>
        <v>#N/A</v>
      </c>
      <c r="CV12" s="19" t="e">
        <f>#N/A</f>
        <v>#N/A</v>
      </c>
      <c r="CW12" s="19" t="e">
        <f>#N/A</f>
        <v>#N/A</v>
      </c>
      <c r="CX12" s="19" t="e">
        <f>#N/A</f>
        <v>#N/A</v>
      </c>
      <c r="CY12" s="30" t="e">
        <f>#N/A</f>
        <v>#N/A</v>
      </c>
      <c r="CZ12" s="19" t="e">
        <f>#N/A</f>
        <v>#N/A</v>
      </c>
      <c r="DA12" s="19" t="e">
        <f>#N/A</f>
        <v>#N/A</v>
      </c>
      <c r="DB12" s="19" t="e">
        <f>#N/A</f>
        <v>#N/A</v>
      </c>
      <c r="DC12" s="19" t="e">
        <f>#N/A</f>
        <v>#N/A</v>
      </c>
      <c r="DD12" s="5"/>
      <c r="DE12" s="5"/>
      <c r="DF12" s="18"/>
      <c r="DG12" s="5"/>
      <c r="DH12" s="5"/>
      <c r="DI12" s="5"/>
      <c r="DJ12" s="5"/>
      <c r="DK12" s="5"/>
      <c r="DL12" s="5"/>
      <c r="DM12" s="8" t="e">
        <f>#N/A</f>
        <v>#N/A</v>
      </c>
      <c r="DN12" s="8" t="e">
        <f>#N/A</f>
        <v>#N/A</v>
      </c>
      <c r="DO12" s="202" t="e">
        <f>#N/A</f>
        <v>#N/A</v>
      </c>
      <c r="DP12" s="202" t="e">
        <f>#N/A</f>
        <v>#N/A</v>
      </c>
      <c r="DQ12" s="202" t="e">
        <f>#N/A</f>
        <v>#N/A</v>
      </c>
      <c r="DR12" s="9" t="e">
        <f>#N/A</f>
        <v>#N/A</v>
      </c>
      <c r="DS12" s="9" t="e">
        <f>#N/A</f>
        <v>#N/A</v>
      </c>
      <c r="DT12" s="9" t="e">
        <f>#N/A</f>
        <v>#N/A</v>
      </c>
      <c r="DU12" s="202" t="e">
        <f>#N/A</f>
        <v>#N/A</v>
      </c>
      <c r="DV12" s="202" t="e">
        <f>#N/A</f>
        <v>#N/A</v>
      </c>
      <c r="DW12" s="202" t="e">
        <f>#N/A</f>
        <v>#N/A</v>
      </c>
      <c r="DX12" s="203" t="e">
        <f t="shared" si="16"/>
        <v>#N/A</v>
      </c>
      <c r="DY12" s="203" t="e">
        <f t="shared" si="17"/>
        <v>#N/A</v>
      </c>
      <c r="DZ12" s="203" t="e">
        <f t="shared" si="18"/>
        <v>#N/A</v>
      </c>
      <c r="EA12" s="19" t="e">
        <f t="shared" si="19"/>
        <v>#N/A</v>
      </c>
      <c r="EB12" s="19" t="e">
        <f t="shared" si="20"/>
        <v>#N/A</v>
      </c>
      <c r="EC12" s="19" t="e">
        <f t="shared" si="21"/>
        <v>#N/A</v>
      </c>
      <c r="ED12" s="203" t="e">
        <f t="shared" si="22"/>
        <v>#N/A</v>
      </c>
      <c r="EE12" s="203" t="e">
        <f t="shared" si="23"/>
        <v>#N/A</v>
      </c>
      <c r="EF12" s="203" t="e">
        <f t="shared" si="24"/>
        <v>#N/A</v>
      </c>
      <c r="EH12" s="58">
        <f t="shared" si="25"/>
        <v>19379.767370519574</v>
      </c>
      <c r="EI12" s="68" t="e">
        <f t="shared" si="26"/>
        <v>#DIV/0!</v>
      </c>
      <c r="EJ12" s="58">
        <f t="shared" si="27"/>
        <v>19379.767370519574</v>
      </c>
      <c r="EK12" s="68" t="e">
        <f t="shared" si="26"/>
        <v>#DIV/0!</v>
      </c>
      <c r="EL12" s="58">
        <f t="shared" si="28"/>
        <v>14229</v>
      </c>
      <c r="EM12" s="58">
        <f t="shared" si="29"/>
        <v>14229</v>
      </c>
      <c r="EN12" s="68"/>
    </row>
    <row r="13" spans="1:146" x14ac:dyDescent="0.2">
      <c r="D13" s="2">
        <v>2008</v>
      </c>
      <c r="E13" s="2" t="e">
        <f>#N/A</f>
        <v>#N/A</v>
      </c>
      <c r="F13" s="2"/>
      <c r="G13" s="63"/>
      <c r="H13" s="63"/>
      <c r="I13" s="63"/>
      <c r="J13" s="63"/>
      <c r="K13" s="63"/>
      <c r="L13" s="63"/>
      <c r="M13" s="1"/>
      <c r="N13" s="1"/>
      <c r="O13" s="1"/>
      <c r="P13" s="8" t="e">
        <f>#N/A</f>
        <v>#N/A</v>
      </c>
      <c r="Q13" s="8" t="e">
        <f>#N/A</f>
        <v>#N/A</v>
      </c>
      <c r="R13" s="8" t="e">
        <f>#N/A</f>
        <v>#N/A</v>
      </c>
      <c r="S13" s="8" t="e">
        <f>#N/A</f>
        <v>#N/A</v>
      </c>
      <c r="T13" s="69" t="e">
        <f>#N/A</f>
        <v>#N/A</v>
      </c>
      <c r="U13" s="8" t="e">
        <f>#N/A</f>
        <v>#N/A</v>
      </c>
      <c r="V13" s="8" t="e">
        <f>#N/A</f>
        <v>#N/A</v>
      </c>
      <c r="W13" s="8" t="e">
        <f>#N/A</f>
        <v>#N/A</v>
      </c>
      <c r="X13" s="8" t="e">
        <f>#N/A</f>
        <v>#N/A</v>
      </c>
      <c r="Y13" s="8"/>
      <c r="Z13" s="8"/>
      <c r="AA13" s="8"/>
      <c r="AB13" s="8"/>
      <c r="AC13" s="8"/>
      <c r="AD13" s="8"/>
      <c r="AE13" s="8"/>
      <c r="AF13" s="8"/>
      <c r="AG13" s="8"/>
      <c r="AH13" s="8"/>
      <c r="AI13" s="8"/>
      <c r="AJ13" s="8"/>
      <c r="AK13" s="8"/>
      <c r="AL13" s="63"/>
      <c r="AM13" s="63"/>
      <c r="AN13" s="63"/>
      <c r="AO13" s="63"/>
      <c r="AP13" s="63"/>
      <c r="AQ13" s="5"/>
      <c r="AR13" s="5"/>
      <c r="AS13" s="5"/>
      <c r="AT13" s="5"/>
      <c r="AU13" s="1">
        <v>2396.3318400000003</v>
      </c>
      <c r="AV13" s="1">
        <v>60.396000000000001</v>
      </c>
      <c r="AW13" s="1">
        <v>7.1709090909090909</v>
      </c>
      <c r="AX13" s="1">
        <v>3.2815454545454545</v>
      </c>
      <c r="AY13" s="1"/>
      <c r="AZ13" s="1">
        <v>2283.6577034329362</v>
      </c>
      <c r="BA13" s="5"/>
      <c r="BB13" s="5"/>
      <c r="BC13" s="5"/>
      <c r="BD13" s="5"/>
      <c r="BE13" s="5"/>
      <c r="BF13" s="5"/>
      <c r="BG13" s="5"/>
      <c r="BH13" s="5"/>
      <c r="BI13" s="5"/>
      <c r="BJ13" s="5"/>
      <c r="BK13" s="5"/>
      <c r="BL13" s="5"/>
      <c r="BM13" s="5"/>
      <c r="BN13" s="5"/>
      <c r="BO13" s="5"/>
      <c r="BP13" s="5"/>
      <c r="BQ13" s="18"/>
      <c r="BR13" s="1"/>
      <c r="BS13" s="2">
        <v>6840</v>
      </c>
      <c r="BT13" s="1">
        <v>3330</v>
      </c>
      <c r="BU13" s="1">
        <v>3600</v>
      </c>
      <c r="BV13" s="1"/>
      <c r="BW13" s="1"/>
      <c r="BX13" s="1"/>
      <c r="BY13" s="1"/>
      <c r="BZ13" s="1"/>
      <c r="CA13" s="2">
        <v>0</v>
      </c>
      <c r="CB13" s="2"/>
      <c r="CC13" s="2"/>
      <c r="CD13" s="2"/>
      <c r="CE13" s="2"/>
      <c r="CF13" s="2"/>
      <c r="CG13" s="2"/>
      <c r="CH13" s="2"/>
      <c r="CI13" s="2"/>
      <c r="CJ13" s="27"/>
      <c r="CK13" s="8" t="e">
        <f>#N/A</f>
        <v>#N/A</v>
      </c>
      <c r="CL13" s="9" t="e">
        <f>#N/A</f>
        <v>#N/A</v>
      </c>
      <c r="CM13" s="9" t="e">
        <f>#N/A</f>
        <v>#N/A</v>
      </c>
      <c r="CN13" s="9" t="e">
        <f>#N/A</f>
        <v>#N/A</v>
      </c>
      <c r="CO13" s="9" t="e">
        <f>#N/A</f>
        <v>#N/A</v>
      </c>
      <c r="CP13" s="9" t="e">
        <f>#N/A</f>
        <v>#N/A</v>
      </c>
      <c r="CQ13" s="9" t="e">
        <f>#N/A</f>
        <v>#N/A</v>
      </c>
      <c r="CR13" s="9" t="e">
        <f>#N/A</f>
        <v>#N/A</v>
      </c>
      <c r="CS13" s="9" t="e">
        <f>#N/A</f>
        <v>#N/A</v>
      </c>
      <c r="CT13" s="9" t="e">
        <f>#N/A</f>
        <v>#N/A</v>
      </c>
      <c r="CU13" s="19" t="e">
        <f>#N/A</f>
        <v>#N/A</v>
      </c>
      <c r="CV13" s="19" t="e">
        <f>#N/A</f>
        <v>#N/A</v>
      </c>
      <c r="CW13" s="19" t="e">
        <f>#N/A</f>
        <v>#N/A</v>
      </c>
      <c r="CX13" s="19" t="e">
        <f>#N/A</f>
        <v>#N/A</v>
      </c>
      <c r="CY13" s="30" t="e">
        <f>#N/A</f>
        <v>#N/A</v>
      </c>
      <c r="CZ13" s="19" t="e">
        <f>#N/A</f>
        <v>#N/A</v>
      </c>
      <c r="DA13" s="19" t="e">
        <f>#N/A</f>
        <v>#N/A</v>
      </c>
      <c r="DB13" s="19" t="e">
        <f>#N/A</f>
        <v>#N/A</v>
      </c>
      <c r="DC13" s="19" t="e">
        <f>#N/A</f>
        <v>#N/A</v>
      </c>
      <c r="DD13" s="18"/>
      <c r="DE13" s="5"/>
      <c r="DF13" s="18"/>
      <c r="DG13" s="5"/>
      <c r="DH13" s="5"/>
      <c r="DI13" s="18"/>
      <c r="DJ13" s="5"/>
      <c r="DK13" s="5"/>
      <c r="DL13" s="5"/>
      <c r="DM13" s="8" t="e">
        <f>#N/A</f>
        <v>#N/A</v>
      </c>
      <c r="DN13" s="8" t="e">
        <f>#N/A</f>
        <v>#N/A</v>
      </c>
      <c r="DO13" s="202" t="e">
        <f>#N/A</f>
        <v>#N/A</v>
      </c>
      <c r="DP13" s="202" t="e">
        <f>#N/A</f>
        <v>#N/A</v>
      </c>
      <c r="DQ13" s="202" t="e">
        <f>#N/A</f>
        <v>#N/A</v>
      </c>
      <c r="DR13" s="9" t="e">
        <f>#N/A</f>
        <v>#N/A</v>
      </c>
      <c r="DS13" s="9" t="e">
        <f>#N/A</f>
        <v>#N/A</v>
      </c>
      <c r="DT13" s="9" t="e">
        <f>#N/A</f>
        <v>#N/A</v>
      </c>
      <c r="DU13" s="202" t="e">
        <f>#N/A</f>
        <v>#N/A</v>
      </c>
      <c r="DV13" s="202" t="e">
        <f>#N/A</f>
        <v>#N/A</v>
      </c>
      <c r="DW13" s="202" t="e">
        <f>#N/A</f>
        <v>#N/A</v>
      </c>
      <c r="DX13" s="203" t="e">
        <f t="shared" si="16"/>
        <v>#N/A</v>
      </c>
      <c r="DY13" s="203" t="e">
        <f t="shared" si="17"/>
        <v>#N/A</v>
      </c>
      <c r="DZ13" s="203" t="e">
        <f t="shared" si="18"/>
        <v>#N/A</v>
      </c>
      <c r="EA13" s="19" t="e">
        <f t="shared" si="19"/>
        <v>#N/A</v>
      </c>
      <c r="EB13" s="19" t="e">
        <f t="shared" si="20"/>
        <v>#N/A</v>
      </c>
      <c r="EC13" s="19" t="e">
        <f t="shared" si="21"/>
        <v>#N/A</v>
      </c>
      <c r="ED13" s="203" t="e">
        <f t="shared" si="22"/>
        <v>#N/A</v>
      </c>
      <c r="EE13" s="203" t="e">
        <f t="shared" si="23"/>
        <v>#N/A</v>
      </c>
      <c r="EF13" s="203" t="e">
        <f t="shared" si="24"/>
        <v>#N/A</v>
      </c>
      <c r="EH13" s="58">
        <f t="shared" si="25"/>
        <v>18510.385543432938</v>
      </c>
      <c r="EI13" s="68" t="e">
        <f t="shared" si="26"/>
        <v>#DIV/0!</v>
      </c>
      <c r="EJ13" s="58">
        <f t="shared" si="27"/>
        <v>18510.385543432938</v>
      </c>
      <c r="EK13" s="68" t="e">
        <f t="shared" si="26"/>
        <v>#DIV/0!</v>
      </c>
      <c r="EL13" s="58">
        <f t="shared" si="28"/>
        <v>13770</v>
      </c>
      <c r="EM13" s="58">
        <f t="shared" si="29"/>
        <v>13770</v>
      </c>
      <c r="EN13" s="68"/>
    </row>
    <row r="14" spans="1:146" x14ac:dyDescent="0.2">
      <c r="D14" s="2">
        <v>2008</v>
      </c>
      <c r="E14" s="2" t="e">
        <f>#N/A</f>
        <v>#N/A</v>
      </c>
      <c r="F14" s="2"/>
      <c r="G14" s="63"/>
      <c r="H14" s="63"/>
      <c r="I14" s="63"/>
      <c r="J14" s="63"/>
      <c r="K14" s="63"/>
      <c r="L14" s="63"/>
      <c r="M14" s="1"/>
      <c r="N14" s="1"/>
      <c r="O14" s="1"/>
      <c r="P14" s="8" t="e">
        <f>#N/A</f>
        <v>#N/A</v>
      </c>
      <c r="Q14" s="8" t="e">
        <f>#N/A</f>
        <v>#N/A</v>
      </c>
      <c r="R14" s="8" t="e">
        <f>#N/A</f>
        <v>#N/A</v>
      </c>
      <c r="S14" s="8" t="e">
        <f>#N/A</f>
        <v>#N/A</v>
      </c>
      <c r="T14" s="69" t="e">
        <f>#N/A</f>
        <v>#N/A</v>
      </c>
      <c r="U14" s="8" t="e">
        <f>#N/A</f>
        <v>#N/A</v>
      </c>
      <c r="V14" s="8" t="e">
        <f>#N/A</f>
        <v>#N/A</v>
      </c>
      <c r="W14" s="8" t="e">
        <f>#N/A</f>
        <v>#N/A</v>
      </c>
      <c r="X14" s="8" t="e">
        <f>#N/A</f>
        <v>#N/A</v>
      </c>
      <c r="Y14" s="8"/>
      <c r="Z14" s="8"/>
      <c r="AA14" s="8"/>
      <c r="AB14" s="8"/>
      <c r="AC14" s="8"/>
      <c r="AD14" s="8"/>
      <c r="AE14" s="8"/>
      <c r="AF14" s="8"/>
      <c r="AG14" s="8"/>
      <c r="AH14" s="8"/>
      <c r="AI14" s="8"/>
      <c r="AJ14" s="8"/>
      <c r="AK14" s="8"/>
      <c r="AL14" s="63"/>
      <c r="AM14" s="63"/>
      <c r="AN14" s="63"/>
      <c r="AO14" s="63"/>
      <c r="AP14" s="63"/>
      <c r="AQ14" s="5"/>
      <c r="AR14" s="5"/>
      <c r="AS14" s="5"/>
      <c r="AT14" s="5"/>
      <c r="AU14" s="1">
        <v>2431.4998400000004</v>
      </c>
      <c r="AV14" s="1">
        <v>62.853999999999999</v>
      </c>
      <c r="AW14" s="1">
        <v>4.6109090909090913</v>
      </c>
      <c r="AX14" s="1">
        <v>2.7825454545454544</v>
      </c>
      <c r="AY14" s="1"/>
      <c r="AZ14" s="1">
        <v>2027.1841384640818</v>
      </c>
      <c r="BA14" s="5"/>
      <c r="BB14" s="5"/>
      <c r="BC14" s="5"/>
      <c r="BD14" s="5"/>
      <c r="BE14" s="5"/>
      <c r="BF14" s="5"/>
      <c r="BG14" s="5"/>
      <c r="BH14" s="5"/>
      <c r="BI14" s="5"/>
      <c r="BJ14" s="5"/>
      <c r="BK14" s="5"/>
      <c r="BL14" s="5"/>
      <c r="BM14" s="5"/>
      <c r="BN14" s="5"/>
      <c r="BO14" s="5"/>
      <c r="BP14" s="5"/>
      <c r="BQ14" s="18"/>
      <c r="BR14" s="1"/>
      <c r="BS14" s="2">
        <v>7068</v>
      </c>
      <c r="BT14" s="1">
        <v>3441</v>
      </c>
      <c r="BU14" s="1">
        <v>3720</v>
      </c>
      <c r="BV14" s="1"/>
      <c r="BW14" s="1"/>
      <c r="BX14" s="1"/>
      <c r="BY14" s="1"/>
      <c r="BZ14" s="1"/>
      <c r="CA14" s="2">
        <v>0</v>
      </c>
      <c r="CB14" s="2"/>
      <c r="CC14" s="2"/>
      <c r="CD14" s="2"/>
      <c r="CE14" s="2"/>
      <c r="CF14" s="2"/>
      <c r="CG14" s="2"/>
      <c r="CH14" s="2"/>
      <c r="CI14" s="2"/>
      <c r="CJ14" s="27"/>
      <c r="CK14" s="8" t="e">
        <f>#N/A</f>
        <v>#N/A</v>
      </c>
      <c r="CL14" s="9" t="e">
        <f>#N/A</f>
        <v>#N/A</v>
      </c>
      <c r="CM14" s="9" t="e">
        <f>#N/A</f>
        <v>#N/A</v>
      </c>
      <c r="CN14" s="9" t="e">
        <f>#N/A</f>
        <v>#N/A</v>
      </c>
      <c r="CO14" s="9" t="e">
        <f>#N/A</f>
        <v>#N/A</v>
      </c>
      <c r="CP14" s="29" t="e">
        <f>#N/A</f>
        <v>#N/A</v>
      </c>
      <c r="CQ14" s="9" t="e">
        <f>#N/A</f>
        <v>#N/A</v>
      </c>
      <c r="CR14" s="9" t="e">
        <f>#N/A</f>
        <v>#N/A</v>
      </c>
      <c r="CS14" s="9" t="e">
        <f>#N/A</f>
        <v>#N/A</v>
      </c>
      <c r="CT14" s="9" t="e">
        <f>#N/A</f>
        <v>#N/A</v>
      </c>
      <c r="CU14" s="19" t="e">
        <f>#N/A</f>
        <v>#N/A</v>
      </c>
      <c r="CV14" s="19" t="e">
        <f>#N/A</f>
        <v>#N/A</v>
      </c>
      <c r="CW14" s="19" t="e">
        <f>#N/A</f>
        <v>#N/A</v>
      </c>
      <c r="CX14" s="19" t="e">
        <f>#N/A</f>
        <v>#N/A</v>
      </c>
      <c r="CY14" s="30" t="e">
        <f>#N/A</f>
        <v>#N/A</v>
      </c>
      <c r="CZ14" s="19" t="e">
        <f>#N/A</f>
        <v>#N/A</v>
      </c>
      <c r="DA14" s="19" t="e">
        <f>#N/A</f>
        <v>#N/A</v>
      </c>
      <c r="DB14" s="19" t="e">
        <f>#N/A</f>
        <v>#N/A</v>
      </c>
      <c r="DC14" s="19" t="e">
        <f>#N/A</f>
        <v>#N/A</v>
      </c>
      <c r="DD14" s="18"/>
      <c r="DE14" s="5"/>
      <c r="DF14" s="18"/>
      <c r="DG14" s="5"/>
      <c r="DH14" s="5"/>
      <c r="DI14" s="18"/>
      <c r="DJ14" s="5"/>
      <c r="DK14" s="5"/>
      <c r="DL14" s="5"/>
      <c r="DM14" s="8" t="e">
        <f>#N/A</f>
        <v>#N/A</v>
      </c>
      <c r="DN14" s="8" t="e">
        <f>#N/A</f>
        <v>#N/A</v>
      </c>
      <c r="DO14" s="202" t="e">
        <f>#N/A</f>
        <v>#N/A</v>
      </c>
      <c r="DP14" s="202" t="e">
        <f>#N/A</f>
        <v>#N/A</v>
      </c>
      <c r="DQ14" s="202" t="e">
        <f>#N/A</f>
        <v>#N/A</v>
      </c>
      <c r="DR14" s="9" t="e">
        <f>#N/A</f>
        <v>#N/A</v>
      </c>
      <c r="DS14" s="9" t="e">
        <f>#N/A</f>
        <v>#N/A</v>
      </c>
      <c r="DT14" s="9" t="e">
        <f>#N/A</f>
        <v>#N/A</v>
      </c>
      <c r="DU14" s="202" t="e">
        <f>#N/A</f>
        <v>#N/A</v>
      </c>
      <c r="DV14" s="202" t="e">
        <f>#N/A</f>
        <v>#N/A</v>
      </c>
      <c r="DW14" s="202" t="e">
        <f>#N/A</f>
        <v>#N/A</v>
      </c>
      <c r="DX14" s="203" t="e">
        <f t="shared" si="16"/>
        <v>#N/A</v>
      </c>
      <c r="DY14" s="203" t="e">
        <f t="shared" si="17"/>
        <v>#N/A</v>
      </c>
      <c r="DZ14" s="203" t="e">
        <f t="shared" si="18"/>
        <v>#N/A</v>
      </c>
      <c r="EA14" s="19" t="e">
        <f t="shared" si="19"/>
        <v>#N/A</v>
      </c>
      <c r="EB14" s="19" t="e">
        <f t="shared" si="20"/>
        <v>#N/A</v>
      </c>
      <c r="EC14" s="19" t="e">
        <f t="shared" si="21"/>
        <v>#N/A</v>
      </c>
      <c r="ED14" s="203" t="e">
        <f t="shared" si="22"/>
        <v>#N/A</v>
      </c>
      <c r="EE14" s="203" t="e">
        <f t="shared" si="23"/>
        <v>#N/A</v>
      </c>
      <c r="EF14" s="203" t="e">
        <f t="shared" si="24"/>
        <v>#N/A</v>
      </c>
      <c r="EH14" s="58">
        <f t="shared" si="25"/>
        <v>18750.537978464083</v>
      </c>
      <c r="EI14" s="68" t="e">
        <f t="shared" si="26"/>
        <v>#DIV/0!</v>
      </c>
      <c r="EJ14" s="58">
        <f t="shared" si="27"/>
        <v>18750.537978464083</v>
      </c>
      <c r="EK14" s="68" t="e">
        <f t="shared" si="26"/>
        <v>#DIV/0!</v>
      </c>
      <c r="EL14" s="58">
        <f t="shared" si="28"/>
        <v>14229</v>
      </c>
      <c r="EM14" s="58">
        <f t="shared" si="29"/>
        <v>14229</v>
      </c>
      <c r="EN14" s="68"/>
    </row>
    <row r="15" spans="1:146" x14ac:dyDescent="0.2">
      <c r="D15" s="2">
        <v>2008</v>
      </c>
      <c r="E15" s="2" t="e">
        <f>#N/A</f>
        <v>#N/A</v>
      </c>
      <c r="F15" s="2"/>
      <c r="G15" s="63"/>
      <c r="H15" s="63"/>
      <c r="I15" s="63"/>
      <c r="J15" s="63"/>
      <c r="K15" s="63"/>
      <c r="L15" s="63"/>
      <c r="M15" s="1"/>
      <c r="N15" s="1"/>
      <c r="O15" s="1"/>
      <c r="P15" s="8" t="e">
        <f>#N/A</f>
        <v>#N/A</v>
      </c>
      <c r="Q15" s="8" t="e">
        <f>#N/A</f>
        <v>#N/A</v>
      </c>
      <c r="R15" s="8" t="e">
        <f>#N/A</f>
        <v>#N/A</v>
      </c>
      <c r="S15" s="8" t="e">
        <f>#N/A</f>
        <v>#N/A</v>
      </c>
      <c r="T15" s="69" t="e">
        <f>#N/A</f>
        <v>#N/A</v>
      </c>
      <c r="U15" s="8" t="e">
        <f>#N/A</f>
        <v>#N/A</v>
      </c>
      <c r="V15" s="8" t="e">
        <f>#N/A</f>
        <v>#N/A</v>
      </c>
      <c r="W15" s="8" t="e">
        <f>#N/A</f>
        <v>#N/A</v>
      </c>
      <c r="X15" s="8" t="e">
        <f>#N/A</f>
        <v>#N/A</v>
      </c>
      <c r="Y15" s="8"/>
      <c r="Z15" s="8"/>
      <c r="AA15" s="8"/>
      <c r="AB15" s="8"/>
      <c r="AC15" s="8"/>
      <c r="AD15" s="8"/>
      <c r="AE15" s="8"/>
      <c r="AF15" s="8"/>
      <c r="AG15" s="8"/>
      <c r="AH15" s="8"/>
      <c r="AI15" s="8"/>
      <c r="AJ15" s="8"/>
      <c r="AK15" s="8"/>
      <c r="AL15" s="63"/>
      <c r="AM15" s="63"/>
      <c r="AN15" s="63"/>
      <c r="AO15" s="63"/>
      <c r="AP15" s="63"/>
      <c r="AQ15" s="5"/>
      <c r="AR15" s="5"/>
      <c r="AS15" s="5"/>
      <c r="AT15" s="5"/>
      <c r="AU15" s="1">
        <v>2452.5984000000003</v>
      </c>
      <c r="AV15" s="1">
        <v>63.322000000000003</v>
      </c>
      <c r="AW15" s="1">
        <v>3.978181818181818</v>
      </c>
      <c r="AX15" s="1">
        <v>2.0383636363636364</v>
      </c>
      <c r="AY15" s="1"/>
      <c r="AZ15" s="1">
        <v>1726.825440637436</v>
      </c>
      <c r="BA15" s="5"/>
      <c r="BB15" s="5"/>
      <c r="BC15" s="5"/>
      <c r="BD15" s="5"/>
      <c r="BE15" s="5"/>
      <c r="BF15" s="5"/>
      <c r="BG15" s="5"/>
      <c r="BH15" s="5"/>
      <c r="BI15" s="5"/>
      <c r="BJ15" s="5"/>
      <c r="BK15" s="5"/>
      <c r="BL15" s="5"/>
      <c r="BM15" s="5"/>
      <c r="BN15" s="5"/>
      <c r="BO15" s="5"/>
      <c r="BP15" s="5"/>
      <c r="BQ15" s="18"/>
      <c r="BR15" s="1"/>
      <c r="BS15" s="2">
        <v>7068</v>
      </c>
      <c r="BT15" s="1">
        <v>3441</v>
      </c>
      <c r="BU15" s="1">
        <v>3720</v>
      </c>
      <c r="BV15" s="1"/>
      <c r="BW15" s="1"/>
      <c r="BX15" s="1"/>
      <c r="BY15" s="1"/>
      <c r="BZ15" s="1"/>
      <c r="CA15" s="2">
        <v>0</v>
      </c>
      <c r="CB15" s="2"/>
      <c r="CC15" s="2"/>
      <c r="CD15" s="2"/>
      <c r="CE15" s="2"/>
      <c r="CF15" s="2"/>
      <c r="CG15" s="2"/>
      <c r="CH15" s="2"/>
      <c r="CI15" s="2"/>
      <c r="CJ15" s="27"/>
      <c r="CK15" s="8" t="e">
        <f>#N/A</f>
        <v>#N/A</v>
      </c>
      <c r="CL15" s="9" t="e">
        <f>#N/A</f>
        <v>#N/A</v>
      </c>
      <c r="CM15" s="9" t="e">
        <f>#N/A</f>
        <v>#N/A</v>
      </c>
      <c r="CN15" s="9" t="e">
        <f>#N/A</f>
        <v>#N/A</v>
      </c>
      <c r="CO15" s="9" t="e">
        <f>#N/A</f>
        <v>#N/A</v>
      </c>
      <c r="CP15" s="29" t="e">
        <f>#N/A</f>
        <v>#N/A</v>
      </c>
      <c r="CQ15" s="9" t="e">
        <f>#N/A</f>
        <v>#N/A</v>
      </c>
      <c r="CR15" s="9" t="e">
        <f>#N/A</f>
        <v>#N/A</v>
      </c>
      <c r="CS15" s="9" t="e">
        <f>#N/A</f>
        <v>#N/A</v>
      </c>
      <c r="CT15" s="9" t="e">
        <f>#N/A</f>
        <v>#N/A</v>
      </c>
      <c r="CU15" s="19" t="e">
        <f>#N/A</f>
        <v>#N/A</v>
      </c>
      <c r="CV15" s="19" t="e">
        <f>#N/A</f>
        <v>#N/A</v>
      </c>
      <c r="CW15" s="19" t="e">
        <f>#N/A</f>
        <v>#N/A</v>
      </c>
      <c r="CX15" s="19" t="e">
        <f>#N/A</f>
        <v>#N/A</v>
      </c>
      <c r="CY15" s="30" t="e">
        <f>#N/A</f>
        <v>#N/A</v>
      </c>
      <c r="CZ15" s="19" t="e">
        <f>#N/A</f>
        <v>#N/A</v>
      </c>
      <c r="DA15" s="19" t="e">
        <f>#N/A</f>
        <v>#N/A</v>
      </c>
      <c r="DB15" s="19" t="e">
        <f>#N/A</f>
        <v>#N/A</v>
      </c>
      <c r="DC15" s="19" t="e">
        <f>#N/A</f>
        <v>#N/A</v>
      </c>
      <c r="DD15" s="18"/>
      <c r="DE15" s="5"/>
      <c r="DF15" s="18"/>
      <c r="DG15" s="5"/>
      <c r="DH15" s="5"/>
      <c r="DI15" s="18"/>
      <c r="DJ15" s="5"/>
      <c r="DK15" s="5"/>
      <c r="DL15" s="5"/>
      <c r="DM15" s="8" t="e">
        <f>#N/A</f>
        <v>#N/A</v>
      </c>
      <c r="DN15" s="8" t="e">
        <f>#N/A</f>
        <v>#N/A</v>
      </c>
      <c r="DO15" s="202" t="e">
        <f>#N/A</f>
        <v>#N/A</v>
      </c>
      <c r="DP15" s="202" t="e">
        <f>#N/A</f>
        <v>#N/A</v>
      </c>
      <c r="DQ15" s="202" t="e">
        <f>#N/A</f>
        <v>#N/A</v>
      </c>
      <c r="DR15" s="9" t="e">
        <f>#N/A</f>
        <v>#N/A</v>
      </c>
      <c r="DS15" s="9" t="e">
        <f>#N/A</f>
        <v>#N/A</v>
      </c>
      <c r="DT15" s="9" t="e">
        <f>#N/A</f>
        <v>#N/A</v>
      </c>
      <c r="DU15" s="202" t="e">
        <f>#N/A</f>
        <v>#N/A</v>
      </c>
      <c r="DV15" s="202" t="e">
        <f>#N/A</f>
        <v>#N/A</v>
      </c>
      <c r="DW15" s="202" t="e">
        <f>#N/A</f>
        <v>#N/A</v>
      </c>
      <c r="DX15" s="203" t="e">
        <f t="shared" si="16"/>
        <v>#N/A</v>
      </c>
      <c r="DY15" s="203" t="e">
        <f t="shared" si="17"/>
        <v>#N/A</v>
      </c>
      <c r="DZ15" s="203" t="e">
        <f t="shared" si="18"/>
        <v>#N/A</v>
      </c>
      <c r="EA15" s="19" t="e">
        <f t="shared" si="19"/>
        <v>#N/A</v>
      </c>
      <c r="EB15" s="19" t="e">
        <f t="shared" si="20"/>
        <v>#N/A</v>
      </c>
      <c r="EC15" s="19" t="e">
        <f t="shared" si="21"/>
        <v>#N/A</v>
      </c>
      <c r="ED15" s="203" t="e">
        <f t="shared" si="22"/>
        <v>#N/A</v>
      </c>
      <c r="EE15" s="203" t="e">
        <f t="shared" si="23"/>
        <v>#N/A</v>
      </c>
      <c r="EF15" s="203" t="e">
        <f t="shared" si="24"/>
        <v>#N/A</v>
      </c>
      <c r="EH15" s="58">
        <f t="shared" si="25"/>
        <v>18471.745840637435</v>
      </c>
      <c r="EI15" s="68" t="e">
        <f t="shared" si="26"/>
        <v>#DIV/0!</v>
      </c>
      <c r="EJ15" s="58">
        <f t="shared" si="27"/>
        <v>18471.745840637435</v>
      </c>
      <c r="EK15" s="68" t="e">
        <f t="shared" si="26"/>
        <v>#DIV/0!</v>
      </c>
      <c r="EL15" s="58">
        <f t="shared" si="28"/>
        <v>14229</v>
      </c>
      <c r="EM15" s="58">
        <f t="shared" si="29"/>
        <v>14229</v>
      </c>
      <c r="EN15" s="68"/>
    </row>
    <row r="16" spans="1:146" x14ac:dyDescent="0.2">
      <c r="D16" s="2">
        <v>2008</v>
      </c>
      <c r="E16" s="2" t="e">
        <f>#N/A</f>
        <v>#N/A</v>
      </c>
      <c r="F16" s="2"/>
      <c r="G16" s="63"/>
      <c r="H16" s="63"/>
      <c r="I16" s="63"/>
      <c r="J16" s="63"/>
      <c r="K16" s="63"/>
      <c r="L16" s="63"/>
      <c r="M16" s="1"/>
      <c r="N16" s="1"/>
      <c r="O16" s="1"/>
      <c r="P16" s="8" t="e">
        <f>#N/A</f>
        <v>#N/A</v>
      </c>
      <c r="Q16" s="8" t="e">
        <f>#N/A</f>
        <v>#N/A</v>
      </c>
      <c r="R16" s="8" t="e">
        <f>#N/A</f>
        <v>#N/A</v>
      </c>
      <c r="S16" s="8" t="e">
        <f>#N/A</f>
        <v>#N/A</v>
      </c>
      <c r="T16" s="69" t="e">
        <f>#N/A</f>
        <v>#N/A</v>
      </c>
      <c r="U16" s="8" t="e">
        <f>#N/A</f>
        <v>#N/A</v>
      </c>
      <c r="V16" s="8" t="e">
        <f>#N/A</f>
        <v>#N/A</v>
      </c>
      <c r="W16" s="8" t="e">
        <f>#N/A</f>
        <v>#N/A</v>
      </c>
      <c r="X16" s="8" t="e">
        <f>#N/A</f>
        <v>#N/A</v>
      </c>
      <c r="Y16" s="8"/>
      <c r="Z16" s="8"/>
      <c r="AA16" s="8"/>
      <c r="AB16" s="8"/>
      <c r="AC16" s="8"/>
      <c r="AD16" s="8"/>
      <c r="AE16" s="8"/>
      <c r="AF16" s="8"/>
      <c r="AG16" s="8"/>
      <c r="AH16" s="8"/>
      <c r="AI16" s="8"/>
      <c r="AJ16" s="8"/>
      <c r="AK16" s="8"/>
      <c r="AL16" s="63"/>
      <c r="AM16" s="63"/>
      <c r="AN16" s="63"/>
      <c r="AO16" s="63"/>
      <c r="AP16" s="63"/>
      <c r="AQ16" s="5"/>
      <c r="AR16" s="5"/>
      <c r="AS16" s="5"/>
      <c r="AT16" s="5"/>
      <c r="AU16" s="1">
        <v>2299.8774400000002</v>
      </c>
      <c r="AV16" s="1">
        <v>119.505</v>
      </c>
      <c r="AW16" s="1">
        <v>2.8145454545454545</v>
      </c>
      <c r="AX16" s="1">
        <v>1.5431818181818182</v>
      </c>
      <c r="AY16" s="1"/>
      <c r="AZ16" s="1">
        <v>1565.6790508874728</v>
      </c>
      <c r="BA16" s="5"/>
      <c r="BB16" s="5"/>
      <c r="BC16" s="5"/>
      <c r="BD16" s="5"/>
      <c r="BE16" s="5"/>
      <c r="BF16" s="5"/>
      <c r="BG16" s="5"/>
      <c r="BH16" s="5"/>
      <c r="BI16" s="5"/>
      <c r="BJ16" s="5"/>
      <c r="BK16" s="5"/>
      <c r="BL16" s="5"/>
      <c r="BM16" s="5"/>
      <c r="BN16" s="5"/>
      <c r="BO16" s="5"/>
      <c r="BP16" s="5"/>
      <c r="BQ16" s="18"/>
      <c r="BR16" s="1"/>
      <c r="BS16" s="2">
        <v>6840</v>
      </c>
      <c r="BT16" s="1">
        <v>3330</v>
      </c>
      <c r="BU16" s="1">
        <v>3600</v>
      </c>
      <c r="BV16" s="1"/>
      <c r="BW16" s="1"/>
      <c r="BX16" s="1"/>
      <c r="BY16" s="1"/>
      <c r="BZ16" s="1"/>
      <c r="CA16" s="2">
        <v>0</v>
      </c>
      <c r="CB16" s="2"/>
      <c r="CC16" s="2"/>
      <c r="CD16" s="2"/>
      <c r="CE16" s="2"/>
      <c r="CF16" s="2"/>
      <c r="CG16" s="2"/>
      <c r="CH16" s="2"/>
      <c r="CI16" s="2"/>
      <c r="CJ16" s="27"/>
      <c r="CK16" s="8" t="e">
        <f>#N/A</f>
        <v>#N/A</v>
      </c>
      <c r="CL16" s="9" t="e">
        <f>#N/A</f>
        <v>#N/A</v>
      </c>
      <c r="CM16" s="9" t="e">
        <f>#N/A</f>
        <v>#N/A</v>
      </c>
      <c r="CN16" s="9" t="e">
        <f>#N/A</f>
        <v>#N/A</v>
      </c>
      <c r="CO16" s="9" t="e">
        <f>#N/A</f>
        <v>#N/A</v>
      </c>
      <c r="CP16" s="29" t="e">
        <f>#N/A</f>
        <v>#N/A</v>
      </c>
      <c r="CQ16" s="9" t="e">
        <f>#N/A</f>
        <v>#N/A</v>
      </c>
      <c r="CR16" s="9" t="e">
        <f>#N/A</f>
        <v>#N/A</v>
      </c>
      <c r="CS16" s="9" t="e">
        <f>#N/A</f>
        <v>#N/A</v>
      </c>
      <c r="CT16" s="9" t="e">
        <f>#N/A</f>
        <v>#N/A</v>
      </c>
      <c r="CU16" s="19" t="e">
        <f>#N/A</f>
        <v>#N/A</v>
      </c>
      <c r="CV16" s="19" t="e">
        <f>#N/A</f>
        <v>#N/A</v>
      </c>
      <c r="CW16" s="19" t="e">
        <f>#N/A</f>
        <v>#N/A</v>
      </c>
      <c r="CX16" s="19" t="e">
        <f>#N/A</f>
        <v>#N/A</v>
      </c>
      <c r="CY16" s="30" t="e">
        <f>#N/A</f>
        <v>#N/A</v>
      </c>
      <c r="CZ16" s="19" t="e">
        <f>#N/A</f>
        <v>#N/A</v>
      </c>
      <c r="DA16" s="19" t="e">
        <f>#N/A</f>
        <v>#N/A</v>
      </c>
      <c r="DB16" s="19" t="e">
        <f>#N/A</f>
        <v>#N/A</v>
      </c>
      <c r="DC16" s="19" t="e">
        <f>#N/A</f>
        <v>#N/A</v>
      </c>
      <c r="DD16" s="18"/>
      <c r="DE16" s="5"/>
      <c r="DF16" s="18"/>
      <c r="DG16" s="5"/>
      <c r="DH16" s="5"/>
      <c r="DI16" s="18"/>
      <c r="DJ16" s="5"/>
      <c r="DK16" s="5"/>
      <c r="DL16" s="5"/>
      <c r="DM16" s="8" t="e">
        <f>#N/A</f>
        <v>#N/A</v>
      </c>
      <c r="DN16" s="8" t="e">
        <f>#N/A</f>
        <v>#N/A</v>
      </c>
      <c r="DO16" s="202" t="e">
        <f>#N/A</f>
        <v>#N/A</v>
      </c>
      <c r="DP16" s="202" t="e">
        <f>#N/A</f>
        <v>#N/A</v>
      </c>
      <c r="DQ16" s="202" t="e">
        <f>#N/A</f>
        <v>#N/A</v>
      </c>
      <c r="DR16" s="9" t="e">
        <f>#N/A</f>
        <v>#N/A</v>
      </c>
      <c r="DS16" s="9" t="e">
        <f>#N/A</f>
        <v>#N/A</v>
      </c>
      <c r="DT16" s="9" t="e">
        <f>#N/A</f>
        <v>#N/A</v>
      </c>
      <c r="DU16" s="202" t="e">
        <f>#N/A</f>
        <v>#N/A</v>
      </c>
      <c r="DV16" s="202" t="e">
        <f>#N/A</f>
        <v>#N/A</v>
      </c>
      <c r="DW16" s="202" t="e">
        <f>#N/A</f>
        <v>#N/A</v>
      </c>
      <c r="DX16" s="203" t="e">
        <f t="shared" si="16"/>
        <v>#N/A</v>
      </c>
      <c r="DY16" s="203" t="e">
        <f t="shared" si="17"/>
        <v>#N/A</v>
      </c>
      <c r="DZ16" s="203" t="e">
        <f t="shared" si="18"/>
        <v>#N/A</v>
      </c>
      <c r="EA16" s="19" t="e">
        <f t="shared" si="19"/>
        <v>#N/A</v>
      </c>
      <c r="EB16" s="19" t="e">
        <f t="shared" si="20"/>
        <v>#N/A</v>
      </c>
      <c r="EC16" s="19" t="e">
        <f t="shared" si="21"/>
        <v>#N/A</v>
      </c>
      <c r="ED16" s="203" t="e">
        <f t="shared" si="22"/>
        <v>#N/A</v>
      </c>
      <c r="EE16" s="203" t="e">
        <f t="shared" si="23"/>
        <v>#N/A</v>
      </c>
      <c r="EF16" s="203" t="e">
        <f t="shared" si="24"/>
        <v>#N/A</v>
      </c>
      <c r="EH16" s="58">
        <f t="shared" si="25"/>
        <v>17755.061490887474</v>
      </c>
      <c r="EI16" s="68" t="e">
        <f t="shared" si="26"/>
        <v>#DIV/0!</v>
      </c>
      <c r="EJ16" s="58">
        <f t="shared" si="27"/>
        <v>17755.061490887474</v>
      </c>
      <c r="EK16" s="68" t="e">
        <f t="shared" si="26"/>
        <v>#DIV/0!</v>
      </c>
      <c r="EL16" s="58">
        <f t="shared" si="28"/>
        <v>13770</v>
      </c>
      <c r="EM16" s="58">
        <f t="shared" si="29"/>
        <v>13770</v>
      </c>
      <c r="EN16" s="68"/>
    </row>
    <row r="17" spans="1:144" x14ac:dyDescent="0.2">
      <c r="D17" s="2">
        <v>2008</v>
      </c>
      <c r="E17" s="2" t="e">
        <f>#N/A</f>
        <v>#N/A</v>
      </c>
      <c r="F17" s="2"/>
      <c r="G17" s="63"/>
      <c r="H17" s="63"/>
      <c r="I17" s="63"/>
      <c r="J17" s="63"/>
      <c r="K17" s="63"/>
      <c r="L17" s="63"/>
      <c r="M17" s="1"/>
      <c r="N17" s="1"/>
      <c r="O17" s="1"/>
      <c r="P17" s="8" t="e">
        <f>#N/A</f>
        <v>#N/A</v>
      </c>
      <c r="Q17" s="8" t="e">
        <f>#N/A</f>
        <v>#N/A</v>
      </c>
      <c r="R17" s="8" t="e">
        <f>#N/A</f>
        <v>#N/A</v>
      </c>
      <c r="S17" s="8" t="e">
        <f>#N/A</f>
        <v>#N/A</v>
      </c>
      <c r="T17" s="69" t="e">
        <f>#N/A</f>
        <v>#N/A</v>
      </c>
      <c r="U17" s="8" t="e">
        <f>#N/A</f>
        <v>#N/A</v>
      </c>
      <c r="V17" s="8" t="e">
        <f>#N/A</f>
        <v>#N/A</v>
      </c>
      <c r="W17" s="8" t="e">
        <f>#N/A</f>
        <v>#N/A</v>
      </c>
      <c r="X17" s="8" t="e">
        <f>#N/A</f>
        <v>#N/A</v>
      </c>
      <c r="Y17" s="8"/>
      <c r="Z17" s="8"/>
      <c r="AA17" s="8"/>
      <c r="AB17" s="8"/>
      <c r="AC17" s="8"/>
      <c r="AD17" s="8"/>
      <c r="AE17" s="8"/>
      <c r="AF17" s="8"/>
      <c r="AG17" s="8"/>
      <c r="AH17" s="8"/>
      <c r="AI17" s="8"/>
      <c r="AJ17" s="8"/>
      <c r="AK17" s="8"/>
      <c r="AL17" s="63"/>
      <c r="AM17" s="63"/>
      <c r="AN17" s="63"/>
      <c r="AO17" s="63"/>
      <c r="AP17" s="63"/>
      <c r="AQ17" s="5"/>
      <c r="AR17" s="5"/>
      <c r="AS17" s="5"/>
      <c r="AT17" s="5"/>
      <c r="AU17" s="1">
        <v>2446.4977600000002</v>
      </c>
      <c r="AV17" s="1">
        <v>66.834000000000003</v>
      </c>
      <c r="AW17" s="1">
        <v>8.8000000000000007</v>
      </c>
      <c r="AX17" s="1">
        <v>1.7841</v>
      </c>
      <c r="AY17" s="1"/>
      <c r="AZ17" s="1">
        <v>1916.3074068684457</v>
      </c>
      <c r="BA17" s="5"/>
      <c r="BB17" s="5"/>
      <c r="BC17" s="5"/>
      <c r="BD17" s="5"/>
      <c r="BE17" s="5"/>
      <c r="BF17" s="5"/>
      <c r="BG17" s="5"/>
      <c r="BH17" s="5"/>
      <c r="BI17" s="5"/>
      <c r="BJ17" s="5"/>
      <c r="BK17" s="5"/>
      <c r="BL17" s="5"/>
      <c r="BM17" s="5"/>
      <c r="BN17" s="5"/>
      <c r="BO17" s="5"/>
      <c r="BP17" s="5"/>
      <c r="BQ17" s="18"/>
      <c r="BR17" s="1"/>
      <c r="BS17" s="2">
        <v>0</v>
      </c>
      <c r="BT17" s="1">
        <v>3441</v>
      </c>
      <c r="BU17" s="1">
        <v>3720</v>
      </c>
      <c r="BV17" s="1"/>
      <c r="BW17" s="1"/>
      <c r="BX17" s="1"/>
      <c r="BY17" s="1"/>
      <c r="BZ17" s="1"/>
      <c r="CA17" s="2">
        <v>0</v>
      </c>
      <c r="CB17" s="2"/>
      <c r="CC17" s="2"/>
      <c r="CD17" s="2"/>
      <c r="CE17" s="2"/>
      <c r="CF17" s="2"/>
      <c r="CG17" s="2"/>
      <c r="CH17" s="2"/>
      <c r="CI17" s="2"/>
      <c r="CJ17" s="27"/>
      <c r="CK17" s="8" t="e">
        <f>#N/A</f>
        <v>#N/A</v>
      </c>
      <c r="CL17" s="9" t="e">
        <f>#N/A</f>
        <v>#N/A</v>
      </c>
      <c r="CM17" s="9" t="e">
        <f>#N/A</f>
        <v>#N/A</v>
      </c>
      <c r="CN17" s="9" t="e">
        <f>#N/A</f>
        <v>#N/A</v>
      </c>
      <c r="CO17" s="9" t="e">
        <f>#N/A</f>
        <v>#N/A</v>
      </c>
      <c r="CP17" s="29" t="e">
        <f>#N/A</f>
        <v>#N/A</v>
      </c>
      <c r="CQ17" s="9" t="e">
        <f>#N/A</f>
        <v>#N/A</v>
      </c>
      <c r="CR17" s="9" t="e">
        <f>#N/A</f>
        <v>#N/A</v>
      </c>
      <c r="CS17" s="9" t="e">
        <f>#N/A</f>
        <v>#N/A</v>
      </c>
      <c r="CT17" s="9" t="e">
        <f>#N/A</f>
        <v>#N/A</v>
      </c>
      <c r="CU17" s="19" t="e">
        <f>#N/A</f>
        <v>#N/A</v>
      </c>
      <c r="CV17" s="19" t="e">
        <f>#N/A</f>
        <v>#N/A</v>
      </c>
      <c r="CW17" s="19" t="e">
        <f>#N/A</f>
        <v>#N/A</v>
      </c>
      <c r="CX17" s="19" t="e">
        <f>#N/A</f>
        <v>#N/A</v>
      </c>
      <c r="CY17" s="30" t="e">
        <f>#N/A</f>
        <v>#N/A</v>
      </c>
      <c r="CZ17" s="19" t="e">
        <f>#N/A</f>
        <v>#N/A</v>
      </c>
      <c r="DA17" s="19" t="e">
        <f>#N/A</f>
        <v>#N/A</v>
      </c>
      <c r="DB17" s="19" t="e">
        <f>#N/A</f>
        <v>#N/A</v>
      </c>
      <c r="DC17" s="19" t="e">
        <f>#N/A</f>
        <v>#N/A</v>
      </c>
      <c r="DD17" s="18"/>
      <c r="DE17" s="5"/>
      <c r="DF17" s="18"/>
      <c r="DG17" s="5"/>
      <c r="DH17" s="5"/>
      <c r="DI17" s="18"/>
      <c r="DJ17" s="5"/>
      <c r="DK17" s="5"/>
      <c r="DL17" s="5"/>
      <c r="DM17" s="8" t="e">
        <f>#N/A</f>
        <v>#N/A</v>
      </c>
      <c r="DN17" s="8" t="e">
        <f>#N/A</f>
        <v>#N/A</v>
      </c>
      <c r="DO17" s="202" t="e">
        <f>#N/A</f>
        <v>#N/A</v>
      </c>
      <c r="DP17" s="202" t="e">
        <f>#N/A</f>
        <v>#N/A</v>
      </c>
      <c r="DQ17" s="202" t="e">
        <f>#N/A</f>
        <v>#N/A</v>
      </c>
      <c r="DR17" s="9" t="e">
        <f>#N/A</f>
        <v>#N/A</v>
      </c>
      <c r="DS17" s="9" t="e">
        <f>#N/A</f>
        <v>#N/A</v>
      </c>
      <c r="DT17" s="9" t="e">
        <f>#N/A</f>
        <v>#N/A</v>
      </c>
      <c r="DU17" s="202" t="e">
        <f>#N/A</f>
        <v>#N/A</v>
      </c>
      <c r="DV17" s="202" t="e">
        <f>#N/A</f>
        <v>#N/A</v>
      </c>
      <c r="DW17" s="202" t="e">
        <f>#N/A</f>
        <v>#N/A</v>
      </c>
      <c r="DX17" s="203" t="e">
        <f t="shared" si="16"/>
        <v>#N/A</v>
      </c>
      <c r="DY17" s="203" t="e">
        <f t="shared" si="17"/>
        <v>#N/A</v>
      </c>
      <c r="DZ17" s="203" t="e">
        <f t="shared" si="18"/>
        <v>#N/A</v>
      </c>
      <c r="EA17" s="19" t="e">
        <f t="shared" si="19"/>
        <v>#N/A</v>
      </c>
      <c r="EB17" s="19" t="e">
        <f t="shared" si="20"/>
        <v>#N/A</v>
      </c>
      <c r="EC17" s="19" t="e">
        <f t="shared" si="21"/>
        <v>#N/A</v>
      </c>
      <c r="ED17" s="203" t="e">
        <f t="shared" si="22"/>
        <v>#N/A</v>
      </c>
      <c r="EE17" s="203" t="e">
        <f t="shared" si="23"/>
        <v>#N/A</v>
      </c>
      <c r="EF17" s="203" t="e">
        <f t="shared" si="24"/>
        <v>#N/A</v>
      </c>
      <c r="EH17" s="58">
        <f t="shared" si="25"/>
        <v>11590.639166868445</v>
      </c>
      <c r="EI17" s="68" t="e">
        <f t="shared" si="26"/>
        <v>#DIV/0!</v>
      </c>
      <c r="EJ17" s="58">
        <f t="shared" si="27"/>
        <v>11590.639166868445</v>
      </c>
      <c r="EK17" s="68" t="e">
        <f t="shared" si="26"/>
        <v>#DIV/0!</v>
      </c>
      <c r="EL17" s="58">
        <f t="shared" si="28"/>
        <v>7161</v>
      </c>
      <c r="EM17" s="58">
        <f t="shared" si="29"/>
        <v>7161</v>
      </c>
      <c r="EN17" s="68"/>
    </row>
    <row r="18" spans="1:144" x14ac:dyDescent="0.2">
      <c r="D18" s="2">
        <v>2008</v>
      </c>
      <c r="E18" s="2" t="e">
        <f>#N/A</f>
        <v>#N/A</v>
      </c>
      <c r="F18" s="2"/>
      <c r="G18" s="63"/>
      <c r="H18" s="63"/>
      <c r="I18" s="63"/>
      <c r="J18" s="63"/>
      <c r="K18" s="63"/>
      <c r="L18" s="63"/>
      <c r="M18" s="1"/>
      <c r="N18" s="1"/>
      <c r="O18" s="1"/>
      <c r="P18" s="8" t="e">
        <f>#N/A</f>
        <v>#N/A</v>
      </c>
      <c r="Q18" s="8" t="e">
        <f>#N/A</f>
        <v>#N/A</v>
      </c>
      <c r="R18" s="8" t="e">
        <f>#N/A</f>
        <v>#N/A</v>
      </c>
      <c r="S18" s="8" t="e">
        <f>#N/A</f>
        <v>#N/A</v>
      </c>
      <c r="T18" s="69" t="e">
        <f>#N/A</f>
        <v>#N/A</v>
      </c>
      <c r="U18" s="8" t="e">
        <f>#N/A</f>
        <v>#N/A</v>
      </c>
      <c r="V18" s="8" t="e">
        <f>#N/A</f>
        <v>#N/A</v>
      </c>
      <c r="W18" s="8" t="e">
        <f>#N/A</f>
        <v>#N/A</v>
      </c>
      <c r="X18" s="8" t="e">
        <f>#N/A</f>
        <v>#N/A</v>
      </c>
      <c r="Y18" s="8"/>
      <c r="Z18" s="8"/>
      <c r="AA18" s="8"/>
      <c r="AB18" s="8"/>
      <c r="AC18" s="8"/>
      <c r="AD18" s="8"/>
      <c r="AE18" s="8"/>
      <c r="AF18" s="8"/>
      <c r="AG18" s="8"/>
      <c r="AH18" s="8"/>
      <c r="AI18" s="8"/>
      <c r="AJ18" s="8"/>
      <c r="AK18" s="8"/>
      <c r="AL18" s="63"/>
      <c r="AM18" s="63"/>
      <c r="AN18" s="63"/>
      <c r="AO18" s="63"/>
      <c r="AP18" s="63"/>
      <c r="AQ18" s="5"/>
      <c r="AR18" s="5"/>
      <c r="AS18" s="5"/>
      <c r="AT18" s="5"/>
      <c r="AU18" s="1">
        <v>2357.040896</v>
      </c>
      <c r="AV18" s="1">
        <v>61.683999999999997</v>
      </c>
      <c r="AW18" s="1">
        <v>9.665454545454546</v>
      </c>
      <c r="AX18" s="1">
        <v>2.6113636363636363</v>
      </c>
      <c r="AY18" s="1"/>
      <c r="AZ18" s="1">
        <v>2377.5817161777554</v>
      </c>
      <c r="BA18" s="5"/>
      <c r="BB18" s="5"/>
      <c r="BC18" s="5"/>
      <c r="BD18" s="5"/>
      <c r="BE18" s="5"/>
      <c r="BF18" s="5"/>
      <c r="BG18" s="5"/>
      <c r="BH18" s="5"/>
      <c r="BI18" s="5"/>
      <c r="BJ18" s="5"/>
      <c r="BK18" s="5"/>
      <c r="BL18" s="5"/>
      <c r="BM18" s="5"/>
      <c r="BN18" s="5"/>
      <c r="BO18" s="5"/>
      <c r="BP18" s="5"/>
      <c r="BQ18" s="18"/>
      <c r="BR18" s="1">
        <f>0.225*0.85*721</f>
        <v>137.89125000000001</v>
      </c>
      <c r="BS18" s="2">
        <v>6840</v>
      </c>
      <c r="BT18" s="1">
        <v>3330</v>
      </c>
      <c r="BU18" s="1">
        <v>3600</v>
      </c>
      <c r="BV18" s="1"/>
      <c r="BW18" s="1"/>
      <c r="BX18" s="1"/>
      <c r="BY18" s="1"/>
      <c r="BZ18" s="1"/>
      <c r="CA18" s="2">
        <v>0</v>
      </c>
      <c r="CB18" s="2"/>
      <c r="CC18" s="2"/>
      <c r="CD18" s="2"/>
      <c r="CE18" s="2"/>
      <c r="CF18" s="2"/>
      <c r="CG18" s="2"/>
      <c r="CH18" s="2"/>
      <c r="CI18" s="2"/>
      <c r="CJ18" s="27"/>
      <c r="CK18" s="8" t="e">
        <f>#N/A</f>
        <v>#N/A</v>
      </c>
      <c r="CL18" s="9" t="e">
        <f>#N/A</f>
        <v>#N/A</v>
      </c>
      <c r="CM18" s="9" t="e">
        <f>#N/A</f>
        <v>#N/A</v>
      </c>
      <c r="CN18" s="9" t="e">
        <f>#N/A</f>
        <v>#N/A</v>
      </c>
      <c r="CO18" s="9" t="e">
        <f>#N/A</f>
        <v>#N/A</v>
      </c>
      <c r="CP18" s="29" t="e">
        <f>#N/A</f>
        <v>#N/A</v>
      </c>
      <c r="CQ18" s="9" t="e">
        <f>#N/A</f>
        <v>#N/A</v>
      </c>
      <c r="CR18" s="9" t="e">
        <f>#N/A</f>
        <v>#N/A</v>
      </c>
      <c r="CS18" s="9" t="e">
        <f>#N/A</f>
        <v>#N/A</v>
      </c>
      <c r="CT18" s="9" t="e">
        <f>#N/A</f>
        <v>#N/A</v>
      </c>
      <c r="CU18" s="19" t="e">
        <f>#N/A</f>
        <v>#N/A</v>
      </c>
      <c r="CV18" s="19" t="e">
        <f>#N/A</f>
        <v>#N/A</v>
      </c>
      <c r="CW18" s="19" t="e">
        <f>#N/A</f>
        <v>#N/A</v>
      </c>
      <c r="CX18" s="19" t="e">
        <f>#N/A</f>
        <v>#N/A</v>
      </c>
      <c r="CY18" s="30" t="e">
        <f>#N/A</f>
        <v>#N/A</v>
      </c>
      <c r="CZ18" s="19" t="e">
        <f>#N/A</f>
        <v>#N/A</v>
      </c>
      <c r="DA18" s="19" t="e">
        <f>#N/A</f>
        <v>#N/A</v>
      </c>
      <c r="DB18" s="19" t="e">
        <f>#N/A</f>
        <v>#N/A</v>
      </c>
      <c r="DC18" s="19" t="e">
        <f>#N/A</f>
        <v>#N/A</v>
      </c>
      <c r="DD18" s="18"/>
      <c r="DE18" s="5"/>
      <c r="DF18" s="18"/>
      <c r="DG18" s="5"/>
      <c r="DH18" s="5"/>
      <c r="DI18" s="18"/>
      <c r="DJ18" s="5"/>
      <c r="DK18" s="5"/>
      <c r="DL18" s="5"/>
      <c r="DM18" s="8" t="e">
        <f>#N/A</f>
        <v>#N/A</v>
      </c>
      <c r="DN18" s="8" t="e">
        <f>#N/A</f>
        <v>#N/A</v>
      </c>
      <c r="DO18" s="202" t="e">
        <f>#N/A</f>
        <v>#N/A</v>
      </c>
      <c r="DP18" s="202" t="e">
        <f>#N/A</f>
        <v>#N/A</v>
      </c>
      <c r="DQ18" s="202" t="e">
        <f>#N/A</f>
        <v>#N/A</v>
      </c>
      <c r="DR18" s="9" t="e">
        <f>#N/A</f>
        <v>#N/A</v>
      </c>
      <c r="DS18" s="9" t="e">
        <f>#N/A</f>
        <v>#N/A</v>
      </c>
      <c r="DT18" s="9" t="e">
        <f>#N/A</f>
        <v>#N/A</v>
      </c>
      <c r="DU18" s="202" t="e">
        <f>#N/A</f>
        <v>#N/A</v>
      </c>
      <c r="DV18" s="202" t="e">
        <f>#N/A</f>
        <v>#N/A</v>
      </c>
      <c r="DW18" s="202" t="e">
        <f>#N/A</f>
        <v>#N/A</v>
      </c>
      <c r="DX18" s="203" t="e">
        <f t="shared" si="16"/>
        <v>#N/A</v>
      </c>
      <c r="DY18" s="203" t="e">
        <f t="shared" si="17"/>
        <v>#N/A</v>
      </c>
      <c r="DZ18" s="203" t="e">
        <f t="shared" si="18"/>
        <v>#N/A</v>
      </c>
      <c r="EA18" s="19" t="e">
        <f t="shared" si="19"/>
        <v>#N/A</v>
      </c>
      <c r="EB18" s="19" t="e">
        <f t="shared" si="20"/>
        <v>#N/A</v>
      </c>
      <c r="EC18" s="19" t="e">
        <f t="shared" si="21"/>
        <v>#N/A</v>
      </c>
      <c r="ED18" s="203" t="e">
        <f t="shared" si="22"/>
        <v>#N/A</v>
      </c>
      <c r="EE18" s="203" t="e">
        <f t="shared" si="23"/>
        <v>#N/A</v>
      </c>
      <c r="EF18" s="203" t="e">
        <f t="shared" si="24"/>
        <v>#N/A</v>
      </c>
      <c r="EH18" s="58">
        <f t="shared" si="25"/>
        <v>18704.197862177756</v>
      </c>
      <c r="EI18" s="68" t="e">
        <f t="shared" si="26"/>
        <v>#DIV/0!</v>
      </c>
      <c r="EJ18" s="58">
        <f t="shared" si="27"/>
        <v>18704.197862177756</v>
      </c>
      <c r="EK18" s="68" t="e">
        <f t="shared" si="26"/>
        <v>#DIV/0!</v>
      </c>
      <c r="EL18" s="58">
        <f t="shared" si="28"/>
        <v>13907.891250000001</v>
      </c>
      <c r="EM18" s="58">
        <f t="shared" si="29"/>
        <v>13907.891250000001</v>
      </c>
      <c r="EN18" s="68"/>
    </row>
    <row r="19" spans="1:144" x14ac:dyDescent="0.2">
      <c r="D19" s="2">
        <v>2008</v>
      </c>
      <c r="E19" s="2" t="e">
        <f>#N/A</f>
        <v>#N/A</v>
      </c>
      <c r="F19" s="2"/>
      <c r="G19" s="63"/>
      <c r="H19" s="63"/>
      <c r="I19" s="63"/>
      <c r="J19" s="63"/>
      <c r="K19" s="63"/>
      <c r="L19" s="63"/>
      <c r="M19" s="1"/>
      <c r="N19" s="1"/>
      <c r="O19" s="1"/>
      <c r="P19" s="8" t="e">
        <f>#N/A</f>
        <v>#N/A</v>
      </c>
      <c r="Q19" s="8" t="e">
        <f>#N/A</f>
        <v>#N/A</v>
      </c>
      <c r="R19" s="8" t="e">
        <f>#N/A</f>
        <v>#N/A</v>
      </c>
      <c r="S19" s="8" t="e">
        <f>#N/A</f>
        <v>#N/A</v>
      </c>
      <c r="T19" s="69" t="e">
        <f>#N/A</f>
        <v>#N/A</v>
      </c>
      <c r="U19" s="8" t="e">
        <f>#N/A</f>
        <v>#N/A</v>
      </c>
      <c r="V19" s="8" t="e">
        <f>#N/A</f>
        <v>#N/A</v>
      </c>
      <c r="W19" s="8" t="e">
        <f>#N/A</f>
        <v>#N/A</v>
      </c>
      <c r="X19" s="8" t="e">
        <f>#N/A</f>
        <v>#N/A</v>
      </c>
      <c r="Y19" s="8"/>
      <c r="Z19" s="8"/>
      <c r="AA19" s="8"/>
      <c r="AB19" s="8"/>
      <c r="AC19" s="8"/>
      <c r="AD19" s="8"/>
      <c r="AE19" s="8"/>
      <c r="AF19" s="8"/>
      <c r="AG19" s="8"/>
      <c r="AH19" s="8"/>
      <c r="AI19" s="8"/>
      <c r="AJ19" s="8"/>
      <c r="AK19" s="8"/>
      <c r="AL19" s="63"/>
      <c r="AM19" s="63"/>
      <c r="AN19" s="63"/>
      <c r="AO19" s="63"/>
      <c r="AP19" s="63"/>
      <c r="AQ19" s="5"/>
      <c r="AR19" s="5"/>
      <c r="AS19" s="5"/>
      <c r="AT19" s="5"/>
      <c r="AU19" s="1">
        <v>2379.4040480000003</v>
      </c>
      <c r="AV19" s="1">
        <v>61.216000000000001</v>
      </c>
      <c r="AW19" s="1">
        <v>7.9418181818181823</v>
      </c>
      <c r="AX19" s="1">
        <v>4.0650000000000004</v>
      </c>
      <c r="AY19" s="1"/>
      <c r="AZ19" s="1">
        <v>2373.5017341134949</v>
      </c>
      <c r="BA19" s="5"/>
      <c r="BB19" s="5"/>
      <c r="BC19" s="5"/>
      <c r="BD19" s="5"/>
      <c r="BE19" s="5"/>
      <c r="BF19" s="5"/>
      <c r="BG19" s="5"/>
      <c r="BH19" s="5"/>
      <c r="BI19" s="5"/>
      <c r="BJ19" s="5"/>
      <c r="BK19" s="5"/>
      <c r="BL19" s="5"/>
      <c r="BM19" s="5"/>
      <c r="BN19" s="5"/>
      <c r="BO19" s="5"/>
      <c r="BP19" s="5"/>
      <c r="BQ19" s="18"/>
      <c r="BR19" s="1">
        <f>0.225*0.85*744</f>
        <v>142.29</v>
      </c>
      <c r="BS19" s="2">
        <v>7068</v>
      </c>
      <c r="BT19" s="1">
        <v>3441</v>
      </c>
      <c r="BU19" s="1">
        <v>3720</v>
      </c>
      <c r="BV19" s="1"/>
      <c r="BW19" s="1"/>
      <c r="BX19" s="1"/>
      <c r="BY19" s="1"/>
      <c r="BZ19" s="1"/>
      <c r="CA19" s="2">
        <v>0</v>
      </c>
      <c r="CB19" s="2"/>
      <c r="CC19" s="2"/>
      <c r="CD19" s="2"/>
      <c r="CE19" s="2"/>
      <c r="CF19" s="2"/>
      <c r="CG19" s="2"/>
      <c r="CH19" s="2"/>
      <c r="CI19" s="2"/>
      <c r="CJ19" s="27"/>
      <c r="CK19" s="8" t="e">
        <f>#N/A</f>
        <v>#N/A</v>
      </c>
      <c r="CL19" s="9" t="e">
        <f>#N/A</f>
        <v>#N/A</v>
      </c>
      <c r="CM19" s="9" t="e">
        <f>#N/A</f>
        <v>#N/A</v>
      </c>
      <c r="CN19" s="9" t="e">
        <f>#N/A</f>
        <v>#N/A</v>
      </c>
      <c r="CO19" s="9" t="e">
        <f>#N/A</f>
        <v>#N/A</v>
      </c>
      <c r="CP19" s="29" t="e">
        <f>#N/A</f>
        <v>#N/A</v>
      </c>
      <c r="CQ19" s="9" t="e">
        <f>#N/A</f>
        <v>#N/A</v>
      </c>
      <c r="CR19" s="9" t="e">
        <f>#N/A</f>
        <v>#N/A</v>
      </c>
      <c r="CS19" s="9" t="e">
        <f>#N/A</f>
        <v>#N/A</v>
      </c>
      <c r="CT19" s="9" t="e">
        <f>#N/A</f>
        <v>#N/A</v>
      </c>
      <c r="CU19" s="19" t="e">
        <f>#N/A</f>
        <v>#N/A</v>
      </c>
      <c r="CV19" s="19" t="e">
        <f>#N/A</f>
        <v>#N/A</v>
      </c>
      <c r="CW19" s="19" t="e">
        <f>#N/A</f>
        <v>#N/A</v>
      </c>
      <c r="CX19" s="19" t="e">
        <f>#N/A</f>
        <v>#N/A</v>
      </c>
      <c r="CY19" s="30" t="e">
        <f>#N/A</f>
        <v>#N/A</v>
      </c>
      <c r="CZ19" s="19" t="e">
        <f>#N/A</f>
        <v>#N/A</v>
      </c>
      <c r="DA19" s="19" t="e">
        <f>#N/A</f>
        <v>#N/A</v>
      </c>
      <c r="DB19" s="19" t="e">
        <f>#N/A</f>
        <v>#N/A</v>
      </c>
      <c r="DC19" s="19" t="e">
        <f>#N/A</f>
        <v>#N/A</v>
      </c>
      <c r="DD19" s="18"/>
      <c r="DE19" s="5"/>
      <c r="DF19" s="18"/>
      <c r="DG19" s="5"/>
      <c r="DH19" s="5"/>
      <c r="DI19" s="18"/>
      <c r="DJ19" s="5"/>
      <c r="DK19" s="5"/>
      <c r="DL19" s="5"/>
      <c r="DM19" s="8" t="e">
        <f>#N/A</f>
        <v>#N/A</v>
      </c>
      <c r="DN19" s="8" t="e">
        <f>#N/A</f>
        <v>#N/A</v>
      </c>
      <c r="DO19" s="202" t="e">
        <f>#N/A</f>
        <v>#N/A</v>
      </c>
      <c r="DP19" s="202" t="e">
        <f>#N/A</f>
        <v>#N/A</v>
      </c>
      <c r="DQ19" s="202" t="e">
        <f>#N/A</f>
        <v>#N/A</v>
      </c>
      <c r="DR19" s="9" t="e">
        <f>#N/A</f>
        <v>#N/A</v>
      </c>
      <c r="DS19" s="9" t="e">
        <f>#N/A</f>
        <v>#N/A</v>
      </c>
      <c r="DT19" s="9" t="e">
        <f>#N/A</f>
        <v>#N/A</v>
      </c>
      <c r="DU19" s="202" t="e">
        <f>#N/A</f>
        <v>#N/A</v>
      </c>
      <c r="DV19" s="202" t="e">
        <f>#N/A</f>
        <v>#N/A</v>
      </c>
      <c r="DW19" s="202" t="e">
        <f>#N/A</f>
        <v>#N/A</v>
      </c>
      <c r="DX19" s="203" t="e">
        <f t="shared" si="16"/>
        <v>#N/A</v>
      </c>
      <c r="DY19" s="203" t="e">
        <f t="shared" si="17"/>
        <v>#N/A</v>
      </c>
      <c r="DZ19" s="203" t="e">
        <f t="shared" si="18"/>
        <v>#N/A</v>
      </c>
      <c r="EA19" s="19" t="e">
        <f t="shared" si="19"/>
        <v>#N/A</v>
      </c>
      <c r="EB19" s="19" t="e">
        <f t="shared" si="20"/>
        <v>#N/A</v>
      </c>
      <c r="EC19" s="19" t="e">
        <f t="shared" si="21"/>
        <v>#N/A</v>
      </c>
      <c r="ED19" s="203" t="e">
        <f t="shared" si="22"/>
        <v>#N/A</v>
      </c>
      <c r="EE19" s="203" t="e">
        <f t="shared" si="23"/>
        <v>#N/A</v>
      </c>
      <c r="EF19" s="203" t="e">
        <f t="shared" si="24"/>
        <v>#N/A</v>
      </c>
      <c r="EH19" s="58">
        <f t="shared" si="25"/>
        <v>19185.411782113493</v>
      </c>
      <c r="EI19" s="68" t="e">
        <f t="shared" si="26"/>
        <v>#DIV/0!</v>
      </c>
      <c r="EJ19" s="58">
        <f t="shared" si="27"/>
        <v>19185.411782113493</v>
      </c>
      <c r="EK19" s="68" t="e">
        <f t="shared" si="26"/>
        <v>#DIV/0!</v>
      </c>
      <c r="EL19" s="58">
        <f t="shared" si="28"/>
        <v>14371.29</v>
      </c>
      <c r="EM19" s="58">
        <f t="shared" si="29"/>
        <v>14371.29</v>
      </c>
      <c r="EN19" s="68"/>
    </row>
    <row r="20" spans="1:144" x14ac:dyDescent="0.2">
      <c r="A20" s="23">
        <v>0.01</v>
      </c>
      <c r="C20" s="23">
        <v>-0.03</v>
      </c>
      <c r="D20" s="7">
        <f>1+D8</f>
        <v>2009</v>
      </c>
      <c r="E20" s="7">
        <f>+E8</f>
        <v>1</v>
      </c>
      <c r="F20" s="7"/>
      <c r="G20" s="63"/>
      <c r="H20" s="63"/>
      <c r="I20" s="63"/>
      <c r="J20" s="63"/>
      <c r="K20" s="63"/>
      <c r="L20" s="63"/>
      <c r="M20" s="1"/>
      <c r="N20" s="1"/>
      <c r="O20" s="1"/>
      <c r="P20" s="8" t="e">
        <f>#N/A</f>
        <v>#N/A</v>
      </c>
      <c r="Q20" s="8" t="e">
        <f>#N/A</f>
        <v>#N/A</v>
      </c>
      <c r="R20" s="8" t="e">
        <f>#N/A</f>
        <v>#N/A</v>
      </c>
      <c r="S20" s="8" t="e">
        <f>#N/A</f>
        <v>#N/A</v>
      </c>
      <c r="T20" s="69" t="e">
        <f>#N/A</f>
        <v>#N/A</v>
      </c>
      <c r="U20" s="8" t="e">
        <f>#N/A</f>
        <v>#N/A</v>
      </c>
      <c r="V20" s="8" t="e">
        <f>#N/A</f>
        <v>#N/A</v>
      </c>
      <c r="W20" s="8" t="e">
        <f>#N/A</f>
        <v>#N/A</v>
      </c>
      <c r="X20" s="8" t="e">
        <f>#N/A</f>
        <v>#N/A</v>
      </c>
      <c r="Y20" s="8"/>
      <c r="Z20" s="8"/>
      <c r="AA20" s="8"/>
      <c r="AB20" s="8"/>
      <c r="AC20" s="8"/>
      <c r="AD20" s="8"/>
      <c r="AE20" s="8"/>
      <c r="AF20" s="8"/>
      <c r="AG20" s="8"/>
      <c r="AH20" s="8"/>
      <c r="AI20" s="8"/>
      <c r="AJ20" s="8"/>
      <c r="AK20" s="8"/>
      <c r="AL20" s="63"/>
      <c r="AM20" s="63"/>
      <c r="AN20" s="63"/>
      <c r="AO20" s="63"/>
      <c r="AP20" s="63"/>
      <c r="AQ20" s="5"/>
      <c r="AR20" s="18"/>
      <c r="AS20" s="18"/>
      <c r="AT20" s="18"/>
      <c r="AU20" s="8">
        <v>2657.4251200000003</v>
      </c>
      <c r="AV20" s="8">
        <v>66.834000000000003</v>
      </c>
      <c r="AW20" s="8">
        <v>5.8545454545454554</v>
      </c>
      <c r="AX20" s="8">
        <v>2.9496666666666664</v>
      </c>
      <c r="AY20" s="8"/>
      <c r="AZ20" s="1">
        <v>2139.3835985857418</v>
      </c>
      <c r="BA20" s="4"/>
      <c r="BB20" s="4"/>
      <c r="BC20" s="4"/>
      <c r="BD20" s="4"/>
      <c r="BE20" s="4"/>
      <c r="BF20" s="4"/>
      <c r="BG20" s="4"/>
      <c r="BH20" s="4"/>
      <c r="BI20" s="4"/>
      <c r="BJ20" s="4"/>
      <c r="BK20" s="4"/>
      <c r="BL20" s="4"/>
      <c r="BM20" s="4"/>
      <c r="BN20" s="4"/>
      <c r="BO20" s="4"/>
      <c r="BP20" s="18"/>
      <c r="BQ20" s="18"/>
      <c r="BR20" s="1">
        <f>0.225*0.9*744</f>
        <v>150.66</v>
      </c>
      <c r="BS20" s="2">
        <v>7068</v>
      </c>
      <c r="BT20" s="1">
        <v>3441</v>
      </c>
      <c r="BU20" s="1">
        <v>3720</v>
      </c>
      <c r="BV20" s="1"/>
      <c r="BW20" s="1"/>
      <c r="BX20" s="1"/>
      <c r="BY20" s="1"/>
      <c r="BZ20" s="1"/>
      <c r="CA20" s="2">
        <v>0</v>
      </c>
      <c r="CB20" s="2"/>
      <c r="CC20" s="2"/>
      <c r="CD20" s="2"/>
      <c r="CE20" s="2"/>
      <c r="CF20" s="2"/>
      <c r="CG20" s="2"/>
      <c r="CH20" s="2"/>
      <c r="CI20" s="2"/>
      <c r="CJ20" s="27"/>
      <c r="CK20" s="8" t="e">
        <f>#N/A</f>
        <v>#N/A</v>
      </c>
      <c r="CL20" s="9" t="e">
        <f>#N/A</f>
        <v>#N/A</v>
      </c>
      <c r="CM20" s="9" t="e">
        <f>#N/A</f>
        <v>#N/A</v>
      </c>
      <c r="CN20" s="9" t="e">
        <f>#N/A</f>
        <v>#N/A</v>
      </c>
      <c r="CO20" s="9" t="e">
        <f>#N/A</f>
        <v>#N/A</v>
      </c>
      <c r="CP20" s="29" t="e">
        <f>#N/A</f>
        <v>#N/A</v>
      </c>
      <c r="CQ20" s="9" t="e">
        <f>#N/A</f>
        <v>#N/A</v>
      </c>
      <c r="CR20" s="9" t="e">
        <f>#N/A</f>
        <v>#N/A</v>
      </c>
      <c r="CS20" s="9" t="e">
        <f>#N/A</f>
        <v>#N/A</v>
      </c>
      <c r="CT20" s="9" t="e">
        <f>#N/A</f>
        <v>#N/A</v>
      </c>
      <c r="CU20" s="19" t="e">
        <f>#N/A</f>
        <v>#N/A</v>
      </c>
      <c r="CV20" s="19" t="e">
        <f>#N/A</f>
        <v>#N/A</v>
      </c>
      <c r="CW20" s="19" t="e">
        <f>#N/A</f>
        <v>#N/A</v>
      </c>
      <c r="CX20" s="19" t="e">
        <f>#N/A</f>
        <v>#N/A</v>
      </c>
      <c r="CY20" s="30" t="e">
        <f>#N/A</f>
        <v>#N/A</v>
      </c>
      <c r="CZ20" s="19" t="e">
        <f>#N/A</f>
        <v>#N/A</v>
      </c>
      <c r="DA20" s="19" t="e">
        <f>#N/A</f>
        <v>#N/A</v>
      </c>
      <c r="DB20" s="19" t="e">
        <f>#N/A</f>
        <v>#N/A</v>
      </c>
      <c r="DC20" s="19" t="e">
        <f>#N/A</f>
        <v>#N/A</v>
      </c>
      <c r="DD20" s="18"/>
      <c r="DE20" s="18"/>
      <c r="DF20" s="18"/>
      <c r="DG20" s="5"/>
      <c r="DH20" s="5"/>
      <c r="DI20" s="18"/>
      <c r="DJ20" s="5"/>
      <c r="DK20" s="5"/>
      <c r="DL20" s="5"/>
      <c r="DM20" s="8" t="e">
        <f>#N/A</f>
        <v>#N/A</v>
      </c>
      <c r="DN20" s="8" t="e">
        <f>#N/A</f>
        <v>#N/A</v>
      </c>
      <c r="DO20" s="202" t="e">
        <f>#N/A</f>
        <v>#N/A</v>
      </c>
      <c r="DP20" s="202" t="e">
        <f>#N/A</f>
        <v>#N/A</v>
      </c>
      <c r="DQ20" s="202" t="e">
        <f>#N/A</f>
        <v>#N/A</v>
      </c>
      <c r="DR20" s="9" t="e">
        <f>#N/A</f>
        <v>#N/A</v>
      </c>
      <c r="DS20" s="9" t="e">
        <f>#N/A</f>
        <v>#N/A</v>
      </c>
      <c r="DT20" s="9" t="e">
        <f>#N/A</f>
        <v>#N/A</v>
      </c>
      <c r="DU20" s="202" t="e">
        <f>#N/A</f>
        <v>#N/A</v>
      </c>
      <c r="DV20" s="202" t="e">
        <f>#N/A</f>
        <v>#N/A</v>
      </c>
      <c r="DW20" s="202" t="e">
        <f>#N/A</f>
        <v>#N/A</v>
      </c>
      <c r="DX20" s="203" t="e">
        <f t="shared" si="16"/>
        <v>#N/A</v>
      </c>
      <c r="DY20" s="203" t="e">
        <f t="shared" si="17"/>
        <v>#N/A</v>
      </c>
      <c r="DZ20" s="203" t="e">
        <f t="shared" si="18"/>
        <v>#N/A</v>
      </c>
      <c r="EA20" s="19" t="e">
        <f t="shared" si="19"/>
        <v>#N/A</v>
      </c>
      <c r="EB20" s="19" t="e">
        <f t="shared" si="20"/>
        <v>#N/A</v>
      </c>
      <c r="EC20" s="19" t="e">
        <f t="shared" si="21"/>
        <v>#N/A</v>
      </c>
      <c r="ED20" s="203" t="e">
        <f t="shared" si="22"/>
        <v>#N/A</v>
      </c>
      <c r="EE20" s="203" t="e">
        <f t="shared" si="23"/>
        <v>#N/A</v>
      </c>
      <c r="EF20" s="203" t="e">
        <f t="shared" si="24"/>
        <v>#N/A</v>
      </c>
      <c r="EH20" s="58">
        <f t="shared" si="25"/>
        <v>19243.302718585743</v>
      </c>
      <c r="EI20" s="68" t="e">
        <f t="shared" si="26"/>
        <v>#DIV/0!</v>
      </c>
      <c r="EJ20" s="58">
        <f t="shared" si="27"/>
        <v>19243.302718585743</v>
      </c>
      <c r="EK20" s="68" t="e">
        <f t="shared" si="26"/>
        <v>#DIV/0!</v>
      </c>
      <c r="EL20" s="58">
        <f t="shared" si="28"/>
        <v>14379.66</v>
      </c>
      <c r="EM20" s="58">
        <f t="shared" si="29"/>
        <v>14379.66</v>
      </c>
      <c r="EN20" s="68"/>
    </row>
    <row r="21" spans="1:144" x14ac:dyDescent="0.2">
      <c r="A21" s="23">
        <v>0.01</v>
      </c>
      <c r="C21" s="23">
        <v>-0.03</v>
      </c>
      <c r="D21" s="7" t="e">
        <f>#N/A</f>
        <v>#N/A</v>
      </c>
      <c r="E21" s="7" t="e">
        <f>#N/A</f>
        <v>#N/A</v>
      </c>
      <c r="F21" s="7"/>
      <c r="G21" s="63"/>
      <c r="H21" s="63"/>
      <c r="I21" s="63"/>
      <c r="J21" s="63"/>
      <c r="K21" s="63"/>
      <c r="L21" s="63"/>
      <c r="M21" s="1"/>
      <c r="N21" s="1"/>
      <c r="O21" s="1"/>
      <c r="P21" s="8" t="e">
        <f>#N/A</f>
        <v>#N/A</v>
      </c>
      <c r="Q21" s="8" t="e">
        <f>#N/A</f>
        <v>#N/A</v>
      </c>
      <c r="R21" s="8" t="e">
        <f>#N/A</f>
        <v>#N/A</v>
      </c>
      <c r="S21" s="8" t="e">
        <f>#N/A</f>
        <v>#N/A</v>
      </c>
      <c r="T21" s="69" t="e">
        <f>#N/A</f>
        <v>#N/A</v>
      </c>
      <c r="U21" s="8" t="e">
        <f>#N/A</f>
        <v>#N/A</v>
      </c>
      <c r="V21" s="8" t="e">
        <f>#N/A</f>
        <v>#N/A</v>
      </c>
      <c r="W21" s="8" t="e">
        <f>#N/A</f>
        <v>#N/A</v>
      </c>
      <c r="X21" s="8" t="e">
        <f>#N/A</f>
        <v>#N/A</v>
      </c>
      <c r="Y21" s="8"/>
      <c r="Z21" s="8"/>
      <c r="AA21" s="8"/>
      <c r="AB21" s="8"/>
      <c r="AC21" s="8"/>
      <c r="AD21" s="8"/>
      <c r="AE21" s="8"/>
      <c r="AF21" s="8"/>
      <c r="AG21" s="8"/>
      <c r="AH21" s="8"/>
      <c r="AI21" s="8"/>
      <c r="AJ21" s="8"/>
      <c r="AK21" s="8"/>
      <c r="AL21" s="63"/>
      <c r="AM21" s="63"/>
      <c r="AN21" s="63"/>
      <c r="AO21" s="63"/>
      <c r="AP21" s="63"/>
      <c r="AQ21" s="5"/>
      <c r="AR21" s="18"/>
      <c r="AS21" s="18"/>
      <c r="AT21" s="18"/>
      <c r="AU21" s="8">
        <v>2291.2622880000004</v>
      </c>
      <c r="AV21" s="8">
        <v>55.246000000000002</v>
      </c>
      <c r="AW21" s="8">
        <v>4.7854545454545452</v>
      </c>
      <c r="AX21" s="8">
        <v>2.7113333333333336</v>
      </c>
      <c r="AY21" s="8"/>
      <c r="AZ21" s="1">
        <v>1789.6159540457832</v>
      </c>
      <c r="BA21" s="4"/>
      <c r="BB21" s="4"/>
      <c r="BC21" s="4"/>
      <c r="BD21" s="4"/>
      <c r="BE21" s="4"/>
      <c r="BF21" s="4"/>
      <c r="BG21" s="4"/>
      <c r="BH21" s="4"/>
      <c r="BI21" s="4"/>
      <c r="BJ21" s="4"/>
      <c r="BK21" s="4"/>
      <c r="BL21" s="4"/>
      <c r="BM21" s="4"/>
      <c r="BN21" s="4"/>
      <c r="BO21" s="4"/>
      <c r="BP21" s="18"/>
      <c r="BQ21" s="18"/>
      <c r="BR21" s="1">
        <f>0.225*0.9*672</f>
        <v>136.08000000000001</v>
      </c>
      <c r="BS21" s="2">
        <v>6384</v>
      </c>
      <c r="BT21" s="1">
        <v>3108</v>
      </c>
      <c r="BU21" s="1">
        <v>3360</v>
      </c>
      <c r="BV21" s="1"/>
      <c r="BW21" s="1"/>
      <c r="BX21" s="1"/>
      <c r="BY21" s="1"/>
      <c r="BZ21" s="1"/>
      <c r="CA21" s="2">
        <v>0</v>
      </c>
      <c r="CB21" s="2"/>
      <c r="CC21" s="2"/>
      <c r="CD21" s="2"/>
      <c r="CE21" s="2"/>
      <c r="CF21" s="2"/>
      <c r="CG21" s="2"/>
      <c r="CH21" s="2"/>
      <c r="CI21" s="2"/>
      <c r="CJ21" s="27"/>
      <c r="CK21" s="8" t="e">
        <f>#N/A</f>
        <v>#N/A</v>
      </c>
      <c r="CL21" s="9" t="e">
        <f>#N/A</f>
        <v>#N/A</v>
      </c>
      <c r="CM21" s="9" t="e">
        <f>#N/A</f>
        <v>#N/A</v>
      </c>
      <c r="CN21" s="9" t="e">
        <f>#N/A</f>
        <v>#N/A</v>
      </c>
      <c r="CO21" s="9" t="e">
        <f>#N/A</f>
        <v>#N/A</v>
      </c>
      <c r="CP21" s="29" t="e">
        <f>#N/A</f>
        <v>#N/A</v>
      </c>
      <c r="CQ21" s="9" t="e">
        <f>#N/A</f>
        <v>#N/A</v>
      </c>
      <c r="CR21" s="9" t="e">
        <f>#N/A</f>
        <v>#N/A</v>
      </c>
      <c r="CS21" s="9" t="e">
        <f>#N/A</f>
        <v>#N/A</v>
      </c>
      <c r="CT21" s="9" t="e">
        <f>#N/A</f>
        <v>#N/A</v>
      </c>
      <c r="CU21" s="19" t="e">
        <f>#N/A</f>
        <v>#N/A</v>
      </c>
      <c r="CV21" s="19" t="e">
        <f>#N/A</f>
        <v>#N/A</v>
      </c>
      <c r="CW21" s="19" t="e">
        <f>#N/A</f>
        <v>#N/A</v>
      </c>
      <c r="CX21" s="19" t="e">
        <f>#N/A</f>
        <v>#N/A</v>
      </c>
      <c r="CY21" s="30" t="e">
        <f>#N/A</f>
        <v>#N/A</v>
      </c>
      <c r="CZ21" s="19" t="e">
        <f>#N/A</f>
        <v>#N/A</v>
      </c>
      <c r="DA21" s="19" t="e">
        <f>#N/A</f>
        <v>#N/A</v>
      </c>
      <c r="DB21" s="19" t="e">
        <f>#N/A</f>
        <v>#N/A</v>
      </c>
      <c r="DC21" s="19" t="e">
        <f>#N/A</f>
        <v>#N/A</v>
      </c>
      <c r="DD21" s="18"/>
      <c r="DE21" s="18"/>
      <c r="DF21" s="18"/>
      <c r="DG21" s="5"/>
      <c r="DH21" s="5"/>
      <c r="DI21" s="18"/>
      <c r="DJ21" s="5"/>
      <c r="DK21" s="5"/>
      <c r="DL21" s="5"/>
      <c r="DM21" s="8" t="e">
        <f>#N/A</f>
        <v>#N/A</v>
      </c>
      <c r="DN21" s="8" t="e">
        <f>#N/A</f>
        <v>#N/A</v>
      </c>
      <c r="DO21" s="202" t="e">
        <f>#N/A</f>
        <v>#N/A</v>
      </c>
      <c r="DP21" s="202" t="e">
        <f>#N/A</f>
        <v>#N/A</v>
      </c>
      <c r="DQ21" s="202" t="e">
        <f>#N/A</f>
        <v>#N/A</v>
      </c>
      <c r="DR21" s="9" t="e">
        <f>#N/A</f>
        <v>#N/A</v>
      </c>
      <c r="DS21" s="9" t="e">
        <f>#N/A</f>
        <v>#N/A</v>
      </c>
      <c r="DT21" s="9" t="e">
        <f>#N/A</f>
        <v>#N/A</v>
      </c>
      <c r="DU21" s="202" t="e">
        <f>#N/A</f>
        <v>#N/A</v>
      </c>
      <c r="DV21" s="202" t="e">
        <f>#N/A</f>
        <v>#N/A</v>
      </c>
      <c r="DW21" s="202" t="e">
        <f>#N/A</f>
        <v>#N/A</v>
      </c>
      <c r="DX21" s="203" t="e">
        <f t="shared" si="16"/>
        <v>#N/A</v>
      </c>
      <c r="DY21" s="203" t="e">
        <f t="shared" si="17"/>
        <v>#N/A</v>
      </c>
      <c r="DZ21" s="203" t="e">
        <f t="shared" si="18"/>
        <v>#N/A</v>
      </c>
      <c r="EA21" s="19" t="e">
        <f t="shared" si="19"/>
        <v>#N/A</v>
      </c>
      <c r="EB21" s="19" t="e">
        <f t="shared" si="20"/>
        <v>#N/A</v>
      </c>
      <c r="EC21" s="19" t="e">
        <f t="shared" si="21"/>
        <v>#N/A</v>
      </c>
      <c r="ED21" s="203" t="e">
        <f t="shared" si="22"/>
        <v>#N/A</v>
      </c>
      <c r="EE21" s="203" t="e">
        <f t="shared" si="23"/>
        <v>#N/A</v>
      </c>
      <c r="EF21" s="203" t="e">
        <f t="shared" si="24"/>
        <v>#N/A</v>
      </c>
      <c r="EH21" s="58">
        <f t="shared" si="25"/>
        <v>17124.204242045784</v>
      </c>
      <c r="EI21" s="68" t="e">
        <f t="shared" si="26"/>
        <v>#DIV/0!</v>
      </c>
      <c r="EJ21" s="58">
        <f t="shared" si="27"/>
        <v>17124.204242045784</v>
      </c>
      <c r="EK21" s="68" t="e">
        <f t="shared" si="26"/>
        <v>#DIV/0!</v>
      </c>
      <c r="EL21" s="58">
        <f t="shared" si="28"/>
        <v>12988.08</v>
      </c>
      <c r="EM21" s="58">
        <f t="shared" si="29"/>
        <v>12988.08</v>
      </c>
      <c r="EN21" s="68"/>
    </row>
    <row r="22" spans="1:144" ht="12.75" customHeight="1" x14ac:dyDescent="0.2">
      <c r="A22" s="23">
        <v>0.01</v>
      </c>
      <c r="C22" s="23">
        <v>-0.03</v>
      </c>
      <c r="D22" s="7" t="e">
        <f>#N/A</f>
        <v>#N/A</v>
      </c>
      <c r="E22" s="7" t="e">
        <f>#N/A</f>
        <v>#N/A</v>
      </c>
      <c r="F22" s="7"/>
      <c r="G22" s="63"/>
      <c r="H22" s="63"/>
      <c r="I22" s="63"/>
      <c r="J22" s="63"/>
      <c r="K22" s="63"/>
      <c r="L22" s="63"/>
      <c r="M22" s="1"/>
      <c r="N22" s="1"/>
      <c r="O22" s="1"/>
      <c r="P22" s="8" t="e">
        <f>#N/A</f>
        <v>#N/A</v>
      </c>
      <c r="Q22" s="8" t="e">
        <f>#N/A</f>
        <v>#N/A</v>
      </c>
      <c r="R22" s="8" t="e">
        <f>#N/A</f>
        <v>#N/A</v>
      </c>
      <c r="S22" s="8" t="e">
        <f>#N/A</f>
        <v>#N/A</v>
      </c>
      <c r="T22" s="69" t="e">
        <f>#N/A</f>
        <v>#N/A</v>
      </c>
      <c r="U22" s="8" t="e">
        <f>#N/A</f>
        <v>#N/A</v>
      </c>
      <c r="V22" s="8" t="e">
        <f>#N/A</f>
        <v>#N/A</v>
      </c>
      <c r="W22" s="8" t="e">
        <f>#N/A</f>
        <v>#N/A</v>
      </c>
      <c r="X22" s="8" t="e">
        <f>#N/A</f>
        <v>#N/A</v>
      </c>
      <c r="Y22" s="8"/>
      <c r="Z22" s="8"/>
      <c r="AA22" s="8"/>
      <c r="AB22" s="8"/>
      <c r="AC22" s="8"/>
      <c r="AD22" s="8"/>
      <c r="AE22" s="8"/>
      <c r="AF22" s="8"/>
      <c r="AG22" s="8"/>
      <c r="AH22" s="8"/>
      <c r="AI22" s="8"/>
      <c r="AJ22" s="8"/>
      <c r="AK22" s="8"/>
      <c r="AL22" s="63"/>
      <c r="AM22" s="63"/>
      <c r="AN22" s="63"/>
      <c r="AO22" s="63"/>
      <c r="AP22" s="63"/>
      <c r="AQ22" s="5"/>
      <c r="AR22" s="18"/>
      <c r="AS22" s="18"/>
      <c r="AT22" s="18"/>
      <c r="AU22" s="8">
        <v>2462.2853920000002</v>
      </c>
      <c r="AV22" s="8">
        <v>64.141999999999996</v>
      </c>
      <c r="AW22" s="8">
        <v>6.4072727272727272</v>
      </c>
      <c r="AX22" s="8">
        <v>3.4415</v>
      </c>
      <c r="AY22" s="8"/>
      <c r="AZ22" s="1">
        <v>2481.6963880503508</v>
      </c>
      <c r="BA22" s="4"/>
      <c r="BB22" s="4"/>
      <c r="BC22" s="4"/>
      <c r="BD22" s="4"/>
      <c r="BE22" s="4"/>
      <c r="BF22" s="4"/>
      <c r="BG22" s="4"/>
      <c r="BH22" s="4"/>
      <c r="BI22" s="4"/>
      <c r="BJ22" s="4"/>
      <c r="BK22" s="4"/>
      <c r="BL22" s="4"/>
      <c r="BM22" s="4"/>
      <c r="BN22" s="4"/>
      <c r="BO22" s="4"/>
      <c r="BP22" s="18"/>
      <c r="BQ22" s="18"/>
      <c r="BR22" s="1">
        <f>0.225*0.9*743</f>
        <v>150.45750000000001</v>
      </c>
      <c r="BS22" s="2">
        <v>7068</v>
      </c>
      <c r="BT22" s="1">
        <v>3441</v>
      </c>
      <c r="BU22" s="1">
        <v>3720</v>
      </c>
      <c r="BV22" s="1"/>
      <c r="BW22" s="1"/>
      <c r="BX22" s="1"/>
      <c r="BY22" s="1"/>
      <c r="BZ22" s="1"/>
      <c r="CA22" s="2">
        <v>0</v>
      </c>
      <c r="CB22" s="2"/>
      <c r="CC22" s="2"/>
      <c r="CD22" s="2"/>
      <c r="CE22" s="2"/>
      <c r="CF22" s="2"/>
      <c r="CG22" s="2"/>
      <c r="CH22" s="2"/>
      <c r="CI22" s="2"/>
      <c r="CJ22" s="27"/>
      <c r="CK22" s="8" t="e">
        <f>#N/A</f>
        <v>#N/A</v>
      </c>
      <c r="CL22" s="9" t="e">
        <f>#N/A</f>
        <v>#N/A</v>
      </c>
      <c r="CM22" s="9" t="e">
        <f>#N/A</f>
        <v>#N/A</v>
      </c>
      <c r="CN22" s="9" t="e">
        <f>#N/A</f>
        <v>#N/A</v>
      </c>
      <c r="CO22" s="9" t="e">
        <f>#N/A</f>
        <v>#N/A</v>
      </c>
      <c r="CP22" s="29" t="e">
        <f>#N/A</f>
        <v>#N/A</v>
      </c>
      <c r="CQ22" s="9" t="e">
        <f>#N/A</f>
        <v>#N/A</v>
      </c>
      <c r="CR22" s="9" t="e">
        <f>#N/A</f>
        <v>#N/A</v>
      </c>
      <c r="CS22" s="9" t="e">
        <f>#N/A</f>
        <v>#N/A</v>
      </c>
      <c r="CT22" s="9" t="e">
        <f>#N/A</f>
        <v>#N/A</v>
      </c>
      <c r="CU22" s="19" t="e">
        <f>#N/A</f>
        <v>#N/A</v>
      </c>
      <c r="CV22" s="19" t="e">
        <f>#N/A</f>
        <v>#N/A</v>
      </c>
      <c r="CW22" s="19" t="e">
        <f>#N/A</f>
        <v>#N/A</v>
      </c>
      <c r="CX22" s="19" t="e">
        <f>#N/A</f>
        <v>#N/A</v>
      </c>
      <c r="CY22" s="30" t="e">
        <f>#N/A</f>
        <v>#N/A</v>
      </c>
      <c r="CZ22" s="19" t="e">
        <f>#N/A</f>
        <v>#N/A</v>
      </c>
      <c r="DA22" s="19" t="e">
        <f>#N/A</f>
        <v>#N/A</v>
      </c>
      <c r="DB22" s="19" t="e">
        <f>#N/A</f>
        <v>#N/A</v>
      </c>
      <c r="DC22" s="19" t="e">
        <f>#N/A</f>
        <v>#N/A</v>
      </c>
      <c r="DD22" s="18"/>
      <c r="DE22" s="18"/>
      <c r="DF22" s="18"/>
      <c r="DG22" s="5"/>
      <c r="DH22" s="5"/>
      <c r="DI22" s="18"/>
      <c r="DJ22" s="5"/>
      <c r="DK22" s="5"/>
      <c r="DL22" s="5"/>
      <c r="DM22" s="8" t="e">
        <f>#N/A</f>
        <v>#N/A</v>
      </c>
      <c r="DN22" s="8" t="e">
        <f>#N/A</f>
        <v>#N/A</v>
      </c>
      <c r="DO22" s="202" t="e">
        <f>#N/A</f>
        <v>#N/A</v>
      </c>
      <c r="DP22" s="202" t="e">
        <f>#N/A</f>
        <v>#N/A</v>
      </c>
      <c r="DQ22" s="202" t="e">
        <f>#N/A</f>
        <v>#N/A</v>
      </c>
      <c r="DR22" s="9" t="e">
        <f>#N/A</f>
        <v>#N/A</v>
      </c>
      <c r="DS22" s="9" t="e">
        <f>#N/A</f>
        <v>#N/A</v>
      </c>
      <c r="DT22" s="9" t="e">
        <f>#N/A</f>
        <v>#N/A</v>
      </c>
      <c r="DU22" s="202" t="e">
        <f>#N/A</f>
        <v>#N/A</v>
      </c>
      <c r="DV22" s="202" t="e">
        <f>#N/A</f>
        <v>#N/A</v>
      </c>
      <c r="DW22" s="202" t="e">
        <f>#N/A</f>
        <v>#N/A</v>
      </c>
      <c r="DX22" s="203" t="e">
        <f t="shared" si="16"/>
        <v>#N/A</v>
      </c>
      <c r="DY22" s="203" t="e">
        <f t="shared" si="17"/>
        <v>#N/A</v>
      </c>
      <c r="DZ22" s="203" t="e">
        <f t="shared" si="18"/>
        <v>#N/A</v>
      </c>
      <c r="EA22" s="19" t="e">
        <f t="shared" si="19"/>
        <v>#N/A</v>
      </c>
      <c r="EB22" s="19" t="e">
        <f t="shared" si="20"/>
        <v>#N/A</v>
      </c>
      <c r="EC22" s="19" t="e">
        <f t="shared" si="21"/>
        <v>#N/A</v>
      </c>
      <c r="ED22" s="203" t="e">
        <f t="shared" si="22"/>
        <v>#N/A</v>
      </c>
      <c r="EE22" s="203" t="e">
        <f t="shared" si="23"/>
        <v>#N/A</v>
      </c>
      <c r="EF22" s="203" t="e">
        <f t="shared" si="24"/>
        <v>#N/A</v>
      </c>
      <c r="EH22" s="58">
        <f t="shared" si="25"/>
        <v>19387.581280050352</v>
      </c>
      <c r="EI22" s="68" t="e">
        <f t="shared" si="26"/>
        <v>#DIV/0!</v>
      </c>
      <c r="EJ22" s="58">
        <f t="shared" si="27"/>
        <v>19387.581280050352</v>
      </c>
      <c r="EK22" s="68" t="e">
        <f t="shared" si="26"/>
        <v>#DIV/0!</v>
      </c>
      <c r="EL22" s="58">
        <f t="shared" si="28"/>
        <v>14379.4575</v>
      </c>
      <c r="EM22" s="58">
        <f t="shared" si="29"/>
        <v>14379.4575</v>
      </c>
      <c r="EN22" s="68"/>
    </row>
    <row r="23" spans="1:144" x14ac:dyDescent="0.2">
      <c r="A23" s="23">
        <v>0.01</v>
      </c>
      <c r="C23" s="23">
        <v>-0.03</v>
      </c>
      <c r="D23" s="7" t="e">
        <f>#N/A</f>
        <v>#N/A</v>
      </c>
      <c r="E23" s="7" t="e">
        <f>#N/A</f>
        <v>#N/A</v>
      </c>
      <c r="F23" s="7"/>
      <c r="G23" s="63"/>
      <c r="H23" s="63"/>
      <c r="I23" s="63"/>
      <c r="J23" s="63"/>
      <c r="K23" s="63"/>
      <c r="L23" s="63"/>
      <c r="M23" s="1"/>
      <c r="N23" s="1"/>
      <c r="O23" s="1"/>
      <c r="P23" s="8" t="e">
        <f>#N/A</f>
        <v>#N/A</v>
      </c>
      <c r="Q23" s="8" t="e">
        <f>#N/A</f>
        <v>#N/A</v>
      </c>
      <c r="R23" s="8" t="e">
        <f>#N/A</f>
        <v>#N/A</v>
      </c>
      <c r="S23" s="8" t="e">
        <f>#N/A</f>
        <v>#N/A</v>
      </c>
      <c r="T23" s="69" t="e">
        <f>#N/A</f>
        <v>#N/A</v>
      </c>
      <c r="U23" s="8" t="e">
        <f>#N/A</f>
        <v>#N/A</v>
      </c>
      <c r="V23" s="8" t="e">
        <f>#N/A</f>
        <v>#N/A</v>
      </c>
      <c r="W23" s="8" t="e">
        <f>#N/A</f>
        <v>#N/A</v>
      </c>
      <c r="X23" s="8" t="e">
        <f>#N/A</f>
        <v>#N/A</v>
      </c>
      <c r="Y23" s="8"/>
      <c r="Z23" s="8"/>
      <c r="AA23" s="8"/>
      <c r="AB23" s="8"/>
      <c r="AC23" s="8"/>
      <c r="AD23" s="8"/>
      <c r="AE23" s="8"/>
      <c r="AF23" s="8"/>
      <c r="AG23" s="8"/>
      <c r="AH23" s="8"/>
      <c r="AI23" s="8"/>
      <c r="AJ23" s="8"/>
      <c r="AK23" s="8"/>
      <c r="AL23" s="63"/>
      <c r="AM23" s="63"/>
      <c r="AN23" s="63"/>
      <c r="AO23" s="63"/>
      <c r="AP23" s="63"/>
      <c r="AQ23" s="5"/>
      <c r="AR23" s="18"/>
      <c r="AS23" s="18"/>
      <c r="AT23" s="18"/>
      <c r="AU23" s="8">
        <v>2193.8761600000003</v>
      </c>
      <c r="AV23" s="8">
        <v>62.386000000000003</v>
      </c>
      <c r="AW23" s="8">
        <v>10.778181818181817</v>
      </c>
      <c r="AX23" s="8">
        <v>4.6859999999999999</v>
      </c>
      <c r="AY23" s="8"/>
      <c r="AZ23" s="1">
        <v>3120.8771913799255</v>
      </c>
      <c r="BA23" s="4"/>
      <c r="BB23" s="4"/>
      <c r="BC23" s="4"/>
      <c r="BD23" s="4"/>
      <c r="BE23" s="4"/>
      <c r="BF23" s="4"/>
      <c r="BG23" s="4"/>
      <c r="BH23" s="4"/>
      <c r="BI23" s="4"/>
      <c r="BJ23" s="4"/>
      <c r="BK23" s="4"/>
      <c r="BL23" s="4"/>
      <c r="BM23" s="4"/>
      <c r="BN23" s="4"/>
      <c r="BO23" s="4"/>
      <c r="BP23" s="18"/>
      <c r="BQ23" s="18"/>
      <c r="BR23" s="1">
        <f>0.225*0.9*720</f>
        <v>145.80000000000001</v>
      </c>
      <c r="BS23" s="2">
        <v>6840</v>
      </c>
      <c r="BT23" s="1">
        <v>3330</v>
      </c>
      <c r="BU23" s="1">
        <v>3600</v>
      </c>
      <c r="BV23" s="1"/>
      <c r="BW23" s="1"/>
      <c r="BX23" s="1"/>
      <c r="BY23" s="1"/>
      <c r="BZ23" s="1"/>
      <c r="CA23" s="2">
        <v>0</v>
      </c>
      <c r="CB23" s="2"/>
      <c r="CC23" s="2"/>
      <c r="CD23" s="2"/>
      <c r="CE23" s="2"/>
      <c r="CF23" s="2"/>
      <c r="CG23" s="2"/>
      <c r="CH23" s="2"/>
      <c r="CI23" s="2"/>
      <c r="CJ23" s="27"/>
      <c r="CK23" s="8" t="e">
        <f>#N/A</f>
        <v>#N/A</v>
      </c>
      <c r="CL23" s="9" t="e">
        <f>#N/A</f>
        <v>#N/A</v>
      </c>
      <c r="CM23" s="9" t="e">
        <f>#N/A</f>
        <v>#N/A</v>
      </c>
      <c r="CN23" s="9" t="e">
        <f>#N/A</f>
        <v>#N/A</v>
      </c>
      <c r="CO23" s="9" t="e">
        <f>#N/A</f>
        <v>#N/A</v>
      </c>
      <c r="CP23" s="29" t="e">
        <f>#N/A</f>
        <v>#N/A</v>
      </c>
      <c r="CQ23" s="9" t="e">
        <f>#N/A</f>
        <v>#N/A</v>
      </c>
      <c r="CR23" s="9" t="e">
        <f>#N/A</f>
        <v>#N/A</v>
      </c>
      <c r="CS23" s="9" t="e">
        <f>#N/A</f>
        <v>#N/A</v>
      </c>
      <c r="CT23" s="9" t="e">
        <f>#N/A</f>
        <v>#N/A</v>
      </c>
      <c r="CU23" s="19" t="e">
        <f>#N/A</f>
        <v>#N/A</v>
      </c>
      <c r="CV23" s="19" t="e">
        <f>#N/A</f>
        <v>#N/A</v>
      </c>
      <c r="CW23" s="19" t="e">
        <f>#N/A</f>
        <v>#N/A</v>
      </c>
      <c r="CX23" s="19" t="e">
        <f>#N/A</f>
        <v>#N/A</v>
      </c>
      <c r="CY23" s="30" t="e">
        <f>#N/A</f>
        <v>#N/A</v>
      </c>
      <c r="CZ23" s="19" t="e">
        <f>#N/A</f>
        <v>#N/A</v>
      </c>
      <c r="DA23" s="19" t="e">
        <f>#N/A</f>
        <v>#N/A</v>
      </c>
      <c r="DB23" s="19" t="e">
        <f>#N/A</f>
        <v>#N/A</v>
      </c>
      <c r="DC23" s="19" t="e">
        <f>#N/A</f>
        <v>#N/A</v>
      </c>
      <c r="DD23" s="18"/>
      <c r="DE23" s="18"/>
      <c r="DF23" s="18"/>
      <c r="DG23" s="5"/>
      <c r="DH23" s="5"/>
      <c r="DI23" s="18"/>
      <c r="DJ23" s="5"/>
      <c r="DK23" s="5"/>
      <c r="DL23" s="5"/>
      <c r="DM23" s="8" t="e">
        <f>#N/A</f>
        <v>#N/A</v>
      </c>
      <c r="DN23" s="8" t="e">
        <f>#N/A</f>
        <v>#N/A</v>
      </c>
      <c r="DO23" s="202" t="e">
        <f>#N/A</f>
        <v>#N/A</v>
      </c>
      <c r="DP23" s="202" t="e">
        <f>#N/A</f>
        <v>#N/A</v>
      </c>
      <c r="DQ23" s="202" t="e">
        <f>#N/A</f>
        <v>#N/A</v>
      </c>
      <c r="DR23" s="9" t="e">
        <f>#N/A</f>
        <v>#N/A</v>
      </c>
      <c r="DS23" s="9" t="e">
        <f>#N/A</f>
        <v>#N/A</v>
      </c>
      <c r="DT23" s="9" t="e">
        <f>#N/A</f>
        <v>#N/A</v>
      </c>
      <c r="DU23" s="202" t="e">
        <f>#N/A</f>
        <v>#N/A</v>
      </c>
      <c r="DV23" s="202" t="e">
        <f>#N/A</f>
        <v>#N/A</v>
      </c>
      <c r="DW23" s="202" t="e">
        <f>#N/A</f>
        <v>#N/A</v>
      </c>
      <c r="DX23" s="203" t="e">
        <f t="shared" si="16"/>
        <v>#N/A</v>
      </c>
      <c r="DY23" s="203" t="e">
        <f t="shared" si="17"/>
        <v>#N/A</v>
      </c>
      <c r="DZ23" s="203" t="e">
        <f t="shared" si="18"/>
        <v>#N/A</v>
      </c>
      <c r="EA23" s="19" t="e">
        <f t="shared" si="19"/>
        <v>#N/A</v>
      </c>
      <c r="EB23" s="19" t="e">
        <f t="shared" si="20"/>
        <v>#N/A</v>
      </c>
      <c r="EC23" s="19" t="e">
        <f t="shared" si="21"/>
        <v>#N/A</v>
      </c>
      <c r="ED23" s="203" t="e">
        <f t="shared" si="22"/>
        <v>#N/A</v>
      </c>
      <c r="EE23" s="203" t="e">
        <f t="shared" si="23"/>
        <v>#N/A</v>
      </c>
      <c r="EF23" s="203" t="e">
        <f t="shared" si="24"/>
        <v>#N/A</v>
      </c>
      <c r="EH23" s="58">
        <f t="shared" si="25"/>
        <v>19292.939351379926</v>
      </c>
      <c r="EI23" s="68" t="e">
        <f t="shared" si="26"/>
        <v>#DIV/0!</v>
      </c>
      <c r="EJ23" s="58">
        <f t="shared" si="27"/>
        <v>19292.939351379926</v>
      </c>
      <c r="EK23" s="68" t="e">
        <f t="shared" si="26"/>
        <v>#DIV/0!</v>
      </c>
      <c r="EL23" s="58">
        <f t="shared" si="28"/>
        <v>13915.8</v>
      </c>
      <c r="EM23" s="58">
        <f t="shared" si="29"/>
        <v>13915.8</v>
      </c>
      <c r="EN23" s="68" t="e">
        <f t="shared" si="26"/>
        <v>#DIV/0!</v>
      </c>
    </row>
    <row r="24" spans="1:144" x14ac:dyDescent="0.2">
      <c r="A24" s="23">
        <v>0.01</v>
      </c>
      <c r="C24" s="23">
        <v>-0.03</v>
      </c>
      <c r="D24" s="7" t="e">
        <f>#N/A</f>
        <v>#N/A</v>
      </c>
      <c r="E24" s="7" t="e">
        <f>#N/A</f>
        <v>#N/A</v>
      </c>
      <c r="F24" s="7"/>
      <c r="G24" s="63"/>
      <c r="H24" s="63"/>
      <c r="I24" s="63"/>
      <c r="J24" s="63"/>
      <c r="K24" s="63"/>
      <c r="L24" s="63"/>
      <c r="M24" s="1"/>
      <c r="N24" s="1"/>
      <c r="O24" s="1"/>
      <c r="P24" s="8" t="e">
        <f>#N/A</f>
        <v>#N/A</v>
      </c>
      <c r="Q24" s="8" t="e">
        <f>#N/A</f>
        <v>#N/A</v>
      </c>
      <c r="R24" s="8" t="e">
        <f>#N/A</f>
        <v>#N/A</v>
      </c>
      <c r="S24" s="8" t="e">
        <f>#N/A</f>
        <v>#N/A</v>
      </c>
      <c r="T24" s="69" t="e">
        <f>#N/A</f>
        <v>#N/A</v>
      </c>
      <c r="U24" s="8" t="e">
        <f>#N/A</f>
        <v>#N/A</v>
      </c>
      <c r="V24" s="8" t="e">
        <f>#N/A</f>
        <v>#N/A</v>
      </c>
      <c r="W24" s="8" t="e">
        <f>#N/A</f>
        <v>#N/A</v>
      </c>
      <c r="X24" s="8" t="e">
        <f>#N/A</f>
        <v>#N/A</v>
      </c>
      <c r="Y24" s="8"/>
      <c r="Z24" s="8"/>
      <c r="AA24" s="8"/>
      <c r="AB24" s="8"/>
      <c r="AC24" s="8"/>
      <c r="AD24" s="8"/>
      <c r="AE24" s="8"/>
      <c r="AF24" s="8"/>
      <c r="AG24" s="8"/>
      <c r="AH24" s="8"/>
      <c r="AI24" s="8"/>
      <c r="AJ24" s="8"/>
      <c r="AK24" s="8"/>
      <c r="AL24" s="63"/>
      <c r="AM24" s="63"/>
      <c r="AN24" s="63"/>
      <c r="AO24" s="63"/>
      <c r="AP24" s="63"/>
      <c r="AQ24" s="5"/>
      <c r="AR24" s="18"/>
      <c r="AS24" s="18"/>
      <c r="AT24" s="18"/>
      <c r="AU24" s="8">
        <v>2462.6470400000003</v>
      </c>
      <c r="AV24" s="8">
        <v>65.078000000000003</v>
      </c>
      <c r="AW24" s="8">
        <v>10.814545454545454</v>
      </c>
      <c r="AX24" s="8">
        <v>3.6317272727272725</v>
      </c>
      <c r="AY24" s="8"/>
      <c r="AZ24" s="1">
        <v>2388.6333459537641</v>
      </c>
      <c r="BA24" s="4"/>
      <c r="BB24" s="4"/>
      <c r="BC24" s="4"/>
      <c r="BD24" s="4"/>
      <c r="BE24" s="4"/>
      <c r="BF24" s="4"/>
      <c r="BG24" s="4"/>
      <c r="BH24" s="4"/>
      <c r="BI24" s="4"/>
      <c r="BJ24" s="4"/>
      <c r="BK24" s="4"/>
      <c r="BL24" s="4"/>
      <c r="BM24" s="4"/>
      <c r="BN24" s="4"/>
      <c r="BO24" s="4"/>
      <c r="BP24" s="18"/>
      <c r="BQ24" s="18"/>
      <c r="BR24" s="1">
        <f>0.225*0.9*744</f>
        <v>150.66</v>
      </c>
      <c r="BS24" s="2">
        <v>7068</v>
      </c>
      <c r="BT24" s="1">
        <v>3441</v>
      </c>
      <c r="BU24" s="1">
        <v>3720</v>
      </c>
      <c r="BV24" s="1"/>
      <c r="BW24" s="1"/>
      <c r="BX24" s="1"/>
      <c r="BY24" s="1"/>
      <c r="BZ24" s="1"/>
      <c r="CA24" s="2">
        <v>0</v>
      </c>
      <c r="CB24" s="2"/>
      <c r="CC24" s="2"/>
      <c r="CD24" s="2"/>
      <c r="CE24" s="2"/>
      <c r="CF24" s="2"/>
      <c r="CG24" s="2"/>
      <c r="CH24" s="2"/>
      <c r="CI24" s="2"/>
      <c r="CJ24" s="27"/>
      <c r="CK24" s="8" t="e">
        <f>#N/A</f>
        <v>#N/A</v>
      </c>
      <c r="CL24" s="9" t="e">
        <f>#N/A</f>
        <v>#N/A</v>
      </c>
      <c r="CM24" s="9" t="e">
        <f>#N/A</f>
        <v>#N/A</v>
      </c>
      <c r="CN24" s="9" t="e">
        <f>#N/A</f>
        <v>#N/A</v>
      </c>
      <c r="CO24" s="9" t="e">
        <f>#N/A</f>
        <v>#N/A</v>
      </c>
      <c r="CP24" s="29" t="e">
        <f>#N/A</f>
        <v>#N/A</v>
      </c>
      <c r="CQ24" s="9" t="e">
        <f>#N/A</f>
        <v>#N/A</v>
      </c>
      <c r="CR24" s="9" t="e">
        <f>#N/A</f>
        <v>#N/A</v>
      </c>
      <c r="CS24" s="9" t="e">
        <f>#N/A</f>
        <v>#N/A</v>
      </c>
      <c r="CT24" s="9" t="e">
        <f>#N/A</f>
        <v>#N/A</v>
      </c>
      <c r="CU24" s="19" t="e">
        <f>#N/A</f>
        <v>#N/A</v>
      </c>
      <c r="CV24" s="19" t="e">
        <f>#N/A</f>
        <v>#N/A</v>
      </c>
      <c r="CW24" s="19" t="e">
        <f>#N/A</f>
        <v>#N/A</v>
      </c>
      <c r="CX24" s="19" t="e">
        <f>#N/A</f>
        <v>#N/A</v>
      </c>
      <c r="CY24" s="30" t="e">
        <f>#N/A</f>
        <v>#N/A</v>
      </c>
      <c r="CZ24" s="19" t="e">
        <f>#N/A</f>
        <v>#N/A</v>
      </c>
      <c r="DA24" s="19" t="e">
        <f>#N/A</f>
        <v>#N/A</v>
      </c>
      <c r="DB24" s="19" t="e">
        <f>#N/A</f>
        <v>#N/A</v>
      </c>
      <c r="DC24" s="19" t="e">
        <f>#N/A</f>
        <v>#N/A</v>
      </c>
      <c r="DD24" s="18"/>
      <c r="DE24" s="18"/>
      <c r="DF24" s="18"/>
      <c r="DG24" s="5"/>
      <c r="DH24" s="5"/>
      <c r="DI24" s="18"/>
      <c r="DJ24" s="5"/>
      <c r="DK24" s="5"/>
      <c r="DL24" s="5"/>
      <c r="DM24" s="8" t="e">
        <f>#N/A</f>
        <v>#N/A</v>
      </c>
      <c r="DN24" s="8" t="e">
        <f>#N/A</f>
        <v>#N/A</v>
      </c>
      <c r="DO24" s="202" t="e">
        <f>#N/A</f>
        <v>#N/A</v>
      </c>
      <c r="DP24" s="202" t="e">
        <f>#N/A</f>
        <v>#N/A</v>
      </c>
      <c r="DQ24" s="202" t="e">
        <f>#N/A</f>
        <v>#N/A</v>
      </c>
      <c r="DR24" s="9" t="e">
        <f>#N/A</f>
        <v>#N/A</v>
      </c>
      <c r="DS24" s="9" t="e">
        <f>#N/A</f>
        <v>#N/A</v>
      </c>
      <c r="DT24" s="9" t="e">
        <f>#N/A</f>
        <v>#N/A</v>
      </c>
      <c r="DU24" s="202" t="e">
        <f>#N/A</f>
        <v>#N/A</v>
      </c>
      <c r="DV24" s="202" t="e">
        <f>#N/A</f>
        <v>#N/A</v>
      </c>
      <c r="DW24" s="202" t="e">
        <f>#N/A</f>
        <v>#N/A</v>
      </c>
      <c r="DX24" s="203" t="e">
        <f t="shared" si="16"/>
        <v>#N/A</v>
      </c>
      <c r="DY24" s="203" t="e">
        <f t="shared" si="17"/>
        <v>#N/A</v>
      </c>
      <c r="DZ24" s="203" t="e">
        <f t="shared" si="18"/>
        <v>#N/A</v>
      </c>
      <c r="EA24" s="19" t="e">
        <f t="shared" si="19"/>
        <v>#N/A</v>
      </c>
      <c r="EB24" s="19" t="e">
        <f t="shared" si="20"/>
        <v>#N/A</v>
      </c>
      <c r="EC24" s="19" t="e">
        <f t="shared" si="21"/>
        <v>#N/A</v>
      </c>
      <c r="ED24" s="203" t="e">
        <f t="shared" si="22"/>
        <v>#N/A</v>
      </c>
      <c r="EE24" s="203" t="e">
        <f t="shared" si="23"/>
        <v>#N/A</v>
      </c>
      <c r="EF24" s="203" t="e">
        <f t="shared" si="24"/>
        <v>#N/A</v>
      </c>
      <c r="EH24" s="58">
        <f t="shared" si="25"/>
        <v>19296.018385953765</v>
      </c>
      <c r="EI24" s="68" t="e">
        <f t="shared" si="26"/>
        <v>#DIV/0!</v>
      </c>
      <c r="EJ24" s="58">
        <f t="shared" si="27"/>
        <v>19296.018385953765</v>
      </c>
      <c r="EK24" s="68" t="e">
        <f t="shared" si="26"/>
        <v>#DIV/0!</v>
      </c>
      <c r="EL24" s="58">
        <f t="shared" si="28"/>
        <v>14379.66</v>
      </c>
      <c r="EM24" s="58">
        <f t="shared" si="29"/>
        <v>14379.66</v>
      </c>
      <c r="EN24" s="68" t="e">
        <f t="shared" si="26"/>
        <v>#DIV/0!</v>
      </c>
    </row>
    <row r="25" spans="1:144" x14ac:dyDescent="0.2">
      <c r="A25" s="23">
        <v>0.01</v>
      </c>
      <c r="C25" s="23">
        <v>-0.03</v>
      </c>
      <c r="D25" s="7" t="e">
        <f>#N/A</f>
        <v>#N/A</v>
      </c>
      <c r="E25" s="7" t="e">
        <f>#N/A</f>
        <v>#N/A</v>
      </c>
      <c r="F25" s="7"/>
      <c r="G25" s="63"/>
      <c r="H25" s="63"/>
      <c r="I25" s="63"/>
      <c r="J25" s="63"/>
      <c r="K25" s="63"/>
      <c r="L25" s="63"/>
      <c r="M25" s="1"/>
      <c r="N25" s="1"/>
      <c r="O25" s="1"/>
      <c r="P25" s="8" t="e">
        <f>#N/A</f>
        <v>#N/A</v>
      </c>
      <c r="Q25" s="8" t="e">
        <f>#N/A</f>
        <v>#N/A</v>
      </c>
      <c r="R25" s="8" t="e">
        <f>#N/A</f>
        <v>#N/A</v>
      </c>
      <c r="S25" s="8" t="e">
        <f>#N/A</f>
        <v>#N/A</v>
      </c>
      <c r="T25" s="69" t="e">
        <f>#N/A</f>
        <v>#N/A</v>
      </c>
      <c r="U25" s="8" t="e">
        <f>#N/A</f>
        <v>#N/A</v>
      </c>
      <c r="V25" s="8" t="e">
        <f>#N/A</f>
        <v>#N/A</v>
      </c>
      <c r="W25" s="8" t="e">
        <f>#N/A</f>
        <v>#N/A</v>
      </c>
      <c r="X25" s="8" t="e">
        <f>#N/A</f>
        <v>#N/A</v>
      </c>
      <c r="Y25" s="8"/>
      <c r="Z25" s="8"/>
      <c r="AA25" s="8"/>
      <c r="AB25" s="8"/>
      <c r="AC25" s="8"/>
      <c r="AD25" s="8"/>
      <c r="AE25" s="8"/>
      <c r="AF25" s="8"/>
      <c r="AG25" s="8"/>
      <c r="AH25" s="8"/>
      <c r="AI25" s="8"/>
      <c r="AJ25" s="8"/>
      <c r="AK25" s="8"/>
      <c r="AL25" s="63"/>
      <c r="AM25" s="63"/>
      <c r="AN25" s="63"/>
      <c r="AO25" s="63"/>
      <c r="AP25" s="63"/>
      <c r="AQ25" s="5"/>
      <c r="AR25" s="18"/>
      <c r="AS25" s="18"/>
      <c r="AT25" s="18"/>
      <c r="AU25" s="8">
        <v>2396.3318400000003</v>
      </c>
      <c r="AV25" s="8">
        <v>60.396000000000001</v>
      </c>
      <c r="AW25" s="8">
        <v>7.1709090909090909</v>
      </c>
      <c r="AX25" s="8">
        <v>3.2815454545454545</v>
      </c>
      <c r="AY25" s="8"/>
      <c r="AZ25" s="1">
        <v>2115.4713543003909</v>
      </c>
      <c r="BA25" s="4"/>
      <c r="BB25" s="4"/>
      <c r="BC25" s="4"/>
      <c r="BD25" s="4"/>
      <c r="BE25" s="4"/>
      <c r="BF25" s="4"/>
      <c r="BG25" s="4"/>
      <c r="BH25" s="4"/>
      <c r="BI25" s="4"/>
      <c r="BJ25" s="4"/>
      <c r="BK25" s="4"/>
      <c r="BL25" s="4"/>
      <c r="BM25" s="4"/>
      <c r="BN25" s="4"/>
      <c r="BO25" s="4"/>
      <c r="BP25" s="18"/>
      <c r="BQ25" s="18"/>
      <c r="BR25" s="1">
        <f>0.225*0.9*720</f>
        <v>145.80000000000001</v>
      </c>
      <c r="BS25" s="2">
        <v>6840</v>
      </c>
      <c r="BT25" s="1">
        <v>3330</v>
      </c>
      <c r="BU25" s="1">
        <v>3600</v>
      </c>
      <c r="BV25" s="1"/>
      <c r="BW25" s="1"/>
      <c r="BX25" s="1"/>
      <c r="BY25" s="1"/>
      <c r="BZ25" s="1"/>
      <c r="CA25" s="2">
        <v>0</v>
      </c>
      <c r="CB25" s="2"/>
      <c r="CC25" s="2"/>
      <c r="CD25" s="2"/>
      <c r="CE25" s="2"/>
      <c r="CF25" s="2"/>
      <c r="CG25" s="2"/>
      <c r="CH25" s="2"/>
      <c r="CI25" s="2"/>
      <c r="CJ25" s="27"/>
      <c r="CK25" s="8" t="e">
        <f>#N/A</f>
        <v>#N/A</v>
      </c>
      <c r="CL25" s="9" t="e">
        <f>#N/A</f>
        <v>#N/A</v>
      </c>
      <c r="CM25" s="9" t="e">
        <f>#N/A</f>
        <v>#N/A</v>
      </c>
      <c r="CN25" s="9" t="e">
        <f>#N/A</f>
        <v>#N/A</v>
      </c>
      <c r="CO25" s="9" t="e">
        <f>#N/A</f>
        <v>#N/A</v>
      </c>
      <c r="CP25" s="29" t="e">
        <f>#N/A</f>
        <v>#N/A</v>
      </c>
      <c r="CQ25" s="9" t="e">
        <f>#N/A</f>
        <v>#N/A</v>
      </c>
      <c r="CR25" s="9" t="e">
        <f>#N/A</f>
        <v>#N/A</v>
      </c>
      <c r="CS25" s="9" t="e">
        <f>#N/A</f>
        <v>#N/A</v>
      </c>
      <c r="CT25" s="9" t="e">
        <f>#N/A</f>
        <v>#N/A</v>
      </c>
      <c r="CU25" s="19" t="e">
        <f>#N/A</f>
        <v>#N/A</v>
      </c>
      <c r="CV25" s="19" t="e">
        <f>#N/A</f>
        <v>#N/A</v>
      </c>
      <c r="CW25" s="19" t="e">
        <f>#N/A</f>
        <v>#N/A</v>
      </c>
      <c r="CX25" s="19" t="e">
        <f>#N/A</f>
        <v>#N/A</v>
      </c>
      <c r="CY25" s="30" t="e">
        <f>#N/A</f>
        <v>#N/A</v>
      </c>
      <c r="CZ25" s="19" t="e">
        <f>#N/A</f>
        <v>#N/A</v>
      </c>
      <c r="DA25" s="19" t="e">
        <f>#N/A</f>
        <v>#N/A</v>
      </c>
      <c r="DB25" s="19" t="e">
        <f>#N/A</f>
        <v>#N/A</v>
      </c>
      <c r="DC25" s="19" t="e">
        <f>#N/A</f>
        <v>#N/A</v>
      </c>
      <c r="DD25" s="18"/>
      <c r="DE25" s="18"/>
      <c r="DF25" s="18"/>
      <c r="DG25" s="5"/>
      <c r="DH25" s="5"/>
      <c r="DI25" s="18"/>
      <c r="DJ25" s="5"/>
      <c r="DK25" s="5"/>
      <c r="DL25" s="5"/>
      <c r="DM25" s="8" t="e">
        <f>#N/A</f>
        <v>#N/A</v>
      </c>
      <c r="DN25" s="8" t="e">
        <f>#N/A</f>
        <v>#N/A</v>
      </c>
      <c r="DO25" s="202" t="e">
        <f>#N/A</f>
        <v>#N/A</v>
      </c>
      <c r="DP25" s="202" t="e">
        <f>#N/A</f>
        <v>#N/A</v>
      </c>
      <c r="DQ25" s="202" t="e">
        <f>#N/A</f>
        <v>#N/A</v>
      </c>
      <c r="DR25" s="9" t="e">
        <f>#N/A</f>
        <v>#N/A</v>
      </c>
      <c r="DS25" s="9" t="e">
        <f>#N/A</f>
        <v>#N/A</v>
      </c>
      <c r="DT25" s="9" t="e">
        <f>#N/A</f>
        <v>#N/A</v>
      </c>
      <c r="DU25" s="202" t="e">
        <f>#N/A</f>
        <v>#N/A</v>
      </c>
      <c r="DV25" s="202" t="e">
        <f>#N/A</f>
        <v>#N/A</v>
      </c>
      <c r="DW25" s="202" t="e">
        <f>#N/A</f>
        <v>#N/A</v>
      </c>
      <c r="DX25" s="203" t="e">
        <f t="shared" si="16"/>
        <v>#N/A</v>
      </c>
      <c r="DY25" s="203" t="e">
        <f t="shared" si="17"/>
        <v>#N/A</v>
      </c>
      <c r="DZ25" s="203" t="e">
        <f t="shared" si="18"/>
        <v>#N/A</v>
      </c>
      <c r="EA25" s="19" t="e">
        <f t="shared" si="19"/>
        <v>#N/A</v>
      </c>
      <c r="EB25" s="19" t="e">
        <f t="shared" si="20"/>
        <v>#N/A</v>
      </c>
      <c r="EC25" s="19" t="e">
        <f t="shared" si="21"/>
        <v>#N/A</v>
      </c>
      <c r="ED25" s="203" t="e">
        <f t="shared" si="22"/>
        <v>#N/A</v>
      </c>
      <c r="EE25" s="203" t="e">
        <f t="shared" si="23"/>
        <v>#N/A</v>
      </c>
      <c r="EF25" s="203" t="e">
        <f t="shared" si="24"/>
        <v>#N/A</v>
      </c>
      <c r="EH25" s="58">
        <f t="shared" si="25"/>
        <v>18487.999194300392</v>
      </c>
      <c r="EI25" s="68" t="e">
        <f t="shared" si="26"/>
        <v>#DIV/0!</v>
      </c>
      <c r="EJ25" s="58">
        <f t="shared" si="27"/>
        <v>18487.999194300392</v>
      </c>
      <c r="EK25" s="68" t="e">
        <f t="shared" si="26"/>
        <v>#DIV/0!</v>
      </c>
      <c r="EL25" s="58">
        <f t="shared" si="28"/>
        <v>13915.8</v>
      </c>
      <c r="EM25" s="58">
        <f t="shared" si="29"/>
        <v>13915.8</v>
      </c>
      <c r="EN25" s="68" t="e">
        <f t="shared" si="26"/>
        <v>#DIV/0!</v>
      </c>
    </row>
    <row r="26" spans="1:144" x14ac:dyDescent="0.2">
      <c r="A26" s="23">
        <v>0.01</v>
      </c>
      <c r="C26" s="23">
        <v>-0.03</v>
      </c>
      <c r="D26" s="7" t="e">
        <f>#N/A</f>
        <v>#N/A</v>
      </c>
      <c r="E26" s="7" t="e">
        <f>#N/A</f>
        <v>#N/A</v>
      </c>
      <c r="F26" s="7"/>
      <c r="G26" s="63"/>
      <c r="H26" s="63"/>
      <c r="I26" s="63"/>
      <c r="J26" s="63"/>
      <c r="K26" s="63"/>
      <c r="L26" s="63"/>
      <c r="M26" s="1"/>
      <c r="N26" s="1"/>
      <c r="O26" s="1"/>
      <c r="P26" s="8" t="e">
        <f>#N/A</f>
        <v>#N/A</v>
      </c>
      <c r="Q26" s="8" t="e">
        <f>#N/A</f>
        <v>#N/A</v>
      </c>
      <c r="R26" s="8" t="e">
        <f>#N/A</f>
        <v>#N/A</v>
      </c>
      <c r="S26" s="8" t="e">
        <f>#N/A</f>
        <v>#N/A</v>
      </c>
      <c r="T26" s="69" t="e">
        <f>#N/A</f>
        <v>#N/A</v>
      </c>
      <c r="U26" s="8" t="e">
        <f>#N/A</f>
        <v>#N/A</v>
      </c>
      <c r="V26" s="8" t="e">
        <f>#N/A</f>
        <v>#N/A</v>
      </c>
      <c r="W26" s="8" t="e">
        <f>#N/A</f>
        <v>#N/A</v>
      </c>
      <c r="X26" s="8" t="e">
        <f>#N/A</f>
        <v>#N/A</v>
      </c>
      <c r="Y26" s="8"/>
      <c r="Z26" s="8"/>
      <c r="AA26" s="8"/>
      <c r="AB26" s="8"/>
      <c r="AC26" s="8"/>
      <c r="AD26" s="8"/>
      <c r="AE26" s="8"/>
      <c r="AF26" s="8"/>
      <c r="AG26" s="8"/>
      <c r="AH26" s="8"/>
      <c r="AI26" s="8"/>
      <c r="AJ26" s="8"/>
      <c r="AK26" s="8"/>
      <c r="AL26" s="63"/>
      <c r="AM26" s="63"/>
      <c r="AN26" s="63"/>
      <c r="AO26" s="63"/>
      <c r="AP26" s="63"/>
      <c r="AQ26" s="5"/>
      <c r="AR26" s="18"/>
      <c r="AS26" s="18"/>
      <c r="AT26" s="18"/>
      <c r="AU26" s="8">
        <v>2431.4998400000004</v>
      </c>
      <c r="AV26" s="8">
        <v>62.853999999999999</v>
      </c>
      <c r="AW26" s="8">
        <v>4.6109090909090913</v>
      </c>
      <c r="AX26" s="8">
        <v>2.7825454545454544</v>
      </c>
      <c r="AY26" s="8"/>
      <c r="AZ26" s="1">
        <v>1900.8418052885818</v>
      </c>
      <c r="BA26" s="4"/>
      <c r="BB26" s="4"/>
      <c r="BC26" s="4"/>
      <c r="BD26" s="4"/>
      <c r="BE26" s="4"/>
      <c r="BF26" s="4"/>
      <c r="BG26" s="4"/>
      <c r="BH26" s="4"/>
      <c r="BI26" s="4"/>
      <c r="BJ26" s="4"/>
      <c r="BK26" s="4"/>
      <c r="BL26" s="4"/>
      <c r="BM26" s="4"/>
      <c r="BN26" s="4"/>
      <c r="BO26" s="4"/>
      <c r="BP26" s="18"/>
      <c r="BQ26" s="18"/>
      <c r="BR26" s="1">
        <f>0.225*0.9*744</f>
        <v>150.66</v>
      </c>
      <c r="BS26" s="2">
        <v>7068</v>
      </c>
      <c r="BT26" s="1">
        <v>3441</v>
      </c>
      <c r="BU26" s="1">
        <v>3720</v>
      </c>
      <c r="BV26" s="1"/>
      <c r="BW26" s="1"/>
      <c r="BX26" s="1"/>
      <c r="BY26" s="1"/>
      <c r="BZ26" s="1"/>
      <c r="CA26" s="2">
        <v>0</v>
      </c>
      <c r="CB26" s="2"/>
      <c r="CC26" s="2"/>
      <c r="CD26" s="2"/>
      <c r="CE26" s="2"/>
      <c r="CF26" s="2"/>
      <c r="CG26" s="2"/>
      <c r="CH26" s="2"/>
      <c r="CI26" s="2"/>
      <c r="CJ26" s="27"/>
      <c r="CK26" s="8" t="e">
        <f>#N/A</f>
        <v>#N/A</v>
      </c>
      <c r="CL26" s="9" t="e">
        <f>#N/A</f>
        <v>#N/A</v>
      </c>
      <c r="CM26" s="9" t="e">
        <f>#N/A</f>
        <v>#N/A</v>
      </c>
      <c r="CN26" s="9" t="e">
        <f>#N/A</f>
        <v>#N/A</v>
      </c>
      <c r="CO26" s="9" t="e">
        <f>#N/A</f>
        <v>#N/A</v>
      </c>
      <c r="CP26" s="29" t="e">
        <f>#N/A</f>
        <v>#N/A</v>
      </c>
      <c r="CQ26" s="9" t="e">
        <f>#N/A</f>
        <v>#N/A</v>
      </c>
      <c r="CR26" s="9" t="e">
        <f>#N/A</f>
        <v>#N/A</v>
      </c>
      <c r="CS26" s="9" t="e">
        <f>#N/A</f>
        <v>#N/A</v>
      </c>
      <c r="CT26" s="9" t="e">
        <f>#N/A</f>
        <v>#N/A</v>
      </c>
      <c r="CU26" s="19" t="e">
        <f>#N/A</f>
        <v>#N/A</v>
      </c>
      <c r="CV26" s="19" t="e">
        <f>#N/A</f>
        <v>#N/A</v>
      </c>
      <c r="CW26" s="19" t="e">
        <f>#N/A</f>
        <v>#N/A</v>
      </c>
      <c r="CX26" s="19" t="e">
        <f>#N/A</f>
        <v>#N/A</v>
      </c>
      <c r="CY26" s="30" t="e">
        <f>#N/A</f>
        <v>#N/A</v>
      </c>
      <c r="CZ26" s="19" t="e">
        <f>#N/A</f>
        <v>#N/A</v>
      </c>
      <c r="DA26" s="19" t="e">
        <f>#N/A</f>
        <v>#N/A</v>
      </c>
      <c r="DB26" s="19" t="e">
        <f>#N/A</f>
        <v>#N/A</v>
      </c>
      <c r="DC26" s="19" t="e">
        <f>#N/A</f>
        <v>#N/A</v>
      </c>
      <c r="DD26" s="18"/>
      <c r="DE26" s="18"/>
      <c r="DF26" s="18"/>
      <c r="DG26" s="5"/>
      <c r="DH26" s="5"/>
      <c r="DI26" s="18"/>
      <c r="DJ26" s="5"/>
      <c r="DK26" s="5"/>
      <c r="DL26" s="5"/>
      <c r="DM26" s="8" t="e">
        <f>#N/A</f>
        <v>#N/A</v>
      </c>
      <c r="DN26" s="8" t="e">
        <f>#N/A</f>
        <v>#N/A</v>
      </c>
      <c r="DO26" s="202" t="e">
        <f>#N/A</f>
        <v>#N/A</v>
      </c>
      <c r="DP26" s="202" t="e">
        <f>#N/A</f>
        <v>#N/A</v>
      </c>
      <c r="DQ26" s="202" t="e">
        <f>#N/A</f>
        <v>#N/A</v>
      </c>
      <c r="DR26" s="9" t="e">
        <f>#N/A</f>
        <v>#N/A</v>
      </c>
      <c r="DS26" s="9" t="e">
        <f>#N/A</f>
        <v>#N/A</v>
      </c>
      <c r="DT26" s="9" t="e">
        <f>#N/A</f>
        <v>#N/A</v>
      </c>
      <c r="DU26" s="202" t="e">
        <f>#N/A</f>
        <v>#N/A</v>
      </c>
      <c r="DV26" s="202" t="e">
        <f>#N/A</f>
        <v>#N/A</v>
      </c>
      <c r="DW26" s="202" t="e">
        <f>#N/A</f>
        <v>#N/A</v>
      </c>
      <c r="DX26" s="203" t="e">
        <f t="shared" si="16"/>
        <v>#N/A</v>
      </c>
      <c r="DY26" s="203" t="e">
        <f t="shared" si="17"/>
        <v>#N/A</v>
      </c>
      <c r="DZ26" s="203" t="e">
        <f t="shared" si="18"/>
        <v>#N/A</v>
      </c>
      <c r="EA26" s="19" t="e">
        <f t="shared" si="19"/>
        <v>#N/A</v>
      </c>
      <c r="EB26" s="19" t="e">
        <f t="shared" si="20"/>
        <v>#N/A</v>
      </c>
      <c r="EC26" s="19" t="e">
        <f t="shared" si="21"/>
        <v>#N/A</v>
      </c>
      <c r="ED26" s="203" t="e">
        <f t="shared" si="22"/>
        <v>#N/A</v>
      </c>
      <c r="EE26" s="203" t="e">
        <f t="shared" si="23"/>
        <v>#N/A</v>
      </c>
      <c r="EF26" s="203" t="e">
        <f t="shared" si="24"/>
        <v>#N/A</v>
      </c>
      <c r="EH26" s="58">
        <f t="shared" si="25"/>
        <v>18774.855645288582</v>
      </c>
      <c r="EI26" s="68" t="e">
        <f t="shared" si="26"/>
        <v>#DIV/0!</v>
      </c>
      <c r="EJ26" s="58">
        <f t="shared" si="27"/>
        <v>18774.855645288582</v>
      </c>
      <c r="EK26" s="68" t="e">
        <f t="shared" si="26"/>
        <v>#DIV/0!</v>
      </c>
      <c r="EL26" s="58">
        <f t="shared" si="28"/>
        <v>14379.66</v>
      </c>
      <c r="EM26" s="58">
        <f t="shared" si="29"/>
        <v>14379.66</v>
      </c>
      <c r="EN26" s="68" t="e">
        <f t="shared" si="26"/>
        <v>#DIV/0!</v>
      </c>
    </row>
    <row r="27" spans="1:144" x14ac:dyDescent="0.2">
      <c r="A27" s="23">
        <v>0.01</v>
      </c>
      <c r="C27" s="23">
        <v>-0.03</v>
      </c>
      <c r="D27" s="7" t="e">
        <f>#N/A</f>
        <v>#N/A</v>
      </c>
      <c r="E27" s="7" t="e">
        <f>#N/A</f>
        <v>#N/A</v>
      </c>
      <c r="F27" s="7"/>
      <c r="G27" s="63"/>
      <c r="H27" s="63"/>
      <c r="I27" s="63"/>
      <c r="J27" s="63"/>
      <c r="K27" s="63"/>
      <c r="L27" s="63"/>
      <c r="M27" s="1"/>
      <c r="N27" s="1"/>
      <c r="O27" s="1"/>
      <c r="P27" s="8" t="e">
        <f>#N/A</f>
        <v>#N/A</v>
      </c>
      <c r="Q27" s="8" t="e">
        <f>#N/A</f>
        <v>#N/A</v>
      </c>
      <c r="R27" s="8" t="e">
        <f>#N/A</f>
        <v>#N/A</v>
      </c>
      <c r="S27" s="8" t="e">
        <f>#N/A</f>
        <v>#N/A</v>
      </c>
      <c r="T27" s="69" t="e">
        <f>#N/A</f>
        <v>#N/A</v>
      </c>
      <c r="U27" s="8" t="e">
        <f>#N/A</f>
        <v>#N/A</v>
      </c>
      <c r="V27" s="8" t="e">
        <f>#N/A</f>
        <v>#N/A</v>
      </c>
      <c r="W27" s="8" t="e">
        <f>#N/A</f>
        <v>#N/A</v>
      </c>
      <c r="X27" s="8" t="e">
        <f>#N/A</f>
        <v>#N/A</v>
      </c>
      <c r="Y27" s="8"/>
      <c r="Z27" s="8"/>
      <c r="AA27" s="8"/>
      <c r="AB27" s="8"/>
      <c r="AC27" s="8"/>
      <c r="AD27" s="8"/>
      <c r="AE27" s="8"/>
      <c r="AF27" s="8"/>
      <c r="AG27" s="8"/>
      <c r="AH27" s="8"/>
      <c r="AI27" s="8"/>
      <c r="AJ27" s="8"/>
      <c r="AK27" s="8"/>
      <c r="AL27" s="63"/>
      <c r="AM27" s="63"/>
      <c r="AN27" s="63"/>
      <c r="AO27" s="63"/>
      <c r="AP27" s="63"/>
      <c r="AQ27" s="5"/>
      <c r="AR27" s="18"/>
      <c r="AS27" s="18"/>
      <c r="AT27" s="18"/>
      <c r="AU27" s="8">
        <v>2452.5984000000003</v>
      </c>
      <c r="AV27" s="8">
        <v>63.322000000000003</v>
      </c>
      <c r="AW27" s="8">
        <v>3.978181818181818</v>
      </c>
      <c r="AX27" s="8">
        <v>2.0383636363636364</v>
      </c>
      <c r="AY27" s="8"/>
      <c r="AZ27" s="1">
        <v>1640.2251288395453</v>
      </c>
      <c r="BA27" s="4"/>
      <c r="BB27" s="4"/>
      <c r="BC27" s="4"/>
      <c r="BD27" s="4"/>
      <c r="BE27" s="4"/>
      <c r="BF27" s="4"/>
      <c r="BG27" s="4"/>
      <c r="BH27" s="4"/>
      <c r="BI27" s="4"/>
      <c r="BJ27" s="4"/>
      <c r="BK27" s="4"/>
      <c r="BL27" s="4"/>
      <c r="BM27" s="4"/>
      <c r="BN27" s="4"/>
      <c r="BO27" s="4"/>
      <c r="BP27" s="18"/>
      <c r="BQ27" s="18"/>
      <c r="BR27" s="1">
        <f>0.225*0.9*744</f>
        <v>150.66</v>
      </c>
      <c r="BS27" s="2">
        <v>7068</v>
      </c>
      <c r="BT27" s="1">
        <v>3441</v>
      </c>
      <c r="BU27" s="1">
        <v>3720</v>
      </c>
      <c r="BV27" s="1"/>
      <c r="BW27" s="1"/>
      <c r="BX27" s="1"/>
      <c r="BY27" s="1"/>
      <c r="BZ27" s="1"/>
      <c r="CA27" s="2">
        <v>0</v>
      </c>
      <c r="CB27" s="2"/>
      <c r="CC27" s="2"/>
      <c r="CD27" s="2"/>
      <c r="CE27" s="2"/>
      <c r="CF27" s="2"/>
      <c r="CG27" s="2"/>
      <c r="CH27" s="2"/>
      <c r="CI27" s="2"/>
      <c r="CJ27" s="27"/>
      <c r="CK27" s="8" t="e">
        <f>#N/A</f>
        <v>#N/A</v>
      </c>
      <c r="CL27" s="9" t="e">
        <f>#N/A</f>
        <v>#N/A</v>
      </c>
      <c r="CM27" s="9" t="e">
        <f>#N/A</f>
        <v>#N/A</v>
      </c>
      <c r="CN27" s="9" t="e">
        <f>#N/A</f>
        <v>#N/A</v>
      </c>
      <c r="CO27" s="9" t="e">
        <f>#N/A</f>
        <v>#N/A</v>
      </c>
      <c r="CP27" s="29" t="e">
        <f>#N/A</f>
        <v>#N/A</v>
      </c>
      <c r="CQ27" s="9" t="e">
        <f>#N/A</f>
        <v>#N/A</v>
      </c>
      <c r="CR27" s="9" t="e">
        <f>#N/A</f>
        <v>#N/A</v>
      </c>
      <c r="CS27" s="9" t="e">
        <f>#N/A</f>
        <v>#N/A</v>
      </c>
      <c r="CT27" s="9" t="e">
        <f>#N/A</f>
        <v>#N/A</v>
      </c>
      <c r="CU27" s="19" t="e">
        <f>#N/A</f>
        <v>#N/A</v>
      </c>
      <c r="CV27" s="19" t="e">
        <f>#N/A</f>
        <v>#N/A</v>
      </c>
      <c r="CW27" s="19" t="e">
        <f>#N/A</f>
        <v>#N/A</v>
      </c>
      <c r="CX27" s="19" t="e">
        <f>#N/A</f>
        <v>#N/A</v>
      </c>
      <c r="CY27" s="30" t="e">
        <f>#N/A</f>
        <v>#N/A</v>
      </c>
      <c r="CZ27" s="19" t="e">
        <f>#N/A</f>
        <v>#N/A</v>
      </c>
      <c r="DA27" s="19" t="e">
        <f>#N/A</f>
        <v>#N/A</v>
      </c>
      <c r="DB27" s="19" t="e">
        <f>#N/A</f>
        <v>#N/A</v>
      </c>
      <c r="DC27" s="19" t="e">
        <f>#N/A</f>
        <v>#N/A</v>
      </c>
      <c r="DD27" s="18"/>
      <c r="DE27" s="18"/>
      <c r="DF27" s="18"/>
      <c r="DG27" s="5"/>
      <c r="DH27" s="5"/>
      <c r="DI27" s="18"/>
      <c r="DJ27" s="5"/>
      <c r="DK27" s="5"/>
      <c r="DL27" s="5"/>
      <c r="DM27" s="8" t="e">
        <f>#N/A</f>
        <v>#N/A</v>
      </c>
      <c r="DN27" s="8" t="e">
        <f>#N/A</f>
        <v>#N/A</v>
      </c>
      <c r="DO27" s="202" t="e">
        <f>#N/A</f>
        <v>#N/A</v>
      </c>
      <c r="DP27" s="202" t="e">
        <f>#N/A</f>
        <v>#N/A</v>
      </c>
      <c r="DQ27" s="202" t="e">
        <f>#N/A</f>
        <v>#N/A</v>
      </c>
      <c r="DR27" s="9" t="e">
        <f>#N/A</f>
        <v>#N/A</v>
      </c>
      <c r="DS27" s="9" t="e">
        <f>#N/A</f>
        <v>#N/A</v>
      </c>
      <c r="DT27" s="9" t="e">
        <f>#N/A</f>
        <v>#N/A</v>
      </c>
      <c r="DU27" s="202" t="e">
        <f>#N/A</f>
        <v>#N/A</v>
      </c>
      <c r="DV27" s="202" t="e">
        <f>#N/A</f>
        <v>#N/A</v>
      </c>
      <c r="DW27" s="202" t="e">
        <f>#N/A</f>
        <v>#N/A</v>
      </c>
      <c r="DX27" s="203" t="e">
        <f t="shared" si="16"/>
        <v>#N/A</v>
      </c>
      <c r="DY27" s="203" t="e">
        <f t="shared" si="17"/>
        <v>#N/A</v>
      </c>
      <c r="DZ27" s="203" t="e">
        <f t="shared" si="18"/>
        <v>#N/A</v>
      </c>
      <c r="EA27" s="19" t="e">
        <f t="shared" si="19"/>
        <v>#N/A</v>
      </c>
      <c r="EB27" s="19" t="e">
        <f t="shared" si="20"/>
        <v>#N/A</v>
      </c>
      <c r="EC27" s="19" t="e">
        <f t="shared" si="21"/>
        <v>#N/A</v>
      </c>
      <c r="ED27" s="203" t="e">
        <f t="shared" si="22"/>
        <v>#N/A</v>
      </c>
      <c r="EE27" s="203" t="e">
        <f t="shared" si="23"/>
        <v>#N/A</v>
      </c>
      <c r="EF27" s="203" t="e">
        <f t="shared" si="24"/>
        <v>#N/A</v>
      </c>
      <c r="EH27" s="58">
        <f t="shared" si="25"/>
        <v>18535.805528839544</v>
      </c>
      <c r="EI27" s="68" t="e">
        <f t="shared" si="26"/>
        <v>#DIV/0!</v>
      </c>
      <c r="EJ27" s="58">
        <f t="shared" si="27"/>
        <v>18535.805528839544</v>
      </c>
      <c r="EK27" s="68" t="e">
        <f t="shared" si="26"/>
        <v>#DIV/0!</v>
      </c>
      <c r="EL27" s="58">
        <f t="shared" si="28"/>
        <v>14379.66</v>
      </c>
      <c r="EM27" s="58">
        <f t="shared" si="29"/>
        <v>14379.66</v>
      </c>
      <c r="EN27" s="68" t="e">
        <f t="shared" si="26"/>
        <v>#DIV/0!</v>
      </c>
    </row>
    <row r="28" spans="1:144" x14ac:dyDescent="0.2">
      <c r="A28" s="23">
        <v>0.01</v>
      </c>
      <c r="C28" s="23">
        <v>-0.03</v>
      </c>
      <c r="D28" s="7" t="e">
        <f>#N/A</f>
        <v>#N/A</v>
      </c>
      <c r="E28" s="7" t="e">
        <f>#N/A</f>
        <v>#N/A</v>
      </c>
      <c r="F28" s="7"/>
      <c r="G28" s="63"/>
      <c r="H28" s="63"/>
      <c r="I28" s="63"/>
      <c r="J28" s="63"/>
      <c r="K28" s="63"/>
      <c r="L28" s="63"/>
      <c r="M28" s="1"/>
      <c r="N28" s="1"/>
      <c r="O28" s="1"/>
      <c r="P28" s="8" t="e">
        <f>#N/A</f>
        <v>#N/A</v>
      </c>
      <c r="Q28" s="8" t="e">
        <f>#N/A</f>
        <v>#N/A</v>
      </c>
      <c r="R28" s="8" t="e">
        <f>#N/A</f>
        <v>#N/A</v>
      </c>
      <c r="S28" s="8" t="e">
        <f>#N/A</f>
        <v>#N/A</v>
      </c>
      <c r="T28" s="69" t="e">
        <f>#N/A</f>
        <v>#N/A</v>
      </c>
      <c r="U28" s="8" t="e">
        <f>#N/A</f>
        <v>#N/A</v>
      </c>
      <c r="V28" s="8" t="e">
        <f>#N/A</f>
        <v>#N/A</v>
      </c>
      <c r="W28" s="8" t="e">
        <f>#N/A</f>
        <v>#N/A</v>
      </c>
      <c r="X28" s="8" t="e">
        <f>#N/A</f>
        <v>#N/A</v>
      </c>
      <c r="Y28" s="8"/>
      <c r="Z28" s="8"/>
      <c r="AA28" s="8"/>
      <c r="AB28" s="8"/>
      <c r="AC28" s="8"/>
      <c r="AD28" s="8"/>
      <c r="AE28" s="8"/>
      <c r="AF28" s="8"/>
      <c r="AG28" s="8"/>
      <c r="AH28" s="8"/>
      <c r="AI28" s="8"/>
      <c r="AJ28" s="8"/>
      <c r="AK28" s="8"/>
      <c r="AL28" s="63"/>
      <c r="AM28" s="63"/>
      <c r="AN28" s="63"/>
      <c r="AO28" s="63"/>
      <c r="AP28" s="63"/>
      <c r="AQ28" s="5"/>
      <c r="AR28" s="18"/>
      <c r="AS28" s="18"/>
      <c r="AT28" s="18"/>
      <c r="AU28" s="8">
        <v>2299.8774400000002</v>
      </c>
      <c r="AV28" s="8">
        <v>119.505</v>
      </c>
      <c r="AW28" s="8">
        <v>2.8145454545454545</v>
      </c>
      <c r="AX28" s="8">
        <v>1.5431818181818182</v>
      </c>
      <c r="AY28" s="8"/>
      <c r="AZ28" s="1">
        <v>1564.9898194867908</v>
      </c>
      <c r="BA28" s="4"/>
      <c r="BB28" s="4"/>
      <c r="BC28" s="4"/>
      <c r="BD28" s="4"/>
      <c r="BE28" s="4"/>
      <c r="BF28" s="4"/>
      <c r="BG28" s="4"/>
      <c r="BH28" s="4"/>
      <c r="BI28" s="4"/>
      <c r="BJ28" s="4"/>
      <c r="BK28" s="4"/>
      <c r="BL28" s="4"/>
      <c r="BM28" s="4"/>
      <c r="BN28" s="4"/>
      <c r="BO28" s="4"/>
      <c r="BP28" s="18"/>
      <c r="BQ28" s="18"/>
      <c r="BR28" s="1">
        <f>0.225*0.9*720</f>
        <v>145.80000000000001</v>
      </c>
      <c r="BS28" s="2">
        <v>6840</v>
      </c>
      <c r="BT28" s="1">
        <v>3330</v>
      </c>
      <c r="BU28" s="1">
        <v>3600</v>
      </c>
      <c r="BV28" s="1"/>
      <c r="BW28" s="1"/>
      <c r="BX28" s="1"/>
      <c r="BY28" s="1"/>
      <c r="BZ28" s="1"/>
      <c r="CA28" s="2">
        <v>0</v>
      </c>
      <c r="CB28" s="2"/>
      <c r="CC28" s="2"/>
      <c r="CD28" s="2"/>
      <c r="CE28" s="2"/>
      <c r="CF28" s="2"/>
      <c r="CG28" s="2"/>
      <c r="CH28" s="2"/>
      <c r="CI28" s="2"/>
      <c r="CJ28" s="27"/>
      <c r="CK28" s="8" t="e">
        <f>#N/A</f>
        <v>#N/A</v>
      </c>
      <c r="CL28" s="9" t="e">
        <f>#N/A</f>
        <v>#N/A</v>
      </c>
      <c r="CM28" s="9" t="e">
        <f>#N/A</f>
        <v>#N/A</v>
      </c>
      <c r="CN28" s="9" t="e">
        <f>#N/A</f>
        <v>#N/A</v>
      </c>
      <c r="CO28" s="9" t="e">
        <f>#N/A</f>
        <v>#N/A</v>
      </c>
      <c r="CP28" s="29" t="e">
        <f>#N/A</f>
        <v>#N/A</v>
      </c>
      <c r="CQ28" s="9" t="e">
        <f>#N/A</f>
        <v>#N/A</v>
      </c>
      <c r="CR28" s="9" t="e">
        <f>#N/A</f>
        <v>#N/A</v>
      </c>
      <c r="CS28" s="9" t="e">
        <f>#N/A</f>
        <v>#N/A</v>
      </c>
      <c r="CT28" s="9" t="e">
        <f>#N/A</f>
        <v>#N/A</v>
      </c>
      <c r="CU28" s="19" t="e">
        <f>#N/A</f>
        <v>#N/A</v>
      </c>
      <c r="CV28" s="19" t="e">
        <f>#N/A</f>
        <v>#N/A</v>
      </c>
      <c r="CW28" s="19" t="e">
        <f>#N/A</f>
        <v>#N/A</v>
      </c>
      <c r="CX28" s="19" t="e">
        <f>#N/A</f>
        <v>#N/A</v>
      </c>
      <c r="CY28" s="30" t="e">
        <f>#N/A</f>
        <v>#N/A</v>
      </c>
      <c r="CZ28" s="19" t="e">
        <f>#N/A</f>
        <v>#N/A</v>
      </c>
      <c r="DA28" s="19" t="e">
        <f>#N/A</f>
        <v>#N/A</v>
      </c>
      <c r="DB28" s="19" t="e">
        <f>#N/A</f>
        <v>#N/A</v>
      </c>
      <c r="DC28" s="19" t="e">
        <f>#N/A</f>
        <v>#N/A</v>
      </c>
      <c r="DD28" s="18"/>
      <c r="DE28" s="18"/>
      <c r="DF28" s="18"/>
      <c r="DG28" s="5"/>
      <c r="DH28" s="5"/>
      <c r="DI28" s="18"/>
      <c r="DJ28" s="5"/>
      <c r="DK28" s="5"/>
      <c r="DL28" s="5"/>
      <c r="DM28" s="8" t="e">
        <f>#N/A</f>
        <v>#N/A</v>
      </c>
      <c r="DN28" s="8" t="e">
        <f>#N/A</f>
        <v>#N/A</v>
      </c>
      <c r="DO28" s="202" t="e">
        <f>#N/A</f>
        <v>#N/A</v>
      </c>
      <c r="DP28" s="202" t="e">
        <f>#N/A</f>
        <v>#N/A</v>
      </c>
      <c r="DQ28" s="202" t="e">
        <f>#N/A</f>
        <v>#N/A</v>
      </c>
      <c r="DR28" s="9" t="e">
        <f>#N/A</f>
        <v>#N/A</v>
      </c>
      <c r="DS28" s="9" t="e">
        <f>#N/A</f>
        <v>#N/A</v>
      </c>
      <c r="DT28" s="9" t="e">
        <f>#N/A</f>
        <v>#N/A</v>
      </c>
      <c r="DU28" s="202" t="e">
        <f>#N/A</f>
        <v>#N/A</v>
      </c>
      <c r="DV28" s="202" t="e">
        <f>#N/A</f>
        <v>#N/A</v>
      </c>
      <c r="DW28" s="202" t="e">
        <f>#N/A</f>
        <v>#N/A</v>
      </c>
      <c r="DX28" s="203" t="e">
        <f t="shared" si="16"/>
        <v>#N/A</v>
      </c>
      <c r="DY28" s="203" t="e">
        <f t="shared" si="17"/>
        <v>#N/A</v>
      </c>
      <c r="DZ28" s="203" t="e">
        <f t="shared" si="18"/>
        <v>#N/A</v>
      </c>
      <c r="EA28" s="19" t="e">
        <f t="shared" si="19"/>
        <v>#N/A</v>
      </c>
      <c r="EB28" s="19" t="e">
        <f t="shared" si="20"/>
        <v>#N/A</v>
      </c>
      <c r="EC28" s="19" t="e">
        <f t="shared" si="21"/>
        <v>#N/A</v>
      </c>
      <c r="ED28" s="203" t="e">
        <f t="shared" si="22"/>
        <v>#N/A</v>
      </c>
      <c r="EE28" s="203" t="e">
        <f t="shared" si="23"/>
        <v>#N/A</v>
      </c>
      <c r="EF28" s="203" t="e">
        <f t="shared" si="24"/>
        <v>#N/A</v>
      </c>
      <c r="EH28" s="58">
        <f t="shared" si="25"/>
        <v>17900.17225948679</v>
      </c>
      <c r="EI28" s="68" t="e">
        <f t="shared" si="26"/>
        <v>#DIV/0!</v>
      </c>
      <c r="EJ28" s="58">
        <f t="shared" si="27"/>
        <v>17900.17225948679</v>
      </c>
      <c r="EK28" s="68" t="e">
        <f t="shared" si="26"/>
        <v>#DIV/0!</v>
      </c>
      <c r="EL28" s="58">
        <f t="shared" si="28"/>
        <v>13915.8</v>
      </c>
      <c r="EM28" s="58">
        <f t="shared" si="29"/>
        <v>13915.8</v>
      </c>
      <c r="EN28" s="68" t="e">
        <f t="shared" si="26"/>
        <v>#DIV/0!</v>
      </c>
    </row>
    <row r="29" spans="1:144" x14ac:dyDescent="0.2">
      <c r="A29" s="23">
        <v>0.01</v>
      </c>
      <c r="C29" s="23">
        <v>-0.03</v>
      </c>
      <c r="D29" s="7" t="e">
        <f>#N/A</f>
        <v>#N/A</v>
      </c>
      <c r="E29" s="7" t="e">
        <f>#N/A</f>
        <v>#N/A</v>
      </c>
      <c r="F29" s="7"/>
      <c r="G29" s="63"/>
      <c r="H29" s="63"/>
      <c r="I29" s="63"/>
      <c r="J29" s="63"/>
      <c r="K29" s="63"/>
      <c r="L29" s="63"/>
      <c r="M29" s="1"/>
      <c r="N29" s="1"/>
      <c r="O29" s="1"/>
      <c r="P29" s="8" t="e">
        <f>#N/A</f>
        <v>#N/A</v>
      </c>
      <c r="Q29" s="8" t="e">
        <f>#N/A</f>
        <v>#N/A</v>
      </c>
      <c r="R29" s="8" t="e">
        <f>#N/A</f>
        <v>#N/A</v>
      </c>
      <c r="S29" s="8" t="e">
        <f>#N/A</f>
        <v>#N/A</v>
      </c>
      <c r="T29" s="69" t="e">
        <f>#N/A</f>
        <v>#N/A</v>
      </c>
      <c r="U29" s="8" t="e">
        <f>#N/A</f>
        <v>#N/A</v>
      </c>
      <c r="V29" s="8" t="e">
        <f>#N/A</f>
        <v>#N/A</v>
      </c>
      <c r="W29" s="8" t="e">
        <f>#N/A</f>
        <v>#N/A</v>
      </c>
      <c r="X29" s="8" t="e">
        <f>#N/A</f>
        <v>#N/A</v>
      </c>
      <c r="Y29" s="8"/>
      <c r="Z29" s="8"/>
      <c r="AA29" s="8"/>
      <c r="AB29" s="8"/>
      <c r="AC29" s="8"/>
      <c r="AD29" s="8"/>
      <c r="AE29" s="8"/>
      <c r="AF29" s="8"/>
      <c r="AG29" s="8"/>
      <c r="AH29" s="8"/>
      <c r="AI29" s="8"/>
      <c r="AJ29" s="8"/>
      <c r="AK29" s="8"/>
      <c r="AL29" s="63"/>
      <c r="AM29" s="63"/>
      <c r="AN29" s="63"/>
      <c r="AO29" s="63"/>
      <c r="AP29" s="63"/>
      <c r="AQ29" s="5"/>
      <c r="AR29" s="18"/>
      <c r="AS29" s="18"/>
      <c r="AT29" s="18"/>
      <c r="AU29" s="8">
        <v>2446.4977600000002</v>
      </c>
      <c r="AV29" s="8">
        <v>66.834000000000003</v>
      </c>
      <c r="AW29" s="8">
        <v>8.8000000000000007</v>
      </c>
      <c r="AX29" s="8">
        <v>1.7841</v>
      </c>
      <c r="AY29" s="8"/>
      <c r="AZ29" s="1">
        <v>1914.1187154458453</v>
      </c>
      <c r="BA29" s="4"/>
      <c r="BB29" s="4"/>
      <c r="BC29" s="4"/>
      <c r="BD29" s="4"/>
      <c r="BE29" s="4"/>
      <c r="BF29" s="4"/>
      <c r="BG29" s="4"/>
      <c r="BH29" s="4"/>
      <c r="BI29" s="4"/>
      <c r="BJ29" s="4"/>
      <c r="BK29" s="4"/>
      <c r="BL29" s="4"/>
      <c r="BM29" s="4"/>
      <c r="BN29" s="4"/>
      <c r="BO29" s="4"/>
      <c r="BP29" s="18"/>
      <c r="BQ29" s="18"/>
      <c r="BR29" s="1">
        <f>0.225*0.9*744</f>
        <v>150.66</v>
      </c>
      <c r="BS29" s="2">
        <v>7068</v>
      </c>
      <c r="BT29" s="1">
        <v>3441</v>
      </c>
      <c r="BU29" s="1">
        <v>3720</v>
      </c>
      <c r="BV29" s="1"/>
      <c r="BW29" s="1"/>
      <c r="BX29" s="1"/>
      <c r="BY29" s="1"/>
      <c r="BZ29" s="1"/>
      <c r="CA29" s="2">
        <v>0</v>
      </c>
      <c r="CB29" s="2"/>
      <c r="CC29" s="2"/>
      <c r="CD29" s="2"/>
      <c r="CE29" s="2"/>
      <c r="CF29" s="2"/>
      <c r="CG29" s="2"/>
      <c r="CH29" s="2"/>
      <c r="CI29" s="2"/>
      <c r="CJ29" s="27"/>
      <c r="CK29" s="8" t="e">
        <f>#N/A</f>
        <v>#N/A</v>
      </c>
      <c r="CL29" s="9" t="e">
        <f>#N/A</f>
        <v>#N/A</v>
      </c>
      <c r="CM29" s="9" t="e">
        <f>#N/A</f>
        <v>#N/A</v>
      </c>
      <c r="CN29" s="9" t="e">
        <f>#N/A</f>
        <v>#N/A</v>
      </c>
      <c r="CO29" s="9" t="e">
        <f>#N/A</f>
        <v>#N/A</v>
      </c>
      <c r="CP29" s="29" t="e">
        <f>#N/A</f>
        <v>#N/A</v>
      </c>
      <c r="CQ29" s="9" t="e">
        <f>#N/A</f>
        <v>#N/A</v>
      </c>
      <c r="CR29" s="9" t="e">
        <f>#N/A</f>
        <v>#N/A</v>
      </c>
      <c r="CS29" s="9" t="e">
        <f>#N/A</f>
        <v>#N/A</v>
      </c>
      <c r="CT29" s="9" t="e">
        <f>#N/A</f>
        <v>#N/A</v>
      </c>
      <c r="CU29" s="19" t="e">
        <f>#N/A</f>
        <v>#N/A</v>
      </c>
      <c r="CV29" s="19" t="e">
        <f>#N/A</f>
        <v>#N/A</v>
      </c>
      <c r="CW29" s="19" t="e">
        <f>#N/A</f>
        <v>#N/A</v>
      </c>
      <c r="CX29" s="19" t="e">
        <f>#N/A</f>
        <v>#N/A</v>
      </c>
      <c r="CY29" s="30" t="e">
        <f>#N/A</f>
        <v>#N/A</v>
      </c>
      <c r="CZ29" s="19" t="e">
        <f>#N/A</f>
        <v>#N/A</v>
      </c>
      <c r="DA29" s="19" t="e">
        <f>#N/A</f>
        <v>#N/A</v>
      </c>
      <c r="DB29" s="19" t="e">
        <f>#N/A</f>
        <v>#N/A</v>
      </c>
      <c r="DC29" s="19" t="e">
        <f>#N/A</f>
        <v>#N/A</v>
      </c>
      <c r="DD29" s="18"/>
      <c r="DE29" s="18"/>
      <c r="DF29" s="18"/>
      <c r="DG29" s="5"/>
      <c r="DH29" s="5"/>
      <c r="DI29" s="18"/>
      <c r="DJ29" s="5"/>
      <c r="DK29" s="5"/>
      <c r="DL29" s="5"/>
      <c r="DM29" s="8" t="e">
        <f>#N/A</f>
        <v>#N/A</v>
      </c>
      <c r="DN29" s="8" t="e">
        <f>#N/A</f>
        <v>#N/A</v>
      </c>
      <c r="DO29" s="202" t="e">
        <f>#N/A</f>
        <v>#N/A</v>
      </c>
      <c r="DP29" s="202" t="e">
        <f>#N/A</f>
        <v>#N/A</v>
      </c>
      <c r="DQ29" s="202" t="e">
        <f>#N/A</f>
        <v>#N/A</v>
      </c>
      <c r="DR29" s="9" t="e">
        <f>#N/A</f>
        <v>#N/A</v>
      </c>
      <c r="DS29" s="9" t="e">
        <f>#N/A</f>
        <v>#N/A</v>
      </c>
      <c r="DT29" s="9" t="e">
        <f>#N/A</f>
        <v>#N/A</v>
      </c>
      <c r="DU29" s="202" t="e">
        <f>#N/A</f>
        <v>#N/A</v>
      </c>
      <c r="DV29" s="202" t="e">
        <f>#N/A</f>
        <v>#N/A</v>
      </c>
      <c r="DW29" s="202" t="e">
        <f>#N/A</f>
        <v>#N/A</v>
      </c>
      <c r="DX29" s="203" t="e">
        <f t="shared" si="16"/>
        <v>#N/A</v>
      </c>
      <c r="DY29" s="203" t="e">
        <f t="shared" si="17"/>
        <v>#N/A</v>
      </c>
      <c r="DZ29" s="203" t="e">
        <f t="shared" si="18"/>
        <v>#N/A</v>
      </c>
      <c r="EA29" s="19" t="e">
        <f t="shared" si="19"/>
        <v>#N/A</v>
      </c>
      <c r="EB29" s="19" t="e">
        <f t="shared" si="20"/>
        <v>#N/A</v>
      </c>
      <c r="EC29" s="19" t="e">
        <f t="shared" si="21"/>
        <v>#N/A</v>
      </c>
      <c r="ED29" s="203" t="e">
        <f t="shared" si="22"/>
        <v>#N/A</v>
      </c>
      <c r="EE29" s="203" t="e">
        <f t="shared" si="23"/>
        <v>#N/A</v>
      </c>
      <c r="EF29" s="203" t="e">
        <f t="shared" si="24"/>
        <v>#N/A</v>
      </c>
      <c r="EH29" s="58">
        <f t="shared" si="25"/>
        <v>18807.110475445843</v>
      </c>
      <c r="EI29" s="68" t="e">
        <f t="shared" si="26"/>
        <v>#DIV/0!</v>
      </c>
      <c r="EJ29" s="58">
        <f t="shared" si="27"/>
        <v>18807.110475445843</v>
      </c>
      <c r="EK29" s="68" t="e">
        <f t="shared" si="26"/>
        <v>#DIV/0!</v>
      </c>
      <c r="EL29" s="58">
        <f t="shared" si="28"/>
        <v>14379.66</v>
      </c>
      <c r="EM29" s="58">
        <f t="shared" si="29"/>
        <v>14379.66</v>
      </c>
      <c r="EN29" s="68" t="e">
        <f t="shared" si="26"/>
        <v>#DIV/0!</v>
      </c>
    </row>
    <row r="30" spans="1:144" x14ac:dyDescent="0.2">
      <c r="A30" s="23">
        <v>0.01</v>
      </c>
      <c r="C30" s="23">
        <v>-0.03</v>
      </c>
      <c r="D30" s="7" t="e">
        <f>#N/A</f>
        <v>#N/A</v>
      </c>
      <c r="E30" s="7" t="e">
        <f>#N/A</f>
        <v>#N/A</v>
      </c>
      <c r="F30" s="7"/>
      <c r="G30" s="63"/>
      <c r="H30" s="63"/>
      <c r="I30" s="63"/>
      <c r="J30" s="63"/>
      <c r="K30" s="63"/>
      <c r="L30" s="63"/>
      <c r="M30" s="1"/>
      <c r="N30" s="1"/>
      <c r="O30" s="1"/>
      <c r="P30" s="8" t="e">
        <f>#N/A</f>
        <v>#N/A</v>
      </c>
      <c r="Q30" s="8" t="e">
        <f>#N/A</f>
        <v>#N/A</v>
      </c>
      <c r="R30" s="8" t="e">
        <f>#N/A</f>
        <v>#N/A</v>
      </c>
      <c r="S30" s="8" t="e">
        <f>#N/A</f>
        <v>#N/A</v>
      </c>
      <c r="T30" s="69" t="e">
        <f>#N/A</f>
        <v>#N/A</v>
      </c>
      <c r="U30" s="8" t="e">
        <f>#N/A</f>
        <v>#N/A</v>
      </c>
      <c r="V30" s="8" t="e">
        <f>#N/A</f>
        <v>#N/A</v>
      </c>
      <c r="W30" s="8" t="e">
        <f>#N/A</f>
        <v>#N/A</v>
      </c>
      <c r="X30" s="8" t="e">
        <f>#N/A</f>
        <v>#N/A</v>
      </c>
      <c r="Y30" s="8"/>
      <c r="Z30" s="8"/>
      <c r="AA30" s="8"/>
      <c r="AB30" s="8"/>
      <c r="AC30" s="8"/>
      <c r="AD30" s="8"/>
      <c r="AE30" s="8"/>
      <c r="AF30" s="8"/>
      <c r="AG30" s="8"/>
      <c r="AH30" s="8"/>
      <c r="AI30" s="8"/>
      <c r="AJ30" s="8"/>
      <c r="AK30" s="8"/>
      <c r="AL30" s="63"/>
      <c r="AM30" s="63"/>
      <c r="AN30" s="63"/>
      <c r="AO30" s="63"/>
      <c r="AP30" s="63"/>
      <c r="AQ30" s="5"/>
      <c r="AR30" s="18"/>
      <c r="AS30" s="18"/>
      <c r="AT30" s="18"/>
      <c r="AU30" s="8">
        <v>2357.040896</v>
      </c>
      <c r="AV30" s="8">
        <v>61.683999999999997</v>
      </c>
      <c r="AW30" s="8">
        <v>9.665454545454546</v>
      </c>
      <c r="AX30" s="8">
        <v>2.6113636363636363</v>
      </c>
      <c r="AY30" s="8"/>
      <c r="AZ30" s="1">
        <v>2372.3509688514641</v>
      </c>
      <c r="BA30" s="4"/>
      <c r="BB30" s="4"/>
      <c r="BC30" s="4"/>
      <c r="BD30" s="4"/>
      <c r="BE30" s="4"/>
      <c r="BF30" s="4"/>
      <c r="BG30" s="4"/>
      <c r="BH30" s="4"/>
      <c r="BI30" s="4"/>
      <c r="BJ30" s="4"/>
      <c r="BK30" s="4"/>
      <c r="BL30" s="4"/>
      <c r="BM30" s="4"/>
      <c r="BN30" s="4"/>
      <c r="BO30" s="4"/>
      <c r="BP30" s="18"/>
      <c r="BQ30" s="18"/>
      <c r="BR30" s="1">
        <f>0.225*0.9*721</f>
        <v>146.0025</v>
      </c>
      <c r="BS30" s="2">
        <v>6840</v>
      </c>
      <c r="BT30" s="1">
        <v>3330</v>
      </c>
      <c r="BU30" s="1">
        <v>3600</v>
      </c>
      <c r="BV30" s="1"/>
      <c r="BW30" s="1"/>
      <c r="BX30" s="1"/>
      <c r="BY30" s="1"/>
      <c r="BZ30" s="1"/>
      <c r="CA30" s="2">
        <v>0</v>
      </c>
      <c r="CB30" s="2"/>
      <c r="CC30" s="2"/>
      <c r="CD30" s="2"/>
      <c r="CE30" s="2"/>
      <c r="CF30" s="2"/>
      <c r="CG30" s="2"/>
      <c r="CH30" s="2"/>
      <c r="CI30" s="2"/>
      <c r="CJ30" s="27"/>
      <c r="CK30" s="8" t="e">
        <f>#N/A</f>
        <v>#N/A</v>
      </c>
      <c r="CL30" s="9" t="e">
        <f>#N/A</f>
        <v>#N/A</v>
      </c>
      <c r="CM30" s="9" t="e">
        <f>#N/A</f>
        <v>#N/A</v>
      </c>
      <c r="CN30" s="9" t="e">
        <f>#N/A</f>
        <v>#N/A</v>
      </c>
      <c r="CO30" s="9" t="e">
        <f>#N/A</f>
        <v>#N/A</v>
      </c>
      <c r="CP30" s="29" t="e">
        <f>#N/A</f>
        <v>#N/A</v>
      </c>
      <c r="CQ30" s="9" t="e">
        <f>#N/A</f>
        <v>#N/A</v>
      </c>
      <c r="CR30" s="9" t="e">
        <f>#N/A</f>
        <v>#N/A</v>
      </c>
      <c r="CS30" s="9" t="e">
        <f>#N/A</f>
        <v>#N/A</v>
      </c>
      <c r="CT30" s="9" t="e">
        <f>#N/A</f>
        <v>#N/A</v>
      </c>
      <c r="CU30" s="19" t="e">
        <f>#N/A</f>
        <v>#N/A</v>
      </c>
      <c r="CV30" s="19" t="e">
        <f>#N/A</f>
        <v>#N/A</v>
      </c>
      <c r="CW30" s="19" t="e">
        <f>#N/A</f>
        <v>#N/A</v>
      </c>
      <c r="CX30" s="19" t="e">
        <f>#N/A</f>
        <v>#N/A</v>
      </c>
      <c r="CY30" s="30" t="e">
        <f>#N/A</f>
        <v>#N/A</v>
      </c>
      <c r="CZ30" s="19" t="e">
        <f>#N/A</f>
        <v>#N/A</v>
      </c>
      <c r="DA30" s="19" t="e">
        <f>#N/A</f>
        <v>#N/A</v>
      </c>
      <c r="DB30" s="19" t="e">
        <f>#N/A</f>
        <v>#N/A</v>
      </c>
      <c r="DC30" s="19" t="e">
        <f>#N/A</f>
        <v>#N/A</v>
      </c>
      <c r="DD30" s="18"/>
      <c r="DE30" s="18"/>
      <c r="DF30" s="18"/>
      <c r="DG30" s="5"/>
      <c r="DH30" s="5"/>
      <c r="DI30" s="18"/>
      <c r="DJ30" s="5"/>
      <c r="DK30" s="5"/>
      <c r="DL30" s="5"/>
      <c r="DM30" s="8" t="e">
        <f>#N/A</f>
        <v>#N/A</v>
      </c>
      <c r="DN30" s="8" t="e">
        <f>#N/A</f>
        <v>#N/A</v>
      </c>
      <c r="DO30" s="202" t="e">
        <f>#N/A</f>
        <v>#N/A</v>
      </c>
      <c r="DP30" s="202" t="e">
        <f>#N/A</f>
        <v>#N/A</v>
      </c>
      <c r="DQ30" s="202" t="e">
        <f>#N/A</f>
        <v>#N/A</v>
      </c>
      <c r="DR30" s="9" t="e">
        <f>#N/A</f>
        <v>#N/A</v>
      </c>
      <c r="DS30" s="9" t="e">
        <f>#N/A</f>
        <v>#N/A</v>
      </c>
      <c r="DT30" s="9" t="e">
        <f>#N/A</f>
        <v>#N/A</v>
      </c>
      <c r="DU30" s="202" t="e">
        <f>#N/A</f>
        <v>#N/A</v>
      </c>
      <c r="DV30" s="202" t="e">
        <f>#N/A</f>
        <v>#N/A</v>
      </c>
      <c r="DW30" s="202" t="e">
        <f>#N/A</f>
        <v>#N/A</v>
      </c>
      <c r="DX30" s="203" t="e">
        <f t="shared" si="16"/>
        <v>#N/A</v>
      </c>
      <c r="DY30" s="203" t="e">
        <f t="shared" si="17"/>
        <v>#N/A</v>
      </c>
      <c r="DZ30" s="203" t="e">
        <f t="shared" si="18"/>
        <v>#N/A</v>
      </c>
      <c r="EA30" s="19" t="e">
        <f t="shared" si="19"/>
        <v>#N/A</v>
      </c>
      <c r="EB30" s="19" t="e">
        <f t="shared" si="20"/>
        <v>#N/A</v>
      </c>
      <c r="EC30" s="19" t="e">
        <f t="shared" si="21"/>
        <v>#N/A</v>
      </c>
      <c r="ED30" s="203" t="e">
        <f t="shared" si="22"/>
        <v>#N/A</v>
      </c>
      <c r="EE30" s="203" t="e">
        <f t="shared" si="23"/>
        <v>#N/A</v>
      </c>
      <c r="EF30" s="203" t="e">
        <f t="shared" si="24"/>
        <v>#N/A</v>
      </c>
      <c r="EH30" s="58">
        <f t="shared" si="25"/>
        <v>18707.078364851463</v>
      </c>
      <c r="EI30" s="68" t="e">
        <f t="shared" si="26"/>
        <v>#DIV/0!</v>
      </c>
      <c r="EJ30" s="58">
        <f t="shared" si="27"/>
        <v>18707.078364851463</v>
      </c>
      <c r="EK30" s="68" t="e">
        <f t="shared" si="26"/>
        <v>#DIV/0!</v>
      </c>
      <c r="EL30" s="58">
        <f t="shared" si="28"/>
        <v>13916.002499999999</v>
      </c>
      <c r="EM30" s="58">
        <f t="shared" si="29"/>
        <v>13916.002499999999</v>
      </c>
      <c r="EN30" s="68" t="e">
        <f t="shared" si="26"/>
        <v>#DIV/0!</v>
      </c>
    </row>
    <row r="31" spans="1:144" x14ac:dyDescent="0.2">
      <c r="A31" s="23">
        <v>0.01</v>
      </c>
      <c r="C31" s="23">
        <v>-0.03</v>
      </c>
      <c r="D31" s="7" t="e">
        <f>#N/A</f>
        <v>#N/A</v>
      </c>
      <c r="E31" s="7" t="e">
        <f>#N/A</f>
        <v>#N/A</v>
      </c>
      <c r="F31" s="7"/>
      <c r="G31" s="63"/>
      <c r="H31" s="63"/>
      <c r="I31" s="63"/>
      <c r="J31" s="63"/>
      <c r="K31" s="63"/>
      <c r="L31" s="63"/>
      <c r="M31" s="1"/>
      <c r="N31" s="1"/>
      <c r="O31" s="1"/>
      <c r="P31" s="8" t="e">
        <f>#N/A</f>
        <v>#N/A</v>
      </c>
      <c r="Q31" s="8" t="e">
        <f>#N/A</f>
        <v>#N/A</v>
      </c>
      <c r="R31" s="8" t="e">
        <f>#N/A</f>
        <v>#N/A</v>
      </c>
      <c r="S31" s="8" t="e">
        <f>#N/A</f>
        <v>#N/A</v>
      </c>
      <c r="T31" s="69" t="e">
        <f>#N/A</f>
        <v>#N/A</v>
      </c>
      <c r="U31" s="8" t="e">
        <f>#N/A</f>
        <v>#N/A</v>
      </c>
      <c r="V31" s="8" t="e">
        <f>#N/A</f>
        <v>#N/A</v>
      </c>
      <c r="W31" s="8" t="e">
        <f>#N/A</f>
        <v>#N/A</v>
      </c>
      <c r="X31" s="8" t="e">
        <f>#N/A</f>
        <v>#N/A</v>
      </c>
      <c r="Y31" s="8"/>
      <c r="Z31" s="8"/>
      <c r="AA31" s="8"/>
      <c r="AB31" s="8"/>
      <c r="AC31" s="8"/>
      <c r="AD31" s="8"/>
      <c r="AE31" s="8"/>
      <c r="AF31" s="8"/>
      <c r="AG31" s="8"/>
      <c r="AH31" s="8"/>
      <c r="AI31" s="8"/>
      <c r="AJ31" s="8"/>
      <c r="AK31" s="8"/>
      <c r="AL31" s="63"/>
      <c r="AM31" s="63"/>
      <c r="AN31" s="63"/>
      <c r="AO31" s="63"/>
      <c r="AP31" s="63"/>
      <c r="AQ31" s="5"/>
      <c r="AR31" s="18"/>
      <c r="AS31" s="18"/>
      <c r="AT31" s="18"/>
      <c r="AU31" s="8">
        <v>2379.4040480000003</v>
      </c>
      <c r="AV31" s="8">
        <v>61.216000000000001</v>
      </c>
      <c r="AW31" s="8">
        <v>7.9418181818181823</v>
      </c>
      <c r="AX31" s="8">
        <v>4.0650000000000004</v>
      </c>
      <c r="AY31" s="8"/>
      <c r="AZ31" s="1">
        <v>2368.23658721434</v>
      </c>
      <c r="BA31" s="4"/>
      <c r="BB31" s="4"/>
      <c r="BC31" s="4"/>
      <c r="BD31" s="4"/>
      <c r="BE31" s="4"/>
      <c r="BF31" s="4"/>
      <c r="BG31" s="4"/>
      <c r="BH31" s="4"/>
      <c r="BI31" s="4"/>
      <c r="BJ31" s="4"/>
      <c r="BK31" s="4"/>
      <c r="BL31" s="4"/>
      <c r="BM31" s="4"/>
      <c r="BN31" s="4"/>
      <c r="BO31" s="4"/>
      <c r="BP31" s="18"/>
      <c r="BQ31" s="18"/>
      <c r="BR31" s="1">
        <f>0.225*0.9*744</f>
        <v>150.66</v>
      </c>
      <c r="BS31" s="2">
        <v>7068</v>
      </c>
      <c r="BT31" s="1">
        <v>3441</v>
      </c>
      <c r="BU31" s="1">
        <v>3720</v>
      </c>
      <c r="BV31" s="1"/>
      <c r="BW31" s="1"/>
      <c r="BX31" s="1"/>
      <c r="BY31" s="1"/>
      <c r="BZ31" s="1"/>
      <c r="CA31" s="2">
        <v>0</v>
      </c>
      <c r="CB31" s="2"/>
      <c r="CC31" s="2"/>
      <c r="CD31" s="2"/>
      <c r="CE31" s="2"/>
      <c r="CF31" s="2"/>
      <c r="CG31" s="2"/>
      <c r="CH31" s="2"/>
      <c r="CI31" s="2"/>
      <c r="CJ31" s="27"/>
      <c r="CK31" s="8" t="e">
        <f>#N/A</f>
        <v>#N/A</v>
      </c>
      <c r="CL31" s="9" t="e">
        <f>#N/A</f>
        <v>#N/A</v>
      </c>
      <c r="CM31" s="9" t="e">
        <f>#N/A</f>
        <v>#N/A</v>
      </c>
      <c r="CN31" s="9" t="e">
        <f>#N/A</f>
        <v>#N/A</v>
      </c>
      <c r="CO31" s="9" t="e">
        <f>#N/A</f>
        <v>#N/A</v>
      </c>
      <c r="CP31" s="29" t="e">
        <f>#N/A</f>
        <v>#N/A</v>
      </c>
      <c r="CQ31" s="9" t="e">
        <f>#N/A</f>
        <v>#N/A</v>
      </c>
      <c r="CR31" s="9" t="e">
        <f>#N/A</f>
        <v>#N/A</v>
      </c>
      <c r="CS31" s="9" t="e">
        <f>#N/A</f>
        <v>#N/A</v>
      </c>
      <c r="CT31" s="9" t="e">
        <f>#N/A</f>
        <v>#N/A</v>
      </c>
      <c r="CU31" s="19" t="e">
        <f>#N/A</f>
        <v>#N/A</v>
      </c>
      <c r="CV31" s="19" t="e">
        <f>#N/A</f>
        <v>#N/A</v>
      </c>
      <c r="CW31" s="19" t="e">
        <f>#N/A</f>
        <v>#N/A</v>
      </c>
      <c r="CX31" s="19" t="e">
        <f>#N/A</f>
        <v>#N/A</v>
      </c>
      <c r="CY31" s="30" t="e">
        <f>#N/A</f>
        <v>#N/A</v>
      </c>
      <c r="CZ31" s="19" t="e">
        <f>#N/A</f>
        <v>#N/A</v>
      </c>
      <c r="DA31" s="19" t="e">
        <f>#N/A</f>
        <v>#N/A</v>
      </c>
      <c r="DB31" s="19" t="e">
        <f>#N/A</f>
        <v>#N/A</v>
      </c>
      <c r="DC31" s="19" t="e">
        <f>#N/A</f>
        <v>#N/A</v>
      </c>
      <c r="DD31" s="18"/>
      <c r="DE31" s="18"/>
      <c r="DF31" s="18"/>
      <c r="DG31" s="5"/>
      <c r="DH31" s="5"/>
      <c r="DI31" s="18"/>
      <c r="DJ31" s="5"/>
      <c r="DK31" s="5"/>
      <c r="DL31" s="5"/>
      <c r="DM31" s="8" t="e">
        <f>#N/A</f>
        <v>#N/A</v>
      </c>
      <c r="DN31" s="8" t="e">
        <f>#N/A</f>
        <v>#N/A</v>
      </c>
      <c r="DO31" s="202" t="e">
        <f>#N/A</f>
        <v>#N/A</v>
      </c>
      <c r="DP31" s="202" t="e">
        <f>#N/A</f>
        <v>#N/A</v>
      </c>
      <c r="DQ31" s="202" t="e">
        <f>#N/A</f>
        <v>#N/A</v>
      </c>
      <c r="DR31" s="9" t="e">
        <f>#N/A</f>
        <v>#N/A</v>
      </c>
      <c r="DS31" s="9" t="e">
        <f>#N/A</f>
        <v>#N/A</v>
      </c>
      <c r="DT31" s="9" t="e">
        <f>#N/A</f>
        <v>#N/A</v>
      </c>
      <c r="DU31" s="202" t="e">
        <f>#N/A</f>
        <v>#N/A</v>
      </c>
      <c r="DV31" s="202" t="e">
        <f>#N/A</f>
        <v>#N/A</v>
      </c>
      <c r="DW31" s="202" t="e">
        <f>#N/A</f>
        <v>#N/A</v>
      </c>
      <c r="DX31" s="203" t="e">
        <f t="shared" si="16"/>
        <v>#N/A</v>
      </c>
      <c r="DY31" s="203" t="e">
        <f t="shared" si="17"/>
        <v>#N/A</v>
      </c>
      <c r="DZ31" s="203" t="e">
        <f t="shared" si="18"/>
        <v>#N/A</v>
      </c>
      <c r="EA31" s="19" t="e">
        <f t="shared" si="19"/>
        <v>#N/A</v>
      </c>
      <c r="EB31" s="19" t="e">
        <f t="shared" si="20"/>
        <v>#N/A</v>
      </c>
      <c r="EC31" s="19" t="e">
        <f t="shared" si="21"/>
        <v>#N/A</v>
      </c>
      <c r="ED31" s="203" t="e">
        <f t="shared" si="22"/>
        <v>#N/A</v>
      </c>
      <c r="EE31" s="203" t="e">
        <f t="shared" si="23"/>
        <v>#N/A</v>
      </c>
      <c r="EF31" s="203" t="e">
        <f t="shared" si="24"/>
        <v>#N/A</v>
      </c>
      <c r="EH31" s="58">
        <f t="shared" si="25"/>
        <v>19188.516635214342</v>
      </c>
      <c r="EI31" s="68" t="e">
        <f t="shared" si="26"/>
        <v>#DIV/0!</v>
      </c>
      <c r="EJ31" s="58">
        <f t="shared" si="27"/>
        <v>19188.516635214342</v>
      </c>
      <c r="EK31" s="68" t="e">
        <f t="shared" si="26"/>
        <v>#DIV/0!</v>
      </c>
      <c r="EL31" s="58">
        <f t="shared" si="28"/>
        <v>14379.66</v>
      </c>
      <c r="EM31" s="58">
        <f t="shared" si="29"/>
        <v>14379.66</v>
      </c>
      <c r="EN31" s="68" t="e">
        <f t="shared" si="26"/>
        <v>#DIV/0!</v>
      </c>
    </row>
    <row r="32" spans="1:144" x14ac:dyDescent="0.2">
      <c r="A32" s="43">
        <v>0</v>
      </c>
      <c r="B32" s="43">
        <v>0</v>
      </c>
      <c r="C32" s="43">
        <v>0</v>
      </c>
      <c r="D32" s="70">
        <v>2010</v>
      </c>
      <c r="E32" s="70">
        <v>1</v>
      </c>
      <c r="F32" s="64"/>
      <c r="G32" s="63"/>
      <c r="H32" s="63"/>
      <c r="I32" s="63"/>
      <c r="J32" s="63"/>
      <c r="K32" s="63"/>
      <c r="L32" s="63"/>
      <c r="M32" s="64"/>
      <c r="N32" s="64"/>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5"/>
      <c r="AR32" s="18"/>
      <c r="AS32" s="18"/>
      <c r="AT32" s="18"/>
      <c r="AU32" s="63"/>
      <c r="AV32" s="63"/>
      <c r="AW32" s="63"/>
      <c r="AX32" s="63"/>
      <c r="AY32" s="63"/>
      <c r="AZ32" s="63"/>
      <c r="BA32" s="4"/>
      <c r="BB32" s="4"/>
      <c r="BC32" s="4"/>
      <c r="BD32" s="4"/>
      <c r="BE32" s="4"/>
      <c r="BF32" s="4"/>
      <c r="BG32" s="4"/>
      <c r="BH32" s="4"/>
      <c r="BI32" s="4"/>
      <c r="BJ32" s="4"/>
      <c r="BK32" s="4"/>
      <c r="BL32" s="4"/>
      <c r="BM32" s="4"/>
      <c r="BN32" s="4"/>
      <c r="BO32" s="4"/>
      <c r="BP32" s="18"/>
      <c r="BQ32" s="62"/>
      <c r="BR32" s="63"/>
      <c r="BS32" s="64"/>
      <c r="BT32" s="64"/>
      <c r="BU32" s="64"/>
      <c r="BV32" s="64"/>
      <c r="BW32" s="64"/>
      <c r="BX32" s="63"/>
      <c r="BY32" s="63"/>
      <c r="BZ32" s="63"/>
      <c r="CA32" s="64"/>
      <c r="CB32" s="63"/>
      <c r="CC32" s="64"/>
      <c r="CD32" s="64"/>
      <c r="CE32" s="64"/>
      <c r="CF32" s="64"/>
      <c r="CG32" s="70"/>
      <c r="CH32" s="70"/>
      <c r="CI32" s="70"/>
      <c r="CJ32" s="64"/>
      <c r="CK32" s="8">
        <f t="shared" ref="CK32:CK95" si="30">+SUM(AL32:CI32)</f>
        <v>0</v>
      </c>
      <c r="CL32" s="62"/>
      <c r="CM32" s="62"/>
      <c r="CN32" s="62"/>
      <c r="CO32" s="62"/>
      <c r="CP32" s="62"/>
      <c r="CQ32" s="62"/>
      <c r="CR32" s="62"/>
      <c r="CS32" s="62"/>
      <c r="CT32" s="62"/>
      <c r="CU32" s="78"/>
      <c r="CV32" s="78"/>
      <c r="CW32" s="78"/>
      <c r="CX32" s="78"/>
      <c r="CY32" s="78"/>
      <c r="CZ32" s="78"/>
      <c r="DA32" s="78"/>
      <c r="DB32" s="78"/>
      <c r="DC32" s="78"/>
      <c r="DD32" s="62"/>
      <c r="DE32" s="62"/>
      <c r="DF32" s="62"/>
      <c r="DG32" s="64"/>
      <c r="DH32" s="64"/>
      <c r="DI32" s="62"/>
      <c r="DJ32" s="64"/>
      <c r="DK32" s="64"/>
      <c r="DL32" s="64"/>
      <c r="DM32" s="8">
        <f t="shared" ref="DM32:DM95" si="31">+SUM(DD32:DL32)</f>
        <v>0</v>
      </c>
      <c r="DN32" s="8">
        <f t="shared" ref="DN32:DN95" si="32">+DM32+CK32</f>
        <v>0</v>
      </c>
      <c r="DO32" s="202" t="e">
        <f>#N/A</f>
        <v>#N/A</v>
      </c>
      <c r="DP32" s="202" t="e">
        <f>#N/A</f>
        <v>#N/A</v>
      </c>
      <c r="DQ32" s="202" t="e">
        <f>#N/A</f>
        <v>#N/A</v>
      </c>
      <c r="DR32" s="9" t="e">
        <f>#N/A</f>
        <v>#N/A</v>
      </c>
      <c r="DS32" s="9" t="e">
        <f>#N/A</f>
        <v>#N/A</v>
      </c>
      <c r="DT32" s="9" t="e">
        <f>#N/A</f>
        <v>#N/A</v>
      </c>
      <c r="DU32" s="202" t="e">
        <f>#N/A</f>
        <v>#N/A</v>
      </c>
      <c r="DV32" s="202" t="e">
        <f>#N/A</f>
        <v>#N/A</v>
      </c>
      <c r="DW32" s="202" t="e">
        <f>#N/A</f>
        <v>#N/A</v>
      </c>
      <c r="DX32" s="203" t="e">
        <f t="shared" si="16"/>
        <v>#N/A</v>
      </c>
      <c r="DY32" s="203" t="e">
        <f t="shared" si="17"/>
        <v>#N/A</v>
      </c>
      <c r="DZ32" s="203" t="e">
        <f t="shared" si="18"/>
        <v>#N/A</v>
      </c>
      <c r="EA32" s="19" t="e">
        <f t="shared" si="19"/>
        <v>#N/A</v>
      </c>
      <c r="EB32" s="19" t="e">
        <f t="shared" si="20"/>
        <v>#N/A</v>
      </c>
      <c r="EC32" s="19" t="e">
        <f t="shared" si="21"/>
        <v>#N/A</v>
      </c>
      <c r="ED32" s="203" t="e">
        <f t="shared" si="22"/>
        <v>#N/A</v>
      </c>
      <c r="EE32" s="203" t="e">
        <f t="shared" si="23"/>
        <v>#N/A</v>
      </c>
      <c r="EF32" s="203" t="e">
        <f t="shared" si="24"/>
        <v>#N/A</v>
      </c>
      <c r="EH32" s="58">
        <f t="shared" si="25"/>
        <v>0</v>
      </c>
      <c r="EI32" s="68" t="e">
        <f t="shared" si="26"/>
        <v>#DIV/0!</v>
      </c>
      <c r="EJ32" s="58">
        <f t="shared" si="27"/>
        <v>0</v>
      </c>
      <c r="EK32" s="68" t="e">
        <f t="shared" si="26"/>
        <v>#DIV/0!</v>
      </c>
      <c r="EL32" s="58">
        <f t="shared" si="28"/>
        <v>0</v>
      </c>
      <c r="EM32" s="58">
        <f t="shared" si="29"/>
        <v>0</v>
      </c>
      <c r="EN32" s="68" t="e">
        <f t="shared" si="26"/>
        <v>#DIV/0!</v>
      </c>
    </row>
    <row r="33" spans="1:144" x14ac:dyDescent="0.2">
      <c r="A33" s="43">
        <v>0</v>
      </c>
      <c r="B33" s="43">
        <v>0</v>
      </c>
      <c r="C33" s="43">
        <v>0</v>
      </c>
      <c r="D33" s="70">
        <v>2010</v>
      </c>
      <c r="E33" s="70">
        <v>2</v>
      </c>
      <c r="F33" s="64"/>
      <c r="G33" s="63"/>
      <c r="H33" s="63"/>
      <c r="I33" s="63"/>
      <c r="J33" s="63"/>
      <c r="K33" s="63"/>
      <c r="L33" s="63"/>
      <c r="M33" s="64"/>
      <c r="N33" s="64"/>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5"/>
      <c r="AR33" s="18"/>
      <c r="AS33" s="18"/>
      <c r="AT33" s="18"/>
      <c r="AU33" s="63"/>
      <c r="AV33" s="63"/>
      <c r="AW33" s="63"/>
      <c r="AX33" s="63"/>
      <c r="AY33" s="63"/>
      <c r="AZ33" s="63"/>
      <c r="BA33" s="4"/>
      <c r="BB33" s="4"/>
      <c r="BC33" s="4"/>
      <c r="BD33" s="4"/>
      <c r="BE33" s="4"/>
      <c r="BF33" s="4"/>
      <c r="BG33" s="4"/>
      <c r="BH33" s="4"/>
      <c r="BI33" s="4"/>
      <c r="BJ33" s="4"/>
      <c r="BK33" s="4"/>
      <c r="BL33" s="4"/>
      <c r="BM33" s="4"/>
      <c r="BN33" s="4"/>
      <c r="BO33" s="4"/>
      <c r="BP33" s="18"/>
      <c r="BQ33" s="62"/>
      <c r="BR33" s="63"/>
      <c r="BS33" s="64"/>
      <c r="BT33" s="64"/>
      <c r="BU33" s="64"/>
      <c r="BV33" s="64"/>
      <c r="BW33" s="64"/>
      <c r="BX33" s="63"/>
      <c r="BY33" s="63"/>
      <c r="BZ33" s="63"/>
      <c r="CA33" s="64"/>
      <c r="CB33" s="63"/>
      <c r="CC33" s="64"/>
      <c r="CD33" s="64"/>
      <c r="CE33" s="64"/>
      <c r="CF33" s="64"/>
      <c r="CG33" s="70"/>
      <c r="CH33" s="70"/>
      <c r="CI33" s="70"/>
      <c r="CJ33" s="64"/>
      <c r="CK33" s="8">
        <f t="shared" si="30"/>
        <v>0</v>
      </c>
      <c r="CL33" s="62"/>
      <c r="CM33" s="62"/>
      <c r="CN33" s="62"/>
      <c r="CO33" s="62"/>
      <c r="CP33" s="62"/>
      <c r="CQ33" s="62"/>
      <c r="CR33" s="62"/>
      <c r="CS33" s="62"/>
      <c r="CT33" s="62"/>
      <c r="CU33" s="78"/>
      <c r="CV33" s="78"/>
      <c r="CW33" s="78"/>
      <c r="CX33" s="78"/>
      <c r="CY33" s="78"/>
      <c r="CZ33" s="78"/>
      <c r="DA33" s="78"/>
      <c r="DB33" s="78"/>
      <c r="DC33" s="78"/>
      <c r="DD33" s="62"/>
      <c r="DE33" s="62"/>
      <c r="DF33" s="62"/>
      <c r="DG33" s="64"/>
      <c r="DH33" s="64"/>
      <c r="DI33" s="62"/>
      <c r="DJ33" s="64"/>
      <c r="DK33" s="64"/>
      <c r="DL33" s="64"/>
      <c r="DM33" s="8">
        <f t="shared" si="31"/>
        <v>0</v>
      </c>
      <c r="DN33" s="8">
        <f t="shared" si="32"/>
        <v>0</v>
      </c>
      <c r="DO33" s="202" t="e">
        <f>#N/A</f>
        <v>#N/A</v>
      </c>
      <c r="DP33" s="202" t="e">
        <f>#N/A</f>
        <v>#N/A</v>
      </c>
      <c r="DQ33" s="202" t="e">
        <f>#N/A</f>
        <v>#N/A</v>
      </c>
      <c r="DR33" s="9" t="e">
        <f>#N/A</f>
        <v>#N/A</v>
      </c>
      <c r="DS33" s="9" t="e">
        <f>#N/A</f>
        <v>#N/A</v>
      </c>
      <c r="DT33" s="9" t="e">
        <f>#N/A</f>
        <v>#N/A</v>
      </c>
      <c r="DU33" s="202" t="e">
        <f>#N/A</f>
        <v>#N/A</v>
      </c>
      <c r="DV33" s="202" t="e">
        <f>#N/A</f>
        <v>#N/A</v>
      </c>
      <c r="DW33" s="202" t="e">
        <f>#N/A</f>
        <v>#N/A</v>
      </c>
      <c r="DX33" s="203" t="e">
        <f t="shared" si="16"/>
        <v>#N/A</v>
      </c>
      <c r="DY33" s="203" t="e">
        <f t="shared" si="17"/>
        <v>#N/A</v>
      </c>
      <c r="DZ33" s="203" t="e">
        <f t="shared" si="18"/>
        <v>#N/A</v>
      </c>
      <c r="EA33" s="19" t="e">
        <f t="shared" si="19"/>
        <v>#N/A</v>
      </c>
      <c r="EB33" s="19" t="e">
        <f t="shared" si="20"/>
        <v>#N/A</v>
      </c>
      <c r="EC33" s="19" t="e">
        <f t="shared" si="21"/>
        <v>#N/A</v>
      </c>
      <c r="ED33" s="203" t="e">
        <f t="shared" si="22"/>
        <v>#N/A</v>
      </c>
      <c r="EE33" s="203" t="e">
        <f t="shared" si="23"/>
        <v>#N/A</v>
      </c>
      <c r="EF33" s="203" t="e">
        <f t="shared" si="24"/>
        <v>#N/A</v>
      </c>
      <c r="EH33" s="58">
        <f t="shared" si="25"/>
        <v>0</v>
      </c>
      <c r="EI33" s="68" t="e">
        <f t="shared" si="26"/>
        <v>#DIV/0!</v>
      </c>
      <c r="EJ33" s="58">
        <f t="shared" si="27"/>
        <v>0</v>
      </c>
      <c r="EK33" s="68" t="e">
        <f t="shared" si="26"/>
        <v>#DIV/0!</v>
      </c>
      <c r="EL33" s="58">
        <f t="shared" si="28"/>
        <v>0</v>
      </c>
      <c r="EM33" s="58">
        <f t="shared" si="29"/>
        <v>0</v>
      </c>
      <c r="EN33" s="68" t="e">
        <f t="shared" si="26"/>
        <v>#DIV/0!</v>
      </c>
    </row>
    <row r="34" spans="1:144" x14ac:dyDescent="0.2">
      <c r="A34" s="43">
        <v>0</v>
      </c>
      <c r="B34" s="43">
        <v>0</v>
      </c>
      <c r="C34" s="43">
        <v>0</v>
      </c>
      <c r="D34" s="70">
        <v>2010</v>
      </c>
      <c r="E34" s="70">
        <v>3</v>
      </c>
      <c r="F34" s="64"/>
      <c r="G34" s="63"/>
      <c r="H34" s="63"/>
      <c r="I34" s="63"/>
      <c r="J34" s="63"/>
      <c r="K34" s="63"/>
      <c r="L34" s="63"/>
      <c r="M34" s="64"/>
      <c r="N34" s="64"/>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5"/>
      <c r="AR34" s="18"/>
      <c r="AS34" s="18"/>
      <c r="AT34" s="18"/>
      <c r="AU34" s="63"/>
      <c r="AV34" s="63"/>
      <c r="AW34" s="63"/>
      <c r="AX34" s="63"/>
      <c r="AY34" s="63"/>
      <c r="AZ34" s="63"/>
      <c r="BA34" s="4"/>
      <c r="BB34" s="4"/>
      <c r="BC34" s="4"/>
      <c r="BD34" s="4"/>
      <c r="BE34" s="4"/>
      <c r="BF34" s="4"/>
      <c r="BG34" s="4"/>
      <c r="BH34" s="4"/>
      <c r="BI34" s="4"/>
      <c r="BJ34" s="4"/>
      <c r="BK34" s="4"/>
      <c r="BL34" s="4"/>
      <c r="BM34" s="4"/>
      <c r="BN34" s="4"/>
      <c r="BO34" s="4"/>
      <c r="BP34" s="18"/>
      <c r="BQ34" s="62"/>
      <c r="BR34" s="63"/>
      <c r="BS34" s="64"/>
      <c r="BT34" s="64"/>
      <c r="BU34" s="64"/>
      <c r="BV34" s="64"/>
      <c r="BW34" s="64"/>
      <c r="BX34" s="63"/>
      <c r="BY34" s="63"/>
      <c r="BZ34" s="63"/>
      <c r="CA34" s="64"/>
      <c r="CB34" s="63"/>
      <c r="CC34" s="64"/>
      <c r="CD34" s="64"/>
      <c r="CE34" s="64"/>
      <c r="CF34" s="64"/>
      <c r="CG34" s="70"/>
      <c r="CH34" s="70"/>
      <c r="CI34" s="70"/>
      <c r="CJ34" s="63"/>
      <c r="CK34" s="8">
        <f t="shared" si="30"/>
        <v>0</v>
      </c>
      <c r="CL34" s="62"/>
      <c r="CM34" s="62"/>
      <c r="CN34" s="62"/>
      <c r="CO34" s="62"/>
      <c r="CP34" s="62"/>
      <c r="CQ34" s="62"/>
      <c r="CR34" s="62"/>
      <c r="CS34" s="62"/>
      <c r="CT34" s="62"/>
      <c r="CU34" s="78"/>
      <c r="CV34" s="78"/>
      <c r="CW34" s="78"/>
      <c r="CX34" s="78"/>
      <c r="CY34" s="78"/>
      <c r="CZ34" s="78"/>
      <c r="DA34" s="78"/>
      <c r="DB34" s="78"/>
      <c r="DC34" s="78"/>
      <c r="DD34" s="62"/>
      <c r="DE34" s="62"/>
      <c r="DF34" s="62"/>
      <c r="DG34" s="64"/>
      <c r="DH34" s="64"/>
      <c r="DI34" s="62"/>
      <c r="DJ34" s="64"/>
      <c r="DK34" s="64"/>
      <c r="DL34" s="64"/>
      <c r="DM34" s="8">
        <f t="shared" si="31"/>
        <v>0</v>
      </c>
      <c r="DN34" s="8">
        <f t="shared" si="32"/>
        <v>0</v>
      </c>
      <c r="DO34" s="202" t="e">
        <f>#N/A</f>
        <v>#N/A</v>
      </c>
      <c r="DP34" s="202" t="e">
        <f>#N/A</f>
        <v>#N/A</v>
      </c>
      <c r="DQ34" s="202" t="e">
        <f>#N/A</f>
        <v>#N/A</v>
      </c>
      <c r="DR34" s="9" t="e">
        <f>#N/A</f>
        <v>#N/A</v>
      </c>
      <c r="DS34" s="9" t="e">
        <f>#N/A</f>
        <v>#N/A</v>
      </c>
      <c r="DT34" s="9" t="e">
        <f>#N/A</f>
        <v>#N/A</v>
      </c>
      <c r="DU34" s="202" t="e">
        <f>#N/A</f>
        <v>#N/A</v>
      </c>
      <c r="DV34" s="202" t="e">
        <f>#N/A</f>
        <v>#N/A</v>
      </c>
      <c r="DW34" s="202" t="e">
        <f>#N/A</f>
        <v>#N/A</v>
      </c>
      <c r="DX34" s="203" t="e">
        <f t="shared" si="16"/>
        <v>#N/A</v>
      </c>
      <c r="DY34" s="203" t="e">
        <f t="shared" si="17"/>
        <v>#N/A</v>
      </c>
      <c r="DZ34" s="203" t="e">
        <f t="shared" si="18"/>
        <v>#N/A</v>
      </c>
      <c r="EA34" s="19" t="e">
        <f t="shared" si="19"/>
        <v>#N/A</v>
      </c>
      <c r="EB34" s="19" t="e">
        <f t="shared" si="20"/>
        <v>#N/A</v>
      </c>
      <c r="EC34" s="19" t="e">
        <f t="shared" si="21"/>
        <v>#N/A</v>
      </c>
      <c r="ED34" s="203" t="e">
        <f t="shared" si="22"/>
        <v>#N/A</v>
      </c>
      <c r="EE34" s="203" t="e">
        <f t="shared" si="23"/>
        <v>#N/A</v>
      </c>
      <c r="EF34" s="203" t="e">
        <f t="shared" si="24"/>
        <v>#N/A</v>
      </c>
      <c r="EH34" s="58">
        <f t="shared" si="25"/>
        <v>0</v>
      </c>
      <c r="EI34" s="68" t="e">
        <f t="shared" si="26"/>
        <v>#DIV/0!</v>
      </c>
      <c r="EJ34" s="58">
        <f t="shared" si="27"/>
        <v>0</v>
      </c>
      <c r="EK34" s="68" t="e">
        <f t="shared" si="26"/>
        <v>#DIV/0!</v>
      </c>
      <c r="EL34" s="58">
        <f t="shared" si="28"/>
        <v>0</v>
      </c>
      <c r="EM34" s="58">
        <f t="shared" si="29"/>
        <v>0</v>
      </c>
      <c r="EN34" s="68" t="e">
        <f t="shared" si="26"/>
        <v>#DIV/0!</v>
      </c>
    </row>
    <row r="35" spans="1:144" x14ac:dyDescent="0.2">
      <c r="A35" s="43">
        <v>0</v>
      </c>
      <c r="B35" s="43">
        <v>0</v>
      </c>
      <c r="C35" s="43">
        <v>0</v>
      </c>
      <c r="D35" s="70">
        <v>2010</v>
      </c>
      <c r="E35" s="70">
        <v>4</v>
      </c>
      <c r="F35" s="64"/>
      <c r="G35" s="63"/>
      <c r="H35" s="63"/>
      <c r="I35" s="63"/>
      <c r="J35" s="63"/>
      <c r="K35" s="63"/>
      <c r="L35" s="63"/>
      <c r="M35" s="64"/>
      <c r="N35" s="64"/>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5"/>
      <c r="AR35" s="18"/>
      <c r="AS35" s="18"/>
      <c r="AT35" s="18"/>
      <c r="AU35" s="63"/>
      <c r="AV35" s="63"/>
      <c r="AW35" s="63"/>
      <c r="AX35" s="63"/>
      <c r="AY35" s="63"/>
      <c r="AZ35" s="63"/>
      <c r="BA35" s="4"/>
      <c r="BB35" s="4"/>
      <c r="BC35" s="4"/>
      <c r="BD35" s="4"/>
      <c r="BE35" s="4"/>
      <c r="BF35" s="4"/>
      <c r="BG35" s="4"/>
      <c r="BH35" s="4"/>
      <c r="BI35" s="4"/>
      <c r="BJ35" s="4"/>
      <c r="BK35" s="4"/>
      <c r="BL35" s="4"/>
      <c r="BM35" s="4"/>
      <c r="BN35" s="4"/>
      <c r="BO35" s="4"/>
      <c r="BP35" s="18"/>
      <c r="BQ35" s="62"/>
      <c r="BR35" s="63"/>
      <c r="BS35" s="64"/>
      <c r="BT35" s="64"/>
      <c r="BU35" s="64"/>
      <c r="BV35" s="64"/>
      <c r="BW35" s="64"/>
      <c r="BX35" s="63"/>
      <c r="BY35" s="63"/>
      <c r="BZ35" s="63"/>
      <c r="CA35" s="64"/>
      <c r="CB35" s="63"/>
      <c r="CC35" s="64"/>
      <c r="CD35" s="64"/>
      <c r="CE35" s="64"/>
      <c r="CF35" s="64"/>
      <c r="CG35" s="70"/>
      <c r="CH35" s="70"/>
      <c r="CI35" s="70"/>
      <c r="CJ35" s="63"/>
      <c r="CK35" s="8">
        <f t="shared" si="30"/>
        <v>0</v>
      </c>
      <c r="CL35" s="62"/>
      <c r="CM35" s="62"/>
      <c r="CN35" s="62"/>
      <c r="CO35" s="62"/>
      <c r="CP35" s="62"/>
      <c r="CQ35" s="62"/>
      <c r="CR35" s="62"/>
      <c r="CS35" s="62"/>
      <c r="CT35" s="62"/>
      <c r="CU35" s="78"/>
      <c r="CV35" s="78"/>
      <c r="CW35" s="78"/>
      <c r="CX35" s="78"/>
      <c r="CY35" s="78"/>
      <c r="CZ35" s="78"/>
      <c r="DA35" s="78"/>
      <c r="DB35" s="78"/>
      <c r="DC35" s="78"/>
      <c r="DD35" s="62"/>
      <c r="DE35" s="62"/>
      <c r="DF35" s="62"/>
      <c r="DG35" s="64"/>
      <c r="DH35" s="64"/>
      <c r="DI35" s="62"/>
      <c r="DJ35" s="64"/>
      <c r="DK35" s="64"/>
      <c r="DL35" s="64"/>
      <c r="DM35" s="8">
        <f t="shared" si="31"/>
        <v>0</v>
      </c>
      <c r="DN35" s="8">
        <f t="shared" si="32"/>
        <v>0</v>
      </c>
      <c r="DO35" s="202" t="e">
        <f>#N/A</f>
        <v>#N/A</v>
      </c>
      <c r="DP35" s="202" t="e">
        <f>#N/A</f>
        <v>#N/A</v>
      </c>
      <c r="DQ35" s="202" t="e">
        <f>#N/A</f>
        <v>#N/A</v>
      </c>
      <c r="DR35" s="9" t="e">
        <f>#N/A</f>
        <v>#N/A</v>
      </c>
      <c r="DS35" s="9" t="e">
        <f>#N/A</f>
        <v>#N/A</v>
      </c>
      <c r="DT35" s="9" t="e">
        <f>#N/A</f>
        <v>#N/A</v>
      </c>
      <c r="DU35" s="202" t="e">
        <f>#N/A</f>
        <v>#N/A</v>
      </c>
      <c r="DV35" s="202" t="e">
        <f>#N/A</f>
        <v>#N/A</v>
      </c>
      <c r="DW35" s="202" t="e">
        <f>#N/A</f>
        <v>#N/A</v>
      </c>
      <c r="DX35" s="203" t="e">
        <f t="shared" si="16"/>
        <v>#N/A</v>
      </c>
      <c r="DY35" s="203" t="e">
        <f t="shared" si="17"/>
        <v>#N/A</v>
      </c>
      <c r="DZ35" s="203" t="e">
        <f t="shared" si="18"/>
        <v>#N/A</v>
      </c>
      <c r="EA35" s="19" t="e">
        <f t="shared" si="19"/>
        <v>#N/A</v>
      </c>
      <c r="EB35" s="19" t="e">
        <f t="shared" si="20"/>
        <v>#N/A</v>
      </c>
      <c r="EC35" s="19" t="e">
        <f t="shared" si="21"/>
        <v>#N/A</v>
      </c>
      <c r="ED35" s="203" t="e">
        <f t="shared" si="22"/>
        <v>#N/A</v>
      </c>
      <c r="EE35" s="203" t="e">
        <f t="shared" si="23"/>
        <v>#N/A</v>
      </c>
      <c r="EF35" s="203" t="e">
        <f t="shared" si="24"/>
        <v>#N/A</v>
      </c>
      <c r="EH35" s="58">
        <f t="shared" si="25"/>
        <v>0</v>
      </c>
      <c r="EI35" s="68" t="e">
        <f t="shared" si="26"/>
        <v>#DIV/0!</v>
      </c>
      <c r="EJ35" s="58">
        <f t="shared" si="27"/>
        <v>0</v>
      </c>
      <c r="EK35" s="68" t="e">
        <f t="shared" si="26"/>
        <v>#DIV/0!</v>
      </c>
      <c r="EL35" s="58">
        <f t="shared" si="28"/>
        <v>0</v>
      </c>
      <c r="EM35" s="58">
        <f t="shared" si="29"/>
        <v>0</v>
      </c>
      <c r="EN35" s="68" t="e">
        <f t="shared" si="26"/>
        <v>#DIV/0!</v>
      </c>
    </row>
    <row r="36" spans="1:144" x14ac:dyDescent="0.2">
      <c r="A36" s="43">
        <v>0</v>
      </c>
      <c r="B36" s="43">
        <v>0</v>
      </c>
      <c r="C36" s="43">
        <v>0</v>
      </c>
      <c r="D36" s="70">
        <v>2010</v>
      </c>
      <c r="E36" s="70">
        <v>5</v>
      </c>
      <c r="F36" s="64"/>
      <c r="G36" s="63"/>
      <c r="H36" s="63"/>
      <c r="I36" s="63"/>
      <c r="J36" s="63"/>
      <c r="K36" s="63"/>
      <c r="L36" s="63"/>
      <c r="M36" s="64"/>
      <c r="N36" s="64"/>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5"/>
      <c r="AR36" s="18"/>
      <c r="AS36" s="18"/>
      <c r="AT36" s="18"/>
      <c r="AU36" s="63"/>
      <c r="AV36" s="63"/>
      <c r="AW36" s="63"/>
      <c r="AX36" s="63"/>
      <c r="AY36" s="63"/>
      <c r="AZ36" s="63"/>
      <c r="BA36" s="4"/>
      <c r="BB36" s="4"/>
      <c r="BC36" s="4"/>
      <c r="BD36" s="4"/>
      <c r="BE36" s="4"/>
      <c r="BF36" s="4"/>
      <c r="BG36" s="4"/>
      <c r="BH36" s="4"/>
      <c r="BI36" s="4"/>
      <c r="BJ36" s="4"/>
      <c r="BK36" s="4"/>
      <c r="BL36" s="4"/>
      <c r="BM36" s="4"/>
      <c r="BN36" s="4"/>
      <c r="BO36" s="4"/>
      <c r="BP36" s="18"/>
      <c r="BQ36" s="62"/>
      <c r="BR36" s="63"/>
      <c r="BS36" s="64"/>
      <c r="BT36" s="64"/>
      <c r="BU36" s="64"/>
      <c r="BV36" s="64"/>
      <c r="BW36" s="64"/>
      <c r="BX36" s="63"/>
      <c r="BY36" s="63"/>
      <c r="BZ36" s="63"/>
      <c r="CA36" s="64"/>
      <c r="CB36" s="63"/>
      <c r="CC36" s="64"/>
      <c r="CD36" s="64"/>
      <c r="CE36" s="64"/>
      <c r="CF36" s="64"/>
      <c r="CG36" s="70"/>
      <c r="CH36" s="70"/>
      <c r="CI36" s="70"/>
      <c r="CJ36" s="63"/>
      <c r="CK36" s="8">
        <f t="shared" si="30"/>
        <v>0</v>
      </c>
      <c r="CL36" s="62"/>
      <c r="CM36" s="62"/>
      <c r="CN36" s="62"/>
      <c r="CO36" s="62"/>
      <c r="CP36" s="62"/>
      <c r="CQ36" s="62"/>
      <c r="CR36" s="62"/>
      <c r="CS36" s="62"/>
      <c r="CT36" s="62"/>
      <c r="CU36" s="78"/>
      <c r="CV36" s="78"/>
      <c r="CW36" s="78"/>
      <c r="CX36" s="78"/>
      <c r="CY36" s="78"/>
      <c r="CZ36" s="78"/>
      <c r="DA36" s="78"/>
      <c r="DB36" s="78"/>
      <c r="DC36" s="78"/>
      <c r="DD36" s="62"/>
      <c r="DE36" s="62"/>
      <c r="DF36" s="62"/>
      <c r="DG36" s="64"/>
      <c r="DH36" s="64"/>
      <c r="DI36" s="62"/>
      <c r="DJ36" s="64"/>
      <c r="DK36" s="64"/>
      <c r="DL36" s="64"/>
      <c r="DM36" s="8">
        <f t="shared" si="31"/>
        <v>0</v>
      </c>
      <c r="DN36" s="8">
        <f t="shared" si="32"/>
        <v>0</v>
      </c>
      <c r="DO36" s="202" t="e">
        <f>#N/A</f>
        <v>#N/A</v>
      </c>
      <c r="DP36" s="202" t="e">
        <f>#N/A</f>
        <v>#N/A</v>
      </c>
      <c r="DQ36" s="202" t="e">
        <f>#N/A</f>
        <v>#N/A</v>
      </c>
      <c r="DR36" s="9" t="e">
        <f>#N/A</f>
        <v>#N/A</v>
      </c>
      <c r="DS36" s="9" t="e">
        <f>#N/A</f>
        <v>#N/A</v>
      </c>
      <c r="DT36" s="9" t="e">
        <f>#N/A</f>
        <v>#N/A</v>
      </c>
      <c r="DU36" s="202" t="e">
        <f>#N/A</f>
        <v>#N/A</v>
      </c>
      <c r="DV36" s="202" t="e">
        <f>#N/A</f>
        <v>#N/A</v>
      </c>
      <c r="DW36" s="202" t="e">
        <f>#N/A</f>
        <v>#N/A</v>
      </c>
      <c r="DX36" s="203" t="e">
        <f t="shared" si="16"/>
        <v>#N/A</v>
      </c>
      <c r="DY36" s="203" t="e">
        <f t="shared" si="17"/>
        <v>#N/A</v>
      </c>
      <c r="DZ36" s="203" t="e">
        <f t="shared" si="18"/>
        <v>#N/A</v>
      </c>
      <c r="EA36" s="19" t="e">
        <f t="shared" si="19"/>
        <v>#N/A</v>
      </c>
      <c r="EB36" s="19" t="e">
        <f t="shared" si="20"/>
        <v>#N/A</v>
      </c>
      <c r="EC36" s="19" t="e">
        <f t="shared" si="21"/>
        <v>#N/A</v>
      </c>
      <c r="ED36" s="203" t="e">
        <f t="shared" si="22"/>
        <v>#N/A</v>
      </c>
      <c r="EE36" s="203" t="e">
        <f t="shared" si="23"/>
        <v>#N/A</v>
      </c>
      <c r="EF36" s="203" t="e">
        <f t="shared" si="24"/>
        <v>#N/A</v>
      </c>
      <c r="EH36" s="58">
        <f t="shared" si="25"/>
        <v>0</v>
      </c>
      <c r="EI36" s="68" t="e">
        <f t="shared" si="26"/>
        <v>#DIV/0!</v>
      </c>
      <c r="EJ36" s="58">
        <f t="shared" si="27"/>
        <v>0</v>
      </c>
      <c r="EK36" s="68" t="e">
        <f t="shared" si="26"/>
        <v>#DIV/0!</v>
      </c>
      <c r="EL36" s="58">
        <f t="shared" si="28"/>
        <v>0</v>
      </c>
      <c r="EM36" s="58">
        <f t="shared" si="29"/>
        <v>0</v>
      </c>
      <c r="EN36" s="68" t="e">
        <f t="shared" si="26"/>
        <v>#DIV/0!</v>
      </c>
    </row>
    <row r="37" spans="1:144" x14ac:dyDescent="0.2">
      <c r="A37" s="43">
        <v>0</v>
      </c>
      <c r="B37" s="43">
        <v>0</v>
      </c>
      <c r="C37" s="43">
        <v>0</v>
      </c>
      <c r="D37" s="70">
        <v>2010</v>
      </c>
      <c r="E37" s="70">
        <v>6</v>
      </c>
      <c r="F37" s="64"/>
      <c r="G37" s="63"/>
      <c r="H37" s="63"/>
      <c r="I37" s="63"/>
      <c r="J37" s="63"/>
      <c r="K37" s="63"/>
      <c r="L37" s="63"/>
      <c r="M37" s="64"/>
      <c r="N37" s="64"/>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5"/>
      <c r="AR37" s="18"/>
      <c r="AS37" s="18"/>
      <c r="AT37" s="18"/>
      <c r="AU37" s="63"/>
      <c r="AV37" s="63"/>
      <c r="AW37" s="63"/>
      <c r="AX37" s="63"/>
      <c r="AY37" s="63"/>
      <c r="AZ37" s="63"/>
      <c r="BA37" s="4"/>
      <c r="BB37" s="4"/>
      <c r="BC37" s="4"/>
      <c r="BD37" s="4"/>
      <c r="BE37" s="4"/>
      <c r="BF37" s="4"/>
      <c r="BG37" s="4"/>
      <c r="BH37" s="4"/>
      <c r="BI37" s="4"/>
      <c r="BJ37" s="4"/>
      <c r="BK37" s="4"/>
      <c r="BL37" s="4"/>
      <c r="BM37" s="4"/>
      <c r="BN37" s="4"/>
      <c r="BO37" s="4"/>
      <c r="BP37" s="18"/>
      <c r="BQ37" s="62"/>
      <c r="BR37" s="63"/>
      <c r="BS37" s="64"/>
      <c r="BT37" s="64"/>
      <c r="BU37" s="64"/>
      <c r="BV37" s="64"/>
      <c r="BW37" s="64"/>
      <c r="BX37" s="63"/>
      <c r="BY37" s="63"/>
      <c r="BZ37" s="63"/>
      <c r="CA37" s="64"/>
      <c r="CB37" s="63"/>
      <c r="CC37" s="64"/>
      <c r="CD37" s="64"/>
      <c r="CE37" s="64"/>
      <c r="CF37" s="64"/>
      <c r="CG37" s="70"/>
      <c r="CH37" s="70"/>
      <c r="CI37" s="70"/>
      <c r="CJ37" s="63"/>
      <c r="CK37" s="8">
        <f t="shared" si="30"/>
        <v>0</v>
      </c>
      <c r="CL37" s="62"/>
      <c r="CM37" s="62"/>
      <c r="CN37" s="62"/>
      <c r="CO37" s="62"/>
      <c r="CP37" s="62"/>
      <c r="CQ37" s="62"/>
      <c r="CR37" s="62"/>
      <c r="CS37" s="62"/>
      <c r="CT37" s="62"/>
      <c r="CU37" s="78"/>
      <c r="CV37" s="78"/>
      <c r="CW37" s="78"/>
      <c r="CX37" s="78"/>
      <c r="CY37" s="78"/>
      <c r="CZ37" s="78"/>
      <c r="DA37" s="78"/>
      <c r="DB37" s="78"/>
      <c r="DC37" s="78"/>
      <c r="DD37" s="62"/>
      <c r="DE37" s="62"/>
      <c r="DF37" s="62"/>
      <c r="DG37" s="64"/>
      <c r="DH37" s="64"/>
      <c r="DI37" s="62"/>
      <c r="DJ37" s="64"/>
      <c r="DK37" s="64"/>
      <c r="DL37" s="64"/>
      <c r="DM37" s="8">
        <f t="shared" si="31"/>
        <v>0</v>
      </c>
      <c r="DN37" s="8">
        <f t="shared" si="32"/>
        <v>0</v>
      </c>
      <c r="DO37" s="202" t="e">
        <f>#N/A</f>
        <v>#N/A</v>
      </c>
      <c r="DP37" s="202" t="e">
        <f>#N/A</f>
        <v>#N/A</v>
      </c>
      <c r="DQ37" s="202" t="e">
        <f>#N/A</f>
        <v>#N/A</v>
      </c>
      <c r="DR37" s="9" t="e">
        <f>#N/A</f>
        <v>#N/A</v>
      </c>
      <c r="DS37" s="9" t="e">
        <f>#N/A</f>
        <v>#N/A</v>
      </c>
      <c r="DT37" s="9" t="e">
        <f>#N/A</f>
        <v>#N/A</v>
      </c>
      <c r="DU37" s="202" t="e">
        <f>#N/A</f>
        <v>#N/A</v>
      </c>
      <c r="DV37" s="202" t="e">
        <f>#N/A</f>
        <v>#N/A</v>
      </c>
      <c r="DW37" s="202" t="e">
        <f>#N/A</f>
        <v>#N/A</v>
      </c>
      <c r="DX37" s="203" t="e">
        <f t="shared" si="16"/>
        <v>#N/A</v>
      </c>
      <c r="DY37" s="203" t="e">
        <f t="shared" si="17"/>
        <v>#N/A</v>
      </c>
      <c r="DZ37" s="203" t="e">
        <f t="shared" si="18"/>
        <v>#N/A</v>
      </c>
      <c r="EA37" s="19" t="e">
        <f t="shared" si="19"/>
        <v>#N/A</v>
      </c>
      <c r="EB37" s="19" t="e">
        <f t="shared" si="20"/>
        <v>#N/A</v>
      </c>
      <c r="EC37" s="19" t="e">
        <f t="shared" si="21"/>
        <v>#N/A</v>
      </c>
      <c r="ED37" s="203" t="e">
        <f t="shared" si="22"/>
        <v>#N/A</v>
      </c>
      <c r="EE37" s="203" t="e">
        <f t="shared" si="23"/>
        <v>#N/A</v>
      </c>
      <c r="EF37" s="203" t="e">
        <f t="shared" si="24"/>
        <v>#N/A</v>
      </c>
      <c r="EH37" s="58">
        <f t="shared" si="25"/>
        <v>0</v>
      </c>
      <c r="EI37" s="68" t="e">
        <f t="shared" si="26"/>
        <v>#DIV/0!</v>
      </c>
      <c r="EJ37" s="58">
        <f t="shared" si="27"/>
        <v>0</v>
      </c>
      <c r="EK37" s="68" t="e">
        <f t="shared" si="26"/>
        <v>#DIV/0!</v>
      </c>
      <c r="EL37" s="58">
        <f t="shared" si="28"/>
        <v>0</v>
      </c>
      <c r="EM37" s="58">
        <f t="shared" si="29"/>
        <v>0</v>
      </c>
      <c r="EN37" s="68" t="e">
        <f t="shared" si="26"/>
        <v>#DIV/0!</v>
      </c>
    </row>
    <row r="38" spans="1:144" x14ac:dyDescent="0.2">
      <c r="A38" s="43">
        <v>0</v>
      </c>
      <c r="B38" s="43">
        <v>0</v>
      </c>
      <c r="C38" s="43">
        <v>0</v>
      </c>
      <c r="D38" s="70">
        <v>2010</v>
      </c>
      <c r="E38" s="70">
        <v>7</v>
      </c>
      <c r="F38" s="64"/>
      <c r="G38" s="63"/>
      <c r="H38" s="63"/>
      <c r="I38" s="63"/>
      <c r="J38" s="63"/>
      <c r="K38" s="63"/>
      <c r="L38" s="63"/>
      <c r="M38" s="64"/>
      <c r="N38" s="64"/>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5"/>
      <c r="AR38" s="18"/>
      <c r="AS38" s="18"/>
      <c r="AT38" s="18"/>
      <c r="AU38" s="63"/>
      <c r="AV38" s="63"/>
      <c r="AW38" s="63"/>
      <c r="AX38" s="63"/>
      <c r="AY38" s="63"/>
      <c r="AZ38" s="63"/>
      <c r="BA38" s="4"/>
      <c r="BB38" s="4"/>
      <c r="BC38" s="4"/>
      <c r="BD38" s="4"/>
      <c r="BE38" s="4"/>
      <c r="BF38" s="4"/>
      <c r="BG38" s="4"/>
      <c r="BH38" s="4"/>
      <c r="BI38" s="4"/>
      <c r="BJ38" s="4"/>
      <c r="BK38" s="4"/>
      <c r="BL38" s="4"/>
      <c r="BM38" s="4"/>
      <c r="BN38" s="4"/>
      <c r="BO38" s="4"/>
      <c r="BP38" s="18"/>
      <c r="BQ38" s="62"/>
      <c r="BR38" s="63"/>
      <c r="BS38" s="64"/>
      <c r="BT38" s="64"/>
      <c r="BU38" s="64"/>
      <c r="BV38" s="64"/>
      <c r="BW38" s="64"/>
      <c r="BX38" s="63"/>
      <c r="BY38" s="63"/>
      <c r="BZ38" s="63"/>
      <c r="CA38" s="64"/>
      <c r="CB38" s="63"/>
      <c r="CC38" s="64"/>
      <c r="CD38" s="64"/>
      <c r="CE38" s="64"/>
      <c r="CF38" s="64"/>
      <c r="CG38" s="70"/>
      <c r="CH38" s="70"/>
      <c r="CI38" s="70"/>
      <c r="CJ38" s="63"/>
      <c r="CK38" s="8">
        <f t="shared" si="30"/>
        <v>0</v>
      </c>
      <c r="CL38" s="62"/>
      <c r="CM38" s="62"/>
      <c r="CN38" s="62"/>
      <c r="CO38" s="62"/>
      <c r="CP38" s="62"/>
      <c r="CQ38" s="62"/>
      <c r="CR38" s="62"/>
      <c r="CS38" s="62"/>
      <c r="CT38" s="62"/>
      <c r="CU38" s="78"/>
      <c r="CV38" s="78"/>
      <c r="CW38" s="78"/>
      <c r="CX38" s="78"/>
      <c r="CY38" s="78"/>
      <c r="CZ38" s="78"/>
      <c r="DA38" s="78"/>
      <c r="DB38" s="78"/>
      <c r="DC38" s="78"/>
      <c r="DD38" s="62"/>
      <c r="DE38" s="62"/>
      <c r="DF38" s="62"/>
      <c r="DG38" s="64"/>
      <c r="DH38" s="64"/>
      <c r="DI38" s="62"/>
      <c r="DJ38" s="64"/>
      <c r="DK38" s="64"/>
      <c r="DL38" s="64"/>
      <c r="DM38" s="8">
        <f t="shared" si="31"/>
        <v>0</v>
      </c>
      <c r="DN38" s="8">
        <f t="shared" si="32"/>
        <v>0</v>
      </c>
      <c r="DO38" s="202" t="e">
        <f>#N/A</f>
        <v>#N/A</v>
      </c>
      <c r="DP38" s="202" t="e">
        <f>#N/A</f>
        <v>#N/A</v>
      </c>
      <c r="DQ38" s="202" t="e">
        <f>#N/A</f>
        <v>#N/A</v>
      </c>
      <c r="DR38" s="9" t="e">
        <f>#N/A</f>
        <v>#N/A</v>
      </c>
      <c r="DS38" s="9" t="e">
        <f>#N/A</f>
        <v>#N/A</v>
      </c>
      <c r="DT38" s="9" t="e">
        <f>#N/A</f>
        <v>#N/A</v>
      </c>
      <c r="DU38" s="202" t="e">
        <f>#N/A</f>
        <v>#N/A</v>
      </c>
      <c r="DV38" s="202" t="e">
        <f>#N/A</f>
        <v>#N/A</v>
      </c>
      <c r="DW38" s="202" t="e">
        <f>#N/A</f>
        <v>#N/A</v>
      </c>
      <c r="DX38" s="203" t="e">
        <f t="shared" si="16"/>
        <v>#N/A</v>
      </c>
      <c r="DY38" s="203" t="e">
        <f t="shared" si="17"/>
        <v>#N/A</v>
      </c>
      <c r="DZ38" s="203" t="e">
        <f t="shared" si="18"/>
        <v>#N/A</v>
      </c>
      <c r="EA38" s="19" t="e">
        <f t="shared" si="19"/>
        <v>#N/A</v>
      </c>
      <c r="EB38" s="19" t="e">
        <f t="shared" si="20"/>
        <v>#N/A</v>
      </c>
      <c r="EC38" s="19" t="e">
        <f t="shared" si="21"/>
        <v>#N/A</v>
      </c>
      <c r="ED38" s="203" t="e">
        <f t="shared" si="22"/>
        <v>#N/A</v>
      </c>
      <c r="EE38" s="203" t="e">
        <f t="shared" si="23"/>
        <v>#N/A</v>
      </c>
      <c r="EF38" s="203" t="e">
        <f t="shared" si="24"/>
        <v>#N/A</v>
      </c>
      <c r="EH38" s="58">
        <f t="shared" si="25"/>
        <v>0</v>
      </c>
      <c r="EI38" s="68" t="e">
        <f t="shared" si="26"/>
        <v>#DIV/0!</v>
      </c>
      <c r="EJ38" s="58">
        <f t="shared" si="27"/>
        <v>0</v>
      </c>
      <c r="EK38" s="68" t="e">
        <f t="shared" si="26"/>
        <v>#DIV/0!</v>
      </c>
      <c r="EL38" s="58">
        <f t="shared" si="28"/>
        <v>0</v>
      </c>
      <c r="EM38" s="58">
        <f t="shared" si="29"/>
        <v>0</v>
      </c>
      <c r="EN38" s="68" t="e">
        <f t="shared" si="26"/>
        <v>#DIV/0!</v>
      </c>
    </row>
    <row r="39" spans="1:144" x14ac:dyDescent="0.2">
      <c r="A39" s="43">
        <v>0</v>
      </c>
      <c r="B39" s="43">
        <v>0</v>
      </c>
      <c r="C39" s="43">
        <v>0</v>
      </c>
      <c r="D39" s="70">
        <v>2010</v>
      </c>
      <c r="E39" s="70">
        <v>8</v>
      </c>
      <c r="F39" s="64"/>
      <c r="G39" s="63"/>
      <c r="H39" s="63"/>
      <c r="I39" s="63"/>
      <c r="J39" s="63"/>
      <c r="K39" s="63"/>
      <c r="L39" s="63"/>
      <c r="M39" s="64"/>
      <c r="N39" s="64"/>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5"/>
      <c r="AR39" s="18"/>
      <c r="AS39" s="18"/>
      <c r="AT39" s="18"/>
      <c r="AU39" s="63"/>
      <c r="AV39" s="63"/>
      <c r="AW39" s="63"/>
      <c r="AX39" s="63"/>
      <c r="AY39" s="63"/>
      <c r="AZ39" s="63"/>
      <c r="BA39" s="4"/>
      <c r="BB39" s="4"/>
      <c r="BC39" s="4"/>
      <c r="BD39" s="4"/>
      <c r="BE39" s="4"/>
      <c r="BF39" s="4"/>
      <c r="BG39" s="4"/>
      <c r="BH39" s="4"/>
      <c r="BI39" s="4"/>
      <c r="BJ39" s="4"/>
      <c r="BK39" s="4"/>
      <c r="BL39" s="4"/>
      <c r="BM39" s="4"/>
      <c r="BN39" s="4"/>
      <c r="BO39" s="4"/>
      <c r="BP39" s="18"/>
      <c r="BQ39" s="62"/>
      <c r="BR39" s="63"/>
      <c r="BS39" s="64"/>
      <c r="BT39" s="64"/>
      <c r="BU39" s="64"/>
      <c r="BV39" s="64"/>
      <c r="BW39" s="64"/>
      <c r="BX39" s="63"/>
      <c r="BY39" s="63"/>
      <c r="BZ39" s="63"/>
      <c r="CA39" s="64"/>
      <c r="CB39" s="63"/>
      <c r="CC39" s="64"/>
      <c r="CD39" s="64"/>
      <c r="CE39" s="64"/>
      <c r="CF39" s="64"/>
      <c r="CG39" s="70"/>
      <c r="CH39" s="70"/>
      <c r="CI39" s="70"/>
      <c r="CJ39" s="63"/>
      <c r="CK39" s="8">
        <f t="shared" si="30"/>
        <v>0</v>
      </c>
      <c r="CL39" s="62"/>
      <c r="CM39" s="62"/>
      <c r="CN39" s="62"/>
      <c r="CO39" s="62"/>
      <c r="CP39" s="62"/>
      <c r="CQ39" s="62"/>
      <c r="CR39" s="62"/>
      <c r="CS39" s="62"/>
      <c r="CT39" s="62"/>
      <c r="CU39" s="78"/>
      <c r="CV39" s="78"/>
      <c r="CW39" s="78"/>
      <c r="CX39" s="78"/>
      <c r="CY39" s="78"/>
      <c r="CZ39" s="78"/>
      <c r="DA39" s="78"/>
      <c r="DB39" s="78"/>
      <c r="DC39" s="78"/>
      <c r="DD39" s="62"/>
      <c r="DE39" s="62"/>
      <c r="DF39" s="62"/>
      <c r="DG39" s="64"/>
      <c r="DH39" s="64"/>
      <c r="DI39" s="62"/>
      <c r="DJ39" s="64"/>
      <c r="DK39" s="64"/>
      <c r="DL39" s="64"/>
      <c r="DM39" s="8">
        <f t="shared" si="31"/>
        <v>0</v>
      </c>
      <c r="DN39" s="8">
        <f t="shared" si="32"/>
        <v>0</v>
      </c>
      <c r="DO39" s="202" t="e">
        <f>#N/A</f>
        <v>#N/A</v>
      </c>
      <c r="DP39" s="202" t="e">
        <f>#N/A</f>
        <v>#N/A</v>
      </c>
      <c r="DQ39" s="202" t="e">
        <f>#N/A</f>
        <v>#N/A</v>
      </c>
      <c r="DR39" s="9" t="e">
        <f>#N/A</f>
        <v>#N/A</v>
      </c>
      <c r="DS39" s="9" t="e">
        <f>#N/A</f>
        <v>#N/A</v>
      </c>
      <c r="DT39" s="9" t="e">
        <f>#N/A</f>
        <v>#N/A</v>
      </c>
      <c r="DU39" s="202" t="e">
        <f>#N/A</f>
        <v>#N/A</v>
      </c>
      <c r="DV39" s="202" t="e">
        <f>#N/A</f>
        <v>#N/A</v>
      </c>
      <c r="DW39" s="202" t="e">
        <f>#N/A</f>
        <v>#N/A</v>
      </c>
      <c r="DX39" s="203" t="e">
        <f t="shared" si="16"/>
        <v>#N/A</v>
      </c>
      <c r="DY39" s="203" t="e">
        <f t="shared" si="17"/>
        <v>#N/A</v>
      </c>
      <c r="DZ39" s="203" t="e">
        <f t="shared" si="18"/>
        <v>#N/A</v>
      </c>
      <c r="EA39" s="19" t="e">
        <f t="shared" si="19"/>
        <v>#N/A</v>
      </c>
      <c r="EB39" s="19" t="e">
        <f t="shared" si="20"/>
        <v>#N/A</v>
      </c>
      <c r="EC39" s="19" t="e">
        <f t="shared" si="21"/>
        <v>#N/A</v>
      </c>
      <c r="ED39" s="203" t="e">
        <f t="shared" si="22"/>
        <v>#N/A</v>
      </c>
      <c r="EE39" s="203" t="e">
        <f t="shared" si="23"/>
        <v>#N/A</v>
      </c>
      <c r="EF39" s="203" t="e">
        <f t="shared" si="24"/>
        <v>#N/A</v>
      </c>
      <c r="EH39" s="58">
        <f t="shared" si="25"/>
        <v>0</v>
      </c>
      <c r="EI39" s="68" t="e">
        <f t="shared" si="26"/>
        <v>#DIV/0!</v>
      </c>
      <c r="EJ39" s="58">
        <f t="shared" si="27"/>
        <v>0</v>
      </c>
      <c r="EK39" s="68" t="e">
        <f t="shared" si="26"/>
        <v>#DIV/0!</v>
      </c>
      <c r="EL39" s="58">
        <f t="shared" si="28"/>
        <v>0</v>
      </c>
      <c r="EM39" s="58">
        <f t="shared" si="29"/>
        <v>0</v>
      </c>
      <c r="EN39" s="68" t="e">
        <f t="shared" si="26"/>
        <v>#DIV/0!</v>
      </c>
    </row>
    <row r="40" spans="1:144" x14ac:dyDescent="0.2">
      <c r="A40" s="43">
        <v>0</v>
      </c>
      <c r="B40" s="43">
        <v>0</v>
      </c>
      <c r="C40" s="43">
        <v>0</v>
      </c>
      <c r="D40" s="70">
        <v>2010</v>
      </c>
      <c r="E40" s="70">
        <v>9</v>
      </c>
      <c r="F40" s="64"/>
      <c r="G40" s="63"/>
      <c r="H40" s="63"/>
      <c r="I40" s="63"/>
      <c r="J40" s="63"/>
      <c r="K40" s="63"/>
      <c r="L40" s="63"/>
      <c r="M40" s="64"/>
      <c r="N40" s="64"/>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5"/>
      <c r="AR40" s="18"/>
      <c r="AS40" s="18"/>
      <c r="AT40" s="18"/>
      <c r="AU40" s="63"/>
      <c r="AV40" s="63"/>
      <c r="AW40" s="63"/>
      <c r="AX40" s="63"/>
      <c r="AY40" s="63"/>
      <c r="AZ40" s="63"/>
      <c r="BA40" s="4"/>
      <c r="BB40" s="4"/>
      <c r="BC40" s="4"/>
      <c r="BD40" s="4"/>
      <c r="BE40" s="4"/>
      <c r="BF40" s="4"/>
      <c r="BG40" s="4"/>
      <c r="BH40" s="4"/>
      <c r="BI40" s="4"/>
      <c r="BJ40" s="4"/>
      <c r="BK40" s="4"/>
      <c r="BL40" s="4"/>
      <c r="BM40" s="4"/>
      <c r="BN40" s="4"/>
      <c r="BO40" s="4"/>
      <c r="BP40" s="18"/>
      <c r="BQ40" s="62"/>
      <c r="BR40" s="63"/>
      <c r="BS40" s="64"/>
      <c r="BT40" s="64"/>
      <c r="BU40" s="64"/>
      <c r="BV40" s="64"/>
      <c r="BW40" s="64"/>
      <c r="BX40" s="63"/>
      <c r="BY40" s="63"/>
      <c r="BZ40" s="63"/>
      <c r="CA40" s="64"/>
      <c r="CB40" s="63"/>
      <c r="CC40" s="64"/>
      <c r="CD40" s="64"/>
      <c r="CE40" s="64"/>
      <c r="CF40" s="64"/>
      <c r="CG40" s="70"/>
      <c r="CH40" s="70"/>
      <c r="CI40" s="70"/>
      <c r="CJ40" s="63"/>
      <c r="CK40" s="8">
        <f t="shared" si="30"/>
        <v>0</v>
      </c>
      <c r="CL40" s="62"/>
      <c r="CM40" s="62"/>
      <c r="CN40" s="62"/>
      <c r="CO40" s="62"/>
      <c r="CP40" s="62"/>
      <c r="CQ40" s="62"/>
      <c r="CR40" s="62"/>
      <c r="CS40" s="62"/>
      <c r="CT40" s="62"/>
      <c r="CU40" s="78"/>
      <c r="CV40" s="78"/>
      <c r="CW40" s="78"/>
      <c r="CX40" s="78"/>
      <c r="CY40" s="78"/>
      <c r="CZ40" s="78"/>
      <c r="DA40" s="78"/>
      <c r="DB40" s="78"/>
      <c r="DC40" s="78"/>
      <c r="DD40" s="62"/>
      <c r="DE40" s="62"/>
      <c r="DF40" s="62"/>
      <c r="DG40" s="64"/>
      <c r="DH40" s="64"/>
      <c r="DI40" s="62"/>
      <c r="DJ40" s="64"/>
      <c r="DK40" s="64"/>
      <c r="DL40" s="64"/>
      <c r="DM40" s="8">
        <f t="shared" si="31"/>
        <v>0</v>
      </c>
      <c r="DN40" s="8">
        <f t="shared" si="32"/>
        <v>0</v>
      </c>
      <c r="DO40" s="202" t="e">
        <f>#N/A</f>
        <v>#N/A</v>
      </c>
      <c r="DP40" s="202" t="e">
        <f>#N/A</f>
        <v>#N/A</v>
      </c>
      <c r="DQ40" s="202" t="e">
        <f>#N/A</f>
        <v>#N/A</v>
      </c>
      <c r="DR40" s="9" t="e">
        <f>#N/A</f>
        <v>#N/A</v>
      </c>
      <c r="DS40" s="9" t="e">
        <f>#N/A</f>
        <v>#N/A</v>
      </c>
      <c r="DT40" s="9" t="e">
        <f>#N/A</f>
        <v>#N/A</v>
      </c>
      <c r="DU40" s="202" t="e">
        <f>#N/A</f>
        <v>#N/A</v>
      </c>
      <c r="DV40" s="202" t="e">
        <f>#N/A</f>
        <v>#N/A</v>
      </c>
      <c r="DW40" s="202" t="e">
        <f>#N/A</f>
        <v>#N/A</v>
      </c>
      <c r="DX40" s="203" t="e">
        <f t="shared" si="16"/>
        <v>#N/A</v>
      </c>
      <c r="DY40" s="203" t="e">
        <f t="shared" si="17"/>
        <v>#N/A</v>
      </c>
      <c r="DZ40" s="203" t="e">
        <f t="shared" si="18"/>
        <v>#N/A</v>
      </c>
      <c r="EA40" s="19" t="e">
        <f t="shared" si="19"/>
        <v>#N/A</v>
      </c>
      <c r="EB40" s="19" t="e">
        <f t="shared" si="20"/>
        <v>#N/A</v>
      </c>
      <c r="EC40" s="19" t="e">
        <f t="shared" si="21"/>
        <v>#N/A</v>
      </c>
      <c r="ED40" s="203" t="e">
        <f t="shared" si="22"/>
        <v>#N/A</v>
      </c>
      <c r="EE40" s="203" t="e">
        <f t="shared" si="23"/>
        <v>#N/A</v>
      </c>
      <c r="EF40" s="203" t="e">
        <f t="shared" si="24"/>
        <v>#N/A</v>
      </c>
      <c r="EH40" s="58">
        <f t="shared" si="25"/>
        <v>0</v>
      </c>
      <c r="EI40" s="68" t="e">
        <f t="shared" si="26"/>
        <v>#DIV/0!</v>
      </c>
      <c r="EJ40" s="58">
        <f t="shared" si="27"/>
        <v>0</v>
      </c>
      <c r="EK40" s="68" t="e">
        <f t="shared" si="26"/>
        <v>#DIV/0!</v>
      </c>
      <c r="EL40" s="58">
        <f t="shared" si="28"/>
        <v>0</v>
      </c>
      <c r="EM40" s="58">
        <f t="shared" si="29"/>
        <v>0</v>
      </c>
      <c r="EN40" s="68" t="e">
        <f t="shared" si="26"/>
        <v>#DIV/0!</v>
      </c>
    </row>
    <row r="41" spans="1:144" x14ac:dyDescent="0.2">
      <c r="A41" s="43">
        <v>0</v>
      </c>
      <c r="B41" s="43">
        <v>0</v>
      </c>
      <c r="C41" s="43">
        <v>0</v>
      </c>
      <c r="D41" s="70">
        <v>2010</v>
      </c>
      <c r="E41" s="70">
        <v>10</v>
      </c>
      <c r="F41" s="64"/>
      <c r="G41" s="63"/>
      <c r="H41" s="63"/>
      <c r="I41" s="63"/>
      <c r="J41" s="63"/>
      <c r="K41" s="63"/>
      <c r="L41" s="63"/>
      <c r="M41" s="64"/>
      <c r="N41" s="64"/>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5"/>
      <c r="AR41" s="18"/>
      <c r="AS41" s="18"/>
      <c r="AT41" s="18"/>
      <c r="AU41" s="63"/>
      <c r="AV41" s="63"/>
      <c r="AW41" s="63"/>
      <c r="AX41" s="63"/>
      <c r="AY41" s="63"/>
      <c r="AZ41" s="63"/>
      <c r="BA41" s="4"/>
      <c r="BB41" s="4"/>
      <c r="BC41" s="4"/>
      <c r="BD41" s="4"/>
      <c r="BE41" s="4"/>
      <c r="BF41" s="4"/>
      <c r="BG41" s="4"/>
      <c r="BH41" s="4"/>
      <c r="BI41" s="4"/>
      <c r="BJ41" s="4"/>
      <c r="BK41" s="4"/>
      <c r="BL41" s="4"/>
      <c r="BM41" s="4"/>
      <c r="BN41" s="4"/>
      <c r="BO41" s="4"/>
      <c r="BP41" s="18"/>
      <c r="BQ41" s="62"/>
      <c r="BR41" s="63"/>
      <c r="BS41" s="64"/>
      <c r="BT41" s="64"/>
      <c r="BU41" s="64"/>
      <c r="BV41" s="64"/>
      <c r="BW41" s="64"/>
      <c r="BX41" s="63"/>
      <c r="BY41" s="63"/>
      <c r="BZ41" s="63"/>
      <c r="CA41" s="64"/>
      <c r="CB41" s="63"/>
      <c r="CC41" s="64"/>
      <c r="CD41" s="64"/>
      <c r="CE41" s="64"/>
      <c r="CF41" s="64"/>
      <c r="CG41" s="70"/>
      <c r="CH41" s="70"/>
      <c r="CI41" s="70"/>
      <c r="CJ41" s="63"/>
      <c r="CK41" s="8">
        <f t="shared" si="30"/>
        <v>0</v>
      </c>
      <c r="CL41" s="62"/>
      <c r="CM41" s="62"/>
      <c r="CN41" s="62"/>
      <c r="CO41" s="62"/>
      <c r="CP41" s="62"/>
      <c r="CQ41" s="62"/>
      <c r="CR41" s="62"/>
      <c r="CS41" s="62"/>
      <c r="CT41" s="62"/>
      <c r="CU41" s="78"/>
      <c r="CV41" s="78"/>
      <c r="CW41" s="78"/>
      <c r="CX41" s="78"/>
      <c r="CY41" s="78"/>
      <c r="CZ41" s="78"/>
      <c r="DA41" s="78"/>
      <c r="DB41" s="78"/>
      <c r="DC41" s="78"/>
      <c r="DD41" s="62"/>
      <c r="DE41" s="62"/>
      <c r="DF41" s="62"/>
      <c r="DG41" s="64"/>
      <c r="DH41" s="64"/>
      <c r="DI41" s="62"/>
      <c r="DJ41" s="64"/>
      <c r="DK41" s="64"/>
      <c r="DL41" s="64"/>
      <c r="DM41" s="8">
        <f t="shared" si="31"/>
        <v>0</v>
      </c>
      <c r="DN41" s="8">
        <f t="shared" si="32"/>
        <v>0</v>
      </c>
      <c r="DO41" s="202" t="e">
        <f>#N/A</f>
        <v>#N/A</v>
      </c>
      <c r="DP41" s="202" t="e">
        <f>#N/A</f>
        <v>#N/A</v>
      </c>
      <c r="DQ41" s="202" t="e">
        <f>#N/A</f>
        <v>#N/A</v>
      </c>
      <c r="DR41" s="9" t="e">
        <f>#N/A</f>
        <v>#N/A</v>
      </c>
      <c r="DS41" s="9" t="e">
        <f>#N/A</f>
        <v>#N/A</v>
      </c>
      <c r="DT41" s="9" t="e">
        <f>#N/A</f>
        <v>#N/A</v>
      </c>
      <c r="DU41" s="202" t="e">
        <f>#N/A</f>
        <v>#N/A</v>
      </c>
      <c r="DV41" s="202" t="e">
        <f>#N/A</f>
        <v>#N/A</v>
      </c>
      <c r="DW41" s="202" t="e">
        <f>#N/A</f>
        <v>#N/A</v>
      </c>
      <c r="DX41" s="203" t="e">
        <f t="shared" si="16"/>
        <v>#N/A</v>
      </c>
      <c r="DY41" s="203" t="e">
        <f t="shared" si="17"/>
        <v>#N/A</v>
      </c>
      <c r="DZ41" s="203" t="e">
        <f t="shared" si="18"/>
        <v>#N/A</v>
      </c>
      <c r="EA41" s="19" t="e">
        <f t="shared" si="19"/>
        <v>#N/A</v>
      </c>
      <c r="EB41" s="19" t="e">
        <f t="shared" si="20"/>
        <v>#N/A</v>
      </c>
      <c r="EC41" s="19" t="e">
        <f t="shared" si="21"/>
        <v>#N/A</v>
      </c>
      <c r="ED41" s="203" t="e">
        <f t="shared" si="22"/>
        <v>#N/A</v>
      </c>
      <c r="EE41" s="203" t="e">
        <f t="shared" si="23"/>
        <v>#N/A</v>
      </c>
      <c r="EF41" s="203" t="e">
        <f t="shared" si="24"/>
        <v>#N/A</v>
      </c>
      <c r="EH41" s="58">
        <f t="shared" si="25"/>
        <v>0</v>
      </c>
      <c r="EI41" s="68" t="e">
        <f t="shared" si="26"/>
        <v>#DIV/0!</v>
      </c>
      <c r="EJ41" s="58">
        <f t="shared" si="27"/>
        <v>0</v>
      </c>
      <c r="EK41" s="68" t="e">
        <f t="shared" si="26"/>
        <v>#DIV/0!</v>
      </c>
      <c r="EL41" s="58">
        <f t="shared" si="28"/>
        <v>0</v>
      </c>
      <c r="EM41" s="58">
        <f t="shared" si="29"/>
        <v>0</v>
      </c>
      <c r="EN41" s="68" t="e">
        <f t="shared" si="26"/>
        <v>#DIV/0!</v>
      </c>
    </row>
    <row r="42" spans="1:144" x14ac:dyDescent="0.2">
      <c r="A42" s="43">
        <v>0</v>
      </c>
      <c r="B42" s="43">
        <v>0</v>
      </c>
      <c r="C42" s="43">
        <v>0</v>
      </c>
      <c r="D42" s="70">
        <v>2010</v>
      </c>
      <c r="E42" s="70">
        <v>11</v>
      </c>
      <c r="F42" s="64"/>
      <c r="G42" s="63"/>
      <c r="H42" s="63"/>
      <c r="I42" s="63"/>
      <c r="J42" s="63"/>
      <c r="K42" s="63"/>
      <c r="L42" s="63"/>
      <c r="M42" s="64"/>
      <c r="N42" s="64"/>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5"/>
      <c r="AR42" s="18"/>
      <c r="AS42" s="18"/>
      <c r="AT42" s="18"/>
      <c r="AU42" s="63"/>
      <c r="AV42" s="63"/>
      <c r="AW42" s="63"/>
      <c r="AX42" s="63"/>
      <c r="AY42" s="63"/>
      <c r="AZ42" s="63"/>
      <c r="BA42" s="4"/>
      <c r="BB42" s="4"/>
      <c r="BC42" s="4"/>
      <c r="BD42" s="4"/>
      <c r="BE42" s="4"/>
      <c r="BF42" s="4"/>
      <c r="BG42" s="4"/>
      <c r="BH42" s="4"/>
      <c r="BI42" s="4"/>
      <c r="BJ42" s="4"/>
      <c r="BK42" s="4"/>
      <c r="BL42" s="4"/>
      <c r="BM42" s="4"/>
      <c r="BN42" s="4"/>
      <c r="BO42" s="4"/>
      <c r="BP42" s="18"/>
      <c r="BQ42" s="62"/>
      <c r="BR42" s="63"/>
      <c r="BS42" s="64"/>
      <c r="BT42" s="64"/>
      <c r="BU42" s="64"/>
      <c r="BV42" s="64"/>
      <c r="BW42" s="64"/>
      <c r="BX42" s="63"/>
      <c r="BY42" s="63"/>
      <c r="BZ42" s="63"/>
      <c r="CA42" s="64"/>
      <c r="CB42" s="63"/>
      <c r="CC42" s="64"/>
      <c r="CD42" s="64"/>
      <c r="CE42" s="64"/>
      <c r="CF42" s="64"/>
      <c r="CG42" s="70"/>
      <c r="CH42" s="70"/>
      <c r="CI42" s="70"/>
      <c r="CJ42" s="63"/>
      <c r="CK42" s="8">
        <f t="shared" si="30"/>
        <v>0</v>
      </c>
      <c r="CL42" s="62"/>
      <c r="CM42" s="62"/>
      <c r="CN42" s="62"/>
      <c r="CO42" s="62"/>
      <c r="CP42" s="62"/>
      <c r="CQ42" s="62"/>
      <c r="CR42" s="62"/>
      <c r="CS42" s="62"/>
      <c r="CT42" s="62"/>
      <c r="CU42" s="78"/>
      <c r="CV42" s="78"/>
      <c r="CW42" s="78"/>
      <c r="CX42" s="78"/>
      <c r="CY42" s="78"/>
      <c r="CZ42" s="78"/>
      <c r="DA42" s="78"/>
      <c r="DB42" s="78"/>
      <c r="DC42" s="78"/>
      <c r="DD42" s="62"/>
      <c r="DE42" s="62"/>
      <c r="DF42" s="62"/>
      <c r="DG42" s="64"/>
      <c r="DH42" s="64"/>
      <c r="DI42" s="62"/>
      <c r="DJ42" s="64"/>
      <c r="DK42" s="64"/>
      <c r="DL42" s="64"/>
      <c r="DM42" s="8">
        <f t="shared" si="31"/>
        <v>0</v>
      </c>
      <c r="DN42" s="8">
        <f t="shared" si="32"/>
        <v>0</v>
      </c>
      <c r="DO42" s="202" t="e">
        <f>#N/A</f>
        <v>#N/A</v>
      </c>
      <c r="DP42" s="202" t="e">
        <f>#N/A</f>
        <v>#N/A</v>
      </c>
      <c r="DQ42" s="202" t="e">
        <f>#N/A</f>
        <v>#N/A</v>
      </c>
      <c r="DR42" s="9" t="e">
        <f>#N/A</f>
        <v>#N/A</v>
      </c>
      <c r="DS42" s="9" t="e">
        <f>#N/A</f>
        <v>#N/A</v>
      </c>
      <c r="DT42" s="9" t="e">
        <f>#N/A</f>
        <v>#N/A</v>
      </c>
      <c r="DU42" s="202" t="e">
        <f>#N/A</f>
        <v>#N/A</v>
      </c>
      <c r="DV42" s="202" t="e">
        <f>#N/A</f>
        <v>#N/A</v>
      </c>
      <c r="DW42" s="202" t="e">
        <f>#N/A</f>
        <v>#N/A</v>
      </c>
      <c r="DX42" s="203" t="e">
        <f t="shared" si="16"/>
        <v>#N/A</v>
      </c>
      <c r="DY42" s="203" t="e">
        <f t="shared" si="17"/>
        <v>#N/A</v>
      </c>
      <c r="DZ42" s="203" t="e">
        <f t="shared" si="18"/>
        <v>#N/A</v>
      </c>
      <c r="EA42" s="19" t="e">
        <f t="shared" si="19"/>
        <v>#N/A</v>
      </c>
      <c r="EB42" s="19" t="e">
        <f t="shared" si="20"/>
        <v>#N/A</v>
      </c>
      <c r="EC42" s="19" t="e">
        <f t="shared" si="21"/>
        <v>#N/A</v>
      </c>
      <c r="ED42" s="203" t="e">
        <f t="shared" si="22"/>
        <v>#N/A</v>
      </c>
      <c r="EE42" s="203" t="e">
        <f t="shared" si="23"/>
        <v>#N/A</v>
      </c>
      <c r="EF42" s="203" t="e">
        <f t="shared" si="24"/>
        <v>#N/A</v>
      </c>
      <c r="EH42" s="58">
        <f t="shared" si="25"/>
        <v>0</v>
      </c>
      <c r="EI42" s="68" t="e">
        <f t="shared" si="26"/>
        <v>#DIV/0!</v>
      </c>
      <c r="EJ42" s="58">
        <f t="shared" si="27"/>
        <v>0</v>
      </c>
      <c r="EK42" s="68" t="e">
        <f t="shared" si="26"/>
        <v>#DIV/0!</v>
      </c>
      <c r="EL42" s="58">
        <f t="shared" si="28"/>
        <v>0</v>
      </c>
      <c r="EM42" s="58">
        <f t="shared" si="29"/>
        <v>0</v>
      </c>
      <c r="EN42" s="68" t="e">
        <f t="shared" si="26"/>
        <v>#DIV/0!</v>
      </c>
    </row>
    <row r="43" spans="1:144" x14ac:dyDescent="0.2">
      <c r="A43" s="43">
        <v>0</v>
      </c>
      <c r="B43" s="43">
        <v>0</v>
      </c>
      <c r="C43" s="43">
        <v>0</v>
      </c>
      <c r="D43" s="70">
        <v>2010</v>
      </c>
      <c r="E43" s="70">
        <v>12</v>
      </c>
      <c r="F43" s="64"/>
      <c r="G43" s="63"/>
      <c r="H43" s="63"/>
      <c r="I43" s="63"/>
      <c r="J43" s="63"/>
      <c r="K43" s="63"/>
      <c r="L43" s="63"/>
      <c r="M43" s="64"/>
      <c r="N43" s="64"/>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5"/>
      <c r="AR43" s="18"/>
      <c r="AS43" s="18"/>
      <c r="AT43" s="18"/>
      <c r="AU43" s="63"/>
      <c r="AV43" s="63"/>
      <c r="AW43" s="63"/>
      <c r="AX43" s="63"/>
      <c r="AY43" s="63"/>
      <c r="AZ43" s="63"/>
      <c r="BA43" s="4"/>
      <c r="BB43" s="4"/>
      <c r="BC43" s="4"/>
      <c r="BD43" s="4"/>
      <c r="BE43" s="4"/>
      <c r="BF43" s="4"/>
      <c r="BG43" s="4"/>
      <c r="BH43" s="4"/>
      <c r="BI43" s="4"/>
      <c r="BJ43" s="4"/>
      <c r="BK43" s="4"/>
      <c r="BL43" s="4"/>
      <c r="BM43" s="4"/>
      <c r="BN43" s="4"/>
      <c r="BO43" s="4"/>
      <c r="BP43" s="18"/>
      <c r="BQ43" s="62"/>
      <c r="BR43" s="63"/>
      <c r="BS43" s="64"/>
      <c r="BT43" s="64"/>
      <c r="BU43" s="64"/>
      <c r="BV43" s="64"/>
      <c r="BW43" s="64"/>
      <c r="BX43" s="63"/>
      <c r="BY43" s="63"/>
      <c r="BZ43" s="63"/>
      <c r="CA43" s="64"/>
      <c r="CB43" s="63"/>
      <c r="CC43" s="64"/>
      <c r="CD43" s="64"/>
      <c r="CE43" s="64"/>
      <c r="CF43" s="64"/>
      <c r="CG43" s="70"/>
      <c r="CH43" s="70"/>
      <c r="CI43" s="70"/>
      <c r="CJ43" s="63"/>
      <c r="CK43" s="8">
        <f t="shared" si="30"/>
        <v>0</v>
      </c>
      <c r="CL43" s="62"/>
      <c r="CM43" s="62"/>
      <c r="CN43" s="62"/>
      <c r="CO43" s="62"/>
      <c r="CP43" s="62"/>
      <c r="CQ43" s="62"/>
      <c r="CR43" s="62"/>
      <c r="CS43" s="62"/>
      <c r="CT43" s="62"/>
      <c r="CU43" s="78"/>
      <c r="CV43" s="78"/>
      <c r="CW43" s="78"/>
      <c r="CX43" s="78"/>
      <c r="CY43" s="78"/>
      <c r="CZ43" s="78"/>
      <c r="DA43" s="78"/>
      <c r="DB43" s="78"/>
      <c r="DC43" s="78"/>
      <c r="DD43" s="62"/>
      <c r="DE43" s="62"/>
      <c r="DF43" s="62"/>
      <c r="DG43" s="64"/>
      <c r="DH43" s="64"/>
      <c r="DI43" s="62"/>
      <c r="DJ43" s="64"/>
      <c r="DK43" s="64"/>
      <c r="DL43" s="64"/>
      <c r="DM43" s="8">
        <f t="shared" si="31"/>
        <v>0</v>
      </c>
      <c r="DN43" s="8">
        <f t="shared" si="32"/>
        <v>0</v>
      </c>
      <c r="DO43" s="202" t="e">
        <f>#N/A</f>
        <v>#N/A</v>
      </c>
      <c r="DP43" s="202" t="e">
        <f>#N/A</f>
        <v>#N/A</v>
      </c>
      <c r="DQ43" s="202" t="e">
        <f>#N/A</f>
        <v>#N/A</v>
      </c>
      <c r="DR43" s="9" t="e">
        <f>#N/A</f>
        <v>#N/A</v>
      </c>
      <c r="DS43" s="9" t="e">
        <f>#N/A</f>
        <v>#N/A</v>
      </c>
      <c r="DT43" s="9" t="e">
        <f>#N/A</f>
        <v>#N/A</v>
      </c>
      <c r="DU43" s="202" t="e">
        <f>#N/A</f>
        <v>#N/A</v>
      </c>
      <c r="DV43" s="202" t="e">
        <f>#N/A</f>
        <v>#N/A</v>
      </c>
      <c r="DW43" s="202" t="e">
        <f>#N/A</f>
        <v>#N/A</v>
      </c>
      <c r="DX43" s="203" t="e">
        <f t="shared" si="16"/>
        <v>#N/A</v>
      </c>
      <c r="DY43" s="203" t="e">
        <f t="shared" si="17"/>
        <v>#N/A</v>
      </c>
      <c r="DZ43" s="203" t="e">
        <f t="shared" si="18"/>
        <v>#N/A</v>
      </c>
      <c r="EA43" s="19" t="e">
        <f t="shared" si="19"/>
        <v>#N/A</v>
      </c>
      <c r="EB43" s="19" t="e">
        <f t="shared" si="20"/>
        <v>#N/A</v>
      </c>
      <c r="EC43" s="19" t="e">
        <f t="shared" si="21"/>
        <v>#N/A</v>
      </c>
      <c r="ED43" s="203" t="e">
        <f t="shared" si="22"/>
        <v>#N/A</v>
      </c>
      <c r="EE43" s="203" t="e">
        <f t="shared" si="23"/>
        <v>#N/A</v>
      </c>
      <c r="EF43" s="203" t="e">
        <f t="shared" si="24"/>
        <v>#N/A</v>
      </c>
      <c r="EH43" s="58">
        <f t="shared" si="25"/>
        <v>0</v>
      </c>
      <c r="EI43" s="68" t="e">
        <f t="shared" si="26"/>
        <v>#DIV/0!</v>
      </c>
      <c r="EJ43" s="58">
        <f t="shared" si="27"/>
        <v>0</v>
      </c>
      <c r="EK43" s="68" t="e">
        <f t="shared" si="26"/>
        <v>#DIV/0!</v>
      </c>
      <c r="EL43" s="58">
        <f t="shared" si="28"/>
        <v>0</v>
      </c>
      <c r="EM43" s="58">
        <f t="shared" si="29"/>
        <v>0</v>
      </c>
      <c r="EN43" s="68" t="e">
        <f t="shared" si="26"/>
        <v>#DIV/0!</v>
      </c>
    </row>
    <row r="44" spans="1:144" x14ac:dyDescent="0.2">
      <c r="A44" s="43">
        <v>0</v>
      </c>
      <c r="B44" s="43">
        <v>0</v>
      </c>
      <c r="C44" s="43">
        <v>0</v>
      </c>
      <c r="D44" s="70">
        <v>2011</v>
      </c>
      <c r="E44" s="70">
        <v>1</v>
      </c>
      <c r="F44" s="64"/>
      <c r="G44" s="63"/>
      <c r="H44" s="63"/>
      <c r="I44" s="63"/>
      <c r="J44" s="63"/>
      <c r="K44" s="63"/>
      <c r="L44" s="63"/>
      <c r="M44" s="64"/>
      <c r="N44" s="64"/>
      <c r="O44" s="64"/>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5"/>
      <c r="AR44" s="18"/>
      <c r="AS44" s="18"/>
      <c r="AT44" s="18"/>
      <c r="AU44" s="63"/>
      <c r="AV44" s="63"/>
      <c r="AW44" s="63"/>
      <c r="AX44" s="63"/>
      <c r="AY44" s="63"/>
      <c r="AZ44" s="63"/>
      <c r="BA44" s="4"/>
      <c r="BB44" s="4"/>
      <c r="BC44" s="4"/>
      <c r="BD44" s="4"/>
      <c r="BE44" s="4"/>
      <c r="BF44" s="4"/>
      <c r="BG44" s="4"/>
      <c r="BH44" s="4"/>
      <c r="BI44" s="4"/>
      <c r="BJ44" s="4"/>
      <c r="BK44" s="4"/>
      <c r="BL44" s="4"/>
      <c r="BM44" s="4"/>
      <c r="BN44" s="4"/>
      <c r="BO44" s="4"/>
      <c r="BP44" s="18"/>
      <c r="BQ44" s="62"/>
      <c r="BR44" s="63"/>
      <c r="BS44" s="77"/>
      <c r="BT44" s="64"/>
      <c r="BU44" s="64"/>
      <c r="BV44" s="64"/>
      <c r="BW44" s="64"/>
      <c r="BX44" s="64"/>
      <c r="BY44" s="64"/>
      <c r="BZ44" s="64"/>
      <c r="CA44" s="64"/>
      <c r="CB44" s="63"/>
      <c r="CC44" s="63"/>
      <c r="CD44" s="63"/>
      <c r="CE44" s="63"/>
      <c r="CF44" s="63"/>
      <c r="CG44" s="65"/>
      <c r="CH44" s="65"/>
      <c r="CI44" s="65"/>
      <c r="CJ44" s="63"/>
      <c r="CK44" s="8">
        <f t="shared" si="30"/>
        <v>0</v>
      </c>
      <c r="CL44" s="62"/>
      <c r="CM44" s="62"/>
      <c r="CN44" s="62"/>
      <c r="CO44" s="62"/>
      <c r="CP44" s="62"/>
      <c r="CQ44" s="62"/>
      <c r="CR44" s="62"/>
      <c r="CS44" s="62"/>
      <c r="CT44" s="62"/>
      <c r="CU44" s="78"/>
      <c r="CV44" s="78"/>
      <c r="CW44" s="78"/>
      <c r="CX44" s="78"/>
      <c r="CY44" s="78"/>
      <c r="CZ44" s="78"/>
      <c r="DA44" s="78"/>
      <c r="DB44" s="78"/>
      <c r="DC44" s="78"/>
      <c r="DD44" s="62"/>
      <c r="DE44" s="62"/>
      <c r="DF44" s="62"/>
      <c r="DG44" s="64"/>
      <c r="DH44" s="64"/>
      <c r="DI44" s="62"/>
      <c r="DJ44" s="64"/>
      <c r="DK44" s="64"/>
      <c r="DL44" s="64"/>
      <c r="DM44" s="8">
        <f t="shared" si="31"/>
        <v>0</v>
      </c>
      <c r="DN44" s="8">
        <f t="shared" si="32"/>
        <v>0</v>
      </c>
      <c r="DO44" s="202" t="e">
        <f>#N/A</f>
        <v>#N/A</v>
      </c>
      <c r="DP44" s="202" t="e">
        <f>#N/A</f>
        <v>#N/A</v>
      </c>
      <c r="DQ44" s="202" t="e">
        <f>#N/A</f>
        <v>#N/A</v>
      </c>
      <c r="DR44" s="9" t="e">
        <f>#N/A</f>
        <v>#N/A</v>
      </c>
      <c r="DS44" s="9" t="e">
        <f>#N/A</f>
        <v>#N/A</v>
      </c>
      <c r="DT44" s="9" t="e">
        <f>#N/A</f>
        <v>#N/A</v>
      </c>
      <c r="DU44" s="202" t="e">
        <f>#N/A</f>
        <v>#N/A</v>
      </c>
      <c r="DV44" s="202" t="e">
        <f>#N/A</f>
        <v>#N/A</v>
      </c>
      <c r="DW44" s="202" t="e">
        <f>#N/A</f>
        <v>#N/A</v>
      </c>
      <c r="DX44" s="203" t="e">
        <f t="shared" si="16"/>
        <v>#N/A</v>
      </c>
      <c r="DY44" s="203" t="e">
        <f t="shared" si="17"/>
        <v>#N/A</v>
      </c>
      <c r="DZ44" s="203" t="e">
        <f t="shared" si="18"/>
        <v>#N/A</v>
      </c>
      <c r="EA44" s="19" t="e">
        <f t="shared" si="19"/>
        <v>#N/A</v>
      </c>
      <c r="EB44" s="19" t="e">
        <f t="shared" si="20"/>
        <v>#N/A</v>
      </c>
      <c r="EC44" s="19" t="e">
        <f t="shared" si="21"/>
        <v>#N/A</v>
      </c>
      <c r="ED44" s="203" t="e">
        <f t="shared" si="22"/>
        <v>#N/A</v>
      </c>
      <c r="EE44" s="203" t="e">
        <f t="shared" si="23"/>
        <v>#N/A</v>
      </c>
      <c r="EF44" s="203" t="e">
        <f t="shared" si="24"/>
        <v>#N/A</v>
      </c>
      <c r="EH44" s="58">
        <f t="shared" si="25"/>
        <v>0</v>
      </c>
      <c r="EI44" s="68" t="e">
        <f t="shared" si="26"/>
        <v>#DIV/0!</v>
      </c>
      <c r="EJ44" s="58">
        <f t="shared" si="27"/>
        <v>0</v>
      </c>
      <c r="EK44" s="68" t="e">
        <f t="shared" si="26"/>
        <v>#DIV/0!</v>
      </c>
      <c r="EL44" s="58">
        <f t="shared" si="28"/>
        <v>0</v>
      </c>
      <c r="EM44" s="58">
        <f t="shared" si="29"/>
        <v>0</v>
      </c>
      <c r="EN44" s="68" t="e">
        <f t="shared" si="26"/>
        <v>#DIV/0!</v>
      </c>
    </row>
    <row r="45" spans="1:144" x14ac:dyDescent="0.2">
      <c r="A45" s="43">
        <v>0</v>
      </c>
      <c r="B45" s="43">
        <v>0</v>
      </c>
      <c r="C45" s="43">
        <v>0</v>
      </c>
      <c r="D45" s="70">
        <v>2011</v>
      </c>
      <c r="E45" s="70">
        <v>2</v>
      </c>
      <c r="F45" s="64"/>
      <c r="G45" s="63"/>
      <c r="H45" s="63"/>
      <c r="I45" s="63"/>
      <c r="J45" s="63"/>
      <c r="K45" s="63"/>
      <c r="L45" s="63"/>
      <c r="M45" s="64"/>
      <c r="N45" s="64"/>
      <c r="O45" s="64"/>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5"/>
      <c r="AR45" s="18"/>
      <c r="AS45" s="18"/>
      <c r="AT45" s="18"/>
      <c r="AU45" s="63"/>
      <c r="AV45" s="63"/>
      <c r="AW45" s="63"/>
      <c r="AX45" s="63"/>
      <c r="AY45" s="63"/>
      <c r="AZ45" s="63"/>
      <c r="BA45" s="4"/>
      <c r="BB45" s="4"/>
      <c r="BC45" s="4"/>
      <c r="BD45" s="4"/>
      <c r="BE45" s="4"/>
      <c r="BF45" s="4"/>
      <c r="BG45" s="4"/>
      <c r="BH45" s="4"/>
      <c r="BI45" s="4"/>
      <c r="BJ45" s="4"/>
      <c r="BK45" s="4"/>
      <c r="BL45" s="4"/>
      <c r="BM45" s="4"/>
      <c r="BN45" s="4"/>
      <c r="BO45" s="4"/>
      <c r="BP45" s="18"/>
      <c r="BQ45" s="62"/>
      <c r="BR45" s="63"/>
      <c r="BS45" s="77"/>
      <c r="BT45" s="64"/>
      <c r="BU45" s="64"/>
      <c r="BV45" s="64"/>
      <c r="BW45" s="64"/>
      <c r="BX45" s="64"/>
      <c r="BY45" s="64"/>
      <c r="BZ45" s="64"/>
      <c r="CA45" s="64"/>
      <c r="CB45" s="63"/>
      <c r="CC45" s="63"/>
      <c r="CD45" s="63"/>
      <c r="CE45" s="63"/>
      <c r="CF45" s="63"/>
      <c r="CG45" s="65"/>
      <c r="CH45" s="65"/>
      <c r="CI45" s="65"/>
      <c r="CJ45" s="63"/>
      <c r="CK45" s="8">
        <f t="shared" si="30"/>
        <v>0</v>
      </c>
      <c r="CL45" s="62"/>
      <c r="CM45" s="62"/>
      <c r="CN45" s="62"/>
      <c r="CO45" s="62"/>
      <c r="CP45" s="62"/>
      <c r="CQ45" s="62"/>
      <c r="CR45" s="62"/>
      <c r="CS45" s="62"/>
      <c r="CT45" s="62"/>
      <c r="CU45" s="78"/>
      <c r="CV45" s="78"/>
      <c r="CW45" s="78"/>
      <c r="CX45" s="78"/>
      <c r="CY45" s="78"/>
      <c r="CZ45" s="78"/>
      <c r="DA45" s="78"/>
      <c r="DB45" s="78"/>
      <c r="DC45" s="78"/>
      <c r="DD45" s="62"/>
      <c r="DE45" s="62"/>
      <c r="DF45" s="62"/>
      <c r="DG45" s="64"/>
      <c r="DH45" s="64"/>
      <c r="DI45" s="62"/>
      <c r="DJ45" s="64"/>
      <c r="DK45" s="64"/>
      <c r="DL45" s="64"/>
      <c r="DM45" s="8">
        <f t="shared" si="31"/>
        <v>0</v>
      </c>
      <c r="DN45" s="8">
        <f t="shared" si="32"/>
        <v>0</v>
      </c>
      <c r="DO45" s="202" t="e">
        <f>#N/A</f>
        <v>#N/A</v>
      </c>
      <c r="DP45" s="202" t="e">
        <f>#N/A</f>
        <v>#N/A</v>
      </c>
      <c r="DQ45" s="202" t="e">
        <f>#N/A</f>
        <v>#N/A</v>
      </c>
      <c r="DR45" s="9" t="e">
        <f>#N/A</f>
        <v>#N/A</v>
      </c>
      <c r="DS45" s="9" t="e">
        <f>#N/A</f>
        <v>#N/A</v>
      </c>
      <c r="DT45" s="9" t="e">
        <f>#N/A</f>
        <v>#N/A</v>
      </c>
      <c r="DU45" s="202" t="e">
        <f>#N/A</f>
        <v>#N/A</v>
      </c>
      <c r="DV45" s="202" t="e">
        <f>#N/A</f>
        <v>#N/A</v>
      </c>
      <c r="DW45" s="202" t="e">
        <f>#N/A</f>
        <v>#N/A</v>
      </c>
      <c r="DX45" s="203" t="e">
        <f t="shared" si="16"/>
        <v>#N/A</v>
      </c>
      <c r="DY45" s="203" t="e">
        <f t="shared" si="17"/>
        <v>#N/A</v>
      </c>
      <c r="DZ45" s="203" t="e">
        <f t="shared" si="18"/>
        <v>#N/A</v>
      </c>
      <c r="EA45" s="19" t="e">
        <f t="shared" si="19"/>
        <v>#N/A</v>
      </c>
      <c r="EB45" s="19" t="e">
        <f t="shared" si="20"/>
        <v>#N/A</v>
      </c>
      <c r="EC45" s="19" t="e">
        <f t="shared" si="21"/>
        <v>#N/A</v>
      </c>
      <c r="ED45" s="203" t="e">
        <f t="shared" si="22"/>
        <v>#N/A</v>
      </c>
      <c r="EE45" s="203" t="e">
        <f t="shared" si="23"/>
        <v>#N/A</v>
      </c>
      <c r="EF45" s="203" t="e">
        <f t="shared" si="24"/>
        <v>#N/A</v>
      </c>
      <c r="EH45" s="58">
        <f t="shared" si="25"/>
        <v>0</v>
      </c>
      <c r="EI45" s="68" t="e">
        <f t="shared" si="26"/>
        <v>#DIV/0!</v>
      </c>
      <c r="EJ45" s="58">
        <f t="shared" si="27"/>
        <v>0</v>
      </c>
      <c r="EK45" s="68" t="e">
        <f t="shared" si="26"/>
        <v>#DIV/0!</v>
      </c>
      <c r="EL45" s="58">
        <f t="shared" si="28"/>
        <v>0</v>
      </c>
      <c r="EM45" s="58">
        <f t="shared" si="29"/>
        <v>0</v>
      </c>
      <c r="EN45" s="68" t="e">
        <f t="shared" si="26"/>
        <v>#DIV/0!</v>
      </c>
    </row>
    <row r="46" spans="1:144" x14ac:dyDescent="0.2">
      <c r="A46" s="43">
        <v>0</v>
      </c>
      <c r="B46" s="43">
        <v>0</v>
      </c>
      <c r="C46" s="43">
        <v>0</v>
      </c>
      <c r="D46" s="70">
        <v>2011</v>
      </c>
      <c r="E46" s="70">
        <v>3</v>
      </c>
      <c r="F46" s="64"/>
      <c r="G46" s="63"/>
      <c r="H46" s="63"/>
      <c r="I46" s="63"/>
      <c r="J46" s="63"/>
      <c r="K46" s="63"/>
      <c r="L46" s="63"/>
      <c r="M46" s="64"/>
      <c r="N46" s="64"/>
      <c r="O46" s="64"/>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5"/>
      <c r="AR46" s="18"/>
      <c r="AS46" s="18"/>
      <c r="AT46" s="18"/>
      <c r="AU46" s="63"/>
      <c r="AV46" s="63"/>
      <c r="AW46" s="63"/>
      <c r="AX46" s="63"/>
      <c r="AY46" s="63"/>
      <c r="AZ46" s="63"/>
      <c r="BA46" s="4"/>
      <c r="BB46" s="4"/>
      <c r="BC46" s="4"/>
      <c r="BD46" s="4"/>
      <c r="BE46" s="4"/>
      <c r="BF46" s="4"/>
      <c r="BG46" s="4"/>
      <c r="BH46" s="4"/>
      <c r="BI46" s="4"/>
      <c r="BJ46" s="4"/>
      <c r="BK46" s="4"/>
      <c r="BL46" s="4"/>
      <c r="BM46" s="4"/>
      <c r="BN46" s="4"/>
      <c r="BO46" s="4"/>
      <c r="BP46" s="18"/>
      <c r="BQ46" s="62"/>
      <c r="BR46" s="63"/>
      <c r="BS46" s="77"/>
      <c r="BT46" s="64"/>
      <c r="BU46" s="64"/>
      <c r="BV46" s="64"/>
      <c r="BW46" s="64"/>
      <c r="BX46" s="64"/>
      <c r="BY46" s="64"/>
      <c r="BZ46" s="64"/>
      <c r="CA46" s="64"/>
      <c r="CB46" s="63"/>
      <c r="CC46" s="63"/>
      <c r="CD46" s="63"/>
      <c r="CE46" s="63"/>
      <c r="CF46" s="63"/>
      <c r="CG46" s="65"/>
      <c r="CH46" s="65"/>
      <c r="CI46" s="65"/>
      <c r="CJ46" s="63"/>
      <c r="CK46" s="8">
        <f t="shared" si="30"/>
        <v>0</v>
      </c>
      <c r="CL46" s="62"/>
      <c r="CM46" s="62"/>
      <c r="CN46" s="62"/>
      <c r="CO46" s="62"/>
      <c r="CP46" s="62"/>
      <c r="CQ46" s="62"/>
      <c r="CR46" s="62"/>
      <c r="CS46" s="62"/>
      <c r="CT46" s="62"/>
      <c r="CU46" s="78"/>
      <c r="CV46" s="78"/>
      <c r="CW46" s="78"/>
      <c r="CX46" s="78"/>
      <c r="CY46" s="78"/>
      <c r="CZ46" s="78"/>
      <c r="DA46" s="78"/>
      <c r="DB46" s="78"/>
      <c r="DC46" s="78"/>
      <c r="DD46" s="62"/>
      <c r="DE46" s="62"/>
      <c r="DF46" s="62"/>
      <c r="DG46" s="64"/>
      <c r="DH46" s="64"/>
      <c r="DI46" s="62"/>
      <c r="DJ46" s="64"/>
      <c r="DK46" s="64"/>
      <c r="DL46" s="64"/>
      <c r="DM46" s="8">
        <f t="shared" si="31"/>
        <v>0</v>
      </c>
      <c r="DN46" s="8">
        <f t="shared" si="32"/>
        <v>0</v>
      </c>
      <c r="DO46" s="202" t="e">
        <f>#N/A</f>
        <v>#N/A</v>
      </c>
      <c r="DP46" s="202" t="e">
        <f>#N/A</f>
        <v>#N/A</v>
      </c>
      <c r="DQ46" s="202" t="e">
        <f>#N/A</f>
        <v>#N/A</v>
      </c>
      <c r="DR46" s="9" t="e">
        <f>#N/A</f>
        <v>#N/A</v>
      </c>
      <c r="DS46" s="9" t="e">
        <f>#N/A</f>
        <v>#N/A</v>
      </c>
      <c r="DT46" s="9" t="e">
        <f>#N/A</f>
        <v>#N/A</v>
      </c>
      <c r="DU46" s="202" t="e">
        <f>#N/A</f>
        <v>#N/A</v>
      </c>
      <c r="DV46" s="202" t="e">
        <f>#N/A</f>
        <v>#N/A</v>
      </c>
      <c r="DW46" s="202" t="e">
        <f>#N/A</f>
        <v>#N/A</v>
      </c>
      <c r="DX46" s="203" t="e">
        <f t="shared" si="16"/>
        <v>#N/A</v>
      </c>
      <c r="DY46" s="203" t="e">
        <f t="shared" si="17"/>
        <v>#N/A</v>
      </c>
      <c r="DZ46" s="203" t="e">
        <f t="shared" si="18"/>
        <v>#N/A</v>
      </c>
      <c r="EA46" s="19" t="e">
        <f t="shared" si="19"/>
        <v>#N/A</v>
      </c>
      <c r="EB46" s="19" t="e">
        <f t="shared" si="20"/>
        <v>#N/A</v>
      </c>
      <c r="EC46" s="19" t="e">
        <f t="shared" si="21"/>
        <v>#N/A</v>
      </c>
      <c r="ED46" s="203" t="e">
        <f t="shared" si="22"/>
        <v>#N/A</v>
      </c>
      <c r="EE46" s="203" t="e">
        <f t="shared" si="23"/>
        <v>#N/A</v>
      </c>
      <c r="EF46" s="203" t="e">
        <f t="shared" si="24"/>
        <v>#N/A</v>
      </c>
      <c r="EH46" s="58">
        <f t="shared" si="25"/>
        <v>0</v>
      </c>
      <c r="EI46" s="68" t="e">
        <f t="shared" si="26"/>
        <v>#DIV/0!</v>
      </c>
      <c r="EJ46" s="58">
        <f t="shared" si="27"/>
        <v>0</v>
      </c>
      <c r="EK46" s="68" t="e">
        <f t="shared" si="26"/>
        <v>#DIV/0!</v>
      </c>
      <c r="EL46" s="58">
        <f t="shared" si="28"/>
        <v>0</v>
      </c>
      <c r="EM46" s="58">
        <f t="shared" si="29"/>
        <v>0</v>
      </c>
      <c r="EN46" s="68" t="e">
        <f t="shared" si="26"/>
        <v>#DIV/0!</v>
      </c>
    </row>
    <row r="47" spans="1:144" x14ac:dyDescent="0.2">
      <c r="A47" s="43">
        <v>0</v>
      </c>
      <c r="B47" s="43">
        <v>0</v>
      </c>
      <c r="C47" s="43">
        <v>0</v>
      </c>
      <c r="D47" s="70">
        <v>2011</v>
      </c>
      <c r="E47" s="70">
        <v>4</v>
      </c>
      <c r="F47" s="64"/>
      <c r="G47" s="63"/>
      <c r="H47" s="63"/>
      <c r="I47" s="63"/>
      <c r="J47" s="63"/>
      <c r="K47" s="63"/>
      <c r="L47" s="63"/>
      <c r="M47" s="64"/>
      <c r="N47" s="64"/>
      <c r="O47" s="64"/>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5"/>
      <c r="AR47" s="18"/>
      <c r="AS47" s="18"/>
      <c r="AT47" s="18"/>
      <c r="AU47" s="63"/>
      <c r="AV47" s="63"/>
      <c r="AW47" s="63"/>
      <c r="AX47" s="63"/>
      <c r="AY47" s="63"/>
      <c r="AZ47" s="63"/>
      <c r="BA47" s="4"/>
      <c r="BB47" s="4"/>
      <c r="BC47" s="4"/>
      <c r="BD47" s="4"/>
      <c r="BE47" s="4"/>
      <c r="BF47" s="4"/>
      <c r="BG47" s="4"/>
      <c r="BH47" s="4"/>
      <c r="BI47" s="4"/>
      <c r="BJ47" s="4"/>
      <c r="BK47" s="4"/>
      <c r="BL47" s="4"/>
      <c r="BM47" s="4"/>
      <c r="BN47" s="4"/>
      <c r="BO47" s="4"/>
      <c r="BP47" s="18"/>
      <c r="BQ47" s="62"/>
      <c r="BR47" s="63"/>
      <c r="BS47" s="77"/>
      <c r="BT47" s="64"/>
      <c r="BU47" s="64"/>
      <c r="BV47" s="64"/>
      <c r="BW47" s="64"/>
      <c r="BX47" s="64"/>
      <c r="BY47" s="64"/>
      <c r="BZ47" s="64"/>
      <c r="CA47" s="64"/>
      <c r="CB47" s="63"/>
      <c r="CC47" s="63"/>
      <c r="CD47" s="63"/>
      <c r="CE47" s="63"/>
      <c r="CF47" s="63"/>
      <c r="CG47" s="65"/>
      <c r="CH47" s="65"/>
      <c r="CI47" s="65"/>
      <c r="CJ47" s="63"/>
      <c r="CK47" s="8">
        <f t="shared" si="30"/>
        <v>0</v>
      </c>
      <c r="CL47" s="62"/>
      <c r="CM47" s="62"/>
      <c r="CN47" s="62"/>
      <c r="CO47" s="62"/>
      <c r="CP47" s="62"/>
      <c r="CQ47" s="62"/>
      <c r="CR47" s="62"/>
      <c r="CS47" s="62"/>
      <c r="CT47" s="62"/>
      <c r="CU47" s="78"/>
      <c r="CV47" s="78"/>
      <c r="CW47" s="78"/>
      <c r="CX47" s="78"/>
      <c r="CY47" s="78"/>
      <c r="CZ47" s="78"/>
      <c r="DA47" s="78"/>
      <c r="DB47" s="78"/>
      <c r="DC47" s="78"/>
      <c r="DD47" s="62"/>
      <c r="DE47" s="62"/>
      <c r="DF47" s="62"/>
      <c r="DG47" s="64"/>
      <c r="DH47" s="64"/>
      <c r="DI47" s="62"/>
      <c r="DJ47" s="64"/>
      <c r="DK47" s="64"/>
      <c r="DL47" s="64"/>
      <c r="DM47" s="8">
        <f t="shared" si="31"/>
        <v>0</v>
      </c>
      <c r="DN47" s="8">
        <f t="shared" si="32"/>
        <v>0</v>
      </c>
      <c r="DO47" s="202" t="e">
        <f>#N/A</f>
        <v>#N/A</v>
      </c>
      <c r="DP47" s="202" t="e">
        <f>#N/A</f>
        <v>#N/A</v>
      </c>
      <c r="DQ47" s="202" t="e">
        <f>#N/A</f>
        <v>#N/A</v>
      </c>
      <c r="DR47" s="9" t="e">
        <f>#N/A</f>
        <v>#N/A</v>
      </c>
      <c r="DS47" s="9" t="e">
        <f>#N/A</f>
        <v>#N/A</v>
      </c>
      <c r="DT47" s="9" t="e">
        <f>#N/A</f>
        <v>#N/A</v>
      </c>
      <c r="DU47" s="202" t="e">
        <f>#N/A</f>
        <v>#N/A</v>
      </c>
      <c r="DV47" s="202" t="e">
        <f>#N/A</f>
        <v>#N/A</v>
      </c>
      <c r="DW47" s="202" t="e">
        <f>#N/A</f>
        <v>#N/A</v>
      </c>
      <c r="DX47" s="203" t="e">
        <f t="shared" si="16"/>
        <v>#N/A</v>
      </c>
      <c r="DY47" s="203" t="e">
        <f t="shared" si="17"/>
        <v>#N/A</v>
      </c>
      <c r="DZ47" s="203" t="e">
        <f t="shared" si="18"/>
        <v>#N/A</v>
      </c>
      <c r="EA47" s="19" t="e">
        <f t="shared" si="19"/>
        <v>#N/A</v>
      </c>
      <c r="EB47" s="19" t="e">
        <f t="shared" si="20"/>
        <v>#N/A</v>
      </c>
      <c r="EC47" s="19" t="e">
        <f t="shared" si="21"/>
        <v>#N/A</v>
      </c>
      <c r="ED47" s="203" t="e">
        <f t="shared" si="22"/>
        <v>#N/A</v>
      </c>
      <c r="EE47" s="203" t="e">
        <f t="shared" si="23"/>
        <v>#N/A</v>
      </c>
      <c r="EF47" s="203" t="e">
        <f t="shared" si="24"/>
        <v>#N/A</v>
      </c>
      <c r="EH47" s="58">
        <f t="shared" si="25"/>
        <v>0</v>
      </c>
      <c r="EI47" s="68" t="e">
        <f t="shared" si="26"/>
        <v>#DIV/0!</v>
      </c>
      <c r="EJ47" s="58">
        <f t="shared" si="27"/>
        <v>0</v>
      </c>
      <c r="EK47" s="68" t="e">
        <f t="shared" si="26"/>
        <v>#DIV/0!</v>
      </c>
      <c r="EL47" s="58">
        <f t="shared" si="28"/>
        <v>0</v>
      </c>
      <c r="EM47" s="58">
        <f t="shared" si="29"/>
        <v>0</v>
      </c>
      <c r="EN47" s="68" t="e">
        <f t="shared" si="26"/>
        <v>#DIV/0!</v>
      </c>
    </row>
    <row r="48" spans="1:144" x14ac:dyDescent="0.2">
      <c r="A48" s="43">
        <v>0</v>
      </c>
      <c r="B48" s="43">
        <v>0</v>
      </c>
      <c r="C48" s="43">
        <v>0</v>
      </c>
      <c r="D48" s="70">
        <v>2011</v>
      </c>
      <c r="E48" s="70">
        <v>5</v>
      </c>
      <c r="F48" s="64"/>
      <c r="G48" s="63"/>
      <c r="H48" s="63"/>
      <c r="I48" s="63"/>
      <c r="J48" s="63"/>
      <c r="K48" s="63"/>
      <c r="L48" s="63"/>
      <c r="M48" s="64"/>
      <c r="N48" s="64"/>
      <c r="O48" s="64"/>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5"/>
      <c r="AR48" s="18"/>
      <c r="AS48" s="18"/>
      <c r="AT48" s="18"/>
      <c r="AU48" s="63"/>
      <c r="AV48" s="63"/>
      <c r="AW48" s="63"/>
      <c r="AX48" s="63"/>
      <c r="AY48" s="63"/>
      <c r="AZ48" s="63"/>
      <c r="BA48" s="4"/>
      <c r="BB48" s="4"/>
      <c r="BC48" s="4"/>
      <c r="BD48" s="4"/>
      <c r="BE48" s="4"/>
      <c r="BF48" s="4"/>
      <c r="BG48" s="4"/>
      <c r="BH48" s="4"/>
      <c r="BI48" s="4"/>
      <c r="BJ48" s="4"/>
      <c r="BK48" s="4"/>
      <c r="BL48" s="4"/>
      <c r="BM48" s="4"/>
      <c r="BN48" s="4"/>
      <c r="BO48" s="4"/>
      <c r="BP48" s="18"/>
      <c r="BQ48" s="62"/>
      <c r="BR48" s="63"/>
      <c r="BS48" s="77"/>
      <c r="BT48" s="64"/>
      <c r="BU48" s="64"/>
      <c r="BV48" s="64"/>
      <c r="BW48" s="64"/>
      <c r="BX48" s="64"/>
      <c r="BY48" s="64"/>
      <c r="BZ48" s="64"/>
      <c r="CA48" s="64"/>
      <c r="CB48" s="63"/>
      <c r="CC48" s="63"/>
      <c r="CD48" s="63"/>
      <c r="CE48" s="63"/>
      <c r="CF48" s="63"/>
      <c r="CG48" s="65"/>
      <c r="CH48" s="65"/>
      <c r="CI48" s="65"/>
      <c r="CJ48" s="63"/>
      <c r="CK48" s="8">
        <f t="shared" si="30"/>
        <v>0</v>
      </c>
      <c r="CL48" s="62"/>
      <c r="CM48" s="62"/>
      <c r="CN48" s="62"/>
      <c r="CO48" s="62"/>
      <c r="CP48" s="62"/>
      <c r="CQ48" s="62"/>
      <c r="CR48" s="62"/>
      <c r="CS48" s="62"/>
      <c r="CT48" s="62"/>
      <c r="CU48" s="78"/>
      <c r="CV48" s="78"/>
      <c r="CW48" s="78"/>
      <c r="CX48" s="78"/>
      <c r="CY48" s="78"/>
      <c r="CZ48" s="78"/>
      <c r="DA48" s="78"/>
      <c r="DB48" s="78"/>
      <c r="DC48" s="78"/>
      <c r="DD48" s="62"/>
      <c r="DE48" s="62"/>
      <c r="DF48" s="62"/>
      <c r="DG48" s="64"/>
      <c r="DH48" s="64"/>
      <c r="DI48" s="62"/>
      <c r="DJ48" s="64"/>
      <c r="DK48" s="64"/>
      <c r="DL48" s="64"/>
      <c r="DM48" s="8">
        <f t="shared" si="31"/>
        <v>0</v>
      </c>
      <c r="DN48" s="8">
        <f t="shared" si="32"/>
        <v>0</v>
      </c>
      <c r="DO48" s="202" t="e">
        <f>#N/A</f>
        <v>#N/A</v>
      </c>
      <c r="DP48" s="202" t="e">
        <f>#N/A</f>
        <v>#N/A</v>
      </c>
      <c r="DQ48" s="202" t="e">
        <f>#N/A</f>
        <v>#N/A</v>
      </c>
      <c r="DR48" s="9" t="e">
        <f>#N/A</f>
        <v>#N/A</v>
      </c>
      <c r="DS48" s="9" t="e">
        <f>#N/A</f>
        <v>#N/A</v>
      </c>
      <c r="DT48" s="9" t="e">
        <f>#N/A</f>
        <v>#N/A</v>
      </c>
      <c r="DU48" s="202" t="e">
        <f>#N/A</f>
        <v>#N/A</v>
      </c>
      <c r="DV48" s="202" t="e">
        <f>#N/A</f>
        <v>#N/A</v>
      </c>
      <c r="DW48" s="202" t="e">
        <f>#N/A</f>
        <v>#N/A</v>
      </c>
      <c r="DX48" s="203" t="e">
        <f t="shared" si="16"/>
        <v>#N/A</v>
      </c>
      <c r="DY48" s="203" t="e">
        <f t="shared" si="17"/>
        <v>#N/A</v>
      </c>
      <c r="DZ48" s="203" t="e">
        <f t="shared" si="18"/>
        <v>#N/A</v>
      </c>
      <c r="EA48" s="19" t="e">
        <f t="shared" si="19"/>
        <v>#N/A</v>
      </c>
      <c r="EB48" s="19" t="e">
        <f t="shared" si="20"/>
        <v>#N/A</v>
      </c>
      <c r="EC48" s="19" t="e">
        <f t="shared" si="21"/>
        <v>#N/A</v>
      </c>
      <c r="ED48" s="203" t="e">
        <f t="shared" si="22"/>
        <v>#N/A</v>
      </c>
      <c r="EE48" s="203" t="e">
        <f t="shared" si="23"/>
        <v>#N/A</v>
      </c>
      <c r="EF48" s="203" t="e">
        <f t="shared" si="24"/>
        <v>#N/A</v>
      </c>
      <c r="EH48" s="58">
        <f t="shared" si="25"/>
        <v>0</v>
      </c>
      <c r="EI48" s="68" t="e">
        <f t="shared" si="26"/>
        <v>#DIV/0!</v>
      </c>
      <c r="EJ48" s="58">
        <f t="shared" si="27"/>
        <v>0</v>
      </c>
      <c r="EK48" s="68" t="e">
        <f t="shared" si="26"/>
        <v>#DIV/0!</v>
      </c>
      <c r="EL48" s="58">
        <f t="shared" si="28"/>
        <v>0</v>
      </c>
      <c r="EM48" s="58">
        <f t="shared" si="29"/>
        <v>0</v>
      </c>
      <c r="EN48" s="68" t="e">
        <f t="shared" si="26"/>
        <v>#DIV/0!</v>
      </c>
    </row>
    <row r="49" spans="1:144" x14ac:dyDescent="0.2">
      <c r="A49" s="43">
        <v>0</v>
      </c>
      <c r="B49" s="43">
        <v>0</v>
      </c>
      <c r="C49" s="43">
        <v>0</v>
      </c>
      <c r="D49" s="70">
        <v>2011</v>
      </c>
      <c r="E49" s="70">
        <v>6</v>
      </c>
      <c r="F49" s="64"/>
      <c r="G49" s="63"/>
      <c r="H49" s="63"/>
      <c r="I49" s="63"/>
      <c r="J49" s="63"/>
      <c r="K49" s="63"/>
      <c r="L49" s="63"/>
      <c r="M49" s="64"/>
      <c r="N49" s="64"/>
      <c r="O49" s="64"/>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5"/>
      <c r="AR49" s="18"/>
      <c r="AS49" s="18"/>
      <c r="AT49" s="18"/>
      <c r="AU49" s="63"/>
      <c r="AV49" s="63"/>
      <c r="AW49" s="63"/>
      <c r="AX49" s="63"/>
      <c r="AY49" s="63"/>
      <c r="AZ49" s="63"/>
      <c r="BA49" s="4"/>
      <c r="BB49" s="4"/>
      <c r="BC49" s="4"/>
      <c r="BD49" s="4"/>
      <c r="BE49" s="4"/>
      <c r="BF49" s="4"/>
      <c r="BG49" s="4"/>
      <c r="BH49" s="4"/>
      <c r="BI49" s="4"/>
      <c r="BJ49" s="4"/>
      <c r="BK49" s="4"/>
      <c r="BL49" s="4"/>
      <c r="BM49" s="4"/>
      <c r="BN49" s="4"/>
      <c r="BO49" s="4"/>
      <c r="BP49" s="18"/>
      <c r="BQ49" s="62"/>
      <c r="BR49" s="63"/>
      <c r="BS49" s="77"/>
      <c r="BT49" s="64"/>
      <c r="BU49" s="64"/>
      <c r="BV49" s="64"/>
      <c r="BW49" s="64"/>
      <c r="BX49" s="64"/>
      <c r="BY49" s="64"/>
      <c r="BZ49" s="64"/>
      <c r="CA49" s="64"/>
      <c r="CB49" s="63"/>
      <c r="CC49" s="63"/>
      <c r="CD49" s="63"/>
      <c r="CE49" s="63"/>
      <c r="CF49" s="63"/>
      <c r="CG49" s="65"/>
      <c r="CH49" s="65"/>
      <c r="CI49" s="65"/>
      <c r="CJ49" s="63"/>
      <c r="CK49" s="8">
        <f t="shared" si="30"/>
        <v>0</v>
      </c>
      <c r="CL49" s="62"/>
      <c r="CM49" s="62"/>
      <c r="CN49" s="62"/>
      <c r="CO49" s="62"/>
      <c r="CP49" s="62"/>
      <c r="CQ49" s="62"/>
      <c r="CR49" s="62"/>
      <c r="CS49" s="62"/>
      <c r="CT49" s="62"/>
      <c r="CU49" s="78"/>
      <c r="CV49" s="78"/>
      <c r="CW49" s="78"/>
      <c r="CX49" s="78"/>
      <c r="CY49" s="78"/>
      <c r="CZ49" s="78"/>
      <c r="DA49" s="78"/>
      <c r="DB49" s="78"/>
      <c r="DC49" s="78"/>
      <c r="DD49" s="62"/>
      <c r="DE49" s="62"/>
      <c r="DF49" s="62"/>
      <c r="DG49" s="64"/>
      <c r="DH49" s="64"/>
      <c r="DI49" s="62"/>
      <c r="DJ49" s="64"/>
      <c r="DK49" s="64"/>
      <c r="DL49" s="64"/>
      <c r="DM49" s="8">
        <f t="shared" si="31"/>
        <v>0</v>
      </c>
      <c r="DN49" s="8">
        <f t="shared" si="32"/>
        <v>0</v>
      </c>
      <c r="DO49" s="202" t="e">
        <f>#N/A</f>
        <v>#N/A</v>
      </c>
      <c r="DP49" s="202" t="e">
        <f>#N/A</f>
        <v>#N/A</v>
      </c>
      <c r="DQ49" s="202" t="e">
        <f>#N/A</f>
        <v>#N/A</v>
      </c>
      <c r="DR49" s="9" t="e">
        <f>#N/A</f>
        <v>#N/A</v>
      </c>
      <c r="DS49" s="9" t="e">
        <f>#N/A</f>
        <v>#N/A</v>
      </c>
      <c r="DT49" s="9" t="e">
        <f>#N/A</f>
        <v>#N/A</v>
      </c>
      <c r="DU49" s="202" t="e">
        <f>#N/A</f>
        <v>#N/A</v>
      </c>
      <c r="DV49" s="202" t="e">
        <f>#N/A</f>
        <v>#N/A</v>
      </c>
      <c r="DW49" s="202" t="e">
        <f>#N/A</f>
        <v>#N/A</v>
      </c>
      <c r="DX49" s="203" t="e">
        <f t="shared" si="16"/>
        <v>#N/A</v>
      </c>
      <c r="DY49" s="203" t="e">
        <f t="shared" si="17"/>
        <v>#N/A</v>
      </c>
      <c r="DZ49" s="203" t="e">
        <f t="shared" si="18"/>
        <v>#N/A</v>
      </c>
      <c r="EA49" s="19" t="e">
        <f t="shared" si="19"/>
        <v>#N/A</v>
      </c>
      <c r="EB49" s="19" t="e">
        <f t="shared" si="20"/>
        <v>#N/A</v>
      </c>
      <c r="EC49" s="19" t="e">
        <f t="shared" si="21"/>
        <v>#N/A</v>
      </c>
      <c r="ED49" s="203" t="e">
        <f t="shared" si="22"/>
        <v>#N/A</v>
      </c>
      <c r="EE49" s="203" t="e">
        <f t="shared" si="23"/>
        <v>#N/A</v>
      </c>
      <c r="EF49" s="203" t="e">
        <f t="shared" si="24"/>
        <v>#N/A</v>
      </c>
      <c r="EH49" s="58">
        <f t="shared" si="25"/>
        <v>0</v>
      </c>
      <c r="EI49" s="68" t="e">
        <f t="shared" si="26"/>
        <v>#DIV/0!</v>
      </c>
      <c r="EJ49" s="58">
        <f t="shared" si="27"/>
        <v>0</v>
      </c>
      <c r="EK49" s="68" t="e">
        <f t="shared" si="26"/>
        <v>#DIV/0!</v>
      </c>
      <c r="EL49" s="58">
        <f t="shared" si="28"/>
        <v>0</v>
      </c>
      <c r="EM49" s="58">
        <f t="shared" si="29"/>
        <v>0</v>
      </c>
      <c r="EN49" s="68" t="e">
        <f t="shared" si="26"/>
        <v>#DIV/0!</v>
      </c>
    </row>
    <row r="50" spans="1:144" x14ac:dyDescent="0.2">
      <c r="A50" s="43">
        <v>0</v>
      </c>
      <c r="B50" s="43">
        <v>0</v>
      </c>
      <c r="C50" s="43">
        <v>0</v>
      </c>
      <c r="D50" s="70">
        <v>2011</v>
      </c>
      <c r="E50" s="70">
        <v>7</v>
      </c>
      <c r="F50" s="64"/>
      <c r="G50" s="63"/>
      <c r="H50" s="63"/>
      <c r="I50" s="63"/>
      <c r="J50" s="63"/>
      <c r="K50" s="63"/>
      <c r="L50" s="63"/>
      <c r="M50" s="64"/>
      <c r="N50" s="64"/>
      <c r="O50" s="64"/>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5"/>
      <c r="AR50" s="18"/>
      <c r="AS50" s="18"/>
      <c r="AT50" s="18"/>
      <c r="AU50" s="63"/>
      <c r="AV50" s="63"/>
      <c r="AW50" s="63"/>
      <c r="AX50" s="63"/>
      <c r="AY50" s="63"/>
      <c r="AZ50" s="63"/>
      <c r="BA50" s="4"/>
      <c r="BB50" s="4"/>
      <c r="BC50" s="4"/>
      <c r="BD50" s="4"/>
      <c r="BE50" s="4"/>
      <c r="BF50" s="4"/>
      <c r="BG50" s="4"/>
      <c r="BH50" s="4"/>
      <c r="BI50" s="4"/>
      <c r="BJ50" s="4"/>
      <c r="BK50" s="4"/>
      <c r="BL50" s="4"/>
      <c r="BM50" s="4"/>
      <c r="BN50" s="4"/>
      <c r="BO50" s="4"/>
      <c r="BP50" s="18"/>
      <c r="BQ50" s="62"/>
      <c r="BR50" s="63"/>
      <c r="BS50" s="77"/>
      <c r="BT50" s="64"/>
      <c r="BU50" s="64"/>
      <c r="BV50" s="64"/>
      <c r="BW50" s="64"/>
      <c r="BX50" s="64"/>
      <c r="BY50" s="64"/>
      <c r="BZ50" s="64"/>
      <c r="CA50" s="64"/>
      <c r="CB50" s="63"/>
      <c r="CC50" s="63"/>
      <c r="CD50" s="63"/>
      <c r="CE50" s="63"/>
      <c r="CF50" s="63"/>
      <c r="CG50" s="65"/>
      <c r="CH50" s="65"/>
      <c r="CI50" s="65"/>
      <c r="CJ50" s="63"/>
      <c r="CK50" s="8">
        <f t="shared" si="30"/>
        <v>0</v>
      </c>
      <c r="CL50" s="62"/>
      <c r="CM50" s="62"/>
      <c r="CN50" s="62"/>
      <c r="CO50" s="62"/>
      <c r="CP50" s="62"/>
      <c r="CQ50" s="62"/>
      <c r="CR50" s="62"/>
      <c r="CS50" s="62"/>
      <c r="CT50" s="62"/>
      <c r="CU50" s="78"/>
      <c r="CV50" s="78"/>
      <c r="CW50" s="78"/>
      <c r="CX50" s="78"/>
      <c r="CY50" s="78"/>
      <c r="CZ50" s="78"/>
      <c r="DA50" s="78"/>
      <c r="DB50" s="78"/>
      <c r="DC50" s="78"/>
      <c r="DD50" s="62"/>
      <c r="DE50" s="62"/>
      <c r="DF50" s="62"/>
      <c r="DG50" s="64"/>
      <c r="DH50" s="64"/>
      <c r="DI50" s="62"/>
      <c r="DJ50" s="64"/>
      <c r="DK50" s="64"/>
      <c r="DL50" s="64"/>
      <c r="DM50" s="8">
        <f t="shared" si="31"/>
        <v>0</v>
      </c>
      <c r="DN50" s="8">
        <f t="shared" si="32"/>
        <v>0</v>
      </c>
      <c r="DO50" s="202" t="e">
        <f>#N/A</f>
        <v>#N/A</v>
      </c>
      <c r="DP50" s="202" t="e">
        <f>#N/A</f>
        <v>#N/A</v>
      </c>
      <c r="DQ50" s="202" t="e">
        <f>#N/A</f>
        <v>#N/A</v>
      </c>
      <c r="DR50" s="9" t="e">
        <f>#N/A</f>
        <v>#N/A</v>
      </c>
      <c r="DS50" s="9" t="e">
        <f>#N/A</f>
        <v>#N/A</v>
      </c>
      <c r="DT50" s="9" t="e">
        <f>#N/A</f>
        <v>#N/A</v>
      </c>
      <c r="DU50" s="202" t="e">
        <f>#N/A</f>
        <v>#N/A</v>
      </c>
      <c r="DV50" s="202" t="e">
        <f>#N/A</f>
        <v>#N/A</v>
      </c>
      <c r="DW50" s="202" t="e">
        <f>#N/A</f>
        <v>#N/A</v>
      </c>
      <c r="DX50" s="203" t="e">
        <f t="shared" si="16"/>
        <v>#N/A</v>
      </c>
      <c r="DY50" s="203" t="e">
        <f t="shared" si="17"/>
        <v>#N/A</v>
      </c>
      <c r="DZ50" s="203" t="e">
        <f t="shared" si="18"/>
        <v>#N/A</v>
      </c>
      <c r="EA50" s="19" t="e">
        <f t="shared" si="19"/>
        <v>#N/A</v>
      </c>
      <c r="EB50" s="19" t="e">
        <f t="shared" si="20"/>
        <v>#N/A</v>
      </c>
      <c r="EC50" s="19" t="e">
        <f t="shared" si="21"/>
        <v>#N/A</v>
      </c>
      <c r="ED50" s="203" t="e">
        <f t="shared" si="22"/>
        <v>#N/A</v>
      </c>
      <c r="EE50" s="203" t="e">
        <f t="shared" si="23"/>
        <v>#N/A</v>
      </c>
      <c r="EF50" s="203" t="e">
        <f t="shared" si="24"/>
        <v>#N/A</v>
      </c>
      <c r="EH50" s="58">
        <f t="shared" si="25"/>
        <v>0</v>
      </c>
      <c r="EI50" s="68" t="e">
        <f t="shared" si="26"/>
        <v>#DIV/0!</v>
      </c>
      <c r="EJ50" s="58">
        <f t="shared" si="27"/>
        <v>0</v>
      </c>
      <c r="EK50" s="68" t="e">
        <f t="shared" si="26"/>
        <v>#DIV/0!</v>
      </c>
      <c r="EL50" s="58">
        <f t="shared" si="28"/>
        <v>0</v>
      </c>
      <c r="EM50" s="58">
        <f t="shared" si="29"/>
        <v>0</v>
      </c>
      <c r="EN50" s="68" t="e">
        <f t="shared" si="26"/>
        <v>#DIV/0!</v>
      </c>
    </row>
    <row r="51" spans="1:144" x14ac:dyDescent="0.2">
      <c r="A51" s="43">
        <v>0</v>
      </c>
      <c r="B51" s="43">
        <v>0</v>
      </c>
      <c r="C51" s="43">
        <v>0</v>
      </c>
      <c r="D51" s="70">
        <v>2011</v>
      </c>
      <c r="E51" s="70">
        <v>8</v>
      </c>
      <c r="F51" s="64"/>
      <c r="G51" s="63"/>
      <c r="H51" s="63"/>
      <c r="I51" s="63"/>
      <c r="J51" s="63"/>
      <c r="K51" s="63"/>
      <c r="L51" s="63"/>
      <c r="M51" s="64"/>
      <c r="N51" s="64"/>
      <c r="O51" s="64"/>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5"/>
      <c r="AR51" s="18"/>
      <c r="AS51" s="18"/>
      <c r="AT51" s="18"/>
      <c r="AU51" s="63"/>
      <c r="AV51" s="63"/>
      <c r="AW51" s="63"/>
      <c r="AX51" s="63"/>
      <c r="AY51" s="63"/>
      <c r="AZ51" s="63"/>
      <c r="BA51" s="4"/>
      <c r="BB51" s="4"/>
      <c r="BC51" s="4"/>
      <c r="BD51" s="4"/>
      <c r="BE51" s="4"/>
      <c r="BF51" s="4"/>
      <c r="BG51" s="4"/>
      <c r="BH51" s="4"/>
      <c r="BI51" s="4"/>
      <c r="BJ51" s="4"/>
      <c r="BK51" s="4"/>
      <c r="BL51" s="4"/>
      <c r="BM51" s="4"/>
      <c r="BN51" s="4"/>
      <c r="BO51" s="4"/>
      <c r="BP51" s="18"/>
      <c r="BQ51" s="62"/>
      <c r="BR51" s="63"/>
      <c r="BS51" s="77"/>
      <c r="BT51" s="64"/>
      <c r="BU51" s="64"/>
      <c r="BV51" s="64"/>
      <c r="BW51" s="64"/>
      <c r="BX51" s="64"/>
      <c r="BY51" s="64"/>
      <c r="BZ51" s="64"/>
      <c r="CA51" s="64"/>
      <c r="CB51" s="63"/>
      <c r="CC51" s="63"/>
      <c r="CD51" s="63"/>
      <c r="CE51" s="63"/>
      <c r="CF51" s="63"/>
      <c r="CG51" s="65"/>
      <c r="CH51" s="65"/>
      <c r="CI51" s="65"/>
      <c r="CJ51" s="63"/>
      <c r="CK51" s="8">
        <f t="shared" si="30"/>
        <v>0</v>
      </c>
      <c r="CL51" s="62"/>
      <c r="CM51" s="62"/>
      <c r="CN51" s="62"/>
      <c r="CO51" s="62"/>
      <c r="CP51" s="62"/>
      <c r="CQ51" s="62"/>
      <c r="CR51" s="62"/>
      <c r="CS51" s="62"/>
      <c r="CT51" s="62"/>
      <c r="CU51" s="78"/>
      <c r="CV51" s="78"/>
      <c r="CW51" s="78"/>
      <c r="CX51" s="78"/>
      <c r="CY51" s="78"/>
      <c r="CZ51" s="78"/>
      <c r="DA51" s="78"/>
      <c r="DB51" s="78"/>
      <c r="DC51" s="78"/>
      <c r="DD51" s="62"/>
      <c r="DE51" s="62"/>
      <c r="DF51" s="62"/>
      <c r="DG51" s="64"/>
      <c r="DH51" s="64"/>
      <c r="DI51" s="62"/>
      <c r="DJ51" s="64"/>
      <c r="DK51" s="64"/>
      <c r="DL51" s="64"/>
      <c r="DM51" s="8">
        <f t="shared" si="31"/>
        <v>0</v>
      </c>
      <c r="DN51" s="8">
        <f t="shared" si="32"/>
        <v>0</v>
      </c>
      <c r="DO51" s="202" t="e">
        <f>#N/A</f>
        <v>#N/A</v>
      </c>
      <c r="DP51" s="202" t="e">
        <f>#N/A</f>
        <v>#N/A</v>
      </c>
      <c r="DQ51" s="202" t="e">
        <f>#N/A</f>
        <v>#N/A</v>
      </c>
      <c r="DR51" s="9" t="e">
        <f>#N/A</f>
        <v>#N/A</v>
      </c>
      <c r="DS51" s="9" t="e">
        <f>#N/A</f>
        <v>#N/A</v>
      </c>
      <c r="DT51" s="9" t="e">
        <f>#N/A</f>
        <v>#N/A</v>
      </c>
      <c r="DU51" s="202" t="e">
        <f>#N/A</f>
        <v>#N/A</v>
      </c>
      <c r="DV51" s="202" t="e">
        <f>#N/A</f>
        <v>#N/A</v>
      </c>
      <c r="DW51" s="202" t="e">
        <f>#N/A</f>
        <v>#N/A</v>
      </c>
      <c r="DX51" s="203" t="e">
        <f t="shared" si="16"/>
        <v>#N/A</v>
      </c>
      <c r="DY51" s="203" t="e">
        <f t="shared" si="17"/>
        <v>#N/A</v>
      </c>
      <c r="DZ51" s="203" t="e">
        <f t="shared" si="18"/>
        <v>#N/A</v>
      </c>
      <c r="EA51" s="19" t="e">
        <f t="shared" si="19"/>
        <v>#N/A</v>
      </c>
      <c r="EB51" s="19" t="e">
        <f t="shared" si="20"/>
        <v>#N/A</v>
      </c>
      <c r="EC51" s="19" t="e">
        <f t="shared" si="21"/>
        <v>#N/A</v>
      </c>
      <c r="ED51" s="203" t="e">
        <f t="shared" si="22"/>
        <v>#N/A</v>
      </c>
      <c r="EE51" s="203" t="e">
        <f t="shared" si="23"/>
        <v>#N/A</v>
      </c>
      <c r="EF51" s="203" t="e">
        <f t="shared" si="24"/>
        <v>#N/A</v>
      </c>
      <c r="EH51" s="58">
        <f t="shared" si="25"/>
        <v>0</v>
      </c>
      <c r="EI51" s="68" t="e">
        <f t="shared" si="26"/>
        <v>#DIV/0!</v>
      </c>
      <c r="EJ51" s="58">
        <f t="shared" si="27"/>
        <v>0</v>
      </c>
      <c r="EK51" s="68" t="e">
        <f t="shared" si="26"/>
        <v>#DIV/0!</v>
      </c>
      <c r="EL51" s="58">
        <f t="shared" si="28"/>
        <v>0</v>
      </c>
      <c r="EM51" s="58">
        <f t="shared" si="29"/>
        <v>0</v>
      </c>
      <c r="EN51" s="68" t="e">
        <f t="shared" si="26"/>
        <v>#DIV/0!</v>
      </c>
    </row>
    <row r="52" spans="1:144" x14ac:dyDescent="0.2">
      <c r="A52" s="43">
        <v>0</v>
      </c>
      <c r="B52" s="43">
        <v>0</v>
      </c>
      <c r="C52" s="43">
        <v>0</v>
      </c>
      <c r="D52" s="70">
        <v>2011</v>
      </c>
      <c r="E52" s="70">
        <v>9</v>
      </c>
      <c r="F52" s="64"/>
      <c r="G52" s="63"/>
      <c r="H52" s="63"/>
      <c r="I52" s="63"/>
      <c r="J52" s="63"/>
      <c r="K52" s="63"/>
      <c r="L52" s="63"/>
      <c r="M52" s="64"/>
      <c r="N52" s="64"/>
      <c r="O52" s="64"/>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5"/>
      <c r="AR52" s="18"/>
      <c r="AS52" s="18"/>
      <c r="AT52" s="18"/>
      <c r="AU52" s="63"/>
      <c r="AV52" s="63"/>
      <c r="AW52" s="63"/>
      <c r="AX52" s="63"/>
      <c r="AY52" s="63"/>
      <c r="AZ52" s="63"/>
      <c r="BA52" s="4"/>
      <c r="BB52" s="4"/>
      <c r="BC52" s="4"/>
      <c r="BD52" s="4"/>
      <c r="BE52" s="4"/>
      <c r="BF52" s="4"/>
      <c r="BG52" s="4"/>
      <c r="BH52" s="4"/>
      <c r="BI52" s="4"/>
      <c r="BJ52" s="4"/>
      <c r="BK52" s="4"/>
      <c r="BL52" s="4"/>
      <c r="BM52" s="4"/>
      <c r="BN52" s="4"/>
      <c r="BO52" s="4"/>
      <c r="BP52" s="18"/>
      <c r="BQ52" s="62"/>
      <c r="BR52" s="63"/>
      <c r="BS52" s="77"/>
      <c r="BT52" s="64"/>
      <c r="BU52" s="64"/>
      <c r="BV52" s="64"/>
      <c r="BW52" s="64"/>
      <c r="BX52" s="64"/>
      <c r="BY52" s="64"/>
      <c r="BZ52" s="64"/>
      <c r="CA52" s="64"/>
      <c r="CB52" s="63"/>
      <c r="CC52" s="63"/>
      <c r="CD52" s="63"/>
      <c r="CE52" s="63"/>
      <c r="CF52" s="63"/>
      <c r="CG52" s="65"/>
      <c r="CH52" s="65"/>
      <c r="CI52" s="65"/>
      <c r="CJ52" s="63"/>
      <c r="CK52" s="8">
        <f t="shared" si="30"/>
        <v>0</v>
      </c>
      <c r="CL52" s="62"/>
      <c r="CM52" s="62"/>
      <c r="CN52" s="62"/>
      <c r="CO52" s="62"/>
      <c r="CP52" s="62"/>
      <c r="CQ52" s="62"/>
      <c r="CR52" s="62"/>
      <c r="CS52" s="62"/>
      <c r="CT52" s="62"/>
      <c r="CU52" s="78"/>
      <c r="CV52" s="78"/>
      <c r="CW52" s="78"/>
      <c r="CX52" s="78"/>
      <c r="CY52" s="78"/>
      <c r="CZ52" s="78"/>
      <c r="DA52" s="78"/>
      <c r="DB52" s="78"/>
      <c r="DC52" s="78"/>
      <c r="DD52" s="62"/>
      <c r="DE52" s="62"/>
      <c r="DF52" s="62"/>
      <c r="DG52" s="64"/>
      <c r="DH52" s="64"/>
      <c r="DI52" s="62"/>
      <c r="DJ52" s="64"/>
      <c r="DK52" s="64"/>
      <c r="DL52" s="64"/>
      <c r="DM52" s="8">
        <f t="shared" si="31"/>
        <v>0</v>
      </c>
      <c r="DN52" s="8">
        <f t="shared" si="32"/>
        <v>0</v>
      </c>
      <c r="DO52" s="202" t="e">
        <f>#N/A</f>
        <v>#N/A</v>
      </c>
      <c r="DP52" s="202" t="e">
        <f>#N/A</f>
        <v>#N/A</v>
      </c>
      <c r="DQ52" s="202" t="e">
        <f>#N/A</f>
        <v>#N/A</v>
      </c>
      <c r="DR52" s="9" t="e">
        <f>#N/A</f>
        <v>#N/A</v>
      </c>
      <c r="DS52" s="9" t="e">
        <f>#N/A</f>
        <v>#N/A</v>
      </c>
      <c r="DT52" s="9" t="e">
        <f>#N/A</f>
        <v>#N/A</v>
      </c>
      <c r="DU52" s="202" t="e">
        <f>#N/A</f>
        <v>#N/A</v>
      </c>
      <c r="DV52" s="202" t="e">
        <f>#N/A</f>
        <v>#N/A</v>
      </c>
      <c r="DW52" s="202" t="e">
        <f>#N/A</f>
        <v>#N/A</v>
      </c>
      <c r="DX52" s="203" t="e">
        <f t="shared" si="16"/>
        <v>#N/A</v>
      </c>
      <c r="DY52" s="203" t="e">
        <f t="shared" si="17"/>
        <v>#N/A</v>
      </c>
      <c r="DZ52" s="203" t="e">
        <f t="shared" si="18"/>
        <v>#N/A</v>
      </c>
      <c r="EA52" s="19" t="e">
        <f t="shared" si="19"/>
        <v>#N/A</v>
      </c>
      <c r="EB52" s="19" t="e">
        <f t="shared" si="20"/>
        <v>#N/A</v>
      </c>
      <c r="EC52" s="19" t="e">
        <f t="shared" si="21"/>
        <v>#N/A</v>
      </c>
      <c r="ED52" s="203" t="e">
        <f t="shared" si="22"/>
        <v>#N/A</v>
      </c>
      <c r="EE52" s="203" t="e">
        <f t="shared" si="23"/>
        <v>#N/A</v>
      </c>
      <c r="EF52" s="203" t="e">
        <f t="shared" si="24"/>
        <v>#N/A</v>
      </c>
      <c r="EH52" s="58">
        <f t="shared" si="25"/>
        <v>0</v>
      </c>
      <c r="EI52" s="68" t="e">
        <f t="shared" si="26"/>
        <v>#DIV/0!</v>
      </c>
      <c r="EJ52" s="58">
        <f t="shared" si="27"/>
        <v>0</v>
      </c>
      <c r="EK52" s="68" t="e">
        <f t="shared" si="26"/>
        <v>#DIV/0!</v>
      </c>
      <c r="EL52" s="58">
        <f t="shared" si="28"/>
        <v>0</v>
      </c>
      <c r="EM52" s="58">
        <f t="shared" si="29"/>
        <v>0</v>
      </c>
      <c r="EN52" s="68" t="e">
        <f t="shared" si="26"/>
        <v>#DIV/0!</v>
      </c>
    </row>
    <row r="53" spans="1:144" x14ac:dyDescent="0.2">
      <c r="A53" s="43">
        <v>0</v>
      </c>
      <c r="B53" s="43">
        <v>0</v>
      </c>
      <c r="C53" s="43">
        <v>0</v>
      </c>
      <c r="D53" s="70">
        <v>2011</v>
      </c>
      <c r="E53" s="70">
        <v>10</v>
      </c>
      <c r="F53" s="64"/>
      <c r="G53" s="63"/>
      <c r="H53" s="63"/>
      <c r="I53" s="63"/>
      <c r="J53" s="63"/>
      <c r="K53" s="63"/>
      <c r="L53" s="63"/>
      <c r="M53" s="64"/>
      <c r="N53" s="64"/>
      <c r="O53" s="64"/>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5"/>
      <c r="AR53" s="18"/>
      <c r="AS53" s="18"/>
      <c r="AT53" s="18"/>
      <c r="AU53" s="63"/>
      <c r="AV53" s="63"/>
      <c r="AW53" s="63"/>
      <c r="AX53" s="63"/>
      <c r="AY53" s="63"/>
      <c r="AZ53" s="63"/>
      <c r="BA53" s="4"/>
      <c r="BB53" s="4"/>
      <c r="BC53" s="4"/>
      <c r="BD53" s="4"/>
      <c r="BE53" s="4"/>
      <c r="BF53" s="4"/>
      <c r="BG53" s="4"/>
      <c r="BH53" s="4"/>
      <c r="BI53" s="4"/>
      <c r="BJ53" s="4"/>
      <c r="BK53" s="4"/>
      <c r="BL53" s="4"/>
      <c r="BM53" s="4"/>
      <c r="BN53" s="4"/>
      <c r="BO53" s="4"/>
      <c r="BP53" s="18"/>
      <c r="BQ53" s="62"/>
      <c r="BR53" s="63"/>
      <c r="BS53" s="77"/>
      <c r="BT53" s="64"/>
      <c r="BU53" s="64"/>
      <c r="BV53" s="64"/>
      <c r="BW53" s="64"/>
      <c r="BX53" s="64"/>
      <c r="BY53" s="64"/>
      <c r="BZ53" s="64"/>
      <c r="CA53" s="64"/>
      <c r="CB53" s="63"/>
      <c r="CC53" s="63"/>
      <c r="CD53" s="63"/>
      <c r="CE53" s="63"/>
      <c r="CF53" s="63"/>
      <c r="CG53" s="65"/>
      <c r="CH53" s="65"/>
      <c r="CI53" s="65"/>
      <c r="CJ53" s="63"/>
      <c r="CK53" s="8">
        <f t="shared" si="30"/>
        <v>0</v>
      </c>
      <c r="CL53" s="62"/>
      <c r="CM53" s="62"/>
      <c r="CN53" s="62"/>
      <c r="CO53" s="62"/>
      <c r="CP53" s="62"/>
      <c r="CQ53" s="62"/>
      <c r="CR53" s="62"/>
      <c r="CS53" s="62"/>
      <c r="CT53" s="62"/>
      <c r="CU53" s="78"/>
      <c r="CV53" s="78"/>
      <c r="CW53" s="78"/>
      <c r="CX53" s="78"/>
      <c r="CY53" s="78"/>
      <c r="CZ53" s="78"/>
      <c r="DA53" s="78"/>
      <c r="DB53" s="78"/>
      <c r="DC53" s="78"/>
      <c r="DD53" s="62"/>
      <c r="DE53" s="62"/>
      <c r="DF53" s="62"/>
      <c r="DG53" s="64"/>
      <c r="DH53" s="64"/>
      <c r="DI53" s="62"/>
      <c r="DJ53" s="64"/>
      <c r="DK53" s="64"/>
      <c r="DL53" s="64"/>
      <c r="DM53" s="8">
        <f t="shared" si="31"/>
        <v>0</v>
      </c>
      <c r="DN53" s="8">
        <f t="shared" si="32"/>
        <v>0</v>
      </c>
      <c r="DO53" s="202" t="e">
        <f>#N/A</f>
        <v>#N/A</v>
      </c>
      <c r="DP53" s="202" t="e">
        <f>#N/A</f>
        <v>#N/A</v>
      </c>
      <c r="DQ53" s="202" t="e">
        <f>#N/A</f>
        <v>#N/A</v>
      </c>
      <c r="DR53" s="9" t="e">
        <f>#N/A</f>
        <v>#N/A</v>
      </c>
      <c r="DS53" s="9" t="e">
        <f>#N/A</f>
        <v>#N/A</v>
      </c>
      <c r="DT53" s="9" t="e">
        <f>#N/A</f>
        <v>#N/A</v>
      </c>
      <c r="DU53" s="202" t="e">
        <f>#N/A</f>
        <v>#N/A</v>
      </c>
      <c r="DV53" s="202" t="e">
        <f>#N/A</f>
        <v>#N/A</v>
      </c>
      <c r="DW53" s="202" t="e">
        <f>#N/A</f>
        <v>#N/A</v>
      </c>
      <c r="DX53" s="203" t="e">
        <f t="shared" si="16"/>
        <v>#N/A</v>
      </c>
      <c r="DY53" s="203" t="e">
        <f t="shared" si="17"/>
        <v>#N/A</v>
      </c>
      <c r="DZ53" s="203" t="e">
        <f t="shared" si="18"/>
        <v>#N/A</v>
      </c>
      <c r="EA53" s="19" t="e">
        <f t="shared" si="19"/>
        <v>#N/A</v>
      </c>
      <c r="EB53" s="19" t="e">
        <f t="shared" si="20"/>
        <v>#N/A</v>
      </c>
      <c r="EC53" s="19" t="e">
        <f t="shared" si="21"/>
        <v>#N/A</v>
      </c>
      <c r="ED53" s="203" t="e">
        <f t="shared" si="22"/>
        <v>#N/A</v>
      </c>
      <c r="EE53" s="203" t="e">
        <f t="shared" si="23"/>
        <v>#N/A</v>
      </c>
      <c r="EF53" s="203" t="e">
        <f t="shared" si="24"/>
        <v>#N/A</v>
      </c>
      <c r="EH53" s="58">
        <f t="shared" si="25"/>
        <v>0</v>
      </c>
      <c r="EI53" s="68" t="e">
        <f t="shared" si="26"/>
        <v>#DIV/0!</v>
      </c>
      <c r="EJ53" s="58">
        <f t="shared" si="27"/>
        <v>0</v>
      </c>
      <c r="EK53" s="68" t="e">
        <f t="shared" si="26"/>
        <v>#DIV/0!</v>
      </c>
      <c r="EL53" s="58">
        <f t="shared" si="28"/>
        <v>0</v>
      </c>
      <c r="EM53" s="58">
        <f t="shared" si="29"/>
        <v>0</v>
      </c>
      <c r="EN53" s="68" t="e">
        <f t="shared" si="26"/>
        <v>#DIV/0!</v>
      </c>
    </row>
    <row r="54" spans="1:144" x14ac:dyDescent="0.2">
      <c r="A54" s="43">
        <v>0</v>
      </c>
      <c r="B54" s="43">
        <v>0</v>
      </c>
      <c r="C54" s="43">
        <v>0</v>
      </c>
      <c r="D54" s="70">
        <v>2011</v>
      </c>
      <c r="E54" s="70">
        <v>11</v>
      </c>
      <c r="F54" s="64"/>
      <c r="G54" s="63"/>
      <c r="H54" s="63"/>
      <c r="I54" s="63"/>
      <c r="J54" s="63"/>
      <c r="K54" s="63"/>
      <c r="L54" s="63"/>
      <c r="M54" s="64"/>
      <c r="N54" s="64"/>
      <c r="O54" s="64"/>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5"/>
      <c r="AR54" s="18"/>
      <c r="AS54" s="18"/>
      <c r="AT54" s="18"/>
      <c r="AU54" s="63"/>
      <c r="AV54" s="63"/>
      <c r="AW54" s="63"/>
      <c r="AX54" s="63"/>
      <c r="AY54" s="63"/>
      <c r="AZ54" s="63"/>
      <c r="BA54" s="4"/>
      <c r="BB54" s="63"/>
      <c r="BC54" s="63"/>
      <c r="BD54" s="63"/>
      <c r="BE54" s="63"/>
      <c r="BF54" s="63"/>
      <c r="BG54" s="63"/>
      <c r="BH54" s="63"/>
      <c r="BI54" s="1"/>
      <c r="BJ54" s="1"/>
      <c r="BK54" s="1"/>
      <c r="BL54" s="1"/>
      <c r="BM54" s="1"/>
      <c r="BN54" s="1"/>
      <c r="BO54" s="1"/>
      <c r="BP54" s="18"/>
      <c r="BQ54" s="62"/>
      <c r="BR54" s="63"/>
      <c r="BS54" s="77"/>
      <c r="BT54" s="64"/>
      <c r="BU54" s="64"/>
      <c r="BV54" s="64"/>
      <c r="BW54" s="64"/>
      <c r="BX54" s="64"/>
      <c r="BY54" s="64"/>
      <c r="BZ54" s="64"/>
      <c r="CA54" s="64"/>
      <c r="CB54" s="63"/>
      <c r="CC54" s="63"/>
      <c r="CD54" s="63"/>
      <c r="CE54" s="63"/>
      <c r="CF54" s="63"/>
      <c r="CG54" s="65"/>
      <c r="CH54" s="65"/>
      <c r="CI54" s="65"/>
      <c r="CJ54" s="63"/>
      <c r="CK54" s="8">
        <f t="shared" si="30"/>
        <v>0</v>
      </c>
      <c r="CL54" s="62"/>
      <c r="CM54" s="62"/>
      <c r="CN54" s="62"/>
      <c r="CO54" s="62"/>
      <c r="CP54" s="62"/>
      <c r="CQ54" s="62"/>
      <c r="CR54" s="62"/>
      <c r="CS54" s="62"/>
      <c r="CT54" s="62"/>
      <c r="CU54" s="78"/>
      <c r="CV54" s="78"/>
      <c r="CW54" s="78"/>
      <c r="CX54" s="78"/>
      <c r="CY54" s="78"/>
      <c r="CZ54" s="78"/>
      <c r="DA54" s="78"/>
      <c r="DB54" s="78"/>
      <c r="DC54" s="78"/>
      <c r="DD54" s="62"/>
      <c r="DE54" s="62"/>
      <c r="DF54" s="62"/>
      <c r="DG54" s="64"/>
      <c r="DH54" s="64"/>
      <c r="DI54" s="62"/>
      <c r="DJ54" s="64"/>
      <c r="DK54" s="64"/>
      <c r="DL54" s="64"/>
      <c r="DM54" s="8">
        <f t="shared" si="31"/>
        <v>0</v>
      </c>
      <c r="DN54" s="8">
        <f t="shared" si="32"/>
        <v>0</v>
      </c>
      <c r="DO54" s="202" t="e">
        <f>#N/A</f>
        <v>#N/A</v>
      </c>
      <c r="DP54" s="202" t="e">
        <f>#N/A</f>
        <v>#N/A</v>
      </c>
      <c r="DQ54" s="202" t="e">
        <f>#N/A</f>
        <v>#N/A</v>
      </c>
      <c r="DR54" s="9" t="e">
        <f>#N/A</f>
        <v>#N/A</v>
      </c>
      <c r="DS54" s="9" t="e">
        <f>#N/A</f>
        <v>#N/A</v>
      </c>
      <c r="DT54" s="9" t="e">
        <f>#N/A</f>
        <v>#N/A</v>
      </c>
      <c r="DU54" s="202" t="e">
        <f>#N/A</f>
        <v>#N/A</v>
      </c>
      <c r="DV54" s="202" t="e">
        <f>#N/A</f>
        <v>#N/A</v>
      </c>
      <c r="DW54" s="202" t="e">
        <f>#N/A</f>
        <v>#N/A</v>
      </c>
      <c r="DX54" s="203" t="e">
        <f t="shared" si="16"/>
        <v>#N/A</v>
      </c>
      <c r="DY54" s="203" t="e">
        <f t="shared" si="17"/>
        <v>#N/A</v>
      </c>
      <c r="DZ54" s="203" t="e">
        <f t="shared" si="18"/>
        <v>#N/A</v>
      </c>
      <c r="EA54" s="19" t="e">
        <f t="shared" si="19"/>
        <v>#N/A</v>
      </c>
      <c r="EB54" s="19" t="e">
        <f t="shared" si="20"/>
        <v>#N/A</v>
      </c>
      <c r="EC54" s="19" t="e">
        <f t="shared" si="21"/>
        <v>#N/A</v>
      </c>
      <c r="ED54" s="203" t="e">
        <f t="shared" si="22"/>
        <v>#N/A</v>
      </c>
      <c r="EE54" s="203" t="e">
        <f t="shared" si="23"/>
        <v>#N/A</v>
      </c>
      <c r="EF54" s="203" t="e">
        <f t="shared" si="24"/>
        <v>#N/A</v>
      </c>
      <c r="EH54" s="58">
        <f t="shared" si="25"/>
        <v>0</v>
      </c>
      <c r="EI54" s="68" t="e">
        <f t="shared" si="26"/>
        <v>#DIV/0!</v>
      </c>
      <c r="EJ54" s="58">
        <f t="shared" si="27"/>
        <v>0</v>
      </c>
      <c r="EK54" s="68" t="e">
        <f t="shared" si="26"/>
        <v>#DIV/0!</v>
      </c>
      <c r="EL54" s="58">
        <f t="shared" si="28"/>
        <v>0</v>
      </c>
      <c r="EM54" s="58">
        <f t="shared" si="29"/>
        <v>0</v>
      </c>
      <c r="EN54" s="68" t="e">
        <f t="shared" si="26"/>
        <v>#DIV/0!</v>
      </c>
    </row>
    <row r="55" spans="1:144" x14ac:dyDescent="0.2">
      <c r="A55" s="43">
        <v>0</v>
      </c>
      <c r="B55" s="43">
        <v>0</v>
      </c>
      <c r="C55" s="43">
        <v>0</v>
      </c>
      <c r="D55" s="70">
        <v>2011</v>
      </c>
      <c r="E55" s="70">
        <v>12</v>
      </c>
      <c r="F55" s="64"/>
      <c r="G55" s="63"/>
      <c r="H55" s="63"/>
      <c r="I55" s="63"/>
      <c r="J55" s="63"/>
      <c r="K55" s="63"/>
      <c r="L55" s="63"/>
      <c r="M55" s="64"/>
      <c r="N55" s="64"/>
      <c r="O55" s="64"/>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5"/>
      <c r="AR55" s="18"/>
      <c r="AS55" s="18"/>
      <c r="AT55" s="18"/>
      <c r="AU55" s="63"/>
      <c r="AV55" s="63"/>
      <c r="AW55" s="63"/>
      <c r="AX55" s="63"/>
      <c r="AY55" s="63"/>
      <c r="AZ55" s="63"/>
      <c r="BA55" s="4"/>
      <c r="BB55" s="63"/>
      <c r="BC55" s="63"/>
      <c r="BD55" s="63"/>
      <c r="BE55" s="63"/>
      <c r="BF55" s="63"/>
      <c r="BG55" s="63"/>
      <c r="BH55" s="63"/>
      <c r="BI55" s="1"/>
      <c r="BJ55" s="1"/>
      <c r="BK55" s="1"/>
      <c r="BL55" s="1"/>
      <c r="BM55" s="1"/>
      <c r="BN55" s="1"/>
      <c r="BO55" s="1"/>
      <c r="BP55" s="18"/>
      <c r="BQ55" s="62"/>
      <c r="BR55" s="63"/>
      <c r="BS55" s="77"/>
      <c r="BT55" s="64"/>
      <c r="BU55" s="64"/>
      <c r="BV55" s="64"/>
      <c r="BW55" s="64"/>
      <c r="BX55" s="64"/>
      <c r="BY55" s="64"/>
      <c r="BZ55" s="64"/>
      <c r="CA55" s="64"/>
      <c r="CB55" s="63"/>
      <c r="CC55" s="63"/>
      <c r="CD55" s="63"/>
      <c r="CE55" s="63"/>
      <c r="CF55" s="63"/>
      <c r="CG55" s="65"/>
      <c r="CH55" s="65"/>
      <c r="CI55" s="65"/>
      <c r="CJ55" s="63"/>
      <c r="CK55" s="8">
        <f t="shared" si="30"/>
        <v>0</v>
      </c>
      <c r="CL55" s="62"/>
      <c r="CM55" s="62"/>
      <c r="CN55" s="62"/>
      <c r="CO55" s="62"/>
      <c r="CP55" s="62"/>
      <c r="CQ55" s="62"/>
      <c r="CR55" s="62"/>
      <c r="CS55" s="62"/>
      <c r="CT55" s="62"/>
      <c r="CU55" s="78"/>
      <c r="CV55" s="78"/>
      <c r="CW55" s="78"/>
      <c r="CX55" s="78"/>
      <c r="CY55" s="78"/>
      <c r="CZ55" s="78"/>
      <c r="DA55" s="78"/>
      <c r="DB55" s="78"/>
      <c r="DC55" s="78"/>
      <c r="DD55" s="62"/>
      <c r="DE55" s="62"/>
      <c r="DF55" s="62"/>
      <c r="DG55" s="64"/>
      <c r="DH55" s="64"/>
      <c r="DI55" s="62"/>
      <c r="DJ55" s="64"/>
      <c r="DK55" s="64"/>
      <c r="DL55" s="64"/>
      <c r="DM55" s="8">
        <f t="shared" si="31"/>
        <v>0</v>
      </c>
      <c r="DN55" s="8">
        <f t="shared" si="32"/>
        <v>0</v>
      </c>
      <c r="DO55" s="202" t="e">
        <f>#N/A</f>
        <v>#N/A</v>
      </c>
      <c r="DP55" s="202" t="e">
        <f>#N/A</f>
        <v>#N/A</v>
      </c>
      <c r="DQ55" s="202" t="e">
        <f>#N/A</f>
        <v>#N/A</v>
      </c>
      <c r="DR55" s="9" t="e">
        <f>#N/A</f>
        <v>#N/A</v>
      </c>
      <c r="DS55" s="9" t="e">
        <f>#N/A</f>
        <v>#N/A</v>
      </c>
      <c r="DT55" s="9" t="e">
        <f>#N/A</f>
        <v>#N/A</v>
      </c>
      <c r="DU55" s="202" t="e">
        <f>#N/A</f>
        <v>#N/A</v>
      </c>
      <c r="DV55" s="202" t="e">
        <f>#N/A</f>
        <v>#N/A</v>
      </c>
      <c r="DW55" s="202" t="e">
        <f>#N/A</f>
        <v>#N/A</v>
      </c>
      <c r="DX55" s="203" t="e">
        <f t="shared" si="16"/>
        <v>#N/A</v>
      </c>
      <c r="DY55" s="203" t="e">
        <f t="shared" si="17"/>
        <v>#N/A</v>
      </c>
      <c r="DZ55" s="203" t="e">
        <f t="shared" si="18"/>
        <v>#N/A</v>
      </c>
      <c r="EA55" s="19" t="e">
        <f t="shared" si="19"/>
        <v>#N/A</v>
      </c>
      <c r="EB55" s="19" t="e">
        <f t="shared" si="20"/>
        <v>#N/A</v>
      </c>
      <c r="EC55" s="19" t="e">
        <f t="shared" si="21"/>
        <v>#N/A</v>
      </c>
      <c r="ED55" s="203" t="e">
        <f t="shared" si="22"/>
        <v>#N/A</v>
      </c>
      <c r="EE55" s="203" t="e">
        <f t="shared" si="23"/>
        <v>#N/A</v>
      </c>
      <c r="EF55" s="203" t="e">
        <f t="shared" si="24"/>
        <v>#N/A</v>
      </c>
      <c r="EH55" s="58">
        <f t="shared" si="25"/>
        <v>0</v>
      </c>
      <c r="EI55" s="68" t="e">
        <f t="shared" si="26"/>
        <v>#DIV/0!</v>
      </c>
      <c r="EJ55" s="58">
        <f t="shared" si="27"/>
        <v>0</v>
      </c>
      <c r="EK55" s="68" t="e">
        <f t="shared" si="26"/>
        <v>#DIV/0!</v>
      </c>
      <c r="EL55" s="58">
        <f t="shared" si="28"/>
        <v>0</v>
      </c>
      <c r="EM55" s="58">
        <f t="shared" si="29"/>
        <v>0</v>
      </c>
      <c r="EN55" s="68" t="e">
        <f t="shared" si="26"/>
        <v>#DIV/0!</v>
      </c>
    </row>
    <row r="56" spans="1:144" x14ac:dyDescent="0.2">
      <c r="A56" s="43">
        <v>0</v>
      </c>
      <c r="B56" s="43">
        <v>0</v>
      </c>
      <c r="C56" s="43">
        <v>0</v>
      </c>
      <c r="D56" s="70">
        <v>2012</v>
      </c>
      <c r="E56" s="70">
        <v>1</v>
      </c>
      <c r="F56" s="64"/>
      <c r="G56" s="63"/>
      <c r="H56" s="63"/>
      <c r="I56" s="63"/>
      <c r="J56" s="63"/>
      <c r="K56" s="63"/>
      <c r="L56" s="63"/>
      <c r="M56" s="64"/>
      <c r="N56" s="64"/>
      <c r="O56" s="64"/>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18"/>
      <c r="AR56" s="18"/>
      <c r="AS56" s="18"/>
      <c r="AT56" s="18"/>
      <c r="AU56" s="63"/>
      <c r="AV56" s="63"/>
      <c r="AW56" s="63"/>
      <c r="AX56" s="63"/>
      <c r="AY56" s="63"/>
      <c r="AZ56" s="63"/>
      <c r="BA56" s="4"/>
      <c r="BB56" s="63"/>
      <c r="BC56" s="63"/>
      <c r="BD56" s="63"/>
      <c r="BE56" s="63"/>
      <c r="BF56" s="63"/>
      <c r="BG56" s="63"/>
      <c r="BH56" s="63"/>
      <c r="BI56" s="1"/>
      <c r="BJ56" s="1"/>
      <c r="BK56" s="1"/>
      <c r="BL56" s="1"/>
      <c r="BM56" s="1"/>
      <c r="BN56" s="1"/>
      <c r="BO56" s="1"/>
      <c r="BP56" s="18"/>
      <c r="BQ56" s="62"/>
      <c r="BR56" s="63"/>
      <c r="BS56" s="77"/>
      <c r="BT56" s="64"/>
      <c r="BU56" s="64"/>
      <c r="BV56" s="64"/>
      <c r="BW56" s="64"/>
      <c r="BX56" s="64"/>
      <c r="BY56" s="64"/>
      <c r="BZ56" s="64"/>
      <c r="CA56" s="64"/>
      <c r="CB56" s="64"/>
      <c r="CC56" s="64"/>
      <c r="CD56" s="64"/>
      <c r="CE56" s="64"/>
      <c r="CF56" s="64"/>
      <c r="CG56" s="70"/>
      <c r="CH56" s="70"/>
      <c r="CI56" s="70"/>
      <c r="CJ56" s="63"/>
      <c r="CK56" s="8">
        <f t="shared" si="30"/>
        <v>0</v>
      </c>
      <c r="CL56" s="62"/>
      <c r="CM56" s="62"/>
      <c r="CN56" s="62"/>
      <c r="CO56" s="62"/>
      <c r="CP56" s="62"/>
      <c r="CQ56" s="62"/>
      <c r="CR56" s="62"/>
      <c r="CS56" s="62"/>
      <c r="CT56" s="62"/>
      <c r="CU56" s="78"/>
      <c r="CV56" s="78"/>
      <c r="CW56" s="78"/>
      <c r="CX56" s="78"/>
      <c r="CY56" s="78"/>
      <c r="CZ56" s="78"/>
      <c r="DA56" s="78"/>
      <c r="DB56" s="78"/>
      <c r="DC56" s="78"/>
      <c r="DD56" s="62"/>
      <c r="DE56" s="62"/>
      <c r="DF56" s="62"/>
      <c r="DG56" s="64"/>
      <c r="DH56" s="64"/>
      <c r="DI56" s="62"/>
      <c r="DJ56" s="62"/>
      <c r="DK56" s="62"/>
      <c r="DL56" s="62"/>
      <c r="DM56" s="8">
        <f t="shared" si="31"/>
        <v>0</v>
      </c>
      <c r="DN56" s="8">
        <f t="shared" si="32"/>
        <v>0</v>
      </c>
      <c r="DO56" s="202" t="e">
        <f>#N/A</f>
        <v>#N/A</v>
      </c>
      <c r="DP56" s="202" t="e">
        <f>#N/A</f>
        <v>#N/A</v>
      </c>
      <c r="DQ56" s="202" t="e">
        <f>#N/A</f>
        <v>#N/A</v>
      </c>
      <c r="DR56" s="9" t="e">
        <f>#N/A</f>
        <v>#N/A</v>
      </c>
      <c r="DS56" s="9" t="e">
        <f>#N/A</f>
        <v>#N/A</v>
      </c>
      <c r="DT56" s="9" t="e">
        <f>#N/A</f>
        <v>#N/A</v>
      </c>
      <c r="DU56" s="202" t="e">
        <f>#N/A</f>
        <v>#N/A</v>
      </c>
      <c r="DV56" s="202" t="e">
        <f>#N/A</f>
        <v>#N/A</v>
      </c>
      <c r="DW56" s="202" t="e">
        <f>#N/A</f>
        <v>#N/A</v>
      </c>
      <c r="DX56" s="203" t="e">
        <f t="shared" si="16"/>
        <v>#N/A</v>
      </c>
      <c r="DY56" s="203" t="e">
        <f t="shared" si="17"/>
        <v>#N/A</v>
      </c>
      <c r="DZ56" s="203" t="e">
        <f t="shared" si="18"/>
        <v>#N/A</v>
      </c>
      <c r="EA56" s="19" t="e">
        <f t="shared" si="19"/>
        <v>#N/A</v>
      </c>
      <c r="EB56" s="19" t="e">
        <f t="shared" si="20"/>
        <v>#N/A</v>
      </c>
      <c r="EC56" s="19" t="e">
        <f t="shared" si="21"/>
        <v>#N/A</v>
      </c>
      <c r="ED56" s="203" t="e">
        <f t="shared" si="22"/>
        <v>#N/A</v>
      </c>
      <c r="EE56" s="203" t="e">
        <f t="shared" si="23"/>
        <v>#N/A</v>
      </c>
      <c r="EF56" s="203" t="e">
        <f t="shared" si="24"/>
        <v>#N/A</v>
      </c>
      <c r="EH56" s="58">
        <f t="shared" si="25"/>
        <v>0</v>
      </c>
      <c r="EI56" s="68" t="e">
        <f t="shared" si="26"/>
        <v>#DIV/0!</v>
      </c>
      <c r="EJ56" s="58">
        <f t="shared" si="27"/>
        <v>0</v>
      </c>
      <c r="EK56" s="68" t="e">
        <f t="shared" si="26"/>
        <v>#DIV/0!</v>
      </c>
      <c r="EL56" s="58">
        <f t="shared" si="28"/>
        <v>0</v>
      </c>
      <c r="EM56" s="58">
        <f t="shared" si="29"/>
        <v>0</v>
      </c>
      <c r="EN56" s="68" t="e">
        <f t="shared" si="26"/>
        <v>#DIV/0!</v>
      </c>
    </row>
    <row r="57" spans="1:144" x14ac:dyDescent="0.2">
      <c r="A57" s="43">
        <v>0</v>
      </c>
      <c r="B57" s="43">
        <v>0</v>
      </c>
      <c r="C57" s="43">
        <v>0</v>
      </c>
      <c r="D57" s="70">
        <v>2012</v>
      </c>
      <c r="E57" s="70">
        <v>2</v>
      </c>
      <c r="F57" s="64"/>
      <c r="G57" s="63"/>
      <c r="H57" s="63"/>
      <c r="I57" s="63"/>
      <c r="J57" s="63"/>
      <c r="K57" s="63"/>
      <c r="L57" s="63"/>
      <c r="M57" s="64"/>
      <c r="N57" s="64"/>
      <c r="O57" s="64"/>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18"/>
      <c r="AR57" s="18"/>
      <c r="AS57" s="18"/>
      <c r="AT57" s="18"/>
      <c r="AU57" s="63"/>
      <c r="AV57" s="63"/>
      <c r="AW57" s="63"/>
      <c r="AX57" s="63"/>
      <c r="AY57" s="63"/>
      <c r="AZ57" s="63"/>
      <c r="BA57" s="4"/>
      <c r="BB57" s="63"/>
      <c r="BC57" s="63"/>
      <c r="BD57" s="63"/>
      <c r="BE57" s="63"/>
      <c r="BF57" s="63"/>
      <c r="BG57" s="63"/>
      <c r="BH57" s="63"/>
      <c r="BI57" s="1"/>
      <c r="BJ57" s="1"/>
      <c r="BK57" s="1"/>
      <c r="BL57" s="1"/>
      <c r="BM57" s="1"/>
      <c r="BN57" s="1"/>
      <c r="BO57" s="1"/>
      <c r="BP57" s="18"/>
      <c r="BQ57" s="62"/>
      <c r="BR57" s="63"/>
      <c r="BS57" s="77"/>
      <c r="BT57" s="64"/>
      <c r="BU57" s="64"/>
      <c r="BV57" s="64"/>
      <c r="BW57" s="64"/>
      <c r="BX57" s="64"/>
      <c r="BY57" s="64"/>
      <c r="BZ57" s="64"/>
      <c r="CA57" s="64"/>
      <c r="CB57" s="64"/>
      <c r="CC57" s="64"/>
      <c r="CD57" s="64"/>
      <c r="CE57" s="64"/>
      <c r="CF57" s="64"/>
      <c r="CG57" s="70"/>
      <c r="CH57" s="70"/>
      <c r="CI57" s="70"/>
      <c r="CJ57" s="63"/>
      <c r="CK57" s="8">
        <f t="shared" si="30"/>
        <v>0</v>
      </c>
      <c r="CL57" s="62"/>
      <c r="CM57" s="62"/>
      <c r="CN57" s="62"/>
      <c r="CO57" s="62"/>
      <c r="CP57" s="62"/>
      <c r="CQ57" s="62"/>
      <c r="CR57" s="62"/>
      <c r="CS57" s="62"/>
      <c r="CT57" s="62"/>
      <c r="CU57" s="78"/>
      <c r="CV57" s="78"/>
      <c r="CW57" s="78"/>
      <c r="CX57" s="78"/>
      <c r="CY57" s="78"/>
      <c r="CZ57" s="78"/>
      <c r="DA57" s="78"/>
      <c r="DB57" s="78"/>
      <c r="DC57" s="78"/>
      <c r="DD57" s="62"/>
      <c r="DE57" s="62"/>
      <c r="DF57" s="62"/>
      <c r="DG57" s="64"/>
      <c r="DH57" s="64"/>
      <c r="DI57" s="62"/>
      <c r="DJ57" s="62"/>
      <c r="DK57" s="62"/>
      <c r="DL57" s="62"/>
      <c r="DM57" s="8">
        <f t="shared" si="31"/>
        <v>0</v>
      </c>
      <c r="DN57" s="8">
        <f t="shared" si="32"/>
        <v>0</v>
      </c>
      <c r="DO57" s="202" t="e">
        <f>#N/A</f>
        <v>#N/A</v>
      </c>
      <c r="DP57" s="202" t="e">
        <f>#N/A</f>
        <v>#N/A</v>
      </c>
      <c r="DQ57" s="202" t="e">
        <f>#N/A</f>
        <v>#N/A</v>
      </c>
      <c r="DR57" s="9" t="e">
        <f>#N/A</f>
        <v>#N/A</v>
      </c>
      <c r="DS57" s="9" t="e">
        <f>#N/A</f>
        <v>#N/A</v>
      </c>
      <c r="DT57" s="9" t="e">
        <f>#N/A</f>
        <v>#N/A</v>
      </c>
      <c r="DU57" s="202" t="e">
        <f>#N/A</f>
        <v>#N/A</v>
      </c>
      <c r="DV57" s="202" t="e">
        <f>#N/A</f>
        <v>#N/A</v>
      </c>
      <c r="DW57" s="202" t="e">
        <f>#N/A</f>
        <v>#N/A</v>
      </c>
      <c r="DX57" s="203" t="e">
        <f t="shared" si="16"/>
        <v>#N/A</v>
      </c>
      <c r="DY57" s="203" t="e">
        <f t="shared" si="17"/>
        <v>#N/A</v>
      </c>
      <c r="DZ57" s="203" t="e">
        <f t="shared" si="18"/>
        <v>#N/A</v>
      </c>
      <c r="EA57" s="19" t="e">
        <f t="shared" si="19"/>
        <v>#N/A</v>
      </c>
      <c r="EB57" s="19" t="e">
        <f t="shared" si="20"/>
        <v>#N/A</v>
      </c>
      <c r="EC57" s="19" t="e">
        <f t="shared" si="21"/>
        <v>#N/A</v>
      </c>
      <c r="ED57" s="203" t="e">
        <f t="shared" si="22"/>
        <v>#N/A</v>
      </c>
      <c r="EE57" s="203" t="e">
        <f t="shared" si="23"/>
        <v>#N/A</v>
      </c>
      <c r="EF57" s="203" t="e">
        <f t="shared" si="24"/>
        <v>#N/A</v>
      </c>
      <c r="EH57" s="58">
        <f t="shared" si="25"/>
        <v>0</v>
      </c>
      <c r="EI57" s="68" t="e">
        <f t="shared" si="26"/>
        <v>#DIV/0!</v>
      </c>
      <c r="EJ57" s="58">
        <f t="shared" si="27"/>
        <v>0</v>
      </c>
      <c r="EK57" s="68" t="e">
        <f t="shared" si="26"/>
        <v>#DIV/0!</v>
      </c>
      <c r="EL57" s="58">
        <f t="shared" si="28"/>
        <v>0</v>
      </c>
      <c r="EM57" s="58">
        <f t="shared" si="29"/>
        <v>0</v>
      </c>
      <c r="EN57" s="68" t="e">
        <f t="shared" si="26"/>
        <v>#DIV/0!</v>
      </c>
    </row>
    <row r="58" spans="1:144" x14ac:dyDescent="0.2">
      <c r="A58" s="43">
        <v>0</v>
      </c>
      <c r="B58" s="43">
        <v>0</v>
      </c>
      <c r="C58" s="43">
        <v>0</v>
      </c>
      <c r="D58" s="70">
        <v>2012</v>
      </c>
      <c r="E58" s="70">
        <v>3</v>
      </c>
      <c r="F58" s="64"/>
      <c r="G58" s="63"/>
      <c r="H58" s="63"/>
      <c r="I58" s="63"/>
      <c r="J58" s="63"/>
      <c r="K58" s="63"/>
      <c r="L58" s="63"/>
      <c r="M58" s="64"/>
      <c r="N58" s="64"/>
      <c r="O58" s="64"/>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18"/>
      <c r="AR58" s="18"/>
      <c r="AS58" s="18"/>
      <c r="AT58" s="18"/>
      <c r="AU58" s="63"/>
      <c r="AV58" s="63"/>
      <c r="AW58" s="63"/>
      <c r="AX58" s="63"/>
      <c r="AY58" s="63"/>
      <c r="AZ58" s="63"/>
      <c r="BA58" s="4"/>
      <c r="BB58" s="63"/>
      <c r="BC58" s="63"/>
      <c r="BD58" s="63"/>
      <c r="BE58" s="63"/>
      <c r="BF58" s="63"/>
      <c r="BG58" s="63"/>
      <c r="BH58" s="63"/>
      <c r="BI58" s="1"/>
      <c r="BJ58" s="1"/>
      <c r="BK58" s="1"/>
      <c r="BL58" s="1"/>
      <c r="BM58" s="1"/>
      <c r="BN58" s="1"/>
      <c r="BO58" s="1"/>
      <c r="BP58" s="18"/>
      <c r="BQ58" s="62"/>
      <c r="BR58" s="63"/>
      <c r="BS58" s="77"/>
      <c r="BT58" s="64"/>
      <c r="BU58" s="64"/>
      <c r="BV58" s="64"/>
      <c r="BW58" s="64"/>
      <c r="BX58" s="64"/>
      <c r="BY58" s="64"/>
      <c r="BZ58" s="64"/>
      <c r="CA58" s="64"/>
      <c r="CB58" s="64"/>
      <c r="CC58" s="64"/>
      <c r="CD58" s="64"/>
      <c r="CE58" s="64"/>
      <c r="CF58" s="64"/>
      <c r="CG58" s="70"/>
      <c r="CH58" s="70"/>
      <c r="CI58" s="70"/>
      <c r="CJ58" s="63"/>
      <c r="CK58" s="8">
        <f t="shared" si="30"/>
        <v>0</v>
      </c>
      <c r="CL58" s="62"/>
      <c r="CM58" s="62"/>
      <c r="CN58" s="62"/>
      <c r="CO58" s="62"/>
      <c r="CP58" s="62"/>
      <c r="CQ58" s="62"/>
      <c r="CR58" s="62"/>
      <c r="CS58" s="62"/>
      <c r="CT58" s="62"/>
      <c r="CU58" s="78"/>
      <c r="CV58" s="78"/>
      <c r="CW58" s="78"/>
      <c r="CX58" s="78"/>
      <c r="CY58" s="78"/>
      <c r="CZ58" s="78"/>
      <c r="DA58" s="78"/>
      <c r="DB58" s="78"/>
      <c r="DC58" s="78"/>
      <c r="DD58" s="62"/>
      <c r="DE58" s="62"/>
      <c r="DF58" s="62"/>
      <c r="DG58" s="64"/>
      <c r="DH58" s="64"/>
      <c r="DI58" s="62"/>
      <c r="DJ58" s="62"/>
      <c r="DK58" s="62"/>
      <c r="DL58" s="62"/>
      <c r="DM58" s="8">
        <f t="shared" si="31"/>
        <v>0</v>
      </c>
      <c r="DN58" s="8">
        <f t="shared" si="32"/>
        <v>0</v>
      </c>
      <c r="DO58" s="202" t="e">
        <f>#N/A</f>
        <v>#N/A</v>
      </c>
      <c r="DP58" s="202" t="e">
        <f>#N/A</f>
        <v>#N/A</v>
      </c>
      <c r="DQ58" s="202" t="e">
        <f>#N/A</f>
        <v>#N/A</v>
      </c>
      <c r="DR58" s="9" t="e">
        <f>#N/A</f>
        <v>#N/A</v>
      </c>
      <c r="DS58" s="9" t="e">
        <f>#N/A</f>
        <v>#N/A</v>
      </c>
      <c r="DT58" s="9" t="e">
        <f>#N/A</f>
        <v>#N/A</v>
      </c>
      <c r="DU58" s="202" t="e">
        <f>#N/A</f>
        <v>#N/A</v>
      </c>
      <c r="DV58" s="202" t="e">
        <f>#N/A</f>
        <v>#N/A</v>
      </c>
      <c r="DW58" s="202" t="e">
        <f>#N/A</f>
        <v>#N/A</v>
      </c>
      <c r="DX58" s="203" t="e">
        <f t="shared" si="16"/>
        <v>#N/A</v>
      </c>
      <c r="DY58" s="203" t="e">
        <f t="shared" si="17"/>
        <v>#N/A</v>
      </c>
      <c r="DZ58" s="203" t="e">
        <f t="shared" si="18"/>
        <v>#N/A</v>
      </c>
      <c r="EA58" s="19" t="e">
        <f t="shared" si="19"/>
        <v>#N/A</v>
      </c>
      <c r="EB58" s="19" t="e">
        <f t="shared" si="20"/>
        <v>#N/A</v>
      </c>
      <c r="EC58" s="19" t="e">
        <f t="shared" si="21"/>
        <v>#N/A</v>
      </c>
      <c r="ED58" s="203" t="e">
        <f t="shared" si="22"/>
        <v>#N/A</v>
      </c>
      <c r="EE58" s="203" t="e">
        <f t="shared" si="23"/>
        <v>#N/A</v>
      </c>
      <c r="EF58" s="203" t="e">
        <f t="shared" si="24"/>
        <v>#N/A</v>
      </c>
      <c r="EH58" s="58">
        <f t="shared" si="25"/>
        <v>0</v>
      </c>
      <c r="EI58" s="68" t="e">
        <f t="shared" si="26"/>
        <v>#DIV/0!</v>
      </c>
      <c r="EJ58" s="58">
        <f t="shared" si="27"/>
        <v>0</v>
      </c>
      <c r="EK58" s="68" t="e">
        <f t="shared" si="26"/>
        <v>#DIV/0!</v>
      </c>
      <c r="EL58" s="58">
        <f t="shared" si="28"/>
        <v>0</v>
      </c>
      <c r="EM58" s="58">
        <f t="shared" si="29"/>
        <v>0</v>
      </c>
      <c r="EN58" s="68" t="e">
        <f t="shared" si="26"/>
        <v>#DIV/0!</v>
      </c>
    </row>
    <row r="59" spans="1:144" x14ac:dyDescent="0.2">
      <c r="A59" s="43">
        <v>0</v>
      </c>
      <c r="B59" s="43">
        <v>0</v>
      </c>
      <c r="C59" s="43">
        <v>0</v>
      </c>
      <c r="D59" s="70">
        <v>2012</v>
      </c>
      <c r="E59" s="70">
        <v>4</v>
      </c>
      <c r="F59" s="64"/>
      <c r="G59" s="63"/>
      <c r="H59" s="63"/>
      <c r="I59" s="63"/>
      <c r="J59" s="63"/>
      <c r="K59" s="63"/>
      <c r="L59" s="63"/>
      <c r="M59" s="64"/>
      <c r="N59" s="64"/>
      <c r="O59" s="64"/>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18"/>
      <c r="AR59" s="18"/>
      <c r="AS59" s="18"/>
      <c r="AT59" s="18"/>
      <c r="AU59" s="63"/>
      <c r="AV59" s="63"/>
      <c r="AW59" s="63"/>
      <c r="AX59" s="63"/>
      <c r="AY59" s="63"/>
      <c r="AZ59" s="63"/>
      <c r="BA59" s="4"/>
      <c r="BB59" s="63"/>
      <c r="BC59" s="63"/>
      <c r="BD59" s="63"/>
      <c r="BE59" s="63"/>
      <c r="BF59" s="63"/>
      <c r="BG59" s="63"/>
      <c r="BH59" s="63"/>
      <c r="BI59" s="1"/>
      <c r="BJ59" s="1"/>
      <c r="BK59" s="1"/>
      <c r="BL59" s="1"/>
      <c r="BM59" s="1"/>
      <c r="BN59" s="1"/>
      <c r="BO59" s="1"/>
      <c r="BP59" s="18"/>
      <c r="BQ59" s="62"/>
      <c r="BR59" s="63"/>
      <c r="BS59" s="64"/>
      <c r="BT59" s="64"/>
      <c r="BU59" s="64"/>
      <c r="BV59" s="64"/>
      <c r="BW59" s="64"/>
      <c r="BX59" s="64"/>
      <c r="BY59" s="64"/>
      <c r="BZ59" s="64"/>
      <c r="CA59" s="64"/>
      <c r="CB59" s="64"/>
      <c r="CC59" s="64"/>
      <c r="CD59" s="64"/>
      <c r="CE59" s="64"/>
      <c r="CF59" s="64"/>
      <c r="CG59" s="70"/>
      <c r="CH59" s="70"/>
      <c r="CI59" s="70"/>
      <c r="CJ59" s="63"/>
      <c r="CK59" s="8">
        <f t="shared" si="30"/>
        <v>0</v>
      </c>
      <c r="CL59" s="62"/>
      <c r="CM59" s="62"/>
      <c r="CN59" s="62"/>
      <c r="CO59" s="62"/>
      <c r="CP59" s="62"/>
      <c r="CQ59" s="62"/>
      <c r="CR59" s="62"/>
      <c r="CS59" s="62"/>
      <c r="CT59" s="62"/>
      <c r="CU59" s="78"/>
      <c r="CV59" s="78"/>
      <c r="CW59" s="78"/>
      <c r="CX59" s="78"/>
      <c r="CY59" s="78"/>
      <c r="CZ59" s="78"/>
      <c r="DA59" s="78"/>
      <c r="DB59" s="78"/>
      <c r="DC59" s="78"/>
      <c r="DD59" s="62"/>
      <c r="DE59" s="62"/>
      <c r="DF59" s="62"/>
      <c r="DG59" s="64"/>
      <c r="DH59" s="64"/>
      <c r="DI59" s="62"/>
      <c r="DJ59" s="62"/>
      <c r="DK59" s="62"/>
      <c r="DL59" s="62"/>
      <c r="DM59" s="8">
        <f t="shared" si="31"/>
        <v>0</v>
      </c>
      <c r="DN59" s="8">
        <f t="shared" si="32"/>
        <v>0</v>
      </c>
      <c r="DO59" s="202" t="e">
        <f>#N/A</f>
        <v>#N/A</v>
      </c>
      <c r="DP59" s="202" t="e">
        <f>#N/A</f>
        <v>#N/A</v>
      </c>
      <c r="DQ59" s="202" t="e">
        <f>#N/A</f>
        <v>#N/A</v>
      </c>
      <c r="DR59" s="9" t="e">
        <f>#N/A</f>
        <v>#N/A</v>
      </c>
      <c r="DS59" s="9" t="e">
        <f>#N/A</f>
        <v>#N/A</v>
      </c>
      <c r="DT59" s="9" t="e">
        <f>#N/A</f>
        <v>#N/A</v>
      </c>
      <c r="DU59" s="202" t="e">
        <f>#N/A</f>
        <v>#N/A</v>
      </c>
      <c r="DV59" s="202" t="e">
        <f>#N/A</f>
        <v>#N/A</v>
      </c>
      <c r="DW59" s="202" t="e">
        <f>#N/A</f>
        <v>#N/A</v>
      </c>
      <c r="DX59" s="203" t="e">
        <f t="shared" si="16"/>
        <v>#N/A</v>
      </c>
      <c r="DY59" s="203" t="e">
        <f t="shared" si="17"/>
        <v>#N/A</v>
      </c>
      <c r="DZ59" s="203" t="e">
        <f t="shared" si="18"/>
        <v>#N/A</v>
      </c>
      <c r="EA59" s="19" t="e">
        <f t="shared" si="19"/>
        <v>#N/A</v>
      </c>
      <c r="EB59" s="19" t="e">
        <f t="shared" si="20"/>
        <v>#N/A</v>
      </c>
      <c r="EC59" s="19" t="e">
        <f t="shared" si="21"/>
        <v>#N/A</v>
      </c>
      <c r="ED59" s="203" t="e">
        <f t="shared" si="22"/>
        <v>#N/A</v>
      </c>
      <c r="EE59" s="203" t="e">
        <f t="shared" si="23"/>
        <v>#N/A</v>
      </c>
      <c r="EF59" s="203" t="e">
        <f t="shared" si="24"/>
        <v>#N/A</v>
      </c>
      <c r="EH59" s="58">
        <f t="shared" si="25"/>
        <v>0</v>
      </c>
      <c r="EI59" s="68" t="e">
        <f t="shared" si="26"/>
        <v>#DIV/0!</v>
      </c>
      <c r="EJ59" s="58">
        <f t="shared" si="27"/>
        <v>0</v>
      </c>
      <c r="EK59" s="68" t="e">
        <f t="shared" si="26"/>
        <v>#DIV/0!</v>
      </c>
      <c r="EL59" s="58">
        <f t="shared" si="28"/>
        <v>0</v>
      </c>
      <c r="EM59" s="58">
        <f t="shared" si="29"/>
        <v>0</v>
      </c>
      <c r="EN59" s="68" t="e">
        <f t="shared" si="26"/>
        <v>#DIV/0!</v>
      </c>
    </row>
    <row r="60" spans="1:144" x14ac:dyDescent="0.2">
      <c r="A60" s="43">
        <v>0</v>
      </c>
      <c r="B60" s="43">
        <v>0</v>
      </c>
      <c r="C60" s="43">
        <v>0</v>
      </c>
      <c r="D60" s="70">
        <v>2012</v>
      </c>
      <c r="E60" s="70">
        <v>5</v>
      </c>
      <c r="F60" s="64"/>
      <c r="G60" s="63"/>
      <c r="H60" s="63"/>
      <c r="I60" s="63"/>
      <c r="J60" s="63"/>
      <c r="K60" s="63"/>
      <c r="L60" s="63"/>
      <c r="M60" s="64"/>
      <c r="N60" s="64"/>
      <c r="O60" s="64"/>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18"/>
      <c r="AR60" s="18"/>
      <c r="AS60" s="18"/>
      <c r="AT60" s="18"/>
      <c r="AU60" s="63"/>
      <c r="AV60" s="63"/>
      <c r="AW60" s="63"/>
      <c r="AX60" s="63"/>
      <c r="AY60" s="63"/>
      <c r="AZ60" s="63"/>
      <c r="BA60" s="4"/>
      <c r="BB60" s="63"/>
      <c r="BC60" s="63"/>
      <c r="BD60" s="63"/>
      <c r="BE60" s="63"/>
      <c r="BF60" s="63"/>
      <c r="BG60" s="63"/>
      <c r="BH60" s="63"/>
      <c r="BI60" s="1"/>
      <c r="BJ60" s="1"/>
      <c r="BK60" s="1"/>
      <c r="BL60" s="1"/>
      <c r="BM60" s="1"/>
      <c r="BN60" s="1"/>
      <c r="BO60" s="1"/>
      <c r="BP60" s="18"/>
      <c r="BQ60" s="62"/>
      <c r="BR60" s="63"/>
      <c r="BS60" s="64"/>
      <c r="BT60" s="64"/>
      <c r="BU60" s="64"/>
      <c r="BV60" s="64"/>
      <c r="BW60" s="64"/>
      <c r="BX60" s="64"/>
      <c r="BY60" s="64"/>
      <c r="BZ60" s="64"/>
      <c r="CA60" s="64"/>
      <c r="CB60" s="64"/>
      <c r="CC60" s="64"/>
      <c r="CD60" s="64"/>
      <c r="CE60" s="64"/>
      <c r="CF60" s="64"/>
      <c r="CG60" s="70"/>
      <c r="CH60" s="70"/>
      <c r="CI60" s="70"/>
      <c r="CJ60" s="63"/>
      <c r="CK60" s="8">
        <f t="shared" si="30"/>
        <v>0</v>
      </c>
      <c r="CL60" s="62"/>
      <c r="CM60" s="62"/>
      <c r="CN60" s="62"/>
      <c r="CO60" s="62"/>
      <c r="CP60" s="62"/>
      <c r="CQ60" s="62"/>
      <c r="CR60" s="62"/>
      <c r="CS60" s="62"/>
      <c r="CT60" s="62"/>
      <c r="CU60" s="78"/>
      <c r="CV60" s="78"/>
      <c r="CW60" s="78"/>
      <c r="CX60" s="78"/>
      <c r="CY60" s="78"/>
      <c r="CZ60" s="78"/>
      <c r="DA60" s="78"/>
      <c r="DB60" s="78"/>
      <c r="DC60" s="78"/>
      <c r="DD60" s="62"/>
      <c r="DE60" s="62"/>
      <c r="DF60" s="62"/>
      <c r="DG60" s="64"/>
      <c r="DH60" s="64"/>
      <c r="DI60" s="62"/>
      <c r="DJ60" s="62"/>
      <c r="DK60" s="62"/>
      <c r="DL60" s="62"/>
      <c r="DM60" s="8">
        <f t="shared" si="31"/>
        <v>0</v>
      </c>
      <c r="DN60" s="8">
        <f t="shared" si="32"/>
        <v>0</v>
      </c>
      <c r="DO60" s="202" t="e">
        <f>#N/A</f>
        <v>#N/A</v>
      </c>
      <c r="DP60" s="202" t="e">
        <f>#N/A</f>
        <v>#N/A</v>
      </c>
      <c r="DQ60" s="202" t="e">
        <f>#N/A</f>
        <v>#N/A</v>
      </c>
      <c r="DR60" s="9" t="e">
        <f>#N/A</f>
        <v>#N/A</v>
      </c>
      <c r="DS60" s="9" t="e">
        <f>#N/A</f>
        <v>#N/A</v>
      </c>
      <c r="DT60" s="9" t="e">
        <f>#N/A</f>
        <v>#N/A</v>
      </c>
      <c r="DU60" s="202" t="e">
        <f>#N/A</f>
        <v>#N/A</v>
      </c>
      <c r="DV60" s="202" t="e">
        <f>#N/A</f>
        <v>#N/A</v>
      </c>
      <c r="DW60" s="202" t="e">
        <f>#N/A</f>
        <v>#N/A</v>
      </c>
      <c r="DX60" s="203" t="e">
        <f t="shared" si="16"/>
        <v>#N/A</v>
      </c>
      <c r="DY60" s="203" t="e">
        <f t="shared" si="17"/>
        <v>#N/A</v>
      </c>
      <c r="DZ60" s="203" t="e">
        <f t="shared" si="18"/>
        <v>#N/A</v>
      </c>
      <c r="EA60" s="19" t="e">
        <f t="shared" si="19"/>
        <v>#N/A</v>
      </c>
      <c r="EB60" s="19" t="e">
        <f t="shared" si="20"/>
        <v>#N/A</v>
      </c>
      <c r="EC60" s="19" t="e">
        <f t="shared" si="21"/>
        <v>#N/A</v>
      </c>
      <c r="ED60" s="203" t="e">
        <f t="shared" si="22"/>
        <v>#N/A</v>
      </c>
      <c r="EE60" s="203" t="e">
        <f t="shared" si="23"/>
        <v>#N/A</v>
      </c>
      <c r="EF60" s="203" t="e">
        <f t="shared" si="24"/>
        <v>#N/A</v>
      </c>
      <c r="EH60" s="58">
        <f t="shared" si="25"/>
        <v>0</v>
      </c>
      <c r="EI60" s="68" t="e">
        <f t="shared" si="26"/>
        <v>#DIV/0!</v>
      </c>
      <c r="EJ60" s="58">
        <f t="shared" si="27"/>
        <v>0</v>
      </c>
      <c r="EK60" s="68" t="e">
        <f t="shared" si="26"/>
        <v>#DIV/0!</v>
      </c>
      <c r="EL60" s="58">
        <f t="shared" si="28"/>
        <v>0</v>
      </c>
      <c r="EM60" s="58">
        <f t="shared" si="29"/>
        <v>0</v>
      </c>
      <c r="EN60" s="68" t="e">
        <f t="shared" si="26"/>
        <v>#DIV/0!</v>
      </c>
    </row>
    <row r="61" spans="1:144" x14ac:dyDescent="0.2">
      <c r="A61" s="43">
        <v>0</v>
      </c>
      <c r="B61" s="43">
        <v>0</v>
      </c>
      <c r="C61" s="43">
        <v>0</v>
      </c>
      <c r="D61" s="70">
        <v>2012</v>
      </c>
      <c r="E61" s="70">
        <v>6</v>
      </c>
      <c r="F61" s="64"/>
      <c r="G61" s="63"/>
      <c r="H61" s="63"/>
      <c r="I61" s="63"/>
      <c r="J61" s="63"/>
      <c r="K61" s="63"/>
      <c r="L61" s="63"/>
      <c r="M61" s="64"/>
      <c r="N61" s="64"/>
      <c r="O61" s="64"/>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18"/>
      <c r="AR61" s="18"/>
      <c r="AS61" s="18"/>
      <c r="AT61" s="18"/>
      <c r="AU61" s="63"/>
      <c r="AV61" s="63"/>
      <c r="AW61" s="63"/>
      <c r="AX61" s="63"/>
      <c r="AY61" s="63"/>
      <c r="AZ61" s="63"/>
      <c r="BA61" s="4"/>
      <c r="BB61" s="63"/>
      <c r="BC61" s="63"/>
      <c r="BD61" s="63"/>
      <c r="BE61" s="63"/>
      <c r="BF61" s="63"/>
      <c r="BG61" s="63"/>
      <c r="BH61" s="63"/>
      <c r="BI61" s="1"/>
      <c r="BJ61" s="1"/>
      <c r="BK61" s="1"/>
      <c r="BL61" s="1"/>
      <c r="BM61" s="1"/>
      <c r="BN61" s="1"/>
      <c r="BO61" s="1"/>
      <c r="BP61" s="18"/>
      <c r="BQ61" s="62"/>
      <c r="BR61" s="63"/>
      <c r="BS61" s="64"/>
      <c r="BT61" s="64"/>
      <c r="BU61" s="64"/>
      <c r="BV61" s="64"/>
      <c r="BW61" s="64"/>
      <c r="BX61" s="64"/>
      <c r="BY61" s="64"/>
      <c r="BZ61" s="64"/>
      <c r="CA61" s="64"/>
      <c r="CB61" s="64"/>
      <c r="CC61" s="64"/>
      <c r="CD61" s="64"/>
      <c r="CE61" s="64"/>
      <c r="CF61" s="64"/>
      <c r="CG61" s="70"/>
      <c r="CH61" s="70"/>
      <c r="CI61" s="70"/>
      <c r="CJ61" s="63"/>
      <c r="CK61" s="8">
        <f t="shared" si="30"/>
        <v>0</v>
      </c>
      <c r="CL61" s="62"/>
      <c r="CM61" s="62"/>
      <c r="CN61" s="62"/>
      <c r="CO61" s="62"/>
      <c r="CP61" s="62"/>
      <c r="CQ61" s="62"/>
      <c r="CR61" s="62"/>
      <c r="CS61" s="62"/>
      <c r="CT61" s="62"/>
      <c r="CU61" s="78"/>
      <c r="CV61" s="78"/>
      <c r="CW61" s="78"/>
      <c r="CX61" s="78"/>
      <c r="CY61" s="78"/>
      <c r="CZ61" s="78"/>
      <c r="DA61" s="78"/>
      <c r="DB61" s="78"/>
      <c r="DC61" s="78"/>
      <c r="DD61" s="62"/>
      <c r="DE61" s="62"/>
      <c r="DF61" s="62"/>
      <c r="DG61" s="64"/>
      <c r="DH61" s="64"/>
      <c r="DI61" s="62"/>
      <c r="DJ61" s="62"/>
      <c r="DK61" s="62"/>
      <c r="DL61" s="62"/>
      <c r="DM61" s="8">
        <f t="shared" si="31"/>
        <v>0</v>
      </c>
      <c r="DN61" s="8">
        <f t="shared" si="32"/>
        <v>0</v>
      </c>
      <c r="DO61" s="202" t="e">
        <f>#N/A</f>
        <v>#N/A</v>
      </c>
      <c r="DP61" s="202" t="e">
        <f>#N/A</f>
        <v>#N/A</v>
      </c>
      <c r="DQ61" s="202" t="e">
        <f>#N/A</f>
        <v>#N/A</v>
      </c>
      <c r="DR61" s="9" t="e">
        <f>#N/A</f>
        <v>#N/A</v>
      </c>
      <c r="DS61" s="9" t="e">
        <f>#N/A</f>
        <v>#N/A</v>
      </c>
      <c r="DT61" s="9" t="e">
        <f>#N/A</f>
        <v>#N/A</v>
      </c>
      <c r="DU61" s="202" t="e">
        <f>#N/A</f>
        <v>#N/A</v>
      </c>
      <c r="DV61" s="202" t="e">
        <f>#N/A</f>
        <v>#N/A</v>
      </c>
      <c r="DW61" s="202" t="e">
        <f>#N/A</f>
        <v>#N/A</v>
      </c>
      <c r="DX61" s="203" t="e">
        <f t="shared" si="16"/>
        <v>#N/A</v>
      </c>
      <c r="DY61" s="203" t="e">
        <f t="shared" si="17"/>
        <v>#N/A</v>
      </c>
      <c r="DZ61" s="203" t="e">
        <f t="shared" si="18"/>
        <v>#N/A</v>
      </c>
      <c r="EA61" s="19" t="e">
        <f t="shared" si="19"/>
        <v>#N/A</v>
      </c>
      <c r="EB61" s="19" t="e">
        <f t="shared" si="20"/>
        <v>#N/A</v>
      </c>
      <c r="EC61" s="19" t="e">
        <f t="shared" si="21"/>
        <v>#N/A</v>
      </c>
      <c r="ED61" s="203" t="e">
        <f t="shared" si="22"/>
        <v>#N/A</v>
      </c>
      <c r="EE61" s="203" t="e">
        <f t="shared" si="23"/>
        <v>#N/A</v>
      </c>
      <c r="EF61" s="203" t="e">
        <f t="shared" si="24"/>
        <v>#N/A</v>
      </c>
      <c r="EH61" s="58">
        <f t="shared" si="25"/>
        <v>0</v>
      </c>
      <c r="EI61" s="68" t="e">
        <f t="shared" si="26"/>
        <v>#DIV/0!</v>
      </c>
      <c r="EJ61" s="58">
        <f t="shared" si="27"/>
        <v>0</v>
      </c>
      <c r="EK61" s="68" t="e">
        <f t="shared" si="26"/>
        <v>#DIV/0!</v>
      </c>
      <c r="EL61" s="58">
        <f t="shared" si="28"/>
        <v>0</v>
      </c>
      <c r="EM61" s="58">
        <f t="shared" si="29"/>
        <v>0</v>
      </c>
      <c r="EN61" s="68" t="e">
        <f t="shared" si="26"/>
        <v>#DIV/0!</v>
      </c>
    </row>
    <row r="62" spans="1:144" x14ac:dyDescent="0.2">
      <c r="A62" s="43">
        <v>0</v>
      </c>
      <c r="B62" s="43">
        <v>0</v>
      </c>
      <c r="C62" s="43">
        <v>0</v>
      </c>
      <c r="D62" s="70">
        <v>2012</v>
      </c>
      <c r="E62" s="70">
        <v>7</v>
      </c>
      <c r="F62" s="64"/>
      <c r="G62" s="63"/>
      <c r="H62" s="63"/>
      <c r="I62" s="63"/>
      <c r="J62" s="63"/>
      <c r="K62" s="63"/>
      <c r="L62" s="63"/>
      <c r="M62" s="64"/>
      <c r="N62" s="64"/>
      <c r="O62" s="64"/>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18"/>
      <c r="AR62" s="18"/>
      <c r="AS62" s="18"/>
      <c r="AT62" s="18"/>
      <c r="AU62" s="63"/>
      <c r="AV62" s="63"/>
      <c r="AW62" s="63"/>
      <c r="AX62" s="63"/>
      <c r="AY62" s="63"/>
      <c r="AZ62" s="63"/>
      <c r="BA62" s="4"/>
      <c r="BB62" s="63"/>
      <c r="BC62" s="63"/>
      <c r="BD62" s="63"/>
      <c r="BE62" s="63"/>
      <c r="BF62" s="63"/>
      <c r="BG62" s="63"/>
      <c r="BH62" s="63"/>
      <c r="BI62" s="1"/>
      <c r="BJ62" s="1"/>
      <c r="BK62" s="1"/>
      <c r="BL62" s="1"/>
      <c r="BM62" s="1"/>
      <c r="BN62" s="1"/>
      <c r="BO62" s="1"/>
      <c r="BP62" s="18"/>
      <c r="BQ62" s="62"/>
      <c r="BR62" s="63"/>
      <c r="BS62" s="64"/>
      <c r="BT62" s="64"/>
      <c r="BU62" s="64"/>
      <c r="BV62" s="64"/>
      <c r="BW62" s="64"/>
      <c r="BX62" s="64"/>
      <c r="BY62" s="64"/>
      <c r="BZ62" s="64"/>
      <c r="CA62" s="64"/>
      <c r="CB62" s="64"/>
      <c r="CC62" s="64"/>
      <c r="CD62" s="64"/>
      <c r="CE62" s="64"/>
      <c r="CF62" s="64"/>
      <c r="CG62" s="70"/>
      <c r="CH62" s="70"/>
      <c r="CI62" s="70"/>
      <c r="CJ62" s="63"/>
      <c r="CK62" s="8">
        <f t="shared" si="30"/>
        <v>0</v>
      </c>
      <c r="CL62" s="62"/>
      <c r="CM62" s="62"/>
      <c r="CN62" s="62"/>
      <c r="CO62" s="62"/>
      <c r="CP62" s="62"/>
      <c r="CQ62" s="62"/>
      <c r="CR62" s="62"/>
      <c r="CS62" s="62"/>
      <c r="CT62" s="62"/>
      <c r="CU62" s="78"/>
      <c r="CV62" s="78"/>
      <c r="CW62" s="78"/>
      <c r="CX62" s="78"/>
      <c r="CY62" s="78"/>
      <c r="CZ62" s="78"/>
      <c r="DA62" s="78"/>
      <c r="DB62" s="78"/>
      <c r="DC62" s="78"/>
      <c r="DD62" s="62"/>
      <c r="DE62" s="62"/>
      <c r="DF62" s="62"/>
      <c r="DG62" s="64"/>
      <c r="DH62" s="64"/>
      <c r="DI62" s="62"/>
      <c r="DJ62" s="62"/>
      <c r="DK62" s="62"/>
      <c r="DL62" s="62"/>
      <c r="DM62" s="8">
        <f t="shared" si="31"/>
        <v>0</v>
      </c>
      <c r="DN62" s="8">
        <f t="shared" si="32"/>
        <v>0</v>
      </c>
      <c r="DO62" s="202" t="e">
        <f>#N/A</f>
        <v>#N/A</v>
      </c>
      <c r="DP62" s="202" t="e">
        <f>#N/A</f>
        <v>#N/A</v>
      </c>
      <c r="DQ62" s="202" t="e">
        <f>#N/A</f>
        <v>#N/A</v>
      </c>
      <c r="DR62" s="9" t="e">
        <f>#N/A</f>
        <v>#N/A</v>
      </c>
      <c r="DS62" s="9" t="e">
        <f>#N/A</f>
        <v>#N/A</v>
      </c>
      <c r="DT62" s="9" t="e">
        <f>#N/A</f>
        <v>#N/A</v>
      </c>
      <c r="DU62" s="202" t="e">
        <f>#N/A</f>
        <v>#N/A</v>
      </c>
      <c r="DV62" s="202" t="e">
        <f>#N/A</f>
        <v>#N/A</v>
      </c>
      <c r="DW62" s="202" t="e">
        <f>#N/A</f>
        <v>#N/A</v>
      </c>
      <c r="DX62" s="203" t="e">
        <f t="shared" si="16"/>
        <v>#N/A</v>
      </c>
      <c r="DY62" s="203" t="e">
        <f t="shared" si="17"/>
        <v>#N/A</v>
      </c>
      <c r="DZ62" s="203" t="e">
        <f t="shared" si="18"/>
        <v>#N/A</v>
      </c>
      <c r="EA62" s="19" t="e">
        <f t="shared" si="19"/>
        <v>#N/A</v>
      </c>
      <c r="EB62" s="19" t="e">
        <f t="shared" si="20"/>
        <v>#N/A</v>
      </c>
      <c r="EC62" s="19" t="e">
        <f t="shared" si="21"/>
        <v>#N/A</v>
      </c>
      <c r="ED62" s="203" t="e">
        <f t="shared" si="22"/>
        <v>#N/A</v>
      </c>
      <c r="EE62" s="203" t="e">
        <f t="shared" si="23"/>
        <v>#N/A</v>
      </c>
      <c r="EF62" s="203" t="e">
        <f t="shared" si="24"/>
        <v>#N/A</v>
      </c>
      <c r="EH62" s="58">
        <f t="shared" si="25"/>
        <v>0</v>
      </c>
      <c r="EI62" s="68" t="e">
        <f t="shared" si="26"/>
        <v>#DIV/0!</v>
      </c>
      <c r="EJ62" s="58">
        <f t="shared" si="27"/>
        <v>0</v>
      </c>
      <c r="EK62" s="68" t="e">
        <f t="shared" si="26"/>
        <v>#DIV/0!</v>
      </c>
      <c r="EL62" s="58">
        <f t="shared" si="28"/>
        <v>0</v>
      </c>
      <c r="EM62" s="58">
        <f t="shared" si="29"/>
        <v>0</v>
      </c>
      <c r="EN62" s="68" t="e">
        <f t="shared" si="26"/>
        <v>#DIV/0!</v>
      </c>
    </row>
    <row r="63" spans="1:144" x14ac:dyDescent="0.2">
      <c r="A63" s="43">
        <v>0</v>
      </c>
      <c r="B63" s="43">
        <v>0</v>
      </c>
      <c r="C63" s="43">
        <v>0</v>
      </c>
      <c r="D63" s="70">
        <v>2012</v>
      </c>
      <c r="E63" s="70">
        <v>8</v>
      </c>
      <c r="F63" s="64"/>
      <c r="G63" s="63"/>
      <c r="H63" s="63"/>
      <c r="I63" s="63"/>
      <c r="J63" s="63"/>
      <c r="K63" s="63"/>
      <c r="L63" s="63"/>
      <c r="M63" s="64"/>
      <c r="N63" s="64"/>
      <c r="O63" s="64"/>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18"/>
      <c r="AR63" s="18"/>
      <c r="AS63" s="18"/>
      <c r="AT63" s="18"/>
      <c r="AU63" s="63"/>
      <c r="AV63" s="63"/>
      <c r="AW63" s="63"/>
      <c r="AX63" s="63"/>
      <c r="AY63" s="63"/>
      <c r="AZ63" s="63"/>
      <c r="BA63" s="4"/>
      <c r="BB63" s="63"/>
      <c r="BC63" s="63"/>
      <c r="BD63" s="63"/>
      <c r="BE63" s="63"/>
      <c r="BF63" s="63"/>
      <c r="BG63" s="63"/>
      <c r="BH63" s="63"/>
      <c r="BI63" s="1"/>
      <c r="BJ63" s="1"/>
      <c r="BK63" s="1"/>
      <c r="BL63" s="1"/>
      <c r="BM63" s="1"/>
      <c r="BN63" s="1"/>
      <c r="BO63" s="1"/>
      <c r="BP63" s="18"/>
      <c r="BQ63" s="62"/>
      <c r="BR63" s="63"/>
      <c r="BS63" s="64"/>
      <c r="BT63" s="64"/>
      <c r="BU63" s="64"/>
      <c r="BV63" s="64"/>
      <c r="BW63" s="64"/>
      <c r="BX63" s="64"/>
      <c r="BY63" s="64"/>
      <c r="BZ63" s="64"/>
      <c r="CA63" s="64"/>
      <c r="CB63" s="64"/>
      <c r="CC63" s="64"/>
      <c r="CD63" s="64"/>
      <c r="CE63" s="64"/>
      <c r="CF63" s="64"/>
      <c r="CG63" s="70"/>
      <c r="CH63" s="70"/>
      <c r="CI63" s="70"/>
      <c r="CJ63" s="63"/>
      <c r="CK63" s="8">
        <f t="shared" si="30"/>
        <v>0</v>
      </c>
      <c r="CL63" s="62"/>
      <c r="CM63" s="62"/>
      <c r="CN63" s="62"/>
      <c r="CO63" s="62"/>
      <c r="CP63" s="62"/>
      <c r="CQ63" s="62"/>
      <c r="CR63" s="62"/>
      <c r="CS63" s="62"/>
      <c r="CT63" s="62"/>
      <c r="CU63" s="78"/>
      <c r="CV63" s="78"/>
      <c r="CW63" s="78"/>
      <c r="CX63" s="78"/>
      <c r="CY63" s="78"/>
      <c r="CZ63" s="78"/>
      <c r="DA63" s="78"/>
      <c r="DB63" s="78"/>
      <c r="DC63" s="78"/>
      <c r="DD63" s="62"/>
      <c r="DE63" s="62"/>
      <c r="DF63" s="62"/>
      <c r="DG63" s="64"/>
      <c r="DH63" s="64"/>
      <c r="DI63" s="62"/>
      <c r="DJ63" s="62"/>
      <c r="DK63" s="62"/>
      <c r="DL63" s="62"/>
      <c r="DM63" s="8">
        <f t="shared" si="31"/>
        <v>0</v>
      </c>
      <c r="DN63" s="8">
        <f t="shared" si="32"/>
        <v>0</v>
      </c>
      <c r="DO63" s="202" t="e">
        <f>#N/A</f>
        <v>#N/A</v>
      </c>
      <c r="DP63" s="202" t="e">
        <f>#N/A</f>
        <v>#N/A</v>
      </c>
      <c r="DQ63" s="202" t="e">
        <f>#N/A</f>
        <v>#N/A</v>
      </c>
      <c r="DR63" s="9" t="e">
        <f>#N/A</f>
        <v>#N/A</v>
      </c>
      <c r="DS63" s="9" t="e">
        <f>#N/A</f>
        <v>#N/A</v>
      </c>
      <c r="DT63" s="9" t="e">
        <f>#N/A</f>
        <v>#N/A</v>
      </c>
      <c r="DU63" s="202" t="e">
        <f>#N/A</f>
        <v>#N/A</v>
      </c>
      <c r="DV63" s="202" t="e">
        <f>#N/A</f>
        <v>#N/A</v>
      </c>
      <c r="DW63" s="202" t="e">
        <f>#N/A</f>
        <v>#N/A</v>
      </c>
      <c r="DX63" s="203" t="e">
        <f t="shared" si="16"/>
        <v>#N/A</v>
      </c>
      <c r="DY63" s="203" t="e">
        <f t="shared" si="17"/>
        <v>#N/A</v>
      </c>
      <c r="DZ63" s="203" t="e">
        <f t="shared" si="18"/>
        <v>#N/A</v>
      </c>
      <c r="EA63" s="19" t="e">
        <f t="shared" si="19"/>
        <v>#N/A</v>
      </c>
      <c r="EB63" s="19" t="e">
        <f t="shared" si="20"/>
        <v>#N/A</v>
      </c>
      <c r="EC63" s="19" t="e">
        <f t="shared" si="21"/>
        <v>#N/A</v>
      </c>
      <c r="ED63" s="203" t="e">
        <f t="shared" si="22"/>
        <v>#N/A</v>
      </c>
      <c r="EE63" s="203" t="e">
        <f t="shared" si="23"/>
        <v>#N/A</v>
      </c>
      <c r="EF63" s="203" t="e">
        <f t="shared" si="24"/>
        <v>#N/A</v>
      </c>
      <c r="EH63" s="58">
        <f t="shared" si="25"/>
        <v>0</v>
      </c>
      <c r="EI63" s="68" t="e">
        <f t="shared" si="26"/>
        <v>#DIV/0!</v>
      </c>
      <c r="EJ63" s="58">
        <f t="shared" si="27"/>
        <v>0</v>
      </c>
      <c r="EK63" s="68" t="e">
        <f t="shared" si="26"/>
        <v>#DIV/0!</v>
      </c>
      <c r="EL63" s="58">
        <f t="shared" si="28"/>
        <v>0</v>
      </c>
      <c r="EM63" s="58">
        <f t="shared" si="29"/>
        <v>0</v>
      </c>
      <c r="EN63" s="68" t="e">
        <f t="shared" si="26"/>
        <v>#DIV/0!</v>
      </c>
    </row>
    <row r="64" spans="1:144" x14ac:dyDescent="0.2">
      <c r="A64" s="43">
        <v>0</v>
      </c>
      <c r="B64" s="43">
        <v>0</v>
      </c>
      <c r="C64" s="43">
        <v>0</v>
      </c>
      <c r="D64" s="70">
        <v>2012</v>
      </c>
      <c r="E64" s="70">
        <v>9</v>
      </c>
      <c r="F64" s="64"/>
      <c r="G64" s="63"/>
      <c r="H64" s="63"/>
      <c r="I64" s="63"/>
      <c r="J64" s="63"/>
      <c r="K64" s="63"/>
      <c r="L64" s="63"/>
      <c r="M64" s="64"/>
      <c r="N64" s="64"/>
      <c r="O64" s="64"/>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18"/>
      <c r="AR64" s="18"/>
      <c r="AS64" s="18"/>
      <c r="AT64" s="18"/>
      <c r="AU64" s="63"/>
      <c r="AV64" s="63"/>
      <c r="AW64" s="63"/>
      <c r="AX64" s="63"/>
      <c r="AY64" s="63"/>
      <c r="AZ64" s="63"/>
      <c r="BA64" s="4"/>
      <c r="BB64" s="63"/>
      <c r="BC64" s="63"/>
      <c r="BD64" s="63"/>
      <c r="BE64" s="63"/>
      <c r="BF64" s="63"/>
      <c r="BG64" s="63"/>
      <c r="BH64" s="63"/>
      <c r="BI64" s="1"/>
      <c r="BJ64" s="1"/>
      <c r="BK64" s="1"/>
      <c r="BL64" s="1"/>
      <c r="BM64" s="1"/>
      <c r="BN64" s="1"/>
      <c r="BO64" s="1"/>
      <c r="BP64" s="18"/>
      <c r="BQ64" s="62"/>
      <c r="BR64" s="63"/>
      <c r="BS64" s="64"/>
      <c r="BT64" s="64"/>
      <c r="BU64" s="64"/>
      <c r="BV64" s="64"/>
      <c r="BW64" s="64"/>
      <c r="BX64" s="64"/>
      <c r="BY64" s="64"/>
      <c r="BZ64" s="64"/>
      <c r="CA64" s="64"/>
      <c r="CB64" s="64"/>
      <c r="CC64" s="64"/>
      <c r="CD64" s="64"/>
      <c r="CE64" s="64"/>
      <c r="CF64" s="64"/>
      <c r="CG64" s="70"/>
      <c r="CH64" s="70"/>
      <c r="CI64" s="70"/>
      <c r="CJ64" s="63"/>
      <c r="CK64" s="8">
        <f t="shared" si="30"/>
        <v>0</v>
      </c>
      <c r="CL64" s="62"/>
      <c r="CM64" s="62"/>
      <c r="CN64" s="62"/>
      <c r="CO64" s="62"/>
      <c r="CP64" s="62"/>
      <c r="CQ64" s="62"/>
      <c r="CR64" s="62"/>
      <c r="CS64" s="62"/>
      <c r="CT64" s="62"/>
      <c r="CU64" s="78"/>
      <c r="CV64" s="78"/>
      <c r="CW64" s="78"/>
      <c r="CX64" s="78"/>
      <c r="CY64" s="78"/>
      <c r="CZ64" s="78"/>
      <c r="DA64" s="78"/>
      <c r="DB64" s="78"/>
      <c r="DC64" s="78"/>
      <c r="DD64" s="62"/>
      <c r="DE64" s="62"/>
      <c r="DF64" s="62"/>
      <c r="DG64" s="64"/>
      <c r="DH64" s="64"/>
      <c r="DI64" s="62"/>
      <c r="DJ64" s="62"/>
      <c r="DK64" s="62"/>
      <c r="DL64" s="62"/>
      <c r="DM64" s="8">
        <f t="shared" si="31"/>
        <v>0</v>
      </c>
      <c r="DN64" s="8">
        <f t="shared" si="32"/>
        <v>0</v>
      </c>
      <c r="DO64" s="202" t="e">
        <f>#N/A</f>
        <v>#N/A</v>
      </c>
      <c r="DP64" s="202" t="e">
        <f>#N/A</f>
        <v>#N/A</v>
      </c>
      <c r="DQ64" s="202" t="e">
        <f>#N/A</f>
        <v>#N/A</v>
      </c>
      <c r="DR64" s="9" t="e">
        <f>#N/A</f>
        <v>#N/A</v>
      </c>
      <c r="DS64" s="9" t="e">
        <f>#N/A</f>
        <v>#N/A</v>
      </c>
      <c r="DT64" s="9" t="e">
        <f>#N/A</f>
        <v>#N/A</v>
      </c>
      <c r="DU64" s="202" t="e">
        <f>#N/A</f>
        <v>#N/A</v>
      </c>
      <c r="DV64" s="202" t="e">
        <f>#N/A</f>
        <v>#N/A</v>
      </c>
      <c r="DW64" s="202" t="e">
        <f>#N/A</f>
        <v>#N/A</v>
      </c>
      <c r="DX64" s="203" t="e">
        <f t="shared" si="16"/>
        <v>#N/A</v>
      </c>
      <c r="DY64" s="203" t="e">
        <f t="shared" si="17"/>
        <v>#N/A</v>
      </c>
      <c r="DZ64" s="203" t="e">
        <f t="shared" si="18"/>
        <v>#N/A</v>
      </c>
      <c r="EA64" s="19" t="e">
        <f t="shared" si="19"/>
        <v>#N/A</v>
      </c>
      <c r="EB64" s="19" t="e">
        <f t="shared" si="20"/>
        <v>#N/A</v>
      </c>
      <c r="EC64" s="19" t="e">
        <f t="shared" si="21"/>
        <v>#N/A</v>
      </c>
      <c r="ED64" s="203" t="e">
        <f t="shared" si="22"/>
        <v>#N/A</v>
      </c>
      <c r="EE64" s="203" t="e">
        <f t="shared" si="23"/>
        <v>#N/A</v>
      </c>
      <c r="EF64" s="203" t="e">
        <f t="shared" si="24"/>
        <v>#N/A</v>
      </c>
      <c r="EH64" s="58">
        <f t="shared" si="25"/>
        <v>0</v>
      </c>
      <c r="EI64" s="68" t="e">
        <f t="shared" si="26"/>
        <v>#DIV/0!</v>
      </c>
      <c r="EJ64" s="58">
        <f t="shared" si="27"/>
        <v>0</v>
      </c>
      <c r="EK64" s="68" t="e">
        <f t="shared" si="26"/>
        <v>#DIV/0!</v>
      </c>
      <c r="EL64" s="58">
        <f t="shared" si="28"/>
        <v>0</v>
      </c>
      <c r="EM64" s="58">
        <f t="shared" si="29"/>
        <v>0</v>
      </c>
      <c r="EN64" s="68" t="e">
        <f t="shared" si="26"/>
        <v>#DIV/0!</v>
      </c>
    </row>
    <row r="65" spans="1:144" x14ac:dyDescent="0.2">
      <c r="A65" s="43">
        <v>0</v>
      </c>
      <c r="B65" s="43">
        <v>0</v>
      </c>
      <c r="C65" s="43">
        <v>0</v>
      </c>
      <c r="D65" s="70">
        <v>2012</v>
      </c>
      <c r="E65" s="70">
        <v>10</v>
      </c>
      <c r="F65" s="64"/>
      <c r="G65" s="63"/>
      <c r="H65" s="63"/>
      <c r="I65" s="63"/>
      <c r="J65" s="63"/>
      <c r="K65" s="63"/>
      <c r="L65" s="63"/>
      <c r="M65" s="64"/>
      <c r="N65" s="64"/>
      <c r="O65" s="64"/>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18"/>
      <c r="AR65" s="18"/>
      <c r="AS65" s="18"/>
      <c r="AT65" s="18"/>
      <c r="AU65" s="63"/>
      <c r="AV65" s="63"/>
      <c r="AW65" s="63"/>
      <c r="AX65" s="63"/>
      <c r="AY65" s="63"/>
      <c r="AZ65" s="63"/>
      <c r="BA65" s="4"/>
      <c r="BB65" s="63"/>
      <c r="BC65" s="63"/>
      <c r="BD65" s="63"/>
      <c r="BE65" s="63"/>
      <c r="BF65" s="63"/>
      <c r="BG65" s="63"/>
      <c r="BH65" s="63"/>
      <c r="BI65" s="1"/>
      <c r="BJ65" s="1"/>
      <c r="BK65" s="1"/>
      <c r="BL65" s="1"/>
      <c r="BM65" s="1"/>
      <c r="BN65" s="1"/>
      <c r="BO65" s="1"/>
      <c r="BP65" s="18"/>
      <c r="BQ65" s="62"/>
      <c r="BR65" s="63"/>
      <c r="BS65" s="64"/>
      <c r="BT65" s="64"/>
      <c r="BU65" s="64"/>
      <c r="BV65" s="64"/>
      <c r="BW65" s="64"/>
      <c r="BX65" s="64"/>
      <c r="BY65" s="64"/>
      <c r="BZ65" s="64"/>
      <c r="CA65" s="64"/>
      <c r="CB65" s="64"/>
      <c r="CC65" s="64"/>
      <c r="CD65" s="64"/>
      <c r="CE65" s="64"/>
      <c r="CF65" s="64"/>
      <c r="CG65" s="70"/>
      <c r="CH65" s="70"/>
      <c r="CI65" s="70"/>
      <c r="CJ65" s="63"/>
      <c r="CK65" s="8">
        <f t="shared" si="30"/>
        <v>0</v>
      </c>
      <c r="CL65" s="62"/>
      <c r="CM65" s="62"/>
      <c r="CN65" s="62"/>
      <c r="CO65" s="62"/>
      <c r="CP65" s="62"/>
      <c r="CQ65" s="62"/>
      <c r="CR65" s="62"/>
      <c r="CS65" s="62"/>
      <c r="CT65" s="62"/>
      <c r="CU65" s="78"/>
      <c r="CV65" s="78"/>
      <c r="CW65" s="78"/>
      <c r="CX65" s="78"/>
      <c r="CY65" s="78"/>
      <c r="CZ65" s="78"/>
      <c r="DA65" s="78"/>
      <c r="DB65" s="78"/>
      <c r="DC65" s="78"/>
      <c r="DD65" s="62"/>
      <c r="DE65" s="62"/>
      <c r="DF65" s="62"/>
      <c r="DG65" s="64"/>
      <c r="DH65" s="64"/>
      <c r="DI65" s="62"/>
      <c r="DJ65" s="62"/>
      <c r="DK65" s="62"/>
      <c r="DL65" s="62"/>
      <c r="DM65" s="8">
        <f t="shared" si="31"/>
        <v>0</v>
      </c>
      <c r="DN65" s="8">
        <f t="shared" si="32"/>
        <v>0</v>
      </c>
      <c r="DO65" s="202" t="e">
        <f>#N/A</f>
        <v>#N/A</v>
      </c>
      <c r="DP65" s="202" t="e">
        <f>#N/A</f>
        <v>#N/A</v>
      </c>
      <c r="DQ65" s="202" t="e">
        <f>#N/A</f>
        <v>#N/A</v>
      </c>
      <c r="DR65" s="9" t="e">
        <f>#N/A</f>
        <v>#N/A</v>
      </c>
      <c r="DS65" s="9" t="e">
        <f>#N/A</f>
        <v>#N/A</v>
      </c>
      <c r="DT65" s="9" t="e">
        <f>#N/A</f>
        <v>#N/A</v>
      </c>
      <c r="DU65" s="202" t="e">
        <f>#N/A</f>
        <v>#N/A</v>
      </c>
      <c r="DV65" s="202" t="e">
        <f>#N/A</f>
        <v>#N/A</v>
      </c>
      <c r="DW65" s="202" t="e">
        <f>#N/A</f>
        <v>#N/A</v>
      </c>
      <c r="DX65" s="203" t="e">
        <f t="shared" si="16"/>
        <v>#N/A</v>
      </c>
      <c r="DY65" s="203" t="e">
        <f t="shared" si="17"/>
        <v>#N/A</v>
      </c>
      <c r="DZ65" s="203" t="e">
        <f t="shared" si="18"/>
        <v>#N/A</v>
      </c>
      <c r="EA65" s="19" t="e">
        <f t="shared" si="19"/>
        <v>#N/A</v>
      </c>
      <c r="EB65" s="19" t="e">
        <f t="shared" si="20"/>
        <v>#N/A</v>
      </c>
      <c r="EC65" s="19" t="e">
        <f t="shared" si="21"/>
        <v>#N/A</v>
      </c>
      <c r="ED65" s="203" t="e">
        <f t="shared" si="22"/>
        <v>#N/A</v>
      </c>
      <c r="EE65" s="203" t="e">
        <f t="shared" si="23"/>
        <v>#N/A</v>
      </c>
      <c r="EF65" s="203" t="e">
        <f t="shared" si="24"/>
        <v>#N/A</v>
      </c>
      <c r="EH65" s="58">
        <f t="shared" si="25"/>
        <v>0</v>
      </c>
      <c r="EI65" s="68" t="e">
        <f t="shared" si="26"/>
        <v>#DIV/0!</v>
      </c>
      <c r="EJ65" s="58">
        <f t="shared" si="27"/>
        <v>0</v>
      </c>
      <c r="EK65" s="68" t="e">
        <f t="shared" si="26"/>
        <v>#DIV/0!</v>
      </c>
      <c r="EL65" s="58">
        <f t="shared" si="28"/>
        <v>0</v>
      </c>
      <c r="EM65" s="58">
        <f t="shared" si="29"/>
        <v>0</v>
      </c>
      <c r="EN65" s="68" t="e">
        <f t="shared" si="26"/>
        <v>#DIV/0!</v>
      </c>
    </row>
    <row r="66" spans="1:144" x14ac:dyDescent="0.2">
      <c r="A66" s="43">
        <v>0</v>
      </c>
      <c r="B66" s="43">
        <v>0</v>
      </c>
      <c r="C66" s="43">
        <v>0</v>
      </c>
      <c r="D66" s="70">
        <v>2012</v>
      </c>
      <c r="E66" s="70">
        <v>11</v>
      </c>
      <c r="F66" s="64"/>
      <c r="G66" s="63"/>
      <c r="H66" s="63"/>
      <c r="I66" s="63"/>
      <c r="J66" s="63"/>
      <c r="K66" s="63"/>
      <c r="L66" s="63"/>
      <c r="M66" s="64"/>
      <c r="N66" s="64"/>
      <c r="O66" s="64"/>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2"/>
      <c r="AR66" s="18"/>
      <c r="AS66" s="18"/>
      <c r="AT66" s="18"/>
      <c r="AU66" s="63"/>
      <c r="AV66" s="63"/>
      <c r="AW66" s="63"/>
      <c r="AX66" s="63"/>
      <c r="AY66" s="63"/>
      <c r="AZ66" s="63"/>
      <c r="BA66" s="4"/>
      <c r="BB66" s="63"/>
      <c r="BC66" s="63"/>
      <c r="BD66" s="63"/>
      <c r="BE66" s="63"/>
      <c r="BF66" s="63"/>
      <c r="BG66" s="63"/>
      <c r="BH66" s="63"/>
      <c r="BI66" s="1"/>
      <c r="BJ66" s="1"/>
      <c r="BK66" s="1"/>
      <c r="BL66" s="1"/>
      <c r="BM66" s="1"/>
      <c r="BN66" s="1"/>
      <c r="BO66" s="1"/>
      <c r="BP66" s="18"/>
      <c r="BQ66" s="62"/>
      <c r="BR66" s="63"/>
      <c r="BS66" s="64"/>
      <c r="BT66" s="64"/>
      <c r="BU66" s="64"/>
      <c r="BV66" s="64"/>
      <c r="BW66" s="64"/>
      <c r="BX66" s="64"/>
      <c r="BY66" s="64"/>
      <c r="BZ66" s="64"/>
      <c r="CA66" s="64"/>
      <c r="CB66" s="64"/>
      <c r="CC66" s="64"/>
      <c r="CD66" s="64"/>
      <c r="CE66" s="64"/>
      <c r="CF66" s="64"/>
      <c r="CG66" s="70"/>
      <c r="CH66" s="70"/>
      <c r="CI66" s="70"/>
      <c r="CJ66" s="63"/>
      <c r="CK66" s="8">
        <f t="shared" si="30"/>
        <v>0</v>
      </c>
      <c r="CL66" s="62"/>
      <c r="CM66" s="62"/>
      <c r="CN66" s="62"/>
      <c r="CO66" s="62"/>
      <c r="CP66" s="62"/>
      <c r="CQ66" s="62"/>
      <c r="CR66" s="62"/>
      <c r="CS66" s="62"/>
      <c r="CT66" s="62"/>
      <c r="CU66" s="78"/>
      <c r="CV66" s="78"/>
      <c r="CW66" s="78"/>
      <c r="CX66" s="78"/>
      <c r="CY66" s="78"/>
      <c r="CZ66" s="78"/>
      <c r="DA66" s="78"/>
      <c r="DB66" s="78"/>
      <c r="DC66" s="78"/>
      <c r="DD66" s="62"/>
      <c r="DE66" s="62"/>
      <c r="DF66" s="62"/>
      <c r="DG66" s="64"/>
      <c r="DH66" s="64"/>
      <c r="DI66" s="62"/>
      <c r="DJ66" s="62"/>
      <c r="DK66" s="62"/>
      <c r="DL66" s="62"/>
      <c r="DM66" s="8">
        <f t="shared" si="31"/>
        <v>0</v>
      </c>
      <c r="DN66" s="8">
        <f t="shared" si="32"/>
        <v>0</v>
      </c>
      <c r="DO66" s="202" t="e">
        <f>#N/A</f>
        <v>#N/A</v>
      </c>
      <c r="DP66" s="202" t="e">
        <f>#N/A</f>
        <v>#N/A</v>
      </c>
      <c r="DQ66" s="202" t="e">
        <f>#N/A</f>
        <v>#N/A</v>
      </c>
      <c r="DR66" s="9" t="e">
        <f>#N/A</f>
        <v>#N/A</v>
      </c>
      <c r="DS66" s="9" t="e">
        <f>#N/A</f>
        <v>#N/A</v>
      </c>
      <c r="DT66" s="9" t="e">
        <f>#N/A</f>
        <v>#N/A</v>
      </c>
      <c r="DU66" s="202" t="e">
        <f>#N/A</f>
        <v>#N/A</v>
      </c>
      <c r="DV66" s="202" t="e">
        <f>#N/A</f>
        <v>#N/A</v>
      </c>
      <c r="DW66" s="202" t="e">
        <f>#N/A</f>
        <v>#N/A</v>
      </c>
      <c r="DX66" s="203" t="e">
        <f t="shared" si="16"/>
        <v>#N/A</v>
      </c>
      <c r="DY66" s="203" t="e">
        <f t="shared" si="17"/>
        <v>#N/A</v>
      </c>
      <c r="DZ66" s="203" t="e">
        <f t="shared" si="18"/>
        <v>#N/A</v>
      </c>
      <c r="EA66" s="19" t="e">
        <f t="shared" si="19"/>
        <v>#N/A</v>
      </c>
      <c r="EB66" s="19" t="e">
        <f t="shared" si="20"/>
        <v>#N/A</v>
      </c>
      <c r="EC66" s="19" t="e">
        <f t="shared" si="21"/>
        <v>#N/A</v>
      </c>
      <c r="ED66" s="203" t="e">
        <f t="shared" si="22"/>
        <v>#N/A</v>
      </c>
      <c r="EE66" s="203" t="e">
        <f t="shared" si="23"/>
        <v>#N/A</v>
      </c>
      <c r="EF66" s="203" t="e">
        <f t="shared" si="24"/>
        <v>#N/A</v>
      </c>
      <c r="EH66" s="58">
        <f t="shared" si="25"/>
        <v>0</v>
      </c>
      <c r="EI66" s="68" t="e">
        <f t="shared" si="26"/>
        <v>#DIV/0!</v>
      </c>
      <c r="EJ66" s="58">
        <f t="shared" si="27"/>
        <v>0</v>
      </c>
      <c r="EK66" s="68" t="e">
        <f t="shared" si="26"/>
        <v>#DIV/0!</v>
      </c>
      <c r="EL66" s="58">
        <f t="shared" si="28"/>
        <v>0</v>
      </c>
      <c r="EM66" s="58">
        <f t="shared" si="29"/>
        <v>0</v>
      </c>
      <c r="EN66" s="68" t="e">
        <f t="shared" si="26"/>
        <v>#DIV/0!</v>
      </c>
    </row>
    <row r="67" spans="1:144" x14ac:dyDescent="0.2">
      <c r="A67" s="43">
        <v>0</v>
      </c>
      <c r="B67" s="43">
        <v>0</v>
      </c>
      <c r="C67" s="43">
        <v>0</v>
      </c>
      <c r="D67" s="70">
        <v>2012</v>
      </c>
      <c r="E67" s="70">
        <v>12</v>
      </c>
      <c r="F67" s="64"/>
      <c r="G67" s="63"/>
      <c r="H67" s="63"/>
      <c r="I67" s="63"/>
      <c r="J67" s="63"/>
      <c r="K67" s="63"/>
      <c r="L67" s="63"/>
      <c r="M67" s="64"/>
      <c r="N67" s="64"/>
      <c r="O67" s="64"/>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2"/>
      <c r="AR67" s="18"/>
      <c r="AS67" s="18"/>
      <c r="AT67" s="18"/>
      <c r="AU67" s="63"/>
      <c r="AV67" s="63"/>
      <c r="AW67" s="63"/>
      <c r="AX67" s="63"/>
      <c r="AY67" s="63"/>
      <c r="AZ67" s="63"/>
      <c r="BA67" s="4"/>
      <c r="BB67" s="63"/>
      <c r="BC67" s="63"/>
      <c r="BD67" s="63"/>
      <c r="BE67" s="63"/>
      <c r="BF67" s="63"/>
      <c r="BG67" s="63"/>
      <c r="BH67" s="63"/>
      <c r="BI67" s="1"/>
      <c r="BJ67" s="1"/>
      <c r="BK67" s="1"/>
      <c r="BL67" s="1"/>
      <c r="BM67" s="1"/>
      <c r="BN67" s="1"/>
      <c r="BO67" s="1"/>
      <c r="BP67" s="18"/>
      <c r="BQ67" s="62"/>
      <c r="BR67" s="63"/>
      <c r="BS67" s="64"/>
      <c r="BT67" s="64"/>
      <c r="BU67" s="64"/>
      <c r="BV67" s="64"/>
      <c r="BW67" s="64"/>
      <c r="BX67" s="64"/>
      <c r="BY67" s="64"/>
      <c r="BZ67" s="64"/>
      <c r="CA67" s="64"/>
      <c r="CB67" s="64"/>
      <c r="CC67" s="64"/>
      <c r="CD67" s="64"/>
      <c r="CE67" s="64"/>
      <c r="CF67" s="64"/>
      <c r="CG67" s="70"/>
      <c r="CH67" s="70"/>
      <c r="CI67" s="70"/>
      <c r="CJ67" s="63"/>
      <c r="CK67" s="8">
        <f t="shared" si="30"/>
        <v>0</v>
      </c>
      <c r="CL67" s="62"/>
      <c r="CM67" s="62"/>
      <c r="CN67" s="62"/>
      <c r="CO67" s="62"/>
      <c r="CP67" s="62"/>
      <c r="CQ67" s="62"/>
      <c r="CR67" s="62"/>
      <c r="CS67" s="62"/>
      <c r="CT67" s="62"/>
      <c r="CU67" s="78"/>
      <c r="CV67" s="78"/>
      <c r="CW67" s="78"/>
      <c r="CX67" s="78"/>
      <c r="CY67" s="78"/>
      <c r="CZ67" s="78"/>
      <c r="DA67" s="78"/>
      <c r="DB67" s="78"/>
      <c r="DC67" s="78"/>
      <c r="DD67" s="62"/>
      <c r="DE67" s="62"/>
      <c r="DF67" s="62"/>
      <c r="DG67" s="64"/>
      <c r="DH67" s="64"/>
      <c r="DI67" s="62"/>
      <c r="DJ67" s="62"/>
      <c r="DK67" s="62"/>
      <c r="DL67" s="62"/>
      <c r="DM67" s="8">
        <f t="shared" si="31"/>
        <v>0</v>
      </c>
      <c r="DN67" s="8">
        <f t="shared" si="32"/>
        <v>0</v>
      </c>
      <c r="DO67" s="202" t="e">
        <f>#N/A</f>
        <v>#N/A</v>
      </c>
      <c r="DP67" s="202" t="e">
        <f>#N/A</f>
        <v>#N/A</v>
      </c>
      <c r="DQ67" s="202" t="e">
        <f>#N/A</f>
        <v>#N/A</v>
      </c>
      <c r="DR67" s="9" t="e">
        <f>#N/A</f>
        <v>#N/A</v>
      </c>
      <c r="DS67" s="9" t="e">
        <f>#N/A</f>
        <v>#N/A</v>
      </c>
      <c r="DT67" s="9" t="e">
        <f>#N/A</f>
        <v>#N/A</v>
      </c>
      <c r="DU67" s="202" t="e">
        <f>#N/A</f>
        <v>#N/A</v>
      </c>
      <c r="DV67" s="202" t="e">
        <f>#N/A</f>
        <v>#N/A</v>
      </c>
      <c r="DW67" s="202" t="e">
        <f>#N/A</f>
        <v>#N/A</v>
      </c>
      <c r="DX67" s="203" t="e">
        <f t="shared" si="16"/>
        <v>#N/A</v>
      </c>
      <c r="DY67" s="203" t="e">
        <f t="shared" si="17"/>
        <v>#N/A</v>
      </c>
      <c r="DZ67" s="203" t="e">
        <f t="shared" si="18"/>
        <v>#N/A</v>
      </c>
      <c r="EA67" s="19" t="e">
        <f t="shared" si="19"/>
        <v>#N/A</v>
      </c>
      <c r="EB67" s="19" t="e">
        <f t="shared" si="20"/>
        <v>#N/A</v>
      </c>
      <c r="EC67" s="19" t="e">
        <f t="shared" si="21"/>
        <v>#N/A</v>
      </c>
      <c r="ED67" s="203" t="e">
        <f t="shared" si="22"/>
        <v>#N/A</v>
      </c>
      <c r="EE67" s="203" t="e">
        <f t="shared" si="23"/>
        <v>#N/A</v>
      </c>
      <c r="EF67" s="203" t="e">
        <f t="shared" si="24"/>
        <v>#N/A</v>
      </c>
      <c r="EH67" s="58">
        <f t="shared" si="25"/>
        <v>0</v>
      </c>
      <c r="EI67" s="68" t="e">
        <f t="shared" si="26"/>
        <v>#DIV/0!</v>
      </c>
      <c r="EJ67" s="58">
        <f t="shared" si="27"/>
        <v>0</v>
      </c>
      <c r="EK67" s="68" t="e">
        <f t="shared" si="26"/>
        <v>#DIV/0!</v>
      </c>
      <c r="EL67" s="58">
        <f t="shared" si="28"/>
        <v>0</v>
      </c>
      <c r="EM67" s="58">
        <f t="shared" si="29"/>
        <v>0</v>
      </c>
      <c r="EN67" s="68" t="e">
        <f t="shared" si="26"/>
        <v>#DIV/0!</v>
      </c>
    </row>
    <row r="68" spans="1:144" x14ac:dyDescent="0.2">
      <c r="A68" s="43">
        <v>0</v>
      </c>
      <c r="B68" s="43">
        <v>0</v>
      </c>
      <c r="C68" s="43">
        <v>0</v>
      </c>
      <c r="D68" s="70">
        <v>2013</v>
      </c>
      <c r="E68" s="70">
        <v>1</v>
      </c>
      <c r="F68" s="64"/>
      <c r="G68" s="63"/>
      <c r="H68" s="63"/>
      <c r="I68" s="63"/>
      <c r="J68" s="63"/>
      <c r="K68" s="63"/>
      <c r="L68" s="63"/>
      <c r="M68" s="64"/>
      <c r="N68" s="64"/>
      <c r="O68" s="64"/>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2"/>
      <c r="AR68" s="18"/>
      <c r="AS68" s="18"/>
      <c r="AT68" s="18"/>
      <c r="AU68" s="63"/>
      <c r="AV68" s="63"/>
      <c r="AW68" s="63"/>
      <c r="AX68" s="63"/>
      <c r="AY68" s="63"/>
      <c r="AZ68" s="63"/>
      <c r="BA68" s="63"/>
      <c r="BB68" s="63"/>
      <c r="BC68" s="63"/>
      <c r="BD68" s="63"/>
      <c r="BE68" s="63"/>
      <c r="BF68" s="63"/>
      <c r="BG68" s="63"/>
      <c r="BH68" s="63"/>
      <c r="BI68" s="1"/>
      <c r="BJ68" s="1"/>
      <c r="BK68" s="1"/>
      <c r="BL68" s="1"/>
      <c r="BM68" s="1"/>
      <c r="BN68" s="1"/>
      <c r="BO68" s="1"/>
      <c r="BP68" s="18"/>
      <c r="BQ68" s="62"/>
      <c r="BR68" s="63"/>
      <c r="BS68" s="64"/>
      <c r="BT68" s="64"/>
      <c r="BU68" s="64"/>
      <c r="BV68" s="64"/>
      <c r="BW68" s="64"/>
      <c r="BX68" s="64"/>
      <c r="BY68" s="64"/>
      <c r="BZ68" s="64"/>
      <c r="CA68" s="64"/>
      <c r="CB68" s="64"/>
      <c r="CC68" s="64"/>
      <c r="CD68" s="64"/>
      <c r="CE68" s="64"/>
      <c r="CF68" s="64"/>
      <c r="CG68" s="70"/>
      <c r="CH68" s="70"/>
      <c r="CI68" s="70"/>
      <c r="CJ68" s="63"/>
      <c r="CK68" s="8">
        <f t="shared" si="30"/>
        <v>0</v>
      </c>
      <c r="CL68" s="62"/>
      <c r="CM68" s="62"/>
      <c r="CN68" s="62"/>
      <c r="CO68" s="62"/>
      <c r="CP68" s="62"/>
      <c r="CQ68" s="62"/>
      <c r="CR68" s="62"/>
      <c r="CS68" s="62"/>
      <c r="CT68" s="62"/>
      <c r="CU68" s="78"/>
      <c r="CV68" s="78"/>
      <c r="CW68" s="78"/>
      <c r="CX68" s="78"/>
      <c r="CY68" s="78"/>
      <c r="CZ68" s="78"/>
      <c r="DA68" s="78"/>
      <c r="DB68" s="78"/>
      <c r="DC68" s="78"/>
      <c r="DD68" s="62"/>
      <c r="DE68" s="62"/>
      <c r="DF68" s="62"/>
      <c r="DG68" s="62"/>
      <c r="DH68" s="62"/>
      <c r="DI68" s="62"/>
      <c r="DJ68" s="62"/>
      <c r="DK68" s="62"/>
      <c r="DL68" s="62"/>
      <c r="DM68" s="8">
        <f t="shared" si="31"/>
        <v>0</v>
      </c>
      <c r="DN68" s="8">
        <f t="shared" si="32"/>
        <v>0</v>
      </c>
      <c r="DO68" s="202" t="e">
        <f>#N/A</f>
        <v>#N/A</v>
      </c>
      <c r="DP68" s="202" t="e">
        <f>#N/A</f>
        <v>#N/A</v>
      </c>
      <c r="DQ68" s="202" t="e">
        <f>#N/A</f>
        <v>#N/A</v>
      </c>
      <c r="DR68" s="9" t="e">
        <f>#N/A</f>
        <v>#N/A</v>
      </c>
      <c r="DS68" s="9" t="e">
        <f>#N/A</f>
        <v>#N/A</v>
      </c>
      <c r="DT68" s="9" t="e">
        <f>#N/A</f>
        <v>#N/A</v>
      </c>
      <c r="DU68" s="202" t="e">
        <f>#N/A</f>
        <v>#N/A</v>
      </c>
      <c r="DV68" s="202" t="e">
        <f>#N/A</f>
        <v>#N/A</v>
      </c>
      <c r="DW68" s="202" t="e">
        <f>#N/A</f>
        <v>#N/A</v>
      </c>
      <c r="DX68" s="203" t="e">
        <f t="shared" si="16"/>
        <v>#N/A</v>
      </c>
      <c r="DY68" s="203" t="e">
        <f t="shared" si="17"/>
        <v>#N/A</v>
      </c>
      <c r="DZ68" s="203" t="e">
        <f t="shared" si="18"/>
        <v>#N/A</v>
      </c>
      <c r="EA68" s="19" t="e">
        <f t="shared" si="19"/>
        <v>#N/A</v>
      </c>
      <c r="EB68" s="19" t="e">
        <f t="shared" si="20"/>
        <v>#N/A</v>
      </c>
      <c r="EC68" s="19" t="e">
        <f t="shared" si="21"/>
        <v>#N/A</v>
      </c>
      <c r="ED68" s="203" t="e">
        <f t="shared" si="22"/>
        <v>#N/A</v>
      </c>
      <c r="EE68" s="203" t="e">
        <f t="shared" si="23"/>
        <v>#N/A</v>
      </c>
      <c r="EF68" s="203" t="e">
        <f t="shared" si="24"/>
        <v>#N/A</v>
      </c>
      <c r="EH68" s="58">
        <f t="shared" si="25"/>
        <v>0</v>
      </c>
      <c r="EI68" s="68" t="e">
        <f t="shared" si="26"/>
        <v>#DIV/0!</v>
      </c>
      <c r="EJ68" s="58">
        <f t="shared" si="27"/>
        <v>0</v>
      </c>
      <c r="EK68" s="68" t="e">
        <f t="shared" si="26"/>
        <v>#DIV/0!</v>
      </c>
      <c r="EL68" s="58">
        <f t="shared" si="28"/>
        <v>0</v>
      </c>
      <c r="EM68" s="58">
        <f t="shared" si="29"/>
        <v>0</v>
      </c>
      <c r="EN68" s="68" t="e">
        <f t="shared" si="26"/>
        <v>#DIV/0!</v>
      </c>
    </row>
    <row r="69" spans="1:144" x14ac:dyDescent="0.2">
      <c r="A69" s="43">
        <v>0</v>
      </c>
      <c r="B69" s="43">
        <v>0</v>
      </c>
      <c r="C69" s="43">
        <v>0</v>
      </c>
      <c r="D69" s="70">
        <v>2013</v>
      </c>
      <c r="E69" s="70">
        <v>2</v>
      </c>
      <c r="F69" s="64"/>
      <c r="G69" s="63"/>
      <c r="H69" s="63"/>
      <c r="I69" s="63"/>
      <c r="J69" s="63"/>
      <c r="K69" s="63"/>
      <c r="L69" s="63"/>
      <c r="M69" s="64"/>
      <c r="N69" s="64"/>
      <c r="O69" s="64"/>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2"/>
      <c r="AR69" s="18"/>
      <c r="AS69" s="18"/>
      <c r="AT69" s="18"/>
      <c r="AU69" s="63"/>
      <c r="AV69" s="63"/>
      <c r="AW69" s="63"/>
      <c r="AX69" s="63"/>
      <c r="AY69" s="63"/>
      <c r="AZ69" s="63"/>
      <c r="BA69" s="63"/>
      <c r="BB69" s="63"/>
      <c r="BC69" s="63"/>
      <c r="BD69" s="63"/>
      <c r="BE69" s="63"/>
      <c r="BF69" s="63"/>
      <c r="BG69" s="63"/>
      <c r="BH69" s="63"/>
      <c r="BI69" s="1"/>
      <c r="BJ69" s="1"/>
      <c r="BK69" s="1"/>
      <c r="BL69" s="1"/>
      <c r="BM69" s="1"/>
      <c r="BN69" s="1"/>
      <c r="BO69" s="1"/>
      <c r="BP69" s="18"/>
      <c r="BQ69" s="62"/>
      <c r="BR69" s="63"/>
      <c r="BS69" s="64"/>
      <c r="BT69" s="64"/>
      <c r="BU69" s="64"/>
      <c r="BV69" s="64"/>
      <c r="BW69" s="64"/>
      <c r="BX69" s="64"/>
      <c r="BY69" s="64"/>
      <c r="BZ69" s="64"/>
      <c r="CA69" s="64"/>
      <c r="CB69" s="64"/>
      <c r="CC69" s="64"/>
      <c r="CD69" s="64"/>
      <c r="CE69" s="64"/>
      <c r="CF69" s="64"/>
      <c r="CG69" s="70"/>
      <c r="CH69" s="70"/>
      <c r="CI69" s="70"/>
      <c r="CJ69" s="63"/>
      <c r="CK69" s="8">
        <f t="shared" si="30"/>
        <v>0</v>
      </c>
      <c r="CL69" s="62"/>
      <c r="CM69" s="62"/>
      <c r="CN69" s="62"/>
      <c r="CO69" s="62"/>
      <c r="CP69" s="62"/>
      <c r="CQ69" s="62"/>
      <c r="CR69" s="62"/>
      <c r="CS69" s="62"/>
      <c r="CT69" s="62"/>
      <c r="CU69" s="78"/>
      <c r="CV69" s="78"/>
      <c r="CW69" s="78"/>
      <c r="CX69" s="78"/>
      <c r="CY69" s="78"/>
      <c r="CZ69" s="78"/>
      <c r="DA69" s="78"/>
      <c r="DB69" s="78"/>
      <c r="DC69" s="78"/>
      <c r="DD69" s="62"/>
      <c r="DE69" s="62"/>
      <c r="DF69" s="62"/>
      <c r="DG69" s="62"/>
      <c r="DH69" s="62"/>
      <c r="DI69" s="62"/>
      <c r="DJ69" s="62"/>
      <c r="DK69" s="62"/>
      <c r="DL69" s="62"/>
      <c r="DM69" s="8">
        <f t="shared" si="31"/>
        <v>0</v>
      </c>
      <c r="DN69" s="8">
        <f t="shared" si="32"/>
        <v>0</v>
      </c>
      <c r="DO69" s="202" t="e">
        <f>#N/A</f>
        <v>#N/A</v>
      </c>
      <c r="DP69" s="202" t="e">
        <f>#N/A</f>
        <v>#N/A</v>
      </c>
      <c r="DQ69" s="202" t="e">
        <f>#N/A</f>
        <v>#N/A</v>
      </c>
      <c r="DR69" s="9" t="e">
        <f>#N/A</f>
        <v>#N/A</v>
      </c>
      <c r="DS69" s="9" t="e">
        <f>#N/A</f>
        <v>#N/A</v>
      </c>
      <c r="DT69" s="9" t="e">
        <f>#N/A</f>
        <v>#N/A</v>
      </c>
      <c r="DU69" s="202" t="e">
        <f>#N/A</f>
        <v>#N/A</v>
      </c>
      <c r="DV69" s="202" t="e">
        <f>#N/A</f>
        <v>#N/A</v>
      </c>
      <c r="DW69" s="202" t="e">
        <f>#N/A</f>
        <v>#N/A</v>
      </c>
      <c r="DX69" s="203" t="e">
        <f t="shared" si="16"/>
        <v>#N/A</v>
      </c>
      <c r="DY69" s="203" t="e">
        <f t="shared" si="17"/>
        <v>#N/A</v>
      </c>
      <c r="DZ69" s="203" t="e">
        <f t="shared" si="18"/>
        <v>#N/A</v>
      </c>
      <c r="EA69" s="19" t="e">
        <f t="shared" si="19"/>
        <v>#N/A</v>
      </c>
      <c r="EB69" s="19" t="e">
        <f t="shared" si="20"/>
        <v>#N/A</v>
      </c>
      <c r="EC69" s="19" t="e">
        <f t="shared" si="21"/>
        <v>#N/A</v>
      </c>
      <c r="ED69" s="203" t="e">
        <f t="shared" si="22"/>
        <v>#N/A</v>
      </c>
      <c r="EE69" s="203" t="e">
        <f t="shared" si="23"/>
        <v>#N/A</v>
      </c>
      <c r="EF69" s="203" t="e">
        <f t="shared" si="24"/>
        <v>#N/A</v>
      </c>
      <c r="EH69" s="58">
        <f t="shared" si="25"/>
        <v>0</v>
      </c>
      <c r="EI69" s="68" t="e">
        <f t="shared" si="26"/>
        <v>#DIV/0!</v>
      </c>
      <c r="EJ69" s="58">
        <f t="shared" si="27"/>
        <v>0</v>
      </c>
      <c r="EK69" s="68" t="e">
        <f t="shared" si="26"/>
        <v>#DIV/0!</v>
      </c>
      <c r="EL69" s="58">
        <f t="shared" si="28"/>
        <v>0</v>
      </c>
      <c r="EM69" s="58">
        <f t="shared" si="29"/>
        <v>0</v>
      </c>
      <c r="EN69" s="68" t="e">
        <f t="shared" si="26"/>
        <v>#DIV/0!</v>
      </c>
    </row>
    <row r="70" spans="1:144" x14ac:dyDescent="0.2">
      <c r="A70" s="43">
        <v>0</v>
      </c>
      <c r="B70" s="43">
        <v>0</v>
      </c>
      <c r="C70" s="43">
        <v>0</v>
      </c>
      <c r="D70" s="70">
        <v>2013</v>
      </c>
      <c r="E70" s="70">
        <v>3</v>
      </c>
      <c r="F70" s="64"/>
      <c r="G70" s="63"/>
      <c r="H70" s="63"/>
      <c r="I70" s="63"/>
      <c r="J70" s="63"/>
      <c r="K70" s="63"/>
      <c r="L70" s="63"/>
      <c r="M70" s="64"/>
      <c r="N70" s="64"/>
      <c r="O70" s="64"/>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2"/>
      <c r="AR70" s="18"/>
      <c r="AS70" s="18"/>
      <c r="AT70" s="18"/>
      <c r="AU70" s="63"/>
      <c r="AV70" s="63"/>
      <c r="AW70" s="63"/>
      <c r="AX70" s="63"/>
      <c r="AY70" s="63"/>
      <c r="AZ70" s="63"/>
      <c r="BA70" s="63"/>
      <c r="BB70" s="63"/>
      <c r="BC70" s="63"/>
      <c r="BD70" s="63"/>
      <c r="BE70" s="63"/>
      <c r="BF70" s="63"/>
      <c r="BG70" s="63"/>
      <c r="BH70" s="63"/>
      <c r="BI70" s="1"/>
      <c r="BJ70" s="1"/>
      <c r="BK70" s="1"/>
      <c r="BL70" s="1"/>
      <c r="BM70" s="1"/>
      <c r="BN70" s="1"/>
      <c r="BO70" s="1"/>
      <c r="BP70" s="18"/>
      <c r="BQ70" s="62"/>
      <c r="BR70" s="63"/>
      <c r="BS70" s="64"/>
      <c r="BT70" s="64"/>
      <c r="BU70" s="64"/>
      <c r="BV70" s="64"/>
      <c r="BW70" s="64"/>
      <c r="BX70" s="64"/>
      <c r="BY70" s="64"/>
      <c r="BZ70" s="64"/>
      <c r="CA70" s="64"/>
      <c r="CB70" s="64"/>
      <c r="CC70" s="64"/>
      <c r="CD70" s="64"/>
      <c r="CE70" s="64"/>
      <c r="CF70" s="64"/>
      <c r="CG70" s="70"/>
      <c r="CH70" s="70"/>
      <c r="CI70" s="70"/>
      <c r="CJ70" s="63"/>
      <c r="CK70" s="8">
        <f t="shared" si="30"/>
        <v>0</v>
      </c>
      <c r="CL70" s="62"/>
      <c r="CM70" s="62"/>
      <c r="CN70" s="62"/>
      <c r="CO70" s="62"/>
      <c r="CP70" s="62"/>
      <c r="CQ70" s="62"/>
      <c r="CR70" s="62"/>
      <c r="CS70" s="62"/>
      <c r="CT70" s="62"/>
      <c r="CU70" s="78"/>
      <c r="CV70" s="78"/>
      <c r="CW70" s="78"/>
      <c r="CX70" s="78"/>
      <c r="CY70" s="78"/>
      <c r="CZ70" s="78"/>
      <c r="DA70" s="78"/>
      <c r="DB70" s="78"/>
      <c r="DC70" s="78"/>
      <c r="DD70" s="62"/>
      <c r="DE70" s="62"/>
      <c r="DF70" s="62"/>
      <c r="DG70" s="62"/>
      <c r="DH70" s="62"/>
      <c r="DI70" s="62"/>
      <c r="DJ70" s="62"/>
      <c r="DK70" s="62"/>
      <c r="DL70" s="62"/>
      <c r="DM70" s="8">
        <f t="shared" si="31"/>
        <v>0</v>
      </c>
      <c r="DN70" s="8">
        <f t="shared" si="32"/>
        <v>0</v>
      </c>
      <c r="DO70" s="202" t="e">
        <f>#N/A</f>
        <v>#N/A</v>
      </c>
      <c r="DP70" s="202" t="e">
        <f>#N/A</f>
        <v>#N/A</v>
      </c>
      <c r="DQ70" s="202" t="e">
        <f>#N/A</f>
        <v>#N/A</v>
      </c>
      <c r="DR70" s="9" t="e">
        <f>#N/A</f>
        <v>#N/A</v>
      </c>
      <c r="DS70" s="9" t="e">
        <f>#N/A</f>
        <v>#N/A</v>
      </c>
      <c r="DT70" s="9" t="e">
        <f>#N/A</f>
        <v>#N/A</v>
      </c>
      <c r="DU70" s="202" t="e">
        <f>#N/A</f>
        <v>#N/A</v>
      </c>
      <c r="DV70" s="202" t="e">
        <f>#N/A</f>
        <v>#N/A</v>
      </c>
      <c r="DW70" s="202" t="e">
        <f>#N/A</f>
        <v>#N/A</v>
      </c>
      <c r="DX70" s="203" t="e">
        <f t="shared" si="16"/>
        <v>#N/A</v>
      </c>
      <c r="DY70" s="203" t="e">
        <f t="shared" si="17"/>
        <v>#N/A</v>
      </c>
      <c r="DZ70" s="203" t="e">
        <f t="shared" si="18"/>
        <v>#N/A</v>
      </c>
      <c r="EA70" s="19" t="e">
        <f t="shared" si="19"/>
        <v>#N/A</v>
      </c>
      <c r="EB70" s="19" t="e">
        <f t="shared" si="20"/>
        <v>#N/A</v>
      </c>
      <c r="EC70" s="19" t="e">
        <f t="shared" si="21"/>
        <v>#N/A</v>
      </c>
      <c r="ED70" s="203" t="e">
        <f t="shared" si="22"/>
        <v>#N/A</v>
      </c>
      <c r="EE70" s="203" t="e">
        <f t="shared" si="23"/>
        <v>#N/A</v>
      </c>
      <c r="EF70" s="203" t="e">
        <f t="shared" si="24"/>
        <v>#N/A</v>
      </c>
      <c r="EH70" s="58">
        <f t="shared" si="25"/>
        <v>0</v>
      </c>
      <c r="EI70" s="68" t="e">
        <f t="shared" si="26"/>
        <v>#DIV/0!</v>
      </c>
      <c r="EJ70" s="58">
        <f t="shared" si="27"/>
        <v>0</v>
      </c>
      <c r="EK70" s="68" t="e">
        <f t="shared" si="26"/>
        <v>#DIV/0!</v>
      </c>
      <c r="EL70" s="58">
        <f t="shared" si="28"/>
        <v>0</v>
      </c>
      <c r="EM70" s="58">
        <f t="shared" si="29"/>
        <v>0</v>
      </c>
      <c r="EN70" s="68" t="e">
        <f t="shared" si="26"/>
        <v>#DIV/0!</v>
      </c>
    </row>
    <row r="71" spans="1:144" x14ac:dyDescent="0.2">
      <c r="A71" s="43">
        <v>0</v>
      </c>
      <c r="B71" s="43">
        <v>0</v>
      </c>
      <c r="C71" s="43">
        <v>0</v>
      </c>
      <c r="D71" s="70">
        <v>2013</v>
      </c>
      <c r="E71" s="70">
        <v>4</v>
      </c>
      <c r="F71" s="64"/>
      <c r="G71" s="63"/>
      <c r="H71" s="63"/>
      <c r="I71" s="63"/>
      <c r="J71" s="63"/>
      <c r="K71" s="63"/>
      <c r="L71" s="63"/>
      <c r="M71" s="64"/>
      <c r="N71" s="64"/>
      <c r="O71" s="64"/>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2"/>
      <c r="AR71" s="18"/>
      <c r="AS71" s="18"/>
      <c r="AT71" s="18"/>
      <c r="AU71" s="63"/>
      <c r="AV71" s="63"/>
      <c r="AW71" s="63"/>
      <c r="AX71" s="63"/>
      <c r="AY71" s="63"/>
      <c r="AZ71" s="63"/>
      <c r="BA71" s="63"/>
      <c r="BB71" s="63"/>
      <c r="BC71" s="63"/>
      <c r="BD71" s="63"/>
      <c r="BE71" s="63"/>
      <c r="BF71" s="63"/>
      <c r="BG71" s="63"/>
      <c r="BH71" s="63"/>
      <c r="BI71" s="1"/>
      <c r="BJ71" s="1"/>
      <c r="BK71" s="1"/>
      <c r="BL71" s="1"/>
      <c r="BM71" s="1"/>
      <c r="BN71" s="1"/>
      <c r="BO71" s="1"/>
      <c r="BP71" s="18"/>
      <c r="BQ71" s="62"/>
      <c r="BR71" s="63"/>
      <c r="BS71" s="64"/>
      <c r="BT71" s="64"/>
      <c r="BU71" s="64"/>
      <c r="BV71" s="64"/>
      <c r="BW71" s="64"/>
      <c r="BX71" s="64"/>
      <c r="BY71" s="64"/>
      <c r="BZ71" s="64"/>
      <c r="CA71" s="64"/>
      <c r="CB71" s="64"/>
      <c r="CC71" s="64"/>
      <c r="CD71" s="64"/>
      <c r="CE71" s="64"/>
      <c r="CF71" s="64"/>
      <c r="CG71" s="70"/>
      <c r="CH71" s="70"/>
      <c r="CI71" s="70"/>
      <c r="CJ71" s="63"/>
      <c r="CK71" s="8">
        <f t="shared" si="30"/>
        <v>0</v>
      </c>
      <c r="CL71" s="62"/>
      <c r="CM71" s="62"/>
      <c r="CN71" s="62"/>
      <c r="CO71" s="62"/>
      <c r="CP71" s="62"/>
      <c r="CQ71" s="62"/>
      <c r="CR71" s="62"/>
      <c r="CS71" s="62"/>
      <c r="CT71" s="62"/>
      <c r="CU71" s="78"/>
      <c r="CV71" s="78"/>
      <c r="CW71" s="78"/>
      <c r="CX71" s="78"/>
      <c r="CY71" s="78"/>
      <c r="CZ71" s="78"/>
      <c r="DA71" s="78"/>
      <c r="DB71" s="78"/>
      <c r="DC71" s="78"/>
      <c r="DD71" s="62"/>
      <c r="DE71" s="62"/>
      <c r="DF71" s="62"/>
      <c r="DG71" s="62"/>
      <c r="DH71" s="62"/>
      <c r="DI71" s="62"/>
      <c r="DJ71" s="62"/>
      <c r="DK71" s="62"/>
      <c r="DL71" s="62"/>
      <c r="DM71" s="8">
        <f t="shared" si="31"/>
        <v>0</v>
      </c>
      <c r="DN71" s="8">
        <f t="shared" si="32"/>
        <v>0</v>
      </c>
      <c r="DO71" s="202" t="e">
        <f>#N/A</f>
        <v>#N/A</v>
      </c>
      <c r="DP71" s="202" t="e">
        <f>#N/A</f>
        <v>#N/A</v>
      </c>
      <c r="DQ71" s="202" t="e">
        <f>#N/A</f>
        <v>#N/A</v>
      </c>
      <c r="DR71" s="9" t="e">
        <f>#N/A</f>
        <v>#N/A</v>
      </c>
      <c r="DS71" s="9" t="e">
        <f>#N/A</f>
        <v>#N/A</v>
      </c>
      <c r="DT71" s="9" t="e">
        <f>#N/A</f>
        <v>#N/A</v>
      </c>
      <c r="DU71" s="202" t="e">
        <f>#N/A</f>
        <v>#N/A</v>
      </c>
      <c r="DV71" s="202" t="e">
        <f>#N/A</f>
        <v>#N/A</v>
      </c>
      <c r="DW71" s="202" t="e">
        <f>#N/A</f>
        <v>#N/A</v>
      </c>
      <c r="DX71" s="203" t="e">
        <f t="shared" si="16"/>
        <v>#N/A</v>
      </c>
      <c r="DY71" s="203" t="e">
        <f t="shared" si="17"/>
        <v>#N/A</v>
      </c>
      <c r="DZ71" s="203" t="e">
        <f t="shared" si="18"/>
        <v>#N/A</v>
      </c>
      <c r="EA71" s="19" t="e">
        <f t="shared" si="19"/>
        <v>#N/A</v>
      </c>
      <c r="EB71" s="19" t="e">
        <f t="shared" si="20"/>
        <v>#N/A</v>
      </c>
      <c r="EC71" s="19" t="e">
        <f t="shared" si="21"/>
        <v>#N/A</v>
      </c>
      <c r="ED71" s="203" t="e">
        <f t="shared" si="22"/>
        <v>#N/A</v>
      </c>
      <c r="EE71" s="203" t="e">
        <f t="shared" si="23"/>
        <v>#N/A</v>
      </c>
      <c r="EF71" s="203" t="e">
        <f t="shared" si="24"/>
        <v>#N/A</v>
      </c>
      <c r="EH71" s="58">
        <f t="shared" si="25"/>
        <v>0</v>
      </c>
      <c r="EI71" s="68" t="e">
        <f t="shared" si="26"/>
        <v>#DIV/0!</v>
      </c>
      <c r="EJ71" s="58">
        <f t="shared" si="27"/>
        <v>0</v>
      </c>
      <c r="EK71" s="68" t="e">
        <f t="shared" si="26"/>
        <v>#DIV/0!</v>
      </c>
      <c r="EL71" s="58">
        <f t="shared" si="28"/>
        <v>0</v>
      </c>
      <c r="EM71" s="58">
        <f t="shared" si="29"/>
        <v>0</v>
      </c>
      <c r="EN71" s="68" t="e">
        <f t="shared" si="26"/>
        <v>#DIV/0!</v>
      </c>
    </row>
    <row r="72" spans="1:144" x14ac:dyDescent="0.2">
      <c r="A72" s="43">
        <v>0</v>
      </c>
      <c r="B72" s="43">
        <v>0</v>
      </c>
      <c r="C72" s="43">
        <v>0</v>
      </c>
      <c r="D72" s="70">
        <v>2013</v>
      </c>
      <c r="E72" s="70">
        <v>5</v>
      </c>
      <c r="F72" s="64"/>
      <c r="G72" s="63"/>
      <c r="H72" s="63"/>
      <c r="I72" s="63"/>
      <c r="J72" s="63"/>
      <c r="K72" s="63"/>
      <c r="L72" s="63"/>
      <c r="M72" s="64"/>
      <c r="N72" s="64"/>
      <c r="O72" s="64"/>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2"/>
      <c r="AR72" s="18"/>
      <c r="AS72" s="18"/>
      <c r="AT72" s="18"/>
      <c r="AU72" s="63"/>
      <c r="AV72" s="63"/>
      <c r="AW72" s="63"/>
      <c r="AX72" s="63"/>
      <c r="AY72" s="63"/>
      <c r="AZ72" s="63"/>
      <c r="BA72" s="63"/>
      <c r="BB72" s="63"/>
      <c r="BC72" s="63"/>
      <c r="BD72" s="63"/>
      <c r="BE72" s="63"/>
      <c r="BF72" s="63"/>
      <c r="BG72" s="63"/>
      <c r="BH72" s="63"/>
      <c r="BI72" s="1"/>
      <c r="BJ72" s="1"/>
      <c r="BK72" s="1"/>
      <c r="BL72" s="1"/>
      <c r="BM72" s="1"/>
      <c r="BN72" s="1"/>
      <c r="BO72" s="1"/>
      <c r="BP72" s="18"/>
      <c r="BQ72" s="62"/>
      <c r="BR72" s="63"/>
      <c r="BS72" s="64"/>
      <c r="BT72" s="64"/>
      <c r="BU72" s="64"/>
      <c r="BV72" s="64"/>
      <c r="BW72" s="64"/>
      <c r="BX72" s="64"/>
      <c r="BY72" s="64"/>
      <c r="BZ72" s="64"/>
      <c r="CA72" s="64"/>
      <c r="CB72" s="64"/>
      <c r="CC72" s="64"/>
      <c r="CD72" s="64"/>
      <c r="CE72" s="64"/>
      <c r="CF72" s="64"/>
      <c r="CG72" s="70"/>
      <c r="CH72" s="70"/>
      <c r="CI72" s="70"/>
      <c r="CJ72" s="63"/>
      <c r="CK72" s="8">
        <f t="shared" si="30"/>
        <v>0</v>
      </c>
      <c r="CL72" s="62"/>
      <c r="CM72" s="62"/>
      <c r="CN72" s="62"/>
      <c r="CO72" s="62"/>
      <c r="CP72" s="62"/>
      <c r="CQ72" s="62"/>
      <c r="CR72" s="62"/>
      <c r="CS72" s="62"/>
      <c r="CT72" s="62"/>
      <c r="CU72" s="78"/>
      <c r="CV72" s="78"/>
      <c r="CW72" s="78"/>
      <c r="CX72" s="78"/>
      <c r="CY72" s="78"/>
      <c r="CZ72" s="78"/>
      <c r="DA72" s="78"/>
      <c r="DB72" s="78"/>
      <c r="DC72" s="78"/>
      <c r="DD72" s="62"/>
      <c r="DE72" s="62"/>
      <c r="DF72" s="62"/>
      <c r="DG72" s="62"/>
      <c r="DH72" s="62"/>
      <c r="DI72" s="62"/>
      <c r="DJ72" s="62"/>
      <c r="DK72" s="62"/>
      <c r="DL72" s="62"/>
      <c r="DM72" s="8">
        <f t="shared" si="31"/>
        <v>0</v>
      </c>
      <c r="DN72" s="8">
        <f t="shared" si="32"/>
        <v>0</v>
      </c>
      <c r="DO72" s="202" t="e">
        <f>#N/A</f>
        <v>#N/A</v>
      </c>
      <c r="DP72" s="202" t="e">
        <f>#N/A</f>
        <v>#N/A</v>
      </c>
      <c r="DQ72" s="202" t="e">
        <f>#N/A</f>
        <v>#N/A</v>
      </c>
      <c r="DR72" s="9" t="e">
        <f>#N/A</f>
        <v>#N/A</v>
      </c>
      <c r="DS72" s="9" t="e">
        <f>#N/A</f>
        <v>#N/A</v>
      </c>
      <c r="DT72" s="9" t="e">
        <f>#N/A</f>
        <v>#N/A</v>
      </c>
      <c r="DU72" s="202" t="e">
        <f>#N/A</f>
        <v>#N/A</v>
      </c>
      <c r="DV72" s="202" t="e">
        <f>#N/A</f>
        <v>#N/A</v>
      </c>
      <c r="DW72" s="202" t="e">
        <f>#N/A</f>
        <v>#N/A</v>
      </c>
      <c r="DX72" s="203" t="e">
        <f t="shared" ref="DX72:DX103" si="33">+DO72/P72</f>
        <v>#N/A</v>
      </c>
      <c r="DY72" s="203" t="e">
        <f t="shared" ref="DY72:DY103" si="34">+DP72/Q72</f>
        <v>#N/A</v>
      </c>
      <c r="DZ72" s="203" t="e">
        <f t="shared" ref="DZ72:DZ103" si="35">+DQ72/R72</f>
        <v>#N/A</v>
      </c>
      <c r="EA72" s="19" t="e">
        <f t="shared" ref="EA72:EA103" si="36">+DR72/S72</f>
        <v>#N/A</v>
      </c>
      <c r="EB72" s="19" t="e">
        <f t="shared" ref="EB72:EB103" si="37">+DS72/T72</f>
        <v>#N/A</v>
      </c>
      <c r="EC72" s="19" t="e">
        <f t="shared" ref="EC72:EC103" si="38">+DT72/U72</f>
        <v>#N/A</v>
      </c>
      <c r="ED72" s="203" t="e">
        <f t="shared" ref="ED72:ED103" si="39">+DU72/V72</f>
        <v>#N/A</v>
      </c>
      <c r="EE72" s="203" t="e">
        <f t="shared" ref="EE72:EE103" si="40">+DV72/W72</f>
        <v>#N/A</v>
      </c>
      <c r="EF72" s="203" t="e">
        <f t="shared" ref="EF72:EF103" si="41">+DW72/X72</f>
        <v>#N/A</v>
      </c>
      <c r="EH72" s="58">
        <f t="shared" si="25"/>
        <v>0</v>
      </c>
      <c r="EI72" s="68" t="e">
        <f t="shared" si="26"/>
        <v>#DIV/0!</v>
      </c>
      <c r="EJ72" s="58">
        <f t="shared" si="27"/>
        <v>0</v>
      </c>
      <c r="EK72" s="68" t="e">
        <f t="shared" si="26"/>
        <v>#DIV/0!</v>
      </c>
      <c r="EL72" s="58">
        <f t="shared" si="28"/>
        <v>0</v>
      </c>
      <c r="EM72" s="58">
        <f t="shared" si="29"/>
        <v>0</v>
      </c>
      <c r="EN72" s="68" t="e">
        <f t="shared" si="26"/>
        <v>#DIV/0!</v>
      </c>
    </row>
    <row r="73" spans="1:144" x14ac:dyDescent="0.2">
      <c r="A73" s="43">
        <v>0</v>
      </c>
      <c r="B73" s="43">
        <v>0</v>
      </c>
      <c r="C73" s="43">
        <v>0</v>
      </c>
      <c r="D73" s="70">
        <v>2013</v>
      </c>
      <c r="E73" s="70">
        <v>6</v>
      </c>
      <c r="F73" s="64"/>
      <c r="G73" s="63"/>
      <c r="H73" s="63"/>
      <c r="I73" s="63"/>
      <c r="J73" s="63"/>
      <c r="K73" s="63"/>
      <c r="L73" s="63"/>
      <c r="M73" s="64"/>
      <c r="N73" s="64"/>
      <c r="O73" s="64"/>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2"/>
      <c r="AR73" s="18"/>
      <c r="AS73" s="18"/>
      <c r="AT73" s="18"/>
      <c r="AU73" s="63"/>
      <c r="AV73" s="63"/>
      <c r="AW73" s="63"/>
      <c r="AX73" s="63"/>
      <c r="AY73" s="63"/>
      <c r="AZ73" s="63"/>
      <c r="BA73" s="63"/>
      <c r="BB73" s="63"/>
      <c r="BC73" s="63"/>
      <c r="BD73" s="63"/>
      <c r="BE73" s="63"/>
      <c r="BF73" s="63"/>
      <c r="BG73" s="63"/>
      <c r="BH73" s="63"/>
      <c r="BI73" s="1"/>
      <c r="BJ73" s="1"/>
      <c r="BK73" s="1"/>
      <c r="BL73" s="1"/>
      <c r="BM73" s="1"/>
      <c r="BN73" s="1"/>
      <c r="BO73" s="1"/>
      <c r="BP73" s="18"/>
      <c r="BQ73" s="62"/>
      <c r="BR73" s="63"/>
      <c r="BS73" s="64"/>
      <c r="BT73" s="64"/>
      <c r="BU73" s="64"/>
      <c r="BV73" s="64"/>
      <c r="BW73" s="64"/>
      <c r="BX73" s="64"/>
      <c r="BY73" s="64"/>
      <c r="BZ73" s="64"/>
      <c r="CA73" s="64"/>
      <c r="CB73" s="64"/>
      <c r="CC73" s="64"/>
      <c r="CD73" s="64"/>
      <c r="CE73" s="64"/>
      <c r="CF73" s="64"/>
      <c r="CG73" s="70"/>
      <c r="CH73" s="70"/>
      <c r="CI73" s="70"/>
      <c r="CJ73" s="63"/>
      <c r="CK73" s="8">
        <f t="shared" si="30"/>
        <v>0</v>
      </c>
      <c r="CL73" s="62"/>
      <c r="CM73" s="62"/>
      <c r="CN73" s="62"/>
      <c r="CO73" s="62"/>
      <c r="CP73" s="62"/>
      <c r="CQ73" s="62"/>
      <c r="CR73" s="62"/>
      <c r="CS73" s="62"/>
      <c r="CT73" s="62"/>
      <c r="CU73" s="78"/>
      <c r="CV73" s="78"/>
      <c r="CW73" s="78"/>
      <c r="CX73" s="78"/>
      <c r="CY73" s="78"/>
      <c r="CZ73" s="78"/>
      <c r="DA73" s="78"/>
      <c r="DB73" s="78"/>
      <c r="DC73" s="78"/>
      <c r="DD73" s="62"/>
      <c r="DE73" s="62"/>
      <c r="DF73" s="62"/>
      <c r="DG73" s="62"/>
      <c r="DH73" s="62"/>
      <c r="DI73" s="62"/>
      <c r="DJ73" s="62"/>
      <c r="DK73" s="62"/>
      <c r="DL73" s="62"/>
      <c r="DM73" s="8">
        <f t="shared" si="31"/>
        <v>0</v>
      </c>
      <c r="DN73" s="8">
        <f t="shared" si="32"/>
        <v>0</v>
      </c>
      <c r="DO73" s="202" t="e">
        <f>#N/A</f>
        <v>#N/A</v>
      </c>
      <c r="DP73" s="202" t="e">
        <f>#N/A</f>
        <v>#N/A</v>
      </c>
      <c r="DQ73" s="202" t="e">
        <f>#N/A</f>
        <v>#N/A</v>
      </c>
      <c r="DR73" s="9" t="e">
        <f>#N/A</f>
        <v>#N/A</v>
      </c>
      <c r="DS73" s="9" t="e">
        <f>#N/A</f>
        <v>#N/A</v>
      </c>
      <c r="DT73" s="9" t="e">
        <f>#N/A</f>
        <v>#N/A</v>
      </c>
      <c r="DU73" s="202" t="e">
        <f>#N/A</f>
        <v>#N/A</v>
      </c>
      <c r="DV73" s="202" t="e">
        <f>#N/A</f>
        <v>#N/A</v>
      </c>
      <c r="DW73" s="202" t="e">
        <f>#N/A</f>
        <v>#N/A</v>
      </c>
      <c r="DX73" s="203" t="e">
        <f t="shared" si="33"/>
        <v>#N/A</v>
      </c>
      <c r="DY73" s="203" t="e">
        <f t="shared" si="34"/>
        <v>#N/A</v>
      </c>
      <c r="DZ73" s="203" t="e">
        <f t="shared" si="35"/>
        <v>#N/A</v>
      </c>
      <c r="EA73" s="19" t="e">
        <f t="shared" si="36"/>
        <v>#N/A</v>
      </c>
      <c r="EB73" s="19" t="e">
        <f t="shared" si="37"/>
        <v>#N/A</v>
      </c>
      <c r="EC73" s="19" t="e">
        <f t="shared" si="38"/>
        <v>#N/A</v>
      </c>
      <c r="ED73" s="203" t="e">
        <f t="shared" si="39"/>
        <v>#N/A</v>
      </c>
      <c r="EE73" s="203" t="e">
        <f t="shared" si="40"/>
        <v>#N/A</v>
      </c>
      <c r="EF73" s="203" t="e">
        <f t="shared" si="41"/>
        <v>#N/A</v>
      </c>
      <c r="EH73" s="58">
        <f t="shared" ref="EH73:EH136" si="42">SUMIF($AL$1:$DL$1,1,$AL73:$DL73)</f>
        <v>0</v>
      </c>
      <c r="EI73" s="68" t="e">
        <f t="shared" ref="EI73:EK136" si="43">+EH73/$AF73</f>
        <v>#DIV/0!</v>
      </c>
      <c r="EJ73" s="58">
        <f t="shared" ref="EJ73:EJ136" si="44">SUMIF($AL$2:$DL$2,1,$AL73:$DL73)</f>
        <v>0</v>
      </c>
      <c r="EK73" s="68" t="e">
        <f t="shared" si="43"/>
        <v>#DIV/0!</v>
      </c>
      <c r="EL73" s="58">
        <f t="shared" ref="EL73:EL136" si="45">+EM73-BX73</f>
        <v>0</v>
      </c>
      <c r="EM73" s="58">
        <f t="shared" ref="EM73:EM136" si="46">SUMIF($AL$3:$DL$3,1,$AL73:$DL73)</f>
        <v>0</v>
      </c>
      <c r="EN73" s="68" t="e">
        <f t="shared" ref="EN73:EN136" si="47">+EM73/$AF73</f>
        <v>#DIV/0!</v>
      </c>
    </row>
    <row r="74" spans="1:144" x14ac:dyDescent="0.2">
      <c r="A74" s="43">
        <v>0</v>
      </c>
      <c r="B74" s="43">
        <v>0</v>
      </c>
      <c r="C74" s="43">
        <v>0</v>
      </c>
      <c r="D74" s="70">
        <v>2013</v>
      </c>
      <c r="E74" s="70">
        <v>7</v>
      </c>
      <c r="F74" s="64"/>
      <c r="G74" s="63"/>
      <c r="H74" s="63"/>
      <c r="I74" s="63"/>
      <c r="J74" s="63"/>
      <c r="K74" s="63"/>
      <c r="L74" s="63"/>
      <c r="M74" s="64"/>
      <c r="N74" s="64"/>
      <c r="O74" s="64"/>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2"/>
      <c r="AR74" s="18"/>
      <c r="AS74" s="18"/>
      <c r="AT74" s="18"/>
      <c r="AU74" s="63"/>
      <c r="AV74" s="63"/>
      <c r="AW74" s="63"/>
      <c r="AX74" s="63"/>
      <c r="AY74" s="63"/>
      <c r="AZ74" s="63"/>
      <c r="BA74" s="63"/>
      <c r="BB74" s="63"/>
      <c r="BC74" s="63"/>
      <c r="BD74" s="63"/>
      <c r="BE74" s="63"/>
      <c r="BF74" s="63"/>
      <c r="BG74" s="63"/>
      <c r="BH74" s="63"/>
      <c r="BI74" s="1"/>
      <c r="BJ74" s="1"/>
      <c r="BK74" s="1"/>
      <c r="BL74" s="1"/>
      <c r="BM74" s="1"/>
      <c r="BN74" s="1"/>
      <c r="BO74" s="1"/>
      <c r="BP74" s="18"/>
      <c r="BQ74" s="62"/>
      <c r="BR74" s="63"/>
      <c r="BS74" s="64"/>
      <c r="BT74" s="64"/>
      <c r="BU74" s="64"/>
      <c r="BV74" s="64"/>
      <c r="BW74" s="64"/>
      <c r="BX74" s="64"/>
      <c r="BY74" s="64"/>
      <c r="BZ74" s="64"/>
      <c r="CA74" s="64"/>
      <c r="CB74" s="64"/>
      <c r="CC74" s="64"/>
      <c r="CD74" s="64"/>
      <c r="CE74" s="64"/>
      <c r="CF74" s="64"/>
      <c r="CG74" s="70"/>
      <c r="CH74" s="70"/>
      <c r="CI74" s="70"/>
      <c r="CJ74" s="63"/>
      <c r="CK74" s="8">
        <f t="shared" si="30"/>
        <v>0</v>
      </c>
      <c r="CL74" s="62"/>
      <c r="CM74" s="62"/>
      <c r="CN74" s="62"/>
      <c r="CO74" s="62"/>
      <c r="CP74" s="62"/>
      <c r="CQ74" s="62"/>
      <c r="CR74" s="62"/>
      <c r="CS74" s="62"/>
      <c r="CT74" s="62"/>
      <c r="CU74" s="78"/>
      <c r="CV74" s="78"/>
      <c r="CW74" s="78"/>
      <c r="CX74" s="78"/>
      <c r="CY74" s="78"/>
      <c r="CZ74" s="78"/>
      <c r="DA74" s="78"/>
      <c r="DB74" s="78"/>
      <c r="DC74" s="78"/>
      <c r="DD74" s="62"/>
      <c r="DE74" s="62"/>
      <c r="DF74" s="62"/>
      <c r="DG74" s="62"/>
      <c r="DH74" s="62"/>
      <c r="DI74" s="62"/>
      <c r="DJ74" s="62"/>
      <c r="DK74" s="62"/>
      <c r="DL74" s="62"/>
      <c r="DM74" s="8">
        <f t="shared" si="31"/>
        <v>0</v>
      </c>
      <c r="DN74" s="8">
        <f t="shared" si="32"/>
        <v>0</v>
      </c>
      <c r="DO74" s="202" t="e">
        <f>#N/A</f>
        <v>#N/A</v>
      </c>
      <c r="DP74" s="202" t="e">
        <f>#N/A</f>
        <v>#N/A</v>
      </c>
      <c r="DQ74" s="202" t="e">
        <f>#N/A</f>
        <v>#N/A</v>
      </c>
      <c r="DR74" s="9" t="e">
        <f>#N/A</f>
        <v>#N/A</v>
      </c>
      <c r="DS74" s="9" t="e">
        <f>#N/A</f>
        <v>#N/A</v>
      </c>
      <c r="DT74" s="9" t="e">
        <f>#N/A</f>
        <v>#N/A</v>
      </c>
      <c r="DU74" s="202" t="e">
        <f>#N/A</f>
        <v>#N/A</v>
      </c>
      <c r="DV74" s="202" t="e">
        <f>#N/A</f>
        <v>#N/A</v>
      </c>
      <c r="DW74" s="202" t="e">
        <f>#N/A</f>
        <v>#N/A</v>
      </c>
      <c r="DX74" s="203" t="e">
        <f t="shared" si="33"/>
        <v>#N/A</v>
      </c>
      <c r="DY74" s="203" t="e">
        <f t="shared" si="34"/>
        <v>#N/A</v>
      </c>
      <c r="DZ74" s="203" t="e">
        <f t="shared" si="35"/>
        <v>#N/A</v>
      </c>
      <c r="EA74" s="19" t="e">
        <f t="shared" si="36"/>
        <v>#N/A</v>
      </c>
      <c r="EB74" s="19" t="e">
        <f t="shared" si="37"/>
        <v>#N/A</v>
      </c>
      <c r="EC74" s="19" t="e">
        <f t="shared" si="38"/>
        <v>#N/A</v>
      </c>
      <c r="ED74" s="203" t="e">
        <f t="shared" si="39"/>
        <v>#N/A</v>
      </c>
      <c r="EE74" s="203" t="e">
        <f t="shared" si="40"/>
        <v>#N/A</v>
      </c>
      <c r="EF74" s="203" t="e">
        <f t="shared" si="41"/>
        <v>#N/A</v>
      </c>
      <c r="EH74" s="58">
        <f t="shared" si="42"/>
        <v>0</v>
      </c>
      <c r="EI74" s="68" t="e">
        <f t="shared" si="43"/>
        <v>#DIV/0!</v>
      </c>
      <c r="EJ74" s="58">
        <f t="shared" si="44"/>
        <v>0</v>
      </c>
      <c r="EK74" s="68" t="e">
        <f t="shared" si="43"/>
        <v>#DIV/0!</v>
      </c>
      <c r="EL74" s="58">
        <f t="shared" si="45"/>
        <v>0</v>
      </c>
      <c r="EM74" s="58">
        <f t="shared" si="46"/>
        <v>0</v>
      </c>
      <c r="EN74" s="68" t="e">
        <f t="shared" si="47"/>
        <v>#DIV/0!</v>
      </c>
    </row>
    <row r="75" spans="1:144" x14ac:dyDescent="0.2">
      <c r="A75" s="43">
        <v>0</v>
      </c>
      <c r="B75" s="43">
        <v>0</v>
      </c>
      <c r="C75" s="43">
        <v>0</v>
      </c>
      <c r="D75" s="70">
        <v>2013</v>
      </c>
      <c r="E75" s="70">
        <v>8</v>
      </c>
      <c r="F75" s="64"/>
      <c r="G75" s="63"/>
      <c r="H75" s="63"/>
      <c r="I75" s="63"/>
      <c r="J75" s="63"/>
      <c r="K75" s="63"/>
      <c r="L75" s="63"/>
      <c r="M75" s="64"/>
      <c r="N75" s="64"/>
      <c r="O75" s="64"/>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2"/>
      <c r="AR75" s="18"/>
      <c r="AS75" s="18"/>
      <c r="AT75" s="18"/>
      <c r="AU75" s="63"/>
      <c r="AV75" s="63"/>
      <c r="AW75" s="63"/>
      <c r="AX75" s="63"/>
      <c r="AY75" s="63"/>
      <c r="AZ75" s="63"/>
      <c r="BA75" s="63"/>
      <c r="BB75" s="63"/>
      <c r="BC75" s="63"/>
      <c r="BD75" s="63"/>
      <c r="BE75" s="63"/>
      <c r="BF75" s="63"/>
      <c r="BG75" s="63"/>
      <c r="BH75" s="63"/>
      <c r="BI75" s="1"/>
      <c r="BJ75" s="1"/>
      <c r="BK75" s="1"/>
      <c r="BL75" s="1"/>
      <c r="BM75" s="1"/>
      <c r="BN75" s="1"/>
      <c r="BO75" s="1"/>
      <c r="BP75" s="18"/>
      <c r="BQ75" s="62"/>
      <c r="BR75" s="63"/>
      <c r="BS75" s="64"/>
      <c r="BT75" s="64"/>
      <c r="BU75" s="64"/>
      <c r="BV75" s="64"/>
      <c r="BW75" s="64"/>
      <c r="BX75" s="64"/>
      <c r="BY75" s="64"/>
      <c r="BZ75" s="64"/>
      <c r="CA75" s="64"/>
      <c r="CB75" s="64"/>
      <c r="CC75" s="64"/>
      <c r="CD75" s="64"/>
      <c r="CE75" s="64"/>
      <c r="CF75" s="64"/>
      <c r="CG75" s="70"/>
      <c r="CH75" s="70"/>
      <c r="CI75" s="70"/>
      <c r="CJ75" s="63"/>
      <c r="CK75" s="8">
        <f t="shared" si="30"/>
        <v>0</v>
      </c>
      <c r="CL75" s="62"/>
      <c r="CM75" s="62"/>
      <c r="CN75" s="62"/>
      <c r="CO75" s="62"/>
      <c r="CP75" s="62"/>
      <c r="CQ75" s="62"/>
      <c r="CR75" s="62"/>
      <c r="CS75" s="62"/>
      <c r="CT75" s="62"/>
      <c r="CU75" s="78"/>
      <c r="CV75" s="78"/>
      <c r="CW75" s="78"/>
      <c r="CX75" s="78"/>
      <c r="CY75" s="78"/>
      <c r="CZ75" s="78"/>
      <c r="DA75" s="78"/>
      <c r="DB75" s="78"/>
      <c r="DC75" s="78"/>
      <c r="DD75" s="62"/>
      <c r="DE75" s="62"/>
      <c r="DF75" s="62"/>
      <c r="DG75" s="62"/>
      <c r="DH75" s="62"/>
      <c r="DI75" s="62"/>
      <c r="DJ75" s="62"/>
      <c r="DK75" s="62"/>
      <c r="DL75" s="62"/>
      <c r="DM75" s="8">
        <f t="shared" si="31"/>
        <v>0</v>
      </c>
      <c r="DN75" s="8">
        <f t="shared" si="32"/>
        <v>0</v>
      </c>
      <c r="DO75" s="202" t="e">
        <f>#N/A</f>
        <v>#N/A</v>
      </c>
      <c r="DP75" s="202" t="e">
        <f>#N/A</f>
        <v>#N/A</v>
      </c>
      <c r="DQ75" s="202" t="e">
        <f>#N/A</f>
        <v>#N/A</v>
      </c>
      <c r="DR75" s="9" t="e">
        <f>#N/A</f>
        <v>#N/A</v>
      </c>
      <c r="DS75" s="9" t="e">
        <f>#N/A</f>
        <v>#N/A</v>
      </c>
      <c r="DT75" s="9" t="e">
        <f>#N/A</f>
        <v>#N/A</v>
      </c>
      <c r="DU75" s="202" t="e">
        <f>#N/A</f>
        <v>#N/A</v>
      </c>
      <c r="DV75" s="202" t="e">
        <f>#N/A</f>
        <v>#N/A</v>
      </c>
      <c r="DW75" s="202" t="e">
        <f>#N/A</f>
        <v>#N/A</v>
      </c>
      <c r="DX75" s="203" t="e">
        <f t="shared" si="33"/>
        <v>#N/A</v>
      </c>
      <c r="DY75" s="203" t="e">
        <f t="shared" si="34"/>
        <v>#N/A</v>
      </c>
      <c r="DZ75" s="203" t="e">
        <f t="shared" si="35"/>
        <v>#N/A</v>
      </c>
      <c r="EA75" s="19" t="e">
        <f t="shared" si="36"/>
        <v>#N/A</v>
      </c>
      <c r="EB75" s="19" t="e">
        <f t="shared" si="37"/>
        <v>#N/A</v>
      </c>
      <c r="EC75" s="19" t="e">
        <f t="shared" si="38"/>
        <v>#N/A</v>
      </c>
      <c r="ED75" s="203" t="e">
        <f t="shared" si="39"/>
        <v>#N/A</v>
      </c>
      <c r="EE75" s="203" t="e">
        <f t="shared" si="40"/>
        <v>#N/A</v>
      </c>
      <c r="EF75" s="203" t="e">
        <f t="shared" si="41"/>
        <v>#N/A</v>
      </c>
      <c r="EH75" s="58">
        <f t="shared" si="42"/>
        <v>0</v>
      </c>
      <c r="EI75" s="68" t="e">
        <f t="shared" si="43"/>
        <v>#DIV/0!</v>
      </c>
      <c r="EJ75" s="58">
        <f t="shared" si="44"/>
        <v>0</v>
      </c>
      <c r="EK75" s="68" t="e">
        <f t="shared" si="43"/>
        <v>#DIV/0!</v>
      </c>
      <c r="EL75" s="58">
        <f t="shared" si="45"/>
        <v>0</v>
      </c>
      <c r="EM75" s="58">
        <f t="shared" si="46"/>
        <v>0</v>
      </c>
      <c r="EN75" s="68" t="e">
        <f t="shared" si="47"/>
        <v>#DIV/0!</v>
      </c>
    </row>
    <row r="76" spans="1:144" x14ac:dyDescent="0.2">
      <c r="A76" s="43">
        <v>0</v>
      </c>
      <c r="B76" s="43">
        <v>0</v>
      </c>
      <c r="C76" s="43">
        <v>0</v>
      </c>
      <c r="D76" s="70">
        <v>2013</v>
      </c>
      <c r="E76" s="70">
        <v>9</v>
      </c>
      <c r="F76" s="64"/>
      <c r="G76" s="63"/>
      <c r="H76" s="63"/>
      <c r="I76" s="63"/>
      <c r="J76" s="63"/>
      <c r="K76" s="63"/>
      <c r="L76" s="63"/>
      <c r="M76" s="64"/>
      <c r="N76" s="64"/>
      <c r="O76" s="64"/>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2"/>
      <c r="AR76" s="18"/>
      <c r="AS76" s="18"/>
      <c r="AT76" s="18"/>
      <c r="AU76" s="63"/>
      <c r="AV76" s="63"/>
      <c r="AW76" s="63"/>
      <c r="AX76" s="63"/>
      <c r="AY76" s="63"/>
      <c r="AZ76" s="63"/>
      <c r="BA76" s="63"/>
      <c r="BB76" s="63"/>
      <c r="BC76" s="63"/>
      <c r="BD76" s="63"/>
      <c r="BE76" s="63"/>
      <c r="BF76" s="63"/>
      <c r="BG76" s="63"/>
      <c r="BH76" s="63"/>
      <c r="BI76" s="1"/>
      <c r="BJ76" s="1"/>
      <c r="BK76" s="1"/>
      <c r="BL76" s="1"/>
      <c r="BM76" s="1"/>
      <c r="BN76" s="1"/>
      <c r="BO76" s="1"/>
      <c r="BP76" s="18"/>
      <c r="BQ76" s="62"/>
      <c r="BR76" s="63"/>
      <c r="BS76" s="64"/>
      <c r="BT76" s="64"/>
      <c r="BU76" s="64"/>
      <c r="BV76" s="64"/>
      <c r="BW76" s="64"/>
      <c r="BX76" s="64"/>
      <c r="BY76" s="64"/>
      <c r="BZ76" s="64"/>
      <c r="CA76" s="64"/>
      <c r="CB76" s="64"/>
      <c r="CC76" s="64"/>
      <c r="CD76" s="64"/>
      <c r="CE76" s="64"/>
      <c r="CF76" s="64"/>
      <c r="CG76" s="70"/>
      <c r="CH76" s="70"/>
      <c r="CI76" s="70"/>
      <c r="CJ76" s="63"/>
      <c r="CK76" s="8">
        <f t="shared" si="30"/>
        <v>0</v>
      </c>
      <c r="CL76" s="62"/>
      <c r="CM76" s="62"/>
      <c r="CN76" s="62"/>
      <c r="CO76" s="62"/>
      <c r="CP76" s="62"/>
      <c r="CQ76" s="62"/>
      <c r="CR76" s="62"/>
      <c r="CS76" s="62"/>
      <c r="CT76" s="62"/>
      <c r="CU76" s="78"/>
      <c r="CV76" s="78"/>
      <c r="CW76" s="78"/>
      <c r="CX76" s="78"/>
      <c r="CY76" s="78"/>
      <c r="CZ76" s="78"/>
      <c r="DA76" s="78"/>
      <c r="DB76" s="78"/>
      <c r="DC76" s="78"/>
      <c r="DD76" s="62"/>
      <c r="DE76" s="62"/>
      <c r="DF76" s="62"/>
      <c r="DG76" s="62"/>
      <c r="DH76" s="62"/>
      <c r="DI76" s="62"/>
      <c r="DJ76" s="62"/>
      <c r="DK76" s="62"/>
      <c r="DL76" s="62"/>
      <c r="DM76" s="8">
        <f t="shared" si="31"/>
        <v>0</v>
      </c>
      <c r="DN76" s="8">
        <f t="shared" si="32"/>
        <v>0</v>
      </c>
      <c r="DO76" s="202" t="e">
        <f>#N/A</f>
        <v>#N/A</v>
      </c>
      <c r="DP76" s="202" t="e">
        <f>#N/A</f>
        <v>#N/A</v>
      </c>
      <c r="DQ76" s="202" t="e">
        <f>#N/A</f>
        <v>#N/A</v>
      </c>
      <c r="DR76" s="9" t="e">
        <f>#N/A</f>
        <v>#N/A</v>
      </c>
      <c r="DS76" s="9" t="e">
        <f>#N/A</f>
        <v>#N/A</v>
      </c>
      <c r="DT76" s="9" t="e">
        <f>#N/A</f>
        <v>#N/A</v>
      </c>
      <c r="DU76" s="202" t="e">
        <f>#N/A</f>
        <v>#N/A</v>
      </c>
      <c r="DV76" s="202" t="e">
        <f>#N/A</f>
        <v>#N/A</v>
      </c>
      <c r="DW76" s="202" t="e">
        <f>#N/A</f>
        <v>#N/A</v>
      </c>
      <c r="DX76" s="203" t="e">
        <f t="shared" si="33"/>
        <v>#N/A</v>
      </c>
      <c r="DY76" s="203" t="e">
        <f t="shared" si="34"/>
        <v>#N/A</v>
      </c>
      <c r="DZ76" s="203" t="e">
        <f t="shared" si="35"/>
        <v>#N/A</v>
      </c>
      <c r="EA76" s="19" t="e">
        <f t="shared" si="36"/>
        <v>#N/A</v>
      </c>
      <c r="EB76" s="19" t="e">
        <f t="shared" si="37"/>
        <v>#N/A</v>
      </c>
      <c r="EC76" s="19" t="e">
        <f t="shared" si="38"/>
        <v>#N/A</v>
      </c>
      <c r="ED76" s="203" t="e">
        <f t="shared" si="39"/>
        <v>#N/A</v>
      </c>
      <c r="EE76" s="203" t="e">
        <f t="shared" si="40"/>
        <v>#N/A</v>
      </c>
      <c r="EF76" s="203" t="e">
        <f t="shared" si="41"/>
        <v>#N/A</v>
      </c>
      <c r="EH76" s="58">
        <f t="shared" si="42"/>
        <v>0</v>
      </c>
      <c r="EI76" s="68" t="e">
        <f t="shared" si="43"/>
        <v>#DIV/0!</v>
      </c>
      <c r="EJ76" s="58">
        <f t="shared" si="44"/>
        <v>0</v>
      </c>
      <c r="EK76" s="68" t="e">
        <f t="shared" si="43"/>
        <v>#DIV/0!</v>
      </c>
      <c r="EL76" s="58">
        <f t="shared" si="45"/>
        <v>0</v>
      </c>
      <c r="EM76" s="58">
        <f t="shared" si="46"/>
        <v>0</v>
      </c>
      <c r="EN76" s="68" t="e">
        <f t="shared" si="47"/>
        <v>#DIV/0!</v>
      </c>
    </row>
    <row r="77" spans="1:144" x14ac:dyDescent="0.2">
      <c r="A77" s="43">
        <v>0</v>
      </c>
      <c r="B77" s="43">
        <v>0</v>
      </c>
      <c r="C77" s="43">
        <v>0</v>
      </c>
      <c r="D77" s="70">
        <v>2013</v>
      </c>
      <c r="E77" s="70">
        <v>10</v>
      </c>
      <c r="F77" s="64"/>
      <c r="G77" s="63"/>
      <c r="H77" s="63"/>
      <c r="I77" s="63"/>
      <c r="J77" s="63"/>
      <c r="K77" s="63"/>
      <c r="L77" s="63"/>
      <c r="M77" s="64"/>
      <c r="N77" s="64"/>
      <c r="O77" s="64"/>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2"/>
      <c r="AR77" s="18"/>
      <c r="AS77" s="18"/>
      <c r="AT77" s="18"/>
      <c r="AU77" s="63"/>
      <c r="AV77" s="63"/>
      <c r="AW77" s="63"/>
      <c r="AX77" s="63"/>
      <c r="AY77" s="63"/>
      <c r="AZ77" s="63"/>
      <c r="BA77" s="63"/>
      <c r="BB77" s="63"/>
      <c r="BC77" s="63"/>
      <c r="BD77" s="63"/>
      <c r="BE77" s="63"/>
      <c r="BF77" s="63"/>
      <c r="BG77" s="63"/>
      <c r="BH77" s="63"/>
      <c r="BI77" s="1"/>
      <c r="BJ77" s="1"/>
      <c r="BK77" s="1"/>
      <c r="BL77" s="1"/>
      <c r="BM77" s="1"/>
      <c r="BN77" s="1"/>
      <c r="BO77" s="1"/>
      <c r="BP77" s="18"/>
      <c r="BQ77" s="62"/>
      <c r="BR77" s="63"/>
      <c r="BS77" s="64"/>
      <c r="BT77" s="64"/>
      <c r="BU77" s="64"/>
      <c r="BV77" s="64"/>
      <c r="BW77" s="64"/>
      <c r="BX77" s="64"/>
      <c r="BY77" s="64"/>
      <c r="BZ77" s="64"/>
      <c r="CA77" s="64"/>
      <c r="CB77" s="64"/>
      <c r="CC77" s="64"/>
      <c r="CD77" s="64"/>
      <c r="CE77" s="64"/>
      <c r="CF77" s="64"/>
      <c r="CG77" s="70"/>
      <c r="CH77" s="70"/>
      <c r="CI77" s="70"/>
      <c r="CJ77" s="63"/>
      <c r="CK77" s="8">
        <f t="shared" si="30"/>
        <v>0</v>
      </c>
      <c r="CL77" s="62"/>
      <c r="CM77" s="62"/>
      <c r="CN77" s="62"/>
      <c r="CO77" s="62"/>
      <c r="CP77" s="62"/>
      <c r="CQ77" s="62"/>
      <c r="CR77" s="62"/>
      <c r="CS77" s="62"/>
      <c r="CT77" s="62"/>
      <c r="CU77" s="78"/>
      <c r="CV77" s="78"/>
      <c r="CW77" s="78"/>
      <c r="CX77" s="78"/>
      <c r="CY77" s="78"/>
      <c r="CZ77" s="78"/>
      <c r="DA77" s="78"/>
      <c r="DB77" s="78"/>
      <c r="DC77" s="78"/>
      <c r="DD77" s="62"/>
      <c r="DE77" s="62"/>
      <c r="DF77" s="62"/>
      <c r="DG77" s="62"/>
      <c r="DH77" s="62"/>
      <c r="DI77" s="62"/>
      <c r="DJ77" s="62"/>
      <c r="DK77" s="62"/>
      <c r="DL77" s="62"/>
      <c r="DM77" s="8">
        <f t="shared" si="31"/>
        <v>0</v>
      </c>
      <c r="DN77" s="8">
        <f t="shared" si="32"/>
        <v>0</v>
      </c>
      <c r="DO77" s="202" t="e">
        <f>#N/A</f>
        <v>#N/A</v>
      </c>
      <c r="DP77" s="202" t="e">
        <f>#N/A</f>
        <v>#N/A</v>
      </c>
      <c r="DQ77" s="202" t="e">
        <f>#N/A</f>
        <v>#N/A</v>
      </c>
      <c r="DR77" s="9" t="e">
        <f>#N/A</f>
        <v>#N/A</v>
      </c>
      <c r="DS77" s="9" t="e">
        <f>#N/A</f>
        <v>#N/A</v>
      </c>
      <c r="DT77" s="9" t="e">
        <f>#N/A</f>
        <v>#N/A</v>
      </c>
      <c r="DU77" s="202" t="e">
        <f>#N/A</f>
        <v>#N/A</v>
      </c>
      <c r="DV77" s="202" t="e">
        <f>#N/A</f>
        <v>#N/A</v>
      </c>
      <c r="DW77" s="202" t="e">
        <f>#N/A</f>
        <v>#N/A</v>
      </c>
      <c r="DX77" s="203" t="e">
        <f t="shared" si="33"/>
        <v>#N/A</v>
      </c>
      <c r="DY77" s="203" t="e">
        <f t="shared" si="34"/>
        <v>#N/A</v>
      </c>
      <c r="DZ77" s="203" t="e">
        <f t="shared" si="35"/>
        <v>#N/A</v>
      </c>
      <c r="EA77" s="19" t="e">
        <f t="shared" si="36"/>
        <v>#N/A</v>
      </c>
      <c r="EB77" s="19" t="e">
        <f t="shared" si="37"/>
        <v>#N/A</v>
      </c>
      <c r="EC77" s="19" t="e">
        <f t="shared" si="38"/>
        <v>#N/A</v>
      </c>
      <c r="ED77" s="203" t="e">
        <f t="shared" si="39"/>
        <v>#N/A</v>
      </c>
      <c r="EE77" s="203" t="e">
        <f t="shared" si="40"/>
        <v>#N/A</v>
      </c>
      <c r="EF77" s="203" t="e">
        <f t="shared" si="41"/>
        <v>#N/A</v>
      </c>
      <c r="EH77" s="58">
        <f t="shared" si="42"/>
        <v>0</v>
      </c>
      <c r="EI77" s="68" t="e">
        <f t="shared" si="43"/>
        <v>#DIV/0!</v>
      </c>
      <c r="EJ77" s="58">
        <f t="shared" si="44"/>
        <v>0</v>
      </c>
      <c r="EK77" s="68" t="e">
        <f t="shared" si="43"/>
        <v>#DIV/0!</v>
      </c>
      <c r="EL77" s="58">
        <f t="shared" si="45"/>
        <v>0</v>
      </c>
      <c r="EM77" s="58">
        <f t="shared" si="46"/>
        <v>0</v>
      </c>
      <c r="EN77" s="68" t="e">
        <f t="shared" si="47"/>
        <v>#DIV/0!</v>
      </c>
    </row>
    <row r="78" spans="1:144" x14ac:dyDescent="0.2">
      <c r="A78" s="43">
        <v>0</v>
      </c>
      <c r="B78" s="43">
        <v>0</v>
      </c>
      <c r="C78" s="43">
        <v>0</v>
      </c>
      <c r="D78" s="70">
        <v>2013</v>
      </c>
      <c r="E78" s="70">
        <v>11</v>
      </c>
      <c r="F78" s="64"/>
      <c r="G78" s="63"/>
      <c r="H78" s="63"/>
      <c r="I78" s="63"/>
      <c r="J78" s="63"/>
      <c r="K78" s="63"/>
      <c r="L78" s="63"/>
      <c r="M78" s="64"/>
      <c r="N78" s="64"/>
      <c r="O78" s="64"/>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2"/>
      <c r="AR78" s="18"/>
      <c r="AS78" s="18"/>
      <c r="AT78" s="18"/>
      <c r="AU78" s="63"/>
      <c r="AV78" s="63"/>
      <c r="AW78" s="63"/>
      <c r="AX78" s="63"/>
      <c r="AY78" s="63"/>
      <c r="AZ78" s="63"/>
      <c r="BA78" s="63"/>
      <c r="BB78" s="63"/>
      <c r="BC78" s="63"/>
      <c r="BD78" s="63"/>
      <c r="BE78" s="63"/>
      <c r="BF78" s="63"/>
      <c r="BG78" s="63"/>
      <c r="BH78" s="63"/>
      <c r="BI78" s="1"/>
      <c r="BJ78" s="1"/>
      <c r="BK78" s="1"/>
      <c r="BL78" s="1"/>
      <c r="BM78" s="1"/>
      <c r="BN78" s="1"/>
      <c r="BO78" s="1"/>
      <c r="BP78" s="18"/>
      <c r="BQ78" s="62"/>
      <c r="BR78" s="63"/>
      <c r="BS78" s="64"/>
      <c r="BT78" s="64"/>
      <c r="BU78" s="64"/>
      <c r="BV78" s="64"/>
      <c r="BW78" s="64"/>
      <c r="BX78" s="64"/>
      <c r="BY78" s="64"/>
      <c r="BZ78" s="64"/>
      <c r="CA78" s="64"/>
      <c r="CB78" s="64"/>
      <c r="CC78" s="64"/>
      <c r="CD78" s="64"/>
      <c r="CE78" s="64"/>
      <c r="CF78" s="64"/>
      <c r="CG78" s="70"/>
      <c r="CH78" s="70"/>
      <c r="CI78" s="70"/>
      <c r="CJ78" s="63"/>
      <c r="CK78" s="8">
        <f t="shared" si="30"/>
        <v>0</v>
      </c>
      <c r="CL78" s="62"/>
      <c r="CM78" s="62"/>
      <c r="CN78" s="62"/>
      <c r="CO78" s="62"/>
      <c r="CP78" s="62"/>
      <c r="CQ78" s="62"/>
      <c r="CR78" s="62"/>
      <c r="CS78" s="62"/>
      <c r="CT78" s="62"/>
      <c r="CU78" s="78"/>
      <c r="CV78" s="78"/>
      <c r="CW78" s="78"/>
      <c r="CX78" s="78"/>
      <c r="CY78" s="78"/>
      <c r="CZ78" s="78"/>
      <c r="DA78" s="78"/>
      <c r="DB78" s="78"/>
      <c r="DC78" s="78"/>
      <c r="DD78" s="62"/>
      <c r="DE78" s="62"/>
      <c r="DF78" s="62"/>
      <c r="DG78" s="62"/>
      <c r="DH78" s="62"/>
      <c r="DI78" s="62"/>
      <c r="DJ78" s="62"/>
      <c r="DK78" s="62"/>
      <c r="DL78" s="62"/>
      <c r="DM78" s="8">
        <f t="shared" si="31"/>
        <v>0</v>
      </c>
      <c r="DN78" s="8">
        <f t="shared" si="32"/>
        <v>0</v>
      </c>
      <c r="DO78" s="202" t="e">
        <f>#N/A</f>
        <v>#N/A</v>
      </c>
      <c r="DP78" s="202" t="e">
        <f>#N/A</f>
        <v>#N/A</v>
      </c>
      <c r="DQ78" s="202" t="e">
        <f>#N/A</f>
        <v>#N/A</v>
      </c>
      <c r="DR78" s="9" t="e">
        <f>#N/A</f>
        <v>#N/A</v>
      </c>
      <c r="DS78" s="9" t="e">
        <f>#N/A</f>
        <v>#N/A</v>
      </c>
      <c r="DT78" s="9" t="e">
        <f>#N/A</f>
        <v>#N/A</v>
      </c>
      <c r="DU78" s="202" t="e">
        <f>#N/A</f>
        <v>#N/A</v>
      </c>
      <c r="DV78" s="202" t="e">
        <f>#N/A</f>
        <v>#N/A</v>
      </c>
      <c r="DW78" s="202" t="e">
        <f>#N/A</f>
        <v>#N/A</v>
      </c>
      <c r="DX78" s="203" t="e">
        <f t="shared" si="33"/>
        <v>#N/A</v>
      </c>
      <c r="DY78" s="203" t="e">
        <f t="shared" si="34"/>
        <v>#N/A</v>
      </c>
      <c r="DZ78" s="203" t="e">
        <f t="shared" si="35"/>
        <v>#N/A</v>
      </c>
      <c r="EA78" s="19" t="e">
        <f t="shared" si="36"/>
        <v>#N/A</v>
      </c>
      <c r="EB78" s="19" t="e">
        <f t="shared" si="37"/>
        <v>#N/A</v>
      </c>
      <c r="EC78" s="19" t="e">
        <f t="shared" si="38"/>
        <v>#N/A</v>
      </c>
      <c r="ED78" s="203" t="e">
        <f t="shared" si="39"/>
        <v>#N/A</v>
      </c>
      <c r="EE78" s="203" t="e">
        <f t="shared" si="40"/>
        <v>#N/A</v>
      </c>
      <c r="EF78" s="203" t="e">
        <f t="shared" si="41"/>
        <v>#N/A</v>
      </c>
      <c r="EH78" s="58">
        <f t="shared" si="42"/>
        <v>0</v>
      </c>
      <c r="EI78" s="68" t="e">
        <f t="shared" si="43"/>
        <v>#DIV/0!</v>
      </c>
      <c r="EJ78" s="58">
        <f t="shared" si="44"/>
        <v>0</v>
      </c>
      <c r="EK78" s="68" t="e">
        <f t="shared" si="43"/>
        <v>#DIV/0!</v>
      </c>
      <c r="EL78" s="58">
        <f t="shared" si="45"/>
        <v>0</v>
      </c>
      <c r="EM78" s="58">
        <f t="shared" si="46"/>
        <v>0</v>
      </c>
      <c r="EN78" s="68" t="e">
        <f t="shared" si="47"/>
        <v>#DIV/0!</v>
      </c>
    </row>
    <row r="79" spans="1:144" x14ac:dyDescent="0.2">
      <c r="A79" s="43">
        <v>0</v>
      </c>
      <c r="B79" s="43">
        <v>0</v>
      </c>
      <c r="C79" s="43">
        <v>0</v>
      </c>
      <c r="D79" s="70">
        <v>2013</v>
      </c>
      <c r="E79" s="70">
        <v>12</v>
      </c>
      <c r="F79" s="64"/>
      <c r="G79" s="63"/>
      <c r="H79" s="63"/>
      <c r="I79" s="63"/>
      <c r="J79" s="63"/>
      <c r="K79" s="63"/>
      <c r="L79" s="63"/>
      <c r="M79" s="64"/>
      <c r="N79" s="64"/>
      <c r="O79" s="64"/>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2"/>
      <c r="AR79" s="18"/>
      <c r="AS79" s="18"/>
      <c r="AT79" s="18"/>
      <c r="AU79" s="63"/>
      <c r="AV79" s="63"/>
      <c r="AW79" s="63"/>
      <c r="AX79" s="63"/>
      <c r="AY79" s="63"/>
      <c r="AZ79" s="63"/>
      <c r="BA79" s="63"/>
      <c r="BB79" s="63"/>
      <c r="BC79" s="63"/>
      <c r="BD79" s="63"/>
      <c r="BE79" s="63"/>
      <c r="BF79" s="63"/>
      <c r="BG79" s="63"/>
      <c r="BH79" s="63"/>
      <c r="BI79" s="1"/>
      <c r="BJ79" s="1"/>
      <c r="BK79" s="1"/>
      <c r="BL79" s="1"/>
      <c r="BM79" s="1"/>
      <c r="BN79" s="1"/>
      <c r="BO79" s="1"/>
      <c r="BP79" s="18"/>
      <c r="BQ79" s="62"/>
      <c r="BR79" s="63"/>
      <c r="BS79" s="64"/>
      <c r="BT79" s="64"/>
      <c r="BU79" s="64"/>
      <c r="BV79" s="64"/>
      <c r="BW79" s="64"/>
      <c r="BX79" s="64"/>
      <c r="BY79" s="64"/>
      <c r="BZ79" s="64"/>
      <c r="CA79" s="64"/>
      <c r="CB79" s="64"/>
      <c r="CC79" s="64"/>
      <c r="CD79" s="64"/>
      <c r="CE79" s="64"/>
      <c r="CF79" s="64"/>
      <c r="CG79" s="70"/>
      <c r="CH79" s="70"/>
      <c r="CI79" s="70"/>
      <c r="CJ79" s="63"/>
      <c r="CK79" s="8">
        <f t="shared" si="30"/>
        <v>0</v>
      </c>
      <c r="CL79" s="62"/>
      <c r="CM79" s="62"/>
      <c r="CN79" s="62"/>
      <c r="CO79" s="62"/>
      <c r="CP79" s="62"/>
      <c r="CQ79" s="62"/>
      <c r="CR79" s="62"/>
      <c r="CS79" s="62"/>
      <c r="CT79" s="62"/>
      <c r="CU79" s="78"/>
      <c r="CV79" s="78"/>
      <c r="CW79" s="78"/>
      <c r="CX79" s="78"/>
      <c r="CY79" s="78"/>
      <c r="CZ79" s="78"/>
      <c r="DA79" s="78"/>
      <c r="DB79" s="78"/>
      <c r="DC79" s="78"/>
      <c r="DD79" s="62"/>
      <c r="DE79" s="62"/>
      <c r="DF79" s="62"/>
      <c r="DG79" s="62"/>
      <c r="DH79" s="62"/>
      <c r="DI79" s="62"/>
      <c r="DJ79" s="62"/>
      <c r="DK79" s="62"/>
      <c r="DL79" s="62"/>
      <c r="DM79" s="8">
        <f t="shared" si="31"/>
        <v>0</v>
      </c>
      <c r="DN79" s="8">
        <f t="shared" si="32"/>
        <v>0</v>
      </c>
      <c r="DO79" s="202" t="e">
        <f>#N/A</f>
        <v>#N/A</v>
      </c>
      <c r="DP79" s="202" t="e">
        <f>#N/A</f>
        <v>#N/A</v>
      </c>
      <c r="DQ79" s="202" t="e">
        <f>#N/A</f>
        <v>#N/A</v>
      </c>
      <c r="DR79" s="9" t="e">
        <f>#N/A</f>
        <v>#N/A</v>
      </c>
      <c r="DS79" s="9" t="e">
        <f>#N/A</f>
        <v>#N/A</v>
      </c>
      <c r="DT79" s="9" t="e">
        <f>#N/A</f>
        <v>#N/A</v>
      </c>
      <c r="DU79" s="202" t="e">
        <f>#N/A</f>
        <v>#N/A</v>
      </c>
      <c r="DV79" s="202" t="e">
        <f>#N/A</f>
        <v>#N/A</v>
      </c>
      <c r="DW79" s="202" t="e">
        <f>#N/A</f>
        <v>#N/A</v>
      </c>
      <c r="DX79" s="203" t="e">
        <f t="shared" si="33"/>
        <v>#N/A</v>
      </c>
      <c r="DY79" s="203" t="e">
        <f t="shared" si="34"/>
        <v>#N/A</v>
      </c>
      <c r="DZ79" s="203" t="e">
        <f t="shared" si="35"/>
        <v>#N/A</v>
      </c>
      <c r="EA79" s="19" t="e">
        <f t="shared" si="36"/>
        <v>#N/A</v>
      </c>
      <c r="EB79" s="19" t="e">
        <f t="shared" si="37"/>
        <v>#N/A</v>
      </c>
      <c r="EC79" s="19" t="e">
        <f t="shared" si="38"/>
        <v>#N/A</v>
      </c>
      <c r="ED79" s="203" t="e">
        <f t="shared" si="39"/>
        <v>#N/A</v>
      </c>
      <c r="EE79" s="203" t="e">
        <f t="shared" si="40"/>
        <v>#N/A</v>
      </c>
      <c r="EF79" s="203" t="e">
        <f t="shared" si="41"/>
        <v>#N/A</v>
      </c>
      <c r="EH79" s="58">
        <f t="shared" si="42"/>
        <v>0</v>
      </c>
      <c r="EI79" s="68" t="e">
        <f t="shared" si="43"/>
        <v>#DIV/0!</v>
      </c>
      <c r="EJ79" s="58">
        <f t="shared" si="44"/>
        <v>0</v>
      </c>
      <c r="EK79" s="68" t="e">
        <f t="shared" si="43"/>
        <v>#DIV/0!</v>
      </c>
      <c r="EL79" s="58">
        <f t="shared" si="45"/>
        <v>0</v>
      </c>
      <c r="EM79" s="58">
        <f t="shared" si="46"/>
        <v>0</v>
      </c>
      <c r="EN79" s="68" t="e">
        <f t="shared" si="47"/>
        <v>#DIV/0!</v>
      </c>
    </row>
    <row r="80" spans="1:144" x14ac:dyDescent="0.2">
      <c r="A80" s="43">
        <v>0</v>
      </c>
      <c r="B80" s="43">
        <v>0</v>
      </c>
      <c r="C80" s="43">
        <v>0</v>
      </c>
      <c r="D80" s="70">
        <v>2014</v>
      </c>
      <c r="E80" s="70">
        <v>1</v>
      </c>
      <c r="F80" s="64"/>
      <c r="G80" s="63"/>
      <c r="H80" s="63"/>
      <c r="I80" s="63"/>
      <c r="J80" s="63"/>
      <c r="K80" s="63"/>
      <c r="L80" s="63"/>
      <c r="M80" s="64"/>
      <c r="N80" s="64"/>
      <c r="O80" s="64"/>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2"/>
      <c r="AR80" s="18"/>
      <c r="AS80" s="18"/>
      <c r="AT80" s="18"/>
      <c r="AU80" s="63"/>
      <c r="AV80" s="63"/>
      <c r="AW80" s="63"/>
      <c r="AX80" s="63"/>
      <c r="AY80" s="63"/>
      <c r="AZ80" s="63"/>
      <c r="BA80" s="63"/>
      <c r="BB80" s="63"/>
      <c r="BC80" s="63"/>
      <c r="BD80" s="63"/>
      <c r="BE80" s="63"/>
      <c r="BF80" s="63"/>
      <c r="BG80" s="63"/>
      <c r="BH80" s="63"/>
      <c r="BI80" s="1"/>
      <c r="BJ80" s="1"/>
      <c r="BK80" s="1"/>
      <c r="BL80" s="1"/>
      <c r="BM80" s="1"/>
      <c r="BN80" s="1"/>
      <c r="BO80" s="1"/>
      <c r="BP80" s="18"/>
      <c r="BQ80" s="62"/>
      <c r="BR80" s="63"/>
      <c r="BS80" s="64"/>
      <c r="BT80" s="64"/>
      <c r="BU80" s="64"/>
      <c r="BV80" s="64"/>
      <c r="BW80" s="64"/>
      <c r="BX80" s="64"/>
      <c r="BY80" s="64"/>
      <c r="BZ80" s="64"/>
      <c r="CA80" s="64"/>
      <c r="CB80" s="64"/>
      <c r="CC80" s="64"/>
      <c r="CD80" s="64"/>
      <c r="CE80" s="64"/>
      <c r="CF80" s="64"/>
      <c r="CG80" s="70"/>
      <c r="CH80" s="70"/>
      <c r="CI80" s="70"/>
      <c r="CJ80" s="63"/>
      <c r="CK80" s="8">
        <f t="shared" si="30"/>
        <v>0</v>
      </c>
      <c r="CL80" s="62"/>
      <c r="CM80" s="62"/>
      <c r="CN80" s="62"/>
      <c r="CO80" s="62"/>
      <c r="CP80" s="62"/>
      <c r="CQ80" s="62"/>
      <c r="CR80" s="62"/>
      <c r="CS80" s="62"/>
      <c r="CT80" s="62"/>
      <c r="CU80" s="78"/>
      <c r="CV80" s="78"/>
      <c r="CW80" s="78"/>
      <c r="CX80" s="78"/>
      <c r="CY80" s="78"/>
      <c r="CZ80" s="78"/>
      <c r="DA80" s="78"/>
      <c r="DB80" s="78"/>
      <c r="DC80" s="78"/>
      <c r="DD80" s="62"/>
      <c r="DE80" s="62"/>
      <c r="DF80" s="62"/>
      <c r="DG80" s="62"/>
      <c r="DH80" s="62"/>
      <c r="DI80" s="62"/>
      <c r="DJ80" s="62"/>
      <c r="DK80" s="62"/>
      <c r="DL80" s="62"/>
      <c r="DM80" s="8">
        <f t="shared" si="31"/>
        <v>0</v>
      </c>
      <c r="DN80" s="8">
        <f t="shared" si="32"/>
        <v>0</v>
      </c>
      <c r="DO80" s="202" t="e">
        <f>#N/A</f>
        <v>#N/A</v>
      </c>
      <c r="DP80" s="202" t="e">
        <f>#N/A</f>
        <v>#N/A</v>
      </c>
      <c r="DQ80" s="202" t="e">
        <f>#N/A</f>
        <v>#N/A</v>
      </c>
      <c r="DR80" s="9" t="e">
        <f>#N/A</f>
        <v>#N/A</v>
      </c>
      <c r="DS80" s="9" t="e">
        <f>#N/A</f>
        <v>#N/A</v>
      </c>
      <c r="DT80" s="9" t="e">
        <f>#N/A</f>
        <v>#N/A</v>
      </c>
      <c r="DU80" s="202" t="e">
        <f>#N/A</f>
        <v>#N/A</v>
      </c>
      <c r="DV80" s="202" t="e">
        <f>#N/A</f>
        <v>#N/A</v>
      </c>
      <c r="DW80" s="202" t="e">
        <f>#N/A</f>
        <v>#N/A</v>
      </c>
      <c r="DX80" s="203" t="e">
        <f t="shared" si="33"/>
        <v>#N/A</v>
      </c>
      <c r="DY80" s="203" t="e">
        <f t="shared" si="34"/>
        <v>#N/A</v>
      </c>
      <c r="DZ80" s="203" t="e">
        <f t="shared" si="35"/>
        <v>#N/A</v>
      </c>
      <c r="EA80" s="19" t="e">
        <f t="shared" si="36"/>
        <v>#N/A</v>
      </c>
      <c r="EB80" s="19" t="e">
        <f t="shared" si="37"/>
        <v>#N/A</v>
      </c>
      <c r="EC80" s="19" t="e">
        <f t="shared" si="38"/>
        <v>#N/A</v>
      </c>
      <c r="ED80" s="203" t="e">
        <f t="shared" si="39"/>
        <v>#N/A</v>
      </c>
      <c r="EE80" s="203" t="e">
        <f t="shared" si="40"/>
        <v>#N/A</v>
      </c>
      <c r="EF80" s="203" t="e">
        <f t="shared" si="41"/>
        <v>#N/A</v>
      </c>
      <c r="EH80" s="58">
        <f t="shared" si="42"/>
        <v>0</v>
      </c>
      <c r="EI80" s="68" t="e">
        <f t="shared" si="43"/>
        <v>#DIV/0!</v>
      </c>
      <c r="EJ80" s="58">
        <f t="shared" si="44"/>
        <v>0</v>
      </c>
      <c r="EK80" s="68" t="e">
        <f t="shared" si="43"/>
        <v>#DIV/0!</v>
      </c>
      <c r="EL80" s="58">
        <f t="shared" si="45"/>
        <v>0</v>
      </c>
      <c r="EM80" s="58">
        <f t="shared" si="46"/>
        <v>0</v>
      </c>
      <c r="EN80" s="68" t="e">
        <f t="shared" si="47"/>
        <v>#DIV/0!</v>
      </c>
    </row>
    <row r="81" spans="1:144" x14ac:dyDescent="0.2">
      <c r="A81" s="43">
        <v>0</v>
      </c>
      <c r="B81" s="43">
        <v>0</v>
      </c>
      <c r="C81" s="43">
        <v>0</v>
      </c>
      <c r="D81" s="70">
        <v>2014</v>
      </c>
      <c r="E81" s="70">
        <v>2</v>
      </c>
      <c r="F81" s="64"/>
      <c r="G81" s="63"/>
      <c r="H81" s="63"/>
      <c r="I81" s="63"/>
      <c r="J81" s="63"/>
      <c r="K81" s="63"/>
      <c r="L81" s="63"/>
      <c r="M81" s="64"/>
      <c r="N81" s="64"/>
      <c r="O81" s="64"/>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2"/>
      <c r="AR81" s="18"/>
      <c r="AS81" s="18"/>
      <c r="AT81" s="18"/>
      <c r="AU81" s="63"/>
      <c r="AV81" s="63"/>
      <c r="AW81" s="63"/>
      <c r="AX81" s="63"/>
      <c r="AY81" s="63"/>
      <c r="AZ81" s="63"/>
      <c r="BA81" s="63"/>
      <c r="BB81" s="63"/>
      <c r="BC81" s="63"/>
      <c r="BD81" s="63"/>
      <c r="BE81" s="63"/>
      <c r="BF81" s="63"/>
      <c r="BG81" s="63"/>
      <c r="BH81" s="63"/>
      <c r="BI81" s="1"/>
      <c r="BJ81" s="1"/>
      <c r="BK81" s="1"/>
      <c r="BL81" s="1"/>
      <c r="BM81" s="1"/>
      <c r="BN81" s="1"/>
      <c r="BO81" s="1"/>
      <c r="BP81" s="18"/>
      <c r="BQ81" s="62"/>
      <c r="BR81" s="63"/>
      <c r="BS81" s="64"/>
      <c r="BT81" s="64"/>
      <c r="BU81" s="64"/>
      <c r="BV81" s="64"/>
      <c r="BW81" s="64"/>
      <c r="BX81" s="64"/>
      <c r="BY81" s="64"/>
      <c r="BZ81" s="64"/>
      <c r="CA81" s="64"/>
      <c r="CB81" s="64"/>
      <c r="CC81" s="64"/>
      <c r="CD81" s="64"/>
      <c r="CE81" s="64"/>
      <c r="CF81" s="64"/>
      <c r="CG81" s="70"/>
      <c r="CH81" s="70"/>
      <c r="CI81" s="70"/>
      <c r="CJ81" s="63"/>
      <c r="CK81" s="8">
        <f t="shared" si="30"/>
        <v>0</v>
      </c>
      <c r="CL81" s="62"/>
      <c r="CM81" s="62"/>
      <c r="CN81" s="62"/>
      <c r="CO81" s="62"/>
      <c r="CP81" s="62"/>
      <c r="CQ81" s="62"/>
      <c r="CR81" s="62"/>
      <c r="CS81" s="62"/>
      <c r="CT81" s="62"/>
      <c r="CU81" s="78"/>
      <c r="CV81" s="78"/>
      <c r="CW81" s="78"/>
      <c r="CX81" s="78"/>
      <c r="CY81" s="78"/>
      <c r="CZ81" s="78"/>
      <c r="DA81" s="78"/>
      <c r="DB81" s="78"/>
      <c r="DC81" s="78"/>
      <c r="DD81" s="62"/>
      <c r="DE81" s="62"/>
      <c r="DF81" s="62"/>
      <c r="DG81" s="62"/>
      <c r="DH81" s="62"/>
      <c r="DI81" s="62"/>
      <c r="DJ81" s="62"/>
      <c r="DK81" s="62"/>
      <c r="DL81" s="62"/>
      <c r="DM81" s="8">
        <f t="shared" si="31"/>
        <v>0</v>
      </c>
      <c r="DN81" s="8">
        <f t="shared" si="32"/>
        <v>0</v>
      </c>
      <c r="DO81" s="202" t="e">
        <f>#N/A</f>
        <v>#N/A</v>
      </c>
      <c r="DP81" s="202" t="e">
        <f>#N/A</f>
        <v>#N/A</v>
      </c>
      <c r="DQ81" s="202" t="e">
        <f>#N/A</f>
        <v>#N/A</v>
      </c>
      <c r="DR81" s="9" t="e">
        <f>#N/A</f>
        <v>#N/A</v>
      </c>
      <c r="DS81" s="9" t="e">
        <f>#N/A</f>
        <v>#N/A</v>
      </c>
      <c r="DT81" s="9" t="e">
        <f>#N/A</f>
        <v>#N/A</v>
      </c>
      <c r="DU81" s="202" t="e">
        <f>#N/A</f>
        <v>#N/A</v>
      </c>
      <c r="DV81" s="202" t="e">
        <f>#N/A</f>
        <v>#N/A</v>
      </c>
      <c r="DW81" s="202" t="e">
        <f>#N/A</f>
        <v>#N/A</v>
      </c>
      <c r="DX81" s="203" t="e">
        <f t="shared" si="33"/>
        <v>#N/A</v>
      </c>
      <c r="DY81" s="203" t="e">
        <f t="shared" si="34"/>
        <v>#N/A</v>
      </c>
      <c r="DZ81" s="203" t="e">
        <f t="shared" si="35"/>
        <v>#N/A</v>
      </c>
      <c r="EA81" s="19" t="e">
        <f t="shared" si="36"/>
        <v>#N/A</v>
      </c>
      <c r="EB81" s="19" t="e">
        <f t="shared" si="37"/>
        <v>#N/A</v>
      </c>
      <c r="EC81" s="19" t="e">
        <f t="shared" si="38"/>
        <v>#N/A</v>
      </c>
      <c r="ED81" s="203" t="e">
        <f t="shared" si="39"/>
        <v>#N/A</v>
      </c>
      <c r="EE81" s="203" t="e">
        <f t="shared" si="40"/>
        <v>#N/A</v>
      </c>
      <c r="EF81" s="203" t="e">
        <f t="shared" si="41"/>
        <v>#N/A</v>
      </c>
      <c r="EH81" s="58">
        <f t="shared" si="42"/>
        <v>0</v>
      </c>
      <c r="EI81" s="68" t="e">
        <f t="shared" si="43"/>
        <v>#DIV/0!</v>
      </c>
      <c r="EJ81" s="58">
        <f t="shared" si="44"/>
        <v>0</v>
      </c>
      <c r="EK81" s="68" t="e">
        <f t="shared" si="43"/>
        <v>#DIV/0!</v>
      </c>
      <c r="EL81" s="58">
        <f t="shared" si="45"/>
        <v>0</v>
      </c>
      <c r="EM81" s="58">
        <f t="shared" si="46"/>
        <v>0</v>
      </c>
      <c r="EN81" s="68" t="e">
        <f t="shared" si="47"/>
        <v>#DIV/0!</v>
      </c>
    </row>
    <row r="82" spans="1:144" x14ac:dyDescent="0.2">
      <c r="A82" s="43">
        <v>0</v>
      </c>
      <c r="B82" s="43">
        <v>0</v>
      </c>
      <c r="C82" s="43">
        <v>0</v>
      </c>
      <c r="D82" s="70">
        <v>2014</v>
      </c>
      <c r="E82" s="70">
        <v>3</v>
      </c>
      <c r="F82" s="64"/>
      <c r="G82" s="63"/>
      <c r="H82" s="63"/>
      <c r="I82" s="63"/>
      <c r="J82" s="63"/>
      <c r="K82" s="63"/>
      <c r="L82" s="63"/>
      <c r="M82" s="64"/>
      <c r="N82" s="64"/>
      <c r="O82" s="64"/>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2"/>
      <c r="AR82" s="18"/>
      <c r="AS82" s="18"/>
      <c r="AT82" s="18"/>
      <c r="AU82" s="63"/>
      <c r="AV82" s="63"/>
      <c r="AW82" s="63"/>
      <c r="AX82" s="63"/>
      <c r="AY82" s="63"/>
      <c r="AZ82" s="63"/>
      <c r="BA82" s="63"/>
      <c r="BB82" s="63"/>
      <c r="BC82" s="63"/>
      <c r="BD82" s="63"/>
      <c r="BE82" s="63"/>
      <c r="BF82" s="63"/>
      <c r="BG82" s="63"/>
      <c r="BH82" s="63"/>
      <c r="BI82" s="1"/>
      <c r="BJ82" s="1"/>
      <c r="BK82" s="1"/>
      <c r="BL82" s="1"/>
      <c r="BM82" s="1"/>
      <c r="BN82" s="1"/>
      <c r="BO82" s="1"/>
      <c r="BP82" s="18"/>
      <c r="BQ82" s="62"/>
      <c r="BR82" s="63"/>
      <c r="BS82" s="64"/>
      <c r="BT82" s="64"/>
      <c r="BU82" s="64"/>
      <c r="BV82" s="64"/>
      <c r="BW82" s="64"/>
      <c r="BX82" s="64"/>
      <c r="BY82" s="64"/>
      <c r="BZ82" s="64"/>
      <c r="CA82" s="64"/>
      <c r="CB82" s="64"/>
      <c r="CC82" s="64"/>
      <c r="CD82" s="64"/>
      <c r="CE82" s="64"/>
      <c r="CF82" s="64"/>
      <c r="CG82" s="70"/>
      <c r="CH82" s="70"/>
      <c r="CI82" s="70"/>
      <c r="CJ82" s="63"/>
      <c r="CK82" s="8">
        <f t="shared" si="30"/>
        <v>0</v>
      </c>
      <c r="CL82" s="62"/>
      <c r="CM82" s="62"/>
      <c r="CN82" s="62"/>
      <c r="CO82" s="62"/>
      <c r="CP82" s="62"/>
      <c r="CQ82" s="62"/>
      <c r="CR82" s="62"/>
      <c r="CS82" s="62"/>
      <c r="CT82" s="62"/>
      <c r="CU82" s="78"/>
      <c r="CV82" s="78"/>
      <c r="CW82" s="78"/>
      <c r="CX82" s="78"/>
      <c r="CY82" s="78"/>
      <c r="CZ82" s="78"/>
      <c r="DA82" s="78"/>
      <c r="DB82" s="78"/>
      <c r="DC82" s="78"/>
      <c r="DD82" s="62"/>
      <c r="DE82" s="62"/>
      <c r="DF82" s="62"/>
      <c r="DG82" s="62"/>
      <c r="DH82" s="62"/>
      <c r="DI82" s="62"/>
      <c r="DJ82" s="62"/>
      <c r="DK82" s="62"/>
      <c r="DL82" s="62"/>
      <c r="DM82" s="8">
        <f t="shared" si="31"/>
        <v>0</v>
      </c>
      <c r="DN82" s="8">
        <f t="shared" si="32"/>
        <v>0</v>
      </c>
      <c r="DO82" s="202" t="e">
        <f>#N/A</f>
        <v>#N/A</v>
      </c>
      <c r="DP82" s="202" t="e">
        <f>#N/A</f>
        <v>#N/A</v>
      </c>
      <c r="DQ82" s="202" t="e">
        <f>#N/A</f>
        <v>#N/A</v>
      </c>
      <c r="DR82" s="9" t="e">
        <f>#N/A</f>
        <v>#N/A</v>
      </c>
      <c r="DS82" s="9" t="e">
        <f>#N/A</f>
        <v>#N/A</v>
      </c>
      <c r="DT82" s="9" t="e">
        <f>#N/A</f>
        <v>#N/A</v>
      </c>
      <c r="DU82" s="202" t="e">
        <f>#N/A</f>
        <v>#N/A</v>
      </c>
      <c r="DV82" s="202" t="e">
        <f>#N/A</f>
        <v>#N/A</v>
      </c>
      <c r="DW82" s="202" t="e">
        <f>#N/A</f>
        <v>#N/A</v>
      </c>
      <c r="DX82" s="203" t="e">
        <f t="shared" si="33"/>
        <v>#N/A</v>
      </c>
      <c r="DY82" s="203" t="e">
        <f t="shared" si="34"/>
        <v>#N/A</v>
      </c>
      <c r="DZ82" s="203" t="e">
        <f t="shared" si="35"/>
        <v>#N/A</v>
      </c>
      <c r="EA82" s="19" t="e">
        <f t="shared" si="36"/>
        <v>#N/A</v>
      </c>
      <c r="EB82" s="19" t="e">
        <f t="shared" si="37"/>
        <v>#N/A</v>
      </c>
      <c r="EC82" s="19" t="e">
        <f t="shared" si="38"/>
        <v>#N/A</v>
      </c>
      <c r="ED82" s="203" t="e">
        <f t="shared" si="39"/>
        <v>#N/A</v>
      </c>
      <c r="EE82" s="203" t="e">
        <f t="shared" si="40"/>
        <v>#N/A</v>
      </c>
      <c r="EF82" s="203" t="e">
        <f t="shared" si="41"/>
        <v>#N/A</v>
      </c>
      <c r="EH82" s="58">
        <f t="shared" si="42"/>
        <v>0</v>
      </c>
      <c r="EI82" s="68" t="e">
        <f t="shared" si="43"/>
        <v>#DIV/0!</v>
      </c>
      <c r="EJ82" s="58">
        <f t="shared" si="44"/>
        <v>0</v>
      </c>
      <c r="EK82" s="68" t="e">
        <f t="shared" si="43"/>
        <v>#DIV/0!</v>
      </c>
      <c r="EL82" s="58">
        <f t="shared" si="45"/>
        <v>0</v>
      </c>
      <c r="EM82" s="58">
        <f t="shared" si="46"/>
        <v>0</v>
      </c>
      <c r="EN82" s="68" t="e">
        <f t="shared" si="47"/>
        <v>#DIV/0!</v>
      </c>
    </row>
    <row r="83" spans="1:144" x14ac:dyDescent="0.2">
      <c r="A83" s="43">
        <v>0</v>
      </c>
      <c r="B83" s="43">
        <v>0</v>
      </c>
      <c r="C83" s="43">
        <v>0</v>
      </c>
      <c r="D83" s="70">
        <v>2014</v>
      </c>
      <c r="E83" s="70">
        <v>4</v>
      </c>
      <c r="F83" s="64"/>
      <c r="G83" s="63"/>
      <c r="H83" s="63"/>
      <c r="I83" s="63"/>
      <c r="J83" s="63"/>
      <c r="K83" s="63"/>
      <c r="L83" s="63"/>
      <c r="M83" s="64"/>
      <c r="N83" s="64"/>
      <c r="O83" s="64"/>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2"/>
      <c r="AR83" s="18"/>
      <c r="AS83" s="18"/>
      <c r="AT83" s="18"/>
      <c r="AU83" s="63"/>
      <c r="AV83" s="63"/>
      <c r="AW83" s="63"/>
      <c r="AX83" s="63"/>
      <c r="AY83" s="63"/>
      <c r="AZ83" s="63"/>
      <c r="BA83" s="63"/>
      <c r="BB83" s="63"/>
      <c r="BC83" s="63"/>
      <c r="BD83" s="63"/>
      <c r="BE83" s="63"/>
      <c r="BF83" s="63"/>
      <c r="BG83" s="63"/>
      <c r="BH83" s="63"/>
      <c r="BI83" s="1"/>
      <c r="BJ83" s="1"/>
      <c r="BK83" s="1"/>
      <c r="BL83" s="1"/>
      <c r="BM83" s="1"/>
      <c r="BN83" s="1"/>
      <c r="BO83" s="1"/>
      <c r="BP83" s="18"/>
      <c r="BQ83" s="62"/>
      <c r="BR83" s="63"/>
      <c r="BS83" s="64"/>
      <c r="BT83" s="64"/>
      <c r="BU83" s="64"/>
      <c r="BV83" s="64"/>
      <c r="BW83" s="64"/>
      <c r="BX83" s="64"/>
      <c r="BY83" s="64"/>
      <c r="BZ83" s="64"/>
      <c r="CA83" s="64"/>
      <c r="CB83" s="64"/>
      <c r="CC83" s="64"/>
      <c r="CD83" s="64"/>
      <c r="CE83" s="64"/>
      <c r="CF83" s="64"/>
      <c r="CG83" s="70"/>
      <c r="CH83" s="70"/>
      <c r="CI83" s="70"/>
      <c r="CJ83" s="63"/>
      <c r="CK83" s="8">
        <f t="shared" si="30"/>
        <v>0</v>
      </c>
      <c r="CL83" s="62"/>
      <c r="CM83" s="62"/>
      <c r="CN83" s="62"/>
      <c r="CO83" s="62"/>
      <c r="CP83" s="62"/>
      <c r="CQ83" s="62"/>
      <c r="CR83" s="62"/>
      <c r="CS83" s="62"/>
      <c r="CT83" s="62"/>
      <c r="CU83" s="78"/>
      <c r="CV83" s="78"/>
      <c r="CW83" s="78"/>
      <c r="CX83" s="78"/>
      <c r="CY83" s="78"/>
      <c r="CZ83" s="78"/>
      <c r="DA83" s="78"/>
      <c r="DB83" s="78"/>
      <c r="DC83" s="78"/>
      <c r="DD83" s="62"/>
      <c r="DE83" s="62"/>
      <c r="DF83" s="62"/>
      <c r="DG83" s="62"/>
      <c r="DH83" s="62"/>
      <c r="DI83" s="62"/>
      <c r="DJ83" s="62"/>
      <c r="DK83" s="62"/>
      <c r="DL83" s="62"/>
      <c r="DM83" s="8">
        <f t="shared" si="31"/>
        <v>0</v>
      </c>
      <c r="DN83" s="8">
        <f t="shared" si="32"/>
        <v>0</v>
      </c>
      <c r="DO83" s="202" t="e">
        <f>#N/A</f>
        <v>#N/A</v>
      </c>
      <c r="DP83" s="202" t="e">
        <f>#N/A</f>
        <v>#N/A</v>
      </c>
      <c r="DQ83" s="202" t="e">
        <f>#N/A</f>
        <v>#N/A</v>
      </c>
      <c r="DR83" s="9" t="e">
        <f>#N/A</f>
        <v>#N/A</v>
      </c>
      <c r="DS83" s="9" t="e">
        <f>#N/A</f>
        <v>#N/A</v>
      </c>
      <c r="DT83" s="9" t="e">
        <f>#N/A</f>
        <v>#N/A</v>
      </c>
      <c r="DU83" s="202" t="e">
        <f>#N/A</f>
        <v>#N/A</v>
      </c>
      <c r="DV83" s="202" t="e">
        <f>#N/A</f>
        <v>#N/A</v>
      </c>
      <c r="DW83" s="202" t="e">
        <f>#N/A</f>
        <v>#N/A</v>
      </c>
      <c r="DX83" s="203" t="e">
        <f t="shared" si="33"/>
        <v>#N/A</v>
      </c>
      <c r="DY83" s="203" t="e">
        <f t="shared" si="34"/>
        <v>#N/A</v>
      </c>
      <c r="DZ83" s="203" t="e">
        <f t="shared" si="35"/>
        <v>#N/A</v>
      </c>
      <c r="EA83" s="19" t="e">
        <f t="shared" si="36"/>
        <v>#N/A</v>
      </c>
      <c r="EB83" s="19" t="e">
        <f t="shared" si="37"/>
        <v>#N/A</v>
      </c>
      <c r="EC83" s="19" t="e">
        <f t="shared" si="38"/>
        <v>#N/A</v>
      </c>
      <c r="ED83" s="203" t="e">
        <f t="shared" si="39"/>
        <v>#N/A</v>
      </c>
      <c r="EE83" s="203" t="e">
        <f t="shared" si="40"/>
        <v>#N/A</v>
      </c>
      <c r="EF83" s="203" t="e">
        <f t="shared" si="41"/>
        <v>#N/A</v>
      </c>
      <c r="EH83" s="58">
        <f t="shared" si="42"/>
        <v>0</v>
      </c>
      <c r="EI83" s="68" t="e">
        <f t="shared" si="43"/>
        <v>#DIV/0!</v>
      </c>
      <c r="EJ83" s="58">
        <f t="shared" si="44"/>
        <v>0</v>
      </c>
      <c r="EK83" s="68" t="e">
        <f t="shared" si="43"/>
        <v>#DIV/0!</v>
      </c>
      <c r="EL83" s="58">
        <f t="shared" si="45"/>
        <v>0</v>
      </c>
      <c r="EM83" s="58">
        <f t="shared" si="46"/>
        <v>0</v>
      </c>
      <c r="EN83" s="68" t="e">
        <f t="shared" si="47"/>
        <v>#DIV/0!</v>
      </c>
    </row>
    <row r="84" spans="1:144" x14ac:dyDescent="0.2">
      <c r="A84" s="43">
        <v>0</v>
      </c>
      <c r="B84" s="43">
        <v>0</v>
      </c>
      <c r="C84" s="43">
        <v>0</v>
      </c>
      <c r="D84" s="70">
        <v>2014</v>
      </c>
      <c r="E84" s="70">
        <v>5</v>
      </c>
      <c r="F84" s="64"/>
      <c r="G84" s="63"/>
      <c r="H84" s="63"/>
      <c r="I84" s="63"/>
      <c r="J84" s="63"/>
      <c r="K84" s="63"/>
      <c r="L84" s="63"/>
      <c r="M84" s="5"/>
      <c r="N84" s="5"/>
      <c r="O84" s="5"/>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2"/>
      <c r="AR84" s="18"/>
      <c r="AS84" s="18"/>
      <c r="AT84" s="18"/>
      <c r="AU84" s="63"/>
      <c r="AV84" s="63"/>
      <c r="AW84" s="63"/>
      <c r="AX84" s="63"/>
      <c r="AY84" s="63"/>
      <c r="AZ84" s="63"/>
      <c r="BA84" s="63"/>
      <c r="BB84" s="63"/>
      <c r="BC84" s="63"/>
      <c r="BD84" s="63"/>
      <c r="BE84" s="63"/>
      <c r="BF84" s="63"/>
      <c r="BG84" s="63"/>
      <c r="BH84" s="63"/>
      <c r="BI84" s="1"/>
      <c r="BJ84" s="1"/>
      <c r="BK84" s="1"/>
      <c r="BL84" s="1"/>
      <c r="BM84" s="1"/>
      <c r="BN84" s="1"/>
      <c r="BO84" s="1"/>
      <c r="BP84" s="18"/>
      <c r="BQ84" s="62"/>
      <c r="BR84" s="4"/>
      <c r="BS84" s="5"/>
      <c r="BT84" s="5"/>
      <c r="BU84" s="5"/>
      <c r="BV84" s="5"/>
      <c r="BW84" s="5"/>
      <c r="BX84" s="5"/>
      <c r="BY84" s="5"/>
      <c r="BZ84" s="64"/>
      <c r="CA84" s="64"/>
      <c r="CB84" s="64"/>
      <c r="CC84" s="64"/>
      <c r="CD84" s="64"/>
      <c r="CE84" s="64"/>
      <c r="CF84" s="64"/>
      <c r="CG84" s="70"/>
      <c r="CH84" s="70"/>
      <c r="CI84" s="70"/>
      <c r="CJ84" s="63"/>
      <c r="CK84" s="8">
        <f t="shared" si="30"/>
        <v>0</v>
      </c>
      <c r="CL84" s="62"/>
      <c r="CM84" s="62"/>
      <c r="CN84" s="62"/>
      <c r="CO84" s="62"/>
      <c r="CP84" s="62"/>
      <c r="CQ84" s="62"/>
      <c r="CR84" s="62"/>
      <c r="CS84" s="62"/>
      <c r="CT84" s="62"/>
      <c r="CU84" s="78"/>
      <c r="CV84" s="78"/>
      <c r="CW84" s="78"/>
      <c r="CX84" s="78"/>
      <c r="CY84" s="78"/>
      <c r="CZ84" s="78"/>
      <c r="DA84" s="78"/>
      <c r="DB84" s="78"/>
      <c r="DC84" s="78"/>
      <c r="DD84" s="62"/>
      <c r="DE84" s="62"/>
      <c r="DF84" s="62"/>
      <c r="DG84" s="62"/>
      <c r="DH84" s="62"/>
      <c r="DI84" s="62"/>
      <c r="DJ84" s="62"/>
      <c r="DK84" s="62"/>
      <c r="DL84" s="62"/>
      <c r="DM84" s="8">
        <f t="shared" si="31"/>
        <v>0</v>
      </c>
      <c r="DN84" s="8">
        <f t="shared" si="32"/>
        <v>0</v>
      </c>
      <c r="DO84" s="202" t="e">
        <f>#N/A</f>
        <v>#N/A</v>
      </c>
      <c r="DP84" s="202" t="e">
        <f>#N/A</f>
        <v>#N/A</v>
      </c>
      <c r="DQ84" s="202" t="e">
        <f>#N/A</f>
        <v>#N/A</v>
      </c>
      <c r="DR84" s="9" t="e">
        <f>#N/A</f>
        <v>#N/A</v>
      </c>
      <c r="DS84" s="9" t="e">
        <f>#N/A</f>
        <v>#N/A</v>
      </c>
      <c r="DT84" s="9" t="e">
        <f>#N/A</f>
        <v>#N/A</v>
      </c>
      <c r="DU84" s="202" t="e">
        <f>#N/A</f>
        <v>#N/A</v>
      </c>
      <c r="DV84" s="202" t="e">
        <f>#N/A</f>
        <v>#N/A</v>
      </c>
      <c r="DW84" s="202" t="e">
        <f>#N/A</f>
        <v>#N/A</v>
      </c>
      <c r="DX84" s="203" t="e">
        <f t="shared" si="33"/>
        <v>#N/A</v>
      </c>
      <c r="DY84" s="203" t="e">
        <f t="shared" si="34"/>
        <v>#N/A</v>
      </c>
      <c r="DZ84" s="203" t="e">
        <f t="shared" si="35"/>
        <v>#N/A</v>
      </c>
      <c r="EA84" s="19" t="e">
        <f t="shared" si="36"/>
        <v>#N/A</v>
      </c>
      <c r="EB84" s="19" t="e">
        <f t="shared" si="37"/>
        <v>#N/A</v>
      </c>
      <c r="EC84" s="19" t="e">
        <f t="shared" si="38"/>
        <v>#N/A</v>
      </c>
      <c r="ED84" s="203" t="e">
        <f t="shared" si="39"/>
        <v>#N/A</v>
      </c>
      <c r="EE84" s="203" t="e">
        <f t="shared" si="40"/>
        <v>#N/A</v>
      </c>
      <c r="EF84" s="203" t="e">
        <f t="shared" si="41"/>
        <v>#N/A</v>
      </c>
      <c r="EH84" s="58">
        <f t="shared" si="42"/>
        <v>0</v>
      </c>
      <c r="EI84" s="68" t="e">
        <f t="shared" si="43"/>
        <v>#DIV/0!</v>
      </c>
      <c r="EJ84" s="58">
        <f t="shared" si="44"/>
        <v>0</v>
      </c>
      <c r="EK84" s="68" t="e">
        <f t="shared" si="43"/>
        <v>#DIV/0!</v>
      </c>
      <c r="EL84" s="58">
        <f t="shared" si="45"/>
        <v>0</v>
      </c>
      <c r="EM84" s="58">
        <f t="shared" si="46"/>
        <v>0</v>
      </c>
      <c r="EN84" s="68" t="e">
        <f t="shared" si="47"/>
        <v>#DIV/0!</v>
      </c>
    </row>
    <row r="85" spans="1:144" x14ac:dyDescent="0.2">
      <c r="A85" s="43">
        <v>0</v>
      </c>
      <c r="B85" s="43">
        <v>0</v>
      </c>
      <c r="C85" s="43">
        <v>0</v>
      </c>
      <c r="D85" s="70">
        <v>2014</v>
      </c>
      <c r="E85" s="70">
        <v>6</v>
      </c>
      <c r="F85" s="64"/>
      <c r="G85" s="63"/>
      <c r="H85" s="63"/>
      <c r="I85" s="63"/>
      <c r="J85" s="63"/>
      <c r="K85" s="63"/>
      <c r="L85" s="63"/>
      <c r="M85" s="5"/>
      <c r="N85" s="5"/>
      <c r="O85" s="5"/>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2"/>
      <c r="AR85" s="18"/>
      <c r="AS85" s="18"/>
      <c r="AT85" s="18"/>
      <c r="AU85" s="63"/>
      <c r="AV85" s="63"/>
      <c r="AW85" s="63"/>
      <c r="AX85" s="63"/>
      <c r="AY85" s="63"/>
      <c r="AZ85" s="63"/>
      <c r="BA85" s="63"/>
      <c r="BB85" s="63"/>
      <c r="BC85" s="63"/>
      <c r="BD85" s="63"/>
      <c r="BE85" s="63"/>
      <c r="BF85" s="63"/>
      <c r="BG85" s="63"/>
      <c r="BH85" s="63"/>
      <c r="BI85" s="1"/>
      <c r="BJ85" s="1"/>
      <c r="BK85" s="1"/>
      <c r="BL85" s="1"/>
      <c r="BM85" s="1"/>
      <c r="BN85" s="1"/>
      <c r="BO85" s="1"/>
      <c r="BP85" s="18"/>
      <c r="BQ85" s="62"/>
      <c r="BR85" s="4"/>
      <c r="BS85" s="5"/>
      <c r="BT85" s="5"/>
      <c r="BU85" s="5"/>
      <c r="BV85" s="5"/>
      <c r="BW85" s="5"/>
      <c r="BX85" s="5"/>
      <c r="BY85" s="5"/>
      <c r="BZ85" s="64"/>
      <c r="CA85" s="64"/>
      <c r="CB85" s="64"/>
      <c r="CC85" s="64"/>
      <c r="CD85" s="64"/>
      <c r="CE85" s="64"/>
      <c r="CF85" s="64"/>
      <c r="CG85" s="70"/>
      <c r="CH85" s="70"/>
      <c r="CI85" s="70"/>
      <c r="CJ85" s="63"/>
      <c r="CK85" s="8">
        <f t="shared" si="30"/>
        <v>0</v>
      </c>
      <c r="CL85" s="62"/>
      <c r="CM85" s="62"/>
      <c r="CN85" s="62"/>
      <c r="CO85" s="62"/>
      <c r="CP85" s="62"/>
      <c r="CQ85" s="62"/>
      <c r="CR85" s="62"/>
      <c r="CS85" s="62"/>
      <c r="CT85" s="62"/>
      <c r="CU85" s="78"/>
      <c r="CV85" s="78"/>
      <c r="CW85" s="78"/>
      <c r="CX85" s="78"/>
      <c r="CY85" s="78"/>
      <c r="CZ85" s="78"/>
      <c r="DA85" s="78"/>
      <c r="DB85" s="78"/>
      <c r="DC85" s="78"/>
      <c r="DD85" s="62"/>
      <c r="DE85" s="62"/>
      <c r="DF85" s="62"/>
      <c r="DG85" s="62"/>
      <c r="DH85" s="62"/>
      <c r="DI85" s="62"/>
      <c r="DJ85" s="62"/>
      <c r="DK85" s="62"/>
      <c r="DL85" s="62"/>
      <c r="DM85" s="8">
        <f t="shared" si="31"/>
        <v>0</v>
      </c>
      <c r="DN85" s="8">
        <f t="shared" si="32"/>
        <v>0</v>
      </c>
      <c r="DO85" s="202" t="e">
        <f>#N/A</f>
        <v>#N/A</v>
      </c>
      <c r="DP85" s="202" t="e">
        <f>#N/A</f>
        <v>#N/A</v>
      </c>
      <c r="DQ85" s="202" t="e">
        <f>#N/A</f>
        <v>#N/A</v>
      </c>
      <c r="DR85" s="9" t="e">
        <f>#N/A</f>
        <v>#N/A</v>
      </c>
      <c r="DS85" s="9" t="e">
        <f>#N/A</f>
        <v>#N/A</v>
      </c>
      <c r="DT85" s="9" t="e">
        <f>#N/A</f>
        <v>#N/A</v>
      </c>
      <c r="DU85" s="202" t="e">
        <f>#N/A</f>
        <v>#N/A</v>
      </c>
      <c r="DV85" s="202" t="e">
        <f>#N/A</f>
        <v>#N/A</v>
      </c>
      <c r="DW85" s="202" t="e">
        <f>#N/A</f>
        <v>#N/A</v>
      </c>
      <c r="DX85" s="203" t="e">
        <f t="shared" si="33"/>
        <v>#N/A</v>
      </c>
      <c r="DY85" s="203" t="e">
        <f t="shared" si="34"/>
        <v>#N/A</v>
      </c>
      <c r="DZ85" s="203" t="e">
        <f t="shared" si="35"/>
        <v>#N/A</v>
      </c>
      <c r="EA85" s="19" t="e">
        <f t="shared" si="36"/>
        <v>#N/A</v>
      </c>
      <c r="EB85" s="19" t="e">
        <f t="shared" si="37"/>
        <v>#N/A</v>
      </c>
      <c r="EC85" s="19" t="e">
        <f t="shared" si="38"/>
        <v>#N/A</v>
      </c>
      <c r="ED85" s="203" t="e">
        <f t="shared" si="39"/>
        <v>#N/A</v>
      </c>
      <c r="EE85" s="203" t="e">
        <f t="shared" si="40"/>
        <v>#N/A</v>
      </c>
      <c r="EF85" s="203" t="e">
        <f t="shared" si="41"/>
        <v>#N/A</v>
      </c>
      <c r="EH85" s="58">
        <f t="shared" si="42"/>
        <v>0</v>
      </c>
      <c r="EI85" s="68" t="e">
        <f t="shared" si="43"/>
        <v>#DIV/0!</v>
      </c>
      <c r="EJ85" s="58">
        <f t="shared" si="44"/>
        <v>0</v>
      </c>
      <c r="EK85" s="68" t="e">
        <f t="shared" si="43"/>
        <v>#DIV/0!</v>
      </c>
      <c r="EL85" s="58">
        <f t="shared" si="45"/>
        <v>0</v>
      </c>
      <c r="EM85" s="58">
        <f t="shared" si="46"/>
        <v>0</v>
      </c>
      <c r="EN85" s="68" t="e">
        <f t="shared" si="47"/>
        <v>#DIV/0!</v>
      </c>
    </row>
    <row r="86" spans="1:144" x14ac:dyDescent="0.2">
      <c r="A86" s="43">
        <v>0</v>
      </c>
      <c r="B86" s="43">
        <v>0</v>
      </c>
      <c r="C86" s="43">
        <v>0</v>
      </c>
      <c r="D86" s="70">
        <v>2014</v>
      </c>
      <c r="E86" s="70">
        <v>7</v>
      </c>
      <c r="F86" s="64"/>
      <c r="G86" s="63"/>
      <c r="H86" s="63"/>
      <c r="I86" s="63"/>
      <c r="J86" s="63"/>
      <c r="K86" s="63"/>
      <c r="L86" s="63"/>
      <c r="M86" s="5"/>
      <c r="N86" s="5"/>
      <c r="O86" s="5"/>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2"/>
      <c r="AR86" s="18"/>
      <c r="AS86" s="18"/>
      <c r="AT86" s="18"/>
      <c r="AU86" s="63"/>
      <c r="AV86" s="63"/>
      <c r="AW86" s="63"/>
      <c r="AX86" s="63"/>
      <c r="AY86" s="63"/>
      <c r="AZ86" s="63"/>
      <c r="BA86" s="63"/>
      <c r="BB86" s="63"/>
      <c r="BC86" s="63"/>
      <c r="BD86" s="63"/>
      <c r="BE86" s="63"/>
      <c r="BF86" s="63"/>
      <c r="BG86" s="63"/>
      <c r="BH86" s="63"/>
      <c r="BI86" s="1"/>
      <c r="BJ86" s="1"/>
      <c r="BK86" s="1"/>
      <c r="BL86" s="1"/>
      <c r="BM86" s="1"/>
      <c r="BN86" s="1"/>
      <c r="BO86" s="1"/>
      <c r="BP86" s="18"/>
      <c r="BQ86" s="62"/>
      <c r="BR86" s="4"/>
      <c r="BS86" s="5"/>
      <c r="BT86" s="5"/>
      <c r="BU86" s="5"/>
      <c r="BV86" s="5"/>
      <c r="BW86" s="5"/>
      <c r="BX86" s="5"/>
      <c r="BY86" s="5"/>
      <c r="BZ86" s="64"/>
      <c r="CA86" s="64"/>
      <c r="CB86" s="64"/>
      <c r="CC86" s="64"/>
      <c r="CD86" s="64"/>
      <c r="CE86" s="64"/>
      <c r="CF86" s="64"/>
      <c r="CG86" s="70"/>
      <c r="CH86" s="70"/>
      <c r="CI86" s="70"/>
      <c r="CJ86" s="63"/>
      <c r="CK86" s="8">
        <f t="shared" si="30"/>
        <v>0</v>
      </c>
      <c r="CL86" s="62"/>
      <c r="CM86" s="62"/>
      <c r="CN86" s="62"/>
      <c r="CO86" s="62"/>
      <c r="CP86" s="62"/>
      <c r="CQ86" s="62"/>
      <c r="CR86" s="62"/>
      <c r="CS86" s="62"/>
      <c r="CT86" s="62"/>
      <c r="CU86" s="78"/>
      <c r="CV86" s="78"/>
      <c r="CW86" s="78"/>
      <c r="CX86" s="78"/>
      <c r="CY86" s="78"/>
      <c r="CZ86" s="78"/>
      <c r="DA86" s="78"/>
      <c r="DB86" s="78"/>
      <c r="DC86" s="78"/>
      <c r="DD86" s="62"/>
      <c r="DE86" s="62"/>
      <c r="DF86" s="62"/>
      <c r="DG86" s="62"/>
      <c r="DH86" s="62"/>
      <c r="DI86" s="62"/>
      <c r="DJ86" s="62"/>
      <c r="DK86" s="62"/>
      <c r="DL86" s="62"/>
      <c r="DM86" s="8">
        <f t="shared" si="31"/>
        <v>0</v>
      </c>
      <c r="DN86" s="8">
        <f t="shared" si="32"/>
        <v>0</v>
      </c>
      <c r="DO86" s="202" t="e">
        <f>#N/A</f>
        <v>#N/A</v>
      </c>
      <c r="DP86" s="202" t="e">
        <f>#N/A</f>
        <v>#N/A</v>
      </c>
      <c r="DQ86" s="202" t="e">
        <f>#N/A</f>
        <v>#N/A</v>
      </c>
      <c r="DR86" s="9" t="e">
        <f>#N/A</f>
        <v>#N/A</v>
      </c>
      <c r="DS86" s="9" t="e">
        <f>#N/A</f>
        <v>#N/A</v>
      </c>
      <c r="DT86" s="9" t="e">
        <f>#N/A</f>
        <v>#N/A</v>
      </c>
      <c r="DU86" s="202" t="e">
        <f>#N/A</f>
        <v>#N/A</v>
      </c>
      <c r="DV86" s="202" t="e">
        <f>#N/A</f>
        <v>#N/A</v>
      </c>
      <c r="DW86" s="202" t="e">
        <f>#N/A</f>
        <v>#N/A</v>
      </c>
      <c r="DX86" s="203" t="e">
        <f t="shared" si="33"/>
        <v>#N/A</v>
      </c>
      <c r="DY86" s="203" t="e">
        <f t="shared" si="34"/>
        <v>#N/A</v>
      </c>
      <c r="DZ86" s="203" t="e">
        <f t="shared" si="35"/>
        <v>#N/A</v>
      </c>
      <c r="EA86" s="19" t="e">
        <f t="shared" si="36"/>
        <v>#N/A</v>
      </c>
      <c r="EB86" s="19" t="e">
        <f t="shared" si="37"/>
        <v>#N/A</v>
      </c>
      <c r="EC86" s="19" t="e">
        <f t="shared" si="38"/>
        <v>#N/A</v>
      </c>
      <c r="ED86" s="203" t="e">
        <f t="shared" si="39"/>
        <v>#N/A</v>
      </c>
      <c r="EE86" s="203" t="e">
        <f t="shared" si="40"/>
        <v>#N/A</v>
      </c>
      <c r="EF86" s="203" t="e">
        <f t="shared" si="41"/>
        <v>#N/A</v>
      </c>
      <c r="EH86" s="58">
        <f t="shared" si="42"/>
        <v>0</v>
      </c>
      <c r="EI86" s="68" t="e">
        <f t="shared" si="43"/>
        <v>#DIV/0!</v>
      </c>
      <c r="EJ86" s="58">
        <f t="shared" si="44"/>
        <v>0</v>
      </c>
      <c r="EK86" s="68" t="e">
        <f t="shared" si="43"/>
        <v>#DIV/0!</v>
      </c>
      <c r="EL86" s="58">
        <f t="shared" si="45"/>
        <v>0</v>
      </c>
      <c r="EM86" s="58">
        <f t="shared" si="46"/>
        <v>0</v>
      </c>
      <c r="EN86" s="68" t="e">
        <f t="shared" si="47"/>
        <v>#DIV/0!</v>
      </c>
    </row>
    <row r="87" spans="1:144" x14ac:dyDescent="0.2">
      <c r="A87" s="43">
        <v>0</v>
      </c>
      <c r="B87" s="43">
        <v>0</v>
      </c>
      <c r="C87" s="43">
        <v>0</v>
      </c>
      <c r="D87" s="70">
        <v>2014</v>
      </c>
      <c r="E87" s="70">
        <v>8</v>
      </c>
      <c r="F87" s="64"/>
      <c r="G87" s="63"/>
      <c r="H87" s="63"/>
      <c r="I87" s="63"/>
      <c r="J87" s="63"/>
      <c r="K87" s="63"/>
      <c r="L87" s="63"/>
      <c r="M87" s="5"/>
      <c r="N87" s="5"/>
      <c r="O87" s="5"/>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2"/>
      <c r="AR87" s="18"/>
      <c r="AS87" s="18"/>
      <c r="AT87" s="18"/>
      <c r="AU87" s="63"/>
      <c r="AV87" s="63"/>
      <c r="AW87" s="63"/>
      <c r="AX87" s="63"/>
      <c r="AY87" s="63"/>
      <c r="AZ87" s="63"/>
      <c r="BA87" s="63"/>
      <c r="BB87" s="63"/>
      <c r="BC87" s="63"/>
      <c r="BD87" s="63"/>
      <c r="BE87" s="63"/>
      <c r="BF87" s="63"/>
      <c r="BG87" s="63"/>
      <c r="BH87" s="63"/>
      <c r="BI87" s="1"/>
      <c r="BJ87" s="1"/>
      <c r="BK87" s="1"/>
      <c r="BL87" s="1"/>
      <c r="BM87" s="1"/>
      <c r="BN87" s="1"/>
      <c r="BO87" s="1"/>
      <c r="BP87" s="18"/>
      <c r="BQ87" s="62"/>
      <c r="BR87" s="4"/>
      <c r="BS87" s="5"/>
      <c r="BT87" s="5"/>
      <c r="BU87" s="5"/>
      <c r="BV87" s="5"/>
      <c r="BW87" s="5"/>
      <c r="BX87" s="5"/>
      <c r="BY87" s="5"/>
      <c r="BZ87" s="64"/>
      <c r="CA87" s="64"/>
      <c r="CB87" s="64"/>
      <c r="CC87" s="64"/>
      <c r="CD87" s="64"/>
      <c r="CE87" s="64"/>
      <c r="CF87" s="64"/>
      <c r="CG87" s="70"/>
      <c r="CH87" s="70"/>
      <c r="CI87" s="70"/>
      <c r="CJ87" s="63"/>
      <c r="CK87" s="8">
        <f t="shared" si="30"/>
        <v>0</v>
      </c>
      <c r="CL87" s="62"/>
      <c r="CM87" s="62"/>
      <c r="CN87" s="62"/>
      <c r="CO87" s="62"/>
      <c r="CP87" s="62"/>
      <c r="CQ87" s="62"/>
      <c r="CR87" s="62"/>
      <c r="CS87" s="62"/>
      <c r="CT87" s="62"/>
      <c r="CU87" s="78"/>
      <c r="CV87" s="78"/>
      <c r="CW87" s="78"/>
      <c r="CX87" s="78"/>
      <c r="CY87" s="78"/>
      <c r="CZ87" s="78"/>
      <c r="DA87" s="78"/>
      <c r="DB87" s="78"/>
      <c r="DC87" s="78"/>
      <c r="DD87" s="62"/>
      <c r="DE87" s="62"/>
      <c r="DF87" s="62"/>
      <c r="DG87" s="62"/>
      <c r="DH87" s="62"/>
      <c r="DI87" s="62"/>
      <c r="DJ87" s="62"/>
      <c r="DK87" s="62"/>
      <c r="DL87" s="62"/>
      <c r="DM87" s="8">
        <f t="shared" si="31"/>
        <v>0</v>
      </c>
      <c r="DN87" s="8">
        <f t="shared" si="32"/>
        <v>0</v>
      </c>
      <c r="DO87" s="202" t="e">
        <f>#N/A</f>
        <v>#N/A</v>
      </c>
      <c r="DP87" s="202" t="e">
        <f>#N/A</f>
        <v>#N/A</v>
      </c>
      <c r="DQ87" s="202" t="e">
        <f>#N/A</f>
        <v>#N/A</v>
      </c>
      <c r="DR87" s="9" t="e">
        <f>#N/A</f>
        <v>#N/A</v>
      </c>
      <c r="DS87" s="9" t="e">
        <f>#N/A</f>
        <v>#N/A</v>
      </c>
      <c r="DT87" s="9" t="e">
        <f>#N/A</f>
        <v>#N/A</v>
      </c>
      <c r="DU87" s="202" t="e">
        <f>#N/A</f>
        <v>#N/A</v>
      </c>
      <c r="DV87" s="202" t="e">
        <f>#N/A</f>
        <v>#N/A</v>
      </c>
      <c r="DW87" s="202" t="e">
        <f>#N/A</f>
        <v>#N/A</v>
      </c>
      <c r="DX87" s="203" t="e">
        <f t="shared" si="33"/>
        <v>#N/A</v>
      </c>
      <c r="DY87" s="203" t="e">
        <f t="shared" si="34"/>
        <v>#N/A</v>
      </c>
      <c r="DZ87" s="203" t="e">
        <f t="shared" si="35"/>
        <v>#N/A</v>
      </c>
      <c r="EA87" s="19" t="e">
        <f t="shared" si="36"/>
        <v>#N/A</v>
      </c>
      <c r="EB87" s="19" t="e">
        <f t="shared" si="37"/>
        <v>#N/A</v>
      </c>
      <c r="EC87" s="19" t="e">
        <f t="shared" si="38"/>
        <v>#N/A</v>
      </c>
      <c r="ED87" s="203" t="e">
        <f t="shared" si="39"/>
        <v>#N/A</v>
      </c>
      <c r="EE87" s="203" t="e">
        <f t="shared" si="40"/>
        <v>#N/A</v>
      </c>
      <c r="EF87" s="203" t="e">
        <f t="shared" si="41"/>
        <v>#N/A</v>
      </c>
      <c r="EH87" s="58">
        <f t="shared" si="42"/>
        <v>0</v>
      </c>
      <c r="EI87" s="68" t="e">
        <f t="shared" si="43"/>
        <v>#DIV/0!</v>
      </c>
      <c r="EJ87" s="58">
        <f t="shared" si="44"/>
        <v>0</v>
      </c>
      <c r="EK87" s="68" t="e">
        <f t="shared" si="43"/>
        <v>#DIV/0!</v>
      </c>
      <c r="EL87" s="58">
        <f t="shared" si="45"/>
        <v>0</v>
      </c>
      <c r="EM87" s="58">
        <f t="shared" si="46"/>
        <v>0</v>
      </c>
      <c r="EN87" s="68" t="e">
        <f t="shared" si="47"/>
        <v>#DIV/0!</v>
      </c>
    </row>
    <row r="88" spans="1:144" x14ac:dyDescent="0.2">
      <c r="A88" s="43">
        <v>0</v>
      </c>
      <c r="B88" s="43">
        <v>0</v>
      </c>
      <c r="C88" s="43">
        <v>0</v>
      </c>
      <c r="D88" s="70">
        <v>2014</v>
      </c>
      <c r="E88" s="70">
        <v>9</v>
      </c>
      <c r="F88" s="64"/>
      <c r="G88" s="63"/>
      <c r="H88" s="63"/>
      <c r="I88" s="63"/>
      <c r="J88" s="63"/>
      <c r="K88" s="63"/>
      <c r="L88" s="63"/>
      <c r="M88" s="5"/>
      <c r="N88" s="5"/>
      <c r="O88" s="5"/>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2"/>
      <c r="AR88" s="18"/>
      <c r="AS88" s="18"/>
      <c r="AT88" s="18"/>
      <c r="AU88" s="63"/>
      <c r="AV88" s="63"/>
      <c r="AW88" s="63"/>
      <c r="AX88" s="63"/>
      <c r="AY88" s="63"/>
      <c r="AZ88" s="63"/>
      <c r="BA88" s="63"/>
      <c r="BB88" s="63"/>
      <c r="BC88" s="63"/>
      <c r="BD88" s="63"/>
      <c r="BE88" s="63"/>
      <c r="BF88" s="63"/>
      <c r="BG88" s="63"/>
      <c r="BH88" s="63"/>
      <c r="BI88" s="1"/>
      <c r="BJ88" s="1"/>
      <c r="BK88" s="1"/>
      <c r="BL88" s="1"/>
      <c r="BM88" s="1"/>
      <c r="BN88" s="1"/>
      <c r="BO88" s="1"/>
      <c r="BP88" s="18"/>
      <c r="BQ88" s="62"/>
      <c r="BR88" s="4"/>
      <c r="BS88" s="5"/>
      <c r="BT88" s="5"/>
      <c r="BU88" s="5"/>
      <c r="BV88" s="5"/>
      <c r="BW88" s="5"/>
      <c r="BX88" s="5"/>
      <c r="BY88" s="5"/>
      <c r="BZ88" s="64"/>
      <c r="CA88" s="64"/>
      <c r="CB88" s="64"/>
      <c r="CC88" s="64"/>
      <c r="CD88" s="64"/>
      <c r="CE88" s="64"/>
      <c r="CF88" s="64"/>
      <c r="CG88" s="70"/>
      <c r="CH88" s="70"/>
      <c r="CI88" s="70"/>
      <c r="CJ88" s="63"/>
      <c r="CK88" s="8">
        <f t="shared" si="30"/>
        <v>0</v>
      </c>
      <c r="CL88" s="62"/>
      <c r="CM88" s="62"/>
      <c r="CN88" s="62"/>
      <c r="CO88" s="62"/>
      <c r="CP88" s="62"/>
      <c r="CQ88" s="62"/>
      <c r="CR88" s="62"/>
      <c r="CS88" s="62"/>
      <c r="CT88" s="62"/>
      <c r="CU88" s="78"/>
      <c r="CV88" s="78"/>
      <c r="CW88" s="78"/>
      <c r="CX88" s="78"/>
      <c r="CY88" s="78"/>
      <c r="CZ88" s="78"/>
      <c r="DA88" s="78"/>
      <c r="DB88" s="78"/>
      <c r="DC88" s="78"/>
      <c r="DD88" s="62"/>
      <c r="DE88" s="62"/>
      <c r="DF88" s="62"/>
      <c r="DG88" s="62"/>
      <c r="DH88" s="62"/>
      <c r="DI88" s="62"/>
      <c r="DJ88" s="62"/>
      <c r="DK88" s="62"/>
      <c r="DL88" s="62"/>
      <c r="DM88" s="8">
        <f t="shared" si="31"/>
        <v>0</v>
      </c>
      <c r="DN88" s="8">
        <f t="shared" si="32"/>
        <v>0</v>
      </c>
      <c r="DO88" s="202" t="e">
        <f>#N/A</f>
        <v>#N/A</v>
      </c>
      <c r="DP88" s="202" t="e">
        <f>#N/A</f>
        <v>#N/A</v>
      </c>
      <c r="DQ88" s="202" t="e">
        <f>#N/A</f>
        <v>#N/A</v>
      </c>
      <c r="DR88" s="9" t="e">
        <f>#N/A</f>
        <v>#N/A</v>
      </c>
      <c r="DS88" s="9" t="e">
        <f>#N/A</f>
        <v>#N/A</v>
      </c>
      <c r="DT88" s="9" t="e">
        <f>#N/A</f>
        <v>#N/A</v>
      </c>
      <c r="DU88" s="202" t="e">
        <f>#N/A</f>
        <v>#N/A</v>
      </c>
      <c r="DV88" s="202" t="e">
        <f>#N/A</f>
        <v>#N/A</v>
      </c>
      <c r="DW88" s="202" t="e">
        <f>#N/A</f>
        <v>#N/A</v>
      </c>
      <c r="DX88" s="203" t="e">
        <f t="shared" si="33"/>
        <v>#N/A</v>
      </c>
      <c r="DY88" s="203" t="e">
        <f t="shared" si="34"/>
        <v>#N/A</v>
      </c>
      <c r="DZ88" s="203" t="e">
        <f t="shared" si="35"/>
        <v>#N/A</v>
      </c>
      <c r="EA88" s="19" t="e">
        <f t="shared" si="36"/>
        <v>#N/A</v>
      </c>
      <c r="EB88" s="19" t="e">
        <f t="shared" si="37"/>
        <v>#N/A</v>
      </c>
      <c r="EC88" s="19" t="e">
        <f t="shared" si="38"/>
        <v>#N/A</v>
      </c>
      <c r="ED88" s="203" t="e">
        <f t="shared" si="39"/>
        <v>#N/A</v>
      </c>
      <c r="EE88" s="203" t="e">
        <f t="shared" si="40"/>
        <v>#N/A</v>
      </c>
      <c r="EF88" s="203" t="e">
        <f t="shared" si="41"/>
        <v>#N/A</v>
      </c>
      <c r="EH88" s="58">
        <f t="shared" si="42"/>
        <v>0</v>
      </c>
      <c r="EI88" s="68" t="e">
        <f t="shared" si="43"/>
        <v>#DIV/0!</v>
      </c>
      <c r="EJ88" s="58">
        <f t="shared" si="44"/>
        <v>0</v>
      </c>
      <c r="EK88" s="68" t="e">
        <f t="shared" si="43"/>
        <v>#DIV/0!</v>
      </c>
      <c r="EL88" s="58">
        <f t="shared" si="45"/>
        <v>0</v>
      </c>
      <c r="EM88" s="58">
        <f t="shared" si="46"/>
        <v>0</v>
      </c>
      <c r="EN88" s="68" t="e">
        <f t="shared" si="47"/>
        <v>#DIV/0!</v>
      </c>
    </row>
    <row r="89" spans="1:144" x14ac:dyDescent="0.2">
      <c r="A89" s="43">
        <v>0</v>
      </c>
      <c r="B89" s="43">
        <v>0</v>
      </c>
      <c r="C89" s="43">
        <v>0</v>
      </c>
      <c r="D89" s="70">
        <v>2014</v>
      </c>
      <c r="E89" s="70">
        <v>10</v>
      </c>
      <c r="F89" s="64"/>
      <c r="G89" s="63"/>
      <c r="H89" s="63"/>
      <c r="I89" s="63"/>
      <c r="J89" s="63"/>
      <c r="K89" s="63"/>
      <c r="L89" s="63"/>
      <c r="M89" s="5"/>
      <c r="N89" s="5"/>
      <c r="O89" s="5"/>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2"/>
      <c r="AR89" s="18"/>
      <c r="AS89" s="18"/>
      <c r="AT89" s="18"/>
      <c r="AU89" s="63"/>
      <c r="AV89" s="63"/>
      <c r="AW89" s="63"/>
      <c r="AX89" s="63"/>
      <c r="AY89" s="63"/>
      <c r="AZ89" s="63"/>
      <c r="BA89" s="63"/>
      <c r="BB89" s="63"/>
      <c r="BC89" s="63"/>
      <c r="BD89" s="63"/>
      <c r="BE89" s="63"/>
      <c r="BF89" s="63"/>
      <c r="BG89" s="63"/>
      <c r="BH89" s="63"/>
      <c r="BI89" s="1"/>
      <c r="BJ89" s="1"/>
      <c r="BK89" s="1"/>
      <c r="BL89" s="1"/>
      <c r="BM89" s="1"/>
      <c r="BN89" s="1"/>
      <c r="BO89" s="1"/>
      <c r="BP89" s="18"/>
      <c r="BQ89" s="62"/>
      <c r="BR89" s="4"/>
      <c r="BS89" s="5"/>
      <c r="BT89" s="5"/>
      <c r="BU89" s="5"/>
      <c r="BV89" s="5"/>
      <c r="BW89" s="5"/>
      <c r="BX89" s="5"/>
      <c r="BY89" s="5"/>
      <c r="BZ89" s="64"/>
      <c r="CA89" s="64"/>
      <c r="CB89" s="64"/>
      <c r="CC89" s="64"/>
      <c r="CD89" s="64"/>
      <c r="CE89" s="64"/>
      <c r="CF89" s="64"/>
      <c r="CG89" s="70"/>
      <c r="CH89" s="70"/>
      <c r="CI89" s="70"/>
      <c r="CJ89" s="63"/>
      <c r="CK89" s="8">
        <f t="shared" si="30"/>
        <v>0</v>
      </c>
      <c r="CL89" s="62"/>
      <c r="CM89" s="62"/>
      <c r="CN89" s="62"/>
      <c r="CO89" s="62"/>
      <c r="CP89" s="62"/>
      <c r="CQ89" s="62"/>
      <c r="CR89" s="62"/>
      <c r="CS89" s="62"/>
      <c r="CT89" s="62"/>
      <c r="CU89" s="78"/>
      <c r="CV89" s="78"/>
      <c r="CW89" s="78"/>
      <c r="CX89" s="78"/>
      <c r="CY89" s="78"/>
      <c r="CZ89" s="78"/>
      <c r="DA89" s="78"/>
      <c r="DB89" s="78"/>
      <c r="DC89" s="78"/>
      <c r="DD89" s="62"/>
      <c r="DE89" s="62"/>
      <c r="DF89" s="62"/>
      <c r="DG89" s="62"/>
      <c r="DH89" s="62"/>
      <c r="DI89" s="62"/>
      <c r="DJ89" s="62"/>
      <c r="DK89" s="62"/>
      <c r="DL89" s="62"/>
      <c r="DM89" s="8">
        <f t="shared" si="31"/>
        <v>0</v>
      </c>
      <c r="DN89" s="8">
        <f t="shared" si="32"/>
        <v>0</v>
      </c>
      <c r="DO89" s="202" t="e">
        <f>#N/A</f>
        <v>#N/A</v>
      </c>
      <c r="DP89" s="202" t="e">
        <f>#N/A</f>
        <v>#N/A</v>
      </c>
      <c r="DQ89" s="202" t="e">
        <f>#N/A</f>
        <v>#N/A</v>
      </c>
      <c r="DR89" s="9" t="e">
        <f>#N/A</f>
        <v>#N/A</v>
      </c>
      <c r="DS89" s="9" t="e">
        <f>#N/A</f>
        <v>#N/A</v>
      </c>
      <c r="DT89" s="9" t="e">
        <f>#N/A</f>
        <v>#N/A</v>
      </c>
      <c r="DU89" s="202" t="e">
        <f>#N/A</f>
        <v>#N/A</v>
      </c>
      <c r="DV89" s="202" t="e">
        <f>#N/A</f>
        <v>#N/A</v>
      </c>
      <c r="DW89" s="202" t="e">
        <f>#N/A</f>
        <v>#N/A</v>
      </c>
      <c r="DX89" s="203" t="e">
        <f t="shared" si="33"/>
        <v>#N/A</v>
      </c>
      <c r="DY89" s="203" t="e">
        <f t="shared" si="34"/>
        <v>#N/A</v>
      </c>
      <c r="DZ89" s="203" t="e">
        <f t="shared" si="35"/>
        <v>#N/A</v>
      </c>
      <c r="EA89" s="19" t="e">
        <f t="shared" si="36"/>
        <v>#N/A</v>
      </c>
      <c r="EB89" s="19" t="e">
        <f t="shared" si="37"/>
        <v>#N/A</v>
      </c>
      <c r="EC89" s="19" t="e">
        <f t="shared" si="38"/>
        <v>#N/A</v>
      </c>
      <c r="ED89" s="203" t="e">
        <f t="shared" si="39"/>
        <v>#N/A</v>
      </c>
      <c r="EE89" s="203" t="e">
        <f t="shared" si="40"/>
        <v>#N/A</v>
      </c>
      <c r="EF89" s="203" t="e">
        <f t="shared" si="41"/>
        <v>#N/A</v>
      </c>
      <c r="EH89" s="58">
        <f t="shared" si="42"/>
        <v>0</v>
      </c>
      <c r="EI89" s="68" t="e">
        <f t="shared" si="43"/>
        <v>#DIV/0!</v>
      </c>
      <c r="EJ89" s="58">
        <f t="shared" si="44"/>
        <v>0</v>
      </c>
      <c r="EK89" s="68" t="e">
        <f t="shared" si="43"/>
        <v>#DIV/0!</v>
      </c>
      <c r="EL89" s="58">
        <f t="shared" si="45"/>
        <v>0</v>
      </c>
      <c r="EM89" s="58">
        <f t="shared" si="46"/>
        <v>0</v>
      </c>
      <c r="EN89" s="68" t="e">
        <f t="shared" si="47"/>
        <v>#DIV/0!</v>
      </c>
    </row>
    <row r="90" spans="1:144" x14ac:dyDescent="0.2">
      <c r="A90" s="43">
        <v>0</v>
      </c>
      <c r="B90" s="43">
        <v>0</v>
      </c>
      <c r="C90" s="43">
        <v>0</v>
      </c>
      <c r="D90" s="70">
        <v>2014</v>
      </c>
      <c r="E90" s="70">
        <v>11</v>
      </c>
      <c r="F90" s="64"/>
      <c r="G90" s="63"/>
      <c r="H90" s="63"/>
      <c r="I90" s="63"/>
      <c r="J90" s="63"/>
      <c r="K90" s="63"/>
      <c r="L90" s="63"/>
      <c r="M90" s="5"/>
      <c r="N90" s="5"/>
      <c r="O90" s="5"/>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2"/>
      <c r="AR90" s="18"/>
      <c r="AS90" s="18"/>
      <c r="AT90" s="18"/>
      <c r="AU90" s="63"/>
      <c r="AV90" s="63"/>
      <c r="AW90" s="63"/>
      <c r="AX90" s="63"/>
      <c r="AY90" s="63"/>
      <c r="AZ90" s="63"/>
      <c r="BA90" s="63"/>
      <c r="BB90" s="63"/>
      <c r="BC90" s="63"/>
      <c r="BD90" s="63"/>
      <c r="BE90" s="63"/>
      <c r="BF90" s="63"/>
      <c r="BG90" s="63"/>
      <c r="BH90" s="63"/>
      <c r="BI90" s="1"/>
      <c r="BJ90" s="1"/>
      <c r="BK90" s="1"/>
      <c r="BL90" s="1"/>
      <c r="BM90" s="1"/>
      <c r="BN90" s="1"/>
      <c r="BO90" s="1"/>
      <c r="BP90" s="18"/>
      <c r="BQ90" s="62"/>
      <c r="BR90" s="4"/>
      <c r="BS90" s="5"/>
      <c r="BT90" s="5"/>
      <c r="BU90" s="5"/>
      <c r="BV90" s="5"/>
      <c r="BW90" s="5"/>
      <c r="BX90" s="5"/>
      <c r="BY90" s="5"/>
      <c r="BZ90" s="64"/>
      <c r="CA90" s="64"/>
      <c r="CB90" s="64"/>
      <c r="CC90" s="64"/>
      <c r="CD90" s="64"/>
      <c r="CE90" s="64"/>
      <c r="CF90" s="64"/>
      <c r="CG90" s="70"/>
      <c r="CH90" s="70"/>
      <c r="CI90" s="70"/>
      <c r="CJ90" s="63"/>
      <c r="CK90" s="8">
        <f t="shared" si="30"/>
        <v>0</v>
      </c>
      <c r="CL90" s="62"/>
      <c r="CM90" s="62"/>
      <c r="CN90" s="62"/>
      <c r="CO90" s="62"/>
      <c r="CP90" s="62"/>
      <c r="CQ90" s="62"/>
      <c r="CR90" s="62"/>
      <c r="CS90" s="62"/>
      <c r="CT90" s="62"/>
      <c r="CU90" s="78"/>
      <c r="CV90" s="78"/>
      <c r="CW90" s="78"/>
      <c r="CX90" s="78"/>
      <c r="CY90" s="78"/>
      <c r="CZ90" s="78"/>
      <c r="DA90" s="78"/>
      <c r="DB90" s="78"/>
      <c r="DC90" s="78"/>
      <c r="DD90" s="62"/>
      <c r="DE90" s="62"/>
      <c r="DF90" s="62"/>
      <c r="DG90" s="62"/>
      <c r="DH90" s="62"/>
      <c r="DI90" s="62"/>
      <c r="DJ90" s="62"/>
      <c r="DK90" s="62"/>
      <c r="DL90" s="62"/>
      <c r="DM90" s="8">
        <f t="shared" si="31"/>
        <v>0</v>
      </c>
      <c r="DN90" s="8">
        <f t="shared" si="32"/>
        <v>0</v>
      </c>
      <c r="DO90" s="202" t="e">
        <f>#N/A</f>
        <v>#N/A</v>
      </c>
      <c r="DP90" s="202" t="e">
        <f>#N/A</f>
        <v>#N/A</v>
      </c>
      <c r="DQ90" s="202" t="e">
        <f>#N/A</f>
        <v>#N/A</v>
      </c>
      <c r="DR90" s="9" t="e">
        <f>#N/A</f>
        <v>#N/A</v>
      </c>
      <c r="DS90" s="9" t="e">
        <f>#N/A</f>
        <v>#N/A</v>
      </c>
      <c r="DT90" s="9" t="e">
        <f>#N/A</f>
        <v>#N/A</v>
      </c>
      <c r="DU90" s="202" t="e">
        <f>#N/A</f>
        <v>#N/A</v>
      </c>
      <c r="DV90" s="202" t="e">
        <f>#N/A</f>
        <v>#N/A</v>
      </c>
      <c r="DW90" s="202" t="e">
        <f>#N/A</f>
        <v>#N/A</v>
      </c>
      <c r="DX90" s="203" t="e">
        <f t="shared" si="33"/>
        <v>#N/A</v>
      </c>
      <c r="DY90" s="203" t="e">
        <f t="shared" si="34"/>
        <v>#N/A</v>
      </c>
      <c r="DZ90" s="203" t="e">
        <f t="shared" si="35"/>
        <v>#N/A</v>
      </c>
      <c r="EA90" s="19" t="e">
        <f t="shared" si="36"/>
        <v>#N/A</v>
      </c>
      <c r="EB90" s="19" t="e">
        <f t="shared" si="37"/>
        <v>#N/A</v>
      </c>
      <c r="EC90" s="19" t="e">
        <f t="shared" si="38"/>
        <v>#N/A</v>
      </c>
      <c r="ED90" s="203" t="e">
        <f t="shared" si="39"/>
        <v>#N/A</v>
      </c>
      <c r="EE90" s="203" t="e">
        <f t="shared" si="40"/>
        <v>#N/A</v>
      </c>
      <c r="EF90" s="203" t="e">
        <f t="shared" si="41"/>
        <v>#N/A</v>
      </c>
      <c r="EH90" s="58">
        <f t="shared" si="42"/>
        <v>0</v>
      </c>
      <c r="EI90" s="68" t="e">
        <f t="shared" si="43"/>
        <v>#DIV/0!</v>
      </c>
      <c r="EJ90" s="58">
        <f t="shared" si="44"/>
        <v>0</v>
      </c>
      <c r="EK90" s="68" t="e">
        <f t="shared" si="43"/>
        <v>#DIV/0!</v>
      </c>
      <c r="EL90" s="58">
        <f t="shared" si="45"/>
        <v>0</v>
      </c>
      <c r="EM90" s="58">
        <f t="shared" si="46"/>
        <v>0</v>
      </c>
      <c r="EN90" s="68" t="e">
        <f t="shared" si="47"/>
        <v>#DIV/0!</v>
      </c>
    </row>
    <row r="91" spans="1:144" x14ac:dyDescent="0.2">
      <c r="A91" s="43">
        <v>0</v>
      </c>
      <c r="B91" s="43">
        <v>0</v>
      </c>
      <c r="C91" s="43">
        <v>0</v>
      </c>
      <c r="D91" s="70">
        <v>2014</v>
      </c>
      <c r="E91" s="70">
        <v>12</v>
      </c>
      <c r="F91" s="64"/>
      <c r="G91" s="63"/>
      <c r="H91" s="63"/>
      <c r="I91" s="63"/>
      <c r="J91" s="63"/>
      <c r="K91" s="63"/>
      <c r="L91" s="63"/>
      <c r="M91" s="5"/>
      <c r="N91" s="5"/>
      <c r="O91" s="5"/>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2"/>
      <c r="AR91" s="18"/>
      <c r="AS91" s="18"/>
      <c r="AT91" s="18"/>
      <c r="AU91" s="63"/>
      <c r="AV91" s="63"/>
      <c r="AW91" s="63"/>
      <c r="AX91" s="63"/>
      <c r="AY91" s="63"/>
      <c r="AZ91" s="63"/>
      <c r="BA91" s="63"/>
      <c r="BB91" s="63"/>
      <c r="BC91" s="63"/>
      <c r="BD91" s="63"/>
      <c r="BE91" s="63"/>
      <c r="BF91" s="63"/>
      <c r="BG91" s="63"/>
      <c r="BH91" s="63"/>
      <c r="BI91" s="1"/>
      <c r="BJ91" s="1"/>
      <c r="BK91" s="1"/>
      <c r="BL91" s="1"/>
      <c r="BM91" s="1"/>
      <c r="BN91" s="1"/>
      <c r="BO91" s="1"/>
      <c r="BP91" s="18"/>
      <c r="BQ91" s="62"/>
      <c r="BR91" s="4"/>
      <c r="BS91" s="5"/>
      <c r="BT91" s="5"/>
      <c r="BU91" s="5"/>
      <c r="BV91" s="5"/>
      <c r="BW91" s="5"/>
      <c r="BX91" s="5"/>
      <c r="BY91" s="5"/>
      <c r="BZ91" s="64"/>
      <c r="CA91" s="64"/>
      <c r="CB91" s="64"/>
      <c r="CC91" s="64"/>
      <c r="CD91" s="64"/>
      <c r="CE91" s="64"/>
      <c r="CF91" s="64"/>
      <c r="CG91" s="70"/>
      <c r="CH91" s="70"/>
      <c r="CI91" s="70"/>
      <c r="CJ91" s="63"/>
      <c r="CK91" s="8">
        <f t="shared" si="30"/>
        <v>0</v>
      </c>
      <c r="CL91" s="62"/>
      <c r="CM91" s="62"/>
      <c r="CN91" s="62"/>
      <c r="CO91" s="62"/>
      <c r="CP91" s="62"/>
      <c r="CQ91" s="62"/>
      <c r="CR91" s="62"/>
      <c r="CS91" s="62"/>
      <c r="CT91" s="62"/>
      <c r="CU91" s="78"/>
      <c r="CV91" s="78"/>
      <c r="CW91" s="78"/>
      <c r="CX91" s="78"/>
      <c r="CY91" s="78"/>
      <c r="CZ91" s="78"/>
      <c r="DA91" s="78"/>
      <c r="DB91" s="78"/>
      <c r="DC91" s="78"/>
      <c r="DD91" s="62"/>
      <c r="DE91" s="62"/>
      <c r="DF91" s="62"/>
      <c r="DG91" s="62"/>
      <c r="DH91" s="62"/>
      <c r="DI91" s="62"/>
      <c r="DJ91" s="62"/>
      <c r="DK91" s="62"/>
      <c r="DL91" s="62"/>
      <c r="DM91" s="8">
        <f t="shared" si="31"/>
        <v>0</v>
      </c>
      <c r="DN91" s="8">
        <f t="shared" si="32"/>
        <v>0</v>
      </c>
      <c r="DO91" s="202" t="e">
        <f>#N/A</f>
        <v>#N/A</v>
      </c>
      <c r="DP91" s="202" t="e">
        <f>#N/A</f>
        <v>#N/A</v>
      </c>
      <c r="DQ91" s="202" t="e">
        <f>#N/A</f>
        <v>#N/A</v>
      </c>
      <c r="DR91" s="9" t="e">
        <f>#N/A</f>
        <v>#N/A</v>
      </c>
      <c r="DS91" s="9" t="e">
        <f>#N/A</f>
        <v>#N/A</v>
      </c>
      <c r="DT91" s="9" t="e">
        <f>#N/A</f>
        <v>#N/A</v>
      </c>
      <c r="DU91" s="202" t="e">
        <f>#N/A</f>
        <v>#N/A</v>
      </c>
      <c r="DV91" s="202" t="e">
        <f>#N/A</f>
        <v>#N/A</v>
      </c>
      <c r="DW91" s="202" t="e">
        <f>#N/A</f>
        <v>#N/A</v>
      </c>
      <c r="DX91" s="203" t="e">
        <f t="shared" si="33"/>
        <v>#N/A</v>
      </c>
      <c r="DY91" s="203" t="e">
        <f t="shared" si="34"/>
        <v>#N/A</v>
      </c>
      <c r="DZ91" s="203" t="e">
        <f t="shared" si="35"/>
        <v>#N/A</v>
      </c>
      <c r="EA91" s="19" t="e">
        <f t="shared" si="36"/>
        <v>#N/A</v>
      </c>
      <c r="EB91" s="19" t="e">
        <f t="shared" si="37"/>
        <v>#N/A</v>
      </c>
      <c r="EC91" s="19" t="e">
        <f t="shared" si="38"/>
        <v>#N/A</v>
      </c>
      <c r="ED91" s="203" t="e">
        <f t="shared" si="39"/>
        <v>#N/A</v>
      </c>
      <c r="EE91" s="203" t="e">
        <f t="shared" si="40"/>
        <v>#N/A</v>
      </c>
      <c r="EF91" s="203" t="e">
        <f t="shared" si="41"/>
        <v>#N/A</v>
      </c>
      <c r="EH91" s="58">
        <f t="shared" si="42"/>
        <v>0</v>
      </c>
      <c r="EI91" s="68" t="e">
        <f t="shared" si="43"/>
        <v>#DIV/0!</v>
      </c>
      <c r="EJ91" s="58">
        <f t="shared" si="44"/>
        <v>0</v>
      </c>
      <c r="EK91" s="68" t="e">
        <f t="shared" si="43"/>
        <v>#DIV/0!</v>
      </c>
      <c r="EL91" s="58">
        <f t="shared" si="45"/>
        <v>0</v>
      </c>
      <c r="EM91" s="58">
        <f t="shared" si="46"/>
        <v>0</v>
      </c>
      <c r="EN91" s="68" t="e">
        <f t="shared" si="47"/>
        <v>#DIV/0!</v>
      </c>
    </row>
    <row r="92" spans="1:144" x14ac:dyDescent="0.2">
      <c r="A92" s="43">
        <v>0</v>
      </c>
      <c r="B92" s="43">
        <v>0</v>
      </c>
      <c r="C92" s="43">
        <v>0</v>
      </c>
      <c r="D92" s="70">
        <v>2015</v>
      </c>
      <c r="E92" s="70">
        <v>1</v>
      </c>
      <c r="F92" s="64"/>
      <c r="G92" s="63"/>
      <c r="H92" s="63"/>
      <c r="I92" s="63"/>
      <c r="J92" s="63"/>
      <c r="K92" s="63"/>
      <c r="L92" s="63"/>
      <c r="M92" s="5"/>
      <c r="N92" s="5"/>
      <c r="O92" s="5"/>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2"/>
      <c r="AR92" s="18"/>
      <c r="AS92" s="18"/>
      <c r="AT92" s="18"/>
      <c r="AU92" s="63"/>
      <c r="AV92" s="63"/>
      <c r="AW92" s="63"/>
      <c r="AX92" s="63"/>
      <c r="AY92" s="63"/>
      <c r="AZ92" s="63"/>
      <c r="BA92" s="63"/>
      <c r="BB92" s="63"/>
      <c r="BC92" s="63"/>
      <c r="BD92" s="63"/>
      <c r="BE92" s="63"/>
      <c r="BF92" s="63"/>
      <c r="BG92" s="63"/>
      <c r="BH92" s="63"/>
      <c r="BI92" s="1"/>
      <c r="BJ92" s="1"/>
      <c r="BK92" s="1"/>
      <c r="BL92" s="1"/>
      <c r="BM92" s="1"/>
      <c r="BN92" s="1"/>
      <c r="BO92" s="1"/>
      <c r="BP92" s="18"/>
      <c r="BQ92" s="62"/>
      <c r="BR92" s="4"/>
      <c r="BS92" s="5"/>
      <c r="BT92" s="5"/>
      <c r="BU92" s="5"/>
      <c r="BV92" s="5"/>
      <c r="BW92" s="5"/>
      <c r="BX92" s="5"/>
      <c r="BY92" s="5"/>
      <c r="BZ92" s="62"/>
      <c r="CA92" s="64"/>
      <c r="CB92" s="64"/>
      <c r="CC92" s="64"/>
      <c r="CD92" s="63"/>
      <c r="CE92" s="64"/>
      <c r="CF92" s="63"/>
      <c r="CG92" s="70"/>
      <c r="CH92" s="70"/>
      <c r="CI92" s="70"/>
      <c r="CJ92" s="63"/>
      <c r="CK92" s="8">
        <f t="shared" si="30"/>
        <v>0</v>
      </c>
      <c r="CL92" s="62"/>
      <c r="CM92" s="62"/>
      <c r="CN92" s="62"/>
      <c r="CO92" s="62"/>
      <c r="CP92" s="62"/>
      <c r="CQ92" s="62"/>
      <c r="CR92" s="62"/>
      <c r="CS92" s="62"/>
      <c r="CT92" s="62"/>
      <c r="CU92" s="78"/>
      <c r="CV92" s="78"/>
      <c r="CW92" s="78"/>
      <c r="CX92" s="78"/>
      <c r="CY92" s="78"/>
      <c r="CZ92" s="78"/>
      <c r="DA92" s="78"/>
      <c r="DB92" s="78"/>
      <c r="DC92" s="78"/>
      <c r="DD92" s="62"/>
      <c r="DE92" s="62"/>
      <c r="DF92" s="62"/>
      <c r="DG92" s="62"/>
      <c r="DH92" s="62"/>
      <c r="DI92" s="62"/>
      <c r="DJ92" s="62"/>
      <c r="DK92" s="62"/>
      <c r="DL92" s="62"/>
      <c r="DM92" s="8">
        <f t="shared" si="31"/>
        <v>0</v>
      </c>
      <c r="DN92" s="8">
        <f t="shared" si="32"/>
        <v>0</v>
      </c>
      <c r="DO92" s="202" t="e">
        <f>#N/A</f>
        <v>#N/A</v>
      </c>
      <c r="DP92" s="202" t="e">
        <f>#N/A</f>
        <v>#N/A</v>
      </c>
      <c r="DQ92" s="202" t="e">
        <f>#N/A</f>
        <v>#N/A</v>
      </c>
      <c r="DR92" s="9" t="e">
        <f>#N/A</f>
        <v>#N/A</v>
      </c>
      <c r="DS92" s="9" t="e">
        <f>#N/A</f>
        <v>#N/A</v>
      </c>
      <c r="DT92" s="9" t="e">
        <f>#N/A</f>
        <v>#N/A</v>
      </c>
      <c r="DU92" s="202" t="e">
        <f>#N/A</f>
        <v>#N/A</v>
      </c>
      <c r="DV92" s="202" t="e">
        <f>#N/A</f>
        <v>#N/A</v>
      </c>
      <c r="DW92" s="202" t="e">
        <f>#N/A</f>
        <v>#N/A</v>
      </c>
      <c r="DX92" s="203" t="e">
        <f t="shared" si="33"/>
        <v>#N/A</v>
      </c>
      <c r="DY92" s="203" t="e">
        <f t="shared" si="34"/>
        <v>#N/A</v>
      </c>
      <c r="DZ92" s="203" t="e">
        <f t="shared" si="35"/>
        <v>#N/A</v>
      </c>
      <c r="EA92" s="19" t="e">
        <f t="shared" si="36"/>
        <v>#N/A</v>
      </c>
      <c r="EB92" s="19" t="e">
        <f t="shared" si="37"/>
        <v>#N/A</v>
      </c>
      <c r="EC92" s="19" t="e">
        <f t="shared" si="38"/>
        <v>#N/A</v>
      </c>
      <c r="ED92" s="203" t="e">
        <f t="shared" si="39"/>
        <v>#N/A</v>
      </c>
      <c r="EE92" s="203" t="e">
        <f t="shared" si="40"/>
        <v>#N/A</v>
      </c>
      <c r="EF92" s="203" t="e">
        <f t="shared" si="41"/>
        <v>#N/A</v>
      </c>
      <c r="EH92" s="58">
        <f t="shared" si="42"/>
        <v>0</v>
      </c>
      <c r="EI92" s="68" t="e">
        <f t="shared" si="43"/>
        <v>#DIV/0!</v>
      </c>
      <c r="EJ92" s="58">
        <f t="shared" si="44"/>
        <v>0</v>
      </c>
      <c r="EK92" s="68" t="e">
        <f t="shared" si="43"/>
        <v>#DIV/0!</v>
      </c>
      <c r="EL92" s="58">
        <f t="shared" si="45"/>
        <v>0</v>
      </c>
      <c r="EM92" s="58">
        <f t="shared" si="46"/>
        <v>0</v>
      </c>
      <c r="EN92" s="68" t="e">
        <f t="shared" si="47"/>
        <v>#DIV/0!</v>
      </c>
    </row>
    <row r="93" spans="1:144" x14ac:dyDescent="0.2">
      <c r="A93" s="43">
        <v>0</v>
      </c>
      <c r="B93" s="43">
        <v>0</v>
      </c>
      <c r="C93" s="43">
        <v>0</v>
      </c>
      <c r="D93" s="70">
        <v>2015</v>
      </c>
      <c r="E93" s="70">
        <v>2</v>
      </c>
      <c r="F93" s="64"/>
      <c r="G93" s="63"/>
      <c r="H93" s="63"/>
      <c r="I93" s="63"/>
      <c r="J93" s="63"/>
      <c r="K93" s="63"/>
      <c r="L93" s="63"/>
      <c r="M93" s="5"/>
      <c r="N93" s="5"/>
      <c r="O93" s="5"/>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2"/>
      <c r="AR93" s="18"/>
      <c r="AS93" s="18"/>
      <c r="AT93" s="18"/>
      <c r="AU93" s="63"/>
      <c r="AV93" s="63"/>
      <c r="AW93" s="63"/>
      <c r="AX93" s="63"/>
      <c r="AY93" s="63"/>
      <c r="AZ93" s="63"/>
      <c r="BA93" s="63"/>
      <c r="BB93" s="63"/>
      <c r="BC93" s="63"/>
      <c r="BD93" s="63"/>
      <c r="BE93" s="63"/>
      <c r="BF93" s="63"/>
      <c r="BG93" s="63"/>
      <c r="BH93" s="63"/>
      <c r="BI93" s="1"/>
      <c r="BJ93" s="1"/>
      <c r="BK93" s="1"/>
      <c r="BL93" s="1"/>
      <c r="BM93" s="1"/>
      <c r="BN93" s="1"/>
      <c r="BO93" s="1"/>
      <c r="BP93" s="18"/>
      <c r="BQ93" s="62"/>
      <c r="BR93" s="4"/>
      <c r="BS93" s="5"/>
      <c r="BT93" s="5"/>
      <c r="BU93" s="5"/>
      <c r="BV93" s="5"/>
      <c r="BW93" s="5"/>
      <c r="BX93" s="5"/>
      <c r="BY93" s="5"/>
      <c r="BZ93" s="62"/>
      <c r="CA93" s="64"/>
      <c r="CB93" s="64"/>
      <c r="CC93" s="64"/>
      <c r="CD93" s="63"/>
      <c r="CE93" s="64"/>
      <c r="CF93" s="63"/>
      <c r="CG93" s="70"/>
      <c r="CH93" s="70"/>
      <c r="CI93" s="70"/>
      <c r="CJ93" s="63"/>
      <c r="CK93" s="8">
        <f t="shared" si="30"/>
        <v>0</v>
      </c>
      <c r="CL93" s="62"/>
      <c r="CM93" s="62"/>
      <c r="CN93" s="62"/>
      <c r="CO93" s="62"/>
      <c r="CP93" s="62"/>
      <c r="CQ93" s="62"/>
      <c r="CR93" s="62"/>
      <c r="CS93" s="62"/>
      <c r="CT93" s="62"/>
      <c r="CU93" s="78"/>
      <c r="CV93" s="78"/>
      <c r="CW93" s="78"/>
      <c r="CX93" s="78"/>
      <c r="CY93" s="78"/>
      <c r="CZ93" s="78"/>
      <c r="DA93" s="78"/>
      <c r="DB93" s="78"/>
      <c r="DC93" s="78"/>
      <c r="DD93" s="62"/>
      <c r="DE93" s="62"/>
      <c r="DF93" s="62"/>
      <c r="DG93" s="62"/>
      <c r="DH93" s="62"/>
      <c r="DI93" s="62"/>
      <c r="DJ93" s="62"/>
      <c r="DK93" s="62"/>
      <c r="DL93" s="62"/>
      <c r="DM93" s="8">
        <f t="shared" si="31"/>
        <v>0</v>
      </c>
      <c r="DN93" s="8">
        <f t="shared" si="32"/>
        <v>0</v>
      </c>
      <c r="DO93" s="202" t="e">
        <f>#N/A</f>
        <v>#N/A</v>
      </c>
      <c r="DP93" s="202" t="e">
        <f>#N/A</f>
        <v>#N/A</v>
      </c>
      <c r="DQ93" s="202" t="e">
        <f>#N/A</f>
        <v>#N/A</v>
      </c>
      <c r="DR93" s="9" t="e">
        <f>#N/A</f>
        <v>#N/A</v>
      </c>
      <c r="DS93" s="9" t="e">
        <f>#N/A</f>
        <v>#N/A</v>
      </c>
      <c r="DT93" s="9" t="e">
        <f>#N/A</f>
        <v>#N/A</v>
      </c>
      <c r="DU93" s="202" t="e">
        <f>#N/A</f>
        <v>#N/A</v>
      </c>
      <c r="DV93" s="202" t="e">
        <f>#N/A</f>
        <v>#N/A</v>
      </c>
      <c r="DW93" s="202" t="e">
        <f>#N/A</f>
        <v>#N/A</v>
      </c>
      <c r="DX93" s="203" t="e">
        <f t="shared" si="33"/>
        <v>#N/A</v>
      </c>
      <c r="DY93" s="203" t="e">
        <f t="shared" si="34"/>
        <v>#N/A</v>
      </c>
      <c r="DZ93" s="203" t="e">
        <f t="shared" si="35"/>
        <v>#N/A</v>
      </c>
      <c r="EA93" s="19" t="e">
        <f t="shared" si="36"/>
        <v>#N/A</v>
      </c>
      <c r="EB93" s="19" t="e">
        <f t="shared" si="37"/>
        <v>#N/A</v>
      </c>
      <c r="EC93" s="19" t="e">
        <f t="shared" si="38"/>
        <v>#N/A</v>
      </c>
      <c r="ED93" s="203" t="e">
        <f t="shared" si="39"/>
        <v>#N/A</v>
      </c>
      <c r="EE93" s="203" t="e">
        <f t="shared" si="40"/>
        <v>#N/A</v>
      </c>
      <c r="EF93" s="203" t="e">
        <f t="shared" si="41"/>
        <v>#N/A</v>
      </c>
      <c r="EH93" s="58">
        <f t="shared" si="42"/>
        <v>0</v>
      </c>
      <c r="EI93" s="68" t="e">
        <f t="shared" si="43"/>
        <v>#DIV/0!</v>
      </c>
      <c r="EJ93" s="58">
        <f t="shared" si="44"/>
        <v>0</v>
      </c>
      <c r="EK93" s="68" t="e">
        <f t="shared" si="43"/>
        <v>#DIV/0!</v>
      </c>
      <c r="EL93" s="58">
        <f t="shared" si="45"/>
        <v>0</v>
      </c>
      <c r="EM93" s="58">
        <f t="shared" si="46"/>
        <v>0</v>
      </c>
      <c r="EN93" s="68" t="e">
        <f t="shared" si="47"/>
        <v>#DIV/0!</v>
      </c>
    </row>
    <row r="94" spans="1:144" x14ac:dyDescent="0.2">
      <c r="A94" s="43">
        <v>0</v>
      </c>
      <c r="B94" s="43">
        <v>0</v>
      </c>
      <c r="C94" s="43">
        <v>0</v>
      </c>
      <c r="D94" s="70">
        <v>2015</v>
      </c>
      <c r="E94" s="70">
        <v>3</v>
      </c>
      <c r="F94" s="64"/>
      <c r="G94" s="63"/>
      <c r="H94" s="63"/>
      <c r="I94" s="63"/>
      <c r="J94" s="63"/>
      <c r="K94" s="63"/>
      <c r="L94" s="63"/>
      <c r="M94" s="5"/>
      <c r="N94" s="5"/>
      <c r="O94" s="5"/>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2"/>
      <c r="AR94" s="18"/>
      <c r="AS94" s="18"/>
      <c r="AT94" s="18"/>
      <c r="AU94" s="63"/>
      <c r="AV94" s="63"/>
      <c r="AW94" s="63"/>
      <c r="AX94" s="63"/>
      <c r="AY94" s="63"/>
      <c r="AZ94" s="63"/>
      <c r="BA94" s="63"/>
      <c r="BB94" s="63"/>
      <c r="BC94" s="63"/>
      <c r="BD94" s="63"/>
      <c r="BE94" s="63"/>
      <c r="BF94" s="63"/>
      <c r="BG94" s="63"/>
      <c r="BH94" s="63"/>
      <c r="BI94" s="1"/>
      <c r="BJ94" s="1"/>
      <c r="BK94" s="1"/>
      <c r="BL94" s="1"/>
      <c r="BM94" s="1"/>
      <c r="BN94" s="1"/>
      <c r="BO94" s="1"/>
      <c r="BP94" s="18"/>
      <c r="BQ94" s="62"/>
      <c r="BR94" s="4"/>
      <c r="BS94" s="5"/>
      <c r="BT94" s="5"/>
      <c r="BU94" s="5"/>
      <c r="BV94" s="5"/>
      <c r="BW94" s="5"/>
      <c r="BX94" s="5"/>
      <c r="BY94" s="5"/>
      <c r="BZ94" s="62"/>
      <c r="CA94" s="64"/>
      <c r="CB94" s="64"/>
      <c r="CC94" s="64"/>
      <c r="CD94" s="63"/>
      <c r="CE94" s="64"/>
      <c r="CF94" s="63"/>
      <c r="CG94" s="70"/>
      <c r="CH94" s="70"/>
      <c r="CI94" s="70"/>
      <c r="CJ94" s="63"/>
      <c r="CK94" s="8">
        <f t="shared" si="30"/>
        <v>0</v>
      </c>
      <c r="CL94" s="62"/>
      <c r="CM94" s="62"/>
      <c r="CN94" s="62"/>
      <c r="CO94" s="62"/>
      <c r="CP94" s="62"/>
      <c r="CQ94" s="62"/>
      <c r="CR94" s="62"/>
      <c r="CS94" s="62"/>
      <c r="CT94" s="62"/>
      <c r="CU94" s="78"/>
      <c r="CV94" s="78"/>
      <c r="CW94" s="78"/>
      <c r="CX94" s="78"/>
      <c r="CY94" s="78"/>
      <c r="CZ94" s="78"/>
      <c r="DA94" s="78"/>
      <c r="DB94" s="78"/>
      <c r="DC94" s="78"/>
      <c r="DD94" s="62"/>
      <c r="DE94" s="62"/>
      <c r="DF94" s="62"/>
      <c r="DG94" s="62"/>
      <c r="DH94" s="62"/>
      <c r="DI94" s="62"/>
      <c r="DJ94" s="62"/>
      <c r="DK94" s="62"/>
      <c r="DL94" s="62"/>
      <c r="DM94" s="8">
        <f t="shared" si="31"/>
        <v>0</v>
      </c>
      <c r="DN94" s="8">
        <f t="shared" si="32"/>
        <v>0</v>
      </c>
      <c r="DO94" s="202" t="e">
        <f>#N/A</f>
        <v>#N/A</v>
      </c>
      <c r="DP94" s="202" t="e">
        <f>#N/A</f>
        <v>#N/A</v>
      </c>
      <c r="DQ94" s="202" t="e">
        <f>#N/A</f>
        <v>#N/A</v>
      </c>
      <c r="DR94" s="9" t="e">
        <f>#N/A</f>
        <v>#N/A</v>
      </c>
      <c r="DS94" s="9" t="e">
        <f>#N/A</f>
        <v>#N/A</v>
      </c>
      <c r="DT94" s="9" t="e">
        <f>#N/A</f>
        <v>#N/A</v>
      </c>
      <c r="DU94" s="202" t="e">
        <f>#N/A</f>
        <v>#N/A</v>
      </c>
      <c r="DV94" s="202" t="e">
        <f>#N/A</f>
        <v>#N/A</v>
      </c>
      <c r="DW94" s="202" t="e">
        <f>#N/A</f>
        <v>#N/A</v>
      </c>
      <c r="DX94" s="203" t="e">
        <f t="shared" si="33"/>
        <v>#N/A</v>
      </c>
      <c r="DY94" s="203" t="e">
        <f t="shared" si="34"/>
        <v>#N/A</v>
      </c>
      <c r="DZ94" s="203" t="e">
        <f t="shared" si="35"/>
        <v>#N/A</v>
      </c>
      <c r="EA94" s="19" t="e">
        <f t="shared" si="36"/>
        <v>#N/A</v>
      </c>
      <c r="EB94" s="19" t="e">
        <f t="shared" si="37"/>
        <v>#N/A</v>
      </c>
      <c r="EC94" s="19" t="e">
        <f t="shared" si="38"/>
        <v>#N/A</v>
      </c>
      <c r="ED94" s="203" t="e">
        <f t="shared" si="39"/>
        <v>#N/A</v>
      </c>
      <c r="EE94" s="203" t="e">
        <f t="shared" si="40"/>
        <v>#N/A</v>
      </c>
      <c r="EF94" s="203" t="e">
        <f t="shared" si="41"/>
        <v>#N/A</v>
      </c>
      <c r="EH94" s="58">
        <f t="shared" si="42"/>
        <v>0</v>
      </c>
      <c r="EI94" s="68" t="e">
        <f t="shared" si="43"/>
        <v>#DIV/0!</v>
      </c>
      <c r="EJ94" s="58">
        <f t="shared" si="44"/>
        <v>0</v>
      </c>
      <c r="EK94" s="68" t="e">
        <f t="shared" si="43"/>
        <v>#DIV/0!</v>
      </c>
      <c r="EL94" s="58">
        <f t="shared" si="45"/>
        <v>0</v>
      </c>
      <c r="EM94" s="58">
        <f t="shared" si="46"/>
        <v>0</v>
      </c>
      <c r="EN94" s="68" t="e">
        <f t="shared" si="47"/>
        <v>#DIV/0!</v>
      </c>
    </row>
    <row r="95" spans="1:144" x14ac:dyDescent="0.2">
      <c r="A95" s="43">
        <v>0</v>
      </c>
      <c r="B95" s="43">
        <v>0</v>
      </c>
      <c r="C95" s="43">
        <v>0</v>
      </c>
      <c r="D95" s="70">
        <v>2015</v>
      </c>
      <c r="E95" s="70">
        <v>4</v>
      </c>
      <c r="F95" s="64"/>
      <c r="G95" s="63"/>
      <c r="H95" s="63"/>
      <c r="I95" s="63"/>
      <c r="J95" s="63"/>
      <c r="K95" s="63"/>
      <c r="L95" s="63"/>
      <c r="M95" s="5"/>
      <c r="N95" s="5"/>
      <c r="O95" s="5"/>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2"/>
      <c r="AR95" s="18"/>
      <c r="AS95" s="18"/>
      <c r="AT95" s="18"/>
      <c r="AU95" s="63"/>
      <c r="AV95" s="63"/>
      <c r="AW95" s="63"/>
      <c r="AX95" s="63"/>
      <c r="AY95" s="63"/>
      <c r="AZ95" s="63"/>
      <c r="BA95" s="63"/>
      <c r="BB95" s="63"/>
      <c r="BC95" s="63"/>
      <c r="BD95" s="63"/>
      <c r="BE95" s="63"/>
      <c r="BF95" s="63"/>
      <c r="BG95" s="63"/>
      <c r="BH95" s="63"/>
      <c r="BI95" s="1"/>
      <c r="BJ95" s="1"/>
      <c r="BK95" s="1"/>
      <c r="BL95" s="1"/>
      <c r="BM95" s="1"/>
      <c r="BN95" s="1"/>
      <c r="BO95" s="1"/>
      <c r="BP95" s="18"/>
      <c r="BQ95" s="62"/>
      <c r="BR95" s="4"/>
      <c r="BS95" s="5"/>
      <c r="BT95" s="5"/>
      <c r="BU95" s="5"/>
      <c r="BV95" s="5"/>
      <c r="BW95" s="5"/>
      <c r="BX95" s="5"/>
      <c r="BY95" s="5"/>
      <c r="BZ95" s="62"/>
      <c r="CA95" s="64"/>
      <c r="CB95" s="64"/>
      <c r="CC95" s="64"/>
      <c r="CD95" s="63"/>
      <c r="CE95" s="64"/>
      <c r="CF95" s="63"/>
      <c r="CG95" s="70"/>
      <c r="CH95" s="70"/>
      <c r="CI95" s="70"/>
      <c r="CJ95" s="63"/>
      <c r="CK95" s="8">
        <f t="shared" si="30"/>
        <v>0</v>
      </c>
      <c r="CL95" s="62"/>
      <c r="CM95" s="62"/>
      <c r="CN95" s="62"/>
      <c r="CO95" s="62"/>
      <c r="CP95" s="62"/>
      <c r="CQ95" s="62"/>
      <c r="CR95" s="62"/>
      <c r="CS95" s="62"/>
      <c r="CT95" s="62"/>
      <c r="CU95" s="78"/>
      <c r="CV95" s="78"/>
      <c r="CW95" s="78"/>
      <c r="CX95" s="78"/>
      <c r="CY95" s="78"/>
      <c r="CZ95" s="78"/>
      <c r="DA95" s="78"/>
      <c r="DB95" s="78"/>
      <c r="DC95" s="78"/>
      <c r="DD95" s="62"/>
      <c r="DE95" s="62"/>
      <c r="DF95" s="62"/>
      <c r="DG95" s="62"/>
      <c r="DH95" s="62"/>
      <c r="DI95" s="62"/>
      <c r="DJ95" s="62"/>
      <c r="DK95" s="62"/>
      <c r="DL95" s="62"/>
      <c r="DM95" s="8">
        <f t="shared" si="31"/>
        <v>0</v>
      </c>
      <c r="DN95" s="8">
        <f t="shared" si="32"/>
        <v>0</v>
      </c>
      <c r="DO95" s="202" t="e">
        <f>#N/A</f>
        <v>#N/A</v>
      </c>
      <c r="DP95" s="202" t="e">
        <f>#N/A</f>
        <v>#N/A</v>
      </c>
      <c r="DQ95" s="202" t="e">
        <f>#N/A</f>
        <v>#N/A</v>
      </c>
      <c r="DR95" s="9" t="e">
        <f>#N/A</f>
        <v>#N/A</v>
      </c>
      <c r="DS95" s="9" t="e">
        <f>#N/A</f>
        <v>#N/A</v>
      </c>
      <c r="DT95" s="9" t="e">
        <f>#N/A</f>
        <v>#N/A</v>
      </c>
      <c r="DU95" s="202" t="e">
        <f>#N/A</f>
        <v>#N/A</v>
      </c>
      <c r="DV95" s="202" t="e">
        <f>#N/A</f>
        <v>#N/A</v>
      </c>
      <c r="DW95" s="202" t="e">
        <f>#N/A</f>
        <v>#N/A</v>
      </c>
      <c r="DX95" s="203" t="e">
        <f t="shared" si="33"/>
        <v>#N/A</v>
      </c>
      <c r="DY95" s="203" t="e">
        <f t="shared" si="34"/>
        <v>#N/A</v>
      </c>
      <c r="DZ95" s="203" t="e">
        <f t="shared" si="35"/>
        <v>#N/A</v>
      </c>
      <c r="EA95" s="19" t="e">
        <f t="shared" si="36"/>
        <v>#N/A</v>
      </c>
      <c r="EB95" s="19" t="e">
        <f t="shared" si="37"/>
        <v>#N/A</v>
      </c>
      <c r="EC95" s="19" t="e">
        <f t="shared" si="38"/>
        <v>#N/A</v>
      </c>
      <c r="ED95" s="203" t="e">
        <f t="shared" si="39"/>
        <v>#N/A</v>
      </c>
      <c r="EE95" s="203" t="e">
        <f t="shared" si="40"/>
        <v>#N/A</v>
      </c>
      <c r="EF95" s="203" t="e">
        <f t="shared" si="41"/>
        <v>#N/A</v>
      </c>
      <c r="EH95" s="58">
        <f t="shared" si="42"/>
        <v>0</v>
      </c>
      <c r="EI95" s="68" t="e">
        <f t="shared" si="43"/>
        <v>#DIV/0!</v>
      </c>
      <c r="EJ95" s="58">
        <f t="shared" si="44"/>
        <v>0</v>
      </c>
      <c r="EK95" s="68" t="e">
        <f t="shared" si="43"/>
        <v>#DIV/0!</v>
      </c>
      <c r="EL95" s="58">
        <f t="shared" si="45"/>
        <v>0</v>
      </c>
      <c r="EM95" s="58">
        <f t="shared" si="46"/>
        <v>0</v>
      </c>
      <c r="EN95" s="68" t="e">
        <f t="shared" si="47"/>
        <v>#DIV/0!</v>
      </c>
    </row>
    <row r="96" spans="1:144" x14ac:dyDescent="0.2">
      <c r="A96" s="43">
        <v>0</v>
      </c>
      <c r="B96" s="43">
        <v>0</v>
      </c>
      <c r="C96" s="43">
        <v>0</v>
      </c>
      <c r="D96" s="70">
        <v>2015</v>
      </c>
      <c r="E96" s="70">
        <v>5</v>
      </c>
      <c r="F96" s="64"/>
      <c r="G96" s="63"/>
      <c r="H96" s="63"/>
      <c r="I96" s="63"/>
      <c r="J96" s="63"/>
      <c r="K96" s="63"/>
      <c r="L96" s="63"/>
      <c r="M96" s="5"/>
      <c r="N96" s="5"/>
      <c r="O96" s="5"/>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2"/>
      <c r="AR96" s="18"/>
      <c r="AS96" s="18"/>
      <c r="AT96" s="18"/>
      <c r="AU96" s="63"/>
      <c r="AV96" s="63"/>
      <c r="AW96" s="63"/>
      <c r="AX96" s="63"/>
      <c r="AY96" s="63"/>
      <c r="AZ96" s="63"/>
      <c r="BA96" s="63"/>
      <c r="BB96" s="63"/>
      <c r="BC96" s="63"/>
      <c r="BD96" s="63"/>
      <c r="BE96" s="63"/>
      <c r="BF96" s="63"/>
      <c r="BG96" s="63"/>
      <c r="BH96" s="63"/>
      <c r="BI96" s="1"/>
      <c r="BJ96" s="1"/>
      <c r="BK96" s="1"/>
      <c r="BL96" s="1"/>
      <c r="BM96" s="1"/>
      <c r="BN96" s="1"/>
      <c r="BO96" s="1"/>
      <c r="BP96" s="18"/>
      <c r="BQ96" s="62"/>
      <c r="BR96" s="4"/>
      <c r="BS96" s="5"/>
      <c r="BT96" s="5"/>
      <c r="BU96" s="5"/>
      <c r="BV96" s="5"/>
      <c r="BW96" s="5"/>
      <c r="BX96" s="5"/>
      <c r="BY96" s="5"/>
      <c r="BZ96" s="62"/>
      <c r="CA96" s="64"/>
      <c r="CB96" s="64"/>
      <c r="CC96" s="64"/>
      <c r="CD96" s="63"/>
      <c r="CE96" s="64"/>
      <c r="CF96" s="63"/>
      <c r="CG96" s="70"/>
      <c r="CH96" s="70"/>
      <c r="CI96" s="70"/>
      <c r="CJ96" s="63"/>
      <c r="CK96" s="8">
        <f t="shared" ref="CK96:CK103" si="48">+SUM(AL96:CI96)</f>
        <v>0</v>
      </c>
      <c r="CL96" s="62"/>
      <c r="CM96" s="62"/>
      <c r="CN96" s="62"/>
      <c r="CO96" s="62"/>
      <c r="CP96" s="62"/>
      <c r="CQ96" s="62"/>
      <c r="CR96" s="62"/>
      <c r="CS96" s="62"/>
      <c r="CT96" s="62"/>
      <c r="CU96" s="78"/>
      <c r="CV96" s="78"/>
      <c r="CW96" s="78"/>
      <c r="CX96" s="78"/>
      <c r="CY96" s="78"/>
      <c r="CZ96" s="78"/>
      <c r="DA96" s="78"/>
      <c r="DB96" s="78"/>
      <c r="DC96" s="78"/>
      <c r="DD96" s="62"/>
      <c r="DE96" s="62"/>
      <c r="DF96" s="62"/>
      <c r="DG96" s="62"/>
      <c r="DH96" s="62"/>
      <c r="DI96" s="62"/>
      <c r="DJ96" s="62"/>
      <c r="DK96" s="62"/>
      <c r="DL96" s="62"/>
      <c r="DM96" s="8">
        <f t="shared" ref="DM96:DM103" si="49">+SUM(DD96:DL96)</f>
        <v>0</v>
      </c>
      <c r="DN96" s="8">
        <f t="shared" ref="DN96:DN103" si="50">+DM96+CK96</f>
        <v>0</v>
      </c>
      <c r="DO96" s="202" t="e">
        <f>#N/A</f>
        <v>#N/A</v>
      </c>
      <c r="DP96" s="202" t="e">
        <f>#N/A</f>
        <v>#N/A</v>
      </c>
      <c r="DQ96" s="202" t="e">
        <f>#N/A</f>
        <v>#N/A</v>
      </c>
      <c r="DR96" s="9" t="e">
        <f>#N/A</f>
        <v>#N/A</v>
      </c>
      <c r="DS96" s="9" t="e">
        <f>#N/A</f>
        <v>#N/A</v>
      </c>
      <c r="DT96" s="9" t="e">
        <f>#N/A</f>
        <v>#N/A</v>
      </c>
      <c r="DU96" s="202" t="e">
        <f>#N/A</f>
        <v>#N/A</v>
      </c>
      <c r="DV96" s="202" t="e">
        <f>#N/A</f>
        <v>#N/A</v>
      </c>
      <c r="DW96" s="202" t="e">
        <f>#N/A</f>
        <v>#N/A</v>
      </c>
      <c r="DX96" s="203" t="e">
        <f t="shared" si="33"/>
        <v>#N/A</v>
      </c>
      <c r="DY96" s="203" t="e">
        <f t="shared" si="34"/>
        <v>#N/A</v>
      </c>
      <c r="DZ96" s="203" t="e">
        <f t="shared" si="35"/>
        <v>#N/A</v>
      </c>
      <c r="EA96" s="19" t="e">
        <f t="shared" si="36"/>
        <v>#N/A</v>
      </c>
      <c r="EB96" s="19" t="e">
        <f t="shared" si="37"/>
        <v>#N/A</v>
      </c>
      <c r="EC96" s="19" t="e">
        <f t="shared" si="38"/>
        <v>#N/A</v>
      </c>
      <c r="ED96" s="203" t="e">
        <f t="shared" si="39"/>
        <v>#N/A</v>
      </c>
      <c r="EE96" s="203" t="e">
        <f t="shared" si="40"/>
        <v>#N/A</v>
      </c>
      <c r="EF96" s="203" t="e">
        <f t="shared" si="41"/>
        <v>#N/A</v>
      </c>
      <c r="EH96" s="58">
        <f t="shared" si="42"/>
        <v>0</v>
      </c>
      <c r="EI96" s="68" t="e">
        <f t="shared" si="43"/>
        <v>#DIV/0!</v>
      </c>
      <c r="EJ96" s="58">
        <f t="shared" si="44"/>
        <v>0</v>
      </c>
      <c r="EK96" s="68" t="e">
        <f t="shared" si="43"/>
        <v>#DIV/0!</v>
      </c>
      <c r="EL96" s="58">
        <f t="shared" si="45"/>
        <v>0</v>
      </c>
      <c r="EM96" s="58">
        <f t="shared" si="46"/>
        <v>0</v>
      </c>
      <c r="EN96" s="68" t="e">
        <f t="shared" si="47"/>
        <v>#DIV/0!</v>
      </c>
    </row>
    <row r="97" spans="1:144" x14ac:dyDescent="0.2">
      <c r="A97" s="43">
        <v>0</v>
      </c>
      <c r="B97" s="43">
        <v>0</v>
      </c>
      <c r="C97" s="43">
        <v>0</v>
      </c>
      <c r="D97" s="70">
        <v>2015</v>
      </c>
      <c r="E97" s="70">
        <v>6</v>
      </c>
      <c r="F97" s="64"/>
      <c r="G97" s="63"/>
      <c r="H97" s="63"/>
      <c r="I97" s="63"/>
      <c r="J97" s="63"/>
      <c r="K97" s="63"/>
      <c r="L97" s="63"/>
      <c r="M97" s="5"/>
      <c r="N97" s="5"/>
      <c r="O97" s="5"/>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2"/>
      <c r="AR97" s="18"/>
      <c r="AS97" s="18"/>
      <c r="AT97" s="18"/>
      <c r="AU97" s="63"/>
      <c r="AV97" s="63"/>
      <c r="AW97" s="63"/>
      <c r="AX97" s="63"/>
      <c r="AY97" s="63"/>
      <c r="AZ97" s="63"/>
      <c r="BA97" s="63"/>
      <c r="BB97" s="63"/>
      <c r="BC97" s="63"/>
      <c r="BD97" s="63"/>
      <c r="BE97" s="63"/>
      <c r="BF97" s="63"/>
      <c r="BG97" s="63"/>
      <c r="BH97" s="63"/>
      <c r="BI97" s="1"/>
      <c r="BJ97" s="1"/>
      <c r="BK97" s="1"/>
      <c r="BL97" s="1"/>
      <c r="BM97" s="1"/>
      <c r="BN97" s="1"/>
      <c r="BO97" s="1"/>
      <c r="BP97" s="18"/>
      <c r="BQ97" s="62"/>
      <c r="BR97" s="4"/>
      <c r="BS97" s="5"/>
      <c r="BT97" s="5"/>
      <c r="BU97" s="5"/>
      <c r="BV97" s="5"/>
      <c r="BW97" s="5"/>
      <c r="BX97" s="5"/>
      <c r="BY97" s="5"/>
      <c r="BZ97" s="62"/>
      <c r="CA97" s="64"/>
      <c r="CB97" s="64"/>
      <c r="CC97" s="64"/>
      <c r="CD97" s="63"/>
      <c r="CE97" s="64"/>
      <c r="CF97" s="63"/>
      <c r="CG97" s="70"/>
      <c r="CH97" s="70"/>
      <c r="CI97" s="70"/>
      <c r="CJ97" s="63"/>
      <c r="CK97" s="8">
        <f t="shared" si="48"/>
        <v>0</v>
      </c>
      <c r="CL97" s="62"/>
      <c r="CM97" s="62"/>
      <c r="CN97" s="62"/>
      <c r="CO97" s="62"/>
      <c r="CP97" s="62"/>
      <c r="CQ97" s="62"/>
      <c r="CR97" s="62"/>
      <c r="CS97" s="62"/>
      <c r="CT97" s="62"/>
      <c r="CU97" s="78"/>
      <c r="CV97" s="78"/>
      <c r="CW97" s="78"/>
      <c r="CX97" s="78"/>
      <c r="CY97" s="78"/>
      <c r="CZ97" s="78"/>
      <c r="DA97" s="78"/>
      <c r="DB97" s="78"/>
      <c r="DC97" s="78"/>
      <c r="DD97" s="62"/>
      <c r="DE97" s="62"/>
      <c r="DF97" s="62"/>
      <c r="DG97" s="62"/>
      <c r="DH97" s="62"/>
      <c r="DI97" s="62"/>
      <c r="DJ97" s="62"/>
      <c r="DK97" s="62"/>
      <c r="DL97" s="62"/>
      <c r="DM97" s="8">
        <f t="shared" si="49"/>
        <v>0</v>
      </c>
      <c r="DN97" s="8">
        <f t="shared" si="50"/>
        <v>0</v>
      </c>
      <c r="DO97" s="202" t="e">
        <f>#N/A</f>
        <v>#N/A</v>
      </c>
      <c r="DP97" s="202" t="e">
        <f>#N/A</f>
        <v>#N/A</v>
      </c>
      <c r="DQ97" s="202" t="e">
        <f>#N/A</f>
        <v>#N/A</v>
      </c>
      <c r="DR97" s="9" t="e">
        <f>#N/A</f>
        <v>#N/A</v>
      </c>
      <c r="DS97" s="9" t="e">
        <f>#N/A</f>
        <v>#N/A</v>
      </c>
      <c r="DT97" s="9" t="e">
        <f>#N/A</f>
        <v>#N/A</v>
      </c>
      <c r="DU97" s="202" t="e">
        <f>#N/A</f>
        <v>#N/A</v>
      </c>
      <c r="DV97" s="202" t="e">
        <f>#N/A</f>
        <v>#N/A</v>
      </c>
      <c r="DW97" s="202" t="e">
        <f>#N/A</f>
        <v>#N/A</v>
      </c>
      <c r="DX97" s="203" t="e">
        <f t="shared" si="33"/>
        <v>#N/A</v>
      </c>
      <c r="DY97" s="203" t="e">
        <f t="shared" si="34"/>
        <v>#N/A</v>
      </c>
      <c r="DZ97" s="203" t="e">
        <f t="shared" si="35"/>
        <v>#N/A</v>
      </c>
      <c r="EA97" s="19" t="e">
        <f t="shared" si="36"/>
        <v>#N/A</v>
      </c>
      <c r="EB97" s="19" t="e">
        <f t="shared" si="37"/>
        <v>#N/A</v>
      </c>
      <c r="EC97" s="19" t="e">
        <f t="shared" si="38"/>
        <v>#N/A</v>
      </c>
      <c r="ED97" s="203" t="e">
        <f t="shared" si="39"/>
        <v>#N/A</v>
      </c>
      <c r="EE97" s="203" t="e">
        <f t="shared" si="40"/>
        <v>#N/A</v>
      </c>
      <c r="EF97" s="203" t="e">
        <f t="shared" si="41"/>
        <v>#N/A</v>
      </c>
      <c r="EH97" s="58">
        <f t="shared" si="42"/>
        <v>0</v>
      </c>
      <c r="EI97" s="68" t="e">
        <f t="shared" si="43"/>
        <v>#DIV/0!</v>
      </c>
      <c r="EJ97" s="58">
        <f t="shared" si="44"/>
        <v>0</v>
      </c>
      <c r="EK97" s="68" t="e">
        <f t="shared" si="43"/>
        <v>#DIV/0!</v>
      </c>
      <c r="EL97" s="58">
        <f t="shared" si="45"/>
        <v>0</v>
      </c>
      <c r="EM97" s="58">
        <f t="shared" si="46"/>
        <v>0</v>
      </c>
      <c r="EN97" s="68" t="e">
        <f t="shared" si="47"/>
        <v>#DIV/0!</v>
      </c>
    </row>
    <row r="98" spans="1:144" x14ac:dyDescent="0.2">
      <c r="A98" s="43">
        <v>0</v>
      </c>
      <c r="B98" s="43">
        <v>0</v>
      </c>
      <c r="C98" s="43">
        <v>0</v>
      </c>
      <c r="D98" s="70">
        <v>2015</v>
      </c>
      <c r="E98" s="70">
        <v>7</v>
      </c>
      <c r="F98" s="64"/>
      <c r="G98" s="63"/>
      <c r="H98" s="63"/>
      <c r="I98" s="63"/>
      <c r="J98" s="63"/>
      <c r="K98" s="63"/>
      <c r="L98" s="63"/>
      <c r="M98" s="5"/>
      <c r="N98" s="5"/>
      <c r="O98" s="5"/>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2"/>
      <c r="AR98" s="18"/>
      <c r="AS98" s="18"/>
      <c r="AT98" s="18"/>
      <c r="AU98" s="63"/>
      <c r="AV98" s="63"/>
      <c r="AW98" s="63"/>
      <c r="AX98" s="63"/>
      <c r="AY98" s="63"/>
      <c r="AZ98" s="63"/>
      <c r="BA98" s="63"/>
      <c r="BB98" s="63"/>
      <c r="BC98" s="63"/>
      <c r="BD98" s="63"/>
      <c r="BE98" s="63"/>
      <c r="BF98" s="63"/>
      <c r="BG98" s="63"/>
      <c r="BH98" s="63"/>
      <c r="BI98" s="1"/>
      <c r="BJ98" s="1"/>
      <c r="BK98" s="1"/>
      <c r="BL98" s="1"/>
      <c r="BM98" s="1"/>
      <c r="BN98" s="1"/>
      <c r="BO98" s="1"/>
      <c r="BP98" s="18"/>
      <c r="BQ98" s="62"/>
      <c r="BR98" s="4"/>
      <c r="BS98" s="5"/>
      <c r="BT98" s="5"/>
      <c r="BU98" s="5"/>
      <c r="BV98" s="5"/>
      <c r="BW98" s="5"/>
      <c r="BX98" s="5"/>
      <c r="BY98" s="5"/>
      <c r="BZ98" s="62"/>
      <c r="CA98" s="64"/>
      <c r="CB98" s="64"/>
      <c r="CC98" s="64"/>
      <c r="CD98" s="63"/>
      <c r="CE98" s="64"/>
      <c r="CF98" s="63"/>
      <c r="CG98" s="70"/>
      <c r="CH98" s="70"/>
      <c r="CI98" s="70"/>
      <c r="CJ98" s="63"/>
      <c r="CK98" s="8">
        <f t="shared" si="48"/>
        <v>0</v>
      </c>
      <c r="CL98" s="62"/>
      <c r="CM98" s="62"/>
      <c r="CN98" s="62"/>
      <c r="CO98" s="62"/>
      <c r="CP98" s="62"/>
      <c r="CQ98" s="62"/>
      <c r="CR98" s="62"/>
      <c r="CS98" s="62"/>
      <c r="CT98" s="62"/>
      <c r="CU98" s="78"/>
      <c r="CV98" s="78"/>
      <c r="CW98" s="78"/>
      <c r="CX98" s="78"/>
      <c r="CY98" s="78"/>
      <c r="CZ98" s="78"/>
      <c r="DA98" s="78"/>
      <c r="DB98" s="78"/>
      <c r="DC98" s="78"/>
      <c r="DD98" s="62"/>
      <c r="DE98" s="62"/>
      <c r="DF98" s="62"/>
      <c r="DG98" s="62"/>
      <c r="DH98" s="62"/>
      <c r="DI98" s="62"/>
      <c r="DJ98" s="62"/>
      <c r="DK98" s="62"/>
      <c r="DL98" s="62"/>
      <c r="DM98" s="8">
        <f t="shared" si="49"/>
        <v>0</v>
      </c>
      <c r="DN98" s="8">
        <f t="shared" si="50"/>
        <v>0</v>
      </c>
      <c r="DO98" s="202" t="e">
        <f>#N/A</f>
        <v>#N/A</v>
      </c>
      <c r="DP98" s="202" t="e">
        <f>#N/A</f>
        <v>#N/A</v>
      </c>
      <c r="DQ98" s="202" t="e">
        <f>#N/A</f>
        <v>#N/A</v>
      </c>
      <c r="DR98" s="9" t="e">
        <f>#N/A</f>
        <v>#N/A</v>
      </c>
      <c r="DS98" s="9" t="e">
        <f>#N/A</f>
        <v>#N/A</v>
      </c>
      <c r="DT98" s="9" t="e">
        <f>#N/A</f>
        <v>#N/A</v>
      </c>
      <c r="DU98" s="202" t="e">
        <f>#N/A</f>
        <v>#N/A</v>
      </c>
      <c r="DV98" s="202" t="e">
        <f>#N/A</f>
        <v>#N/A</v>
      </c>
      <c r="DW98" s="202" t="e">
        <f>#N/A</f>
        <v>#N/A</v>
      </c>
      <c r="DX98" s="203" t="e">
        <f t="shared" si="33"/>
        <v>#N/A</v>
      </c>
      <c r="DY98" s="203" t="e">
        <f t="shared" si="34"/>
        <v>#N/A</v>
      </c>
      <c r="DZ98" s="203" t="e">
        <f t="shared" si="35"/>
        <v>#N/A</v>
      </c>
      <c r="EA98" s="19" t="e">
        <f t="shared" si="36"/>
        <v>#N/A</v>
      </c>
      <c r="EB98" s="19" t="e">
        <f t="shared" si="37"/>
        <v>#N/A</v>
      </c>
      <c r="EC98" s="19" t="e">
        <f t="shared" si="38"/>
        <v>#N/A</v>
      </c>
      <c r="ED98" s="203" t="e">
        <f t="shared" si="39"/>
        <v>#N/A</v>
      </c>
      <c r="EE98" s="203" t="e">
        <f t="shared" si="40"/>
        <v>#N/A</v>
      </c>
      <c r="EF98" s="203" t="e">
        <f t="shared" si="41"/>
        <v>#N/A</v>
      </c>
      <c r="EH98" s="58">
        <f t="shared" si="42"/>
        <v>0</v>
      </c>
      <c r="EI98" s="68" t="e">
        <f t="shared" si="43"/>
        <v>#DIV/0!</v>
      </c>
      <c r="EJ98" s="58">
        <f t="shared" si="44"/>
        <v>0</v>
      </c>
      <c r="EK98" s="68" t="e">
        <f t="shared" si="43"/>
        <v>#DIV/0!</v>
      </c>
      <c r="EL98" s="58">
        <f t="shared" si="45"/>
        <v>0</v>
      </c>
      <c r="EM98" s="58">
        <f t="shared" si="46"/>
        <v>0</v>
      </c>
      <c r="EN98" s="68" t="e">
        <f t="shared" si="47"/>
        <v>#DIV/0!</v>
      </c>
    </row>
    <row r="99" spans="1:144" x14ac:dyDescent="0.2">
      <c r="A99" s="43">
        <v>0</v>
      </c>
      <c r="B99" s="43">
        <v>0</v>
      </c>
      <c r="C99" s="43">
        <v>0</v>
      </c>
      <c r="D99" s="70">
        <v>2015</v>
      </c>
      <c r="E99" s="70">
        <v>8</v>
      </c>
      <c r="F99" s="64"/>
      <c r="G99" s="63"/>
      <c r="H99" s="63"/>
      <c r="I99" s="63"/>
      <c r="J99" s="63"/>
      <c r="K99" s="63"/>
      <c r="L99" s="63"/>
      <c r="M99" s="5"/>
      <c r="N99" s="5"/>
      <c r="O99" s="5"/>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2"/>
      <c r="AR99" s="18"/>
      <c r="AS99" s="18"/>
      <c r="AT99" s="18"/>
      <c r="AU99" s="63"/>
      <c r="AV99" s="63"/>
      <c r="AW99" s="63"/>
      <c r="AX99" s="63"/>
      <c r="AY99" s="63"/>
      <c r="AZ99" s="63"/>
      <c r="BA99" s="63"/>
      <c r="BB99" s="63"/>
      <c r="BC99" s="63"/>
      <c r="BD99" s="63"/>
      <c r="BE99" s="63"/>
      <c r="BF99" s="63"/>
      <c r="BG99" s="63"/>
      <c r="BH99" s="63"/>
      <c r="BI99" s="1"/>
      <c r="BJ99" s="1"/>
      <c r="BK99" s="1"/>
      <c r="BL99" s="1"/>
      <c r="BM99" s="1"/>
      <c r="BN99" s="1"/>
      <c r="BO99" s="1"/>
      <c r="BP99" s="18"/>
      <c r="BQ99" s="62"/>
      <c r="BR99" s="4"/>
      <c r="BS99" s="5"/>
      <c r="BT99" s="5"/>
      <c r="BU99" s="5"/>
      <c r="BV99" s="5"/>
      <c r="BW99" s="5"/>
      <c r="BX99" s="5"/>
      <c r="BY99" s="5"/>
      <c r="BZ99" s="62"/>
      <c r="CA99" s="64"/>
      <c r="CB99" s="64"/>
      <c r="CC99" s="64"/>
      <c r="CD99" s="63"/>
      <c r="CE99" s="64"/>
      <c r="CF99" s="63"/>
      <c r="CG99" s="70"/>
      <c r="CH99" s="70"/>
      <c r="CI99" s="70"/>
      <c r="CJ99" s="63"/>
      <c r="CK99" s="8">
        <f t="shared" si="48"/>
        <v>0</v>
      </c>
      <c r="CL99" s="62"/>
      <c r="CM99" s="62"/>
      <c r="CN99" s="62"/>
      <c r="CO99" s="62"/>
      <c r="CP99" s="62"/>
      <c r="CQ99" s="62"/>
      <c r="CR99" s="62"/>
      <c r="CS99" s="62"/>
      <c r="CT99" s="62"/>
      <c r="CU99" s="78"/>
      <c r="CV99" s="78"/>
      <c r="CW99" s="78"/>
      <c r="CX99" s="78"/>
      <c r="CY99" s="78"/>
      <c r="CZ99" s="78"/>
      <c r="DA99" s="78"/>
      <c r="DB99" s="78"/>
      <c r="DC99" s="78"/>
      <c r="DD99" s="62"/>
      <c r="DE99" s="62"/>
      <c r="DF99" s="62"/>
      <c r="DG99" s="62"/>
      <c r="DH99" s="62"/>
      <c r="DI99" s="62"/>
      <c r="DJ99" s="62"/>
      <c r="DK99" s="62"/>
      <c r="DL99" s="62"/>
      <c r="DM99" s="8">
        <f t="shared" si="49"/>
        <v>0</v>
      </c>
      <c r="DN99" s="8">
        <f t="shared" si="50"/>
        <v>0</v>
      </c>
      <c r="DO99" s="202" t="e">
        <f>#N/A</f>
        <v>#N/A</v>
      </c>
      <c r="DP99" s="202" t="e">
        <f>#N/A</f>
        <v>#N/A</v>
      </c>
      <c r="DQ99" s="202" t="e">
        <f>#N/A</f>
        <v>#N/A</v>
      </c>
      <c r="DR99" s="9" t="e">
        <f>#N/A</f>
        <v>#N/A</v>
      </c>
      <c r="DS99" s="9" t="e">
        <f>#N/A</f>
        <v>#N/A</v>
      </c>
      <c r="DT99" s="9" t="e">
        <f>#N/A</f>
        <v>#N/A</v>
      </c>
      <c r="DU99" s="202" t="e">
        <f>#N/A</f>
        <v>#N/A</v>
      </c>
      <c r="DV99" s="202" t="e">
        <f>#N/A</f>
        <v>#N/A</v>
      </c>
      <c r="DW99" s="202" t="e">
        <f>#N/A</f>
        <v>#N/A</v>
      </c>
      <c r="DX99" s="203" t="e">
        <f t="shared" si="33"/>
        <v>#N/A</v>
      </c>
      <c r="DY99" s="203" t="e">
        <f t="shared" si="34"/>
        <v>#N/A</v>
      </c>
      <c r="DZ99" s="203" t="e">
        <f t="shared" si="35"/>
        <v>#N/A</v>
      </c>
      <c r="EA99" s="19" t="e">
        <f t="shared" si="36"/>
        <v>#N/A</v>
      </c>
      <c r="EB99" s="19" t="e">
        <f t="shared" si="37"/>
        <v>#N/A</v>
      </c>
      <c r="EC99" s="19" t="e">
        <f t="shared" si="38"/>
        <v>#N/A</v>
      </c>
      <c r="ED99" s="203" t="e">
        <f t="shared" si="39"/>
        <v>#N/A</v>
      </c>
      <c r="EE99" s="203" t="e">
        <f t="shared" si="40"/>
        <v>#N/A</v>
      </c>
      <c r="EF99" s="203" t="e">
        <f t="shared" si="41"/>
        <v>#N/A</v>
      </c>
      <c r="EH99" s="58">
        <f t="shared" si="42"/>
        <v>0</v>
      </c>
      <c r="EI99" s="68" t="e">
        <f t="shared" si="43"/>
        <v>#DIV/0!</v>
      </c>
      <c r="EJ99" s="58">
        <f t="shared" si="44"/>
        <v>0</v>
      </c>
      <c r="EK99" s="68" t="e">
        <f t="shared" si="43"/>
        <v>#DIV/0!</v>
      </c>
      <c r="EL99" s="58">
        <f t="shared" si="45"/>
        <v>0</v>
      </c>
      <c r="EM99" s="58">
        <f t="shared" si="46"/>
        <v>0</v>
      </c>
      <c r="EN99" s="68" t="e">
        <f t="shared" si="47"/>
        <v>#DIV/0!</v>
      </c>
    </row>
    <row r="100" spans="1:144" x14ac:dyDescent="0.2">
      <c r="A100" s="43">
        <v>0</v>
      </c>
      <c r="B100" s="43">
        <v>0</v>
      </c>
      <c r="C100" s="43">
        <v>0</v>
      </c>
      <c r="D100" s="70">
        <v>2015</v>
      </c>
      <c r="E100" s="70">
        <v>9</v>
      </c>
      <c r="F100" s="64"/>
      <c r="G100" s="63"/>
      <c r="H100" s="63"/>
      <c r="I100" s="63"/>
      <c r="J100" s="63"/>
      <c r="K100" s="63"/>
      <c r="L100" s="63"/>
      <c r="M100" s="5"/>
      <c r="N100" s="5"/>
      <c r="O100" s="5"/>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2"/>
      <c r="AR100" s="18"/>
      <c r="AS100" s="18"/>
      <c r="AT100" s="18"/>
      <c r="AU100" s="63"/>
      <c r="AV100" s="63"/>
      <c r="AW100" s="63"/>
      <c r="AX100" s="63"/>
      <c r="AY100" s="63"/>
      <c r="AZ100" s="63"/>
      <c r="BA100" s="63"/>
      <c r="BB100" s="63"/>
      <c r="BC100" s="63"/>
      <c r="BD100" s="63"/>
      <c r="BE100" s="63"/>
      <c r="BF100" s="63"/>
      <c r="BG100" s="63"/>
      <c r="BH100" s="63"/>
      <c r="BI100" s="1"/>
      <c r="BJ100" s="1"/>
      <c r="BK100" s="1"/>
      <c r="BL100" s="1"/>
      <c r="BM100" s="1"/>
      <c r="BN100" s="1"/>
      <c r="BO100" s="1"/>
      <c r="BP100" s="18"/>
      <c r="BQ100" s="62"/>
      <c r="BR100" s="4"/>
      <c r="BS100" s="5"/>
      <c r="BT100" s="5"/>
      <c r="BU100" s="5"/>
      <c r="BV100" s="5"/>
      <c r="BW100" s="5"/>
      <c r="BX100" s="5"/>
      <c r="BY100" s="5"/>
      <c r="BZ100" s="62"/>
      <c r="CA100" s="64"/>
      <c r="CB100" s="64"/>
      <c r="CC100" s="64"/>
      <c r="CD100" s="63"/>
      <c r="CE100" s="64"/>
      <c r="CF100" s="63"/>
      <c r="CG100" s="70"/>
      <c r="CH100" s="70"/>
      <c r="CI100" s="70"/>
      <c r="CJ100" s="63"/>
      <c r="CK100" s="8">
        <f t="shared" si="48"/>
        <v>0</v>
      </c>
      <c r="CL100" s="62"/>
      <c r="CM100" s="62"/>
      <c r="CN100" s="62"/>
      <c r="CO100" s="62"/>
      <c r="CP100" s="62"/>
      <c r="CQ100" s="62"/>
      <c r="CR100" s="62"/>
      <c r="CS100" s="62"/>
      <c r="CT100" s="62"/>
      <c r="CU100" s="78"/>
      <c r="CV100" s="78"/>
      <c r="CW100" s="78"/>
      <c r="CX100" s="78"/>
      <c r="CY100" s="78"/>
      <c r="CZ100" s="78"/>
      <c r="DA100" s="78"/>
      <c r="DB100" s="78"/>
      <c r="DC100" s="78"/>
      <c r="DD100" s="62"/>
      <c r="DE100" s="62"/>
      <c r="DF100" s="62"/>
      <c r="DG100" s="62"/>
      <c r="DH100" s="62"/>
      <c r="DI100" s="62"/>
      <c r="DJ100" s="62"/>
      <c r="DK100" s="62"/>
      <c r="DL100" s="62"/>
      <c r="DM100" s="8">
        <f t="shared" si="49"/>
        <v>0</v>
      </c>
      <c r="DN100" s="8">
        <f t="shared" si="50"/>
        <v>0</v>
      </c>
      <c r="DO100" s="202" t="e">
        <f>#N/A</f>
        <v>#N/A</v>
      </c>
      <c r="DP100" s="202" t="e">
        <f>#N/A</f>
        <v>#N/A</v>
      </c>
      <c r="DQ100" s="202" t="e">
        <f>#N/A</f>
        <v>#N/A</v>
      </c>
      <c r="DR100" s="9" t="e">
        <f>#N/A</f>
        <v>#N/A</v>
      </c>
      <c r="DS100" s="9" t="e">
        <f>#N/A</f>
        <v>#N/A</v>
      </c>
      <c r="DT100" s="9" t="e">
        <f>#N/A</f>
        <v>#N/A</v>
      </c>
      <c r="DU100" s="202" t="e">
        <f>#N/A</f>
        <v>#N/A</v>
      </c>
      <c r="DV100" s="202" t="e">
        <f>#N/A</f>
        <v>#N/A</v>
      </c>
      <c r="DW100" s="202" t="e">
        <f>#N/A</f>
        <v>#N/A</v>
      </c>
      <c r="DX100" s="203" t="e">
        <f t="shared" si="33"/>
        <v>#N/A</v>
      </c>
      <c r="DY100" s="203" t="e">
        <f t="shared" si="34"/>
        <v>#N/A</v>
      </c>
      <c r="DZ100" s="203" t="e">
        <f t="shared" si="35"/>
        <v>#N/A</v>
      </c>
      <c r="EA100" s="19" t="e">
        <f t="shared" si="36"/>
        <v>#N/A</v>
      </c>
      <c r="EB100" s="19" t="e">
        <f t="shared" si="37"/>
        <v>#N/A</v>
      </c>
      <c r="EC100" s="19" t="e">
        <f t="shared" si="38"/>
        <v>#N/A</v>
      </c>
      <c r="ED100" s="203" t="e">
        <f t="shared" si="39"/>
        <v>#N/A</v>
      </c>
      <c r="EE100" s="203" t="e">
        <f t="shared" si="40"/>
        <v>#N/A</v>
      </c>
      <c r="EF100" s="203" t="e">
        <f t="shared" si="41"/>
        <v>#N/A</v>
      </c>
      <c r="EH100" s="58">
        <f t="shared" si="42"/>
        <v>0</v>
      </c>
      <c r="EI100" s="68" t="e">
        <f t="shared" si="43"/>
        <v>#DIV/0!</v>
      </c>
      <c r="EJ100" s="58">
        <f t="shared" si="44"/>
        <v>0</v>
      </c>
      <c r="EK100" s="68" t="e">
        <f t="shared" si="43"/>
        <v>#DIV/0!</v>
      </c>
      <c r="EL100" s="58">
        <f t="shared" si="45"/>
        <v>0</v>
      </c>
      <c r="EM100" s="58">
        <f t="shared" si="46"/>
        <v>0</v>
      </c>
      <c r="EN100" s="68" t="e">
        <f t="shared" si="47"/>
        <v>#DIV/0!</v>
      </c>
    </row>
    <row r="101" spans="1:144" x14ac:dyDescent="0.2">
      <c r="A101" s="43">
        <v>0</v>
      </c>
      <c r="B101" s="43">
        <v>0</v>
      </c>
      <c r="C101" s="43">
        <v>0</v>
      </c>
      <c r="D101" s="70">
        <v>2015</v>
      </c>
      <c r="E101" s="70">
        <v>10</v>
      </c>
      <c r="F101" s="64"/>
      <c r="G101" s="63"/>
      <c r="H101" s="63"/>
      <c r="I101" s="63"/>
      <c r="J101" s="63"/>
      <c r="K101" s="63"/>
      <c r="L101" s="63"/>
      <c r="M101" s="5"/>
      <c r="N101" s="5"/>
      <c r="O101" s="5"/>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2"/>
      <c r="AR101" s="18"/>
      <c r="AS101" s="18"/>
      <c r="AT101" s="18"/>
      <c r="AU101" s="63"/>
      <c r="AV101" s="63"/>
      <c r="AW101" s="63"/>
      <c r="AX101" s="63"/>
      <c r="AY101" s="63"/>
      <c r="AZ101" s="63"/>
      <c r="BA101" s="63"/>
      <c r="BB101" s="63"/>
      <c r="BC101" s="63"/>
      <c r="BD101" s="63"/>
      <c r="BE101" s="63"/>
      <c r="BF101" s="63"/>
      <c r="BG101" s="63"/>
      <c r="BH101" s="63"/>
      <c r="BI101" s="1"/>
      <c r="BJ101" s="1"/>
      <c r="BK101" s="1"/>
      <c r="BL101" s="1"/>
      <c r="BM101" s="1"/>
      <c r="BN101" s="1"/>
      <c r="BO101" s="1"/>
      <c r="BP101" s="18"/>
      <c r="BQ101" s="62"/>
      <c r="BR101" s="4"/>
      <c r="BS101" s="5"/>
      <c r="BT101" s="5"/>
      <c r="BU101" s="5"/>
      <c r="BV101" s="5"/>
      <c r="BW101" s="5"/>
      <c r="BX101" s="5"/>
      <c r="BY101" s="5"/>
      <c r="BZ101" s="62"/>
      <c r="CA101" s="64"/>
      <c r="CB101" s="64"/>
      <c r="CC101" s="64"/>
      <c r="CD101" s="63"/>
      <c r="CE101" s="64"/>
      <c r="CF101" s="63"/>
      <c r="CG101" s="70"/>
      <c r="CH101" s="70"/>
      <c r="CI101" s="70"/>
      <c r="CJ101" s="63"/>
      <c r="CK101" s="8">
        <f t="shared" si="48"/>
        <v>0</v>
      </c>
      <c r="CL101" s="62"/>
      <c r="CM101" s="62"/>
      <c r="CN101" s="62"/>
      <c r="CO101" s="62"/>
      <c r="CP101" s="62"/>
      <c r="CQ101" s="62"/>
      <c r="CR101" s="62"/>
      <c r="CS101" s="62"/>
      <c r="CT101" s="62"/>
      <c r="CU101" s="78"/>
      <c r="CV101" s="78"/>
      <c r="CW101" s="78"/>
      <c r="CX101" s="78"/>
      <c r="CY101" s="78"/>
      <c r="CZ101" s="78"/>
      <c r="DA101" s="78"/>
      <c r="DB101" s="78"/>
      <c r="DC101" s="78"/>
      <c r="DD101" s="62"/>
      <c r="DE101" s="62"/>
      <c r="DF101" s="62"/>
      <c r="DG101" s="62"/>
      <c r="DH101" s="62"/>
      <c r="DI101" s="62"/>
      <c r="DJ101" s="62"/>
      <c r="DK101" s="62"/>
      <c r="DL101" s="62"/>
      <c r="DM101" s="8">
        <f t="shared" si="49"/>
        <v>0</v>
      </c>
      <c r="DN101" s="8">
        <f t="shared" si="50"/>
        <v>0</v>
      </c>
      <c r="DO101" s="202" t="e">
        <f>#N/A</f>
        <v>#N/A</v>
      </c>
      <c r="DP101" s="202" t="e">
        <f>#N/A</f>
        <v>#N/A</v>
      </c>
      <c r="DQ101" s="202" t="e">
        <f>#N/A</f>
        <v>#N/A</v>
      </c>
      <c r="DR101" s="9" t="e">
        <f>#N/A</f>
        <v>#N/A</v>
      </c>
      <c r="DS101" s="9" t="e">
        <f>#N/A</f>
        <v>#N/A</v>
      </c>
      <c r="DT101" s="9" t="e">
        <f>#N/A</f>
        <v>#N/A</v>
      </c>
      <c r="DU101" s="202" t="e">
        <f>#N/A</f>
        <v>#N/A</v>
      </c>
      <c r="DV101" s="202" t="e">
        <f>#N/A</f>
        <v>#N/A</v>
      </c>
      <c r="DW101" s="202" t="e">
        <f>#N/A</f>
        <v>#N/A</v>
      </c>
      <c r="DX101" s="203" t="e">
        <f t="shared" si="33"/>
        <v>#N/A</v>
      </c>
      <c r="DY101" s="203" t="e">
        <f t="shared" si="34"/>
        <v>#N/A</v>
      </c>
      <c r="DZ101" s="203" t="e">
        <f t="shared" si="35"/>
        <v>#N/A</v>
      </c>
      <c r="EA101" s="19" t="e">
        <f t="shared" si="36"/>
        <v>#N/A</v>
      </c>
      <c r="EB101" s="19" t="e">
        <f t="shared" si="37"/>
        <v>#N/A</v>
      </c>
      <c r="EC101" s="19" t="e">
        <f t="shared" si="38"/>
        <v>#N/A</v>
      </c>
      <c r="ED101" s="203" t="e">
        <f t="shared" si="39"/>
        <v>#N/A</v>
      </c>
      <c r="EE101" s="203" t="e">
        <f t="shared" si="40"/>
        <v>#N/A</v>
      </c>
      <c r="EF101" s="203" t="e">
        <f t="shared" si="41"/>
        <v>#N/A</v>
      </c>
      <c r="EH101" s="58">
        <f t="shared" si="42"/>
        <v>0</v>
      </c>
      <c r="EI101" s="68" t="e">
        <f t="shared" si="43"/>
        <v>#DIV/0!</v>
      </c>
      <c r="EJ101" s="58">
        <f t="shared" si="44"/>
        <v>0</v>
      </c>
      <c r="EK101" s="68" t="e">
        <f t="shared" si="43"/>
        <v>#DIV/0!</v>
      </c>
      <c r="EL101" s="58">
        <f t="shared" si="45"/>
        <v>0</v>
      </c>
      <c r="EM101" s="58">
        <f t="shared" si="46"/>
        <v>0</v>
      </c>
      <c r="EN101" s="68" t="e">
        <f t="shared" si="47"/>
        <v>#DIV/0!</v>
      </c>
    </row>
    <row r="102" spans="1:144" x14ac:dyDescent="0.2">
      <c r="A102" s="43">
        <v>0</v>
      </c>
      <c r="B102" s="43">
        <v>0</v>
      </c>
      <c r="C102" s="43">
        <v>0</v>
      </c>
      <c r="D102" s="70">
        <v>2015</v>
      </c>
      <c r="E102" s="70">
        <v>11</v>
      </c>
      <c r="F102" s="64"/>
      <c r="G102" s="63"/>
      <c r="H102" s="63"/>
      <c r="I102" s="63"/>
      <c r="J102" s="63"/>
      <c r="K102" s="63"/>
      <c r="L102" s="63"/>
      <c r="M102" s="5"/>
      <c r="N102" s="5"/>
      <c r="O102" s="5"/>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2"/>
      <c r="AR102" s="18"/>
      <c r="AS102" s="18"/>
      <c r="AT102" s="18"/>
      <c r="AU102" s="63"/>
      <c r="AV102" s="63"/>
      <c r="AW102" s="63"/>
      <c r="AX102" s="63"/>
      <c r="AY102" s="63"/>
      <c r="AZ102" s="63"/>
      <c r="BA102" s="63"/>
      <c r="BB102" s="63"/>
      <c r="BC102" s="63"/>
      <c r="BD102" s="63"/>
      <c r="BE102" s="63"/>
      <c r="BF102" s="63"/>
      <c r="BG102" s="63"/>
      <c r="BH102" s="63"/>
      <c r="BI102" s="1"/>
      <c r="BJ102" s="1"/>
      <c r="BK102" s="1"/>
      <c r="BL102" s="1"/>
      <c r="BM102" s="1"/>
      <c r="BN102" s="1"/>
      <c r="BO102" s="1"/>
      <c r="BP102" s="18"/>
      <c r="BQ102" s="62"/>
      <c r="BR102" s="4"/>
      <c r="BS102" s="5"/>
      <c r="BT102" s="5"/>
      <c r="BU102" s="5"/>
      <c r="BV102" s="5"/>
      <c r="BW102" s="5"/>
      <c r="BX102" s="5"/>
      <c r="BY102" s="5"/>
      <c r="BZ102" s="62"/>
      <c r="CA102" s="64"/>
      <c r="CB102" s="64"/>
      <c r="CC102" s="64"/>
      <c r="CD102" s="63"/>
      <c r="CE102" s="64"/>
      <c r="CF102" s="63"/>
      <c r="CG102" s="70"/>
      <c r="CH102" s="70"/>
      <c r="CI102" s="70"/>
      <c r="CJ102" s="63"/>
      <c r="CK102" s="8">
        <f t="shared" si="48"/>
        <v>0</v>
      </c>
      <c r="CL102" s="62"/>
      <c r="CM102" s="62"/>
      <c r="CN102" s="62"/>
      <c r="CO102" s="62"/>
      <c r="CP102" s="62"/>
      <c r="CQ102" s="62"/>
      <c r="CR102" s="62"/>
      <c r="CS102" s="62"/>
      <c r="CT102" s="62"/>
      <c r="CU102" s="78"/>
      <c r="CV102" s="78"/>
      <c r="CW102" s="78"/>
      <c r="CX102" s="78"/>
      <c r="CY102" s="78"/>
      <c r="CZ102" s="78"/>
      <c r="DA102" s="78"/>
      <c r="DB102" s="78"/>
      <c r="DC102" s="78"/>
      <c r="DD102" s="62"/>
      <c r="DE102" s="62"/>
      <c r="DF102" s="62"/>
      <c r="DG102" s="62"/>
      <c r="DH102" s="62"/>
      <c r="DI102" s="62"/>
      <c r="DJ102" s="62"/>
      <c r="DK102" s="62"/>
      <c r="DL102" s="62"/>
      <c r="DM102" s="8">
        <f t="shared" si="49"/>
        <v>0</v>
      </c>
      <c r="DN102" s="8">
        <f t="shared" si="50"/>
        <v>0</v>
      </c>
      <c r="DO102" s="202" t="e">
        <f>#N/A</f>
        <v>#N/A</v>
      </c>
      <c r="DP102" s="202" t="e">
        <f>#N/A</f>
        <v>#N/A</v>
      </c>
      <c r="DQ102" s="202" t="e">
        <f>#N/A</f>
        <v>#N/A</v>
      </c>
      <c r="DR102" s="9" t="e">
        <f>#N/A</f>
        <v>#N/A</v>
      </c>
      <c r="DS102" s="9" t="e">
        <f>#N/A</f>
        <v>#N/A</v>
      </c>
      <c r="DT102" s="9" t="e">
        <f>#N/A</f>
        <v>#N/A</v>
      </c>
      <c r="DU102" s="202" t="e">
        <f>#N/A</f>
        <v>#N/A</v>
      </c>
      <c r="DV102" s="202" t="e">
        <f>#N/A</f>
        <v>#N/A</v>
      </c>
      <c r="DW102" s="202" t="e">
        <f>#N/A</f>
        <v>#N/A</v>
      </c>
      <c r="DX102" s="203" t="e">
        <f t="shared" si="33"/>
        <v>#N/A</v>
      </c>
      <c r="DY102" s="203" t="e">
        <f t="shared" si="34"/>
        <v>#N/A</v>
      </c>
      <c r="DZ102" s="203" t="e">
        <f t="shared" si="35"/>
        <v>#N/A</v>
      </c>
      <c r="EA102" s="19" t="e">
        <f t="shared" si="36"/>
        <v>#N/A</v>
      </c>
      <c r="EB102" s="19" t="e">
        <f t="shared" si="37"/>
        <v>#N/A</v>
      </c>
      <c r="EC102" s="19" t="e">
        <f t="shared" si="38"/>
        <v>#N/A</v>
      </c>
      <c r="ED102" s="203" t="e">
        <f t="shared" si="39"/>
        <v>#N/A</v>
      </c>
      <c r="EE102" s="203" t="e">
        <f t="shared" si="40"/>
        <v>#N/A</v>
      </c>
      <c r="EF102" s="203" t="e">
        <f t="shared" si="41"/>
        <v>#N/A</v>
      </c>
      <c r="EH102" s="58">
        <f t="shared" si="42"/>
        <v>0</v>
      </c>
      <c r="EI102" s="68" t="e">
        <f t="shared" si="43"/>
        <v>#DIV/0!</v>
      </c>
      <c r="EJ102" s="58">
        <f t="shared" si="44"/>
        <v>0</v>
      </c>
      <c r="EK102" s="68" t="e">
        <f t="shared" si="43"/>
        <v>#DIV/0!</v>
      </c>
      <c r="EL102" s="58">
        <f t="shared" si="45"/>
        <v>0</v>
      </c>
      <c r="EM102" s="58">
        <f t="shared" si="46"/>
        <v>0</v>
      </c>
      <c r="EN102" s="68" t="e">
        <f t="shared" si="47"/>
        <v>#DIV/0!</v>
      </c>
    </row>
    <row r="103" spans="1:144" x14ac:dyDescent="0.2">
      <c r="A103" s="43">
        <v>0</v>
      </c>
      <c r="B103" s="43">
        <v>0</v>
      </c>
      <c r="C103" s="43">
        <v>0</v>
      </c>
      <c r="D103" s="70">
        <v>2015</v>
      </c>
      <c r="E103" s="70">
        <v>12</v>
      </c>
      <c r="F103" s="64"/>
      <c r="G103" s="63"/>
      <c r="H103" s="63"/>
      <c r="I103" s="63"/>
      <c r="J103" s="63"/>
      <c r="K103" s="63"/>
      <c r="L103" s="63"/>
      <c r="M103" s="5"/>
      <c r="N103" s="5"/>
      <c r="O103" s="5"/>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2"/>
      <c r="AR103" s="18"/>
      <c r="AS103" s="18"/>
      <c r="AT103" s="18"/>
      <c r="AU103" s="63"/>
      <c r="AV103" s="63"/>
      <c r="AW103" s="63"/>
      <c r="AX103" s="63"/>
      <c r="AY103" s="63"/>
      <c r="AZ103" s="63"/>
      <c r="BA103" s="63"/>
      <c r="BB103" s="63"/>
      <c r="BC103" s="63"/>
      <c r="BD103" s="63"/>
      <c r="BE103" s="63"/>
      <c r="BF103" s="63"/>
      <c r="BG103" s="63"/>
      <c r="BH103" s="63"/>
      <c r="BI103" s="1"/>
      <c r="BJ103" s="1"/>
      <c r="BK103" s="1"/>
      <c r="BL103" s="1"/>
      <c r="BM103" s="1"/>
      <c r="BN103" s="1"/>
      <c r="BO103" s="1"/>
      <c r="BP103" s="18"/>
      <c r="BQ103" s="62"/>
      <c r="BR103" s="4"/>
      <c r="BS103" s="5"/>
      <c r="BT103" s="5"/>
      <c r="BU103" s="5"/>
      <c r="BV103" s="5"/>
      <c r="BW103" s="5"/>
      <c r="BX103" s="5"/>
      <c r="BY103" s="5"/>
      <c r="BZ103" s="62"/>
      <c r="CA103" s="64"/>
      <c r="CB103" s="64"/>
      <c r="CC103" s="127"/>
      <c r="CD103" s="63"/>
      <c r="CE103" s="64"/>
      <c r="CF103" s="63"/>
      <c r="CG103" s="70"/>
      <c r="CH103" s="70"/>
      <c r="CI103" s="70"/>
      <c r="CJ103" s="63"/>
      <c r="CK103" s="8">
        <f t="shared" si="48"/>
        <v>0</v>
      </c>
      <c r="CL103" s="62"/>
      <c r="CM103" s="62"/>
      <c r="CN103" s="62"/>
      <c r="CO103" s="62"/>
      <c r="CP103" s="62"/>
      <c r="CQ103" s="62"/>
      <c r="CR103" s="62"/>
      <c r="CS103" s="62"/>
      <c r="CT103" s="62"/>
      <c r="CU103" s="78"/>
      <c r="CV103" s="78"/>
      <c r="CW103" s="78"/>
      <c r="CX103" s="78"/>
      <c r="CY103" s="78"/>
      <c r="CZ103" s="78"/>
      <c r="DA103" s="78"/>
      <c r="DB103" s="78"/>
      <c r="DC103" s="78"/>
      <c r="DD103" s="62"/>
      <c r="DE103" s="62"/>
      <c r="DF103" s="62"/>
      <c r="DG103" s="62"/>
      <c r="DH103" s="62"/>
      <c r="DI103" s="62"/>
      <c r="DJ103" s="62"/>
      <c r="DK103" s="62"/>
      <c r="DL103" s="62"/>
      <c r="DM103" s="8">
        <f t="shared" si="49"/>
        <v>0</v>
      </c>
      <c r="DN103" s="8">
        <f t="shared" si="50"/>
        <v>0</v>
      </c>
      <c r="DO103" s="202" t="e">
        <f>#N/A</f>
        <v>#N/A</v>
      </c>
      <c r="DP103" s="202" t="e">
        <f>#N/A</f>
        <v>#N/A</v>
      </c>
      <c r="DQ103" s="202" t="e">
        <f>#N/A</f>
        <v>#N/A</v>
      </c>
      <c r="DR103" s="9" t="e">
        <f>#N/A</f>
        <v>#N/A</v>
      </c>
      <c r="DS103" s="9" t="e">
        <f>#N/A</f>
        <v>#N/A</v>
      </c>
      <c r="DT103" s="9" t="e">
        <f>#N/A</f>
        <v>#N/A</v>
      </c>
      <c r="DU103" s="202" t="e">
        <f>#N/A</f>
        <v>#N/A</v>
      </c>
      <c r="DV103" s="202" t="e">
        <f>#N/A</f>
        <v>#N/A</v>
      </c>
      <c r="DW103" s="202" t="e">
        <f>#N/A</f>
        <v>#N/A</v>
      </c>
      <c r="DX103" s="203" t="e">
        <f t="shared" si="33"/>
        <v>#N/A</v>
      </c>
      <c r="DY103" s="203" t="e">
        <f t="shared" si="34"/>
        <v>#N/A</v>
      </c>
      <c r="DZ103" s="203" t="e">
        <f t="shared" si="35"/>
        <v>#N/A</v>
      </c>
      <c r="EA103" s="19" t="e">
        <f t="shared" si="36"/>
        <v>#N/A</v>
      </c>
      <c r="EB103" s="19" t="e">
        <f t="shared" si="37"/>
        <v>#N/A</v>
      </c>
      <c r="EC103" s="19" t="e">
        <f t="shared" si="38"/>
        <v>#N/A</v>
      </c>
      <c r="ED103" s="203" t="e">
        <f t="shared" si="39"/>
        <v>#N/A</v>
      </c>
      <c r="EE103" s="203" t="e">
        <f t="shared" si="40"/>
        <v>#N/A</v>
      </c>
      <c r="EF103" s="203" t="e">
        <f t="shared" si="41"/>
        <v>#N/A</v>
      </c>
      <c r="EH103" s="58">
        <f t="shared" si="42"/>
        <v>0</v>
      </c>
      <c r="EI103" s="68" t="e">
        <f t="shared" si="43"/>
        <v>#DIV/0!</v>
      </c>
      <c r="EJ103" s="58">
        <f t="shared" si="44"/>
        <v>0</v>
      </c>
      <c r="EK103" s="68" t="e">
        <f t="shared" si="43"/>
        <v>#DIV/0!</v>
      </c>
      <c r="EL103" s="58">
        <f t="shared" si="45"/>
        <v>0</v>
      </c>
      <c r="EM103" s="58">
        <f t="shared" si="46"/>
        <v>0</v>
      </c>
      <c r="EN103" s="68" t="e">
        <f t="shared" si="47"/>
        <v>#DIV/0!</v>
      </c>
    </row>
    <row r="104" spans="1:144" x14ac:dyDescent="0.2">
      <c r="A104" s="43">
        <v>0</v>
      </c>
      <c r="B104" s="43">
        <v>0</v>
      </c>
      <c r="C104" s="43">
        <v>0</v>
      </c>
      <c r="D104" s="70">
        <v>2016</v>
      </c>
      <c r="E104" s="70">
        <v>1</v>
      </c>
      <c r="F104" s="2"/>
      <c r="G104" s="63"/>
      <c r="H104" s="63"/>
      <c r="I104" s="63"/>
      <c r="J104" s="63"/>
      <c r="K104" s="63"/>
      <c r="L104" s="63"/>
      <c r="M104" s="5"/>
      <c r="N104" s="5"/>
      <c r="O104" s="5"/>
      <c r="P104" s="200">
        <f t="shared" ref="P104:P127" si="51">+$G104-J104</f>
        <v>0</v>
      </c>
      <c r="Q104" s="200">
        <f t="shared" ref="Q104:Q127" si="52">+$G104-K104</f>
        <v>0</v>
      </c>
      <c r="R104" s="200">
        <f t="shared" ref="R104:R127" si="53">+$G104-L104</f>
        <v>0</v>
      </c>
      <c r="S104" s="8">
        <f t="shared" ref="S104:S127" si="54">+$H104-J104</f>
        <v>0</v>
      </c>
      <c r="T104" s="8">
        <f t="shared" ref="T104:T127" si="55">+$H104-K104</f>
        <v>0</v>
      </c>
      <c r="U104" s="8">
        <f t="shared" ref="U104:U127" si="56">+$H104-L104</f>
        <v>0</v>
      </c>
      <c r="V104" s="200">
        <f t="shared" ref="V104:V127" si="57">+$I104-J104</f>
        <v>0</v>
      </c>
      <c r="W104" s="200">
        <f t="shared" ref="W104:W127" si="58">+$I104-K104</f>
        <v>0</v>
      </c>
      <c r="X104" s="200">
        <f t="shared" ref="X104:X127" si="59">+$I104-L104</f>
        <v>0</v>
      </c>
      <c r="Y104" s="63"/>
      <c r="Z104" s="63"/>
      <c r="AA104" s="63"/>
      <c r="AB104" s="8"/>
      <c r="AC104" s="8"/>
      <c r="AD104" s="8"/>
      <c r="AE104" s="8"/>
      <c r="AF104" s="8"/>
      <c r="AG104" s="8"/>
      <c r="AH104" s="8"/>
      <c r="AI104" s="8"/>
      <c r="AJ104" s="8"/>
      <c r="AK104" s="8"/>
      <c r="AL104" s="63"/>
      <c r="AM104" s="63"/>
      <c r="AN104" s="63"/>
      <c r="AO104" s="63"/>
      <c r="AP104" s="63"/>
      <c r="AQ104" s="62"/>
      <c r="AR104" s="18"/>
      <c r="AS104" s="18"/>
      <c r="AT104" s="18"/>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18"/>
      <c r="BQ104" s="62"/>
      <c r="BR104" s="5"/>
      <c r="BS104" s="5"/>
      <c r="BT104" s="5"/>
      <c r="BU104" s="5"/>
      <c r="BV104" s="5"/>
      <c r="BW104" s="5"/>
      <c r="BX104" s="5"/>
      <c r="BY104" s="5"/>
      <c r="BZ104" s="62"/>
      <c r="CA104" s="64"/>
      <c r="CB104" s="64"/>
      <c r="CC104" s="64"/>
      <c r="CD104" s="63"/>
      <c r="CE104" s="64"/>
      <c r="CF104" s="63"/>
      <c r="CG104" s="70"/>
      <c r="CH104" s="70"/>
      <c r="CI104" s="70"/>
      <c r="CJ104" s="63"/>
      <c r="CK104" s="8">
        <f>+SUM(AL104:CI104)</f>
        <v>0</v>
      </c>
      <c r="CL104" s="201">
        <f t="shared" ref="CL104:CL167" si="60">+AB104-$CK104</f>
        <v>0</v>
      </c>
      <c r="CM104" s="201">
        <f t="shared" ref="CM104:CM167" si="61">+AC104-$CK104</f>
        <v>0</v>
      </c>
      <c r="CN104" s="201">
        <f t="shared" ref="CN104:CN167" si="62">+AD104-$CK104</f>
        <v>0</v>
      </c>
      <c r="CO104" s="9">
        <f t="shared" ref="CO104:CO167" si="63">+AE104-$CK104</f>
        <v>0</v>
      </c>
      <c r="CP104" s="9">
        <f t="shared" ref="CP104:CP167" si="64">+AF104-$CK104</f>
        <v>0</v>
      </c>
      <c r="CQ104" s="9">
        <f t="shared" ref="CQ104:CQ167" si="65">+AG104-$CK104</f>
        <v>0</v>
      </c>
      <c r="CR104" s="201">
        <f t="shared" ref="CR104:CR167" si="66">+AI104-$CK104</f>
        <v>0</v>
      </c>
      <c r="CS104" s="201">
        <f t="shared" ref="CS104:CS167" si="67">+AJ104-$CK104</f>
        <v>0</v>
      </c>
      <c r="CT104" s="201">
        <f t="shared" ref="CT104:CT167" si="68">+AK104-$CK104</f>
        <v>0</v>
      </c>
      <c r="CU104" s="203" t="e">
        <f t="shared" ref="CU104:CU167" si="69">+CL104/AB104</f>
        <v>#DIV/0!</v>
      </c>
      <c r="CV104" s="203" t="e">
        <f t="shared" ref="CV104:CV167" si="70">+CM104/AC104</f>
        <v>#DIV/0!</v>
      </c>
      <c r="CW104" s="203" t="e">
        <f t="shared" ref="CW104:CW167" si="71">+CN104/AD104</f>
        <v>#DIV/0!</v>
      </c>
      <c r="CX104" s="19" t="e">
        <f t="shared" ref="CX104:CX167" si="72">+CO104/AE104</f>
        <v>#DIV/0!</v>
      </c>
      <c r="CY104" s="19" t="e">
        <f t="shared" ref="CY104:CY167" si="73">+CP104/AF104</f>
        <v>#DIV/0!</v>
      </c>
      <c r="CZ104" s="19" t="e">
        <f t="shared" ref="CZ104:CZ167" si="74">+CQ104/AG104</f>
        <v>#DIV/0!</v>
      </c>
      <c r="DA104" s="203" t="e">
        <f t="shared" ref="DA104:DA167" si="75">+CR104/AI104</f>
        <v>#DIV/0!</v>
      </c>
      <c r="DB104" s="203" t="e">
        <f t="shared" ref="DB104:DB167" si="76">+CS104/AJ104</f>
        <v>#DIV/0!</v>
      </c>
      <c r="DC104" s="203" t="e">
        <f t="shared" ref="DC104:DC167" si="77">+CT104/AK104</f>
        <v>#DIV/0!</v>
      </c>
      <c r="DD104" s="62"/>
      <c r="DE104" s="62"/>
      <c r="DF104" s="62"/>
      <c r="DG104" s="62"/>
      <c r="DH104" s="62"/>
      <c r="DI104" s="62"/>
      <c r="DJ104" s="62"/>
      <c r="DK104" s="62"/>
      <c r="DL104" s="62"/>
      <c r="DM104" s="8">
        <f t="shared" ref="DM104:DM167" si="78">+SUM(DD104:DL104)</f>
        <v>0</v>
      </c>
      <c r="DN104" s="8">
        <f t="shared" ref="DN104:DN167" si="79">+DM104+CK104</f>
        <v>0</v>
      </c>
      <c r="DO104" s="202">
        <f t="shared" ref="DO104:DT104" si="80">+AB104-$DN104</f>
        <v>0</v>
      </c>
      <c r="DP104" s="202">
        <f t="shared" si="80"/>
        <v>0</v>
      </c>
      <c r="DQ104" s="202">
        <f t="shared" si="80"/>
        <v>0</v>
      </c>
      <c r="DR104" s="9">
        <f t="shared" si="80"/>
        <v>0</v>
      </c>
      <c r="DS104" s="9">
        <f t="shared" si="80"/>
        <v>0</v>
      </c>
      <c r="DT104" s="9">
        <f t="shared" si="80"/>
        <v>0</v>
      </c>
      <c r="DU104" s="202">
        <f t="shared" ref="DU104:DU119" si="81">+AI104-$DN104</f>
        <v>0</v>
      </c>
      <c r="DV104" s="202">
        <f t="shared" ref="DV104:DV119" si="82">+AJ104-$DN104</f>
        <v>0</v>
      </c>
      <c r="DW104" s="202">
        <f t="shared" ref="DW104:DW119" si="83">+AK104-$DN104</f>
        <v>0</v>
      </c>
      <c r="DX104" s="203" t="e">
        <f t="shared" ref="DX104:EC104" si="84">+DO104/AB104</f>
        <v>#DIV/0!</v>
      </c>
      <c r="DY104" s="203" t="e">
        <f t="shared" si="84"/>
        <v>#DIV/0!</v>
      </c>
      <c r="DZ104" s="203" t="e">
        <f t="shared" si="84"/>
        <v>#DIV/0!</v>
      </c>
      <c r="EA104" s="19" t="e">
        <f t="shared" si="84"/>
        <v>#DIV/0!</v>
      </c>
      <c r="EB104" s="19" t="e">
        <f t="shared" si="84"/>
        <v>#DIV/0!</v>
      </c>
      <c r="EC104" s="19" t="e">
        <f t="shared" si="84"/>
        <v>#DIV/0!</v>
      </c>
      <c r="ED104" s="203" t="e">
        <f t="shared" ref="ED104:EF119" si="85">+DU104/AI104</f>
        <v>#DIV/0!</v>
      </c>
      <c r="EE104" s="203" t="e">
        <f t="shared" si="85"/>
        <v>#DIV/0!</v>
      </c>
      <c r="EF104" s="203" t="e">
        <f t="shared" si="85"/>
        <v>#DIV/0!</v>
      </c>
      <c r="EH104" s="58">
        <f t="shared" si="42"/>
        <v>0</v>
      </c>
      <c r="EI104" s="68" t="e">
        <f t="shared" si="43"/>
        <v>#DIV/0!</v>
      </c>
      <c r="EJ104" s="58">
        <f t="shared" si="44"/>
        <v>0</v>
      </c>
      <c r="EK104" s="68" t="e">
        <f t="shared" si="43"/>
        <v>#DIV/0!</v>
      </c>
      <c r="EL104" s="58">
        <f t="shared" si="45"/>
        <v>0</v>
      </c>
      <c r="EM104" s="58">
        <f t="shared" si="46"/>
        <v>0</v>
      </c>
      <c r="EN104" s="68" t="e">
        <f t="shared" si="47"/>
        <v>#DIV/0!</v>
      </c>
    </row>
    <row r="105" spans="1:144" x14ac:dyDescent="0.2">
      <c r="A105" s="43">
        <v>0</v>
      </c>
      <c r="B105" s="43">
        <v>0</v>
      </c>
      <c r="C105" s="43">
        <v>0</v>
      </c>
      <c r="D105" s="70">
        <v>2016</v>
      </c>
      <c r="E105" s="70">
        <v>2</v>
      </c>
      <c r="F105" s="2"/>
      <c r="G105" s="63"/>
      <c r="H105" s="63"/>
      <c r="I105" s="63"/>
      <c r="J105" s="63"/>
      <c r="K105" s="63"/>
      <c r="L105" s="63"/>
      <c r="M105" s="5"/>
      <c r="N105" s="5"/>
      <c r="O105" s="5"/>
      <c r="P105" s="200">
        <f t="shared" si="51"/>
        <v>0</v>
      </c>
      <c r="Q105" s="200">
        <f t="shared" si="52"/>
        <v>0</v>
      </c>
      <c r="R105" s="200">
        <f t="shared" si="53"/>
        <v>0</v>
      </c>
      <c r="S105" s="8">
        <f t="shared" si="54"/>
        <v>0</v>
      </c>
      <c r="T105" s="8">
        <f t="shared" si="55"/>
        <v>0</v>
      </c>
      <c r="U105" s="8">
        <f t="shared" si="56"/>
        <v>0</v>
      </c>
      <c r="V105" s="200">
        <f t="shared" si="57"/>
        <v>0</v>
      </c>
      <c r="W105" s="200">
        <f t="shared" si="58"/>
        <v>0</v>
      </c>
      <c r="X105" s="200">
        <f t="shared" si="59"/>
        <v>0</v>
      </c>
      <c r="Y105" s="63"/>
      <c r="Z105" s="63"/>
      <c r="AA105" s="63"/>
      <c r="AB105" s="8"/>
      <c r="AC105" s="8"/>
      <c r="AD105" s="8"/>
      <c r="AE105" s="8"/>
      <c r="AF105" s="8"/>
      <c r="AG105" s="8"/>
      <c r="AH105" s="8"/>
      <c r="AI105" s="8"/>
      <c r="AJ105" s="8"/>
      <c r="AK105" s="8"/>
      <c r="AL105" s="63"/>
      <c r="AM105" s="63"/>
      <c r="AN105" s="63"/>
      <c r="AO105" s="63"/>
      <c r="AP105" s="63"/>
      <c r="AQ105" s="62"/>
      <c r="AR105" s="18"/>
      <c r="AS105" s="18"/>
      <c r="AT105" s="18"/>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18"/>
      <c r="BQ105" s="62"/>
      <c r="BR105" s="5"/>
      <c r="BS105" s="5"/>
      <c r="BT105" s="5"/>
      <c r="BU105" s="5"/>
      <c r="BV105" s="5"/>
      <c r="BW105" s="5"/>
      <c r="BX105" s="5"/>
      <c r="BY105" s="5"/>
      <c r="BZ105" s="62"/>
      <c r="CA105" s="64"/>
      <c r="CB105" s="64"/>
      <c r="CC105" s="64"/>
      <c r="CD105" s="63"/>
      <c r="CE105" s="64"/>
      <c r="CF105" s="63"/>
      <c r="CG105" s="70"/>
      <c r="CH105" s="70"/>
      <c r="CI105" s="70"/>
      <c r="CJ105" s="63"/>
      <c r="CK105" s="8">
        <f t="shared" ref="CK105:CK168" si="86">+SUM(AL105:CI105)</f>
        <v>0</v>
      </c>
      <c r="CL105" s="201">
        <f t="shared" si="60"/>
        <v>0</v>
      </c>
      <c r="CM105" s="201">
        <f t="shared" si="61"/>
        <v>0</v>
      </c>
      <c r="CN105" s="201">
        <f t="shared" si="62"/>
        <v>0</v>
      </c>
      <c r="CO105" s="9">
        <f t="shared" si="63"/>
        <v>0</v>
      </c>
      <c r="CP105" s="9">
        <f t="shared" si="64"/>
        <v>0</v>
      </c>
      <c r="CQ105" s="9">
        <f t="shared" si="65"/>
        <v>0</v>
      </c>
      <c r="CR105" s="201">
        <f t="shared" si="66"/>
        <v>0</v>
      </c>
      <c r="CS105" s="201">
        <f t="shared" si="67"/>
        <v>0</v>
      </c>
      <c r="CT105" s="201">
        <f t="shared" si="68"/>
        <v>0</v>
      </c>
      <c r="CU105" s="203" t="e">
        <f t="shared" si="69"/>
        <v>#DIV/0!</v>
      </c>
      <c r="CV105" s="203" t="e">
        <f t="shared" si="70"/>
        <v>#DIV/0!</v>
      </c>
      <c r="CW105" s="203" t="e">
        <f t="shared" si="71"/>
        <v>#DIV/0!</v>
      </c>
      <c r="CX105" s="19" t="e">
        <f t="shared" si="72"/>
        <v>#DIV/0!</v>
      </c>
      <c r="CY105" s="19" t="e">
        <f t="shared" si="73"/>
        <v>#DIV/0!</v>
      </c>
      <c r="CZ105" s="19" t="e">
        <f t="shared" si="74"/>
        <v>#DIV/0!</v>
      </c>
      <c r="DA105" s="203" t="e">
        <f t="shared" si="75"/>
        <v>#DIV/0!</v>
      </c>
      <c r="DB105" s="203" t="e">
        <f t="shared" si="76"/>
        <v>#DIV/0!</v>
      </c>
      <c r="DC105" s="203" t="e">
        <f t="shared" si="77"/>
        <v>#DIV/0!</v>
      </c>
      <c r="DD105" s="62"/>
      <c r="DE105" s="62"/>
      <c r="DF105" s="62"/>
      <c r="DG105" s="62"/>
      <c r="DH105" s="62"/>
      <c r="DI105" s="62"/>
      <c r="DJ105" s="62"/>
      <c r="DK105" s="62"/>
      <c r="DL105" s="62"/>
      <c r="DM105" s="8">
        <f t="shared" si="78"/>
        <v>0</v>
      </c>
      <c r="DN105" s="8">
        <f t="shared" si="79"/>
        <v>0</v>
      </c>
      <c r="DO105" s="202">
        <f t="shared" ref="DO105:DO119" si="87">+AB105-$DN105</f>
        <v>0</v>
      </c>
      <c r="DP105" s="202">
        <f t="shared" ref="DP105:DP119" si="88">+AC105-$DN105</f>
        <v>0</v>
      </c>
      <c r="DQ105" s="202">
        <f t="shared" ref="DQ105:DQ119" si="89">+AD105-$DN105</f>
        <v>0</v>
      </c>
      <c r="DR105" s="9">
        <f t="shared" ref="DR105:DR119" si="90">+AE105-$DN105</f>
        <v>0</v>
      </c>
      <c r="DS105" s="9">
        <f t="shared" ref="DS105:DS168" si="91">+AF105-$DN105</f>
        <v>0</v>
      </c>
      <c r="DT105" s="9">
        <f t="shared" ref="DT105:DT119" si="92">+AG105-$DN105</f>
        <v>0</v>
      </c>
      <c r="DU105" s="202">
        <f t="shared" si="81"/>
        <v>0</v>
      </c>
      <c r="DV105" s="202">
        <f t="shared" si="82"/>
        <v>0</v>
      </c>
      <c r="DW105" s="202">
        <f t="shared" si="83"/>
        <v>0</v>
      </c>
      <c r="DX105" s="203" t="e">
        <f t="shared" ref="DX105:DX119" si="93">+DO105/AB105</f>
        <v>#DIV/0!</v>
      </c>
      <c r="DY105" s="203" t="e">
        <f t="shared" ref="DY105:DY119" si="94">+DP105/AC105</f>
        <v>#DIV/0!</v>
      </c>
      <c r="DZ105" s="203" t="e">
        <f t="shared" ref="DZ105:DZ119" si="95">+DQ105/AD105</f>
        <v>#DIV/0!</v>
      </c>
      <c r="EA105" s="19" t="e">
        <f t="shared" ref="EA105:EA119" si="96">+DR105/AE105</f>
        <v>#DIV/0!</v>
      </c>
      <c r="EB105" s="19" t="e">
        <f t="shared" ref="EB105:EB168" si="97">+DS105/AF105</f>
        <v>#DIV/0!</v>
      </c>
      <c r="EC105" s="19" t="e">
        <f t="shared" ref="EC105:EC119" si="98">+DT105/AG105</f>
        <v>#DIV/0!</v>
      </c>
      <c r="ED105" s="203" t="e">
        <f t="shared" si="85"/>
        <v>#DIV/0!</v>
      </c>
      <c r="EE105" s="203" t="e">
        <f t="shared" si="85"/>
        <v>#DIV/0!</v>
      </c>
      <c r="EF105" s="203" t="e">
        <f t="shared" si="85"/>
        <v>#DIV/0!</v>
      </c>
      <c r="EH105" s="58">
        <f t="shared" si="42"/>
        <v>0</v>
      </c>
      <c r="EI105" s="68" t="e">
        <f t="shared" si="43"/>
        <v>#DIV/0!</v>
      </c>
      <c r="EJ105" s="58">
        <f t="shared" si="44"/>
        <v>0</v>
      </c>
      <c r="EK105" s="68" t="e">
        <f t="shared" si="43"/>
        <v>#DIV/0!</v>
      </c>
      <c r="EL105" s="58">
        <f t="shared" si="45"/>
        <v>0</v>
      </c>
      <c r="EM105" s="58">
        <f t="shared" si="46"/>
        <v>0</v>
      </c>
      <c r="EN105" s="68" t="e">
        <f t="shared" si="47"/>
        <v>#DIV/0!</v>
      </c>
    </row>
    <row r="106" spans="1:144" x14ac:dyDescent="0.2">
      <c r="A106" s="43">
        <v>0</v>
      </c>
      <c r="B106" s="43">
        <v>0</v>
      </c>
      <c r="C106" s="43">
        <v>0</v>
      </c>
      <c r="D106" s="70">
        <v>2016</v>
      </c>
      <c r="E106" s="70">
        <v>3</v>
      </c>
      <c r="F106" s="2"/>
      <c r="G106" s="63"/>
      <c r="H106" s="63"/>
      <c r="I106" s="63"/>
      <c r="J106" s="63"/>
      <c r="K106" s="63"/>
      <c r="L106" s="63"/>
      <c r="M106" s="5"/>
      <c r="N106" s="5"/>
      <c r="O106" s="5"/>
      <c r="P106" s="200">
        <f t="shared" si="51"/>
        <v>0</v>
      </c>
      <c r="Q106" s="200">
        <f t="shared" si="52"/>
        <v>0</v>
      </c>
      <c r="R106" s="200">
        <f t="shared" si="53"/>
        <v>0</v>
      </c>
      <c r="S106" s="8">
        <f t="shared" si="54"/>
        <v>0</v>
      </c>
      <c r="T106" s="8">
        <f t="shared" si="55"/>
        <v>0</v>
      </c>
      <c r="U106" s="8">
        <f t="shared" si="56"/>
        <v>0</v>
      </c>
      <c r="V106" s="200">
        <f t="shared" si="57"/>
        <v>0</v>
      </c>
      <c r="W106" s="200">
        <f t="shared" si="58"/>
        <v>0</v>
      </c>
      <c r="X106" s="200">
        <f t="shared" si="59"/>
        <v>0</v>
      </c>
      <c r="Y106" s="63"/>
      <c r="Z106" s="63"/>
      <c r="AA106" s="63"/>
      <c r="AB106" s="8"/>
      <c r="AC106" s="8"/>
      <c r="AD106" s="8"/>
      <c r="AE106" s="8"/>
      <c r="AF106" s="8"/>
      <c r="AG106" s="8"/>
      <c r="AH106" s="8"/>
      <c r="AI106" s="8"/>
      <c r="AJ106" s="8"/>
      <c r="AK106" s="8"/>
      <c r="AL106" s="63"/>
      <c r="AM106" s="63"/>
      <c r="AN106" s="63"/>
      <c r="AO106" s="63"/>
      <c r="AP106" s="63"/>
      <c r="AQ106" s="62"/>
      <c r="AR106" s="18"/>
      <c r="AS106" s="18"/>
      <c r="AT106" s="18"/>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18"/>
      <c r="BQ106" s="62"/>
      <c r="BR106" s="5"/>
      <c r="BS106" s="5"/>
      <c r="BT106" s="5"/>
      <c r="BU106" s="5"/>
      <c r="BV106" s="5"/>
      <c r="BW106" s="5"/>
      <c r="BX106" s="5"/>
      <c r="BY106" s="5"/>
      <c r="BZ106" s="62"/>
      <c r="CA106" s="64"/>
      <c r="CB106" s="64"/>
      <c r="CC106" s="64"/>
      <c r="CD106" s="63"/>
      <c r="CE106" s="64"/>
      <c r="CF106" s="63"/>
      <c r="CG106" s="70"/>
      <c r="CH106" s="70"/>
      <c r="CI106" s="70"/>
      <c r="CJ106" s="63"/>
      <c r="CK106" s="8">
        <f t="shared" si="86"/>
        <v>0</v>
      </c>
      <c r="CL106" s="201">
        <f t="shared" si="60"/>
        <v>0</v>
      </c>
      <c r="CM106" s="201">
        <f t="shared" si="61"/>
        <v>0</v>
      </c>
      <c r="CN106" s="201">
        <f t="shared" si="62"/>
        <v>0</v>
      </c>
      <c r="CO106" s="9">
        <f t="shared" si="63"/>
        <v>0</v>
      </c>
      <c r="CP106" s="9">
        <f t="shared" si="64"/>
        <v>0</v>
      </c>
      <c r="CQ106" s="9">
        <f t="shared" si="65"/>
        <v>0</v>
      </c>
      <c r="CR106" s="201">
        <f t="shared" si="66"/>
        <v>0</v>
      </c>
      <c r="CS106" s="201">
        <f t="shared" si="67"/>
        <v>0</v>
      </c>
      <c r="CT106" s="201">
        <f t="shared" si="68"/>
        <v>0</v>
      </c>
      <c r="CU106" s="203" t="e">
        <f t="shared" si="69"/>
        <v>#DIV/0!</v>
      </c>
      <c r="CV106" s="203" t="e">
        <f t="shared" si="70"/>
        <v>#DIV/0!</v>
      </c>
      <c r="CW106" s="203" t="e">
        <f t="shared" si="71"/>
        <v>#DIV/0!</v>
      </c>
      <c r="CX106" s="19" t="e">
        <f t="shared" si="72"/>
        <v>#DIV/0!</v>
      </c>
      <c r="CY106" s="19" t="e">
        <f t="shared" si="73"/>
        <v>#DIV/0!</v>
      </c>
      <c r="CZ106" s="19" t="e">
        <f t="shared" si="74"/>
        <v>#DIV/0!</v>
      </c>
      <c r="DA106" s="203" t="e">
        <f t="shared" si="75"/>
        <v>#DIV/0!</v>
      </c>
      <c r="DB106" s="203" t="e">
        <f t="shared" si="76"/>
        <v>#DIV/0!</v>
      </c>
      <c r="DC106" s="203" t="e">
        <f t="shared" si="77"/>
        <v>#DIV/0!</v>
      </c>
      <c r="DD106" s="62"/>
      <c r="DE106" s="62"/>
      <c r="DF106" s="62"/>
      <c r="DG106" s="62"/>
      <c r="DH106" s="62"/>
      <c r="DI106" s="62"/>
      <c r="DJ106" s="62"/>
      <c r="DK106" s="62"/>
      <c r="DL106" s="62"/>
      <c r="DM106" s="8">
        <f t="shared" si="78"/>
        <v>0</v>
      </c>
      <c r="DN106" s="8">
        <f t="shared" si="79"/>
        <v>0</v>
      </c>
      <c r="DO106" s="202">
        <f t="shared" si="87"/>
        <v>0</v>
      </c>
      <c r="DP106" s="202">
        <f t="shared" si="88"/>
        <v>0</v>
      </c>
      <c r="DQ106" s="202">
        <f t="shared" si="89"/>
        <v>0</v>
      </c>
      <c r="DR106" s="9">
        <f t="shared" si="90"/>
        <v>0</v>
      </c>
      <c r="DS106" s="9">
        <f t="shared" si="91"/>
        <v>0</v>
      </c>
      <c r="DT106" s="9">
        <f t="shared" si="92"/>
        <v>0</v>
      </c>
      <c r="DU106" s="202">
        <f t="shared" si="81"/>
        <v>0</v>
      </c>
      <c r="DV106" s="202">
        <f t="shared" si="82"/>
        <v>0</v>
      </c>
      <c r="DW106" s="202">
        <f t="shared" si="83"/>
        <v>0</v>
      </c>
      <c r="DX106" s="203" t="e">
        <f t="shared" si="93"/>
        <v>#DIV/0!</v>
      </c>
      <c r="DY106" s="203" t="e">
        <f t="shared" si="94"/>
        <v>#DIV/0!</v>
      </c>
      <c r="DZ106" s="203" t="e">
        <f t="shared" si="95"/>
        <v>#DIV/0!</v>
      </c>
      <c r="EA106" s="19" t="e">
        <f t="shared" si="96"/>
        <v>#DIV/0!</v>
      </c>
      <c r="EB106" s="19" t="e">
        <f t="shared" si="97"/>
        <v>#DIV/0!</v>
      </c>
      <c r="EC106" s="19" t="e">
        <f t="shared" si="98"/>
        <v>#DIV/0!</v>
      </c>
      <c r="ED106" s="203" t="e">
        <f t="shared" si="85"/>
        <v>#DIV/0!</v>
      </c>
      <c r="EE106" s="203" t="e">
        <f t="shared" si="85"/>
        <v>#DIV/0!</v>
      </c>
      <c r="EF106" s="203" t="e">
        <f t="shared" si="85"/>
        <v>#DIV/0!</v>
      </c>
      <c r="EH106" s="58">
        <f t="shared" si="42"/>
        <v>0</v>
      </c>
      <c r="EI106" s="68" t="e">
        <f t="shared" si="43"/>
        <v>#DIV/0!</v>
      </c>
      <c r="EJ106" s="58">
        <f t="shared" si="44"/>
        <v>0</v>
      </c>
      <c r="EK106" s="68" t="e">
        <f t="shared" si="43"/>
        <v>#DIV/0!</v>
      </c>
      <c r="EL106" s="58">
        <f t="shared" si="45"/>
        <v>0</v>
      </c>
      <c r="EM106" s="58">
        <f t="shared" si="46"/>
        <v>0</v>
      </c>
      <c r="EN106" s="68" t="e">
        <f t="shared" si="47"/>
        <v>#DIV/0!</v>
      </c>
    </row>
    <row r="107" spans="1:144" x14ac:dyDescent="0.2">
      <c r="A107" s="43">
        <v>0</v>
      </c>
      <c r="B107" s="43">
        <v>0</v>
      </c>
      <c r="C107" s="43">
        <v>0</v>
      </c>
      <c r="D107" s="70">
        <v>2016</v>
      </c>
      <c r="E107" s="70">
        <v>4</v>
      </c>
      <c r="F107" s="2"/>
      <c r="G107" s="63"/>
      <c r="H107" s="63"/>
      <c r="I107" s="63"/>
      <c r="J107" s="63"/>
      <c r="K107" s="63"/>
      <c r="L107" s="63"/>
      <c r="M107" s="5"/>
      <c r="N107" s="5"/>
      <c r="O107" s="5"/>
      <c r="P107" s="200">
        <f t="shared" si="51"/>
        <v>0</v>
      </c>
      <c r="Q107" s="200">
        <f t="shared" si="52"/>
        <v>0</v>
      </c>
      <c r="R107" s="200">
        <f t="shared" si="53"/>
        <v>0</v>
      </c>
      <c r="S107" s="8">
        <f t="shared" si="54"/>
        <v>0</v>
      </c>
      <c r="T107" s="8">
        <f t="shared" si="55"/>
        <v>0</v>
      </c>
      <c r="U107" s="8">
        <f t="shared" si="56"/>
        <v>0</v>
      </c>
      <c r="V107" s="200">
        <f t="shared" si="57"/>
        <v>0</v>
      </c>
      <c r="W107" s="200">
        <f t="shared" si="58"/>
        <v>0</v>
      </c>
      <c r="X107" s="200">
        <f t="shared" si="59"/>
        <v>0</v>
      </c>
      <c r="Y107" s="63"/>
      <c r="Z107" s="63"/>
      <c r="AA107" s="63"/>
      <c r="AB107" s="8"/>
      <c r="AC107" s="8"/>
      <c r="AD107" s="8"/>
      <c r="AE107" s="8"/>
      <c r="AF107" s="8"/>
      <c r="AG107" s="8"/>
      <c r="AH107" s="8"/>
      <c r="AI107" s="8"/>
      <c r="AJ107" s="8"/>
      <c r="AK107" s="8"/>
      <c r="AL107" s="63"/>
      <c r="AM107" s="63"/>
      <c r="AN107" s="63"/>
      <c r="AO107" s="63"/>
      <c r="AP107" s="63"/>
      <c r="AQ107" s="62"/>
      <c r="AR107" s="18"/>
      <c r="AS107" s="18"/>
      <c r="AT107" s="18"/>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18"/>
      <c r="BQ107" s="62"/>
      <c r="BR107" s="5"/>
      <c r="BS107" s="5"/>
      <c r="BT107" s="5"/>
      <c r="BU107" s="5"/>
      <c r="BV107" s="5"/>
      <c r="BW107" s="5"/>
      <c r="BX107" s="5"/>
      <c r="BY107" s="5"/>
      <c r="BZ107" s="62"/>
      <c r="CA107" s="64"/>
      <c r="CB107" s="64"/>
      <c r="CC107" s="64"/>
      <c r="CD107" s="63"/>
      <c r="CE107" s="64"/>
      <c r="CF107" s="63"/>
      <c r="CG107" s="70"/>
      <c r="CH107" s="70"/>
      <c r="CI107" s="70"/>
      <c r="CJ107" s="63"/>
      <c r="CK107" s="8">
        <f t="shared" si="86"/>
        <v>0</v>
      </c>
      <c r="CL107" s="201">
        <f t="shared" si="60"/>
        <v>0</v>
      </c>
      <c r="CM107" s="201">
        <f t="shared" si="61"/>
        <v>0</v>
      </c>
      <c r="CN107" s="201">
        <f t="shared" si="62"/>
        <v>0</v>
      </c>
      <c r="CO107" s="9">
        <f t="shared" si="63"/>
        <v>0</v>
      </c>
      <c r="CP107" s="9">
        <f t="shared" si="64"/>
        <v>0</v>
      </c>
      <c r="CQ107" s="9">
        <f t="shared" si="65"/>
        <v>0</v>
      </c>
      <c r="CR107" s="201">
        <f t="shared" si="66"/>
        <v>0</v>
      </c>
      <c r="CS107" s="201">
        <f t="shared" si="67"/>
        <v>0</v>
      </c>
      <c r="CT107" s="201">
        <f t="shared" si="68"/>
        <v>0</v>
      </c>
      <c r="CU107" s="203" t="e">
        <f t="shared" si="69"/>
        <v>#DIV/0!</v>
      </c>
      <c r="CV107" s="203" t="e">
        <f t="shared" si="70"/>
        <v>#DIV/0!</v>
      </c>
      <c r="CW107" s="203" t="e">
        <f t="shared" si="71"/>
        <v>#DIV/0!</v>
      </c>
      <c r="CX107" s="19" t="e">
        <f t="shared" si="72"/>
        <v>#DIV/0!</v>
      </c>
      <c r="CY107" s="19" t="e">
        <f t="shared" si="73"/>
        <v>#DIV/0!</v>
      </c>
      <c r="CZ107" s="19" t="e">
        <f t="shared" si="74"/>
        <v>#DIV/0!</v>
      </c>
      <c r="DA107" s="203" t="e">
        <f t="shared" si="75"/>
        <v>#DIV/0!</v>
      </c>
      <c r="DB107" s="203" t="e">
        <f t="shared" si="76"/>
        <v>#DIV/0!</v>
      </c>
      <c r="DC107" s="203" t="e">
        <f t="shared" si="77"/>
        <v>#DIV/0!</v>
      </c>
      <c r="DD107" s="62"/>
      <c r="DE107" s="62"/>
      <c r="DF107" s="62"/>
      <c r="DG107" s="62"/>
      <c r="DH107" s="62"/>
      <c r="DI107" s="62"/>
      <c r="DJ107" s="62"/>
      <c r="DK107" s="62"/>
      <c r="DL107" s="62"/>
      <c r="DM107" s="8">
        <f t="shared" si="78"/>
        <v>0</v>
      </c>
      <c r="DN107" s="8">
        <f t="shared" si="79"/>
        <v>0</v>
      </c>
      <c r="DO107" s="202">
        <f t="shared" si="87"/>
        <v>0</v>
      </c>
      <c r="DP107" s="202">
        <f t="shared" si="88"/>
        <v>0</v>
      </c>
      <c r="DQ107" s="202">
        <f t="shared" si="89"/>
        <v>0</v>
      </c>
      <c r="DR107" s="9">
        <f t="shared" si="90"/>
        <v>0</v>
      </c>
      <c r="DS107" s="9">
        <f t="shared" si="91"/>
        <v>0</v>
      </c>
      <c r="DT107" s="9">
        <f t="shared" si="92"/>
        <v>0</v>
      </c>
      <c r="DU107" s="202">
        <f t="shared" si="81"/>
        <v>0</v>
      </c>
      <c r="DV107" s="202">
        <f t="shared" si="82"/>
        <v>0</v>
      </c>
      <c r="DW107" s="202">
        <f t="shared" si="83"/>
        <v>0</v>
      </c>
      <c r="DX107" s="203" t="e">
        <f t="shared" si="93"/>
        <v>#DIV/0!</v>
      </c>
      <c r="DY107" s="203" t="e">
        <f t="shared" si="94"/>
        <v>#DIV/0!</v>
      </c>
      <c r="DZ107" s="203" t="e">
        <f t="shared" si="95"/>
        <v>#DIV/0!</v>
      </c>
      <c r="EA107" s="19" t="e">
        <f t="shared" si="96"/>
        <v>#DIV/0!</v>
      </c>
      <c r="EB107" s="19" t="e">
        <f t="shared" si="97"/>
        <v>#DIV/0!</v>
      </c>
      <c r="EC107" s="19" t="e">
        <f t="shared" si="98"/>
        <v>#DIV/0!</v>
      </c>
      <c r="ED107" s="203" t="e">
        <f t="shared" si="85"/>
        <v>#DIV/0!</v>
      </c>
      <c r="EE107" s="203" t="e">
        <f t="shared" si="85"/>
        <v>#DIV/0!</v>
      </c>
      <c r="EF107" s="203" t="e">
        <f t="shared" si="85"/>
        <v>#DIV/0!</v>
      </c>
      <c r="EH107" s="58">
        <f t="shared" si="42"/>
        <v>0</v>
      </c>
      <c r="EI107" s="68" t="e">
        <f t="shared" si="43"/>
        <v>#DIV/0!</v>
      </c>
      <c r="EJ107" s="58">
        <f t="shared" si="44"/>
        <v>0</v>
      </c>
      <c r="EK107" s="68" t="e">
        <f t="shared" si="43"/>
        <v>#DIV/0!</v>
      </c>
      <c r="EL107" s="58">
        <f t="shared" si="45"/>
        <v>0</v>
      </c>
      <c r="EM107" s="58">
        <f t="shared" si="46"/>
        <v>0</v>
      </c>
      <c r="EN107" s="68" t="e">
        <f t="shared" si="47"/>
        <v>#DIV/0!</v>
      </c>
    </row>
    <row r="108" spans="1:144" x14ac:dyDescent="0.2">
      <c r="A108" s="43">
        <v>0</v>
      </c>
      <c r="B108" s="43">
        <v>0</v>
      </c>
      <c r="C108" s="43">
        <v>0</v>
      </c>
      <c r="D108" s="70">
        <v>2016</v>
      </c>
      <c r="E108" s="70">
        <v>5</v>
      </c>
      <c r="F108" s="2"/>
      <c r="G108" s="63"/>
      <c r="H108" s="63"/>
      <c r="I108" s="63"/>
      <c r="J108" s="63"/>
      <c r="K108" s="63"/>
      <c r="L108" s="63"/>
      <c r="M108" s="5"/>
      <c r="N108" s="5"/>
      <c r="O108" s="5"/>
      <c r="P108" s="200">
        <f t="shared" si="51"/>
        <v>0</v>
      </c>
      <c r="Q108" s="200">
        <f t="shared" si="52"/>
        <v>0</v>
      </c>
      <c r="R108" s="200">
        <f t="shared" si="53"/>
        <v>0</v>
      </c>
      <c r="S108" s="8">
        <f t="shared" si="54"/>
        <v>0</v>
      </c>
      <c r="T108" s="8">
        <f t="shared" si="55"/>
        <v>0</v>
      </c>
      <c r="U108" s="8">
        <f t="shared" si="56"/>
        <v>0</v>
      </c>
      <c r="V108" s="200">
        <f t="shared" si="57"/>
        <v>0</v>
      </c>
      <c r="W108" s="200">
        <f t="shared" si="58"/>
        <v>0</v>
      </c>
      <c r="X108" s="200">
        <f t="shared" si="59"/>
        <v>0</v>
      </c>
      <c r="Y108" s="63"/>
      <c r="Z108" s="63"/>
      <c r="AA108" s="63"/>
      <c r="AB108" s="8"/>
      <c r="AC108" s="8"/>
      <c r="AD108" s="8"/>
      <c r="AE108" s="8"/>
      <c r="AF108" s="8"/>
      <c r="AG108" s="8"/>
      <c r="AH108" s="8"/>
      <c r="AI108" s="8"/>
      <c r="AJ108" s="8"/>
      <c r="AK108" s="8"/>
      <c r="AL108" s="63"/>
      <c r="AM108" s="63"/>
      <c r="AN108" s="63"/>
      <c r="AO108" s="63"/>
      <c r="AP108" s="63"/>
      <c r="AQ108" s="62"/>
      <c r="AR108" s="18"/>
      <c r="AS108" s="18"/>
      <c r="AT108" s="18"/>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18"/>
      <c r="BQ108" s="62"/>
      <c r="BR108" s="5"/>
      <c r="BS108" s="5"/>
      <c r="BT108" s="5"/>
      <c r="BU108" s="5"/>
      <c r="BV108" s="5"/>
      <c r="BW108" s="5"/>
      <c r="BX108" s="5"/>
      <c r="BY108" s="5"/>
      <c r="BZ108" s="62"/>
      <c r="CA108" s="64"/>
      <c r="CB108" s="64"/>
      <c r="CC108" s="64"/>
      <c r="CD108" s="63"/>
      <c r="CE108" s="64"/>
      <c r="CF108" s="63"/>
      <c r="CG108" s="70"/>
      <c r="CH108" s="70"/>
      <c r="CI108" s="70"/>
      <c r="CJ108" s="63"/>
      <c r="CK108" s="8">
        <f t="shared" si="86"/>
        <v>0</v>
      </c>
      <c r="CL108" s="201">
        <f t="shared" si="60"/>
        <v>0</v>
      </c>
      <c r="CM108" s="201">
        <f t="shared" si="61"/>
        <v>0</v>
      </c>
      <c r="CN108" s="201">
        <f t="shared" si="62"/>
        <v>0</v>
      </c>
      <c r="CO108" s="9">
        <f t="shared" si="63"/>
        <v>0</v>
      </c>
      <c r="CP108" s="9">
        <f t="shared" si="64"/>
        <v>0</v>
      </c>
      <c r="CQ108" s="9">
        <f t="shared" si="65"/>
        <v>0</v>
      </c>
      <c r="CR108" s="201">
        <f t="shared" si="66"/>
        <v>0</v>
      </c>
      <c r="CS108" s="201">
        <f t="shared" si="67"/>
        <v>0</v>
      </c>
      <c r="CT108" s="201">
        <f t="shared" si="68"/>
        <v>0</v>
      </c>
      <c r="CU108" s="203" t="e">
        <f t="shared" si="69"/>
        <v>#DIV/0!</v>
      </c>
      <c r="CV108" s="203" t="e">
        <f t="shared" si="70"/>
        <v>#DIV/0!</v>
      </c>
      <c r="CW108" s="203" t="e">
        <f t="shared" si="71"/>
        <v>#DIV/0!</v>
      </c>
      <c r="CX108" s="19" t="e">
        <f t="shared" si="72"/>
        <v>#DIV/0!</v>
      </c>
      <c r="CY108" s="19" t="e">
        <f t="shared" si="73"/>
        <v>#DIV/0!</v>
      </c>
      <c r="CZ108" s="19" t="e">
        <f t="shared" si="74"/>
        <v>#DIV/0!</v>
      </c>
      <c r="DA108" s="203" t="e">
        <f t="shared" si="75"/>
        <v>#DIV/0!</v>
      </c>
      <c r="DB108" s="203" t="e">
        <f t="shared" si="76"/>
        <v>#DIV/0!</v>
      </c>
      <c r="DC108" s="203" t="e">
        <f t="shared" si="77"/>
        <v>#DIV/0!</v>
      </c>
      <c r="DD108" s="62"/>
      <c r="DE108" s="62"/>
      <c r="DF108" s="62"/>
      <c r="DG108" s="62"/>
      <c r="DH108" s="62"/>
      <c r="DI108" s="62"/>
      <c r="DJ108" s="62"/>
      <c r="DK108" s="62"/>
      <c r="DL108" s="62"/>
      <c r="DM108" s="8">
        <f t="shared" si="78"/>
        <v>0</v>
      </c>
      <c r="DN108" s="8">
        <f t="shared" si="79"/>
        <v>0</v>
      </c>
      <c r="DO108" s="202">
        <f t="shared" si="87"/>
        <v>0</v>
      </c>
      <c r="DP108" s="202">
        <f t="shared" si="88"/>
        <v>0</v>
      </c>
      <c r="DQ108" s="202">
        <f t="shared" si="89"/>
        <v>0</v>
      </c>
      <c r="DR108" s="9">
        <f t="shared" si="90"/>
        <v>0</v>
      </c>
      <c r="DS108" s="9">
        <f t="shared" si="91"/>
        <v>0</v>
      </c>
      <c r="DT108" s="9">
        <f t="shared" si="92"/>
        <v>0</v>
      </c>
      <c r="DU108" s="202">
        <f t="shared" si="81"/>
        <v>0</v>
      </c>
      <c r="DV108" s="202">
        <f t="shared" si="82"/>
        <v>0</v>
      </c>
      <c r="DW108" s="202">
        <f t="shared" si="83"/>
        <v>0</v>
      </c>
      <c r="DX108" s="203" t="e">
        <f t="shared" si="93"/>
        <v>#DIV/0!</v>
      </c>
      <c r="DY108" s="203" t="e">
        <f t="shared" si="94"/>
        <v>#DIV/0!</v>
      </c>
      <c r="DZ108" s="203" t="e">
        <f t="shared" si="95"/>
        <v>#DIV/0!</v>
      </c>
      <c r="EA108" s="19" t="e">
        <f t="shared" si="96"/>
        <v>#DIV/0!</v>
      </c>
      <c r="EB108" s="19" t="e">
        <f t="shared" si="97"/>
        <v>#DIV/0!</v>
      </c>
      <c r="EC108" s="19" t="e">
        <f t="shared" si="98"/>
        <v>#DIV/0!</v>
      </c>
      <c r="ED108" s="203" t="e">
        <f t="shared" si="85"/>
        <v>#DIV/0!</v>
      </c>
      <c r="EE108" s="203" t="e">
        <f t="shared" si="85"/>
        <v>#DIV/0!</v>
      </c>
      <c r="EF108" s="203" t="e">
        <f t="shared" si="85"/>
        <v>#DIV/0!</v>
      </c>
      <c r="EH108" s="58">
        <f t="shared" si="42"/>
        <v>0</v>
      </c>
      <c r="EI108" s="68" t="e">
        <f t="shared" si="43"/>
        <v>#DIV/0!</v>
      </c>
      <c r="EJ108" s="58">
        <f t="shared" si="44"/>
        <v>0</v>
      </c>
      <c r="EK108" s="68" t="e">
        <f t="shared" si="43"/>
        <v>#DIV/0!</v>
      </c>
      <c r="EL108" s="58">
        <f t="shared" si="45"/>
        <v>0</v>
      </c>
      <c r="EM108" s="58">
        <f t="shared" si="46"/>
        <v>0</v>
      </c>
      <c r="EN108" s="68" t="e">
        <f t="shared" si="47"/>
        <v>#DIV/0!</v>
      </c>
    </row>
    <row r="109" spans="1:144" x14ac:dyDescent="0.2">
      <c r="A109" s="43">
        <v>0</v>
      </c>
      <c r="B109" s="43">
        <v>0</v>
      </c>
      <c r="C109" s="43">
        <v>0</v>
      </c>
      <c r="D109" s="70">
        <v>2016</v>
      </c>
      <c r="E109" s="70">
        <v>6</v>
      </c>
      <c r="F109" s="2"/>
      <c r="G109" s="63"/>
      <c r="H109" s="63"/>
      <c r="I109" s="63"/>
      <c r="J109" s="63"/>
      <c r="K109" s="63"/>
      <c r="L109" s="63"/>
      <c r="M109" s="5"/>
      <c r="N109" s="5"/>
      <c r="O109" s="5"/>
      <c r="P109" s="200">
        <f t="shared" si="51"/>
        <v>0</v>
      </c>
      <c r="Q109" s="200">
        <f t="shared" si="52"/>
        <v>0</v>
      </c>
      <c r="R109" s="200">
        <f t="shared" si="53"/>
        <v>0</v>
      </c>
      <c r="S109" s="8">
        <f t="shared" si="54"/>
        <v>0</v>
      </c>
      <c r="T109" s="8">
        <f t="shared" si="55"/>
        <v>0</v>
      </c>
      <c r="U109" s="8">
        <f t="shared" si="56"/>
        <v>0</v>
      </c>
      <c r="V109" s="200">
        <f t="shared" si="57"/>
        <v>0</v>
      </c>
      <c r="W109" s="200">
        <f t="shared" si="58"/>
        <v>0</v>
      </c>
      <c r="X109" s="200">
        <f t="shared" si="59"/>
        <v>0</v>
      </c>
      <c r="Y109" s="63"/>
      <c r="Z109" s="63"/>
      <c r="AA109" s="63"/>
      <c r="AB109" s="8"/>
      <c r="AC109" s="8"/>
      <c r="AD109" s="8"/>
      <c r="AE109" s="8"/>
      <c r="AF109" s="8"/>
      <c r="AG109" s="8"/>
      <c r="AH109" s="8"/>
      <c r="AI109" s="8"/>
      <c r="AJ109" s="8"/>
      <c r="AK109" s="8"/>
      <c r="AL109" s="63"/>
      <c r="AM109" s="63"/>
      <c r="AN109" s="63"/>
      <c r="AO109" s="63"/>
      <c r="AP109" s="63"/>
      <c r="AQ109" s="62"/>
      <c r="AR109" s="18"/>
      <c r="AS109" s="18"/>
      <c r="AT109" s="18"/>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18"/>
      <c r="BQ109" s="62"/>
      <c r="BR109" s="5"/>
      <c r="BS109" s="5"/>
      <c r="BT109" s="5"/>
      <c r="BU109" s="5"/>
      <c r="BV109" s="5"/>
      <c r="BW109" s="5"/>
      <c r="BX109" s="5"/>
      <c r="BY109" s="5"/>
      <c r="BZ109" s="62"/>
      <c r="CA109" s="64"/>
      <c r="CB109" s="64"/>
      <c r="CC109" s="64"/>
      <c r="CD109" s="63"/>
      <c r="CE109" s="64"/>
      <c r="CF109" s="63"/>
      <c r="CG109" s="70"/>
      <c r="CH109" s="70"/>
      <c r="CI109" s="70"/>
      <c r="CJ109" s="63"/>
      <c r="CK109" s="8">
        <f t="shared" si="86"/>
        <v>0</v>
      </c>
      <c r="CL109" s="201">
        <f t="shared" si="60"/>
        <v>0</v>
      </c>
      <c r="CM109" s="201">
        <f t="shared" si="61"/>
        <v>0</v>
      </c>
      <c r="CN109" s="201">
        <f t="shared" si="62"/>
        <v>0</v>
      </c>
      <c r="CO109" s="9">
        <f t="shared" si="63"/>
        <v>0</v>
      </c>
      <c r="CP109" s="9">
        <f t="shared" si="64"/>
        <v>0</v>
      </c>
      <c r="CQ109" s="9">
        <f t="shared" si="65"/>
        <v>0</v>
      </c>
      <c r="CR109" s="201">
        <f t="shared" si="66"/>
        <v>0</v>
      </c>
      <c r="CS109" s="201">
        <f t="shared" si="67"/>
        <v>0</v>
      </c>
      <c r="CT109" s="201">
        <f t="shared" si="68"/>
        <v>0</v>
      </c>
      <c r="CU109" s="203" t="e">
        <f t="shared" si="69"/>
        <v>#DIV/0!</v>
      </c>
      <c r="CV109" s="203" t="e">
        <f t="shared" si="70"/>
        <v>#DIV/0!</v>
      </c>
      <c r="CW109" s="203" t="e">
        <f t="shared" si="71"/>
        <v>#DIV/0!</v>
      </c>
      <c r="CX109" s="19" t="e">
        <f t="shared" si="72"/>
        <v>#DIV/0!</v>
      </c>
      <c r="CY109" s="19" t="e">
        <f t="shared" si="73"/>
        <v>#DIV/0!</v>
      </c>
      <c r="CZ109" s="19" t="e">
        <f t="shared" si="74"/>
        <v>#DIV/0!</v>
      </c>
      <c r="DA109" s="203" t="e">
        <f t="shared" si="75"/>
        <v>#DIV/0!</v>
      </c>
      <c r="DB109" s="203" t="e">
        <f t="shared" si="76"/>
        <v>#DIV/0!</v>
      </c>
      <c r="DC109" s="203" t="e">
        <f t="shared" si="77"/>
        <v>#DIV/0!</v>
      </c>
      <c r="DD109" s="62"/>
      <c r="DE109" s="62"/>
      <c r="DF109" s="62"/>
      <c r="DG109" s="62"/>
      <c r="DH109" s="62"/>
      <c r="DI109" s="62"/>
      <c r="DJ109" s="63"/>
      <c r="DK109" s="62"/>
      <c r="DL109" s="62"/>
      <c r="DM109" s="8">
        <f t="shared" si="78"/>
        <v>0</v>
      </c>
      <c r="DN109" s="8">
        <f t="shared" si="79"/>
        <v>0</v>
      </c>
      <c r="DO109" s="202">
        <f t="shared" si="87"/>
        <v>0</v>
      </c>
      <c r="DP109" s="202">
        <f t="shared" si="88"/>
        <v>0</v>
      </c>
      <c r="DQ109" s="202">
        <f t="shared" si="89"/>
        <v>0</v>
      </c>
      <c r="DR109" s="9">
        <f t="shared" si="90"/>
        <v>0</v>
      </c>
      <c r="DS109" s="9">
        <f t="shared" si="91"/>
        <v>0</v>
      </c>
      <c r="DT109" s="9">
        <f t="shared" si="92"/>
        <v>0</v>
      </c>
      <c r="DU109" s="202">
        <f t="shared" si="81"/>
        <v>0</v>
      </c>
      <c r="DV109" s="202">
        <f t="shared" si="82"/>
        <v>0</v>
      </c>
      <c r="DW109" s="202">
        <f t="shared" si="83"/>
        <v>0</v>
      </c>
      <c r="DX109" s="203" t="e">
        <f t="shared" si="93"/>
        <v>#DIV/0!</v>
      </c>
      <c r="DY109" s="203" t="e">
        <f t="shared" si="94"/>
        <v>#DIV/0!</v>
      </c>
      <c r="DZ109" s="203" t="e">
        <f t="shared" si="95"/>
        <v>#DIV/0!</v>
      </c>
      <c r="EA109" s="19" t="e">
        <f t="shared" si="96"/>
        <v>#DIV/0!</v>
      </c>
      <c r="EB109" s="19" t="e">
        <f t="shared" si="97"/>
        <v>#DIV/0!</v>
      </c>
      <c r="EC109" s="19" t="e">
        <f t="shared" si="98"/>
        <v>#DIV/0!</v>
      </c>
      <c r="ED109" s="203" t="e">
        <f t="shared" si="85"/>
        <v>#DIV/0!</v>
      </c>
      <c r="EE109" s="203" t="e">
        <f t="shared" si="85"/>
        <v>#DIV/0!</v>
      </c>
      <c r="EF109" s="203" t="e">
        <f t="shared" si="85"/>
        <v>#DIV/0!</v>
      </c>
      <c r="EH109" s="58">
        <f t="shared" si="42"/>
        <v>0</v>
      </c>
      <c r="EI109" s="68" t="e">
        <f t="shared" si="43"/>
        <v>#DIV/0!</v>
      </c>
      <c r="EJ109" s="58">
        <f t="shared" si="44"/>
        <v>0</v>
      </c>
      <c r="EK109" s="68" t="e">
        <f t="shared" si="43"/>
        <v>#DIV/0!</v>
      </c>
      <c r="EL109" s="58">
        <f t="shared" si="45"/>
        <v>0</v>
      </c>
      <c r="EM109" s="58">
        <f t="shared" si="46"/>
        <v>0</v>
      </c>
      <c r="EN109" s="68" t="e">
        <f t="shared" si="47"/>
        <v>#DIV/0!</v>
      </c>
    </row>
    <row r="110" spans="1:144" x14ac:dyDescent="0.2">
      <c r="A110" s="43">
        <v>0</v>
      </c>
      <c r="B110" s="43">
        <v>0</v>
      </c>
      <c r="C110" s="43">
        <v>0</v>
      </c>
      <c r="D110" s="70">
        <v>2016</v>
      </c>
      <c r="E110" s="70">
        <v>7</v>
      </c>
      <c r="F110" s="2"/>
      <c r="G110" s="63"/>
      <c r="H110" s="63"/>
      <c r="I110" s="63"/>
      <c r="J110" s="63"/>
      <c r="K110" s="63"/>
      <c r="L110" s="63"/>
      <c r="M110" s="5"/>
      <c r="N110" s="5"/>
      <c r="O110" s="5"/>
      <c r="P110" s="200">
        <f t="shared" si="51"/>
        <v>0</v>
      </c>
      <c r="Q110" s="200">
        <f t="shared" si="52"/>
        <v>0</v>
      </c>
      <c r="R110" s="200">
        <f t="shared" si="53"/>
        <v>0</v>
      </c>
      <c r="S110" s="8">
        <f t="shared" si="54"/>
        <v>0</v>
      </c>
      <c r="T110" s="8">
        <f t="shared" si="55"/>
        <v>0</v>
      </c>
      <c r="U110" s="8">
        <f t="shared" si="56"/>
        <v>0</v>
      </c>
      <c r="V110" s="200">
        <f t="shared" si="57"/>
        <v>0</v>
      </c>
      <c r="W110" s="200">
        <f t="shared" si="58"/>
        <v>0</v>
      </c>
      <c r="X110" s="200">
        <f t="shared" si="59"/>
        <v>0</v>
      </c>
      <c r="Y110" s="63"/>
      <c r="Z110" s="63"/>
      <c r="AA110" s="63"/>
      <c r="AB110" s="8"/>
      <c r="AC110" s="8"/>
      <c r="AD110" s="8"/>
      <c r="AE110" s="8"/>
      <c r="AF110" s="8"/>
      <c r="AG110" s="8"/>
      <c r="AH110" s="8"/>
      <c r="AI110" s="8"/>
      <c r="AJ110" s="8"/>
      <c r="AK110" s="8"/>
      <c r="AL110" s="63"/>
      <c r="AM110" s="63"/>
      <c r="AN110" s="63"/>
      <c r="AO110" s="63"/>
      <c r="AP110" s="63"/>
      <c r="AQ110" s="62"/>
      <c r="AR110" s="18"/>
      <c r="AS110" s="18"/>
      <c r="AT110" s="18"/>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18"/>
      <c r="BQ110" s="62"/>
      <c r="BR110" s="5"/>
      <c r="BS110" s="5"/>
      <c r="BT110" s="5"/>
      <c r="BU110" s="5"/>
      <c r="BV110" s="5"/>
      <c r="BW110" s="5"/>
      <c r="BX110" s="5"/>
      <c r="BY110" s="5"/>
      <c r="BZ110" s="62"/>
      <c r="CA110" s="64"/>
      <c r="CB110" s="64"/>
      <c r="CC110" s="64"/>
      <c r="CD110" s="63"/>
      <c r="CE110" s="64"/>
      <c r="CF110" s="63"/>
      <c r="CG110" s="70"/>
      <c r="CH110" s="70"/>
      <c r="CI110" s="70"/>
      <c r="CJ110" s="63"/>
      <c r="CK110" s="8">
        <f t="shared" si="86"/>
        <v>0</v>
      </c>
      <c r="CL110" s="201">
        <f t="shared" si="60"/>
        <v>0</v>
      </c>
      <c r="CM110" s="201">
        <f t="shared" si="61"/>
        <v>0</v>
      </c>
      <c r="CN110" s="201">
        <f t="shared" si="62"/>
        <v>0</v>
      </c>
      <c r="CO110" s="9">
        <f t="shared" si="63"/>
        <v>0</v>
      </c>
      <c r="CP110" s="9">
        <f t="shared" si="64"/>
        <v>0</v>
      </c>
      <c r="CQ110" s="9">
        <f t="shared" si="65"/>
        <v>0</v>
      </c>
      <c r="CR110" s="201">
        <f t="shared" si="66"/>
        <v>0</v>
      </c>
      <c r="CS110" s="201">
        <f t="shared" si="67"/>
        <v>0</v>
      </c>
      <c r="CT110" s="201">
        <f t="shared" si="68"/>
        <v>0</v>
      </c>
      <c r="CU110" s="203" t="e">
        <f t="shared" si="69"/>
        <v>#DIV/0!</v>
      </c>
      <c r="CV110" s="203" t="e">
        <f t="shared" si="70"/>
        <v>#DIV/0!</v>
      </c>
      <c r="CW110" s="203" t="e">
        <f t="shared" si="71"/>
        <v>#DIV/0!</v>
      </c>
      <c r="CX110" s="19" t="e">
        <f t="shared" si="72"/>
        <v>#DIV/0!</v>
      </c>
      <c r="CY110" s="19" t="e">
        <f t="shared" si="73"/>
        <v>#DIV/0!</v>
      </c>
      <c r="CZ110" s="19" t="e">
        <f t="shared" si="74"/>
        <v>#DIV/0!</v>
      </c>
      <c r="DA110" s="203" t="e">
        <f t="shared" si="75"/>
        <v>#DIV/0!</v>
      </c>
      <c r="DB110" s="203" t="e">
        <f t="shared" si="76"/>
        <v>#DIV/0!</v>
      </c>
      <c r="DC110" s="203" t="e">
        <f t="shared" si="77"/>
        <v>#DIV/0!</v>
      </c>
      <c r="DD110" s="62"/>
      <c r="DE110" s="62"/>
      <c r="DF110" s="62"/>
      <c r="DG110" s="62"/>
      <c r="DH110" s="62"/>
      <c r="DI110" s="62"/>
      <c r="DJ110" s="63"/>
      <c r="DK110" s="62"/>
      <c r="DL110" s="62"/>
      <c r="DM110" s="8">
        <f t="shared" si="78"/>
        <v>0</v>
      </c>
      <c r="DN110" s="8">
        <f t="shared" si="79"/>
        <v>0</v>
      </c>
      <c r="DO110" s="202">
        <f t="shared" si="87"/>
        <v>0</v>
      </c>
      <c r="DP110" s="202">
        <f t="shared" si="88"/>
        <v>0</v>
      </c>
      <c r="DQ110" s="202">
        <f t="shared" si="89"/>
        <v>0</v>
      </c>
      <c r="DR110" s="9">
        <f t="shared" si="90"/>
        <v>0</v>
      </c>
      <c r="DS110" s="9">
        <f t="shared" si="91"/>
        <v>0</v>
      </c>
      <c r="DT110" s="9">
        <f t="shared" si="92"/>
        <v>0</v>
      </c>
      <c r="DU110" s="202">
        <f t="shared" si="81"/>
        <v>0</v>
      </c>
      <c r="DV110" s="202">
        <f t="shared" si="82"/>
        <v>0</v>
      </c>
      <c r="DW110" s="202">
        <f t="shared" si="83"/>
        <v>0</v>
      </c>
      <c r="DX110" s="203" t="e">
        <f t="shared" si="93"/>
        <v>#DIV/0!</v>
      </c>
      <c r="DY110" s="203" t="e">
        <f t="shared" si="94"/>
        <v>#DIV/0!</v>
      </c>
      <c r="DZ110" s="203" t="e">
        <f t="shared" si="95"/>
        <v>#DIV/0!</v>
      </c>
      <c r="EA110" s="19" t="e">
        <f t="shared" si="96"/>
        <v>#DIV/0!</v>
      </c>
      <c r="EB110" s="19" t="e">
        <f t="shared" si="97"/>
        <v>#DIV/0!</v>
      </c>
      <c r="EC110" s="19" t="e">
        <f t="shared" si="98"/>
        <v>#DIV/0!</v>
      </c>
      <c r="ED110" s="203" t="e">
        <f t="shared" si="85"/>
        <v>#DIV/0!</v>
      </c>
      <c r="EE110" s="203" t="e">
        <f t="shared" si="85"/>
        <v>#DIV/0!</v>
      </c>
      <c r="EF110" s="203" t="e">
        <f t="shared" si="85"/>
        <v>#DIV/0!</v>
      </c>
      <c r="EH110" s="58">
        <f t="shared" si="42"/>
        <v>0</v>
      </c>
      <c r="EI110" s="68" t="e">
        <f t="shared" si="43"/>
        <v>#DIV/0!</v>
      </c>
      <c r="EJ110" s="58">
        <f t="shared" si="44"/>
        <v>0</v>
      </c>
      <c r="EK110" s="68" t="e">
        <f t="shared" si="43"/>
        <v>#DIV/0!</v>
      </c>
      <c r="EL110" s="58">
        <f t="shared" si="45"/>
        <v>0</v>
      </c>
      <c r="EM110" s="58">
        <f t="shared" si="46"/>
        <v>0</v>
      </c>
      <c r="EN110" s="68" t="e">
        <f t="shared" si="47"/>
        <v>#DIV/0!</v>
      </c>
    </row>
    <row r="111" spans="1:144" x14ac:dyDescent="0.2">
      <c r="A111" s="43">
        <v>0</v>
      </c>
      <c r="B111" s="43">
        <v>0</v>
      </c>
      <c r="C111" s="43">
        <v>0</v>
      </c>
      <c r="D111" s="70">
        <v>2016</v>
      </c>
      <c r="E111" s="70">
        <v>8</v>
      </c>
      <c r="F111" s="2"/>
      <c r="G111" s="63"/>
      <c r="H111" s="63"/>
      <c r="I111" s="63"/>
      <c r="J111" s="63"/>
      <c r="K111" s="63"/>
      <c r="L111" s="63"/>
      <c r="M111" s="5"/>
      <c r="N111" s="5"/>
      <c r="O111" s="5"/>
      <c r="P111" s="200">
        <f t="shared" si="51"/>
        <v>0</v>
      </c>
      <c r="Q111" s="200">
        <f t="shared" si="52"/>
        <v>0</v>
      </c>
      <c r="R111" s="200">
        <f t="shared" si="53"/>
        <v>0</v>
      </c>
      <c r="S111" s="8">
        <f t="shared" si="54"/>
        <v>0</v>
      </c>
      <c r="T111" s="8">
        <f t="shared" si="55"/>
        <v>0</v>
      </c>
      <c r="U111" s="8">
        <f t="shared" si="56"/>
        <v>0</v>
      </c>
      <c r="V111" s="200">
        <f t="shared" si="57"/>
        <v>0</v>
      </c>
      <c r="W111" s="200">
        <f t="shared" si="58"/>
        <v>0</v>
      </c>
      <c r="X111" s="200">
        <f t="shared" si="59"/>
        <v>0</v>
      </c>
      <c r="Y111" s="63"/>
      <c r="Z111" s="63"/>
      <c r="AA111" s="63"/>
      <c r="AB111" s="8"/>
      <c r="AC111" s="8"/>
      <c r="AD111" s="8"/>
      <c r="AE111" s="8"/>
      <c r="AF111" s="8"/>
      <c r="AG111" s="8"/>
      <c r="AH111" s="8"/>
      <c r="AI111" s="8"/>
      <c r="AJ111" s="8"/>
      <c r="AK111" s="8"/>
      <c r="AL111" s="63"/>
      <c r="AM111" s="63"/>
      <c r="AN111" s="63"/>
      <c r="AO111" s="63"/>
      <c r="AP111" s="63"/>
      <c r="AQ111" s="62"/>
      <c r="AR111" s="18"/>
      <c r="AS111" s="18"/>
      <c r="AT111" s="18"/>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18"/>
      <c r="BQ111" s="62"/>
      <c r="BR111" s="5"/>
      <c r="BS111" s="5"/>
      <c r="BT111" s="5"/>
      <c r="BU111" s="5"/>
      <c r="BV111" s="5"/>
      <c r="BW111" s="5"/>
      <c r="BX111" s="5"/>
      <c r="BY111" s="5"/>
      <c r="BZ111" s="62"/>
      <c r="CA111" s="64"/>
      <c r="CB111" s="64"/>
      <c r="CC111" s="64"/>
      <c r="CD111" s="63"/>
      <c r="CE111" s="64"/>
      <c r="CF111" s="63"/>
      <c r="CG111" s="70"/>
      <c r="CH111" s="70"/>
      <c r="CI111" s="70"/>
      <c r="CJ111" s="63"/>
      <c r="CK111" s="8">
        <f t="shared" si="86"/>
        <v>0</v>
      </c>
      <c r="CL111" s="201">
        <f t="shared" si="60"/>
        <v>0</v>
      </c>
      <c r="CM111" s="201">
        <f t="shared" si="61"/>
        <v>0</v>
      </c>
      <c r="CN111" s="201">
        <f t="shared" si="62"/>
        <v>0</v>
      </c>
      <c r="CO111" s="9">
        <f t="shared" si="63"/>
        <v>0</v>
      </c>
      <c r="CP111" s="9">
        <f t="shared" si="64"/>
        <v>0</v>
      </c>
      <c r="CQ111" s="9">
        <f t="shared" si="65"/>
        <v>0</v>
      </c>
      <c r="CR111" s="201">
        <f t="shared" si="66"/>
        <v>0</v>
      </c>
      <c r="CS111" s="201">
        <f t="shared" si="67"/>
        <v>0</v>
      </c>
      <c r="CT111" s="201">
        <f t="shared" si="68"/>
        <v>0</v>
      </c>
      <c r="CU111" s="203" t="e">
        <f t="shared" si="69"/>
        <v>#DIV/0!</v>
      </c>
      <c r="CV111" s="203" t="e">
        <f t="shared" si="70"/>
        <v>#DIV/0!</v>
      </c>
      <c r="CW111" s="203" t="e">
        <f t="shared" si="71"/>
        <v>#DIV/0!</v>
      </c>
      <c r="CX111" s="19" t="e">
        <f t="shared" si="72"/>
        <v>#DIV/0!</v>
      </c>
      <c r="CY111" s="19" t="e">
        <f t="shared" si="73"/>
        <v>#DIV/0!</v>
      </c>
      <c r="CZ111" s="19" t="e">
        <f t="shared" si="74"/>
        <v>#DIV/0!</v>
      </c>
      <c r="DA111" s="203" t="e">
        <f t="shared" si="75"/>
        <v>#DIV/0!</v>
      </c>
      <c r="DB111" s="203" t="e">
        <f t="shared" si="76"/>
        <v>#DIV/0!</v>
      </c>
      <c r="DC111" s="203" t="e">
        <f t="shared" si="77"/>
        <v>#DIV/0!</v>
      </c>
      <c r="DD111" s="63"/>
      <c r="DE111" s="62"/>
      <c r="DF111" s="62"/>
      <c r="DG111" s="62"/>
      <c r="DH111" s="62"/>
      <c r="DI111" s="62"/>
      <c r="DJ111" s="63"/>
      <c r="DK111" s="62"/>
      <c r="DL111" s="62"/>
      <c r="DM111" s="8">
        <f t="shared" si="78"/>
        <v>0</v>
      </c>
      <c r="DN111" s="8">
        <f t="shared" si="79"/>
        <v>0</v>
      </c>
      <c r="DO111" s="202">
        <f t="shared" si="87"/>
        <v>0</v>
      </c>
      <c r="DP111" s="202">
        <f t="shared" si="88"/>
        <v>0</v>
      </c>
      <c r="DQ111" s="202">
        <f t="shared" si="89"/>
        <v>0</v>
      </c>
      <c r="DR111" s="9">
        <f t="shared" si="90"/>
        <v>0</v>
      </c>
      <c r="DS111" s="9">
        <f t="shared" si="91"/>
        <v>0</v>
      </c>
      <c r="DT111" s="9">
        <f t="shared" si="92"/>
        <v>0</v>
      </c>
      <c r="DU111" s="202">
        <f t="shared" si="81"/>
        <v>0</v>
      </c>
      <c r="DV111" s="202">
        <f t="shared" si="82"/>
        <v>0</v>
      </c>
      <c r="DW111" s="202">
        <f t="shared" si="83"/>
        <v>0</v>
      </c>
      <c r="DX111" s="203" t="e">
        <f t="shared" si="93"/>
        <v>#DIV/0!</v>
      </c>
      <c r="DY111" s="203" t="e">
        <f t="shared" si="94"/>
        <v>#DIV/0!</v>
      </c>
      <c r="DZ111" s="203" t="e">
        <f t="shared" si="95"/>
        <v>#DIV/0!</v>
      </c>
      <c r="EA111" s="19" t="e">
        <f t="shared" si="96"/>
        <v>#DIV/0!</v>
      </c>
      <c r="EB111" s="19" t="e">
        <f t="shared" si="97"/>
        <v>#DIV/0!</v>
      </c>
      <c r="EC111" s="19" t="e">
        <f t="shared" si="98"/>
        <v>#DIV/0!</v>
      </c>
      <c r="ED111" s="203" t="e">
        <f t="shared" si="85"/>
        <v>#DIV/0!</v>
      </c>
      <c r="EE111" s="203" t="e">
        <f t="shared" si="85"/>
        <v>#DIV/0!</v>
      </c>
      <c r="EF111" s="203" t="e">
        <f t="shared" si="85"/>
        <v>#DIV/0!</v>
      </c>
      <c r="EH111" s="58">
        <f t="shared" si="42"/>
        <v>0</v>
      </c>
      <c r="EI111" s="68" t="e">
        <f t="shared" si="43"/>
        <v>#DIV/0!</v>
      </c>
      <c r="EJ111" s="58">
        <f t="shared" si="44"/>
        <v>0</v>
      </c>
      <c r="EK111" s="68" t="e">
        <f t="shared" si="43"/>
        <v>#DIV/0!</v>
      </c>
      <c r="EL111" s="58">
        <f t="shared" si="45"/>
        <v>0</v>
      </c>
      <c r="EM111" s="58">
        <f t="shared" si="46"/>
        <v>0</v>
      </c>
      <c r="EN111" s="68" t="e">
        <f t="shared" si="47"/>
        <v>#DIV/0!</v>
      </c>
    </row>
    <row r="112" spans="1:144" x14ac:dyDescent="0.2">
      <c r="A112" s="43">
        <v>0</v>
      </c>
      <c r="B112" s="43">
        <v>0</v>
      </c>
      <c r="C112" s="43">
        <v>0</v>
      </c>
      <c r="D112" s="70">
        <v>2016</v>
      </c>
      <c r="E112" s="70">
        <v>9</v>
      </c>
      <c r="F112" s="2"/>
      <c r="G112" s="63"/>
      <c r="H112" s="63"/>
      <c r="I112" s="63"/>
      <c r="J112" s="63"/>
      <c r="K112" s="63"/>
      <c r="L112" s="63"/>
      <c r="M112" s="5"/>
      <c r="N112" s="5"/>
      <c r="O112" s="5"/>
      <c r="P112" s="200">
        <f t="shared" si="51"/>
        <v>0</v>
      </c>
      <c r="Q112" s="200">
        <f t="shared" si="52"/>
        <v>0</v>
      </c>
      <c r="R112" s="200">
        <f t="shared" si="53"/>
        <v>0</v>
      </c>
      <c r="S112" s="8">
        <f t="shared" si="54"/>
        <v>0</v>
      </c>
      <c r="T112" s="8">
        <f t="shared" si="55"/>
        <v>0</v>
      </c>
      <c r="U112" s="8">
        <f t="shared" si="56"/>
        <v>0</v>
      </c>
      <c r="V112" s="200">
        <f t="shared" si="57"/>
        <v>0</v>
      </c>
      <c r="W112" s="200">
        <f t="shared" si="58"/>
        <v>0</v>
      </c>
      <c r="X112" s="200">
        <f t="shared" si="59"/>
        <v>0</v>
      </c>
      <c r="Y112" s="63"/>
      <c r="Z112" s="63"/>
      <c r="AA112" s="63"/>
      <c r="AB112" s="8"/>
      <c r="AC112" s="8"/>
      <c r="AD112" s="8"/>
      <c r="AE112" s="8"/>
      <c r="AF112" s="8"/>
      <c r="AG112" s="8"/>
      <c r="AH112" s="8"/>
      <c r="AI112" s="8"/>
      <c r="AJ112" s="8"/>
      <c r="AK112" s="8"/>
      <c r="AL112" s="63"/>
      <c r="AM112" s="63"/>
      <c r="AN112" s="63"/>
      <c r="AO112" s="63"/>
      <c r="AP112" s="63"/>
      <c r="AQ112" s="62"/>
      <c r="AR112" s="18"/>
      <c r="AS112" s="18"/>
      <c r="AT112" s="18"/>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18"/>
      <c r="BQ112" s="62"/>
      <c r="BR112" s="5"/>
      <c r="BS112" s="5"/>
      <c r="BT112" s="5"/>
      <c r="BU112" s="5"/>
      <c r="BV112" s="5"/>
      <c r="BW112" s="5"/>
      <c r="BX112" s="5"/>
      <c r="BY112" s="5"/>
      <c r="BZ112" s="62"/>
      <c r="CA112" s="64"/>
      <c r="CB112" s="64"/>
      <c r="CC112" s="64"/>
      <c r="CD112" s="63"/>
      <c r="CE112" s="64"/>
      <c r="CF112" s="63"/>
      <c r="CG112" s="70"/>
      <c r="CH112" s="70"/>
      <c r="CI112" s="70"/>
      <c r="CJ112" s="63"/>
      <c r="CK112" s="8">
        <f t="shared" si="86"/>
        <v>0</v>
      </c>
      <c r="CL112" s="201">
        <f t="shared" si="60"/>
        <v>0</v>
      </c>
      <c r="CM112" s="201">
        <f t="shared" si="61"/>
        <v>0</v>
      </c>
      <c r="CN112" s="201">
        <f t="shared" si="62"/>
        <v>0</v>
      </c>
      <c r="CO112" s="9">
        <f t="shared" si="63"/>
        <v>0</v>
      </c>
      <c r="CP112" s="9">
        <f t="shared" si="64"/>
        <v>0</v>
      </c>
      <c r="CQ112" s="9">
        <f t="shared" si="65"/>
        <v>0</v>
      </c>
      <c r="CR112" s="201">
        <f t="shared" si="66"/>
        <v>0</v>
      </c>
      <c r="CS112" s="201">
        <f t="shared" si="67"/>
        <v>0</v>
      </c>
      <c r="CT112" s="201">
        <f t="shared" si="68"/>
        <v>0</v>
      </c>
      <c r="CU112" s="203" t="e">
        <f t="shared" si="69"/>
        <v>#DIV/0!</v>
      </c>
      <c r="CV112" s="203" t="e">
        <f t="shared" si="70"/>
        <v>#DIV/0!</v>
      </c>
      <c r="CW112" s="203" t="e">
        <f t="shared" si="71"/>
        <v>#DIV/0!</v>
      </c>
      <c r="CX112" s="19" t="e">
        <f t="shared" si="72"/>
        <v>#DIV/0!</v>
      </c>
      <c r="CY112" s="19" t="e">
        <f t="shared" si="73"/>
        <v>#DIV/0!</v>
      </c>
      <c r="CZ112" s="19" t="e">
        <f t="shared" si="74"/>
        <v>#DIV/0!</v>
      </c>
      <c r="DA112" s="203" t="e">
        <f t="shared" si="75"/>
        <v>#DIV/0!</v>
      </c>
      <c r="DB112" s="203" t="e">
        <f t="shared" si="76"/>
        <v>#DIV/0!</v>
      </c>
      <c r="DC112" s="203" t="e">
        <f t="shared" si="77"/>
        <v>#DIV/0!</v>
      </c>
      <c r="DD112" s="63"/>
      <c r="DE112" s="62"/>
      <c r="DF112" s="62"/>
      <c r="DG112" s="62"/>
      <c r="DH112" s="62"/>
      <c r="DI112" s="62"/>
      <c r="DJ112" s="63"/>
      <c r="DK112" s="62"/>
      <c r="DL112" s="62"/>
      <c r="DM112" s="8">
        <f t="shared" si="78"/>
        <v>0</v>
      </c>
      <c r="DN112" s="8">
        <f t="shared" si="79"/>
        <v>0</v>
      </c>
      <c r="DO112" s="202">
        <f t="shared" si="87"/>
        <v>0</v>
      </c>
      <c r="DP112" s="202">
        <f t="shared" si="88"/>
        <v>0</v>
      </c>
      <c r="DQ112" s="202">
        <f t="shared" si="89"/>
        <v>0</v>
      </c>
      <c r="DR112" s="9">
        <f t="shared" si="90"/>
        <v>0</v>
      </c>
      <c r="DS112" s="9">
        <f t="shared" si="91"/>
        <v>0</v>
      </c>
      <c r="DT112" s="9">
        <f t="shared" si="92"/>
        <v>0</v>
      </c>
      <c r="DU112" s="202">
        <f t="shared" si="81"/>
        <v>0</v>
      </c>
      <c r="DV112" s="202">
        <f t="shared" si="82"/>
        <v>0</v>
      </c>
      <c r="DW112" s="202">
        <f t="shared" si="83"/>
        <v>0</v>
      </c>
      <c r="DX112" s="203" t="e">
        <f t="shared" si="93"/>
        <v>#DIV/0!</v>
      </c>
      <c r="DY112" s="203" t="e">
        <f t="shared" si="94"/>
        <v>#DIV/0!</v>
      </c>
      <c r="DZ112" s="203" t="e">
        <f t="shared" si="95"/>
        <v>#DIV/0!</v>
      </c>
      <c r="EA112" s="19" t="e">
        <f t="shared" si="96"/>
        <v>#DIV/0!</v>
      </c>
      <c r="EB112" s="19" t="e">
        <f t="shared" si="97"/>
        <v>#DIV/0!</v>
      </c>
      <c r="EC112" s="19" t="e">
        <f t="shared" si="98"/>
        <v>#DIV/0!</v>
      </c>
      <c r="ED112" s="203" t="e">
        <f t="shared" si="85"/>
        <v>#DIV/0!</v>
      </c>
      <c r="EE112" s="203" t="e">
        <f t="shared" si="85"/>
        <v>#DIV/0!</v>
      </c>
      <c r="EF112" s="203" t="e">
        <f t="shared" si="85"/>
        <v>#DIV/0!</v>
      </c>
      <c r="EH112" s="58">
        <f t="shared" si="42"/>
        <v>0</v>
      </c>
      <c r="EI112" s="68" t="e">
        <f t="shared" si="43"/>
        <v>#DIV/0!</v>
      </c>
      <c r="EJ112" s="58">
        <f t="shared" si="44"/>
        <v>0</v>
      </c>
      <c r="EK112" s="68" t="e">
        <f t="shared" si="43"/>
        <v>#DIV/0!</v>
      </c>
      <c r="EL112" s="58">
        <f t="shared" si="45"/>
        <v>0</v>
      </c>
      <c r="EM112" s="58">
        <f t="shared" si="46"/>
        <v>0</v>
      </c>
      <c r="EN112" s="68" t="e">
        <f t="shared" si="47"/>
        <v>#DIV/0!</v>
      </c>
    </row>
    <row r="113" spans="1:144" x14ac:dyDescent="0.2">
      <c r="A113" s="43">
        <v>0</v>
      </c>
      <c r="B113" s="43">
        <v>0</v>
      </c>
      <c r="C113" s="43">
        <v>0</v>
      </c>
      <c r="D113" s="70">
        <v>2016</v>
      </c>
      <c r="E113" s="70">
        <v>10</v>
      </c>
      <c r="F113" s="2"/>
      <c r="G113" s="63"/>
      <c r="H113" s="63"/>
      <c r="I113" s="63"/>
      <c r="J113" s="63"/>
      <c r="K113" s="63"/>
      <c r="L113" s="63"/>
      <c r="M113" s="5"/>
      <c r="N113" s="5"/>
      <c r="O113" s="5"/>
      <c r="P113" s="200">
        <f t="shared" si="51"/>
        <v>0</v>
      </c>
      <c r="Q113" s="200">
        <f t="shared" si="52"/>
        <v>0</v>
      </c>
      <c r="R113" s="200">
        <f t="shared" si="53"/>
        <v>0</v>
      </c>
      <c r="S113" s="8">
        <f t="shared" si="54"/>
        <v>0</v>
      </c>
      <c r="T113" s="8">
        <f t="shared" si="55"/>
        <v>0</v>
      </c>
      <c r="U113" s="8">
        <f t="shared" si="56"/>
        <v>0</v>
      </c>
      <c r="V113" s="200">
        <f t="shared" si="57"/>
        <v>0</v>
      </c>
      <c r="W113" s="200">
        <f t="shared" si="58"/>
        <v>0</v>
      </c>
      <c r="X113" s="200">
        <f t="shared" si="59"/>
        <v>0</v>
      </c>
      <c r="Y113" s="63"/>
      <c r="Z113" s="63"/>
      <c r="AA113" s="63"/>
      <c r="AB113" s="8"/>
      <c r="AC113" s="8"/>
      <c r="AD113" s="8"/>
      <c r="AE113" s="8"/>
      <c r="AF113" s="8"/>
      <c r="AG113" s="8"/>
      <c r="AH113" s="8"/>
      <c r="AI113" s="8"/>
      <c r="AJ113" s="8"/>
      <c r="AK113" s="8"/>
      <c r="AL113" s="63"/>
      <c r="AM113" s="63"/>
      <c r="AN113" s="63"/>
      <c r="AO113" s="63"/>
      <c r="AP113" s="63"/>
      <c r="AQ113" s="62"/>
      <c r="AR113" s="18"/>
      <c r="AS113" s="18"/>
      <c r="AT113" s="18"/>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18"/>
      <c r="BQ113" s="62"/>
      <c r="BR113" s="5"/>
      <c r="BS113" s="5"/>
      <c r="BT113" s="5"/>
      <c r="BU113" s="5"/>
      <c r="BV113" s="5"/>
      <c r="BW113" s="5"/>
      <c r="BX113" s="5"/>
      <c r="BY113" s="5"/>
      <c r="BZ113" s="62"/>
      <c r="CA113" s="64"/>
      <c r="CB113" s="64"/>
      <c r="CC113" s="64"/>
      <c r="CD113" s="63"/>
      <c r="CE113" s="64"/>
      <c r="CF113" s="63"/>
      <c r="CG113" s="70"/>
      <c r="CH113" s="70"/>
      <c r="CI113" s="70"/>
      <c r="CJ113" s="63"/>
      <c r="CK113" s="8">
        <f t="shared" si="86"/>
        <v>0</v>
      </c>
      <c r="CL113" s="201">
        <f t="shared" si="60"/>
        <v>0</v>
      </c>
      <c r="CM113" s="201">
        <f t="shared" si="61"/>
        <v>0</v>
      </c>
      <c r="CN113" s="201">
        <f t="shared" si="62"/>
        <v>0</v>
      </c>
      <c r="CO113" s="9">
        <f t="shared" si="63"/>
        <v>0</v>
      </c>
      <c r="CP113" s="9">
        <f t="shared" si="64"/>
        <v>0</v>
      </c>
      <c r="CQ113" s="9">
        <f t="shared" si="65"/>
        <v>0</v>
      </c>
      <c r="CR113" s="201">
        <f t="shared" si="66"/>
        <v>0</v>
      </c>
      <c r="CS113" s="201">
        <f t="shared" si="67"/>
        <v>0</v>
      </c>
      <c r="CT113" s="201">
        <f t="shared" si="68"/>
        <v>0</v>
      </c>
      <c r="CU113" s="203" t="e">
        <f t="shared" si="69"/>
        <v>#DIV/0!</v>
      </c>
      <c r="CV113" s="203" t="e">
        <f t="shared" si="70"/>
        <v>#DIV/0!</v>
      </c>
      <c r="CW113" s="203" t="e">
        <f t="shared" si="71"/>
        <v>#DIV/0!</v>
      </c>
      <c r="CX113" s="19" t="e">
        <f t="shared" si="72"/>
        <v>#DIV/0!</v>
      </c>
      <c r="CY113" s="19" t="e">
        <f t="shared" si="73"/>
        <v>#DIV/0!</v>
      </c>
      <c r="CZ113" s="19" t="e">
        <f t="shared" si="74"/>
        <v>#DIV/0!</v>
      </c>
      <c r="DA113" s="203" t="e">
        <f t="shared" si="75"/>
        <v>#DIV/0!</v>
      </c>
      <c r="DB113" s="203" t="e">
        <f t="shared" si="76"/>
        <v>#DIV/0!</v>
      </c>
      <c r="DC113" s="203" t="e">
        <f t="shared" si="77"/>
        <v>#DIV/0!</v>
      </c>
      <c r="DD113" s="63"/>
      <c r="DE113" s="62"/>
      <c r="DF113" s="62"/>
      <c r="DG113" s="62"/>
      <c r="DH113" s="62"/>
      <c r="DI113" s="62"/>
      <c r="DJ113" s="63"/>
      <c r="DK113" s="62"/>
      <c r="DL113" s="62"/>
      <c r="DM113" s="8">
        <f t="shared" si="78"/>
        <v>0</v>
      </c>
      <c r="DN113" s="8">
        <f t="shared" si="79"/>
        <v>0</v>
      </c>
      <c r="DO113" s="202">
        <f t="shared" si="87"/>
        <v>0</v>
      </c>
      <c r="DP113" s="202">
        <f t="shared" si="88"/>
        <v>0</v>
      </c>
      <c r="DQ113" s="202">
        <f t="shared" si="89"/>
        <v>0</v>
      </c>
      <c r="DR113" s="9">
        <f t="shared" si="90"/>
        <v>0</v>
      </c>
      <c r="DS113" s="9">
        <f t="shared" si="91"/>
        <v>0</v>
      </c>
      <c r="DT113" s="9">
        <f t="shared" si="92"/>
        <v>0</v>
      </c>
      <c r="DU113" s="202">
        <f t="shared" si="81"/>
        <v>0</v>
      </c>
      <c r="DV113" s="202">
        <f t="shared" si="82"/>
        <v>0</v>
      </c>
      <c r="DW113" s="202">
        <f t="shared" si="83"/>
        <v>0</v>
      </c>
      <c r="DX113" s="203" t="e">
        <f t="shared" si="93"/>
        <v>#DIV/0!</v>
      </c>
      <c r="DY113" s="203" t="e">
        <f t="shared" si="94"/>
        <v>#DIV/0!</v>
      </c>
      <c r="DZ113" s="203" t="e">
        <f t="shared" si="95"/>
        <v>#DIV/0!</v>
      </c>
      <c r="EA113" s="19" t="e">
        <f t="shared" si="96"/>
        <v>#DIV/0!</v>
      </c>
      <c r="EB113" s="19" t="e">
        <f t="shared" si="97"/>
        <v>#DIV/0!</v>
      </c>
      <c r="EC113" s="19" t="e">
        <f t="shared" si="98"/>
        <v>#DIV/0!</v>
      </c>
      <c r="ED113" s="203" t="e">
        <f t="shared" si="85"/>
        <v>#DIV/0!</v>
      </c>
      <c r="EE113" s="203" t="e">
        <f t="shared" si="85"/>
        <v>#DIV/0!</v>
      </c>
      <c r="EF113" s="203" t="e">
        <f t="shared" si="85"/>
        <v>#DIV/0!</v>
      </c>
      <c r="EH113" s="58">
        <f t="shared" si="42"/>
        <v>0</v>
      </c>
      <c r="EI113" s="68" t="e">
        <f t="shared" si="43"/>
        <v>#DIV/0!</v>
      </c>
      <c r="EJ113" s="58">
        <f t="shared" si="44"/>
        <v>0</v>
      </c>
      <c r="EK113" s="68" t="e">
        <f t="shared" si="43"/>
        <v>#DIV/0!</v>
      </c>
      <c r="EL113" s="58">
        <f t="shared" si="45"/>
        <v>0</v>
      </c>
      <c r="EM113" s="58">
        <f t="shared" si="46"/>
        <v>0</v>
      </c>
      <c r="EN113" s="68" t="e">
        <f t="shared" si="47"/>
        <v>#DIV/0!</v>
      </c>
    </row>
    <row r="114" spans="1:144" x14ac:dyDescent="0.2">
      <c r="A114" s="43">
        <v>0</v>
      </c>
      <c r="B114" s="43">
        <v>0</v>
      </c>
      <c r="C114" s="43">
        <v>0</v>
      </c>
      <c r="D114" s="70">
        <v>2016</v>
      </c>
      <c r="E114" s="70">
        <v>11</v>
      </c>
      <c r="F114" s="2"/>
      <c r="G114" s="63"/>
      <c r="H114" s="63"/>
      <c r="I114" s="63"/>
      <c r="J114" s="63"/>
      <c r="K114" s="63"/>
      <c r="L114" s="63"/>
      <c r="M114" s="5"/>
      <c r="N114" s="5"/>
      <c r="O114" s="5"/>
      <c r="P114" s="200">
        <f t="shared" si="51"/>
        <v>0</v>
      </c>
      <c r="Q114" s="200">
        <f t="shared" si="52"/>
        <v>0</v>
      </c>
      <c r="R114" s="200">
        <f t="shared" si="53"/>
        <v>0</v>
      </c>
      <c r="S114" s="8">
        <f t="shared" si="54"/>
        <v>0</v>
      </c>
      <c r="T114" s="8">
        <f t="shared" si="55"/>
        <v>0</v>
      </c>
      <c r="U114" s="8">
        <f t="shared" si="56"/>
        <v>0</v>
      </c>
      <c r="V114" s="200">
        <f t="shared" si="57"/>
        <v>0</v>
      </c>
      <c r="W114" s="200">
        <f t="shared" si="58"/>
        <v>0</v>
      </c>
      <c r="X114" s="200">
        <f t="shared" si="59"/>
        <v>0</v>
      </c>
      <c r="Y114" s="63"/>
      <c r="Z114" s="63"/>
      <c r="AA114" s="63"/>
      <c r="AB114" s="8"/>
      <c r="AC114" s="8"/>
      <c r="AD114" s="8"/>
      <c r="AE114" s="8"/>
      <c r="AF114" s="8"/>
      <c r="AG114" s="8"/>
      <c r="AH114" s="8"/>
      <c r="AI114" s="8"/>
      <c r="AJ114" s="8"/>
      <c r="AK114" s="8"/>
      <c r="AL114" s="63"/>
      <c r="AM114" s="63"/>
      <c r="AN114" s="63"/>
      <c r="AO114" s="63"/>
      <c r="AP114" s="63"/>
      <c r="AQ114" s="62"/>
      <c r="AR114" s="18"/>
      <c r="AS114" s="18"/>
      <c r="AT114" s="62"/>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2"/>
      <c r="BQ114" s="62"/>
      <c r="BR114" s="5"/>
      <c r="BS114" s="5"/>
      <c r="BT114" s="5"/>
      <c r="BU114" s="5"/>
      <c r="BV114" s="5"/>
      <c r="BW114" s="5"/>
      <c r="BX114" s="5"/>
      <c r="BY114" s="5"/>
      <c r="BZ114" s="62"/>
      <c r="CA114" s="64"/>
      <c r="CB114" s="64"/>
      <c r="CC114" s="64"/>
      <c r="CD114" s="63"/>
      <c r="CE114" s="64"/>
      <c r="CF114" s="63"/>
      <c r="CG114" s="70"/>
      <c r="CH114" s="70"/>
      <c r="CI114" s="70"/>
      <c r="CJ114" s="63"/>
      <c r="CK114" s="8">
        <f t="shared" si="86"/>
        <v>0</v>
      </c>
      <c r="CL114" s="201">
        <f t="shared" si="60"/>
        <v>0</v>
      </c>
      <c r="CM114" s="201">
        <f t="shared" si="61"/>
        <v>0</v>
      </c>
      <c r="CN114" s="201">
        <f t="shared" si="62"/>
        <v>0</v>
      </c>
      <c r="CO114" s="9">
        <f t="shared" si="63"/>
        <v>0</v>
      </c>
      <c r="CP114" s="9">
        <f t="shared" si="64"/>
        <v>0</v>
      </c>
      <c r="CQ114" s="9">
        <f t="shared" si="65"/>
        <v>0</v>
      </c>
      <c r="CR114" s="201">
        <f t="shared" si="66"/>
        <v>0</v>
      </c>
      <c r="CS114" s="201">
        <f t="shared" si="67"/>
        <v>0</v>
      </c>
      <c r="CT114" s="201">
        <f t="shared" si="68"/>
        <v>0</v>
      </c>
      <c r="CU114" s="203" t="e">
        <f t="shared" si="69"/>
        <v>#DIV/0!</v>
      </c>
      <c r="CV114" s="203" t="e">
        <f t="shared" si="70"/>
        <v>#DIV/0!</v>
      </c>
      <c r="CW114" s="203" t="e">
        <f t="shared" si="71"/>
        <v>#DIV/0!</v>
      </c>
      <c r="CX114" s="19" t="e">
        <f t="shared" si="72"/>
        <v>#DIV/0!</v>
      </c>
      <c r="CY114" s="19" t="e">
        <f t="shared" si="73"/>
        <v>#DIV/0!</v>
      </c>
      <c r="CZ114" s="19" t="e">
        <f t="shared" si="74"/>
        <v>#DIV/0!</v>
      </c>
      <c r="DA114" s="203" t="e">
        <f t="shared" si="75"/>
        <v>#DIV/0!</v>
      </c>
      <c r="DB114" s="203" t="e">
        <f t="shared" si="76"/>
        <v>#DIV/0!</v>
      </c>
      <c r="DC114" s="203" t="e">
        <f t="shared" si="77"/>
        <v>#DIV/0!</v>
      </c>
      <c r="DD114" s="63"/>
      <c r="DE114" s="62"/>
      <c r="DF114" s="62"/>
      <c r="DG114" s="62"/>
      <c r="DH114" s="62"/>
      <c r="DI114" s="62"/>
      <c r="DJ114" s="63"/>
      <c r="DK114" s="62"/>
      <c r="DL114" s="62"/>
      <c r="DM114" s="8">
        <f t="shared" si="78"/>
        <v>0</v>
      </c>
      <c r="DN114" s="8">
        <f t="shared" si="79"/>
        <v>0</v>
      </c>
      <c r="DO114" s="202">
        <f t="shared" si="87"/>
        <v>0</v>
      </c>
      <c r="DP114" s="202">
        <f t="shared" si="88"/>
        <v>0</v>
      </c>
      <c r="DQ114" s="202">
        <f t="shared" si="89"/>
        <v>0</v>
      </c>
      <c r="DR114" s="9">
        <f t="shared" si="90"/>
        <v>0</v>
      </c>
      <c r="DS114" s="9">
        <f t="shared" si="91"/>
        <v>0</v>
      </c>
      <c r="DT114" s="9">
        <f t="shared" si="92"/>
        <v>0</v>
      </c>
      <c r="DU114" s="202">
        <f t="shared" si="81"/>
        <v>0</v>
      </c>
      <c r="DV114" s="202">
        <f t="shared" si="82"/>
        <v>0</v>
      </c>
      <c r="DW114" s="202">
        <f t="shared" si="83"/>
        <v>0</v>
      </c>
      <c r="DX114" s="203" t="e">
        <f t="shared" si="93"/>
        <v>#DIV/0!</v>
      </c>
      <c r="DY114" s="203" t="e">
        <f t="shared" si="94"/>
        <v>#DIV/0!</v>
      </c>
      <c r="DZ114" s="203" t="e">
        <f t="shared" si="95"/>
        <v>#DIV/0!</v>
      </c>
      <c r="EA114" s="19" t="e">
        <f t="shared" si="96"/>
        <v>#DIV/0!</v>
      </c>
      <c r="EB114" s="19" t="e">
        <f t="shared" si="97"/>
        <v>#DIV/0!</v>
      </c>
      <c r="EC114" s="19" t="e">
        <f t="shared" si="98"/>
        <v>#DIV/0!</v>
      </c>
      <c r="ED114" s="203" t="e">
        <f t="shared" si="85"/>
        <v>#DIV/0!</v>
      </c>
      <c r="EE114" s="203" t="e">
        <f t="shared" si="85"/>
        <v>#DIV/0!</v>
      </c>
      <c r="EF114" s="203" t="e">
        <f t="shared" si="85"/>
        <v>#DIV/0!</v>
      </c>
      <c r="EH114" s="58">
        <f t="shared" si="42"/>
        <v>0</v>
      </c>
      <c r="EI114" s="68" t="e">
        <f t="shared" si="43"/>
        <v>#DIV/0!</v>
      </c>
      <c r="EJ114" s="58">
        <f t="shared" si="44"/>
        <v>0</v>
      </c>
      <c r="EK114" s="68" t="e">
        <f t="shared" si="43"/>
        <v>#DIV/0!</v>
      </c>
      <c r="EL114" s="58">
        <f t="shared" si="45"/>
        <v>0</v>
      </c>
      <c r="EM114" s="58">
        <f t="shared" si="46"/>
        <v>0</v>
      </c>
      <c r="EN114" s="68" t="e">
        <f t="shared" si="47"/>
        <v>#DIV/0!</v>
      </c>
    </row>
    <row r="115" spans="1:144" x14ac:dyDescent="0.2">
      <c r="A115" s="43">
        <v>0</v>
      </c>
      <c r="B115" s="43">
        <v>0</v>
      </c>
      <c r="C115" s="43">
        <v>0</v>
      </c>
      <c r="D115" s="70">
        <v>2016</v>
      </c>
      <c r="E115" s="70">
        <v>12</v>
      </c>
      <c r="F115" s="2"/>
      <c r="G115" s="63"/>
      <c r="H115" s="63"/>
      <c r="I115" s="63"/>
      <c r="J115" s="63"/>
      <c r="K115" s="63"/>
      <c r="L115" s="63"/>
      <c r="M115" s="5"/>
      <c r="N115" s="5"/>
      <c r="O115" s="5"/>
      <c r="P115" s="200">
        <f t="shared" si="51"/>
        <v>0</v>
      </c>
      <c r="Q115" s="200">
        <f t="shared" si="52"/>
        <v>0</v>
      </c>
      <c r="R115" s="200">
        <f t="shared" si="53"/>
        <v>0</v>
      </c>
      <c r="S115" s="8">
        <f t="shared" si="54"/>
        <v>0</v>
      </c>
      <c r="T115" s="8">
        <f t="shared" si="55"/>
        <v>0</v>
      </c>
      <c r="U115" s="8">
        <f t="shared" si="56"/>
        <v>0</v>
      </c>
      <c r="V115" s="200">
        <f t="shared" si="57"/>
        <v>0</v>
      </c>
      <c r="W115" s="200">
        <f t="shared" si="58"/>
        <v>0</v>
      </c>
      <c r="X115" s="200">
        <f t="shared" si="59"/>
        <v>0</v>
      </c>
      <c r="Y115" s="63"/>
      <c r="Z115" s="63"/>
      <c r="AA115" s="63"/>
      <c r="AB115" s="8"/>
      <c r="AC115" s="8"/>
      <c r="AD115" s="8"/>
      <c r="AE115" s="8"/>
      <c r="AF115" s="8"/>
      <c r="AG115" s="8"/>
      <c r="AH115" s="8"/>
      <c r="AI115" s="8"/>
      <c r="AJ115" s="8"/>
      <c r="AK115" s="8"/>
      <c r="AL115" s="63"/>
      <c r="AM115" s="63"/>
      <c r="AN115" s="63"/>
      <c r="AO115" s="63"/>
      <c r="AP115" s="63"/>
      <c r="AQ115" s="62"/>
      <c r="AR115" s="18"/>
      <c r="AS115" s="18"/>
      <c r="AT115" s="62"/>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2"/>
      <c r="BQ115" s="62"/>
      <c r="BR115" s="5"/>
      <c r="BS115" s="5"/>
      <c r="BT115" s="5"/>
      <c r="BU115" s="5"/>
      <c r="BV115" s="5"/>
      <c r="BW115" s="5"/>
      <c r="BX115" s="5"/>
      <c r="BY115" s="5"/>
      <c r="BZ115" s="62"/>
      <c r="CA115" s="64"/>
      <c r="CB115" s="64"/>
      <c r="CC115" s="127"/>
      <c r="CD115" s="63"/>
      <c r="CE115" s="64"/>
      <c r="CF115" s="63"/>
      <c r="CG115" s="70"/>
      <c r="CH115" s="70"/>
      <c r="CI115" s="70"/>
      <c r="CJ115" s="63"/>
      <c r="CK115" s="8">
        <f t="shared" si="86"/>
        <v>0</v>
      </c>
      <c r="CL115" s="201">
        <f t="shared" si="60"/>
        <v>0</v>
      </c>
      <c r="CM115" s="201">
        <f t="shared" si="61"/>
        <v>0</v>
      </c>
      <c r="CN115" s="201">
        <f t="shared" si="62"/>
        <v>0</v>
      </c>
      <c r="CO115" s="9">
        <f t="shared" si="63"/>
        <v>0</v>
      </c>
      <c r="CP115" s="9">
        <f t="shared" si="64"/>
        <v>0</v>
      </c>
      <c r="CQ115" s="9">
        <f t="shared" si="65"/>
        <v>0</v>
      </c>
      <c r="CR115" s="201">
        <f t="shared" si="66"/>
        <v>0</v>
      </c>
      <c r="CS115" s="201">
        <f t="shared" si="67"/>
        <v>0</v>
      </c>
      <c r="CT115" s="201">
        <f t="shared" si="68"/>
        <v>0</v>
      </c>
      <c r="CU115" s="203" t="e">
        <f t="shared" si="69"/>
        <v>#DIV/0!</v>
      </c>
      <c r="CV115" s="203" t="e">
        <f t="shared" si="70"/>
        <v>#DIV/0!</v>
      </c>
      <c r="CW115" s="203" t="e">
        <f t="shared" si="71"/>
        <v>#DIV/0!</v>
      </c>
      <c r="CX115" s="19" t="e">
        <f t="shared" si="72"/>
        <v>#DIV/0!</v>
      </c>
      <c r="CY115" s="19" t="e">
        <f t="shared" si="73"/>
        <v>#DIV/0!</v>
      </c>
      <c r="CZ115" s="19" t="e">
        <f t="shared" si="74"/>
        <v>#DIV/0!</v>
      </c>
      <c r="DA115" s="203" t="e">
        <f t="shared" si="75"/>
        <v>#DIV/0!</v>
      </c>
      <c r="DB115" s="203" t="e">
        <f t="shared" si="76"/>
        <v>#DIV/0!</v>
      </c>
      <c r="DC115" s="203" t="e">
        <f t="shared" si="77"/>
        <v>#DIV/0!</v>
      </c>
      <c r="DD115" s="63"/>
      <c r="DE115" s="62"/>
      <c r="DF115" s="62"/>
      <c r="DG115" s="62"/>
      <c r="DH115" s="62"/>
      <c r="DI115" s="62"/>
      <c r="DJ115" s="63"/>
      <c r="DK115" s="62"/>
      <c r="DL115" s="62"/>
      <c r="DM115" s="8">
        <f t="shared" si="78"/>
        <v>0</v>
      </c>
      <c r="DN115" s="8">
        <f t="shared" si="79"/>
        <v>0</v>
      </c>
      <c r="DO115" s="202">
        <f t="shared" si="87"/>
        <v>0</v>
      </c>
      <c r="DP115" s="202">
        <f t="shared" si="88"/>
        <v>0</v>
      </c>
      <c r="DQ115" s="202">
        <f t="shared" si="89"/>
        <v>0</v>
      </c>
      <c r="DR115" s="9">
        <f t="shared" si="90"/>
        <v>0</v>
      </c>
      <c r="DS115" s="9">
        <f t="shared" si="91"/>
        <v>0</v>
      </c>
      <c r="DT115" s="9">
        <f t="shared" si="92"/>
        <v>0</v>
      </c>
      <c r="DU115" s="202">
        <f t="shared" si="81"/>
        <v>0</v>
      </c>
      <c r="DV115" s="202">
        <f t="shared" si="82"/>
        <v>0</v>
      </c>
      <c r="DW115" s="202">
        <f t="shared" si="83"/>
        <v>0</v>
      </c>
      <c r="DX115" s="203" t="e">
        <f t="shared" si="93"/>
        <v>#DIV/0!</v>
      </c>
      <c r="DY115" s="203" t="e">
        <f t="shared" si="94"/>
        <v>#DIV/0!</v>
      </c>
      <c r="DZ115" s="203" t="e">
        <f t="shared" si="95"/>
        <v>#DIV/0!</v>
      </c>
      <c r="EA115" s="19" t="e">
        <f t="shared" si="96"/>
        <v>#DIV/0!</v>
      </c>
      <c r="EB115" s="19" t="e">
        <f t="shared" si="97"/>
        <v>#DIV/0!</v>
      </c>
      <c r="EC115" s="19" t="e">
        <f t="shared" si="98"/>
        <v>#DIV/0!</v>
      </c>
      <c r="ED115" s="203" t="e">
        <f t="shared" si="85"/>
        <v>#DIV/0!</v>
      </c>
      <c r="EE115" s="203" t="e">
        <f t="shared" si="85"/>
        <v>#DIV/0!</v>
      </c>
      <c r="EF115" s="203" t="e">
        <f t="shared" si="85"/>
        <v>#DIV/0!</v>
      </c>
      <c r="EH115" s="58">
        <f t="shared" si="42"/>
        <v>0</v>
      </c>
      <c r="EI115" s="68" t="e">
        <f t="shared" si="43"/>
        <v>#DIV/0!</v>
      </c>
      <c r="EJ115" s="58">
        <f t="shared" si="44"/>
        <v>0</v>
      </c>
      <c r="EK115" s="68" t="e">
        <f t="shared" si="43"/>
        <v>#DIV/0!</v>
      </c>
      <c r="EL115" s="58">
        <f t="shared" si="45"/>
        <v>0</v>
      </c>
      <c r="EM115" s="58">
        <f t="shared" si="46"/>
        <v>0</v>
      </c>
      <c r="EN115" s="68" t="e">
        <f t="shared" si="47"/>
        <v>#DIV/0!</v>
      </c>
    </row>
    <row r="116" spans="1:144" x14ac:dyDescent="0.2">
      <c r="A116" s="43">
        <v>0</v>
      </c>
      <c r="B116" s="43">
        <v>0</v>
      </c>
      <c r="C116" s="43">
        <v>0</v>
      </c>
      <c r="D116" s="70">
        <v>2017</v>
      </c>
      <c r="E116" s="70">
        <v>1</v>
      </c>
      <c r="F116" s="2"/>
      <c r="G116" s="63"/>
      <c r="H116" s="63"/>
      <c r="I116" s="63"/>
      <c r="J116" s="63"/>
      <c r="K116" s="63"/>
      <c r="L116" s="63"/>
      <c r="M116" s="5"/>
      <c r="N116" s="5"/>
      <c r="O116" s="5"/>
      <c r="P116" s="200">
        <f t="shared" si="51"/>
        <v>0</v>
      </c>
      <c r="Q116" s="200">
        <f t="shared" si="52"/>
        <v>0</v>
      </c>
      <c r="R116" s="200">
        <f t="shared" si="53"/>
        <v>0</v>
      </c>
      <c r="S116" s="8">
        <f t="shared" si="54"/>
        <v>0</v>
      </c>
      <c r="T116" s="8">
        <f t="shared" si="55"/>
        <v>0</v>
      </c>
      <c r="U116" s="8">
        <f t="shared" si="56"/>
        <v>0</v>
      </c>
      <c r="V116" s="200">
        <f t="shared" si="57"/>
        <v>0</v>
      </c>
      <c r="W116" s="200">
        <f t="shared" si="58"/>
        <v>0</v>
      </c>
      <c r="X116" s="200">
        <f t="shared" si="59"/>
        <v>0</v>
      </c>
      <c r="Y116" s="63"/>
      <c r="Z116" s="63"/>
      <c r="AA116" s="63"/>
      <c r="AB116" s="8"/>
      <c r="AC116" s="8"/>
      <c r="AD116" s="8"/>
      <c r="AE116" s="8"/>
      <c r="AF116" s="8"/>
      <c r="AG116" s="8"/>
      <c r="AH116" s="8"/>
      <c r="AI116" s="8"/>
      <c r="AJ116" s="8"/>
      <c r="AK116" s="8"/>
      <c r="AL116" s="63"/>
      <c r="AM116" s="63"/>
      <c r="AN116" s="63"/>
      <c r="AO116" s="63"/>
      <c r="AP116" s="63"/>
      <c r="AQ116" s="62"/>
      <c r="AR116" s="18"/>
      <c r="AS116" s="18"/>
      <c r="AT116" s="62"/>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2"/>
      <c r="BQ116" s="62"/>
      <c r="BR116" s="5"/>
      <c r="BS116" s="5"/>
      <c r="BT116" s="5"/>
      <c r="BU116" s="5"/>
      <c r="BV116" s="5"/>
      <c r="BW116" s="5"/>
      <c r="BX116" s="5"/>
      <c r="BY116" s="5"/>
      <c r="BZ116" s="62"/>
      <c r="CA116" s="64"/>
      <c r="CB116" s="63"/>
      <c r="CC116" s="64"/>
      <c r="CD116" s="64"/>
      <c r="CE116" s="64"/>
      <c r="CF116" s="64"/>
      <c r="CG116" s="70"/>
      <c r="CH116" s="70"/>
      <c r="CI116" s="70"/>
      <c r="CJ116" s="63"/>
      <c r="CK116" s="8">
        <f t="shared" si="86"/>
        <v>0</v>
      </c>
      <c r="CL116" s="201">
        <f t="shared" si="60"/>
        <v>0</v>
      </c>
      <c r="CM116" s="201">
        <f t="shared" si="61"/>
        <v>0</v>
      </c>
      <c r="CN116" s="201">
        <f t="shared" si="62"/>
        <v>0</v>
      </c>
      <c r="CO116" s="9">
        <f t="shared" si="63"/>
        <v>0</v>
      </c>
      <c r="CP116" s="9">
        <f t="shared" si="64"/>
        <v>0</v>
      </c>
      <c r="CQ116" s="9">
        <f t="shared" si="65"/>
        <v>0</v>
      </c>
      <c r="CR116" s="201">
        <f t="shared" si="66"/>
        <v>0</v>
      </c>
      <c r="CS116" s="201">
        <f t="shared" si="67"/>
        <v>0</v>
      </c>
      <c r="CT116" s="201">
        <f t="shared" si="68"/>
        <v>0</v>
      </c>
      <c r="CU116" s="203" t="e">
        <f t="shared" si="69"/>
        <v>#DIV/0!</v>
      </c>
      <c r="CV116" s="203" t="e">
        <f t="shared" si="70"/>
        <v>#DIV/0!</v>
      </c>
      <c r="CW116" s="203" t="e">
        <f t="shared" si="71"/>
        <v>#DIV/0!</v>
      </c>
      <c r="CX116" s="19" t="e">
        <f t="shared" si="72"/>
        <v>#DIV/0!</v>
      </c>
      <c r="CY116" s="19" t="e">
        <f t="shared" si="73"/>
        <v>#DIV/0!</v>
      </c>
      <c r="CZ116" s="19" t="e">
        <f t="shared" si="74"/>
        <v>#DIV/0!</v>
      </c>
      <c r="DA116" s="203" t="e">
        <f t="shared" si="75"/>
        <v>#DIV/0!</v>
      </c>
      <c r="DB116" s="203" t="e">
        <f t="shared" si="76"/>
        <v>#DIV/0!</v>
      </c>
      <c r="DC116" s="203" t="e">
        <f t="shared" si="77"/>
        <v>#DIV/0!</v>
      </c>
      <c r="DD116" s="63"/>
      <c r="DE116" s="62"/>
      <c r="DF116" s="62"/>
      <c r="DG116" s="62"/>
      <c r="DH116" s="62"/>
      <c r="DI116" s="62"/>
      <c r="DJ116" s="63"/>
      <c r="DK116" s="62"/>
      <c r="DL116" s="62"/>
      <c r="DM116" s="8">
        <f t="shared" si="78"/>
        <v>0</v>
      </c>
      <c r="DN116" s="8">
        <f t="shared" si="79"/>
        <v>0</v>
      </c>
      <c r="DO116" s="202">
        <f t="shared" si="87"/>
        <v>0</v>
      </c>
      <c r="DP116" s="202">
        <f t="shared" si="88"/>
        <v>0</v>
      </c>
      <c r="DQ116" s="202">
        <f t="shared" si="89"/>
        <v>0</v>
      </c>
      <c r="DR116" s="9">
        <f t="shared" si="90"/>
        <v>0</v>
      </c>
      <c r="DS116" s="9">
        <f t="shared" si="91"/>
        <v>0</v>
      </c>
      <c r="DT116" s="9">
        <f t="shared" si="92"/>
        <v>0</v>
      </c>
      <c r="DU116" s="202">
        <f t="shared" si="81"/>
        <v>0</v>
      </c>
      <c r="DV116" s="202">
        <f t="shared" si="82"/>
        <v>0</v>
      </c>
      <c r="DW116" s="202">
        <f t="shared" si="83"/>
        <v>0</v>
      </c>
      <c r="DX116" s="203" t="e">
        <f t="shared" si="93"/>
        <v>#DIV/0!</v>
      </c>
      <c r="DY116" s="203" t="e">
        <f t="shared" si="94"/>
        <v>#DIV/0!</v>
      </c>
      <c r="DZ116" s="203" t="e">
        <f t="shared" si="95"/>
        <v>#DIV/0!</v>
      </c>
      <c r="EA116" s="19" t="e">
        <f t="shared" si="96"/>
        <v>#DIV/0!</v>
      </c>
      <c r="EB116" s="19" t="e">
        <f t="shared" si="97"/>
        <v>#DIV/0!</v>
      </c>
      <c r="EC116" s="19" t="e">
        <f t="shared" si="98"/>
        <v>#DIV/0!</v>
      </c>
      <c r="ED116" s="203" t="e">
        <f t="shared" si="85"/>
        <v>#DIV/0!</v>
      </c>
      <c r="EE116" s="203" t="e">
        <f t="shared" si="85"/>
        <v>#DIV/0!</v>
      </c>
      <c r="EF116" s="203" t="e">
        <f t="shared" si="85"/>
        <v>#DIV/0!</v>
      </c>
      <c r="EH116" s="58">
        <f t="shared" si="42"/>
        <v>0</v>
      </c>
      <c r="EI116" s="68" t="e">
        <f t="shared" si="43"/>
        <v>#DIV/0!</v>
      </c>
      <c r="EJ116" s="58">
        <f t="shared" si="44"/>
        <v>0</v>
      </c>
      <c r="EK116" s="68" t="e">
        <f t="shared" si="43"/>
        <v>#DIV/0!</v>
      </c>
      <c r="EL116" s="58">
        <f t="shared" si="45"/>
        <v>0</v>
      </c>
      <c r="EM116" s="58">
        <f t="shared" si="46"/>
        <v>0</v>
      </c>
      <c r="EN116" s="68" t="e">
        <f t="shared" si="47"/>
        <v>#DIV/0!</v>
      </c>
    </row>
    <row r="117" spans="1:144" x14ac:dyDescent="0.2">
      <c r="A117" s="43">
        <v>0</v>
      </c>
      <c r="B117" s="43">
        <v>0</v>
      </c>
      <c r="C117" s="43">
        <v>0</v>
      </c>
      <c r="D117" s="70">
        <v>2017</v>
      </c>
      <c r="E117" s="70">
        <v>2</v>
      </c>
      <c r="F117" s="2"/>
      <c r="G117" s="63"/>
      <c r="H117" s="63"/>
      <c r="I117" s="63"/>
      <c r="J117" s="63"/>
      <c r="K117" s="63"/>
      <c r="L117" s="63"/>
      <c r="M117" s="5"/>
      <c r="N117" s="5"/>
      <c r="O117" s="5"/>
      <c r="P117" s="200">
        <f t="shared" si="51"/>
        <v>0</v>
      </c>
      <c r="Q117" s="200">
        <f t="shared" si="52"/>
        <v>0</v>
      </c>
      <c r="R117" s="200">
        <f t="shared" si="53"/>
        <v>0</v>
      </c>
      <c r="S117" s="8">
        <f t="shared" si="54"/>
        <v>0</v>
      </c>
      <c r="T117" s="8">
        <f t="shared" si="55"/>
        <v>0</v>
      </c>
      <c r="U117" s="8">
        <f t="shared" si="56"/>
        <v>0</v>
      </c>
      <c r="V117" s="200">
        <f t="shared" si="57"/>
        <v>0</v>
      </c>
      <c r="W117" s="200">
        <f t="shared" si="58"/>
        <v>0</v>
      </c>
      <c r="X117" s="200">
        <f t="shared" si="59"/>
        <v>0</v>
      </c>
      <c r="Y117" s="63"/>
      <c r="Z117" s="63"/>
      <c r="AA117" s="63"/>
      <c r="AB117" s="8"/>
      <c r="AC117" s="8"/>
      <c r="AD117" s="8"/>
      <c r="AE117" s="8"/>
      <c r="AF117" s="8"/>
      <c r="AG117" s="8"/>
      <c r="AH117" s="8"/>
      <c r="AI117" s="8"/>
      <c r="AJ117" s="8"/>
      <c r="AK117" s="8"/>
      <c r="AL117" s="63"/>
      <c r="AM117" s="63"/>
      <c r="AN117" s="63"/>
      <c r="AO117" s="63"/>
      <c r="AP117" s="63"/>
      <c r="AQ117" s="62"/>
      <c r="AR117" s="18"/>
      <c r="AS117" s="18"/>
      <c r="AT117" s="62"/>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2"/>
      <c r="BQ117" s="62"/>
      <c r="BR117" s="5"/>
      <c r="BS117" s="5"/>
      <c r="BT117" s="5"/>
      <c r="BU117" s="5"/>
      <c r="BV117" s="5"/>
      <c r="BW117" s="5"/>
      <c r="BX117" s="5"/>
      <c r="BY117" s="5"/>
      <c r="BZ117" s="62"/>
      <c r="CA117" s="64"/>
      <c r="CB117" s="63"/>
      <c r="CC117" s="64"/>
      <c r="CD117" s="64"/>
      <c r="CE117" s="64"/>
      <c r="CF117" s="64"/>
      <c r="CG117" s="70"/>
      <c r="CH117" s="70"/>
      <c r="CI117" s="70"/>
      <c r="CJ117" s="63"/>
      <c r="CK117" s="8">
        <f t="shared" si="86"/>
        <v>0</v>
      </c>
      <c r="CL117" s="201">
        <f t="shared" si="60"/>
        <v>0</v>
      </c>
      <c r="CM117" s="201">
        <f t="shared" si="61"/>
        <v>0</v>
      </c>
      <c r="CN117" s="201">
        <f t="shared" si="62"/>
        <v>0</v>
      </c>
      <c r="CO117" s="9">
        <f t="shared" si="63"/>
        <v>0</v>
      </c>
      <c r="CP117" s="9">
        <f t="shared" si="64"/>
        <v>0</v>
      </c>
      <c r="CQ117" s="9">
        <f t="shared" si="65"/>
        <v>0</v>
      </c>
      <c r="CR117" s="201">
        <f t="shared" si="66"/>
        <v>0</v>
      </c>
      <c r="CS117" s="201">
        <f t="shared" si="67"/>
        <v>0</v>
      </c>
      <c r="CT117" s="201">
        <f t="shared" si="68"/>
        <v>0</v>
      </c>
      <c r="CU117" s="203" t="e">
        <f t="shared" si="69"/>
        <v>#DIV/0!</v>
      </c>
      <c r="CV117" s="203" t="e">
        <f t="shared" si="70"/>
        <v>#DIV/0!</v>
      </c>
      <c r="CW117" s="203" t="e">
        <f t="shared" si="71"/>
        <v>#DIV/0!</v>
      </c>
      <c r="CX117" s="19" t="e">
        <f t="shared" si="72"/>
        <v>#DIV/0!</v>
      </c>
      <c r="CY117" s="19" t="e">
        <f t="shared" si="73"/>
        <v>#DIV/0!</v>
      </c>
      <c r="CZ117" s="19" t="e">
        <f t="shared" si="74"/>
        <v>#DIV/0!</v>
      </c>
      <c r="DA117" s="203" t="e">
        <f t="shared" si="75"/>
        <v>#DIV/0!</v>
      </c>
      <c r="DB117" s="203" t="e">
        <f t="shared" si="76"/>
        <v>#DIV/0!</v>
      </c>
      <c r="DC117" s="203" t="e">
        <f t="shared" si="77"/>
        <v>#DIV/0!</v>
      </c>
      <c r="DD117" s="63"/>
      <c r="DE117" s="62"/>
      <c r="DF117" s="62"/>
      <c r="DG117" s="62"/>
      <c r="DH117" s="62"/>
      <c r="DI117" s="62"/>
      <c r="DJ117" s="63"/>
      <c r="DK117" s="62"/>
      <c r="DL117" s="62"/>
      <c r="DM117" s="8">
        <f t="shared" si="78"/>
        <v>0</v>
      </c>
      <c r="DN117" s="8">
        <f t="shared" si="79"/>
        <v>0</v>
      </c>
      <c r="DO117" s="202">
        <f t="shared" si="87"/>
        <v>0</v>
      </c>
      <c r="DP117" s="202">
        <f t="shared" si="88"/>
        <v>0</v>
      </c>
      <c r="DQ117" s="202">
        <f t="shared" si="89"/>
        <v>0</v>
      </c>
      <c r="DR117" s="9">
        <f t="shared" si="90"/>
        <v>0</v>
      </c>
      <c r="DS117" s="9">
        <f t="shared" si="91"/>
        <v>0</v>
      </c>
      <c r="DT117" s="9">
        <f t="shared" si="92"/>
        <v>0</v>
      </c>
      <c r="DU117" s="202">
        <f t="shared" si="81"/>
        <v>0</v>
      </c>
      <c r="DV117" s="202">
        <f t="shared" si="82"/>
        <v>0</v>
      </c>
      <c r="DW117" s="202">
        <f t="shared" si="83"/>
        <v>0</v>
      </c>
      <c r="DX117" s="203" t="e">
        <f t="shared" si="93"/>
        <v>#DIV/0!</v>
      </c>
      <c r="DY117" s="203" t="e">
        <f t="shared" si="94"/>
        <v>#DIV/0!</v>
      </c>
      <c r="DZ117" s="203" t="e">
        <f t="shared" si="95"/>
        <v>#DIV/0!</v>
      </c>
      <c r="EA117" s="19" t="e">
        <f t="shared" si="96"/>
        <v>#DIV/0!</v>
      </c>
      <c r="EB117" s="19" t="e">
        <f t="shared" si="97"/>
        <v>#DIV/0!</v>
      </c>
      <c r="EC117" s="19" t="e">
        <f t="shared" si="98"/>
        <v>#DIV/0!</v>
      </c>
      <c r="ED117" s="203" t="e">
        <f t="shared" si="85"/>
        <v>#DIV/0!</v>
      </c>
      <c r="EE117" s="203" t="e">
        <f t="shared" si="85"/>
        <v>#DIV/0!</v>
      </c>
      <c r="EF117" s="203" t="e">
        <f t="shared" si="85"/>
        <v>#DIV/0!</v>
      </c>
      <c r="EH117" s="58">
        <f t="shared" si="42"/>
        <v>0</v>
      </c>
      <c r="EI117" s="68" t="e">
        <f t="shared" si="43"/>
        <v>#DIV/0!</v>
      </c>
      <c r="EJ117" s="58">
        <f t="shared" si="44"/>
        <v>0</v>
      </c>
      <c r="EK117" s="68" t="e">
        <f t="shared" si="43"/>
        <v>#DIV/0!</v>
      </c>
      <c r="EL117" s="58">
        <f t="shared" si="45"/>
        <v>0</v>
      </c>
      <c r="EM117" s="58">
        <f t="shared" si="46"/>
        <v>0</v>
      </c>
      <c r="EN117" s="68" t="e">
        <f t="shared" si="47"/>
        <v>#DIV/0!</v>
      </c>
    </row>
    <row r="118" spans="1:144" x14ac:dyDescent="0.2">
      <c r="A118" s="43">
        <v>0</v>
      </c>
      <c r="B118" s="43">
        <v>0</v>
      </c>
      <c r="C118" s="43">
        <v>0</v>
      </c>
      <c r="D118" s="70">
        <v>2017</v>
      </c>
      <c r="E118" s="70">
        <v>3</v>
      </c>
      <c r="F118" s="2"/>
      <c r="G118" s="63"/>
      <c r="H118" s="63"/>
      <c r="I118" s="63"/>
      <c r="J118" s="63"/>
      <c r="K118" s="63"/>
      <c r="L118" s="63"/>
      <c r="M118" s="5"/>
      <c r="N118" s="5"/>
      <c r="O118" s="5"/>
      <c r="P118" s="200">
        <f t="shared" si="51"/>
        <v>0</v>
      </c>
      <c r="Q118" s="200">
        <f t="shared" si="52"/>
        <v>0</v>
      </c>
      <c r="R118" s="200">
        <f t="shared" si="53"/>
        <v>0</v>
      </c>
      <c r="S118" s="8">
        <f t="shared" si="54"/>
        <v>0</v>
      </c>
      <c r="T118" s="8">
        <f t="shared" si="55"/>
        <v>0</v>
      </c>
      <c r="U118" s="8">
        <f t="shared" si="56"/>
        <v>0</v>
      </c>
      <c r="V118" s="200">
        <f t="shared" si="57"/>
        <v>0</v>
      </c>
      <c r="W118" s="200">
        <f t="shared" si="58"/>
        <v>0</v>
      </c>
      <c r="X118" s="200">
        <f t="shared" si="59"/>
        <v>0</v>
      </c>
      <c r="Y118" s="63"/>
      <c r="Z118" s="63"/>
      <c r="AA118" s="63"/>
      <c r="AB118" s="8"/>
      <c r="AC118" s="8"/>
      <c r="AD118" s="8"/>
      <c r="AE118" s="8"/>
      <c r="AF118" s="8"/>
      <c r="AG118" s="8"/>
      <c r="AH118" s="8"/>
      <c r="AI118" s="8"/>
      <c r="AJ118" s="8"/>
      <c r="AK118" s="8"/>
      <c r="AL118" s="63"/>
      <c r="AM118" s="63"/>
      <c r="AN118" s="63"/>
      <c r="AO118" s="63"/>
      <c r="AP118" s="63"/>
      <c r="AQ118" s="62"/>
      <c r="AR118" s="18"/>
      <c r="AS118" s="18"/>
      <c r="AT118" s="62"/>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2"/>
      <c r="BQ118" s="62"/>
      <c r="BR118" s="5"/>
      <c r="BS118" s="5"/>
      <c r="BT118" s="5"/>
      <c r="BU118" s="5"/>
      <c r="BV118" s="5"/>
      <c r="BW118" s="5"/>
      <c r="BX118" s="5"/>
      <c r="BY118" s="5"/>
      <c r="BZ118" s="62"/>
      <c r="CA118" s="64"/>
      <c r="CB118" s="63"/>
      <c r="CC118" s="64"/>
      <c r="CD118" s="64"/>
      <c r="CE118" s="64"/>
      <c r="CF118" s="64"/>
      <c r="CG118" s="70"/>
      <c r="CH118" s="70"/>
      <c r="CI118" s="70"/>
      <c r="CJ118" s="63"/>
      <c r="CK118" s="8">
        <f t="shared" si="86"/>
        <v>0</v>
      </c>
      <c r="CL118" s="201">
        <f t="shared" si="60"/>
        <v>0</v>
      </c>
      <c r="CM118" s="201">
        <f t="shared" si="61"/>
        <v>0</v>
      </c>
      <c r="CN118" s="201">
        <f t="shared" si="62"/>
        <v>0</v>
      </c>
      <c r="CO118" s="9">
        <f t="shared" si="63"/>
        <v>0</v>
      </c>
      <c r="CP118" s="9">
        <f t="shared" si="64"/>
        <v>0</v>
      </c>
      <c r="CQ118" s="9">
        <f t="shared" si="65"/>
        <v>0</v>
      </c>
      <c r="CR118" s="201">
        <f t="shared" si="66"/>
        <v>0</v>
      </c>
      <c r="CS118" s="201">
        <f t="shared" si="67"/>
        <v>0</v>
      </c>
      <c r="CT118" s="201">
        <f t="shared" si="68"/>
        <v>0</v>
      </c>
      <c r="CU118" s="203" t="e">
        <f t="shared" si="69"/>
        <v>#DIV/0!</v>
      </c>
      <c r="CV118" s="203" t="e">
        <f t="shared" si="70"/>
        <v>#DIV/0!</v>
      </c>
      <c r="CW118" s="203" t="e">
        <f t="shared" si="71"/>
        <v>#DIV/0!</v>
      </c>
      <c r="CX118" s="19" t="e">
        <f t="shared" si="72"/>
        <v>#DIV/0!</v>
      </c>
      <c r="CY118" s="19" t="e">
        <f t="shared" si="73"/>
        <v>#DIV/0!</v>
      </c>
      <c r="CZ118" s="19" t="e">
        <f t="shared" si="74"/>
        <v>#DIV/0!</v>
      </c>
      <c r="DA118" s="203" t="e">
        <f t="shared" si="75"/>
        <v>#DIV/0!</v>
      </c>
      <c r="DB118" s="203" t="e">
        <f t="shared" si="76"/>
        <v>#DIV/0!</v>
      </c>
      <c r="DC118" s="203" t="e">
        <f t="shared" si="77"/>
        <v>#DIV/0!</v>
      </c>
      <c r="DD118" s="63"/>
      <c r="DE118" s="62"/>
      <c r="DF118" s="62"/>
      <c r="DG118" s="62"/>
      <c r="DH118" s="62"/>
      <c r="DI118" s="62"/>
      <c r="DJ118" s="63"/>
      <c r="DK118" s="62"/>
      <c r="DL118" s="62"/>
      <c r="DM118" s="8">
        <f t="shared" si="78"/>
        <v>0</v>
      </c>
      <c r="DN118" s="8">
        <f t="shared" si="79"/>
        <v>0</v>
      </c>
      <c r="DO118" s="202">
        <f t="shared" si="87"/>
        <v>0</v>
      </c>
      <c r="DP118" s="202">
        <f t="shared" si="88"/>
        <v>0</v>
      </c>
      <c r="DQ118" s="202">
        <f t="shared" si="89"/>
        <v>0</v>
      </c>
      <c r="DR118" s="9">
        <f t="shared" si="90"/>
        <v>0</v>
      </c>
      <c r="DS118" s="9">
        <f t="shared" si="91"/>
        <v>0</v>
      </c>
      <c r="DT118" s="9">
        <f t="shared" si="92"/>
        <v>0</v>
      </c>
      <c r="DU118" s="202">
        <f t="shared" si="81"/>
        <v>0</v>
      </c>
      <c r="DV118" s="202">
        <f t="shared" si="82"/>
        <v>0</v>
      </c>
      <c r="DW118" s="202">
        <f t="shared" si="83"/>
        <v>0</v>
      </c>
      <c r="DX118" s="203" t="e">
        <f t="shared" si="93"/>
        <v>#DIV/0!</v>
      </c>
      <c r="DY118" s="203" t="e">
        <f t="shared" si="94"/>
        <v>#DIV/0!</v>
      </c>
      <c r="DZ118" s="203" t="e">
        <f t="shared" si="95"/>
        <v>#DIV/0!</v>
      </c>
      <c r="EA118" s="19" t="e">
        <f t="shared" si="96"/>
        <v>#DIV/0!</v>
      </c>
      <c r="EB118" s="19" t="e">
        <f t="shared" si="97"/>
        <v>#DIV/0!</v>
      </c>
      <c r="EC118" s="19" t="e">
        <f t="shared" si="98"/>
        <v>#DIV/0!</v>
      </c>
      <c r="ED118" s="203" t="e">
        <f t="shared" si="85"/>
        <v>#DIV/0!</v>
      </c>
      <c r="EE118" s="203" t="e">
        <f t="shared" si="85"/>
        <v>#DIV/0!</v>
      </c>
      <c r="EF118" s="203" t="e">
        <f t="shared" si="85"/>
        <v>#DIV/0!</v>
      </c>
      <c r="EH118" s="58">
        <f t="shared" si="42"/>
        <v>0</v>
      </c>
      <c r="EI118" s="68" t="e">
        <f t="shared" si="43"/>
        <v>#DIV/0!</v>
      </c>
      <c r="EJ118" s="58">
        <f t="shared" si="44"/>
        <v>0</v>
      </c>
      <c r="EK118" s="68" t="e">
        <f t="shared" si="43"/>
        <v>#DIV/0!</v>
      </c>
      <c r="EL118" s="58">
        <f t="shared" si="45"/>
        <v>0</v>
      </c>
      <c r="EM118" s="58">
        <f t="shared" si="46"/>
        <v>0</v>
      </c>
      <c r="EN118" s="68" t="e">
        <f t="shared" si="47"/>
        <v>#DIV/0!</v>
      </c>
    </row>
    <row r="119" spans="1:144" x14ac:dyDescent="0.2">
      <c r="A119" s="43">
        <v>0</v>
      </c>
      <c r="B119" s="43">
        <v>0</v>
      </c>
      <c r="C119" s="43">
        <v>0</v>
      </c>
      <c r="D119" s="70">
        <v>2017</v>
      </c>
      <c r="E119" s="70">
        <v>4</v>
      </c>
      <c r="F119" s="2"/>
      <c r="G119" s="63"/>
      <c r="H119" s="63"/>
      <c r="I119" s="63"/>
      <c r="J119" s="63"/>
      <c r="K119" s="63"/>
      <c r="L119" s="63"/>
      <c r="M119" s="5"/>
      <c r="N119" s="5"/>
      <c r="O119" s="5"/>
      <c r="P119" s="200">
        <f t="shared" si="51"/>
        <v>0</v>
      </c>
      <c r="Q119" s="200">
        <f t="shared" si="52"/>
        <v>0</v>
      </c>
      <c r="R119" s="200">
        <f t="shared" si="53"/>
        <v>0</v>
      </c>
      <c r="S119" s="8">
        <f t="shared" si="54"/>
        <v>0</v>
      </c>
      <c r="T119" s="8">
        <f t="shared" si="55"/>
        <v>0</v>
      </c>
      <c r="U119" s="8">
        <f t="shared" si="56"/>
        <v>0</v>
      </c>
      <c r="V119" s="200">
        <f t="shared" si="57"/>
        <v>0</v>
      </c>
      <c r="W119" s="200">
        <f t="shared" si="58"/>
        <v>0</v>
      </c>
      <c r="X119" s="200">
        <f t="shared" si="59"/>
        <v>0</v>
      </c>
      <c r="Y119" s="63"/>
      <c r="Z119" s="63"/>
      <c r="AA119" s="63"/>
      <c r="AB119" s="8"/>
      <c r="AC119" s="8"/>
      <c r="AD119" s="8"/>
      <c r="AE119" s="8"/>
      <c r="AF119" s="8"/>
      <c r="AG119" s="8"/>
      <c r="AH119" s="8"/>
      <c r="AI119" s="8"/>
      <c r="AJ119" s="8"/>
      <c r="AK119" s="8"/>
      <c r="AL119" s="63"/>
      <c r="AM119" s="63"/>
      <c r="AN119" s="63"/>
      <c r="AO119" s="63"/>
      <c r="AP119" s="63"/>
      <c r="AQ119" s="62"/>
      <c r="AR119" s="18"/>
      <c r="AS119" s="18"/>
      <c r="AT119" s="62"/>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2"/>
      <c r="BQ119" s="62"/>
      <c r="BR119" s="5"/>
      <c r="BS119" s="5"/>
      <c r="BT119" s="5"/>
      <c r="BU119" s="5"/>
      <c r="BV119" s="5"/>
      <c r="BW119" s="5"/>
      <c r="BX119" s="5"/>
      <c r="BY119" s="5"/>
      <c r="BZ119" s="128"/>
      <c r="CA119" s="64"/>
      <c r="CB119" s="63"/>
      <c r="CC119" s="64"/>
      <c r="CD119" s="64"/>
      <c r="CE119" s="64"/>
      <c r="CF119" s="64"/>
      <c r="CG119" s="70"/>
      <c r="CH119" s="70"/>
      <c r="CI119" s="70"/>
      <c r="CJ119" s="63"/>
      <c r="CK119" s="8">
        <f t="shared" si="86"/>
        <v>0</v>
      </c>
      <c r="CL119" s="201">
        <f t="shared" si="60"/>
        <v>0</v>
      </c>
      <c r="CM119" s="201">
        <f t="shared" si="61"/>
        <v>0</v>
      </c>
      <c r="CN119" s="201">
        <f t="shared" si="62"/>
        <v>0</v>
      </c>
      <c r="CO119" s="9">
        <f t="shared" si="63"/>
        <v>0</v>
      </c>
      <c r="CP119" s="9">
        <f t="shared" si="64"/>
        <v>0</v>
      </c>
      <c r="CQ119" s="9">
        <f t="shared" si="65"/>
        <v>0</v>
      </c>
      <c r="CR119" s="201">
        <f t="shared" si="66"/>
        <v>0</v>
      </c>
      <c r="CS119" s="201">
        <f t="shared" si="67"/>
        <v>0</v>
      </c>
      <c r="CT119" s="201">
        <f t="shared" si="68"/>
        <v>0</v>
      </c>
      <c r="CU119" s="203" t="e">
        <f t="shared" si="69"/>
        <v>#DIV/0!</v>
      </c>
      <c r="CV119" s="203" t="e">
        <f t="shared" si="70"/>
        <v>#DIV/0!</v>
      </c>
      <c r="CW119" s="203" t="e">
        <f t="shared" si="71"/>
        <v>#DIV/0!</v>
      </c>
      <c r="CX119" s="19" t="e">
        <f t="shared" si="72"/>
        <v>#DIV/0!</v>
      </c>
      <c r="CY119" s="19" t="e">
        <f t="shared" si="73"/>
        <v>#DIV/0!</v>
      </c>
      <c r="CZ119" s="19" t="e">
        <f t="shared" si="74"/>
        <v>#DIV/0!</v>
      </c>
      <c r="DA119" s="203" t="e">
        <f t="shared" si="75"/>
        <v>#DIV/0!</v>
      </c>
      <c r="DB119" s="203" t="e">
        <f t="shared" si="76"/>
        <v>#DIV/0!</v>
      </c>
      <c r="DC119" s="203" t="e">
        <f t="shared" si="77"/>
        <v>#DIV/0!</v>
      </c>
      <c r="DD119" s="63"/>
      <c r="DE119" s="62"/>
      <c r="DF119" s="62"/>
      <c r="DG119" s="62"/>
      <c r="DH119" s="62"/>
      <c r="DI119" s="62"/>
      <c r="DJ119" s="63"/>
      <c r="DK119" s="62"/>
      <c r="DL119" s="62"/>
      <c r="DM119" s="8">
        <f t="shared" si="78"/>
        <v>0</v>
      </c>
      <c r="DN119" s="8">
        <f t="shared" si="79"/>
        <v>0</v>
      </c>
      <c r="DO119" s="202">
        <f t="shared" si="87"/>
        <v>0</v>
      </c>
      <c r="DP119" s="202">
        <f t="shared" si="88"/>
        <v>0</v>
      </c>
      <c r="DQ119" s="202">
        <f t="shared" si="89"/>
        <v>0</v>
      </c>
      <c r="DR119" s="9">
        <f t="shared" si="90"/>
        <v>0</v>
      </c>
      <c r="DS119" s="9">
        <f t="shared" si="91"/>
        <v>0</v>
      </c>
      <c r="DT119" s="9">
        <f t="shared" si="92"/>
        <v>0</v>
      </c>
      <c r="DU119" s="202">
        <f t="shared" si="81"/>
        <v>0</v>
      </c>
      <c r="DV119" s="202">
        <f t="shared" si="82"/>
        <v>0</v>
      </c>
      <c r="DW119" s="202">
        <f t="shared" si="83"/>
        <v>0</v>
      </c>
      <c r="DX119" s="203" t="e">
        <f t="shared" si="93"/>
        <v>#DIV/0!</v>
      </c>
      <c r="DY119" s="203" t="e">
        <f t="shared" si="94"/>
        <v>#DIV/0!</v>
      </c>
      <c r="DZ119" s="203" t="e">
        <f t="shared" si="95"/>
        <v>#DIV/0!</v>
      </c>
      <c r="EA119" s="19" t="e">
        <f t="shared" si="96"/>
        <v>#DIV/0!</v>
      </c>
      <c r="EB119" s="19" t="e">
        <f t="shared" si="97"/>
        <v>#DIV/0!</v>
      </c>
      <c r="EC119" s="19" t="e">
        <f t="shared" si="98"/>
        <v>#DIV/0!</v>
      </c>
      <c r="ED119" s="203" t="e">
        <f t="shared" si="85"/>
        <v>#DIV/0!</v>
      </c>
      <c r="EE119" s="203" t="e">
        <f t="shared" si="85"/>
        <v>#DIV/0!</v>
      </c>
      <c r="EF119" s="203" t="e">
        <f t="shared" si="85"/>
        <v>#DIV/0!</v>
      </c>
      <c r="EH119" s="58">
        <f t="shared" si="42"/>
        <v>0</v>
      </c>
      <c r="EI119" s="68" t="e">
        <f t="shared" si="43"/>
        <v>#DIV/0!</v>
      </c>
      <c r="EJ119" s="58">
        <f t="shared" si="44"/>
        <v>0</v>
      </c>
      <c r="EK119" s="68" t="e">
        <f t="shared" si="43"/>
        <v>#DIV/0!</v>
      </c>
      <c r="EL119" s="58">
        <f t="shared" si="45"/>
        <v>0</v>
      </c>
      <c r="EM119" s="58">
        <f t="shared" si="46"/>
        <v>0</v>
      </c>
      <c r="EN119" s="68" t="e">
        <f t="shared" si="47"/>
        <v>#DIV/0!</v>
      </c>
    </row>
    <row r="120" spans="1:144" x14ac:dyDescent="0.2">
      <c r="A120" s="43">
        <v>0</v>
      </c>
      <c r="B120" s="43">
        <v>0</v>
      </c>
      <c r="C120" s="43">
        <v>0</v>
      </c>
      <c r="D120" s="70">
        <v>2017</v>
      </c>
      <c r="E120" s="70">
        <v>5</v>
      </c>
      <c r="F120" s="2"/>
      <c r="G120" s="63"/>
      <c r="H120" s="63"/>
      <c r="I120" s="63"/>
      <c r="J120" s="63"/>
      <c r="K120" s="63"/>
      <c r="L120" s="63"/>
      <c r="M120" s="5"/>
      <c r="N120" s="5"/>
      <c r="O120" s="5"/>
      <c r="P120" s="200">
        <f t="shared" si="51"/>
        <v>0</v>
      </c>
      <c r="Q120" s="200">
        <f t="shared" si="52"/>
        <v>0</v>
      </c>
      <c r="R120" s="200">
        <f t="shared" si="53"/>
        <v>0</v>
      </c>
      <c r="S120" s="8">
        <f t="shared" si="54"/>
        <v>0</v>
      </c>
      <c r="T120" s="8">
        <f t="shared" si="55"/>
        <v>0</v>
      </c>
      <c r="U120" s="8">
        <f t="shared" si="56"/>
        <v>0</v>
      </c>
      <c r="V120" s="200">
        <f t="shared" si="57"/>
        <v>0</v>
      </c>
      <c r="W120" s="200">
        <f t="shared" si="58"/>
        <v>0</v>
      </c>
      <c r="X120" s="200">
        <f t="shared" si="59"/>
        <v>0</v>
      </c>
      <c r="Y120" s="63"/>
      <c r="Z120" s="63"/>
      <c r="AA120" s="63"/>
      <c r="AB120" s="8"/>
      <c r="AC120" s="8"/>
      <c r="AD120" s="8"/>
      <c r="AE120" s="8"/>
      <c r="AF120" s="8"/>
      <c r="AG120" s="8"/>
      <c r="AH120" s="8"/>
      <c r="AI120" s="8"/>
      <c r="AJ120" s="8"/>
      <c r="AK120" s="8"/>
      <c r="AL120" s="63"/>
      <c r="AM120" s="63"/>
      <c r="AN120" s="63"/>
      <c r="AO120" s="63"/>
      <c r="AP120" s="63"/>
      <c r="AQ120" s="62"/>
      <c r="AR120" s="18"/>
      <c r="AS120" s="18"/>
      <c r="AT120" s="62"/>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2"/>
      <c r="BQ120" s="62"/>
      <c r="BR120" s="5"/>
      <c r="BS120" s="5"/>
      <c r="BT120" s="5"/>
      <c r="BU120" s="5"/>
      <c r="BV120" s="5"/>
      <c r="BW120" s="5"/>
      <c r="BX120" s="5"/>
      <c r="BY120" s="5"/>
      <c r="BZ120" s="62"/>
      <c r="CA120" s="64"/>
      <c r="CB120" s="63"/>
      <c r="CC120" s="64"/>
      <c r="CD120" s="64"/>
      <c r="CE120" s="64"/>
      <c r="CF120" s="64"/>
      <c r="CG120" s="70"/>
      <c r="CH120" s="70"/>
      <c r="CI120" s="70"/>
      <c r="CJ120" s="63"/>
      <c r="CK120" s="8">
        <f t="shared" si="86"/>
        <v>0</v>
      </c>
      <c r="CL120" s="201">
        <f t="shared" si="60"/>
        <v>0</v>
      </c>
      <c r="CM120" s="201">
        <f t="shared" si="61"/>
        <v>0</v>
      </c>
      <c r="CN120" s="201">
        <f t="shared" si="62"/>
        <v>0</v>
      </c>
      <c r="CO120" s="9">
        <f t="shared" si="63"/>
        <v>0</v>
      </c>
      <c r="CP120" s="9">
        <f t="shared" si="64"/>
        <v>0</v>
      </c>
      <c r="CQ120" s="9">
        <f t="shared" si="65"/>
        <v>0</v>
      </c>
      <c r="CR120" s="201">
        <f t="shared" si="66"/>
        <v>0</v>
      </c>
      <c r="CS120" s="201">
        <f t="shared" si="67"/>
        <v>0</v>
      </c>
      <c r="CT120" s="201">
        <f t="shared" si="68"/>
        <v>0</v>
      </c>
      <c r="CU120" s="203" t="e">
        <f t="shared" si="69"/>
        <v>#DIV/0!</v>
      </c>
      <c r="CV120" s="203" t="e">
        <f t="shared" si="70"/>
        <v>#DIV/0!</v>
      </c>
      <c r="CW120" s="203" t="e">
        <f t="shared" si="71"/>
        <v>#DIV/0!</v>
      </c>
      <c r="CX120" s="19" t="e">
        <f t="shared" si="72"/>
        <v>#DIV/0!</v>
      </c>
      <c r="CY120" s="19" t="e">
        <f t="shared" si="73"/>
        <v>#DIV/0!</v>
      </c>
      <c r="CZ120" s="19" t="e">
        <f t="shared" si="74"/>
        <v>#DIV/0!</v>
      </c>
      <c r="DA120" s="203" t="e">
        <f t="shared" si="75"/>
        <v>#DIV/0!</v>
      </c>
      <c r="DB120" s="203" t="e">
        <f t="shared" si="76"/>
        <v>#DIV/0!</v>
      </c>
      <c r="DC120" s="203" t="e">
        <f t="shared" si="77"/>
        <v>#DIV/0!</v>
      </c>
      <c r="DD120" s="63"/>
      <c r="DE120" s="62"/>
      <c r="DF120" s="62"/>
      <c r="DG120" s="62"/>
      <c r="DH120" s="62"/>
      <c r="DI120" s="62"/>
      <c r="DJ120" s="63"/>
      <c r="DK120" s="62"/>
      <c r="DL120" s="62"/>
      <c r="DM120" s="8">
        <f t="shared" si="78"/>
        <v>0</v>
      </c>
      <c r="DN120" s="8">
        <f t="shared" si="79"/>
        <v>0</v>
      </c>
      <c r="DO120" s="202">
        <f t="shared" ref="DO120:DO183" si="99">+AB120-$DN120</f>
        <v>0</v>
      </c>
      <c r="DP120" s="202">
        <f t="shared" ref="DP120:DP183" si="100">+AC120-$DN120</f>
        <v>0</v>
      </c>
      <c r="DQ120" s="202">
        <f t="shared" ref="DQ120:DQ183" si="101">+AD120-$DN120</f>
        <v>0</v>
      </c>
      <c r="DR120" s="9">
        <f t="shared" ref="DR120:DR183" si="102">+AE120-$DN120</f>
        <v>0</v>
      </c>
      <c r="DS120" s="9">
        <f t="shared" si="91"/>
        <v>0</v>
      </c>
      <c r="DT120" s="9">
        <f t="shared" ref="DT120:DT183" si="103">+AG120-$DN120</f>
        <v>0</v>
      </c>
      <c r="DU120" s="202">
        <f t="shared" ref="DU120:DU183" si="104">+AI120-$DN120</f>
        <v>0</v>
      </c>
      <c r="DV120" s="202">
        <f t="shared" ref="DV120:DV183" si="105">+AJ120-$DN120</f>
        <v>0</v>
      </c>
      <c r="DW120" s="202">
        <f t="shared" ref="DW120:DW183" si="106">+AK120-$DN120</f>
        <v>0</v>
      </c>
      <c r="DX120" s="203" t="e">
        <f t="shared" ref="DX120:DX183" si="107">+DO120/AB120</f>
        <v>#DIV/0!</v>
      </c>
      <c r="DY120" s="203" t="e">
        <f t="shared" ref="DY120:DY183" si="108">+DP120/AC120</f>
        <v>#DIV/0!</v>
      </c>
      <c r="DZ120" s="203" t="e">
        <f t="shared" ref="DZ120:DZ183" si="109">+DQ120/AD120</f>
        <v>#DIV/0!</v>
      </c>
      <c r="EA120" s="19" t="e">
        <f t="shared" ref="EA120:EA183" si="110">+DR120/AE120</f>
        <v>#DIV/0!</v>
      </c>
      <c r="EB120" s="19" t="e">
        <f t="shared" si="97"/>
        <v>#DIV/0!</v>
      </c>
      <c r="EC120" s="19" t="e">
        <f t="shared" ref="EC120:EC183" si="111">+DT120/AG120</f>
        <v>#DIV/0!</v>
      </c>
      <c r="ED120" s="203" t="e">
        <f t="shared" ref="ED120:ED183" si="112">+DU120/AI120</f>
        <v>#DIV/0!</v>
      </c>
      <c r="EE120" s="203" t="e">
        <f t="shared" ref="EE120:EE183" si="113">+DV120/AJ120</f>
        <v>#DIV/0!</v>
      </c>
      <c r="EF120" s="203" t="e">
        <f t="shared" ref="EF120:EF183" si="114">+DW120/AK120</f>
        <v>#DIV/0!</v>
      </c>
      <c r="EH120" s="58">
        <f t="shared" si="42"/>
        <v>0</v>
      </c>
      <c r="EI120" s="68" t="e">
        <f t="shared" si="43"/>
        <v>#DIV/0!</v>
      </c>
      <c r="EJ120" s="58">
        <f t="shared" si="44"/>
        <v>0</v>
      </c>
      <c r="EK120" s="68" t="e">
        <f t="shared" si="43"/>
        <v>#DIV/0!</v>
      </c>
      <c r="EL120" s="58">
        <f t="shared" si="45"/>
        <v>0</v>
      </c>
      <c r="EM120" s="58">
        <f t="shared" si="46"/>
        <v>0</v>
      </c>
      <c r="EN120" s="68" t="e">
        <f t="shared" si="47"/>
        <v>#DIV/0!</v>
      </c>
    </row>
    <row r="121" spans="1:144" x14ac:dyDescent="0.2">
      <c r="A121" s="43">
        <v>0</v>
      </c>
      <c r="B121" s="43">
        <v>0</v>
      </c>
      <c r="C121" s="43">
        <v>0</v>
      </c>
      <c r="D121" s="70">
        <v>2017</v>
      </c>
      <c r="E121" s="70">
        <v>6</v>
      </c>
      <c r="F121" s="2"/>
      <c r="G121" s="63"/>
      <c r="H121" s="63"/>
      <c r="I121" s="63"/>
      <c r="J121" s="63"/>
      <c r="K121" s="63"/>
      <c r="L121" s="63"/>
      <c r="M121" s="5"/>
      <c r="N121" s="5"/>
      <c r="O121" s="5"/>
      <c r="P121" s="200">
        <f t="shared" si="51"/>
        <v>0</v>
      </c>
      <c r="Q121" s="200">
        <f t="shared" si="52"/>
        <v>0</v>
      </c>
      <c r="R121" s="200">
        <f t="shared" si="53"/>
        <v>0</v>
      </c>
      <c r="S121" s="8">
        <f t="shared" si="54"/>
        <v>0</v>
      </c>
      <c r="T121" s="8">
        <f t="shared" si="55"/>
        <v>0</v>
      </c>
      <c r="U121" s="8">
        <f t="shared" si="56"/>
        <v>0</v>
      </c>
      <c r="V121" s="200">
        <f t="shared" si="57"/>
        <v>0</v>
      </c>
      <c r="W121" s="200">
        <f t="shared" si="58"/>
        <v>0</v>
      </c>
      <c r="X121" s="200">
        <f t="shared" si="59"/>
        <v>0</v>
      </c>
      <c r="Y121" s="63"/>
      <c r="Z121" s="63"/>
      <c r="AA121" s="63"/>
      <c r="AB121" s="8"/>
      <c r="AC121" s="8"/>
      <c r="AD121" s="8"/>
      <c r="AE121" s="8"/>
      <c r="AF121" s="8"/>
      <c r="AG121" s="8"/>
      <c r="AH121" s="8"/>
      <c r="AI121" s="8"/>
      <c r="AJ121" s="8"/>
      <c r="AK121" s="8"/>
      <c r="AL121" s="63"/>
      <c r="AM121" s="63"/>
      <c r="AN121" s="63"/>
      <c r="AO121" s="63"/>
      <c r="AP121" s="63"/>
      <c r="AQ121" s="62"/>
      <c r="AR121" s="18"/>
      <c r="AS121" s="18"/>
      <c r="AT121" s="62"/>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2"/>
      <c r="BQ121" s="62"/>
      <c r="BR121" s="5"/>
      <c r="BS121" s="5"/>
      <c r="BT121" s="5"/>
      <c r="BU121" s="5"/>
      <c r="BV121" s="5"/>
      <c r="BW121" s="5"/>
      <c r="BX121" s="5"/>
      <c r="BY121" s="5"/>
      <c r="BZ121" s="62"/>
      <c r="CA121" s="64"/>
      <c r="CB121" s="63"/>
      <c r="CC121" s="64"/>
      <c r="CD121" s="64"/>
      <c r="CE121" s="64"/>
      <c r="CF121" s="64"/>
      <c r="CG121" s="70"/>
      <c r="CH121" s="70"/>
      <c r="CI121" s="70"/>
      <c r="CJ121" s="63"/>
      <c r="CK121" s="8">
        <f t="shared" si="86"/>
        <v>0</v>
      </c>
      <c r="CL121" s="201">
        <f t="shared" si="60"/>
        <v>0</v>
      </c>
      <c r="CM121" s="201">
        <f t="shared" si="61"/>
        <v>0</v>
      </c>
      <c r="CN121" s="201">
        <f t="shared" si="62"/>
        <v>0</v>
      </c>
      <c r="CO121" s="9">
        <f t="shared" si="63"/>
        <v>0</v>
      </c>
      <c r="CP121" s="9">
        <f t="shared" si="64"/>
        <v>0</v>
      </c>
      <c r="CQ121" s="9">
        <f t="shared" si="65"/>
        <v>0</v>
      </c>
      <c r="CR121" s="201">
        <f t="shared" si="66"/>
        <v>0</v>
      </c>
      <c r="CS121" s="201">
        <f t="shared" si="67"/>
        <v>0</v>
      </c>
      <c r="CT121" s="201">
        <f t="shared" si="68"/>
        <v>0</v>
      </c>
      <c r="CU121" s="203" t="e">
        <f t="shared" si="69"/>
        <v>#DIV/0!</v>
      </c>
      <c r="CV121" s="203" t="e">
        <f t="shared" si="70"/>
        <v>#DIV/0!</v>
      </c>
      <c r="CW121" s="203" t="e">
        <f t="shared" si="71"/>
        <v>#DIV/0!</v>
      </c>
      <c r="CX121" s="19" t="e">
        <f t="shared" si="72"/>
        <v>#DIV/0!</v>
      </c>
      <c r="CY121" s="19" t="e">
        <f t="shared" si="73"/>
        <v>#DIV/0!</v>
      </c>
      <c r="CZ121" s="19" t="e">
        <f t="shared" si="74"/>
        <v>#DIV/0!</v>
      </c>
      <c r="DA121" s="203" t="e">
        <f t="shared" si="75"/>
        <v>#DIV/0!</v>
      </c>
      <c r="DB121" s="203" t="e">
        <f t="shared" si="76"/>
        <v>#DIV/0!</v>
      </c>
      <c r="DC121" s="203" t="e">
        <f t="shared" si="77"/>
        <v>#DIV/0!</v>
      </c>
      <c r="DD121" s="63"/>
      <c r="DE121" s="62"/>
      <c r="DF121" s="62"/>
      <c r="DG121" s="62"/>
      <c r="DH121" s="62"/>
      <c r="DI121" s="62"/>
      <c r="DJ121" s="63"/>
      <c r="DK121" s="62"/>
      <c r="DL121" s="62"/>
      <c r="DM121" s="8">
        <f t="shared" si="78"/>
        <v>0</v>
      </c>
      <c r="DN121" s="8">
        <f t="shared" si="79"/>
        <v>0</v>
      </c>
      <c r="DO121" s="202">
        <f t="shared" si="99"/>
        <v>0</v>
      </c>
      <c r="DP121" s="202">
        <f t="shared" si="100"/>
        <v>0</v>
      </c>
      <c r="DQ121" s="202">
        <f t="shared" si="101"/>
        <v>0</v>
      </c>
      <c r="DR121" s="9">
        <f t="shared" si="102"/>
        <v>0</v>
      </c>
      <c r="DS121" s="9">
        <f t="shared" si="91"/>
        <v>0</v>
      </c>
      <c r="DT121" s="9">
        <f t="shared" si="103"/>
        <v>0</v>
      </c>
      <c r="DU121" s="202">
        <f t="shared" si="104"/>
        <v>0</v>
      </c>
      <c r="DV121" s="202">
        <f t="shared" si="105"/>
        <v>0</v>
      </c>
      <c r="DW121" s="202">
        <f t="shared" si="106"/>
        <v>0</v>
      </c>
      <c r="DX121" s="203" t="e">
        <f t="shared" si="107"/>
        <v>#DIV/0!</v>
      </c>
      <c r="DY121" s="203" t="e">
        <f t="shared" si="108"/>
        <v>#DIV/0!</v>
      </c>
      <c r="DZ121" s="203" t="e">
        <f t="shared" si="109"/>
        <v>#DIV/0!</v>
      </c>
      <c r="EA121" s="19" t="e">
        <f t="shared" si="110"/>
        <v>#DIV/0!</v>
      </c>
      <c r="EB121" s="19" t="e">
        <f t="shared" si="97"/>
        <v>#DIV/0!</v>
      </c>
      <c r="EC121" s="19" t="e">
        <f t="shared" si="111"/>
        <v>#DIV/0!</v>
      </c>
      <c r="ED121" s="203" t="e">
        <f t="shared" si="112"/>
        <v>#DIV/0!</v>
      </c>
      <c r="EE121" s="203" t="e">
        <f t="shared" si="113"/>
        <v>#DIV/0!</v>
      </c>
      <c r="EF121" s="203" t="e">
        <f t="shared" si="114"/>
        <v>#DIV/0!</v>
      </c>
      <c r="EH121" s="58">
        <f t="shared" si="42"/>
        <v>0</v>
      </c>
      <c r="EI121" s="68" t="e">
        <f t="shared" si="43"/>
        <v>#DIV/0!</v>
      </c>
      <c r="EJ121" s="58">
        <f t="shared" si="44"/>
        <v>0</v>
      </c>
      <c r="EK121" s="68" t="e">
        <f t="shared" si="43"/>
        <v>#DIV/0!</v>
      </c>
      <c r="EL121" s="58">
        <f t="shared" si="45"/>
        <v>0</v>
      </c>
      <c r="EM121" s="58">
        <f t="shared" si="46"/>
        <v>0</v>
      </c>
      <c r="EN121" s="68" t="e">
        <f t="shared" si="47"/>
        <v>#DIV/0!</v>
      </c>
    </row>
    <row r="122" spans="1:144" x14ac:dyDescent="0.2">
      <c r="A122" s="43">
        <v>0</v>
      </c>
      <c r="B122" s="43">
        <v>0</v>
      </c>
      <c r="C122" s="43">
        <v>0</v>
      </c>
      <c r="D122" s="70">
        <v>2017</v>
      </c>
      <c r="E122" s="70">
        <v>7</v>
      </c>
      <c r="F122" s="2"/>
      <c r="G122" s="63"/>
      <c r="H122" s="63"/>
      <c r="I122" s="63"/>
      <c r="J122" s="63"/>
      <c r="K122" s="63"/>
      <c r="L122" s="63"/>
      <c r="M122" s="5"/>
      <c r="N122" s="5"/>
      <c r="O122" s="5"/>
      <c r="P122" s="200">
        <f t="shared" si="51"/>
        <v>0</v>
      </c>
      <c r="Q122" s="200">
        <f t="shared" si="52"/>
        <v>0</v>
      </c>
      <c r="R122" s="200">
        <f t="shared" si="53"/>
        <v>0</v>
      </c>
      <c r="S122" s="8">
        <f t="shared" si="54"/>
        <v>0</v>
      </c>
      <c r="T122" s="8">
        <f t="shared" si="55"/>
        <v>0</v>
      </c>
      <c r="U122" s="8">
        <f t="shared" si="56"/>
        <v>0</v>
      </c>
      <c r="V122" s="200">
        <f t="shared" si="57"/>
        <v>0</v>
      </c>
      <c r="W122" s="200">
        <f t="shared" si="58"/>
        <v>0</v>
      </c>
      <c r="X122" s="200">
        <f t="shared" si="59"/>
        <v>0</v>
      </c>
      <c r="Y122" s="63"/>
      <c r="Z122" s="63"/>
      <c r="AA122" s="63"/>
      <c r="AB122" s="8"/>
      <c r="AC122" s="8"/>
      <c r="AD122" s="8"/>
      <c r="AE122" s="8"/>
      <c r="AF122" s="8"/>
      <c r="AG122" s="8"/>
      <c r="AH122" s="8"/>
      <c r="AI122" s="8"/>
      <c r="AJ122" s="8"/>
      <c r="AK122" s="8"/>
      <c r="AL122" s="63"/>
      <c r="AM122" s="63"/>
      <c r="AN122" s="63"/>
      <c r="AO122" s="63"/>
      <c r="AP122" s="63"/>
      <c r="AQ122" s="62"/>
      <c r="AR122" s="18"/>
      <c r="AS122" s="18"/>
      <c r="AT122" s="62"/>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2"/>
      <c r="BQ122" s="62"/>
      <c r="BR122" s="5"/>
      <c r="BS122" s="5"/>
      <c r="BT122" s="5"/>
      <c r="BU122" s="5"/>
      <c r="BV122" s="5"/>
      <c r="BW122" s="5"/>
      <c r="BX122" s="5"/>
      <c r="BY122" s="5"/>
      <c r="BZ122" s="62"/>
      <c r="CA122" s="64"/>
      <c r="CB122" s="63"/>
      <c r="CC122" s="64"/>
      <c r="CD122" s="64"/>
      <c r="CE122" s="64"/>
      <c r="CF122" s="64"/>
      <c r="CG122" s="70"/>
      <c r="CH122" s="70"/>
      <c r="CI122" s="70"/>
      <c r="CJ122" s="63"/>
      <c r="CK122" s="8">
        <f t="shared" si="86"/>
        <v>0</v>
      </c>
      <c r="CL122" s="201">
        <f t="shared" si="60"/>
        <v>0</v>
      </c>
      <c r="CM122" s="201">
        <f t="shared" si="61"/>
        <v>0</v>
      </c>
      <c r="CN122" s="201">
        <f t="shared" si="62"/>
        <v>0</v>
      </c>
      <c r="CO122" s="9">
        <f t="shared" si="63"/>
        <v>0</v>
      </c>
      <c r="CP122" s="9">
        <f t="shared" si="64"/>
        <v>0</v>
      </c>
      <c r="CQ122" s="9">
        <f t="shared" si="65"/>
        <v>0</v>
      </c>
      <c r="CR122" s="201">
        <f t="shared" si="66"/>
        <v>0</v>
      </c>
      <c r="CS122" s="201">
        <f t="shared" si="67"/>
        <v>0</v>
      </c>
      <c r="CT122" s="201">
        <f t="shared" si="68"/>
        <v>0</v>
      </c>
      <c r="CU122" s="203" t="e">
        <f t="shared" si="69"/>
        <v>#DIV/0!</v>
      </c>
      <c r="CV122" s="203" t="e">
        <f t="shared" si="70"/>
        <v>#DIV/0!</v>
      </c>
      <c r="CW122" s="203" t="e">
        <f t="shared" si="71"/>
        <v>#DIV/0!</v>
      </c>
      <c r="CX122" s="19" t="e">
        <f t="shared" si="72"/>
        <v>#DIV/0!</v>
      </c>
      <c r="CY122" s="19" t="e">
        <f t="shared" si="73"/>
        <v>#DIV/0!</v>
      </c>
      <c r="CZ122" s="19" t="e">
        <f t="shared" si="74"/>
        <v>#DIV/0!</v>
      </c>
      <c r="DA122" s="203" t="e">
        <f t="shared" si="75"/>
        <v>#DIV/0!</v>
      </c>
      <c r="DB122" s="203" t="e">
        <f t="shared" si="76"/>
        <v>#DIV/0!</v>
      </c>
      <c r="DC122" s="203" t="e">
        <f t="shared" si="77"/>
        <v>#DIV/0!</v>
      </c>
      <c r="DD122" s="63"/>
      <c r="DE122" s="62"/>
      <c r="DF122" s="62"/>
      <c r="DG122" s="62"/>
      <c r="DH122" s="62"/>
      <c r="DI122" s="62"/>
      <c r="DJ122" s="63"/>
      <c r="DK122" s="62"/>
      <c r="DL122" s="62"/>
      <c r="DM122" s="8">
        <f t="shared" si="78"/>
        <v>0</v>
      </c>
      <c r="DN122" s="8">
        <f t="shared" si="79"/>
        <v>0</v>
      </c>
      <c r="DO122" s="202">
        <f t="shared" si="99"/>
        <v>0</v>
      </c>
      <c r="DP122" s="202">
        <f t="shared" si="100"/>
        <v>0</v>
      </c>
      <c r="DQ122" s="202">
        <f t="shared" si="101"/>
        <v>0</v>
      </c>
      <c r="DR122" s="9">
        <f t="shared" si="102"/>
        <v>0</v>
      </c>
      <c r="DS122" s="9">
        <f t="shared" si="91"/>
        <v>0</v>
      </c>
      <c r="DT122" s="9">
        <f t="shared" si="103"/>
        <v>0</v>
      </c>
      <c r="DU122" s="202">
        <f t="shared" si="104"/>
        <v>0</v>
      </c>
      <c r="DV122" s="202">
        <f t="shared" si="105"/>
        <v>0</v>
      </c>
      <c r="DW122" s="202">
        <f t="shared" si="106"/>
        <v>0</v>
      </c>
      <c r="DX122" s="203" t="e">
        <f t="shared" si="107"/>
        <v>#DIV/0!</v>
      </c>
      <c r="DY122" s="203" t="e">
        <f t="shared" si="108"/>
        <v>#DIV/0!</v>
      </c>
      <c r="DZ122" s="203" t="e">
        <f t="shared" si="109"/>
        <v>#DIV/0!</v>
      </c>
      <c r="EA122" s="19" t="e">
        <f t="shared" si="110"/>
        <v>#DIV/0!</v>
      </c>
      <c r="EB122" s="19" t="e">
        <f t="shared" si="97"/>
        <v>#DIV/0!</v>
      </c>
      <c r="EC122" s="19" t="e">
        <f t="shared" si="111"/>
        <v>#DIV/0!</v>
      </c>
      <c r="ED122" s="203" t="e">
        <f t="shared" si="112"/>
        <v>#DIV/0!</v>
      </c>
      <c r="EE122" s="203" t="e">
        <f t="shared" si="113"/>
        <v>#DIV/0!</v>
      </c>
      <c r="EF122" s="203" t="e">
        <f t="shared" si="114"/>
        <v>#DIV/0!</v>
      </c>
      <c r="EH122" s="58">
        <f t="shared" si="42"/>
        <v>0</v>
      </c>
      <c r="EI122" s="68" t="e">
        <f t="shared" si="43"/>
        <v>#DIV/0!</v>
      </c>
      <c r="EJ122" s="58">
        <f t="shared" si="44"/>
        <v>0</v>
      </c>
      <c r="EK122" s="68" t="e">
        <f t="shared" si="43"/>
        <v>#DIV/0!</v>
      </c>
      <c r="EL122" s="58">
        <f t="shared" si="45"/>
        <v>0</v>
      </c>
      <c r="EM122" s="58">
        <f t="shared" si="46"/>
        <v>0</v>
      </c>
      <c r="EN122" s="68" t="e">
        <f t="shared" si="47"/>
        <v>#DIV/0!</v>
      </c>
    </row>
    <row r="123" spans="1:144" x14ac:dyDescent="0.2">
      <c r="A123" s="43">
        <v>0</v>
      </c>
      <c r="B123" s="43">
        <v>0</v>
      </c>
      <c r="C123" s="43">
        <v>0</v>
      </c>
      <c r="D123" s="70">
        <v>2017</v>
      </c>
      <c r="E123" s="70">
        <v>8</v>
      </c>
      <c r="F123" s="2"/>
      <c r="G123" s="63"/>
      <c r="H123" s="63"/>
      <c r="I123" s="63"/>
      <c r="J123" s="63"/>
      <c r="K123" s="63"/>
      <c r="L123" s="63"/>
      <c r="M123" s="5"/>
      <c r="N123" s="5"/>
      <c r="O123" s="5"/>
      <c r="P123" s="200">
        <f t="shared" si="51"/>
        <v>0</v>
      </c>
      <c r="Q123" s="200">
        <f t="shared" si="52"/>
        <v>0</v>
      </c>
      <c r="R123" s="200">
        <f t="shared" si="53"/>
        <v>0</v>
      </c>
      <c r="S123" s="8">
        <f t="shared" si="54"/>
        <v>0</v>
      </c>
      <c r="T123" s="8">
        <f t="shared" si="55"/>
        <v>0</v>
      </c>
      <c r="U123" s="8">
        <f t="shared" si="56"/>
        <v>0</v>
      </c>
      <c r="V123" s="200">
        <f t="shared" si="57"/>
        <v>0</v>
      </c>
      <c r="W123" s="200">
        <f t="shared" si="58"/>
        <v>0</v>
      </c>
      <c r="X123" s="200">
        <f t="shared" si="59"/>
        <v>0</v>
      </c>
      <c r="Y123" s="63"/>
      <c r="Z123" s="63"/>
      <c r="AA123" s="63"/>
      <c r="AB123" s="8"/>
      <c r="AC123" s="8"/>
      <c r="AD123" s="8"/>
      <c r="AE123" s="8"/>
      <c r="AF123" s="8"/>
      <c r="AG123" s="8"/>
      <c r="AH123" s="8"/>
      <c r="AI123" s="8"/>
      <c r="AJ123" s="8"/>
      <c r="AK123" s="8"/>
      <c r="AL123" s="63"/>
      <c r="AM123" s="63"/>
      <c r="AN123" s="63"/>
      <c r="AO123" s="63"/>
      <c r="AP123" s="63"/>
      <c r="AQ123" s="62"/>
      <c r="AR123" s="18"/>
      <c r="AS123" s="18"/>
      <c r="AT123" s="62"/>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2"/>
      <c r="BQ123" s="62"/>
      <c r="BR123" s="5"/>
      <c r="BS123" s="5"/>
      <c r="BT123" s="5"/>
      <c r="BU123" s="5"/>
      <c r="BV123" s="5"/>
      <c r="BW123" s="5"/>
      <c r="BX123" s="5"/>
      <c r="BY123" s="5"/>
      <c r="BZ123" s="62"/>
      <c r="CA123" s="64"/>
      <c r="CB123" s="63"/>
      <c r="CC123" s="64"/>
      <c r="CD123" s="64"/>
      <c r="CE123" s="64"/>
      <c r="CF123" s="64"/>
      <c r="CG123" s="70"/>
      <c r="CH123" s="70"/>
      <c r="CI123" s="70"/>
      <c r="CJ123" s="63"/>
      <c r="CK123" s="8">
        <f t="shared" si="86"/>
        <v>0</v>
      </c>
      <c r="CL123" s="201">
        <f t="shared" si="60"/>
        <v>0</v>
      </c>
      <c r="CM123" s="201">
        <f t="shared" si="61"/>
        <v>0</v>
      </c>
      <c r="CN123" s="201">
        <f t="shared" si="62"/>
        <v>0</v>
      </c>
      <c r="CO123" s="9">
        <f t="shared" si="63"/>
        <v>0</v>
      </c>
      <c r="CP123" s="9">
        <f t="shared" si="64"/>
        <v>0</v>
      </c>
      <c r="CQ123" s="9">
        <f t="shared" si="65"/>
        <v>0</v>
      </c>
      <c r="CR123" s="201">
        <f t="shared" si="66"/>
        <v>0</v>
      </c>
      <c r="CS123" s="201">
        <f t="shared" si="67"/>
        <v>0</v>
      </c>
      <c r="CT123" s="201">
        <f t="shared" si="68"/>
        <v>0</v>
      </c>
      <c r="CU123" s="203" t="e">
        <f t="shared" si="69"/>
        <v>#DIV/0!</v>
      </c>
      <c r="CV123" s="203" t="e">
        <f t="shared" si="70"/>
        <v>#DIV/0!</v>
      </c>
      <c r="CW123" s="203" t="e">
        <f t="shared" si="71"/>
        <v>#DIV/0!</v>
      </c>
      <c r="CX123" s="19" t="e">
        <f t="shared" si="72"/>
        <v>#DIV/0!</v>
      </c>
      <c r="CY123" s="19" t="e">
        <f t="shared" si="73"/>
        <v>#DIV/0!</v>
      </c>
      <c r="CZ123" s="19" t="e">
        <f t="shared" si="74"/>
        <v>#DIV/0!</v>
      </c>
      <c r="DA123" s="203" t="e">
        <f t="shared" si="75"/>
        <v>#DIV/0!</v>
      </c>
      <c r="DB123" s="203" t="e">
        <f t="shared" si="76"/>
        <v>#DIV/0!</v>
      </c>
      <c r="DC123" s="203" t="e">
        <f t="shared" si="77"/>
        <v>#DIV/0!</v>
      </c>
      <c r="DD123" s="63"/>
      <c r="DE123" s="62"/>
      <c r="DF123" s="62"/>
      <c r="DG123" s="62"/>
      <c r="DH123" s="62"/>
      <c r="DI123" s="62"/>
      <c r="DJ123" s="63"/>
      <c r="DK123" s="62"/>
      <c r="DL123" s="62"/>
      <c r="DM123" s="8">
        <f t="shared" si="78"/>
        <v>0</v>
      </c>
      <c r="DN123" s="8">
        <f t="shared" si="79"/>
        <v>0</v>
      </c>
      <c r="DO123" s="202">
        <f t="shared" si="99"/>
        <v>0</v>
      </c>
      <c r="DP123" s="202">
        <f t="shared" si="100"/>
        <v>0</v>
      </c>
      <c r="DQ123" s="202">
        <f t="shared" si="101"/>
        <v>0</v>
      </c>
      <c r="DR123" s="9">
        <f t="shared" si="102"/>
        <v>0</v>
      </c>
      <c r="DS123" s="9">
        <f t="shared" si="91"/>
        <v>0</v>
      </c>
      <c r="DT123" s="9">
        <f t="shared" si="103"/>
        <v>0</v>
      </c>
      <c r="DU123" s="202">
        <f t="shared" si="104"/>
        <v>0</v>
      </c>
      <c r="DV123" s="202">
        <f t="shared" si="105"/>
        <v>0</v>
      </c>
      <c r="DW123" s="202">
        <f t="shared" si="106"/>
        <v>0</v>
      </c>
      <c r="DX123" s="203" t="e">
        <f t="shared" si="107"/>
        <v>#DIV/0!</v>
      </c>
      <c r="DY123" s="203" t="e">
        <f t="shared" si="108"/>
        <v>#DIV/0!</v>
      </c>
      <c r="DZ123" s="203" t="e">
        <f t="shared" si="109"/>
        <v>#DIV/0!</v>
      </c>
      <c r="EA123" s="19" t="e">
        <f t="shared" si="110"/>
        <v>#DIV/0!</v>
      </c>
      <c r="EB123" s="19" t="e">
        <f t="shared" si="97"/>
        <v>#DIV/0!</v>
      </c>
      <c r="EC123" s="19" t="e">
        <f t="shared" si="111"/>
        <v>#DIV/0!</v>
      </c>
      <c r="ED123" s="203" t="e">
        <f t="shared" si="112"/>
        <v>#DIV/0!</v>
      </c>
      <c r="EE123" s="203" t="e">
        <f t="shared" si="113"/>
        <v>#DIV/0!</v>
      </c>
      <c r="EF123" s="203" t="e">
        <f t="shared" si="114"/>
        <v>#DIV/0!</v>
      </c>
      <c r="EH123" s="58">
        <f t="shared" si="42"/>
        <v>0</v>
      </c>
      <c r="EI123" s="68" t="e">
        <f t="shared" si="43"/>
        <v>#DIV/0!</v>
      </c>
      <c r="EJ123" s="58">
        <f t="shared" si="44"/>
        <v>0</v>
      </c>
      <c r="EK123" s="68" t="e">
        <f t="shared" si="43"/>
        <v>#DIV/0!</v>
      </c>
      <c r="EL123" s="58">
        <f t="shared" si="45"/>
        <v>0</v>
      </c>
      <c r="EM123" s="58">
        <f t="shared" si="46"/>
        <v>0</v>
      </c>
      <c r="EN123" s="68" t="e">
        <f t="shared" si="47"/>
        <v>#DIV/0!</v>
      </c>
    </row>
    <row r="124" spans="1:144" x14ac:dyDescent="0.2">
      <c r="A124" s="43">
        <v>0</v>
      </c>
      <c r="B124" s="43">
        <v>0</v>
      </c>
      <c r="C124" s="43">
        <v>0</v>
      </c>
      <c r="D124" s="70">
        <v>2017</v>
      </c>
      <c r="E124" s="70">
        <v>9</v>
      </c>
      <c r="F124" s="2"/>
      <c r="G124" s="63"/>
      <c r="H124" s="63"/>
      <c r="I124" s="63"/>
      <c r="J124" s="63"/>
      <c r="K124" s="63"/>
      <c r="L124" s="63"/>
      <c r="M124" s="5"/>
      <c r="N124" s="5"/>
      <c r="O124" s="5"/>
      <c r="P124" s="200">
        <f t="shared" si="51"/>
        <v>0</v>
      </c>
      <c r="Q124" s="200">
        <f t="shared" si="52"/>
        <v>0</v>
      </c>
      <c r="R124" s="200">
        <f t="shared" si="53"/>
        <v>0</v>
      </c>
      <c r="S124" s="8">
        <f t="shared" si="54"/>
        <v>0</v>
      </c>
      <c r="T124" s="8">
        <f t="shared" si="55"/>
        <v>0</v>
      </c>
      <c r="U124" s="8">
        <f t="shared" si="56"/>
        <v>0</v>
      </c>
      <c r="V124" s="200">
        <f t="shared" si="57"/>
        <v>0</v>
      </c>
      <c r="W124" s="200">
        <f t="shared" si="58"/>
        <v>0</v>
      </c>
      <c r="X124" s="200">
        <f t="shared" si="59"/>
        <v>0</v>
      </c>
      <c r="Y124" s="63"/>
      <c r="Z124" s="63"/>
      <c r="AA124" s="63"/>
      <c r="AB124" s="8"/>
      <c r="AC124" s="8"/>
      <c r="AD124" s="8"/>
      <c r="AE124" s="8"/>
      <c r="AF124" s="8"/>
      <c r="AG124" s="8"/>
      <c r="AH124" s="8"/>
      <c r="AI124" s="8"/>
      <c r="AJ124" s="8"/>
      <c r="AK124" s="8"/>
      <c r="AL124" s="63"/>
      <c r="AM124" s="63"/>
      <c r="AN124" s="63"/>
      <c r="AO124" s="63"/>
      <c r="AP124" s="63"/>
      <c r="AQ124" s="62"/>
      <c r="AR124" s="18"/>
      <c r="AS124" s="18"/>
      <c r="AT124" s="62"/>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2"/>
      <c r="BQ124" s="62"/>
      <c r="BR124" s="5"/>
      <c r="BS124" s="5"/>
      <c r="BT124" s="5"/>
      <c r="BU124" s="5"/>
      <c r="BV124" s="5"/>
      <c r="BW124" s="5"/>
      <c r="BX124" s="5"/>
      <c r="BY124" s="5"/>
      <c r="BZ124" s="62"/>
      <c r="CA124" s="64"/>
      <c r="CB124" s="63"/>
      <c r="CC124" s="64"/>
      <c r="CD124" s="64"/>
      <c r="CE124" s="64"/>
      <c r="CF124" s="63"/>
      <c r="CG124" s="70"/>
      <c r="CH124" s="70"/>
      <c r="CI124" s="70"/>
      <c r="CJ124" s="63"/>
      <c r="CK124" s="8">
        <f t="shared" si="86"/>
        <v>0</v>
      </c>
      <c r="CL124" s="201">
        <f t="shared" si="60"/>
        <v>0</v>
      </c>
      <c r="CM124" s="201">
        <f t="shared" si="61"/>
        <v>0</v>
      </c>
      <c r="CN124" s="201">
        <f t="shared" si="62"/>
        <v>0</v>
      </c>
      <c r="CO124" s="9">
        <f t="shared" si="63"/>
        <v>0</v>
      </c>
      <c r="CP124" s="9">
        <f t="shared" si="64"/>
        <v>0</v>
      </c>
      <c r="CQ124" s="9">
        <f t="shared" si="65"/>
        <v>0</v>
      </c>
      <c r="CR124" s="201">
        <f t="shared" si="66"/>
        <v>0</v>
      </c>
      <c r="CS124" s="201">
        <f t="shared" si="67"/>
        <v>0</v>
      </c>
      <c r="CT124" s="201">
        <f t="shared" si="68"/>
        <v>0</v>
      </c>
      <c r="CU124" s="203" t="e">
        <f t="shared" si="69"/>
        <v>#DIV/0!</v>
      </c>
      <c r="CV124" s="203" t="e">
        <f t="shared" si="70"/>
        <v>#DIV/0!</v>
      </c>
      <c r="CW124" s="203" t="e">
        <f t="shared" si="71"/>
        <v>#DIV/0!</v>
      </c>
      <c r="CX124" s="19" t="e">
        <f t="shared" si="72"/>
        <v>#DIV/0!</v>
      </c>
      <c r="CY124" s="19" t="e">
        <f t="shared" si="73"/>
        <v>#DIV/0!</v>
      </c>
      <c r="CZ124" s="19" t="e">
        <f t="shared" si="74"/>
        <v>#DIV/0!</v>
      </c>
      <c r="DA124" s="203" t="e">
        <f t="shared" si="75"/>
        <v>#DIV/0!</v>
      </c>
      <c r="DB124" s="203" t="e">
        <f t="shared" si="76"/>
        <v>#DIV/0!</v>
      </c>
      <c r="DC124" s="203" t="e">
        <f t="shared" si="77"/>
        <v>#DIV/0!</v>
      </c>
      <c r="DD124" s="63"/>
      <c r="DE124" s="62"/>
      <c r="DF124" s="62"/>
      <c r="DG124" s="62"/>
      <c r="DH124" s="62"/>
      <c r="DI124" s="62"/>
      <c r="DJ124" s="63"/>
      <c r="DK124" s="62"/>
      <c r="DL124" s="62"/>
      <c r="DM124" s="8">
        <f t="shared" si="78"/>
        <v>0</v>
      </c>
      <c r="DN124" s="8">
        <f t="shared" si="79"/>
        <v>0</v>
      </c>
      <c r="DO124" s="202">
        <f t="shared" si="99"/>
        <v>0</v>
      </c>
      <c r="DP124" s="202">
        <f t="shared" si="100"/>
        <v>0</v>
      </c>
      <c r="DQ124" s="202">
        <f t="shared" si="101"/>
        <v>0</v>
      </c>
      <c r="DR124" s="9">
        <f t="shared" si="102"/>
        <v>0</v>
      </c>
      <c r="DS124" s="9">
        <f t="shared" si="91"/>
        <v>0</v>
      </c>
      <c r="DT124" s="9">
        <f t="shared" si="103"/>
        <v>0</v>
      </c>
      <c r="DU124" s="202">
        <f t="shared" si="104"/>
        <v>0</v>
      </c>
      <c r="DV124" s="202">
        <f t="shared" si="105"/>
        <v>0</v>
      </c>
      <c r="DW124" s="202">
        <f t="shared" si="106"/>
        <v>0</v>
      </c>
      <c r="DX124" s="203" t="e">
        <f t="shared" si="107"/>
        <v>#DIV/0!</v>
      </c>
      <c r="DY124" s="203" t="e">
        <f t="shared" si="108"/>
        <v>#DIV/0!</v>
      </c>
      <c r="DZ124" s="203" t="e">
        <f t="shared" si="109"/>
        <v>#DIV/0!</v>
      </c>
      <c r="EA124" s="19" t="e">
        <f t="shared" si="110"/>
        <v>#DIV/0!</v>
      </c>
      <c r="EB124" s="19" t="e">
        <f t="shared" si="97"/>
        <v>#DIV/0!</v>
      </c>
      <c r="EC124" s="19" t="e">
        <f t="shared" si="111"/>
        <v>#DIV/0!</v>
      </c>
      <c r="ED124" s="203" t="e">
        <f t="shared" si="112"/>
        <v>#DIV/0!</v>
      </c>
      <c r="EE124" s="203" t="e">
        <f t="shared" si="113"/>
        <v>#DIV/0!</v>
      </c>
      <c r="EF124" s="203" t="e">
        <f t="shared" si="114"/>
        <v>#DIV/0!</v>
      </c>
      <c r="EH124" s="58">
        <f t="shared" si="42"/>
        <v>0</v>
      </c>
      <c r="EI124" s="68" t="e">
        <f t="shared" si="43"/>
        <v>#DIV/0!</v>
      </c>
      <c r="EJ124" s="58">
        <f t="shared" si="44"/>
        <v>0</v>
      </c>
      <c r="EK124" s="68" t="e">
        <f t="shared" si="43"/>
        <v>#DIV/0!</v>
      </c>
      <c r="EL124" s="58">
        <f t="shared" si="45"/>
        <v>0</v>
      </c>
      <c r="EM124" s="58">
        <f t="shared" si="46"/>
        <v>0</v>
      </c>
      <c r="EN124" s="68" t="e">
        <f t="shared" si="47"/>
        <v>#DIV/0!</v>
      </c>
    </row>
    <row r="125" spans="1:144" x14ac:dyDescent="0.2">
      <c r="A125" s="43">
        <v>0</v>
      </c>
      <c r="B125" s="43">
        <v>0</v>
      </c>
      <c r="C125" s="43">
        <v>0</v>
      </c>
      <c r="D125" s="70">
        <v>2017</v>
      </c>
      <c r="E125" s="70">
        <v>10</v>
      </c>
      <c r="F125" s="2"/>
      <c r="G125" s="63"/>
      <c r="H125" s="63"/>
      <c r="I125" s="63"/>
      <c r="J125" s="63"/>
      <c r="K125" s="63"/>
      <c r="L125" s="63"/>
      <c r="M125" s="5"/>
      <c r="N125" s="5"/>
      <c r="O125" s="5"/>
      <c r="P125" s="200">
        <f t="shared" si="51"/>
        <v>0</v>
      </c>
      <c r="Q125" s="200">
        <f t="shared" si="52"/>
        <v>0</v>
      </c>
      <c r="R125" s="200">
        <f t="shared" si="53"/>
        <v>0</v>
      </c>
      <c r="S125" s="8">
        <f t="shared" si="54"/>
        <v>0</v>
      </c>
      <c r="T125" s="8">
        <f t="shared" si="55"/>
        <v>0</v>
      </c>
      <c r="U125" s="8">
        <f t="shared" si="56"/>
        <v>0</v>
      </c>
      <c r="V125" s="200">
        <f t="shared" si="57"/>
        <v>0</v>
      </c>
      <c r="W125" s="200">
        <f t="shared" si="58"/>
        <v>0</v>
      </c>
      <c r="X125" s="200">
        <f t="shared" si="59"/>
        <v>0</v>
      </c>
      <c r="Y125" s="63"/>
      <c r="Z125" s="63"/>
      <c r="AA125" s="63"/>
      <c r="AB125" s="8"/>
      <c r="AC125" s="8"/>
      <c r="AD125" s="8"/>
      <c r="AE125" s="8"/>
      <c r="AF125" s="8"/>
      <c r="AG125" s="8"/>
      <c r="AH125" s="8"/>
      <c r="AI125" s="8"/>
      <c r="AJ125" s="8"/>
      <c r="AK125" s="8"/>
      <c r="AL125" s="63"/>
      <c r="AM125" s="63"/>
      <c r="AN125" s="63"/>
      <c r="AO125" s="63"/>
      <c r="AP125" s="63"/>
      <c r="AQ125" s="62"/>
      <c r="AR125" s="18"/>
      <c r="AS125" s="18"/>
      <c r="AT125" s="62"/>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2"/>
      <c r="BQ125" s="62"/>
      <c r="BR125" s="5"/>
      <c r="BS125" s="5"/>
      <c r="BT125" s="5"/>
      <c r="BU125" s="5"/>
      <c r="BV125" s="5"/>
      <c r="BW125" s="5"/>
      <c r="BX125" s="5"/>
      <c r="BY125" s="5"/>
      <c r="BZ125" s="62"/>
      <c r="CA125" s="64"/>
      <c r="CB125" s="63"/>
      <c r="CC125" s="64"/>
      <c r="CD125" s="64"/>
      <c r="CE125" s="64"/>
      <c r="CF125" s="63"/>
      <c r="CG125" s="70"/>
      <c r="CH125" s="70"/>
      <c r="CI125" s="70"/>
      <c r="CJ125" s="63"/>
      <c r="CK125" s="8">
        <f t="shared" si="86"/>
        <v>0</v>
      </c>
      <c r="CL125" s="201">
        <f t="shared" si="60"/>
        <v>0</v>
      </c>
      <c r="CM125" s="201">
        <f t="shared" si="61"/>
        <v>0</v>
      </c>
      <c r="CN125" s="201">
        <f t="shared" si="62"/>
        <v>0</v>
      </c>
      <c r="CO125" s="9">
        <f t="shared" si="63"/>
        <v>0</v>
      </c>
      <c r="CP125" s="9">
        <f t="shared" si="64"/>
        <v>0</v>
      </c>
      <c r="CQ125" s="9">
        <f t="shared" si="65"/>
        <v>0</v>
      </c>
      <c r="CR125" s="201">
        <f t="shared" si="66"/>
        <v>0</v>
      </c>
      <c r="CS125" s="201">
        <f t="shared" si="67"/>
        <v>0</v>
      </c>
      <c r="CT125" s="201">
        <f t="shared" si="68"/>
        <v>0</v>
      </c>
      <c r="CU125" s="203" t="e">
        <f t="shared" si="69"/>
        <v>#DIV/0!</v>
      </c>
      <c r="CV125" s="203" t="e">
        <f t="shared" si="70"/>
        <v>#DIV/0!</v>
      </c>
      <c r="CW125" s="203" t="e">
        <f t="shared" si="71"/>
        <v>#DIV/0!</v>
      </c>
      <c r="CX125" s="19" t="e">
        <f t="shared" si="72"/>
        <v>#DIV/0!</v>
      </c>
      <c r="CY125" s="19" t="e">
        <f t="shared" si="73"/>
        <v>#DIV/0!</v>
      </c>
      <c r="CZ125" s="19" t="e">
        <f t="shared" si="74"/>
        <v>#DIV/0!</v>
      </c>
      <c r="DA125" s="203" t="e">
        <f t="shared" si="75"/>
        <v>#DIV/0!</v>
      </c>
      <c r="DB125" s="203" t="e">
        <f t="shared" si="76"/>
        <v>#DIV/0!</v>
      </c>
      <c r="DC125" s="203" t="e">
        <f t="shared" si="77"/>
        <v>#DIV/0!</v>
      </c>
      <c r="DD125" s="63"/>
      <c r="DE125" s="62"/>
      <c r="DF125" s="62"/>
      <c r="DG125" s="62"/>
      <c r="DH125" s="62"/>
      <c r="DI125" s="62"/>
      <c r="DJ125" s="63"/>
      <c r="DK125" s="62"/>
      <c r="DL125" s="62"/>
      <c r="DM125" s="8">
        <f t="shared" si="78"/>
        <v>0</v>
      </c>
      <c r="DN125" s="8">
        <f t="shared" si="79"/>
        <v>0</v>
      </c>
      <c r="DO125" s="202">
        <f t="shared" si="99"/>
        <v>0</v>
      </c>
      <c r="DP125" s="202">
        <f t="shared" si="100"/>
        <v>0</v>
      </c>
      <c r="DQ125" s="202">
        <f t="shared" si="101"/>
        <v>0</v>
      </c>
      <c r="DR125" s="9">
        <f t="shared" si="102"/>
        <v>0</v>
      </c>
      <c r="DS125" s="9">
        <f t="shared" si="91"/>
        <v>0</v>
      </c>
      <c r="DT125" s="9">
        <f t="shared" si="103"/>
        <v>0</v>
      </c>
      <c r="DU125" s="202">
        <f t="shared" si="104"/>
        <v>0</v>
      </c>
      <c r="DV125" s="202">
        <f t="shared" si="105"/>
        <v>0</v>
      </c>
      <c r="DW125" s="202">
        <f t="shared" si="106"/>
        <v>0</v>
      </c>
      <c r="DX125" s="203" t="e">
        <f t="shared" si="107"/>
        <v>#DIV/0!</v>
      </c>
      <c r="DY125" s="203" t="e">
        <f t="shared" si="108"/>
        <v>#DIV/0!</v>
      </c>
      <c r="DZ125" s="203" t="e">
        <f t="shared" si="109"/>
        <v>#DIV/0!</v>
      </c>
      <c r="EA125" s="19" t="e">
        <f t="shared" si="110"/>
        <v>#DIV/0!</v>
      </c>
      <c r="EB125" s="19" t="e">
        <f t="shared" si="97"/>
        <v>#DIV/0!</v>
      </c>
      <c r="EC125" s="19" t="e">
        <f t="shared" si="111"/>
        <v>#DIV/0!</v>
      </c>
      <c r="ED125" s="203" t="e">
        <f t="shared" si="112"/>
        <v>#DIV/0!</v>
      </c>
      <c r="EE125" s="203" t="e">
        <f t="shared" si="113"/>
        <v>#DIV/0!</v>
      </c>
      <c r="EF125" s="203" t="e">
        <f t="shared" si="114"/>
        <v>#DIV/0!</v>
      </c>
      <c r="EH125" s="58">
        <f t="shared" si="42"/>
        <v>0</v>
      </c>
      <c r="EI125" s="68" t="e">
        <f t="shared" si="43"/>
        <v>#DIV/0!</v>
      </c>
      <c r="EJ125" s="58">
        <f t="shared" si="44"/>
        <v>0</v>
      </c>
      <c r="EK125" s="68" t="e">
        <f t="shared" si="43"/>
        <v>#DIV/0!</v>
      </c>
      <c r="EL125" s="58">
        <f t="shared" si="45"/>
        <v>0</v>
      </c>
      <c r="EM125" s="58">
        <f t="shared" si="46"/>
        <v>0</v>
      </c>
      <c r="EN125" s="68" t="e">
        <f t="shared" si="47"/>
        <v>#DIV/0!</v>
      </c>
    </row>
    <row r="126" spans="1:144" x14ac:dyDescent="0.2">
      <c r="A126" s="43">
        <v>0</v>
      </c>
      <c r="B126" s="43">
        <v>0</v>
      </c>
      <c r="C126" s="43">
        <v>0</v>
      </c>
      <c r="D126" s="70">
        <v>2017</v>
      </c>
      <c r="E126" s="70">
        <v>11</v>
      </c>
      <c r="F126" s="2"/>
      <c r="G126" s="63"/>
      <c r="H126" s="63"/>
      <c r="I126" s="63"/>
      <c r="J126" s="63"/>
      <c r="K126" s="63"/>
      <c r="L126" s="63"/>
      <c r="M126" s="5"/>
      <c r="N126" s="5"/>
      <c r="O126" s="5"/>
      <c r="P126" s="200">
        <f t="shared" si="51"/>
        <v>0</v>
      </c>
      <c r="Q126" s="200">
        <f t="shared" si="52"/>
        <v>0</v>
      </c>
      <c r="R126" s="200">
        <f t="shared" si="53"/>
        <v>0</v>
      </c>
      <c r="S126" s="8">
        <f t="shared" si="54"/>
        <v>0</v>
      </c>
      <c r="T126" s="8">
        <f t="shared" si="55"/>
        <v>0</v>
      </c>
      <c r="U126" s="8">
        <f t="shared" si="56"/>
        <v>0</v>
      </c>
      <c r="V126" s="200">
        <f t="shared" si="57"/>
        <v>0</v>
      </c>
      <c r="W126" s="200">
        <f t="shared" si="58"/>
        <v>0</v>
      </c>
      <c r="X126" s="200">
        <f t="shared" si="59"/>
        <v>0</v>
      </c>
      <c r="Y126" s="63"/>
      <c r="Z126" s="63"/>
      <c r="AA126" s="63"/>
      <c r="AB126" s="8"/>
      <c r="AC126" s="8"/>
      <c r="AD126" s="8"/>
      <c r="AE126" s="8"/>
      <c r="AF126" s="8"/>
      <c r="AG126" s="8"/>
      <c r="AH126" s="8"/>
      <c r="AI126" s="8"/>
      <c r="AJ126" s="8"/>
      <c r="AK126" s="8"/>
      <c r="AL126" s="63"/>
      <c r="AM126" s="63"/>
      <c r="AN126" s="63"/>
      <c r="AO126" s="63"/>
      <c r="AP126" s="63"/>
      <c r="AQ126" s="62"/>
      <c r="AR126" s="18"/>
      <c r="AS126" s="18"/>
      <c r="AT126" s="62"/>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2"/>
      <c r="BQ126" s="62"/>
      <c r="BR126" s="5"/>
      <c r="BS126" s="5"/>
      <c r="BT126" s="5"/>
      <c r="BU126" s="5"/>
      <c r="BV126" s="5"/>
      <c r="BW126" s="5"/>
      <c r="BX126" s="5"/>
      <c r="BY126" s="5"/>
      <c r="BZ126" s="62"/>
      <c r="CA126" s="64"/>
      <c r="CB126" s="64"/>
      <c r="CC126" s="64"/>
      <c r="CD126" s="64"/>
      <c r="CE126" s="64"/>
      <c r="CF126" s="63"/>
      <c r="CG126" s="70"/>
      <c r="CH126" s="70"/>
      <c r="CI126" s="70"/>
      <c r="CJ126" s="63"/>
      <c r="CK126" s="8">
        <f t="shared" si="86"/>
        <v>0</v>
      </c>
      <c r="CL126" s="201">
        <f t="shared" si="60"/>
        <v>0</v>
      </c>
      <c r="CM126" s="201">
        <f t="shared" si="61"/>
        <v>0</v>
      </c>
      <c r="CN126" s="201">
        <f t="shared" si="62"/>
        <v>0</v>
      </c>
      <c r="CO126" s="9">
        <f t="shared" si="63"/>
        <v>0</v>
      </c>
      <c r="CP126" s="9">
        <f t="shared" si="64"/>
        <v>0</v>
      </c>
      <c r="CQ126" s="9">
        <f t="shared" si="65"/>
        <v>0</v>
      </c>
      <c r="CR126" s="201">
        <f t="shared" si="66"/>
        <v>0</v>
      </c>
      <c r="CS126" s="201">
        <f t="shared" si="67"/>
        <v>0</v>
      </c>
      <c r="CT126" s="201">
        <f t="shared" si="68"/>
        <v>0</v>
      </c>
      <c r="CU126" s="203" t="e">
        <f t="shared" si="69"/>
        <v>#DIV/0!</v>
      </c>
      <c r="CV126" s="203" t="e">
        <f t="shared" si="70"/>
        <v>#DIV/0!</v>
      </c>
      <c r="CW126" s="203" t="e">
        <f t="shared" si="71"/>
        <v>#DIV/0!</v>
      </c>
      <c r="CX126" s="19" t="e">
        <f t="shared" si="72"/>
        <v>#DIV/0!</v>
      </c>
      <c r="CY126" s="19" t="e">
        <f t="shared" si="73"/>
        <v>#DIV/0!</v>
      </c>
      <c r="CZ126" s="19" t="e">
        <f t="shared" si="74"/>
        <v>#DIV/0!</v>
      </c>
      <c r="DA126" s="203" t="e">
        <f t="shared" si="75"/>
        <v>#DIV/0!</v>
      </c>
      <c r="DB126" s="203" t="e">
        <f t="shared" si="76"/>
        <v>#DIV/0!</v>
      </c>
      <c r="DC126" s="203" t="e">
        <f t="shared" si="77"/>
        <v>#DIV/0!</v>
      </c>
      <c r="DD126" s="63"/>
      <c r="DE126" s="62"/>
      <c r="DF126" s="62"/>
      <c r="DG126" s="62"/>
      <c r="DH126" s="62"/>
      <c r="DI126" s="62"/>
      <c r="DJ126" s="63"/>
      <c r="DK126" s="62"/>
      <c r="DL126" s="62"/>
      <c r="DM126" s="8">
        <f t="shared" si="78"/>
        <v>0</v>
      </c>
      <c r="DN126" s="8">
        <f t="shared" si="79"/>
        <v>0</v>
      </c>
      <c r="DO126" s="202">
        <f t="shared" si="99"/>
        <v>0</v>
      </c>
      <c r="DP126" s="202">
        <f t="shared" si="100"/>
        <v>0</v>
      </c>
      <c r="DQ126" s="202">
        <f t="shared" si="101"/>
        <v>0</v>
      </c>
      <c r="DR126" s="9">
        <f t="shared" si="102"/>
        <v>0</v>
      </c>
      <c r="DS126" s="9">
        <f t="shared" si="91"/>
        <v>0</v>
      </c>
      <c r="DT126" s="9">
        <f t="shared" si="103"/>
        <v>0</v>
      </c>
      <c r="DU126" s="202">
        <f t="shared" si="104"/>
        <v>0</v>
      </c>
      <c r="DV126" s="202">
        <f t="shared" si="105"/>
        <v>0</v>
      </c>
      <c r="DW126" s="202">
        <f t="shared" si="106"/>
        <v>0</v>
      </c>
      <c r="DX126" s="203" t="e">
        <f t="shared" si="107"/>
        <v>#DIV/0!</v>
      </c>
      <c r="DY126" s="203" t="e">
        <f t="shared" si="108"/>
        <v>#DIV/0!</v>
      </c>
      <c r="DZ126" s="203" t="e">
        <f t="shared" si="109"/>
        <v>#DIV/0!</v>
      </c>
      <c r="EA126" s="19" t="e">
        <f t="shared" si="110"/>
        <v>#DIV/0!</v>
      </c>
      <c r="EB126" s="19" t="e">
        <f t="shared" si="97"/>
        <v>#DIV/0!</v>
      </c>
      <c r="EC126" s="19" t="e">
        <f t="shared" si="111"/>
        <v>#DIV/0!</v>
      </c>
      <c r="ED126" s="203" t="e">
        <f t="shared" si="112"/>
        <v>#DIV/0!</v>
      </c>
      <c r="EE126" s="203" t="e">
        <f t="shared" si="113"/>
        <v>#DIV/0!</v>
      </c>
      <c r="EF126" s="203" t="e">
        <f t="shared" si="114"/>
        <v>#DIV/0!</v>
      </c>
      <c r="EH126" s="58">
        <f t="shared" si="42"/>
        <v>0</v>
      </c>
      <c r="EI126" s="68" t="e">
        <f t="shared" si="43"/>
        <v>#DIV/0!</v>
      </c>
      <c r="EJ126" s="58">
        <f t="shared" si="44"/>
        <v>0</v>
      </c>
      <c r="EK126" s="68" t="e">
        <f t="shared" si="43"/>
        <v>#DIV/0!</v>
      </c>
      <c r="EL126" s="58">
        <f t="shared" si="45"/>
        <v>0</v>
      </c>
      <c r="EM126" s="58">
        <f t="shared" si="46"/>
        <v>0</v>
      </c>
      <c r="EN126" s="68" t="e">
        <f t="shared" si="47"/>
        <v>#DIV/0!</v>
      </c>
    </row>
    <row r="127" spans="1:144" x14ac:dyDescent="0.2">
      <c r="A127" s="43">
        <v>0</v>
      </c>
      <c r="B127" s="43">
        <v>0</v>
      </c>
      <c r="C127" s="43">
        <v>0</v>
      </c>
      <c r="D127" s="70">
        <v>2017</v>
      </c>
      <c r="E127" s="70">
        <v>12</v>
      </c>
      <c r="F127" s="2"/>
      <c r="G127" s="63"/>
      <c r="H127" s="63"/>
      <c r="I127" s="63"/>
      <c r="J127" s="63"/>
      <c r="K127" s="63"/>
      <c r="L127" s="63"/>
      <c r="M127" s="5"/>
      <c r="N127" s="5"/>
      <c r="O127" s="5"/>
      <c r="P127" s="200">
        <f t="shared" si="51"/>
        <v>0</v>
      </c>
      <c r="Q127" s="200">
        <f t="shared" si="52"/>
        <v>0</v>
      </c>
      <c r="R127" s="200">
        <f t="shared" si="53"/>
        <v>0</v>
      </c>
      <c r="S127" s="8">
        <f t="shared" si="54"/>
        <v>0</v>
      </c>
      <c r="T127" s="8">
        <f t="shared" si="55"/>
        <v>0</v>
      </c>
      <c r="U127" s="8">
        <f t="shared" si="56"/>
        <v>0</v>
      </c>
      <c r="V127" s="200">
        <f t="shared" si="57"/>
        <v>0</v>
      </c>
      <c r="W127" s="200">
        <f t="shared" si="58"/>
        <v>0</v>
      </c>
      <c r="X127" s="200">
        <f t="shared" si="59"/>
        <v>0</v>
      </c>
      <c r="Y127" s="63"/>
      <c r="Z127" s="63"/>
      <c r="AA127" s="63"/>
      <c r="AB127" s="8"/>
      <c r="AC127" s="8"/>
      <c r="AD127" s="8"/>
      <c r="AE127" s="8"/>
      <c r="AF127" s="8"/>
      <c r="AG127" s="8"/>
      <c r="AH127" s="8"/>
      <c r="AI127" s="8"/>
      <c r="AJ127" s="8"/>
      <c r="AK127" s="8"/>
      <c r="AL127" s="63"/>
      <c r="AM127" s="63"/>
      <c r="AN127" s="63"/>
      <c r="AO127" s="63"/>
      <c r="AP127" s="63"/>
      <c r="AQ127" s="62"/>
      <c r="AR127" s="18"/>
      <c r="AS127" s="18"/>
      <c r="AT127" s="62"/>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2"/>
      <c r="BQ127" s="62"/>
      <c r="BR127" s="5"/>
      <c r="BS127" s="5"/>
      <c r="BT127" s="5"/>
      <c r="BU127" s="5"/>
      <c r="BV127" s="5"/>
      <c r="BW127" s="5"/>
      <c r="BX127" s="5"/>
      <c r="BY127" s="5"/>
      <c r="BZ127" s="62"/>
      <c r="CA127" s="64"/>
      <c r="CB127" s="64"/>
      <c r="CC127" s="64"/>
      <c r="CD127" s="64"/>
      <c r="CE127" s="64"/>
      <c r="CF127" s="63"/>
      <c r="CG127" s="70"/>
      <c r="CH127" s="70"/>
      <c r="CI127" s="70"/>
      <c r="CJ127" s="63"/>
      <c r="CK127" s="8">
        <f t="shared" si="86"/>
        <v>0</v>
      </c>
      <c r="CL127" s="201">
        <f t="shared" si="60"/>
        <v>0</v>
      </c>
      <c r="CM127" s="201">
        <f t="shared" si="61"/>
        <v>0</v>
      </c>
      <c r="CN127" s="201">
        <f t="shared" si="62"/>
        <v>0</v>
      </c>
      <c r="CO127" s="9">
        <f t="shared" si="63"/>
        <v>0</v>
      </c>
      <c r="CP127" s="9">
        <f t="shared" si="64"/>
        <v>0</v>
      </c>
      <c r="CQ127" s="9">
        <f t="shared" si="65"/>
        <v>0</v>
      </c>
      <c r="CR127" s="201">
        <f t="shared" si="66"/>
        <v>0</v>
      </c>
      <c r="CS127" s="201">
        <f t="shared" si="67"/>
        <v>0</v>
      </c>
      <c r="CT127" s="201">
        <f t="shared" si="68"/>
        <v>0</v>
      </c>
      <c r="CU127" s="203" t="e">
        <f t="shared" si="69"/>
        <v>#DIV/0!</v>
      </c>
      <c r="CV127" s="203" t="e">
        <f t="shared" si="70"/>
        <v>#DIV/0!</v>
      </c>
      <c r="CW127" s="203" t="e">
        <f t="shared" si="71"/>
        <v>#DIV/0!</v>
      </c>
      <c r="CX127" s="19" t="e">
        <f t="shared" si="72"/>
        <v>#DIV/0!</v>
      </c>
      <c r="CY127" s="19" t="e">
        <f t="shared" si="73"/>
        <v>#DIV/0!</v>
      </c>
      <c r="CZ127" s="19" t="e">
        <f t="shared" si="74"/>
        <v>#DIV/0!</v>
      </c>
      <c r="DA127" s="203" t="e">
        <f t="shared" si="75"/>
        <v>#DIV/0!</v>
      </c>
      <c r="DB127" s="203" t="e">
        <f t="shared" si="76"/>
        <v>#DIV/0!</v>
      </c>
      <c r="DC127" s="203" t="e">
        <f t="shared" si="77"/>
        <v>#DIV/0!</v>
      </c>
      <c r="DD127" s="63"/>
      <c r="DE127" s="62"/>
      <c r="DF127" s="62"/>
      <c r="DG127" s="62"/>
      <c r="DH127" s="62"/>
      <c r="DI127" s="62"/>
      <c r="DJ127" s="63"/>
      <c r="DK127" s="62"/>
      <c r="DL127" s="62"/>
      <c r="DM127" s="8">
        <f t="shared" si="78"/>
        <v>0</v>
      </c>
      <c r="DN127" s="8">
        <f t="shared" si="79"/>
        <v>0</v>
      </c>
      <c r="DO127" s="202">
        <f t="shared" si="99"/>
        <v>0</v>
      </c>
      <c r="DP127" s="202">
        <f t="shared" si="100"/>
        <v>0</v>
      </c>
      <c r="DQ127" s="202">
        <f t="shared" si="101"/>
        <v>0</v>
      </c>
      <c r="DR127" s="9">
        <f t="shared" si="102"/>
        <v>0</v>
      </c>
      <c r="DS127" s="9">
        <f t="shared" si="91"/>
        <v>0</v>
      </c>
      <c r="DT127" s="9">
        <f t="shared" si="103"/>
        <v>0</v>
      </c>
      <c r="DU127" s="202">
        <f t="shared" si="104"/>
        <v>0</v>
      </c>
      <c r="DV127" s="202">
        <f t="shared" si="105"/>
        <v>0</v>
      </c>
      <c r="DW127" s="202">
        <f t="shared" si="106"/>
        <v>0</v>
      </c>
      <c r="DX127" s="203" t="e">
        <f t="shared" si="107"/>
        <v>#DIV/0!</v>
      </c>
      <c r="DY127" s="203" t="e">
        <f t="shared" si="108"/>
        <v>#DIV/0!</v>
      </c>
      <c r="DZ127" s="203" t="e">
        <f t="shared" si="109"/>
        <v>#DIV/0!</v>
      </c>
      <c r="EA127" s="19" t="e">
        <f t="shared" si="110"/>
        <v>#DIV/0!</v>
      </c>
      <c r="EB127" s="19" t="e">
        <f t="shared" si="97"/>
        <v>#DIV/0!</v>
      </c>
      <c r="EC127" s="19" t="e">
        <f t="shared" si="111"/>
        <v>#DIV/0!</v>
      </c>
      <c r="ED127" s="203" t="e">
        <f t="shared" si="112"/>
        <v>#DIV/0!</v>
      </c>
      <c r="EE127" s="203" t="e">
        <f t="shared" si="113"/>
        <v>#DIV/0!</v>
      </c>
      <c r="EF127" s="203" t="e">
        <f t="shared" si="114"/>
        <v>#DIV/0!</v>
      </c>
      <c r="EH127" s="58">
        <f t="shared" si="42"/>
        <v>0</v>
      </c>
      <c r="EI127" s="68" t="e">
        <f t="shared" si="43"/>
        <v>#DIV/0!</v>
      </c>
      <c r="EJ127" s="58">
        <f t="shared" si="44"/>
        <v>0</v>
      </c>
      <c r="EK127" s="68" t="e">
        <f t="shared" si="43"/>
        <v>#DIV/0!</v>
      </c>
      <c r="EL127" s="58">
        <f t="shared" si="45"/>
        <v>0</v>
      </c>
      <c r="EM127" s="58">
        <f t="shared" si="46"/>
        <v>0</v>
      </c>
      <c r="EN127" s="68" t="e">
        <f t="shared" si="47"/>
        <v>#DIV/0!</v>
      </c>
    </row>
    <row r="128" spans="1:144" x14ac:dyDescent="0.2">
      <c r="A128" s="43">
        <v>0</v>
      </c>
      <c r="B128" s="43">
        <v>0</v>
      </c>
      <c r="C128" s="43">
        <v>0</v>
      </c>
      <c r="D128" s="70">
        <v>2018</v>
      </c>
      <c r="E128" s="70">
        <v>1</v>
      </c>
      <c r="F128" s="2">
        <v>744</v>
      </c>
      <c r="G128" s="63"/>
      <c r="H128" s="63"/>
      <c r="I128" s="63"/>
      <c r="J128" s="133">
        <f>+K128</f>
        <v>0</v>
      </c>
      <c r="K128" s="65">
        <v>0</v>
      </c>
      <c r="L128" s="133">
        <f>+K128</f>
        <v>0</v>
      </c>
      <c r="M128" s="5"/>
      <c r="N128" s="5"/>
      <c r="O128" s="63"/>
      <c r="P128" s="200">
        <f t="shared" ref="P128:P191" si="115">+$G128-J128-(30%*SUM($M128:$O128))</f>
        <v>0</v>
      </c>
      <c r="Q128" s="200">
        <f t="shared" ref="Q128:Q191" si="116">+$G128-K128-(30%*SUM($M128:$O128))</f>
        <v>0</v>
      </c>
      <c r="R128" s="200">
        <f t="shared" ref="R128:R191" si="117">+$G128-L128-(30%*SUM($M128:$O128))</f>
        <v>0</v>
      </c>
      <c r="S128" s="133">
        <f t="shared" ref="S128:S159" si="118">+$H128-J128-(30%*SUM($M128:$O128))</f>
        <v>0</v>
      </c>
      <c r="T128" s="133">
        <f t="shared" ref="T128:T159" si="119">+$H128-K128-(30%*SUM($M128:$O128))</f>
        <v>0</v>
      </c>
      <c r="U128" s="133">
        <f t="shared" ref="U128:U159" si="120">+$H128-L128-(30%*SUM($M128:$O128))</f>
        <v>0</v>
      </c>
      <c r="V128" s="200">
        <f t="shared" ref="V128:V191" si="121">+$I128-J128-(30%*SUM($M128:$O128))</f>
        <v>0</v>
      </c>
      <c r="W128" s="200">
        <f t="shared" ref="W128:W191" si="122">+$I128-K128-(30%*SUM($M128:$O128))</f>
        <v>0</v>
      </c>
      <c r="X128" s="200">
        <f t="shared" ref="X128:X191" si="123">+$I128-L128-(30%*SUM($M128:$O128))</f>
        <v>0</v>
      </c>
      <c r="Y128" s="63"/>
      <c r="Z128" s="63"/>
      <c r="AA128" s="63"/>
      <c r="AB128" s="133"/>
      <c r="AC128" s="133"/>
      <c r="AD128" s="133"/>
      <c r="AE128" s="133"/>
      <c r="AF128" s="133"/>
      <c r="AG128" s="133"/>
      <c r="AH128" s="133"/>
      <c r="AI128" s="133"/>
      <c r="AJ128" s="133"/>
      <c r="AK128" s="133"/>
      <c r="AL128" s="63"/>
      <c r="AM128" s="63"/>
      <c r="AN128" s="63"/>
      <c r="AO128" s="63"/>
      <c r="AP128" s="63"/>
      <c r="AQ128" s="10">
        <v>8432</v>
      </c>
      <c r="AR128" s="18"/>
      <c r="AS128" s="18"/>
      <c r="AT128" s="62"/>
      <c r="AU128" s="65">
        <v>67.536000000000001</v>
      </c>
      <c r="AV128" s="65">
        <v>3323.0509999999999</v>
      </c>
      <c r="AW128" s="65">
        <v>2.8212272727272727</v>
      </c>
      <c r="AX128" s="65">
        <v>6.8840000000000003</v>
      </c>
      <c r="AY128" s="65">
        <v>1218.1225157600002</v>
      </c>
      <c r="AZ128" s="1">
        <v>686.23503305218185</v>
      </c>
      <c r="BA128" s="65">
        <v>1527.9</v>
      </c>
      <c r="BB128" s="65">
        <v>1929.05</v>
      </c>
      <c r="BC128" s="63"/>
      <c r="BD128" s="63"/>
      <c r="BE128" s="63"/>
      <c r="BF128" s="63"/>
      <c r="BG128" s="63"/>
      <c r="BH128" s="63"/>
      <c r="BI128" s="63"/>
      <c r="BJ128" s="63"/>
      <c r="BK128" s="63"/>
      <c r="BL128" s="63"/>
      <c r="BM128" s="63"/>
      <c r="BN128" s="63"/>
      <c r="BO128" s="63"/>
      <c r="BP128" s="10">
        <v>1984</v>
      </c>
      <c r="BQ128" s="65">
        <v>84.883706523437496</v>
      </c>
      <c r="BR128" s="65">
        <v>110.9033770439999</v>
      </c>
      <c r="BS128" s="65">
        <v>401.29960476700001</v>
      </c>
      <c r="BT128" s="5"/>
      <c r="BU128" s="5"/>
      <c r="BV128" s="5"/>
      <c r="BW128" s="5"/>
      <c r="BX128" s="63"/>
      <c r="BY128" s="5"/>
      <c r="BZ128" s="66">
        <v>7254</v>
      </c>
      <c r="CA128" s="65">
        <v>3720</v>
      </c>
      <c r="CB128" s="70">
        <f>5*744+5*744</f>
        <v>7440</v>
      </c>
      <c r="CC128" s="5"/>
      <c r="CD128" s="5"/>
      <c r="CE128" s="5"/>
      <c r="CF128" s="65"/>
      <c r="CG128" s="70"/>
      <c r="CH128" s="70"/>
      <c r="CI128" s="70"/>
      <c r="CJ128" s="65">
        <v>1929.05</v>
      </c>
      <c r="CK128" s="8">
        <f t="shared" si="86"/>
        <v>38188.686464419341</v>
      </c>
      <c r="CL128" s="202">
        <f t="shared" si="60"/>
        <v>-38188.686464419341</v>
      </c>
      <c r="CM128" s="202">
        <f t="shared" si="61"/>
        <v>-38188.686464419341</v>
      </c>
      <c r="CN128" s="202">
        <f t="shared" si="62"/>
        <v>-38188.686464419341</v>
      </c>
      <c r="CO128" s="9">
        <f t="shared" si="63"/>
        <v>-38188.686464419341</v>
      </c>
      <c r="CP128" s="9">
        <f t="shared" si="64"/>
        <v>-38188.686464419341</v>
      </c>
      <c r="CQ128" s="9">
        <f t="shared" si="65"/>
        <v>-38188.686464419341</v>
      </c>
      <c r="CR128" s="202">
        <f t="shared" si="66"/>
        <v>-38188.686464419341</v>
      </c>
      <c r="CS128" s="202">
        <f t="shared" si="67"/>
        <v>-38188.686464419341</v>
      </c>
      <c r="CT128" s="202">
        <f t="shared" si="68"/>
        <v>-38188.686464419341</v>
      </c>
      <c r="CU128" s="203" t="e">
        <f t="shared" si="69"/>
        <v>#DIV/0!</v>
      </c>
      <c r="CV128" s="203" t="e">
        <f t="shared" si="70"/>
        <v>#DIV/0!</v>
      </c>
      <c r="CW128" s="203" t="e">
        <f t="shared" si="71"/>
        <v>#DIV/0!</v>
      </c>
      <c r="CX128" s="19" t="e">
        <f t="shared" si="72"/>
        <v>#DIV/0!</v>
      </c>
      <c r="CY128" s="19" t="e">
        <f t="shared" si="73"/>
        <v>#DIV/0!</v>
      </c>
      <c r="CZ128" s="19" t="e">
        <f t="shared" si="74"/>
        <v>#DIV/0!</v>
      </c>
      <c r="DA128" s="203" t="e">
        <f t="shared" si="75"/>
        <v>#DIV/0!</v>
      </c>
      <c r="DB128" s="203" t="e">
        <f t="shared" si="76"/>
        <v>#DIV/0!</v>
      </c>
      <c r="DC128" s="203" t="e">
        <f t="shared" si="77"/>
        <v>#DIV/0!</v>
      </c>
      <c r="DD128" s="65"/>
      <c r="DE128" s="66"/>
      <c r="DF128" s="66"/>
      <c r="DG128" s="66"/>
      <c r="DH128" s="66"/>
      <c r="DI128" s="66"/>
      <c r="DJ128" s="65"/>
      <c r="DK128" s="66"/>
      <c r="DL128" s="66"/>
      <c r="DM128" s="8">
        <f t="shared" si="78"/>
        <v>0</v>
      </c>
      <c r="DN128" s="8">
        <f t="shared" si="79"/>
        <v>38188.686464419341</v>
      </c>
      <c r="DO128" s="202">
        <f t="shared" si="99"/>
        <v>-38188.686464419341</v>
      </c>
      <c r="DP128" s="202">
        <f t="shared" si="100"/>
        <v>-38188.686464419341</v>
      </c>
      <c r="DQ128" s="202">
        <f t="shared" si="101"/>
        <v>-38188.686464419341</v>
      </c>
      <c r="DR128" s="9">
        <f t="shared" si="102"/>
        <v>-38188.686464419341</v>
      </c>
      <c r="DS128" s="9">
        <f t="shared" si="91"/>
        <v>-38188.686464419341</v>
      </c>
      <c r="DT128" s="9">
        <f t="shared" si="103"/>
        <v>-38188.686464419341</v>
      </c>
      <c r="DU128" s="202">
        <f t="shared" si="104"/>
        <v>-38188.686464419341</v>
      </c>
      <c r="DV128" s="202">
        <f t="shared" si="105"/>
        <v>-38188.686464419341</v>
      </c>
      <c r="DW128" s="202">
        <f t="shared" si="106"/>
        <v>-38188.686464419341</v>
      </c>
      <c r="DX128" s="203" t="e">
        <f t="shared" si="107"/>
        <v>#DIV/0!</v>
      </c>
      <c r="DY128" s="203" t="e">
        <f t="shared" si="108"/>
        <v>#DIV/0!</v>
      </c>
      <c r="DZ128" s="203" t="e">
        <f t="shared" si="109"/>
        <v>#DIV/0!</v>
      </c>
      <c r="EA128" s="19" t="e">
        <f t="shared" si="110"/>
        <v>#DIV/0!</v>
      </c>
      <c r="EB128" s="19" t="e">
        <f t="shared" si="97"/>
        <v>#DIV/0!</v>
      </c>
      <c r="EC128" s="19" t="e">
        <f t="shared" si="111"/>
        <v>#DIV/0!</v>
      </c>
      <c r="ED128" s="203" t="e">
        <f t="shared" si="112"/>
        <v>#DIV/0!</v>
      </c>
      <c r="EE128" s="203" t="e">
        <f t="shared" si="113"/>
        <v>#DIV/0!</v>
      </c>
      <c r="EF128" s="203" t="e">
        <f t="shared" si="114"/>
        <v>#DIV/0!</v>
      </c>
      <c r="EH128" s="58">
        <f t="shared" si="42"/>
        <v>27018.981237146618</v>
      </c>
      <c r="EI128" s="68" t="e">
        <f t="shared" si="43"/>
        <v>#DIV/0!</v>
      </c>
      <c r="EJ128" s="58">
        <f t="shared" si="44"/>
        <v>19764.981237146618</v>
      </c>
      <c r="EK128" s="68" t="e">
        <f t="shared" si="43"/>
        <v>#DIV/0!</v>
      </c>
      <c r="EL128" s="58">
        <f t="shared" si="45"/>
        <v>597.08668833443744</v>
      </c>
      <c r="EM128" s="58">
        <f t="shared" si="46"/>
        <v>597.08668833443744</v>
      </c>
      <c r="EN128" s="68" t="e">
        <f t="shared" si="47"/>
        <v>#DIV/0!</v>
      </c>
    </row>
    <row r="129" spans="1:146" x14ac:dyDescent="0.2">
      <c r="A129" s="43">
        <v>0</v>
      </c>
      <c r="B129" s="43">
        <v>0</v>
      </c>
      <c r="C129" s="43">
        <v>0</v>
      </c>
      <c r="D129" s="70">
        <v>2018</v>
      </c>
      <c r="E129" s="70">
        <v>2</v>
      </c>
      <c r="F129" s="2">
        <v>672</v>
      </c>
      <c r="G129" s="63"/>
      <c r="H129" s="63"/>
      <c r="I129" s="63"/>
      <c r="J129" s="133">
        <f t="shared" ref="J129:J192" si="124">+K129</f>
        <v>0</v>
      </c>
      <c r="K129" s="65">
        <v>0</v>
      </c>
      <c r="L129" s="133">
        <f t="shared" ref="L129:L192" si="125">+K129</f>
        <v>0</v>
      </c>
      <c r="M129" s="5"/>
      <c r="N129" s="5"/>
      <c r="O129" s="63"/>
      <c r="P129" s="200">
        <f t="shared" si="115"/>
        <v>0</v>
      </c>
      <c r="Q129" s="200">
        <f t="shared" si="116"/>
        <v>0</v>
      </c>
      <c r="R129" s="200">
        <f t="shared" si="117"/>
        <v>0</v>
      </c>
      <c r="S129" s="133">
        <f t="shared" si="118"/>
        <v>0</v>
      </c>
      <c r="T129" s="133">
        <f t="shared" si="119"/>
        <v>0</v>
      </c>
      <c r="U129" s="133">
        <f t="shared" si="120"/>
        <v>0</v>
      </c>
      <c r="V129" s="200">
        <f t="shared" si="121"/>
        <v>0</v>
      </c>
      <c r="W129" s="200">
        <f t="shared" si="122"/>
        <v>0</v>
      </c>
      <c r="X129" s="200">
        <f t="shared" si="123"/>
        <v>0</v>
      </c>
      <c r="Y129" s="63"/>
      <c r="Z129" s="63"/>
      <c r="AA129" s="63"/>
      <c r="AB129" s="133"/>
      <c r="AC129" s="133"/>
      <c r="AD129" s="133"/>
      <c r="AE129" s="133"/>
      <c r="AF129" s="133"/>
      <c r="AG129" s="133"/>
      <c r="AH129" s="133"/>
      <c r="AI129" s="133"/>
      <c r="AJ129" s="133"/>
      <c r="AK129" s="133"/>
      <c r="AL129" s="63"/>
      <c r="AM129" s="63"/>
      <c r="AN129" s="63"/>
      <c r="AO129" s="63"/>
      <c r="AP129" s="63"/>
      <c r="AQ129" s="10">
        <v>7616</v>
      </c>
      <c r="AR129" s="18"/>
      <c r="AS129" s="18"/>
      <c r="AT129" s="62"/>
      <c r="AU129" s="65">
        <v>55.246000000000002</v>
      </c>
      <c r="AV129" s="65">
        <v>2930.0059999999999</v>
      </c>
      <c r="AW129" s="65">
        <v>2.5567272727272727</v>
      </c>
      <c r="AX129" s="65">
        <v>4.8939545454545454</v>
      </c>
      <c r="AY129" s="65">
        <v>1147.0237539920001</v>
      </c>
      <c r="AZ129" s="1">
        <v>489.83705809554544</v>
      </c>
      <c r="BA129" s="65">
        <v>2034.62</v>
      </c>
      <c r="BB129" s="65">
        <v>2165.7494999999999</v>
      </c>
      <c r="BC129" s="63"/>
      <c r="BD129" s="63"/>
      <c r="BE129" s="63"/>
      <c r="BF129" s="63"/>
      <c r="BG129" s="63"/>
      <c r="BH129" s="63"/>
      <c r="BI129" s="63"/>
      <c r="BJ129" s="63"/>
      <c r="BK129" s="63"/>
      <c r="BL129" s="63"/>
      <c r="BM129" s="63"/>
      <c r="BN129" s="63"/>
      <c r="BO129" s="63"/>
      <c r="BP129" s="10">
        <v>1792</v>
      </c>
      <c r="BQ129" s="65">
        <v>105.6030190625</v>
      </c>
      <c r="BR129" s="65">
        <v>137.97377426799974</v>
      </c>
      <c r="BS129" s="65">
        <v>499.25279488600029</v>
      </c>
      <c r="BT129" s="5"/>
      <c r="BU129" s="5"/>
      <c r="BV129" s="5"/>
      <c r="BW129" s="5"/>
      <c r="BX129" s="63"/>
      <c r="BY129" s="5"/>
      <c r="BZ129" s="66">
        <v>6552</v>
      </c>
      <c r="CA129" s="65">
        <v>3360</v>
      </c>
      <c r="CB129" s="70">
        <f>5*24*28+5*672</f>
        <v>6720</v>
      </c>
      <c r="CC129" s="5"/>
      <c r="CD129" s="5"/>
      <c r="CE129" s="5"/>
      <c r="CF129" s="65"/>
      <c r="CG129" s="70"/>
      <c r="CH129" s="70"/>
      <c r="CI129" s="70"/>
      <c r="CJ129" s="65">
        <v>2165.7494999999999</v>
      </c>
      <c r="CK129" s="8">
        <f t="shared" si="86"/>
        <v>35612.762582122232</v>
      </c>
      <c r="CL129" s="202">
        <f t="shared" si="60"/>
        <v>-35612.762582122232</v>
      </c>
      <c r="CM129" s="202">
        <f t="shared" si="61"/>
        <v>-35612.762582122232</v>
      </c>
      <c r="CN129" s="202">
        <f t="shared" si="62"/>
        <v>-35612.762582122232</v>
      </c>
      <c r="CO129" s="9">
        <f t="shared" si="63"/>
        <v>-35612.762582122232</v>
      </c>
      <c r="CP129" s="9">
        <f t="shared" si="64"/>
        <v>-35612.762582122232</v>
      </c>
      <c r="CQ129" s="9">
        <f t="shared" si="65"/>
        <v>-35612.762582122232</v>
      </c>
      <c r="CR129" s="202">
        <f t="shared" si="66"/>
        <v>-35612.762582122232</v>
      </c>
      <c r="CS129" s="202">
        <f t="shared" si="67"/>
        <v>-35612.762582122232</v>
      </c>
      <c r="CT129" s="202">
        <f t="shared" si="68"/>
        <v>-35612.762582122232</v>
      </c>
      <c r="CU129" s="203" t="e">
        <f t="shared" si="69"/>
        <v>#DIV/0!</v>
      </c>
      <c r="CV129" s="203" t="e">
        <f t="shared" si="70"/>
        <v>#DIV/0!</v>
      </c>
      <c r="CW129" s="203" t="e">
        <f t="shared" si="71"/>
        <v>#DIV/0!</v>
      </c>
      <c r="CX129" s="19" t="e">
        <f t="shared" si="72"/>
        <v>#DIV/0!</v>
      </c>
      <c r="CY129" s="19" t="e">
        <f t="shared" si="73"/>
        <v>#DIV/0!</v>
      </c>
      <c r="CZ129" s="19" t="e">
        <f t="shared" si="74"/>
        <v>#DIV/0!</v>
      </c>
      <c r="DA129" s="203" t="e">
        <f t="shared" si="75"/>
        <v>#DIV/0!</v>
      </c>
      <c r="DB129" s="203" t="e">
        <f t="shared" si="76"/>
        <v>#DIV/0!</v>
      </c>
      <c r="DC129" s="203" t="e">
        <f t="shared" si="77"/>
        <v>#DIV/0!</v>
      </c>
      <c r="DD129" s="65"/>
      <c r="DE129" s="66"/>
      <c r="DF129" s="66"/>
      <c r="DG129" s="66"/>
      <c r="DH129" s="66"/>
      <c r="DI129" s="66"/>
      <c r="DJ129" s="65"/>
      <c r="DK129" s="66"/>
      <c r="DL129" s="66"/>
      <c r="DM129" s="8">
        <f t="shared" si="78"/>
        <v>0</v>
      </c>
      <c r="DN129" s="8">
        <f t="shared" si="79"/>
        <v>35612.762582122232</v>
      </c>
      <c r="DO129" s="202">
        <f t="shared" si="99"/>
        <v>-35612.762582122232</v>
      </c>
      <c r="DP129" s="202">
        <f t="shared" si="100"/>
        <v>-35612.762582122232</v>
      </c>
      <c r="DQ129" s="202">
        <f t="shared" si="101"/>
        <v>-35612.762582122232</v>
      </c>
      <c r="DR129" s="9">
        <f t="shared" si="102"/>
        <v>-35612.762582122232</v>
      </c>
      <c r="DS129" s="9">
        <f t="shared" si="91"/>
        <v>-35612.762582122232</v>
      </c>
      <c r="DT129" s="9">
        <f t="shared" si="103"/>
        <v>-35612.762582122232</v>
      </c>
      <c r="DU129" s="202">
        <f t="shared" si="104"/>
        <v>-35612.762582122232</v>
      </c>
      <c r="DV129" s="202">
        <f t="shared" si="105"/>
        <v>-35612.762582122232</v>
      </c>
      <c r="DW129" s="202">
        <f t="shared" si="106"/>
        <v>-35612.762582122232</v>
      </c>
      <c r="DX129" s="203" t="e">
        <f t="shared" si="107"/>
        <v>#DIV/0!</v>
      </c>
      <c r="DY129" s="203" t="e">
        <f t="shared" si="108"/>
        <v>#DIV/0!</v>
      </c>
      <c r="DZ129" s="203" t="e">
        <f t="shared" si="109"/>
        <v>#DIV/0!</v>
      </c>
      <c r="EA129" s="19" t="e">
        <f t="shared" si="110"/>
        <v>#DIV/0!</v>
      </c>
      <c r="EB129" s="19" t="e">
        <f t="shared" si="97"/>
        <v>#DIV/0!</v>
      </c>
      <c r="EC129" s="19" t="e">
        <f t="shared" si="111"/>
        <v>#DIV/0!</v>
      </c>
      <c r="ED129" s="203" t="e">
        <f t="shared" si="112"/>
        <v>#DIV/0!</v>
      </c>
      <c r="EE129" s="203" t="e">
        <f t="shared" si="113"/>
        <v>#DIV/0!</v>
      </c>
      <c r="EF129" s="203" t="e">
        <f t="shared" si="114"/>
        <v>#DIV/0!</v>
      </c>
      <c r="EH129" s="58">
        <f t="shared" si="42"/>
        <v>25525.311900304045</v>
      </c>
      <c r="EI129" s="68" t="e">
        <f t="shared" si="43"/>
        <v>#DIV/0!</v>
      </c>
      <c r="EJ129" s="58">
        <f t="shared" si="44"/>
        <v>18973.311900304045</v>
      </c>
      <c r="EK129" s="68" t="e">
        <f t="shared" si="43"/>
        <v>#DIV/0!</v>
      </c>
      <c r="EL129" s="58">
        <f t="shared" si="45"/>
        <v>742.82958821650004</v>
      </c>
      <c r="EM129" s="58">
        <f t="shared" si="46"/>
        <v>742.82958821650004</v>
      </c>
      <c r="EN129" s="68" t="e">
        <f t="shared" si="47"/>
        <v>#DIV/0!</v>
      </c>
    </row>
    <row r="130" spans="1:146" x14ac:dyDescent="0.2">
      <c r="A130" s="43">
        <v>0</v>
      </c>
      <c r="B130" s="43">
        <v>0</v>
      </c>
      <c r="C130" s="43">
        <v>0</v>
      </c>
      <c r="D130" s="70">
        <v>2018</v>
      </c>
      <c r="E130" s="70">
        <v>3</v>
      </c>
      <c r="F130" s="2">
        <v>743</v>
      </c>
      <c r="G130" s="63"/>
      <c r="H130" s="63"/>
      <c r="I130" s="63"/>
      <c r="J130" s="133">
        <f t="shared" si="124"/>
        <v>0</v>
      </c>
      <c r="K130" s="65">
        <v>0</v>
      </c>
      <c r="L130" s="133">
        <f t="shared" si="125"/>
        <v>0</v>
      </c>
      <c r="M130" s="5"/>
      <c r="N130" s="5"/>
      <c r="O130" s="63"/>
      <c r="P130" s="200">
        <f t="shared" si="115"/>
        <v>0</v>
      </c>
      <c r="Q130" s="200">
        <f t="shared" si="116"/>
        <v>0</v>
      </c>
      <c r="R130" s="200">
        <f t="shared" si="117"/>
        <v>0</v>
      </c>
      <c r="S130" s="133">
        <f t="shared" si="118"/>
        <v>0</v>
      </c>
      <c r="T130" s="133">
        <f t="shared" si="119"/>
        <v>0</v>
      </c>
      <c r="U130" s="133">
        <f t="shared" si="120"/>
        <v>0</v>
      </c>
      <c r="V130" s="200">
        <f t="shared" si="121"/>
        <v>0</v>
      </c>
      <c r="W130" s="200">
        <f t="shared" si="122"/>
        <v>0</v>
      </c>
      <c r="X130" s="200">
        <f t="shared" si="123"/>
        <v>0</v>
      </c>
      <c r="Y130" s="63"/>
      <c r="Z130" s="63"/>
      <c r="AA130" s="63"/>
      <c r="AB130" s="133"/>
      <c r="AC130" s="133"/>
      <c r="AD130" s="133"/>
      <c r="AE130" s="133"/>
      <c r="AF130" s="133"/>
      <c r="AG130" s="133"/>
      <c r="AH130" s="133"/>
      <c r="AI130" s="133"/>
      <c r="AJ130" s="133"/>
      <c r="AK130" s="133"/>
      <c r="AL130" s="63"/>
      <c r="AM130" s="63"/>
      <c r="AN130" s="63"/>
      <c r="AO130" s="63"/>
      <c r="AP130" s="63"/>
      <c r="AQ130" s="10">
        <v>8432</v>
      </c>
      <c r="AR130" s="18"/>
      <c r="AS130" s="18"/>
      <c r="AT130" s="62"/>
      <c r="AU130" s="65">
        <v>63.908000000000001</v>
      </c>
      <c r="AV130" s="65">
        <v>3544.1390000000001</v>
      </c>
      <c r="AW130" s="65">
        <v>3.5509090909090908</v>
      </c>
      <c r="AX130" s="65">
        <v>6.2365454545454551</v>
      </c>
      <c r="AY130" s="65">
        <v>1229.6620742</v>
      </c>
      <c r="AZ130" s="1">
        <v>941.75937947145451</v>
      </c>
      <c r="BA130" s="65">
        <v>2161.078</v>
      </c>
      <c r="BB130" s="65">
        <v>2850.585</v>
      </c>
      <c r="BC130" s="63"/>
      <c r="BD130" s="63"/>
      <c r="BE130" s="63"/>
      <c r="BF130" s="63"/>
      <c r="BG130" s="63"/>
      <c r="BH130" s="63"/>
      <c r="BI130" s="63"/>
      <c r="BJ130" s="63"/>
      <c r="BK130" s="63"/>
      <c r="BL130" s="63"/>
      <c r="BM130" s="63"/>
      <c r="BN130" s="63"/>
      <c r="BO130" s="63"/>
      <c r="BP130" s="10">
        <v>1984</v>
      </c>
      <c r="BQ130" s="65">
        <v>146.97319124999999</v>
      </c>
      <c r="BR130" s="65">
        <v>192.02521851699967</v>
      </c>
      <c r="BS130" s="65">
        <v>694.83586879999962</v>
      </c>
      <c r="BT130" s="5"/>
      <c r="BU130" s="5"/>
      <c r="BV130" s="5"/>
      <c r="BW130" s="5"/>
      <c r="BX130" s="63"/>
      <c r="BY130" s="5"/>
      <c r="BZ130" s="66">
        <v>7244.25</v>
      </c>
      <c r="CA130" s="65">
        <v>3715</v>
      </c>
      <c r="CB130" s="70">
        <f>5*743+5*743</f>
        <v>7430</v>
      </c>
      <c r="CC130" s="5"/>
      <c r="CD130" s="5"/>
      <c r="CE130" s="5"/>
      <c r="CF130" s="65"/>
      <c r="CG130" s="70"/>
      <c r="CH130" s="70"/>
      <c r="CI130" s="70"/>
      <c r="CJ130" s="65">
        <v>2850.585</v>
      </c>
      <c r="CK130" s="8">
        <f t="shared" si="86"/>
        <v>40640.003186783906</v>
      </c>
      <c r="CL130" s="202">
        <f t="shared" si="60"/>
        <v>-40640.003186783906</v>
      </c>
      <c r="CM130" s="202">
        <f t="shared" si="61"/>
        <v>-40640.003186783906</v>
      </c>
      <c r="CN130" s="202">
        <f t="shared" si="62"/>
        <v>-40640.003186783906</v>
      </c>
      <c r="CO130" s="9">
        <f t="shared" si="63"/>
        <v>-40640.003186783906</v>
      </c>
      <c r="CP130" s="9">
        <f t="shared" si="64"/>
        <v>-40640.003186783906</v>
      </c>
      <c r="CQ130" s="9">
        <f t="shared" si="65"/>
        <v>-40640.003186783906</v>
      </c>
      <c r="CR130" s="202">
        <f t="shared" si="66"/>
        <v>-40640.003186783906</v>
      </c>
      <c r="CS130" s="202">
        <f t="shared" si="67"/>
        <v>-40640.003186783906</v>
      </c>
      <c r="CT130" s="202">
        <f t="shared" si="68"/>
        <v>-40640.003186783906</v>
      </c>
      <c r="CU130" s="203" t="e">
        <f t="shared" si="69"/>
        <v>#DIV/0!</v>
      </c>
      <c r="CV130" s="203" t="e">
        <f t="shared" si="70"/>
        <v>#DIV/0!</v>
      </c>
      <c r="CW130" s="203" t="e">
        <f t="shared" si="71"/>
        <v>#DIV/0!</v>
      </c>
      <c r="CX130" s="19" t="e">
        <f t="shared" si="72"/>
        <v>#DIV/0!</v>
      </c>
      <c r="CY130" s="19" t="e">
        <f t="shared" si="73"/>
        <v>#DIV/0!</v>
      </c>
      <c r="CZ130" s="19" t="e">
        <f t="shared" si="74"/>
        <v>#DIV/0!</v>
      </c>
      <c r="DA130" s="203" t="e">
        <f t="shared" si="75"/>
        <v>#DIV/0!</v>
      </c>
      <c r="DB130" s="203" t="e">
        <f t="shared" si="76"/>
        <v>#DIV/0!</v>
      </c>
      <c r="DC130" s="203" t="e">
        <f t="shared" si="77"/>
        <v>#DIV/0!</v>
      </c>
      <c r="DD130" s="65"/>
      <c r="DE130" s="66"/>
      <c r="DF130" s="66"/>
      <c r="DG130" s="66"/>
      <c r="DH130" s="66"/>
      <c r="DI130" s="66"/>
      <c r="DJ130" s="65"/>
      <c r="DK130" s="66"/>
      <c r="DL130" s="66"/>
      <c r="DM130" s="8">
        <f t="shared" si="78"/>
        <v>0</v>
      </c>
      <c r="DN130" s="8">
        <f t="shared" si="79"/>
        <v>40640.003186783906</v>
      </c>
      <c r="DO130" s="202">
        <f t="shared" si="99"/>
        <v>-40640.003186783906</v>
      </c>
      <c r="DP130" s="202">
        <f t="shared" si="100"/>
        <v>-40640.003186783906</v>
      </c>
      <c r="DQ130" s="202">
        <f t="shared" si="101"/>
        <v>-40640.003186783906</v>
      </c>
      <c r="DR130" s="9">
        <f t="shared" si="102"/>
        <v>-40640.003186783906</v>
      </c>
      <c r="DS130" s="9">
        <f t="shared" si="91"/>
        <v>-40640.003186783906</v>
      </c>
      <c r="DT130" s="9">
        <f t="shared" si="103"/>
        <v>-40640.003186783906</v>
      </c>
      <c r="DU130" s="202">
        <f t="shared" si="104"/>
        <v>-40640.003186783906</v>
      </c>
      <c r="DV130" s="202">
        <f t="shared" si="105"/>
        <v>-40640.003186783906</v>
      </c>
      <c r="DW130" s="202">
        <f t="shared" si="106"/>
        <v>-40640.003186783906</v>
      </c>
      <c r="DX130" s="203" t="e">
        <f t="shared" si="107"/>
        <v>#DIV/0!</v>
      </c>
      <c r="DY130" s="203" t="e">
        <f t="shared" si="108"/>
        <v>#DIV/0!</v>
      </c>
      <c r="DZ130" s="203" t="e">
        <f t="shared" si="109"/>
        <v>#DIV/0!</v>
      </c>
      <c r="EA130" s="19" t="e">
        <f t="shared" si="110"/>
        <v>#DIV/0!</v>
      </c>
      <c r="EB130" s="19" t="e">
        <f t="shared" si="97"/>
        <v>#DIV/0!</v>
      </c>
      <c r="EC130" s="19" t="e">
        <f t="shared" si="111"/>
        <v>#DIV/0!</v>
      </c>
      <c r="ED130" s="203" t="e">
        <f t="shared" si="112"/>
        <v>#DIV/0!</v>
      </c>
      <c r="EE130" s="203" t="e">
        <f t="shared" si="113"/>
        <v>#DIV/0!</v>
      </c>
      <c r="EF130" s="203" t="e">
        <f t="shared" si="114"/>
        <v>#DIV/0!</v>
      </c>
      <c r="EH130" s="58">
        <f t="shared" si="42"/>
        <v>29485.215732238452</v>
      </c>
      <c r="EI130" s="68" t="e">
        <f t="shared" si="43"/>
        <v>#DIV/0!</v>
      </c>
      <c r="EJ130" s="58">
        <f t="shared" si="44"/>
        <v>22240.965732238452</v>
      </c>
      <c r="EK130" s="68" t="e">
        <f t="shared" si="43"/>
        <v>#DIV/0!</v>
      </c>
      <c r="EL130" s="58">
        <f t="shared" si="45"/>
        <v>1033.8342785669993</v>
      </c>
      <c r="EM130" s="58">
        <f t="shared" si="46"/>
        <v>1033.8342785669993</v>
      </c>
      <c r="EN130" s="68" t="e">
        <f t="shared" si="47"/>
        <v>#DIV/0!</v>
      </c>
    </row>
    <row r="131" spans="1:146" x14ac:dyDescent="0.2">
      <c r="A131" s="43">
        <v>0</v>
      </c>
      <c r="B131" s="43">
        <v>0</v>
      </c>
      <c r="C131" s="43">
        <v>0</v>
      </c>
      <c r="D131" s="70">
        <v>2018</v>
      </c>
      <c r="E131" s="70">
        <v>4</v>
      </c>
      <c r="F131" s="2">
        <v>720</v>
      </c>
      <c r="G131" s="63"/>
      <c r="H131" s="63"/>
      <c r="I131" s="63"/>
      <c r="J131" s="133">
        <f t="shared" si="124"/>
        <v>0</v>
      </c>
      <c r="K131" s="65">
        <v>0</v>
      </c>
      <c r="L131" s="133">
        <f t="shared" si="125"/>
        <v>0</v>
      </c>
      <c r="M131" s="5"/>
      <c r="N131" s="5"/>
      <c r="O131" s="63"/>
      <c r="P131" s="200">
        <f t="shared" si="115"/>
        <v>0</v>
      </c>
      <c r="Q131" s="200">
        <f t="shared" si="116"/>
        <v>0</v>
      </c>
      <c r="R131" s="200">
        <f t="shared" si="117"/>
        <v>0</v>
      </c>
      <c r="S131" s="133">
        <f t="shared" si="118"/>
        <v>0</v>
      </c>
      <c r="T131" s="133">
        <f t="shared" si="119"/>
        <v>0</v>
      </c>
      <c r="U131" s="133">
        <f t="shared" si="120"/>
        <v>0</v>
      </c>
      <c r="V131" s="200">
        <f t="shared" si="121"/>
        <v>0</v>
      </c>
      <c r="W131" s="200">
        <f t="shared" si="122"/>
        <v>0</v>
      </c>
      <c r="X131" s="200">
        <f t="shared" si="123"/>
        <v>0</v>
      </c>
      <c r="Y131" s="63"/>
      <c r="Z131" s="63"/>
      <c r="AA131" s="63"/>
      <c r="AB131" s="133"/>
      <c r="AC131" s="133"/>
      <c r="AD131" s="133"/>
      <c r="AE131" s="133"/>
      <c r="AF131" s="133"/>
      <c r="AG131" s="133"/>
      <c r="AH131" s="133"/>
      <c r="AI131" s="133"/>
      <c r="AJ131" s="133"/>
      <c r="AK131" s="133"/>
      <c r="AL131" s="63"/>
      <c r="AM131" s="63"/>
      <c r="AN131" s="63"/>
      <c r="AO131" s="63"/>
      <c r="AP131" s="63"/>
      <c r="AQ131" s="10">
        <v>8160</v>
      </c>
      <c r="AR131" s="18"/>
      <c r="AS131" s="18"/>
      <c r="AT131" s="62"/>
      <c r="AU131" s="65">
        <v>86.263999999999996</v>
      </c>
      <c r="AV131" s="65">
        <v>3310.201</v>
      </c>
      <c r="AW131" s="65">
        <v>4.5458636363636362</v>
      </c>
      <c r="AX131" s="65">
        <v>10.028727272727272</v>
      </c>
      <c r="AY131" s="65">
        <v>1142.2184968388001</v>
      </c>
      <c r="AZ131" s="1">
        <v>286.4978012146363</v>
      </c>
      <c r="BA131" s="65">
        <v>1137.768</v>
      </c>
      <c r="BB131" s="65">
        <v>2099.0650000000001</v>
      </c>
      <c r="BC131" s="63"/>
      <c r="BD131" s="63"/>
      <c r="BE131" s="63"/>
      <c r="BF131" s="63"/>
      <c r="BG131" s="63"/>
      <c r="BH131" s="63"/>
      <c r="BI131" s="63"/>
      <c r="BJ131" s="63"/>
      <c r="BK131" s="63"/>
      <c r="BL131" s="63"/>
      <c r="BM131" s="63"/>
      <c r="BN131" s="63"/>
      <c r="BO131" s="63"/>
      <c r="BP131" s="10">
        <v>1920</v>
      </c>
      <c r="BQ131" s="65">
        <v>156.94772421874998</v>
      </c>
      <c r="BR131" s="65">
        <v>205.05731067099941</v>
      </c>
      <c r="BS131" s="65">
        <v>741.99199161399952</v>
      </c>
      <c r="BT131" s="5"/>
      <c r="BU131" s="5"/>
      <c r="BV131" s="5"/>
      <c r="BW131" s="5"/>
      <c r="BX131" s="63"/>
      <c r="BY131" s="5"/>
      <c r="BZ131" s="66">
        <v>7020</v>
      </c>
      <c r="CA131" s="65">
        <v>3600</v>
      </c>
      <c r="CB131" s="65">
        <f>5*720</f>
        <v>3600</v>
      </c>
      <c r="CC131" s="5"/>
      <c r="CD131" s="5"/>
      <c r="CE131" s="5"/>
      <c r="CF131" s="65"/>
      <c r="CG131" s="70"/>
      <c r="CH131" s="70"/>
      <c r="CI131" s="70"/>
      <c r="CJ131" s="65">
        <v>2099.0650000000001</v>
      </c>
      <c r="CK131" s="8">
        <f t="shared" si="86"/>
        <v>33480.585915466276</v>
      </c>
      <c r="CL131" s="202">
        <f t="shared" si="60"/>
        <v>-33480.585915466276</v>
      </c>
      <c r="CM131" s="202">
        <f t="shared" si="61"/>
        <v>-33480.585915466276</v>
      </c>
      <c r="CN131" s="202">
        <f t="shared" si="62"/>
        <v>-33480.585915466276</v>
      </c>
      <c r="CO131" s="9">
        <f t="shared" si="63"/>
        <v>-33480.585915466276</v>
      </c>
      <c r="CP131" s="9">
        <f t="shared" si="64"/>
        <v>-33480.585915466276</v>
      </c>
      <c r="CQ131" s="9">
        <f t="shared" si="65"/>
        <v>-33480.585915466276</v>
      </c>
      <c r="CR131" s="202">
        <f t="shared" si="66"/>
        <v>-33480.585915466276</v>
      </c>
      <c r="CS131" s="202">
        <f t="shared" si="67"/>
        <v>-33480.585915466276</v>
      </c>
      <c r="CT131" s="202">
        <f t="shared" si="68"/>
        <v>-33480.585915466276</v>
      </c>
      <c r="CU131" s="203" t="e">
        <f t="shared" si="69"/>
        <v>#DIV/0!</v>
      </c>
      <c r="CV131" s="203" t="e">
        <f t="shared" si="70"/>
        <v>#DIV/0!</v>
      </c>
      <c r="CW131" s="203" t="e">
        <f t="shared" si="71"/>
        <v>#DIV/0!</v>
      </c>
      <c r="CX131" s="19" t="e">
        <f t="shared" si="72"/>
        <v>#DIV/0!</v>
      </c>
      <c r="CY131" s="19" t="e">
        <f t="shared" si="73"/>
        <v>#DIV/0!</v>
      </c>
      <c r="CZ131" s="19" t="e">
        <f t="shared" si="74"/>
        <v>#DIV/0!</v>
      </c>
      <c r="DA131" s="203" t="e">
        <f t="shared" si="75"/>
        <v>#DIV/0!</v>
      </c>
      <c r="DB131" s="203" t="e">
        <f t="shared" si="76"/>
        <v>#DIV/0!</v>
      </c>
      <c r="DC131" s="203" t="e">
        <f t="shared" si="77"/>
        <v>#DIV/0!</v>
      </c>
      <c r="DD131" s="65"/>
      <c r="DE131" s="66"/>
      <c r="DF131" s="66"/>
      <c r="DG131" s="66"/>
      <c r="DH131" s="66"/>
      <c r="DI131" s="66"/>
      <c r="DJ131" s="65"/>
      <c r="DK131" s="66"/>
      <c r="DL131" s="66"/>
      <c r="DM131" s="8">
        <f t="shared" si="78"/>
        <v>0</v>
      </c>
      <c r="DN131" s="8">
        <f t="shared" si="79"/>
        <v>33480.585915466276</v>
      </c>
      <c r="DO131" s="202">
        <f t="shared" si="99"/>
        <v>-33480.585915466276</v>
      </c>
      <c r="DP131" s="202">
        <f t="shared" si="100"/>
        <v>-33480.585915466276</v>
      </c>
      <c r="DQ131" s="202">
        <f t="shared" si="101"/>
        <v>-33480.585915466276</v>
      </c>
      <c r="DR131" s="9">
        <f t="shared" si="102"/>
        <v>-33480.585915466276</v>
      </c>
      <c r="DS131" s="9">
        <f t="shared" si="91"/>
        <v>-33480.585915466276</v>
      </c>
      <c r="DT131" s="9">
        <f t="shared" si="103"/>
        <v>-33480.585915466276</v>
      </c>
      <c r="DU131" s="202">
        <f t="shared" si="104"/>
        <v>-33480.585915466276</v>
      </c>
      <c r="DV131" s="202">
        <f t="shared" si="105"/>
        <v>-33480.585915466276</v>
      </c>
      <c r="DW131" s="202">
        <f t="shared" si="106"/>
        <v>-33480.585915466276</v>
      </c>
      <c r="DX131" s="203" t="e">
        <f t="shared" si="107"/>
        <v>#DIV/0!</v>
      </c>
      <c r="DY131" s="203" t="e">
        <f t="shared" si="108"/>
        <v>#DIV/0!</v>
      </c>
      <c r="DZ131" s="203" t="e">
        <f t="shared" si="109"/>
        <v>#DIV/0!</v>
      </c>
      <c r="EA131" s="19" t="e">
        <f t="shared" si="110"/>
        <v>#DIV/0!</v>
      </c>
      <c r="EB131" s="19" t="e">
        <f t="shared" si="97"/>
        <v>#DIV/0!</v>
      </c>
      <c r="EC131" s="19" t="e">
        <f t="shared" si="111"/>
        <v>#DIV/0!</v>
      </c>
      <c r="ED131" s="203" t="e">
        <f t="shared" si="112"/>
        <v>#DIV/0!</v>
      </c>
      <c r="EE131" s="203" t="e">
        <f t="shared" si="113"/>
        <v>#DIV/0!</v>
      </c>
      <c r="EF131" s="203" t="e">
        <f t="shared" si="114"/>
        <v>#DIV/0!</v>
      </c>
      <c r="EH131" s="58">
        <f t="shared" si="42"/>
        <v>26266.011324557185</v>
      </c>
      <c r="EI131" s="68" t="e">
        <f t="shared" si="43"/>
        <v>#DIV/0!</v>
      </c>
      <c r="EJ131" s="58">
        <f t="shared" si="44"/>
        <v>19246.011324557185</v>
      </c>
      <c r="EK131" s="68" t="e">
        <f t="shared" si="43"/>
        <v>#DIV/0!</v>
      </c>
      <c r="EL131" s="58">
        <f t="shared" si="45"/>
        <v>1103.9970265037489</v>
      </c>
      <c r="EM131" s="58">
        <f t="shared" si="46"/>
        <v>1103.9970265037489</v>
      </c>
      <c r="EN131" s="68" t="e">
        <f t="shared" si="47"/>
        <v>#DIV/0!</v>
      </c>
    </row>
    <row r="132" spans="1:146" x14ac:dyDescent="0.2">
      <c r="A132" s="43">
        <v>0</v>
      </c>
      <c r="B132" s="43">
        <v>0</v>
      </c>
      <c r="C132" s="43">
        <v>0</v>
      </c>
      <c r="D132" s="70">
        <v>2018</v>
      </c>
      <c r="E132" s="70">
        <v>5</v>
      </c>
      <c r="F132" s="2">
        <v>744</v>
      </c>
      <c r="G132" s="63"/>
      <c r="H132" s="63"/>
      <c r="I132" s="63"/>
      <c r="J132" s="133">
        <f t="shared" si="124"/>
        <v>0</v>
      </c>
      <c r="K132" s="65">
        <v>0</v>
      </c>
      <c r="L132" s="133">
        <f t="shared" si="125"/>
        <v>0</v>
      </c>
      <c r="M132" s="5"/>
      <c r="N132" s="5"/>
      <c r="O132" s="63"/>
      <c r="P132" s="200">
        <f t="shared" si="115"/>
        <v>0</v>
      </c>
      <c r="Q132" s="200">
        <f t="shared" si="116"/>
        <v>0</v>
      </c>
      <c r="R132" s="200">
        <f t="shared" si="117"/>
        <v>0</v>
      </c>
      <c r="S132" s="133">
        <f t="shared" si="118"/>
        <v>0</v>
      </c>
      <c r="T132" s="133">
        <f t="shared" si="119"/>
        <v>0</v>
      </c>
      <c r="U132" s="133">
        <f t="shared" si="120"/>
        <v>0</v>
      </c>
      <c r="V132" s="200">
        <f t="shared" si="121"/>
        <v>0</v>
      </c>
      <c r="W132" s="200">
        <f t="shared" si="122"/>
        <v>0</v>
      </c>
      <c r="X132" s="200">
        <f t="shared" si="123"/>
        <v>0</v>
      </c>
      <c r="Y132" s="63"/>
      <c r="Z132" s="63"/>
      <c r="AA132" s="63"/>
      <c r="AB132" s="133"/>
      <c r="AC132" s="133"/>
      <c r="AD132" s="133"/>
      <c r="AE132" s="133"/>
      <c r="AF132" s="133"/>
      <c r="AG132" s="133"/>
      <c r="AH132" s="133"/>
      <c r="AI132" s="133"/>
      <c r="AJ132" s="133"/>
      <c r="AK132" s="133"/>
      <c r="AL132" s="63"/>
      <c r="AM132" s="63"/>
      <c r="AN132" s="63"/>
      <c r="AO132" s="63"/>
      <c r="AP132" s="63"/>
      <c r="AQ132" s="10">
        <v>8432</v>
      </c>
      <c r="AR132" s="18"/>
      <c r="AS132" s="18"/>
      <c r="AT132" s="62"/>
      <c r="AU132" s="65">
        <v>92.233000000000004</v>
      </c>
      <c r="AV132" s="65">
        <v>3814.7530000000002</v>
      </c>
      <c r="AW132" s="65">
        <v>3.5685454545454545</v>
      </c>
      <c r="AX132" s="65">
        <v>10.427818181818182</v>
      </c>
      <c r="AY132" s="65">
        <v>624.0202900666668</v>
      </c>
      <c r="AZ132" s="1">
        <v>289.0618481305454</v>
      </c>
      <c r="BA132" s="65">
        <v>1847.5119999999999</v>
      </c>
      <c r="BB132" s="65">
        <v>2300.5549999999998</v>
      </c>
      <c r="BC132" s="63"/>
      <c r="BD132" s="63"/>
      <c r="BE132" s="63"/>
      <c r="BF132" s="63"/>
      <c r="BG132" s="63"/>
      <c r="BH132" s="63"/>
      <c r="BI132" s="63"/>
      <c r="BJ132" s="63"/>
      <c r="BK132" s="63"/>
      <c r="BL132" s="63"/>
      <c r="BM132" s="63"/>
      <c r="BN132" s="63"/>
      <c r="BO132" s="63"/>
      <c r="BP132" s="10">
        <v>1984</v>
      </c>
      <c r="BQ132" s="65">
        <v>180.749041484375</v>
      </c>
      <c r="BR132" s="65">
        <v>236.15448122199956</v>
      </c>
      <c r="BS132" s="65">
        <v>854.5159091229998</v>
      </c>
      <c r="BT132" s="5"/>
      <c r="BU132" s="5"/>
      <c r="BV132" s="5"/>
      <c r="BW132" s="5"/>
      <c r="BX132" s="63"/>
      <c r="BY132" s="5"/>
      <c r="BZ132" s="66">
        <v>7254</v>
      </c>
      <c r="CA132" s="65">
        <v>3720</v>
      </c>
      <c r="CB132" s="65">
        <f>5*744</f>
        <v>3720</v>
      </c>
      <c r="CC132" s="5"/>
      <c r="CD132" s="5"/>
      <c r="CE132" s="5"/>
      <c r="CF132" s="65"/>
      <c r="CG132" s="70"/>
      <c r="CH132" s="70"/>
      <c r="CI132" s="70"/>
      <c r="CJ132" s="65">
        <v>2300.5549999999998</v>
      </c>
      <c r="CK132" s="8">
        <f t="shared" si="86"/>
        <v>35363.550933662948</v>
      </c>
      <c r="CL132" s="202">
        <f t="shared" si="60"/>
        <v>-35363.550933662948</v>
      </c>
      <c r="CM132" s="202">
        <f t="shared" si="61"/>
        <v>-35363.550933662948</v>
      </c>
      <c r="CN132" s="202">
        <f t="shared" si="62"/>
        <v>-35363.550933662948</v>
      </c>
      <c r="CO132" s="9">
        <f t="shared" si="63"/>
        <v>-35363.550933662948</v>
      </c>
      <c r="CP132" s="9">
        <f t="shared" si="64"/>
        <v>-35363.550933662948</v>
      </c>
      <c r="CQ132" s="9">
        <f t="shared" si="65"/>
        <v>-35363.550933662948</v>
      </c>
      <c r="CR132" s="202">
        <f t="shared" si="66"/>
        <v>-35363.550933662948</v>
      </c>
      <c r="CS132" s="202">
        <f t="shared" si="67"/>
        <v>-35363.550933662948</v>
      </c>
      <c r="CT132" s="202">
        <f t="shared" si="68"/>
        <v>-35363.550933662948</v>
      </c>
      <c r="CU132" s="203" t="e">
        <f t="shared" si="69"/>
        <v>#DIV/0!</v>
      </c>
      <c r="CV132" s="203" t="e">
        <f t="shared" si="70"/>
        <v>#DIV/0!</v>
      </c>
      <c r="CW132" s="203" t="e">
        <f t="shared" si="71"/>
        <v>#DIV/0!</v>
      </c>
      <c r="CX132" s="19" t="e">
        <f t="shared" si="72"/>
        <v>#DIV/0!</v>
      </c>
      <c r="CY132" s="19" t="e">
        <f t="shared" si="73"/>
        <v>#DIV/0!</v>
      </c>
      <c r="CZ132" s="19" t="e">
        <f t="shared" si="74"/>
        <v>#DIV/0!</v>
      </c>
      <c r="DA132" s="203" t="e">
        <f t="shared" si="75"/>
        <v>#DIV/0!</v>
      </c>
      <c r="DB132" s="203" t="e">
        <f t="shared" si="76"/>
        <v>#DIV/0!</v>
      </c>
      <c r="DC132" s="203" t="e">
        <f t="shared" si="77"/>
        <v>#DIV/0!</v>
      </c>
      <c r="DD132" s="65"/>
      <c r="DE132" s="66"/>
      <c r="DF132" s="66"/>
      <c r="DG132" s="66"/>
      <c r="DH132" s="66"/>
      <c r="DI132" s="66"/>
      <c r="DJ132" s="65"/>
      <c r="DK132" s="66"/>
      <c r="DL132" s="66"/>
      <c r="DM132" s="8">
        <f t="shared" si="78"/>
        <v>0</v>
      </c>
      <c r="DN132" s="8">
        <f t="shared" si="79"/>
        <v>35363.550933662948</v>
      </c>
      <c r="DO132" s="202">
        <f t="shared" si="99"/>
        <v>-35363.550933662948</v>
      </c>
      <c r="DP132" s="202">
        <f t="shared" si="100"/>
        <v>-35363.550933662948</v>
      </c>
      <c r="DQ132" s="202">
        <f t="shared" si="101"/>
        <v>-35363.550933662948</v>
      </c>
      <c r="DR132" s="9">
        <f t="shared" si="102"/>
        <v>-35363.550933662948</v>
      </c>
      <c r="DS132" s="9">
        <f t="shared" si="91"/>
        <v>-35363.550933662948</v>
      </c>
      <c r="DT132" s="9">
        <f t="shared" si="103"/>
        <v>-35363.550933662948</v>
      </c>
      <c r="DU132" s="202">
        <f t="shared" si="104"/>
        <v>-35363.550933662948</v>
      </c>
      <c r="DV132" s="202">
        <f t="shared" si="105"/>
        <v>-35363.550933662948</v>
      </c>
      <c r="DW132" s="202">
        <f t="shared" si="106"/>
        <v>-35363.550933662948</v>
      </c>
      <c r="DX132" s="203" t="e">
        <f t="shared" si="107"/>
        <v>#DIV/0!</v>
      </c>
      <c r="DY132" s="203" t="e">
        <f t="shared" si="108"/>
        <v>#DIV/0!</v>
      </c>
      <c r="DZ132" s="203" t="e">
        <f t="shared" si="109"/>
        <v>#DIV/0!</v>
      </c>
      <c r="EA132" s="19" t="e">
        <f t="shared" si="110"/>
        <v>#DIV/0!</v>
      </c>
      <c r="EB132" s="19" t="e">
        <f t="shared" si="97"/>
        <v>#DIV/0!</v>
      </c>
      <c r="EC132" s="19" t="e">
        <f t="shared" si="111"/>
        <v>#DIV/0!</v>
      </c>
      <c r="ED132" s="203" t="e">
        <f t="shared" si="112"/>
        <v>#DIV/0!</v>
      </c>
      <c r="EE132" s="203" t="e">
        <f t="shared" si="113"/>
        <v>#DIV/0!</v>
      </c>
      <c r="EF132" s="203" t="e">
        <f t="shared" si="114"/>
        <v>#DIV/0!</v>
      </c>
      <c r="EH132" s="58">
        <f t="shared" si="42"/>
        <v>27909.554570026587</v>
      </c>
      <c r="EI132" s="68" t="e">
        <f t="shared" si="43"/>
        <v>#DIV/0!</v>
      </c>
      <c r="EJ132" s="58">
        <f t="shared" si="44"/>
        <v>20655.554570026587</v>
      </c>
      <c r="EK132" s="68" t="e">
        <f t="shared" si="43"/>
        <v>#DIV/0!</v>
      </c>
      <c r="EL132" s="58">
        <f t="shared" si="45"/>
        <v>1271.4194318293744</v>
      </c>
      <c r="EM132" s="58">
        <f t="shared" si="46"/>
        <v>1271.4194318293744</v>
      </c>
      <c r="EN132" s="68" t="e">
        <f t="shared" si="47"/>
        <v>#DIV/0!</v>
      </c>
    </row>
    <row r="133" spans="1:146" x14ac:dyDescent="0.2">
      <c r="A133" s="43">
        <v>0</v>
      </c>
      <c r="B133" s="43">
        <v>0</v>
      </c>
      <c r="C133" s="43">
        <v>0</v>
      </c>
      <c r="D133" s="70">
        <v>2018</v>
      </c>
      <c r="E133" s="70">
        <v>6</v>
      </c>
      <c r="F133" s="2">
        <v>720</v>
      </c>
      <c r="G133" s="63"/>
      <c r="H133" s="63"/>
      <c r="I133" s="63"/>
      <c r="J133" s="133">
        <f t="shared" si="124"/>
        <v>0</v>
      </c>
      <c r="K133" s="65">
        <v>0</v>
      </c>
      <c r="L133" s="133">
        <f t="shared" si="125"/>
        <v>0</v>
      </c>
      <c r="M133" s="5"/>
      <c r="N133" s="5"/>
      <c r="O133" s="63"/>
      <c r="P133" s="200">
        <f t="shared" si="115"/>
        <v>0</v>
      </c>
      <c r="Q133" s="200">
        <f t="shared" si="116"/>
        <v>0</v>
      </c>
      <c r="R133" s="200">
        <f t="shared" si="117"/>
        <v>0</v>
      </c>
      <c r="S133" s="133">
        <f t="shared" si="118"/>
        <v>0</v>
      </c>
      <c r="T133" s="133">
        <f t="shared" si="119"/>
        <v>0</v>
      </c>
      <c r="U133" s="133">
        <f t="shared" si="120"/>
        <v>0</v>
      </c>
      <c r="V133" s="200">
        <f t="shared" si="121"/>
        <v>0</v>
      </c>
      <c r="W133" s="200">
        <f t="shared" si="122"/>
        <v>0</v>
      </c>
      <c r="X133" s="200">
        <f t="shared" si="123"/>
        <v>0</v>
      </c>
      <c r="Y133" s="63"/>
      <c r="Z133" s="63"/>
      <c r="AA133" s="63"/>
      <c r="AB133" s="133"/>
      <c r="AC133" s="133"/>
      <c r="AD133" s="133"/>
      <c r="AE133" s="133"/>
      <c r="AF133" s="133"/>
      <c r="AG133" s="133"/>
      <c r="AH133" s="133"/>
      <c r="AI133" s="133"/>
      <c r="AJ133" s="133"/>
      <c r="AK133" s="133"/>
      <c r="AL133" s="63"/>
      <c r="AM133" s="63"/>
      <c r="AN133" s="63"/>
      <c r="AO133" s="63"/>
      <c r="AP133" s="63"/>
      <c r="AQ133" s="10">
        <v>8160</v>
      </c>
      <c r="AR133" s="18"/>
      <c r="AS133" s="18"/>
      <c r="AT133" s="62"/>
      <c r="AU133" s="65">
        <v>94.34</v>
      </c>
      <c r="AV133" s="65">
        <v>3409.03</v>
      </c>
      <c r="AW133" s="65">
        <v>3.1104545454545454</v>
      </c>
      <c r="AX133" s="65">
        <v>7.021590909090909</v>
      </c>
      <c r="AY133" s="65">
        <v>1148.9603856115998</v>
      </c>
      <c r="AZ133" s="1">
        <v>226.57357736163638</v>
      </c>
      <c r="BA133" s="65">
        <v>1412.6590000000001</v>
      </c>
      <c r="BB133" s="65">
        <v>1193.05</v>
      </c>
      <c r="BC133" s="63"/>
      <c r="BD133" s="63"/>
      <c r="BE133" s="63"/>
      <c r="BF133" s="63"/>
      <c r="BG133" s="63"/>
      <c r="BH133" s="63"/>
      <c r="BI133" s="63"/>
      <c r="BJ133" s="63"/>
      <c r="BK133" s="63"/>
      <c r="BL133" s="63"/>
      <c r="BM133" s="63"/>
      <c r="BN133" s="63"/>
      <c r="BO133" s="63"/>
      <c r="BP133" s="10">
        <v>1920</v>
      </c>
      <c r="BQ133" s="65">
        <v>175.73483226562502</v>
      </c>
      <c r="BR133" s="65">
        <v>229.60329659099949</v>
      </c>
      <c r="BS133" s="65">
        <v>830.81069476299967</v>
      </c>
      <c r="BT133" s="5"/>
      <c r="BU133" s="5"/>
      <c r="BV133" s="5"/>
      <c r="BW133" s="5"/>
      <c r="BX133" s="63"/>
      <c r="BY133" s="5"/>
      <c r="BZ133" s="66">
        <v>7020</v>
      </c>
      <c r="CA133" s="65">
        <v>3600</v>
      </c>
      <c r="CB133" s="65">
        <f t="shared" ref="CB133:CB136" si="126">5*720</f>
        <v>3600</v>
      </c>
      <c r="CC133" s="5"/>
      <c r="CD133" s="5"/>
      <c r="CE133" s="5"/>
      <c r="CF133" s="65"/>
      <c r="CG133" s="70"/>
      <c r="CH133" s="70"/>
      <c r="CI133" s="70"/>
      <c r="CJ133" s="65">
        <v>1193.05</v>
      </c>
      <c r="CK133" s="8">
        <f t="shared" si="86"/>
        <v>33030.893832047404</v>
      </c>
      <c r="CL133" s="202">
        <f t="shared" si="60"/>
        <v>-33030.893832047404</v>
      </c>
      <c r="CM133" s="202">
        <f t="shared" si="61"/>
        <v>-33030.893832047404</v>
      </c>
      <c r="CN133" s="202">
        <f t="shared" si="62"/>
        <v>-33030.893832047404</v>
      </c>
      <c r="CO133" s="9">
        <f t="shared" si="63"/>
        <v>-33030.893832047404</v>
      </c>
      <c r="CP133" s="9">
        <f t="shared" si="64"/>
        <v>-33030.893832047404</v>
      </c>
      <c r="CQ133" s="9">
        <f t="shared" si="65"/>
        <v>-33030.893832047404</v>
      </c>
      <c r="CR133" s="202">
        <f t="shared" si="66"/>
        <v>-33030.893832047404</v>
      </c>
      <c r="CS133" s="202">
        <f t="shared" si="67"/>
        <v>-33030.893832047404</v>
      </c>
      <c r="CT133" s="202">
        <f t="shared" si="68"/>
        <v>-33030.893832047404</v>
      </c>
      <c r="CU133" s="203" t="e">
        <f t="shared" si="69"/>
        <v>#DIV/0!</v>
      </c>
      <c r="CV133" s="203" t="e">
        <f t="shared" si="70"/>
        <v>#DIV/0!</v>
      </c>
      <c r="CW133" s="203" t="e">
        <f t="shared" si="71"/>
        <v>#DIV/0!</v>
      </c>
      <c r="CX133" s="19" t="e">
        <f t="shared" si="72"/>
        <v>#DIV/0!</v>
      </c>
      <c r="CY133" s="19" t="e">
        <f t="shared" si="73"/>
        <v>#DIV/0!</v>
      </c>
      <c r="CZ133" s="19" t="e">
        <f t="shared" si="74"/>
        <v>#DIV/0!</v>
      </c>
      <c r="DA133" s="203" t="e">
        <f t="shared" si="75"/>
        <v>#DIV/0!</v>
      </c>
      <c r="DB133" s="203" t="e">
        <f t="shared" si="76"/>
        <v>#DIV/0!</v>
      </c>
      <c r="DC133" s="203" t="e">
        <f t="shared" si="77"/>
        <v>#DIV/0!</v>
      </c>
      <c r="DD133" s="65"/>
      <c r="DE133" s="66"/>
      <c r="DF133" s="66"/>
      <c r="DG133" s="66"/>
      <c r="DH133" s="66"/>
      <c r="DI133" s="66"/>
      <c r="DJ133" s="65"/>
      <c r="DK133" s="66"/>
      <c r="DL133" s="66"/>
      <c r="DM133" s="8">
        <f t="shared" si="78"/>
        <v>0</v>
      </c>
      <c r="DN133" s="8">
        <f t="shared" si="79"/>
        <v>33030.893832047404</v>
      </c>
      <c r="DO133" s="202">
        <f t="shared" si="99"/>
        <v>-33030.893832047404</v>
      </c>
      <c r="DP133" s="202">
        <f t="shared" si="100"/>
        <v>-33030.893832047404</v>
      </c>
      <c r="DQ133" s="202">
        <f t="shared" si="101"/>
        <v>-33030.893832047404</v>
      </c>
      <c r="DR133" s="9">
        <f t="shared" si="102"/>
        <v>-33030.893832047404</v>
      </c>
      <c r="DS133" s="9">
        <f t="shared" si="91"/>
        <v>-33030.893832047404</v>
      </c>
      <c r="DT133" s="9">
        <f t="shared" si="103"/>
        <v>-33030.893832047404</v>
      </c>
      <c r="DU133" s="202">
        <f t="shared" si="104"/>
        <v>-33030.893832047404</v>
      </c>
      <c r="DV133" s="202">
        <f t="shared" si="105"/>
        <v>-33030.893832047404</v>
      </c>
      <c r="DW133" s="202">
        <f t="shared" si="106"/>
        <v>-33030.893832047404</v>
      </c>
      <c r="DX133" s="203" t="e">
        <f t="shared" si="107"/>
        <v>#DIV/0!</v>
      </c>
      <c r="DY133" s="203" t="e">
        <f t="shared" si="108"/>
        <v>#DIV/0!</v>
      </c>
      <c r="DZ133" s="203" t="e">
        <f t="shared" si="109"/>
        <v>#DIV/0!</v>
      </c>
      <c r="EA133" s="19" t="e">
        <f t="shared" si="110"/>
        <v>#DIV/0!</v>
      </c>
      <c r="EB133" s="19" t="e">
        <f t="shared" si="97"/>
        <v>#DIV/0!</v>
      </c>
      <c r="EC133" s="19" t="e">
        <f t="shared" si="111"/>
        <v>#DIV/0!</v>
      </c>
      <c r="ED133" s="203" t="e">
        <f t="shared" si="112"/>
        <v>#DIV/0!</v>
      </c>
      <c r="EE133" s="203" t="e">
        <f t="shared" si="113"/>
        <v>#DIV/0!</v>
      </c>
      <c r="EF133" s="203" t="e">
        <f t="shared" si="114"/>
        <v>#DIV/0!</v>
      </c>
      <c r="EH133" s="58">
        <f t="shared" si="42"/>
        <v>25820.761786592859</v>
      </c>
      <c r="EI133" s="68" t="e">
        <f t="shared" si="43"/>
        <v>#DIV/0!</v>
      </c>
      <c r="EJ133" s="58">
        <f t="shared" si="44"/>
        <v>18800.761786592859</v>
      </c>
      <c r="EK133" s="68" t="e">
        <f t="shared" si="43"/>
        <v>#DIV/0!</v>
      </c>
      <c r="EL133" s="58">
        <f t="shared" si="45"/>
        <v>1236.1488236196242</v>
      </c>
      <c r="EM133" s="58">
        <f t="shared" si="46"/>
        <v>1236.1488236196242</v>
      </c>
      <c r="EN133" s="68" t="e">
        <f t="shared" si="47"/>
        <v>#DIV/0!</v>
      </c>
    </row>
    <row r="134" spans="1:146" x14ac:dyDescent="0.2">
      <c r="A134" s="43">
        <v>0</v>
      </c>
      <c r="B134" s="43">
        <v>0</v>
      </c>
      <c r="C134" s="43">
        <v>0</v>
      </c>
      <c r="D134" s="70">
        <v>2018</v>
      </c>
      <c r="E134" s="70">
        <v>7</v>
      </c>
      <c r="F134" s="2">
        <v>744</v>
      </c>
      <c r="G134" s="63"/>
      <c r="H134" s="63"/>
      <c r="I134" s="63"/>
      <c r="J134" s="133">
        <f t="shared" si="124"/>
        <v>0</v>
      </c>
      <c r="K134" s="65">
        <v>0</v>
      </c>
      <c r="L134" s="133">
        <f t="shared" si="125"/>
        <v>0</v>
      </c>
      <c r="M134" s="5"/>
      <c r="N134" s="5"/>
      <c r="O134" s="63"/>
      <c r="P134" s="200">
        <f t="shared" si="115"/>
        <v>0</v>
      </c>
      <c r="Q134" s="200">
        <f t="shared" si="116"/>
        <v>0</v>
      </c>
      <c r="R134" s="200">
        <f t="shared" si="117"/>
        <v>0</v>
      </c>
      <c r="S134" s="133">
        <f t="shared" si="118"/>
        <v>0</v>
      </c>
      <c r="T134" s="133">
        <f t="shared" si="119"/>
        <v>0</v>
      </c>
      <c r="U134" s="133">
        <f t="shared" si="120"/>
        <v>0</v>
      </c>
      <c r="V134" s="200">
        <f t="shared" si="121"/>
        <v>0</v>
      </c>
      <c r="W134" s="200">
        <f t="shared" si="122"/>
        <v>0</v>
      </c>
      <c r="X134" s="200">
        <f t="shared" si="123"/>
        <v>0</v>
      </c>
      <c r="Y134" s="63"/>
      <c r="Z134" s="63"/>
      <c r="AA134" s="63"/>
      <c r="AB134" s="133"/>
      <c r="AC134" s="133"/>
      <c r="AD134" s="133"/>
      <c r="AE134" s="133"/>
      <c r="AF134" s="133"/>
      <c r="AG134" s="133"/>
      <c r="AH134" s="133"/>
      <c r="AI134" s="133"/>
      <c r="AJ134" s="133"/>
      <c r="AK134" s="133"/>
      <c r="AL134" s="63"/>
      <c r="AM134" s="63"/>
      <c r="AN134" s="63"/>
      <c r="AO134" s="63"/>
      <c r="AP134" s="63"/>
      <c r="AQ134" s="10">
        <v>8432</v>
      </c>
      <c r="AR134" s="18"/>
      <c r="AS134" s="18"/>
      <c r="AT134" s="62"/>
      <c r="AU134" s="65">
        <v>79.825999999999993</v>
      </c>
      <c r="AV134" s="65">
        <v>3438.35</v>
      </c>
      <c r="AW134" s="65">
        <v>2.2930000000000001</v>
      </c>
      <c r="AX134" s="65">
        <v>4.9976363636363637</v>
      </c>
      <c r="AY134" s="65">
        <v>1174.7963336884</v>
      </c>
      <c r="AZ134" s="1">
        <v>183.89362889536366</v>
      </c>
      <c r="BA134" s="65">
        <v>1588.3579999999999</v>
      </c>
      <c r="BB134" s="65">
        <v>1116.2075</v>
      </c>
      <c r="BC134" s="63"/>
      <c r="BD134" s="63"/>
      <c r="BE134" s="63"/>
      <c r="BF134" s="63"/>
      <c r="BG134" s="63"/>
      <c r="BH134" s="63"/>
      <c r="BI134" s="63"/>
      <c r="BJ134" s="63"/>
      <c r="BK134" s="63"/>
      <c r="BL134" s="63"/>
      <c r="BM134" s="63"/>
      <c r="BN134" s="63"/>
      <c r="BO134" s="63"/>
      <c r="BP134" s="10">
        <v>1984</v>
      </c>
      <c r="BQ134" s="65">
        <v>177.76573609375001</v>
      </c>
      <c r="BR134" s="65">
        <v>232.25665883299928</v>
      </c>
      <c r="BS134" s="65">
        <v>840.41178392899985</v>
      </c>
      <c r="BT134" s="5"/>
      <c r="BU134" s="5"/>
      <c r="BV134" s="5"/>
      <c r="BW134" s="5"/>
      <c r="BX134" s="63"/>
      <c r="BY134" s="5"/>
      <c r="BZ134" s="66">
        <v>7254</v>
      </c>
      <c r="CA134" s="65">
        <v>3720</v>
      </c>
      <c r="CB134" s="65">
        <f>5*744</f>
        <v>3720</v>
      </c>
      <c r="CC134" s="5"/>
      <c r="CD134" s="5"/>
      <c r="CE134" s="5"/>
      <c r="CF134" s="65"/>
      <c r="CG134" s="70"/>
      <c r="CH134" s="70"/>
      <c r="CI134" s="70"/>
      <c r="CJ134" s="65">
        <v>1116.2075</v>
      </c>
      <c r="CK134" s="8">
        <f t="shared" si="86"/>
        <v>33949.156277803151</v>
      </c>
      <c r="CL134" s="202">
        <f t="shared" si="60"/>
        <v>-33949.156277803151</v>
      </c>
      <c r="CM134" s="202">
        <f t="shared" si="61"/>
        <v>-33949.156277803151</v>
      </c>
      <c r="CN134" s="202">
        <f t="shared" si="62"/>
        <v>-33949.156277803151</v>
      </c>
      <c r="CO134" s="9">
        <f t="shared" si="63"/>
        <v>-33949.156277803151</v>
      </c>
      <c r="CP134" s="9">
        <f t="shared" si="64"/>
        <v>-33949.156277803151</v>
      </c>
      <c r="CQ134" s="9">
        <f t="shared" si="65"/>
        <v>-33949.156277803151</v>
      </c>
      <c r="CR134" s="202">
        <f t="shared" si="66"/>
        <v>-33949.156277803151</v>
      </c>
      <c r="CS134" s="202">
        <f t="shared" si="67"/>
        <v>-33949.156277803151</v>
      </c>
      <c r="CT134" s="202">
        <f t="shared" si="68"/>
        <v>-33949.156277803151</v>
      </c>
      <c r="CU134" s="203" t="e">
        <f t="shared" si="69"/>
        <v>#DIV/0!</v>
      </c>
      <c r="CV134" s="203" t="e">
        <f t="shared" si="70"/>
        <v>#DIV/0!</v>
      </c>
      <c r="CW134" s="203" t="e">
        <f t="shared" si="71"/>
        <v>#DIV/0!</v>
      </c>
      <c r="CX134" s="19" t="e">
        <f t="shared" si="72"/>
        <v>#DIV/0!</v>
      </c>
      <c r="CY134" s="19" t="e">
        <f t="shared" si="73"/>
        <v>#DIV/0!</v>
      </c>
      <c r="CZ134" s="19" t="e">
        <f t="shared" si="74"/>
        <v>#DIV/0!</v>
      </c>
      <c r="DA134" s="203" t="e">
        <f t="shared" si="75"/>
        <v>#DIV/0!</v>
      </c>
      <c r="DB134" s="203" t="e">
        <f t="shared" si="76"/>
        <v>#DIV/0!</v>
      </c>
      <c r="DC134" s="203" t="e">
        <f t="shared" si="77"/>
        <v>#DIV/0!</v>
      </c>
      <c r="DD134" s="65"/>
      <c r="DE134" s="66"/>
      <c r="DF134" s="66"/>
      <c r="DG134" s="66"/>
      <c r="DH134" s="66"/>
      <c r="DI134" s="66"/>
      <c r="DJ134" s="65"/>
      <c r="DK134" s="66"/>
      <c r="DL134" s="66"/>
      <c r="DM134" s="8">
        <f t="shared" si="78"/>
        <v>0</v>
      </c>
      <c r="DN134" s="8">
        <f t="shared" si="79"/>
        <v>33949.156277803151</v>
      </c>
      <c r="DO134" s="202">
        <f t="shared" si="99"/>
        <v>-33949.156277803151</v>
      </c>
      <c r="DP134" s="202">
        <f t="shared" si="100"/>
        <v>-33949.156277803151</v>
      </c>
      <c r="DQ134" s="202">
        <f t="shared" si="101"/>
        <v>-33949.156277803151</v>
      </c>
      <c r="DR134" s="9">
        <f t="shared" si="102"/>
        <v>-33949.156277803151</v>
      </c>
      <c r="DS134" s="9">
        <f t="shared" si="91"/>
        <v>-33949.156277803151</v>
      </c>
      <c r="DT134" s="9">
        <f t="shared" si="103"/>
        <v>-33949.156277803151</v>
      </c>
      <c r="DU134" s="202">
        <f t="shared" si="104"/>
        <v>-33949.156277803151</v>
      </c>
      <c r="DV134" s="202">
        <f t="shared" si="105"/>
        <v>-33949.156277803151</v>
      </c>
      <c r="DW134" s="202">
        <f t="shared" si="106"/>
        <v>-33949.156277803151</v>
      </c>
      <c r="DX134" s="203" t="e">
        <f t="shared" si="107"/>
        <v>#DIV/0!</v>
      </c>
      <c r="DY134" s="203" t="e">
        <f t="shared" si="108"/>
        <v>#DIV/0!</v>
      </c>
      <c r="DZ134" s="203" t="e">
        <f t="shared" si="109"/>
        <v>#DIV/0!</v>
      </c>
      <c r="EA134" s="19" t="e">
        <f t="shared" si="110"/>
        <v>#DIV/0!</v>
      </c>
      <c r="EB134" s="19" t="e">
        <f t="shared" si="97"/>
        <v>#DIV/0!</v>
      </c>
      <c r="EC134" s="19" t="e">
        <f t="shared" si="111"/>
        <v>#DIV/0!</v>
      </c>
      <c r="ED134" s="203" t="e">
        <f t="shared" si="112"/>
        <v>#DIV/0!</v>
      </c>
      <c r="EE134" s="203" t="e">
        <f t="shared" si="113"/>
        <v>#DIV/0!</v>
      </c>
      <c r="EF134" s="203" t="e">
        <f t="shared" si="114"/>
        <v>#DIV/0!</v>
      </c>
      <c r="EH134" s="58">
        <f t="shared" si="42"/>
        <v>26501.865641439515</v>
      </c>
      <c r="EI134" s="68" t="e">
        <f t="shared" si="43"/>
        <v>#DIV/0!</v>
      </c>
      <c r="EJ134" s="58">
        <f t="shared" si="44"/>
        <v>19247.865641439515</v>
      </c>
      <c r="EK134" s="68" t="e">
        <f t="shared" si="43"/>
        <v>#DIV/0!</v>
      </c>
      <c r="EL134" s="58">
        <f t="shared" si="45"/>
        <v>1250.434178855749</v>
      </c>
      <c r="EM134" s="58">
        <f t="shared" si="46"/>
        <v>1250.434178855749</v>
      </c>
      <c r="EN134" s="68" t="e">
        <f t="shared" si="47"/>
        <v>#DIV/0!</v>
      </c>
    </row>
    <row r="135" spans="1:146" x14ac:dyDescent="0.2">
      <c r="A135" s="43">
        <v>0</v>
      </c>
      <c r="B135" s="43">
        <v>0</v>
      </c>
      <c r="C135" s="43">
        <v>0</v>
      </c>
      <c r="D135" s="70">
        <v>2018</v>
      </c>
      <c r="E135" s="70">
        <v>8</v>
      </c>
      <c r="F135" s="2">
        <v>744</v>
      </c>
      <c r="G135" s="63"/>
      <c r="H135" s="63"/>
      <c r="I135" s="63"/>
      <c r="J135" s="133">
        <f t="shared" si="124"/>
        <v>0</v>
      </c>
      <c r="K135" s="65">
        <v>0</v>
      </c>
      <c r="L135" s="133">
        <f t="shared" si="125"/>
        <v>0</v>
      </c>
      <c r="M135" s="5"/>
      <c r="N135" s="5"/>
      <c r="O135" s="63"/>
      <c r="P135" s="200">
        <f t="shared" si="115"/>
        <v>0</v>
      </c>
      <c r="Q135" s="200">
        <f t="shared" si="116"/>
        <v>0</v>
      </c>
      <c r="R135" s="200">
        <f t="shared" si="117"/>
        <v>0</v>
      </c>
      <c r="S135" s="133">
        <f t="shared" si="118"/>
        <v>0</v>
      </c>
      <c r="T135" s="133">
        <f t="shared" si="119"/>
        <v>0</v>
      </c>
      <c r="U135" s="133">
        <f t="shared" si="120"/>
        <v>0</v>
      </c>
      <c r="V135" s="200">
        <f t="shared" si="121"/>
        <v>0</v>
      </c>
      <c r="W135" s="200">
        <f t="shared" si="122"/>
        <v>0</v>
      </c>
      <c r="X135" s="200">
        <f t="shared" si="123"/>
        <v>0</v>
      </c>
      <c r="Y135" s="63"/>
      <c r="Z135" s="63"/>
      <c r="AA135" s="63"/>
      <c r="AB135" s="133"/>
      <c r="AC135" s="133"/>
      <c r="AD135" s="133"/>
      <c r="AE135" s="133"/>
      <c r="AF135" s="133"/>
      <c r="AG135" s="133"/>
      <c r="AH135" s="133"/>
      <c r="AI135" s="133"/>
      <c r="AJ135" s="133"/>
      <c r="AK135" s="133"/>
      <c r="AL135" s="63"/>
      <c r="AM135" s="63"/>
      <c r="AN135" s="63"/>
      <c r="AO135" s="63"/>
      <c r="AP135" s="63"/>
      <c r="AQ135" s="10">
        <v>8432</v>
      </c>
      <c r="AR135" s="18"/>
      <c r="AS135" s="18"/>
      <c r="AT135" s="62"/>
      <c r="AU135" s="65">
        <v>76.870999999999995</v>
      </c>
      <c r="AV135" s="65">
        <v>3328.4989999999998</v>
      </c>
      <c r="AW135" s="65">
        <v>1.7135714285714287</v>
      </c>
      <c r="AX135" s="65">
        <v>3.7767142857142857</v>
      </c>
      <c r="AY135" s="65">
        <v>1072.7943333399999</v>
      </c>
      <c r="AZ135" s="1">
        <v>139.80188458780952</v>
      </c>
      <c r="BA135" s="65">
        <v>1592.443</v>
      </c>
      <c r="BB135" s="65">
        <v>1158.0525</v>
      </c>
      <c r="BC135" s="63"/>
      <c r="BD135" s="63"/>
      <c r="BE135" s="63"/>
      <c r="BF135" s="63"/>
      <c r="BG135" s="63"/>
      <c r="BH135" s="63"/>
      <c r="BI135" s="63"/>
      <c r="BJ135" s="63"/>
      <c r="BK135" s="63"/>
      <c r="BL135" s="63"/>
      <c r="BM135" s="63"/>
      <c r="BN135" s="63"/>
      <c r="BO135" s="63"/>
      <c r="BP135" s="10">
        <v>1984</v>
      </c>
      <c r="BQ135" s="65">
        <v>168.7135059375</v>
      </c>
      <c r="BR135" s="65">
        <v>220.42969730799967</v>
      </c>
      <c r="BS135" s="65">
        <v>797.61638032499968</v>
      </c>
      <c r="BT135" s="5"/>
      <c r="BU135" s="5"/>
      <c r="BV135" s="5"/>
      <c r="BW135" s="5"/>
      <c r="BX135" s="63"/>
      <c r="BY135" s="5"/>
      <c r="BZ135" s="66">
        <v>7254</v>
      </c>
      <c r="CA135" s="65">
        <v>3720</v>
      </c>
      <c r="CB135" s="65">
        <f>5*744</f>
        <v>3720</v>
      </c>
      <c r="CC135" s="5"/>
      <c r="CD135" s="5"/>
      <c r="CE135" s="5"/>
      <c r="CF135" s="65"/>
      <c r="CG135" s="70"/>
      <c r="CH135" s="70"/>
      <c r="CI135" s="70"/>
      <c r="CJ135" s="65">
        <v>1158.0525</v>
      </c>
      <c r="CK135" s="8">
        <f t="shared" si="86"/>
        <v>33670.711587212587</v>
      </c>
      <c r="CL135" s="202">
        <f t="shared" si="60"/>
        <v>-33670.711587212587</v>
      </c>
      <c r="CM135" s="202">
        <f t="shared" si="61"/>
        <v>-33670.711587212587</v>
      </c>
      <c r="CN135" s="202">
        <f t="shared" si="62"/>
        <v>-33670.711587212587</v>
      </c>
      <c r="CO135" s="9">
        <f t="shared" si="63"/>
        <v>-33670.711587212587</v>
      </c>
      <c r="CP135" s="9">
        <f t="shared" si="64"/>
        <v>-33670.711587212587</v>
      </c>
      <c r="CQ135" s="9">
        <f t="shared" si="65"/>
        <v>-33670.711587212587</v>
      </c>
      <c r="CR135" s="202">
        <f t="shared" si="66"/>
        <v>-33670.711587212587</v>
      </c>
      <c r="CS135" s="202">
        <f t="shared" si="67"/>
        <v>-33670.711587212587</v>
      </c>
      <c r="CT135" s="202">
        <f t="shared" si="68"/>
        <v>-33670.711587212587</v>
      </c>
      <c r="CU135" s="203" t="e">
        <f t="shared" si="69"/>
        <v>#DIV/0!</v>
      </c>
      <c r="CV135" s="203" t="e">
        <f t="shared" si="70"/>
        <v>#DIV/0!</v>
      </c>
      <c r="CW135" s="203" t="e">
        <f t="shared" si="71"/>
        <v>#DIV/0!</v>
      </c>
      <c r="CX135" s="19" t="e">
        <f t="shared" si="72"/>
        <v>#DIV/0!</v>
      </c>
      <c r="CY135" s="19" t="e">
        <f t="shared" si="73"/>
        <v>#DIV/0!</v>
      </c>
      <c r="CZ135" s="19" t="e">
        <f t="shared" si="74"/>
        <v>#DIV/0!</v>
      </c>
      <c r="DA135" s="203" t="e">
        <f t="shared" si="75"/>
        <v>#DIV/0!</v>
      </c>
      <c r="DB135" s="203" t="e">
        <f t="shared" si="76"/>
        <v>#DIV/0!</v>
      </c>
      <c r="DC135" s="203" t="e">
        <f t="shared" si="77"/>
        <v>#DIV/0!</v>
      </c>
      <c r="DD135" s="65"/>
      <c r="DE135" s="66"/>
      <c r="DF135" s="66"/>
      <c r="DG135" s="66"/>
      <c r="DH135" s="66"/>
      <c r="DI135" s="66"/>
      <c r="DJ135" s="65"/>
      <c r="DK135" s="66"/>
      <c r="DL135" s="66"/>
      <c r="DM135" s="8">
        <f t="shared" si="78"/>
        <v>0</v>
      </c>
      <c r="DN135" s="8">
        <f t="shared" si="79"/>
        <v>33670.711587212587</v>
      </c>
      <c r="DO135" s="202">
        <f t="shared" si="99"/>
        <v>-33670.711587212587</v>
      </c>
      <c r="DP135" s="202">
        <f t="shared" si="100"/>
        <v>-33670.711587212587</v>
      </c>
      <c r="DQ135" s="202">
        <f t="shared" si="101"/>
        <v>-33670.711587212587</v>
      </c>
      <c r="DR135" s="9">
        <f t="shared" si="102"/>
        <v>-33670.711587212587</v>
      </c>
      <c r="DS135" s="9">
        <f t="shared" si="91"/>
        <v>-33670.711587212587</v>
      </c>
      <c r="DT135" s="9">
        <f t="shared" si="103"/>
        <v>-33670.711587212587</v>
      </c>
      <c r="DU135" s="202">
        <f t="shared" si="104"/>
        <v>-33670.711587212587</v>
      </c>
      <c r="DV135" s="202">
        <f t="shared" si="105"/>
        <v>-33670.711587212587</v>
      </c>
      <c r="DW135" s="202">
        <f t="shared" si="106"/>
        <v>-33670.711587212587</v>
      </c>
      <c r="DX135" s="203" t="e">
        <f t="shared" si="107"/>
        <v>#DIV/0!</v>
      </c>
      <c r="DY135" s="203" t="e">
        <f t="shared" si="108"/>
        <v>#DIV/0!</v>
      </c>
      <c r="DZ135" s="203" t="e">
        <f t="shared" si="109"/>
        <v>#DIV/0!</v>
      </c>
      <c r="EA135" s="19" t="e">
        <f t="shared" si="110"/>
        <v>#DIV/0!</v>
      </c>
      <c r="EB135" s="19" t="e">
        <f t="shared" si="97"/>
        <v>#DIV/0!</v>
      </c>
      <c r="EC135" s="19" t="e">
        <f t="shared" si="111"/>
        <v>#DIV/0!</v>
      </c>
      <c r="ED135" s="203" t="e">
        <f t="shared" si="112"/>
        <v>#DIV/0!</v>
      </c>
      <c r="EE135" s="203" t="e">
        <f t="shared" si="113"/>
        <v>#DIV/0!</v>
      </c>
      <c r="EF135" s="203" t="e">
        <f t="shared" si="114"/>
        <v>#DIV/0!</v>
      </c>
      <c r="EH135" s="58">
        <f t="shared" si="42"/>
        <v>26225.221301498303</v>
      </c>
      <c r="EI135" s="68" t="e">
        <f t="shared" si="43"/>
        <v>#DIV/0!</v>
      </c>
      <c r="EJ135" s="58">
        <f t="shared" si="44"/>
        <v>18971.221301498303</v>
      </c>
      <c r="EK135" s="68" t="e">
        <f t="shared" si="43"/>
        <v>#DIV/0!</v>
      </c>
      <c r="EL135" s="58">
        <f t="shared" si="45"/>
        <v>1186.7595835704992</v>
      </c>
      <c r="EM135" s="58">
        <f t="shared" si="46"/>
        <v>1186.7595835704992</v>
      </c>
      <c r="EN135" s="68" t="e">
        <f t="shared" si="47"/>
        <v>#DIV/0!</v>
      </c>
    </row>
    <row r="136" spans="1:146" x14ac:dyDescent="0.2">
      <c r="A136" s="43">
        <v>0</v>
      </c>
      <c r="B136" s="43">
        <v>0</v>
      </c>
      <c r="C136" s="43">
        <v>0</v>
      </c>
      <c r="D136" s="70">
        <v>2018</v>
      </c>
      <c r="E136" s="70">
        <v>9</v>
      </c>
      <c r="F136" s="2">
        <v>720</v>
      </c>
      <c r="G136" s="63"/>
      <c r="H136" s="63"/>
      <c r="I136" s="63"/>
      <c r="J136" s="133">
        <f t="shared" si="124"/>
        <v>0</v>
      </c>
      <c r="K136" s="65">
        <v>0</v>
      </c>
      <c r="L136" s="133">
        <f t="shared" si="125"/>
        <v>0</v>
      </c>
      <c r="M136" s="5"/>
      <c r="N136" s="5"/>
      <c r="O136" s="63"/>
      <c r="P136" s="200">
        <f t="shared" si="115"/>
        <v>0</v>
      </c>
      <c r="Q136" s="200">
        <f t="shared" si="116"/>
        <v>0</v>
      </c>
      <c r="R136" s="200">
        <f t="shared" si="117"/>
        <v>0</v>
      </c>
      <c r="S136" s="133">
        <f t="shared" si="118"/>
        <v>0</v>
      </c>
      <c r="T136" s="133">
        <f t="shared" si="119"/>
        <v>0</v>
      </c>
      <c r="U136" s="133">
        <f t="shared" si="120"/>
        <v>0</v>
      </c>
      <c r="V136" s="200">
        <f t="shared" si="121"/>
        <v>0</v>
      </c>
      <c r="W136" s="200">
        <f t="shared" si="122"/>
        <v>0</v>
      </c>
      <c r="X136" s="200">
        <f t="shared" si="123"/>
        <v>0</v>
      </c>
      <c r="Y136" s="63"/>
      <c r="Z136" s="63"/>
      <c r="AA136" s="63"/>
      <c r="AB136" s="133"/>
      <c r="AC136" s="133"/>
      <c r="AD136" s="133"/>
      <c r="AE136" s="133"/>
      <c r="AF136" s="133"/>
      <c r="AG136" s="133"/>
      <c r="AH136" s="133"/>
      <c r="AI136" s="133"/>
      <c r="AJ136" s="133"/>
      <c r="AK136" s="133"/>
      <c r="AL136" s="63"/>
      <c r="AM136" s="63"/>
      <c r="AN136" s="63"/>
      <c r="AO136" s="63"/>
      <c r="AP136" s="63"/>
      <c r="AQ136" s="10">
        <v>8160</v>
      </c>
      <c r="AR136" s="18"/>
      <c r="AS136" s="18"/>
      <c r="AT136" s="62"/>
      <c r="AU136" s="65">
        <v>74.325000000000003</v>
      </c>
      <c r="AV136" s="65">
        <v>2976.76</v>
      </c>
      <c r="AW136" s="65">
        <v>1.4983809523809524</v>
      </c>
      <c r="AX136" s="65">
        <v>2.3380000000000001</v>
      </c>
      <c r="AY136" s="65">
        <v>1192.5367209999999</v>
      </c>
      <c r="AZ136" s="1">
        <v>111.70191957409523</v>
      </c>
      <c r="BA136" s="65">
        <v>1417.4770000000001</v>
      </c>
      <c r="BB136" s="65">
        <v>1118.3810000000001</v>
      </c>
      <c r="BC136" s="63"/>
      <c r="BD136" s="63"/>
      <c r="BE136" s="63"/>
      <c r="BF136" s="63"/>
      <c r="BG136" s="63"/>
      <c r="BH136" s="63"/>
      <c r="BI136" s="63"/>
      <c r="BJ136" s="63"/>
      <c r="BK136" s="63"/>
      <c r="BL136" s="63"/>
      <c r="BM136" s="63"/>
      <c r="BN136" s="63"/>
      <c r="BO136" s="63"/>
      <c r="BP136" s="10">
        <v>1920</v>
      </c>
      <c r="BQ136" s="65">
        <v>134.70415718750002</v>
      </c>
      <c r="BR136" s="65">
        <v>175.99542180499972</v>
      </c>
      <c r="BS136" s="65">
        <v>636.83266536200017</v>
      </c>
      <c r="BT136" s="5"/>
      <c r="BU136" s="5"/>
      <c r="BV136" s="5"/>
      <c r="BW136" s="5"/>
      <c r="BX136" s="63"/>
      <c r="BY136" s="5"/>
      <c r="BZ136" s="66">
        <v>7020</v>
      </c>
      <c r="CA136" s="65">
        <v>3600</v>
      </c>
      <c r="CB136" s="65">
        <f t="shared" si="126"/>
        <v>3600</v>
      </c>
      <c r="CC136" s="5"/>
      <c r="CD136" s="5"/>
      <c r="CE136" s="5"/>
      <c r="CF136" s="65"/>
      <c r="CG136" s="70"/>
      <c r="CH136" s="70"/>
      <c r="CI136" s="70"/>
      <c r="CJ136" s="65">
        <v>1118.3810000000001</v>
      </c>
      <c r="CK136" s="8">
        <f t="shared" si="86"/>
        <v>32142.550265880978</v>
      </c>
      <c r="CL136" s="202">
        <f t="shared" si="60"/>
        <v>-32142.550265880978</v>
      </c>
      <c r="CM136" s="202">
        <f t="shared" si="61"/>
        <v>-32142.550265880978</v>
      </c>
      <c r="CN136" s="202">
        <f t="shared" si="62"/>
        <v>-32142.550265880978</v>
      </c>
      <c r="CO136" s="9">
        <f t="shared" si="63"/>
        <v>-32142.550265880978</v>
      </c>
      <c r="CP136" s="9">
        <f t="shared" si="64"/>
        <v>-32142.550265880978</v>
      </c>
      <c r="CQ136" s="9">
        <f t="shared" si="65"/>
        <v>-32142.550265880978</v>
      </c>
      <c r="CR136" s="202">
        <f t="shared" si="66"/>
        <v>-32142.550265880978</v>
      </c>
      <c r="CS136" s="202">
        <f t="shared" si="67"/>
        <v>-32142.550265880978</v>
      </c>
      <c r="CT136" s="202">
        <f t="shared" si="68"/>
        <v>-32142.550265880978</v>
      </c>
      <c r="CU136" s="203" t="e">
        <f t="shared" si="69"/>
        <v>#DIV/0!</v>
      </c>
      <c r="CV136" s="203" t="e">
        <f t="shared" si="70"/>
        <v>#DIV/0!</v>
      </c>
      <c r="CW136" s="203" t="e">
        <f t="shared" si="71"/>
        <v>#DIV/0!</v>
      </c>
      <c r="CX136" s="19" t="e">
        <f t="shared" si="72"/>
        <v>#DIV/0!</v>
      </c>
      <c r="CY136" s="19" t="e">
        <f t="shared" si="73"/>
        <v>#DIV/0!</v>
      </c>
      <c r="CZ136" s="19" t="e">
        <f t="shared" si="74"/>
        <v>#DIV/0!</v>
      </c>
      <c r="DA136" s="203" t="e">
        <f t="shared" si="75"/>
        <v>#DIV/0!</v>
      </c>
      <c r="DB136" s="203" t="e">
        <f t="shared" si="76"/>
        <v>#DIV/0!</v>
      </c>
      <c r="DC136" s="203" t="e">
        <f t="shared" si="77"/>
        <v>#DIV/0!</v>
      </c>
      <c r="DD136" s="65"/>
      <c r="DE136" s="66"/>
      <c r="DF136" s="66"/>
      <c r="DG136" s="66"/>
      <c r="DH136" s="66"/>
      <c r="DI136" s="66"/>
      <c r="DJ136" s="65"/>
      <c r="DK136" s="66"/>
      <c r="DL136" s="66"/>
      <c r="DM136" s="8">
        <f t="shared" si="78"/>
        <v>0</v>
      </c>
      <c r="DN136" s="8">
        <f t="shared" si="79"/>
        <v>32142.550265880978</v>
      </c>
      <c r="DO136" s="202">
        <f t="shared" si="99"/>
        <v>-32142.550265880978</v>
      </c>
      <c r="DP136" s="202">
        <f t="shared" si="100"/>
        <v>-32142.550265880978</v>
      </c>
      <c r="DQ136" s="202">
        <f t="shared" si="101"/>
        <v>-32142.550265880978</v>
      </c>
      <c r="DR136" s="9">
        <f t="shared" si="102"/>
        <v>-32142.550265880978</v>
      </c>
      <c r="DS136" s="9">
        <f t="shared" si="91"/>
        <v>-32142.550265880978</v>
      </c>
      <c r="DT136" s="9">
        <f t="shared" si="103"/>
        <v>-32142.550265880978</v>
      </c>
      <c r="DU136" s="202">
        <f t="shared" si="104"/>
        <v>-32142.550265880978</v>
      </c>
      <c r="DV136" s="202">
        <f t="shared" si="105"/>
        <v>-32142.550265880978</v>
      </c>
      <c r="DW136" s="202">
        <f t="shared" si="106"/>
        <v>-32142.550265880978</v>
      </c>
      <c r="DX136" s="203" t="e">
        <f t="shared" si="107"/>
        <v>#DIV/0!</v>
      </c>
      <c r="DY136" s="203" t="e">
        <f t="shared" si="108"/>
        <v>#DIV/0!</v>
      </c>
      <c r="DZ136" s="203" t="e">
        <f t="shared" si="109"/>
        <v>#DIV/0!</v>
      </c>
      <c r="EA136" s="19" t="e">
        <f t="shared" si="110"/>
        <v>#DIV/0!</v>
      </c>
      <c r="EB136" s="19" t="e">
        <f t="shared" si="97"/>
        <v>#DIV/0!</v>
      </c>
      <c r="EC136" s="19" t="e">
        <f t="shared" si="111"/>
        <v>#DIV/0!</v>
      </c>
      <c r="ED136" s="203" t="e">
        <f t="shared" si="112"/>
        <v>#DIV/0!</v>
      </c>
      <c r="EE136" s="203" t="e">
        <f t="shared" si="113"/>
        <v>#DIV/0!</v>
      </c>
      <c r="EF136" s="203" t="e">
        <f t="shared" si="114"/>
        <v>#DIV/0!</v>
      </c>
      <c r="EH136" s="58">
        <f t="shared" si="42"/>
        <v>24938.713884928598</v>
      </c>
      <c r="EI136" s="68" t="e">
        <f t="shared" si="43"/>
        <v>#DIV/0!</v>
      </c>
      <c r="EJ136" s="58">
        <f t="shared" si="44"/>
        <v>17918.713884928598</v>
      </c>
      <c r="EK136" s="68" t="e">
        <f t="shared" si="43"/>
        <v>#DIV/0!</v>
      </c>
      <c r="EL136" s="58">
        <f t="shared" si="45"/>
        <v>947.53224435449988</v>
      </c>
      <c r="EM136" s="58">
        <f t="shared" si="46"/>
        <v>947.53224435449988</v>
      </c>
      <c r="EN136" s="68" t="e">
        <f t="shared" si="47"/>
        <v>#DIV/0!</v>
      </c>
    </row>
    <row r="137" spans="1:146" x14ac:dyDescent="0.2">
      <c r="A137" s="43">
        <v>0</v>
      </c>
      <c r="B137" s="43">
        <v>0</v>
      </c>
      <c r="C137" s="43">
        <v>0</v>
      </c>
      <c r="D137" s="70">
        <v>2018</v>
      </c>
      <c r="E137" s="70">
        <v>10</v>
      </c>
      <c r="F137" s="2">
        <v>744</v>
      </c>
      <c r="G137" s="63"/>
      <c r="H137" s="63"/>
      <c r="I137" s="63"/>
      <c r="J137" s="133">
        <f t="shared" si="124"/>
        <v>0</v>
      </c>
      <c r="K137" s="65">
        <v>0</v>
      </c>
      <c r="L137" s="133">
        <f t="shared" si="125"/>
        <v>0</v>
      </c>
      <c r="M137" s="5"/>
      <c r="N137" s="5"/>
      <c r="O137" s="63"/>
      <c r="P137" s="200">
        <f t="shared" si="115"/>
        <v>0</v>
      </c>
      <c r="Q137" s="200">
        <f t="shared" si="116"/>
        <v>0</v>
      </c>
      <c r="R137" s="200">
        <f t="shared" si="117"/>
        <v>0</v>
      </c>
      <c r="S137" s="133">
        <f t="shared" si="118"/>
        <v>0</v>
      </c>
      <c r="T137" s="133">
        <f t="shared" si="119"/>
        <v>0</v>
      </c>
      <c r="U137" s="133">
        <f t="shared" si="120"/>
        <v>0</v>
      </c>
      <c r="V137" s="200">
        <f t="shared" si="121"/>
        <v>0</v>
      </c>
      <c r="W137" s="200">
        <f t="shared" si="122"/>
        <v>0</v>
      </c>
      <c r="X137" s="200">
        <f t="shared" si="123"/>
        <v>0</v>
      </c>
      <c r="Y137" s="63"/>
      <c r="Z137" s="63"/>
      <c r="AA137" s="63"/>
      <c r="AB137" s="133"/>
      <c r="AC137" s="133"/>
      <c r="AD137" s="133"/>
      <c r="AE137" s="133"/>
      <c r="AF137" s="133"/>
      <c r="AG137" s="133"/>
      <c r="AH137" s="133"/>
      <c r="AI137" s="133"/>
      <c r="AJ137" s="133"/>
      <c r="AK137" s="133"/>
      <c r="AL137" s="63"/>
      <c r="AM137" s="63"/>
      <c r="AN137" s="63"/>
      <c r="AO137" s="63"/>
      <c r="AP137" s="63"/>
      <c r="AQ137" s="10">
        <v>8432</v>
      </c>
      <c r="AR137" s="18"/>
      <c r="AS137" s="18"/>
      <c r="AT137" s="62"/>
      <c r="AU137" s="65">
        <v>77.718999999999994</v>
      </c>
      <c r="AV137" s="65">
        <v>3141.1889999999999</v>
      </c>
      <c r="AW137" s="65">
        <v>2.089</v>
      </c>
      <c r="AX137" s="65">
        <v>7.0017619047619046</v>
      </c>
      <c r="AY137" s="65">
        <v>1242.5171867333333</v>
      </c>
      <c r="AZ137" s="1">
        <v>178.94770114342856</v>
      </c>
      <c r="BA137" s="65">
        <v>1677.5530000000001</v>
      </c>
      <c r="BB137" s="65">
        <v>2065.9949999999999</v>
      </c>
      <c r="BC137" s="63"/>
      <c r="BD137" s="63"/>
      <c r="BE137" s="63"/>
      <c r="BF137" s="63"/>
      <c r="BG137" s="63"/>
      <c r="BH137" s="63"/>
      <c r="BI137" s="63"/>
      <c r="BJ137" s="63"/>
      <c r="BK137" s="63"/>
      <c r="BL137" s="63"/>
      <c r="BM137" s="63"/>
      <c r="BN137" s="63"/>
      <c r="BO137" s="63"/>
      <c r="BP137" s="10">
        <v>1984</v>
      </c>
      <c r="BQ137" s="65">
        <v>106.28172566406251</v>
      </c>
      <c r="BR137" s="65">
        <v>138.86054248499974</v>
      </c>
      <c r="BS137" s="65">
        <v>502.46153145900018</v>
      </c>
      <c r="BT137" s="5"/>
      <c r="BU137" s="5"/>
      <c r="BV137" s="5"/>
      <c r="BW137" s="5"/>
      <c r="BX137" s="63"/>
      <c r="BY137" s="5"/>
      <c r="BZ137" s="66">
        <v>0</v>
      </c>
      <c r="CA137" s="65">
        <v>3720</v>
      </c>
      <c r="CB137" s="65">
        <f>5*744</f>
        <v>3720</v>
      </c>
      <c r="CC137" s="5"/>
      <c r="CD137" s="5"/>
      <c r="CE137" s="5"/>
      <c r="CF137" s="65"/>
      <c r="CG137" s="70"/>
      <c r="CH137" s="70"/>
      <c r="CI137" s="70"/>
      <c r="CJ137" s="65">
        <v>2065.9949999999999</v>
      </c>
      <c r="CK137" s="8">
        <f t="shared" si="86"/>
        <v>26996.615449389585</v>
      </c>
      <c r="CL137" s="202">
        <f t="shared" si="60"/>
        <v>-26996.615449389585</v>
      </c>
      <c r="CM137" s="202">
        <f t="shared" si="61"/>
        <v>-26996.615449389585</v>
      </c>
      <c r="CN137" s="202">
        <f t="shared" si="62"/>
        <v>-26996.615449389585</v>
      </c>
      <c r="CO137" s="9">
        <f t="shared" si="63"/>
        <v>-26996.615449389585</v>
      </c>
      <c r="CP137" s="9">
        <f t="shared" si="64"/>
        <v>-26996.615449389585</v>
      </c>
      <c r="CQ137" s="9">
        <f t="shared" si="65"/>
        <v>-26996.615449389585</v>
      </c>
      <c r="CR137" s="202">
        <f t="shared" si="66"/>
        <v>-26996.615449389585</v>
      </c>
      <c r="CS137" s="202">
        <f t="shared" si="67"/>
        <v>-26996.615449389585</v>
      </c>
      <c r="CT137" s="202">
        <f t="shared" si="68"/>
        <v>-26996.615449389585</v>
      </c>
      <c r="CU137" s="203" t="e">
        <f t="shared" si="69"/>
        <v>#DIV/0!</v>
      </c>
      <c r="CV137" s="203" t="e">
        <f t="shared" si="70"/>
        <v>#DIV/0!</v>
      </c>
      <c r="CW137" s="203" t="e">
        <f t="shared" si="71"/>
        <v>#DIV/0!</v>
      </c>
      <c r="CX137" s="19" t="e">
        <f t="shared" si="72"/>
        <v>#DIV/0!</v>
      </c>
      <c r="CY137" s="19" t="e">
        <f t="shared" si="73"/>
        <v>#DIV/0!</v>
      </c>
      <c r="CZ137" s="19" t="e">
        <f t="shared" si="74"/>
        <v>#DIV/0!</v>
      </c>
      <c r="DA137" s="203" t="e">
        <f t="shared" si="75"/>
        <v>#DIV/0!</v>
      </c>
      <c r="DB137" s="203" t="e">
        <f t="shared" si="76"/>
        <v>#DIV/0!</v>
      </c>
      <c r="DC137" s="203" t="e">
        <f t="shared" si="77"/>
        <v>#DIV/0!</v>
      </c>
      <c r="DD137" s="65"/>
      <c r="DE137" s="66"/>
      <c r="DF137" s="66"/>
      <c r="DG137" s="66"/>
      <c r="DH137" s="66"/>
      <c r="DI137" s="66"/>
      <c r="DJ137" s="65"/>
      <c r="DK137" s="66"/>
      <c r="DL137" s="66"/>
      <c r="DM137" s="8">
        <f t="shared" si="78"/>
        <v>0</v>
      </c>
      <c r="DN137" s="8">
        <f t="shared" si="79"/>
        <v>26996.615449389585</v>
      </c>
      <c r="DO137" s="202">
        <f t="shared" si="99"/>
        <v>-26996.615449389585</v>
      </c>
      <c r="DP137" s="202">
        <f t="shared" si="100"/>
        <v>-26996.615449389585</v>
      </c>
      <c r="DQ137" s="202">
        <f t="shared" si="101"/>
        <v>-26996.615449389585</v>
      </c>
      <c r="DR137" s="9">
        <f t="shared" si="102"/>
        <v>-26996.615449389585</v>
      </c>
      <c r="DS137" s="9">
        <f t="shared" si="91"/>
        <v>-26996.615449389585</v>
      </c>
      <c r="DT137" s="9">
        <f t="shared" si="103"/>
        <v>-26996.615449389585</v>
      </c>
      <c r="DU137" s="202">
        <f t="shared" si="104"/>
        <v>-26996.615449389585</v>
      </c>
      <c r="DV137" s="202">
        <f t="shared" si="105"/>
        <v>-26996.615449389585</v>
      </c>
      <c r="DW137" s="202">
        <f t="shared" si="106"/>
        <v>-26996.615449389585</v>
      </c>
      <c r="DX137" s="203" t="e">
        <f t="shared" si="107"/>
        <v>#DIV/0!</v>
      </c>
      <c r="DY137" s="203" t="e">
        <f t="shared" si="108"/>
        <v>#DIV/0!</v>
      </c>
      <c r="DZ137" s="203" t="e">
        <f t="shared" si="109"/>
        <v>#DIV/0!</v>
      </c>
      <c r="EA137" s="19" t="e">
        <f t="shared" si="110"/>
        <v>#DIV/0!</v>
      </c>
      <c r="EB137" s="19" t="e">
        <f t="shared" si="97"/>
        <v>#DIV/0!</v>
      </c>
      <c r="EC137" s="19" t="e">
        <f t="shared" si="111"/>
        <v>#DIV/0!</v>
      </c>
      <c r="ED137" s="203" t="e">
        <f t="shared" si="112"/>
        <v>#DIV/0!</v>
      </c>
      <c r="EE137" s="203" t="e">
        <f t="shared" si="113"/>
        <v>#DIV/0!</v>
      </c>
      <c r="EF137" s="203" t="e">
        <f t="shared" si="114"/>
        <v>#DIV/0!</v>
      </c>
      <c r="EH137" s="58">
        <f t="shared" ref="EH137:EH199" si="127">SUMIF($AL$1:$DL$1,1,$AL137:$DL137)</f>
        <v>19547.524687484824</v>
      </c>
      <c r="EI137" s="68" t="e">
        <f t="shared" ref="EI137:EK200" si="128">+EH137/$AF137</f>
        <v>#DIV/0!</v>
      </c>
      <c r="EJ137" s="58">
        <f t="shared" ref="EJ137:EJ200" si="129">SUMIF($AL$2:$DL$2,1,$AL137:$DL137)</f>
        <v>19547.524687484824</v>
      </c>
      <c r="EK137" s="68" t="e">
        <f t="shared" si="128"/>
        <v>#DIV/0!</v>
      </c>
      <c r="EL137" s="58">
        <f t="shared" ref="EL137:EL200" si="130">+EM137-BX137</f>
        <v>747.60379960806245</v>
      </c>
      <c r="EM137" s="58">
        <f t="shared" ref="EM137:EM200" si="131">SUMIF($AL$3:$DL$3,1,$AL137:$DL137)</f>
        <v>747.60379960806245</v>
      </c>
      <c r="EN137" s="68" t="e">
        <f t="shared" ref="EN137:EN200" si="132">+EM137/$AF137</f>
        <v>#DIV/0!</v>
      </c>
    </row>
    <row r="138" spans="1:146" x14ac:dyDescent="0.2">
      <c r="A138" s="43">
        <v>0</v>
      </c>
      <c r="B138" s="43">
        <v>0</v>
      </c>
      <c r="C138" s="43">
        <v>0</v>
      </c>
      <c r="D138" s="70">
        <v>2018</v>
      </c>
      <c r="E138" s="70">
        <v>11</v>
      </c>
      <c r="F138" s="2">
        <v>721</v>
      </c>
      <c r="G138" s="63"/>
      <c r="H138" s="63"/>
      <c r="I138" s="63"/>
      <c r="J138" s="133">
        <f t="shared" si="124"/>
        <v>0</v>
      </c>
      <c r="K138" s="65">
        <v>0</v>
      </c>
      <c r="L138" s="133">
        <f t="shared" si="125"/>
        <v>0</v>
      </c>
      <c r="M138" s="5"/>
      <c r="N138" s="5"/>
      <c r="O138" s="63"/>
      <c r="P138" s="200">
        <f t="shared" si="115"/>
        <v>0</v>
      </c>
      <c r="Q138" s="200">
        <f t="shared" si="116"/>
        <v>0</v>
      </c>
      <c r="R138" s="200">
        <f t="shared" si="117"/>
        <v>0</v>
      </c>
      <c r="S138" s="133">
        <f t="shared" si="118"/>
        <v>0</v>
      </c>
      <c r="T138" s="133">
        <f t="shared" si="119"/>
        <v>0</v>
      </c>
      <c r="U138" s="133">
        <f t="shared" si="120"/>
        <v>0</v>
      </c>
      <c r="V138" s="200">
        <f t="shared" si="121"/>
        <v>0</v>
      </c>
      <c r="W138" s="200">
        <f t="shared" si="122"/>
        <v>0</v>
      </c>
      <c r="X138" s="200">
        <f t="shared" si="123"/>
        <v>0</v>
      </c>
      <c r="Y138" s="63"/>
      <c r="Z138" s="63"/>
      <c r="AA138" s="63"/>
      <c r="AB138" s="133"/>
      <c r="AC138" s="133"/>
      <c r="AD138" s="133"/>
      <c r="AE138" s="133"/>
      <c r="AF138" s="133"/>
      <c r="AG138" s="133"/>
      <c r="AH138" s="133"/>
      <c r="AI138" s="133"/>
      <c r="AJ138" s="133"/>
      <c r="AK138" s="133"/>
      <c r="AL138" s="63"/>
      <c r="AM138" s="63"/>
      <c r="AN138" s="63"/>
      <c r="AO138" s="63"/>
      <c r="AP138" s="63"/>
      <c r="AQ138" s="10">
        <v>8160</v>
      </c>
      <c r="AR138" s="18"/>
      <c r="AS138" s="18"/>
      <c r="AT138" s="62"/>
      <c r="AU138" s="65">
        <v>69.525999999999996</v>
      </c>
      <c r="AV138" s="65">
        <v>3273.9209999999998</v>
      </c>
      <c r="AW138" s="65">
        <v>2.7309999999999999</v>
      </c>
      <c r="AX138" s="65">
        <v>9.1306666666666665</v>
      </c>
      <c r="AY138" s="65">
        <v>1175.4324079200001</v>
      </c>
      <c r="AZ138" s="1">
        <v>233.10599970622729</v>
      </c>
      <c r="BA138" s="65">
        <v>1307.1990000000001</v>
      </c>
      <c r="BB138" s="65">
        <v>1501.5650000000001</v>
      </c>
      <c r="BC138" s="63"/>
      <c r="BD138" s="63"/>
      <c r="BE138" s="63"/>
      <c r="BF138" s="63"/>
      <c r="BG138" s="63"/>
      <c r="BH138" s="63"/>
      <c r="BI138" s="63"/>
      <c r="BJ138" s="63"/>
      <c r="BK138" s="63"/>
      <c r="BL138" s="63"/>
      <c r="BM138" s="63"/>
      <c r="BN138" s="63"/>
      <c r="BO138" s="63"/>
      <c r="BP138" s="10">
        <v>1920</v>
      </c>
      <c r="BQ138" s="65">
        <v>65.509960468749995</v>
      </c>
      <c r="BR138" s="65">
        <v>85.59089964199994</v>
      </c>
      <c r="BS138" s="65">
        <v>309.70737831499974</v>
      </c>
      <c r="BT138" s="5"/>
      <c r="BU138" s="5"/>
      <c r="BV138" s="5"/>
      <c r="BW138" s="5"/>
      <c r="BX138" s="63"/>
      <c r="BY138" s="5"/>
      <c r="BZ138" s="66">
        <v>7029.75</v>
      </c>
      <c r="CA138" s="65">
        <v>3605</v>
      </c>
      <c r="CB138" s="65">
        <f>5*721</f>
        <v>3605</v>
      </c>
      <c r="CC138" s="5"/>
      <c r="CD138" s="5"/>
      <c r="CE138" s="5"/>
      <c r="CF138" s="65"/>
      <c r="CG138" s="70"/>
      <c r="CH138" s="70"/>
      <c r="CI138" s="70"/>
      <c r="CJ138" s="65">
        <v>1501.5650000000001</v>
      </c>
      <c r="CK138" s="8">
        <f t="shared" si="86"/>
        <v>32353.169312718645</v>
      </c>
      <c r="CL138" s="202">
        <f t="shared" si="60"/>
        <v>-32353.169312718645</v>
      </c>
      <c r="CM138" s="202">
        <f t="shared" si="61"/>
        <v>-32353.169312718645</v>
      </c>
      <c r="CN138" s="202">
        <f t="shared" si="62"/>
        <v>-32353.169312718645</v>
      </c>
      <c r="CO138" s="9">
        <f t="shared" si="63"/>
        <v>-32353.169312718645</v>
      </c>
      <c r="CP138" s="9">
        <f t="shared" si="64"/>
        <v>-32353.169312718645</v>
      </c>
      <c r="CQ138" s="9">
        <f t="shared" si="65"/>
        <v>-32353.169312718645</v>
      </c>
      <c r="CR138" s="202">
        <f t="shared" si="66"/>
        <v>-32353.169312718645</v>
      </c>
      <c r="CS138" s="202">
        <f t="shared" si="67"/>
        <v>-32353.169312718645</v>
      </c>
      <c r="CT138" s="202">
        <f t="shared" si="68"/>
        <v>-32353.169312718645</v>
      </c>
      <c r="CU138" s="203" t="e">
        <f t="shared" si="69"/>
        <v>#DIV/0!</v>
      </c>
      <c r="CV138" s="203" t="e">
        <f t="shared" si="70"/>
        <v>#DIV/0!</v>
      </c>
      <c r="CW138" s="203" t="e">
        <f t="shared" si="71"/>
        <v>#DIV/0!</v>
      </c>
      <c r="CX138" s="19" t="e">
        <f t="shared" si="72"/>
        <v>#DIV/0!</v>
      </c>
      <c r="CY138" s="19" t="e">
        <f t="shared" si="73"/>
        <v>#DIV/0!</v>
      </c>
      <c r="CZ138" s="19" t="e">
        <f t="shared" si="74"/>
        <v>#DIV/0!</v>
      </c>
      <c r="DA138" s="203" t="e">
        <f t="shared" si="75"/>
        <v>#DIV/0!</v>
      </c>
      <c r="DB138" s="203" t="e">
        <f t="shared" si="76"/>
        <v>#DIV/0!</v>
      </c>
      <c r="DC138" s="203" t="e">
        <f t="shared" si="77"/>
        <v>#DIV/0!</v>
      </c>
      <c r="DD138" s="65"/>
      <c r="DE138" s="66"/>
      <c r="DF138" s="66"/>
      <c r="DG138" s="66"/>
      <c r="DH138" s="66"/>
      <c r="DI138" s="66"/>
      <c r="DJ138" s="65"/>
      <c r="DK138" s="66"/>
      <c r="DL138" s="66"/>
      <c r="DM138" s="8">
        <f t="shared" si="78"/>
        <v>0</v>
      </c>
      <c r="DN138" s="8">
        <f t="shared" si="79"/>
        <v>32353.169312718645</v>
      </c>
      <c r="DO138" s="202">
        <f t="shared" si="99"/>
        <v>-32353.169312718645</v>
      </c>
      <c r="DP138" s="202">
        <f t="shared" si="100"/>
        <v>-32353.169312718645</v>
      </c>
      <c r="DQ138" s="202">
        <f t="shared" si="101"/>
        <v>-32353.169312718645</v>
      </c>
      <c r="DR138" s="9">
        <f t="shared" si="102"/>
        <v>-32353.169312718645</v>
      </c>
      <c r="DS138" s="9">
        <f t="shared" si="91"/>
        <v>-32353.169312718645</v>
      </c>
      <c r="DT138" s="9">
        <f t="shared" si="103"/>
        <v>-32353.169312718645</v>
      </c>
      <c r="DU138" s="202">
        <f t="shared" si="104"/>
        <v>-32353.169312718645</v>
      </c>
      <c r="DV138" s="202">
        <f t="shared" si="105"/>
        <v>-32353.169312718645</v>
      </c>
      <c r="DW138" s="202">
        <f t="shared" si="106"/>
        <v>-32353.169312718645</v>
      </c>
      <c r="DX138" s="203" t="e">
        <f t="shared" si="107"/>
        <v>#DIV/0!</v>
      </c>
      <c r="DY138" s="203" t="e">
        <f t="shared" si="108"/>
        <v>#DIV/0!</v>
      </c>
      <c r="DZ138" s="203" t="e">
        <f t="shared" si="109"/>
        <v>#DIV/0!</v>
      </c>
      <c r="EA138" s="19" t="e">
        <f t="shared" si="110"/>
        <v>#DIV/0!</v>
      </c>
      <c r="EB138" s="19" t="e">
        <f t="shared" si="97"/>
        <v>#DIV/0!</v>
      </c>
      <c r="EC138" s="19" t="e">
        <f t="shared" si="111"/>
        <v>#DIV/0!</v>
      </c>
      <c r="ED138" s="203" t="e">
        <f t="shared" si="112"/>
        <v>#DIV/0!</v>
      </c>
      <c r="EE138" s="203" t="e">
        <f t="shared" si="113"/>
        <v>#DIV/0!</v>
      </c>
      <c r="EF138" s="203" t="e">
        <f t="shared" si="114"/>
        <v>#DIV/0!</v>
      </c>
      <c r="EH138" s="58">
        <f t="shared" si="127"/>
        <v>25131.307646051981</v>
      </c>
      <c r="EI138" s="68" t="e">
        <f t="shared" si="128"/>
        <v>#DIV/0!</v>
      </c>
      <c r="EJ138" s="58">
        <f t="shared" si="129"/>
        <v>18101.557646051981</v>
      </c>
      <c r="EK138" s="68" t="e">
        <f t="shared" si="128"/>
        <v>#DIV/0!</v>
      </c>
      <c r="EL138" s="58">
        <f t="shared" si="130"/>
        <v>460.80823842574966</v>
      </c>
      <c r="EM138" s="58">
        <f t="shared" si="131"/>
        <v>460.80823842574966</v>
      </c>
      <c r="EN138" s="68" t="e">
        <f t="shared" si="132"/>
        <v>#DIV/0!</v>
      </c>
    </row>
    <row r="139" spans="1:146" x14ac:dyDescent="0.2">
      <c r="A139" s="43">
        <v>0</v>
      </c>
      <c r="B139" s="43">
        <v>0</v>
      </c>
      <c r="C139" s="43">
        <v>0</v>
      </c>
      <c r="D139" s="70">
        <v>2018</v>
      </c>
      <c r="E139" s="70">
        <v>12</v>
      </c>
      <c r="F139" s="2">
        <v>744</v>
      </c>
      <c r="G139" s="63"/>
      <c r="H139" s="63"/>
      <c r="I139" s="63"/>
      <c r="J139" s="133">
        <f t="shared" si="124"/>
        <v>0</v>
      </c>
      <c r="K139" s="65">
        <v>0</v>
      </c>
      <c r="L139" s="133">
        <f t="shared" si="125"/>
        <v>0</v>
      </c>
      <c r="M139" s="5"/>
      <c r="N139" s="5"/>
      <c r="O139" s="63"/>
      <c r="P139" s="200">
        <f t="shared" si="115"/>
        <v>0</v>
      </c>
      <c r="Q139" s="200">
        <f t="shared" si="116"/>
        <v>0</v>
      </c>
      <c r="R139" s="200">
        <f t="shared" si="117"/>
        <v>0</v>
      </c>
      <c r="S139" s="133">
        <f t="shared" si="118"/>
        <v>0</v>
      </c>
      <c r="T139" s="133">
        <f t="shared" si="119"/>
        <v>0</v>
      </c>
      <c r="U139" s="133">
        <f t="shared" si="120"/>
        <v>0</v>
      </c>
      <c r="V139" s="200">
        <f t="shared" si="121"/>
        <v>0</v>
      </c>
      <c r="W139" s="200">
        <f t="shared" si="122"/>
        <v>0</v>
      </c>
      <c r="X139" s="200">
        <f t="shared" si="123"/>
        <v>0</v>
      </c>
      <c r="Y139" s="63"/>
      <c r="Z139" s="63"/>
      <c r="AA139" s="63"/>
      <c r="AB139" s="133"/>
      <c r="AC139" s="133"/>
      <c r="AD139" s="133"/>
      <c r="AE139" s="133"/>
      <c r="AF139" s="133"/>
      <c r="AG139" s="133"/>
      <c r="AH139" s="133"/>
      <c r="AI139" s="133"/>
      <c r="AJ139" s="133"/>
      <c r="AK139" s="133"/>
      <c r="AL139" s="63"/>
      <c r="AM139" s="63"/>
      <c r="AN139" s="63"/>
      <c r="AO139" s="63"/>
      <c r="AP139" s="63"/>
      <c r="AQ139" s="10">
        <v>8432</v>
      </c>
      <c r="AR139" s="18"/>
      <c r="AS139" s="18"/>
      <c r="AT139" s="62"/>
      <c r="AU139" s="65">
        <v>68.004000000000005</v>
      </c>
      <c r="AV139" s="65">
        <v>3522.3470000000002</v>
      </c>
      <c r="AW139" s="65">
        <v>3.6837619047619046</v>
      </c>
      <c r="AX139" s="65">
        <v>7.6325238095238088</v>
      </c>
      <c r="AY139" s="65">
        <v>1240.4980450800001</v>
      </c>
      <c r="AZ139" s="1">
        <v>256.71146082500002</v>
      </c>
      <c r="BA139" s="65">
        <v>1488.9290000000001</v>
      </c>
      <c r="BB139" s="65">
        <v>2709.6550000000002</v>
      </c>
      <c r="BC139" s="63"/>
      <c r="BD139" s="63"/>
      <c r="BE139" s="63"/>
      <c r="BF139" s="63"/>
      <c r="BG139" s="63"/>
      <c r="BH139" s="63"/>
      <c r="BI139" s="63"/>
      <c r="BJ139" s="63"/>
      <c r="BK139" s="63"/>
      <c r="BL139" s="63"/>
      <c r="BM139" s="63"/>
      <c r="BN139" s="63"/>
      <c r="BO139" s="63"/>
      <c r="BP139" s="10">
        <v>1984</v>
      </c>
      <c r="BQ139" s="65">
        <v>59.6889383984375</v>
      </c>
      <c r="BR139" s="65">
        <v>77.595587458829968</v>
      </c>
      <c r="BS139" s="65">
        <v>282.18758625699974</v>
      </c>
      <c r="BT139" s="5"/>
      <c r="BU139" s="5"/>
      <c r="BV139" s="5"/>
      <c r="BW139" s="5"/>
      <c r="BX139" s="63"/>
      <c r="BY139" s="5"/>
      <c r="BZ139" s="66">
        <v>7254</v>
      </c>
      <c r="CA139" s="65">
        <v>3720</v>
      </c>
      <c r="CB139" s="65">
        <f>5*744</f>
        <v>3720</v>
      </c>
      <c r="CC139" s="5"/>
      <c r="CD139" s="5"/>
      <c r="CE139" s="5"/>
      <c r="CF139" s="65"/>
      <c r="CG139" s="70"/>
      <c r="CH139" s="70"/>
      <c r="CI139" s="70"/>
      <c r="CJ139" s="65">
        <v>2709.6550000000002</v>
      </c>
      <c r="CK139" s="8">
        <f t="shared" si="86"/>
        <v>34826.932903733556</v>
      </c>
      <c r="CL139" s="202">
        <f t="shared" si="60"/>
        <v>-34826.932903733556</v>
      </c>
      <c r="CM139" s="202">
        <f t="shared" si="61"/>
        <v>-34826.932903733556</v>
      </c>
      <c r="CN139" s="202">
        <f t="shared" si="62"/>
        <v>-34826.932903733556</v>
      </c>
      <c r="CO139" s="9">
        <f t="shared" si="63"/>
        <v>-34826.932903733556</v>
      </c>
      <c r="CP139" s="9">
        <f t="shared" si="64"/>
        <v>-34826.932903733556</v>
      </c>
      <c r="CQ139" s="9">
        <f t="shared" si="65"/>
        <v>-34826.932903733556</v>
      </c>
      <c r="CR139" s="202">
        <f t="shared" si="66"/>
        <v>-34826.932903733556</v>
      </c>
      <c r="CS139" s="202">
        <f t="shared" si="67"/>
        <v>-34826.932903733556</v>
      </c>
      <c r="CT139" s="202">
        <f t="shared" si="68"/>
        <v>-34826.932903733556</v>
      </c>
      <c r="CU139" s="203" t="e">
        <f t="shared" si="69"/>
        <v>#DIV/0!</v>
      </c>
      <c r="CV139" s="203" t="e">
        <f t="shared" si="70"/>
        <v>#DIV/0!</v>
      </c>
      <c r="CW139" s="203" t="e">
        <f t="shared" si="71"/>
        <v>#DIV/0!</v>
      </c>
      <c r="CX139" s="19" t="e">
        <f t="shared" si="72"/>
        <v>#DIV/0!</v>
      </c>
      <c r="CY139" s="19" t="e">
        <f t="shared" si="73"/>
        <v>#DIV/0!</v>
      </c>
      <c r="CZ139" s="19" t="e">
        <f t="shared" si="74"/>
        <v>#DIV/0!</v>
      </c>
      <c r="DA139" s="203" t="e">
        <f t="shared" si="75"/>
        <v>#DIV/0!</v>
      </c>
      <c r="DB139" s="203" t="e">
        <f t="shared" si="76"/>
        <v>#DIV/0!</v>
      </c>
      <c r="DC139" s="203" t="e">
        <f t="shared" si="77"/>
        <v>#DIV/0!</v>
      </c>
      <c r="DD139" s="65"/>
      <c r="DE139" s="66"/>
      <c r="DF139" s="66"/>
      <c r="DG139" s="66"/>
      <c r="DH139" s="66"/>
      <c r="DI139" s="66"/>
      <c r="DJ139" s="65"/>
      <c r="DK139" s="66"/>
      <c r="DL139" s="66"/>
      <c r="DM139" s="8">
        <f t="shared" si="78"/>
        <v>0</v>
      </c>
      <c r="DN139" s="8">
        <f t="shared" si="79"/>
        <v>34826.932903733556</v>
      </c>
      <c r="DO139" s="202">
        <f t="shared" si="99"/>
        <v>-34826.932903733556</v>
      </c>
      <c r="DP139" s="202">
        <f t="shared" si="100"/>
        <v>-34826.932903733556</v>
      </c>
      <c r="DQ139" s="202">
        <f t="shared" si="101"/>
        <v>-34826.932903733556</v>
      </c>
      <c r="DR139" s="9">
        <f t="shared" si="102"/>
        <v>-34826.932903733556</v>
      </c>
      <c r="DS139" s="9">
        <f t="shared" si="91"/>
        <v>-34826.932903733556</v>
      </c>
      <c r="DT139" s="9">
        <f t="shared" si="103"/>
        <v>-34826.932903733556</v>
      </c>
      <c r="DU139" s="202">
        <f t="shared" si="104"/>
        <v>-34826.932903733556</v>
      </c>
      <c r="DV139" s="202">
        <f t="shared" si="105"/>
        <v>-34826.932903733556</v>
      </c>
      <c r="DW139" s="202">
        <f t="shared" si="106"/>
        <v>-34826.932903733556</v>
      </c>
      <c r="DX139" s="203" t="e">
        <f t="shared" si="107"/>
        <v>#DIV/0!</v>
      </c>
      <c r="DY139" s="203" t="e">
        <f t="shared" si="108"/>
        <v>#DIV/0!</v>
      </c>
      <c r="DZ139" s="203" t="e">
        <f t="shared" si="109"/>
        <v>#DIV/0!</v>
      </c>
      <c r="EA139" s="19" t="e">
        <f t="shared" si="110"/>
        <v>#DIV/0!</v>
      </c>
      <c r="EB139" s="19" t="e">
        <f t="shared" si="97"/>
        <v>#DIV/0!</v>
      </c>
      <c r="EC139" s="19" t="e">
        <f t="shared" si="111"/>
        <v>#DIV/0!</v>
      </c>
      <c r="ED139" s="203" t="e">
        <f t="shared" si="112"/>
        <v>#DIV/0!</v>
      </c>
      <c r="EE139" s="203" t="e">
        <f t="shared" si="113"/>
        <v>#DIV/0!</v>
      </c>
      <c r="EF139" s="203" t="e">
        <f t="shared" si="114"/>
        <v>#DIV/0!</v>
      </c>
      <c r="EH139" s="58">
        <f t="shared" si="127"/>
        <v>27375.616618019267</v>
      </c>
      <c r="EI139" s="68" t="e">
        <f t="shared" si="128"/>
        <v>#DIV/0!</v>
      </c>
      <c r="EJ139" s="58">
        <f t="shared" si="129"/>
        <v>20121.616618019267</v>
      </c>
      <c r="EK139" s="68" t="e">
        <f t="shared" si="128"/>
        <v>#DIV/0!</v>
      </c>
      <c r="EL139" s="58">
        <f t="shared" si="130"/>
        <v>419.47211211426719</v>
      </c>
      <c r="EM139" s="58">
        <f t="shared" si="131"/>
        <v>419.47211211426719</v>
      </c>
      <c r="EN139" s="68" t="e">
        <f t="shared" si="132"/>
        <v>#DIV/0!</v>
      </c>
    </row>
    <row r="140" spans="1:146" x14ac:dyDescent="0.2">
      <c r="A140" s="43">
        <v>0</v>
      </c>
      <c r="B140" s="43">
        <v>0</v>
      </c>
      <c r="C140" s="43">
        <v>0</v>
      </c>
      <c r="D140" s="70">
        <v>2019</v>
      </c>
      <c r="E140" s="70">
        <v>1</v>
      </c>
      <c r="F140" s="2">
        <v>744</v>
      </c>
      <c r="G140" s="63"/>
      <c r="H140" s="63"/>
      <c r="I140" s="63"/>
      <c r="J140" s="133">
        <f t="shared" si="124"/>
        <v>0</v>
      </c>
      <c r="K140" s="65">
        <v>0</v>
      </c>
      <c r="L140" s="133">
        <f t="shared" si="125"/>
        <v>0</v>
      </c>
      <c r="M140" s="63"/>
      <c r="N140" s="63"/>
      <c r="O140" s="63"/>
      <c r="P140" s="200">
        <f t="shared" si="115"/>
        <v>0</v>
      </c>
      <c r="Q140" s="200">
        <f t="shared" si="116"/>
        <v>0</v>
      </c>
      <c r="R140" s="200">
        <f t="shared" si="117"/>
        <v>0</v>
      </c>
      <c r="S140" s="133">
        <f t="shared" si="118"/>
        <v>0</v>
      </c>
      <c r="T140" s="133">
        <f t="shared" si="119"/>
        <v>0</v>
      </c>
      <c r="U140" s="133">
        <f t="shared" si="120"/>
        <v>0</v>
      </c>
      <c r="V140" s="200">
        <f t="shared" si="121"/>
        <v>0</v>
      </c>
      <c r="W140" s="200">
        <f t="shared" si="122"/>
        <v>0</v>
      </c>
      <c r="X140" s="200">
        <f t="shared" si="123"/>
        <v>0</v>
      </c>
      <c r="Y140" s="63"/>
      <c r="Z140" s="63"/>
      <c r="AA140" s="63"/>
      <c r="AB140" s="200">
        <f t="shared" ref="AB140:AG140" si="133">+P140+$Z140</f>
        <v>0</v>
      </c>
      <c r="AC140" s="200">
        <f t="shared" si="133"/>
        <v>0</v>
      </c>
      <c r="AD140" s="200">
        <f t="shared" si="133"/>
        <v>0</v>
      </c>
      <c r="AE140" s="199">
        <f>+S140+$Y140</f>
        <v>0</v>
      </c>
      <c r="AF140" s="199">
        <f t="shared" si="133"/>
        <v>0</v>
      </c>
      <c r="AG140" s="199">
        <f t="shared" si="133"/>
        <v>0</v>
      </c>
      <c r="AH140" s="199"/>
      <c r="AI140" s="200">
        <f>+V140+$Z140</f>
        <v>0</v>
      </c>
      <c r="AJ140" s="200">
        <f>+W140+$Z140</f>
        <v>0</v>
      </c>
      <c r="AK140" s="200">
        <f>+X140+$Z140</f>
        <v>0</v>
      </c>
      <c r="AL140" s="63"/>
      <c r="AM140" s="63"/>
      <c r="AN140" s="63"/>
      <c r="AO140" s="63"/>
      <c r="AP140" s="63"/>
      <c r="AQ140" s="10">
        <v>8432</v>
      </c>
      <c r="AR140" s="18"/>
      <c r="AS140" s="18"/>
      <c r="AT140" s="62"/>
      <c r="AU140" s="65">
        <v>77.016999999999996</v>
      </c>
      <c r="AV140" s="65">
        <v>3714.1149999999998</v>
      </c>
      <c r="AW140" s="65">
        <v>2.9271304347826086</v>
      </c>
      <c r="AX140" s="65">
        <v>7.0815652173913044</v>
      </c>
      <c r="AY140" s="65">
        <v>1241.8319242799998</v>
      </c>
      <c r="AZ140" s="1">
        <v>219.44937905456527</v>
      </c>
      <c r="BA140" s="65">
        <v>2111.6182060000001</v>
      </c>
      <c r="BB140" s="65">
        <v>2270.623</v>
      </c>
      <c r="BC140" s="63"/>
      <c r="BD140" s="63"/>
      <c r="BE140" s="63"/>
      <c r="BF140" s="63"/>
      <c r="BG140" s="63"/>
      <c r="BH140" s="63"/>
      <c r="BI140" s="63"/>
      <c r="BJ140" s="63"/>
      <c r="BK140" s="63"/>
      <c r="BL140" s="63"/>
      <c r="BM140" s="63"/>
      <c r="BN140" s="63"/>
      <c r="BO140" s="63"/>
      <c r="BP140" s="10">
        <v>1984</v>
      </c>
      <c r="BQ140" s="65">
        <v>84.459287990820314</v>
      </c>
      <c r="BR140" s="65">
        <v>110.3488601587799</v>
      </c>
      <c r="BS140" s="65">
        <v>399.29310674316503</v>
      </c>
      <c r="BT140" s="5"/>
      <c r="BU140" s="5"/>
      <c r="BV140" s="144">
        <f t="shared" ref="BV140:BV203" si="134">+M140*0.7</f>
        <v>0</v>
      </c>
      <c r="BW140" s="144">
        <f t="shared" ref="BW140:BW203" si="135">+N140*0.7</f>
        <v>0</v>
      </c>
      <c r="BX140" s="144">
        <f t="shared" ref="BX140:BX203" si="136">+O140*0.7</f>
        <v>0</v>
      </c>
      <c r="BY140" s="5"/>
      <c r="BZ140" s="66">
        <v>7254</v>
      </c>
      <c r="CA140" s="65">
        <v>3720</v>
      </c>
      <c r="CB140" s="65">
        <f>5*744</f>
        <v>3720</v>
      </c>
      <c r="CC140" s="5"/>
      <c r="CD140" s="188">
        <v>0</v>
      </c>
      <c r="CE140" s="5"/>
      <c r="CF140" s="65"/>
      <c r="CG140" s="70"/>
      <c r="CH140" s="70"/>
      <c r="CI140" s="70"/>
      <c r="CJ140" s="65">
        <v>2270.623</v>
      </c>
      <c r="CK140" s="8">
        <f t="shared" si="86"/>
        <v>35348.764459879501</v>
      </c>
      <c r="CL140" s="202">
        <f t="shared" si="60"/>
        <v>-35348.764459879501</v>
      </c>
      <c r="CM140" s="202">
        <f t="shared" si="61"/>
        <v>-35348.764459879501</v>
      </c>
      <c r="CN140" s="202">
        <f t="shared" si="62"/>
        <v>-35348.764459879501</v>
      </c>
      <c r="CO140" s="9">
        <f t="shared" si="63"/>
        <v>-35348.764459879501</v>
      </c>
      <c r="CP140" s="9">
        <f t="shared" si="64"/>
        <v>-35348.764459879501</v>
      </c>
      <c r="CQ140" s="9">
        <f t="shared" si="65"/>
        <v>-35348.764459879501</v>
      </c>
      <c r="CR140" s="202">
        <f t="shared" si="66"/>
        <v>-35348.764459879501</v>
      </c>
      <c r="CS140" s="202">
        <f t="shared" si="67"/>
        <v>-35348.764459879501</v>
      </c>
      <c r="CT140" s="202">
        <f t="shared" si="68"/>
        <v>-35348.764459879501</v>
      </c>
      <c r="CU140" s="203" t="e">
        <f t="shared" si="69"/>
        <v>#DIV/0!</v>
      </c>
      <c r="CV140" s="203" t="e">
        <f t="shared" si="70"/>
        <v>#DIV/0!</v>
      </c>
      <c r="CW140" s="203" t="e">
        <f t="shared" si="71"/>
        <v>#DIV/0!</v>
      </c>
      <c r="CX140" s="19" t="e">
        <f t="shared" si="72"/>
        <v>#DIV/0!</v>
      </c>
      <c r="CY140" s="19" t="e">
        <f t="shared" si="73"/>
        <v>#DIV/0!</v>
      </c>
      <c r="CZ140" s="19" t="e">
        <f t="shared" si="74"/>
        <v>#DIV/0!</v>
      </c>
      <c r="DA140" s="203" t="e">
        <f t="shared" si="75"/>
        <v>#DIV/0!</v>
      </c>
      <c r="DB140" s="203" t="e">
        <f t="shared" si="76"/>
        <v>#DIV/0!</v>
      </c>
      <c r="DC140" s="203" t="e">
        <f t="shared" si="77"/>
        <v>#DIV/0!</v>
      </c>
      <c r="DD140" s="65"/>
      <c r="DE140" s="66"/>
      <c r="DF140" s="66"/>
      <c r="DG140" s="66"/>
      <c r="DH140" s="66"/>
      <c r="DI140" s="66"/>
      <c r="DJ140" s="65"/>
      <c r="DK140" s="66"/>
      <c r="DL140" s="66"/>
      <c r="DM140" s="8">
        <f t="shared" si="78"/>
        <v>0</v>
      </c>
      <c r="DN140" s="8">
        <f t="shared" si="79"/>
        <v>35348.764459879501</v>
      </c>
      <c r="DO140" s="202">
        <f t="shared" si="99"/>
        <v>-35348.764459879501</v>
      </c>
      <c r="DP140" s="202">
        <f t="shared" si="100"/>
        <v>-35348.764459879501</v>
      </c>
      <c r="DQ140" s="202">
        <f t="shared" si="101"/>
        <v>-35348.764459879501</v>
      </c>
      <c r="DR140" s="9">
        <f t="shared" si="102"/>
        <v>-35348.764459879501</v>
      </c>
      <c r="DS140" s="9">
        <f t="shared" si="91"/>
        <v>-35348.764459879501</v>
      </c>
      <c r="DT140" s="9">
        <f t="shared" si="103"/>
        <v>-35348.764459879501</v>
      </c>
      <c r="DU140" s="202">
        <f t="shared" si="104"/>
        <v>-35348.764459879501</v>
      </c>
      <c r="DV140" s="202">
        <f t="shared" si="105"/>
        <v>-35348.764459879501</v>
      </c>
      <c r="DW140" s="202">
        <f t="shared" si="106"/>
        <v>-35348.764459879501</v>
      </c>
      <c r="DX140" s="203" t="e">
        <f t="shared" si="107"/>
        <v>#DIV/0!</v>
      </c>
      <c r="DY140" s="203" t="e">
        <f t="shared" si="108"/>
        <v>#DIV/0!</v>
      </c>
      <c r="DZ140" s="203" t="e">
        <f t="shared" si="109"/>
        <v>#DIV/0!</v>
      </c>
      <c r="EA140" s="19" t="e">
        <f t="shared" si="110"/>
        <v>#DIV/0!</v>
      </c>
      <c r="EB140" s="19" t="e">
        <f t="shared" si="97"/>
        <v>#DIV/0!</v>
      </c>
      <c r="EC140" s="19" t="e">
        <f t="shared" si="111"/>
        <v>#DIV/0!</v>
      </c>
      <c r="ED140" s="203" t="e">
        <f t="shared" si="112"/>
        <v>#DIV/0!</v>
      </c>
      <c r="EE140" s="203" t="e">
        <f t="shared" si="113"/>
        <v>#DIV/0!</v>
      </c>
      <c r="EF140" s="203" t="e">
        <f t="shared" si="114"/>
        <v>#DIV/0!</v>
      </c>
      <c r="EH140" s="58">
        <f t="shared" si="127"/>
        <v>27898.755764227331</v>
      </c>
      <c r="EI140" s="68" t="e">
        <f t="shared" si="128"/>
        <v>#DIV/0!</v>
      </c>
      <c r="EJ140" s="58">
        <f t="shared" si="129"/>
        <v>20644.755764227331</v>
      </c>
      <c r="EK140" s="68" t="e">
        <f t="shared" si="128"/>
        <v>#DIV/0!</v>
      </c>
      <c r="EL140" s="58">
        <f t="shared" si="130"/>
        <v>594.10125489276527</v>
      </c>
      <c r="EM140" s="58">
        <f t="shared" si="131"/>
        <v>594.10125489276527</v>
      </c>
      <c r="EN140" s="68" t="e">
        <f t="shared" si="132"/>
        <v>#DIV/0!</v>
      </c>
      <c r="EO140" s="138">
        <v>0.32527353469126524</v>
      </c>
      <c r="EP140">
        <f>+(SUM(M140:O140)*EO140*(1-'[1]Tier 3 Data'!$A$2))</f>
        <v>0</v>
      </c>
    </row>
    <row r="141" spans="1:146" x14ac:dyDescent="0.2">
      <c r="A141" s="43">
        <v>0</v>
      </c>
      <c r="B141" s="43">
        <v>0</v>
      </c>
      <c r="C141" s="43">
        <v>0</v>
      </c>
      <c r="D141" s="70">
        <v>2019</v>
      </c>
      <c r="E141" s="70">
        <v>2</v>
      </c>
      <c r="F141" s="2">
        <v>672</v>
      </c>
      <c r="G141" s="63"/>
      <c r="H141" s="63"/>
      <c r="I141" s="63"/>
      <c r="J141" s="133">
        <f t="shared" si="124"/>
        <v>0</v>
      </c>
      <c r="K141" s="65">
        <v>0</v>
      </c>
      <c r="L141" s="133">
        <f t="shared" si="125"/>
        <v>0</v>
      </c>
      <c r="M141" s="63"/>
      <c r="N141" s="63"/>
      <c r="O141" s="63"/>
      <c r="P141" s="200">
        <f t="shared" si="115"/>
        <v>0</v>
      </c>
      <c r="Q141" s="200">
        <f t="shared" si="116"/>
        <v>0</v>
      </c>
      <c r="R141" s="200">
        <f t="shared" si="117"/>
        <v>0</v>
      </c>
      <c r="S141" s="133">
        <f t="shared" si="118"/>
        <v>0</v>
      </c>
      <c r="T141" s="133">
        <f t="shared" si="119"/>
        <v>0</v>
      </c>
      <c r="U141" s="133">
        <f t="shared" si="120"/>
        <v>0</v>
      </c>
      <c r="V141" s="200">
        <f t="shared" si="121"/>
        <v>0</v>
      </c>
      <c r="W141" s="200">
        <f t="shared" si="122"/>
        <v>0</v>
      </c>
      <c r="X141" s="200">
        <f t="shared" si="123"/>
        <v>0</v>
      </c>
      <c r="Y141" s="63"/>
      <c r="Z141" s="63"/>
      <c r="AA141" s="63"/>
      <c r="AB141" s="200">
        <f t="shared" ref="AB141:AB204" si="137">+P141+$Z141</f>
        <v>0</v>
      </c>
      <c r="AC141" s="200">
        <f t="shared" ref="AC141:AC204" si="138">+Q141+$Z141</f>
        <v>0</v>
      </c>
      <c r="AD141" s="200">
        <f t="shared" ref="AD141:AD204" si="139">+R141+$Z141</f>
        <v>0</v>
      </c>
      <c r="AE141" s="199">
        <f t="shared" ref="AE141:AE175" si="140">+S141+$Z141</f>
        <v>0</v>
      </c>
      <c r="AF141" s="199">
        <f t="shared" ref="AF141:AF204" si="141">+T141+$Z141</f>
        <v>0</v>
      </c>
      <c r="AG141" s="199">
        <f t="shared" ref="AG141:AG175" si="142">+U141+$Z141</f>
        <v>0</v>
      </c>
      <c r="AH141" s="199"/>
      <c r="AI141" s="200">
        <f t="shared" ref="AI141:AI204" si="143">+V141+$Z141</f>
        <v>0</v>
      </c>
      <c r="AJ141" s="200">
        <f t="shared" ref="AJ141:AJ204" si="144">+W141+$Z141</f>
        <v>0</v>
      </c>
      <c r="AK141" s="200">
        <f t="shared" ref="AK141:AK204" si="145">+X141+$Z141</f>
        <v>0</v>
      </c>
      <c r="AL141" s="63"/>
      <c r="AM141" s="63"/>
      <c r="AN141" s="63"/>
      <c r="AO141" s="63"/>
      <c r="AP141" s="63"/>
      <c r="AQ141" s="10">
        <v>7616</v>
      </c>
      <c r="AR141" s="18"/>
      <c r="AS141" s="18"/>
      <c r="AT141" s="62"/>
      <c r="AU141" s="65">
        <v>85.795000000000002</v>
      </c>
      <c r="AV141" s="65">
        <v>3394.7660000000001</v>
      </c>
      <c r="AW141" s="65">
        <v>2.6774347826086955</v>
      </c>
      <c r="AX141" s="65">
        <v>5.2181739130434783</v>
      </c>
      <c r="AY141" s="65">
        <v>1169.93700036</v>
      </c>
      <c r="AZ141" s="1">
        <v>172.39278071456522</v>
      </c>
      <c r="BA141" s="65">
        <v>1902.0488915999999</v>
      </c>
      <c r="BB141" s="65">
        <v>2314.7199999999998</v>
      </c>
      <c r="BC141" s="63"/>
      <c r="BD141" s="63"/>
      <c r="BE141" s="63"/>
      <c r="BF141" s="63"/>
      <c r="BG141" s="63"/>
      <c r="BH141" s="63"/>
      <c r="BI141" s="63"/>
      <c r="BJ141" s="63"/>
      <c r="BK141" s="63"/>
      <c r="BL141" s="63"/>
      <c r="BM141" s="63"/>
      <c r="BN141" s="63"/>
      <c r="BO141" s="63"/>
      <c r="BP141" s="10">
        <v>1792</v>
      </c>
      <c r="BQ141" s="65">
        <v>105.0750039671875</v>
      </c>
      <c r="BR141" s="65">
        <v>137.28390539665975</v>
      </c>
      <c r="BS141" s="65">
        <v>496.75653091157028</v>
      </c>
      <c r="BT141" s="5"/>
      <c r="BU141" s="5"/>
      <c r="BV141" s="144">
        <f t="shared" si="134"/>
        <v>0</v>
      </c>
      <c r="BW141" s="144">
        <f t="shared" si="135"/>
        <v>0</v>
      </c>
      <c r="BX141" s="144">
        <f t="shared" si="136"/>
        <v>0</v>
      </c>
      <c r="BY141" s="5"/>
      <c r="BZ141" s="66">
        <v>6552</v>
      </c>
      <c r="CA141" s="65">
        <v>3360</v>
      </c>
      <c r="CB141" s="65">
        <f>5*672</f>
        <v>3360</v>
      </c>
      <c r="CC141" s="5"/>
      <c r="CD141" s="188">
        <v>5.8362082802353541</v>
      </c>
      <c r="CE141" s="5"/>
      <c r="CF141" s="65"/>
      <c r="CG141" s="70"/>
      <c r="CH141" s="70"/>
      <c r="CI141" s="70"/>
      <c r="CJ141" s="65">
        <v>2314.7199999999998</v>
      </c>
      <c r="CK141" s="8">
        <f t="shared" si="86"/>
        <v>32472.506929925868</v>
      </c>
      <c r="CL141" s="202">
        <f t="shared" si="60"/>
        <v>-32472.506929925868</v>
      </c>
      <c r="CM141" s="202">
        <f t="shared" si="61"/>
        <v>-32472.506929925868</v>
      </c>
      <c r="CN141" s="202">
        <f t="shared" si="62"/>
        <v>-32472.506929925868</v>
      </c>
      <c r="CO141" s="9">
        <f t="shared" si="63"/>
        <v>-32472.506929925868</v>
      </c>
      <c r="CP141" s="9">
        <f t="shared" si="64"/>
        <v>-32472.506929925868</v>
      </c>
      <c r="CQ141" s="9">
        <f t="shared" si="65"/>
        <v>-32472.506929925868</v>
      </c>
      <c r="CR141" s="202">
        <f t="shared" si="66"/>
        <v>-32472.506929925868</v>
      </c>
      <c r="CS141" s="202">
        <f t="shared" si="67"/>
        <v>-32472.506929925868</v>
      </c>
      <c r="CT141" s="202">
        <f t="shared" si="68"/>
        <v>-32472.506929925868</v>
      </c>
      <c r="CU141" s="203" t="e">
        <f t="shared" si="69"/>
        <v>#DIV/0!</v>
      </c>
      <c r="CV141" s="203" t="e">
        <f t="shared" si="70"/>
        <v>#DIV/0!</v>
      </c>
      <c r="CW141" s="203" t="e">
        <f t="shared" si="71"/>
        <v>#DIV/0!</v>
      </c>
      <c r="CX141" s="19" t="e">
        <f t="shared" si="72"/>
        <v>#DIV/0!</v>
      </c>
      <c r="CY141" s="19" t="e">
        <f t="shared" si="73"/>
        <v>#DIV/0!</v>
      </c>
      <c r="CZ141" s="19" t="e">
        <f t="shared" si="74"/>
        <v>#DIV/0!</v>
      </c>
      <c r="DA141" s="203" t="e">
        <f t="shared" si="75"/>
        <v>#DIV/0!</v>
      </c>
      <c r="DB141" s="203" t="e">
        <f t="shared" si="76"/>
        <v>#DIV/0!</v>
      </c>
      <c r="DC141" s="203" t="e">
        <f t="shared" si="77"/>
        <v>#DIV/0!</v>
      </c>
      <c r="DD141" s="65"/>
      <c r="DE141" s="66"/>
      <c r="DF141" s="66"/>
      <c r="DG141" s="66"/>
      <c r="DH141" s="66"/>
      <c r="DI141" s="66"/>
      <c r="DJ141" s="65"/>
      <c r="DK141" s="66"/>
      <c r="DL141" s="66"/>
      <c r="DM141" s="8">
        <f t="shared" si="78"/>
        <v>0</v>
      </c>
      <c r="DN141" s="8">
        <f t="shared" si="79"/>
        <v>32472.506929925868</v>
      </c>
      <c r="DO141" s="202">
        <f t="shared" si="99"/>
        <v>-32472.506929925868</v>
      </c>
      <c r="DP141" s="202">
        <f t="shared" si="100"/>
        <v>-32472.506929925868</v>
      </c>
      <c r="DQ141" s="202">
        <f t="shared" si="101"/>
        <v>-32472.506929925868</v>
      </c>
      <c r="DR141" s="9">
        <f t="shared" si="102"/>
        <v>-32472.506929925868</v>
      </c>
      <c r="DS141" s="9">
        <f t="shared" si="91"/>
        <v>-32472.506929925868</v>
      </c>
      <c r="DT141" s="9">
        <f t="shared" si="103"/>
        <v>-32472.506929925868</v>
      </c>
      <c r="DU141" s="202">
        <f t="shared" si="104"/>
        <v>-32472.506929925868</v>
      </c>
      <c r="DV141" s="202">
        <f t="shared" si="105"/>
        <v>-32472.506929925868</v>
      </c>
      <c r="DW141" s="202">
        <f t="shared" si="106"/>
        <v>-32472.506929925868</v>
      </c>
      <c r="DX141" s="203" t="e">
        <f t="shared" si="107"/>
        <v>#DIV/0!</v>
      </c>
      <c r="DY141" s="203" t="e">
        <f t="shared" si="108"/>
        <v>#DIV/0!</v>
      </c>
      <c r="DZ141" s="203" t="e">
        <f t="shared" si="109"/>
        <v>#DIV/0!</v>
      </c>
      <c r="EA141" s="19" t="e">
        <f t="shared" si="110"/>
        <v>#DIV/0!</v>
      </c>
      <c r="EB141" s="19" t="e">
        <f t="shared" si="97"/>
        <v>#DIV/0!</v>
      </c>
      <c r="EC141" s="19" t="e">
        <f t="shared" si="111"/>
        <v>#DIV/0!</v>
      </c>
      <c r="ED141" s="203" t="e">
        <f t="shared" si="112"/>
        <v>#DIV/0!</v>
      </c>
      <c r="EE141" s="203" t="e">
        <f t="shared" si="113"/>
        <v>#DIV/0!</v>
      </c>
      <c r="EF141" s="203" t="e">
        <f t="shared" si="114"/>
        <v>#DIV/0!</v>
      </c>
      <c r="EH141" s="58">
        <f t="shared" si="127"/>
        <v>25738.775112949981</v>
      </c>
      <c r="EI141" s="68" t="e">
        <f t="shared" si="128"/>
        <v>#DIV/0!</v>
      </c>
      <c r="EJ141" s="58">
        <f t="shared" si="129"/>
        <v>19186.775112949981</v>
      </c>
      <c r="EK141" s="68" t="e">
        <f t="shared" si="128"/>
        <v>#DIV/0!</v>
      </c>
      <c r="EL141" s="58">
        <f t="shared" si="130"/>
        <v>739.11544027541754</v>
      </c>
      <c r="EM141" s="58">
        <f t="shared" si="131"/>
        <v>739.11544027541754</v>
      </c>
      <c r="EN141" s="68" t="e">
        <f t="shared" si="132"/>
        <v>#DIV/0!</v>
      </c>
      <c r="EO141" s="138">
        <v>0.3126447604730192</v>
      </c>
      <c r="EP141">
        <f>+(SUM(M141:O141)*EO141*(1-'[1]Tier 3 Data'!$A$2))</f>
        <v>0</v>
      </c>
    </row>
    <row r="142" spans="1:146" x14ac:dyDescent="0.2">
      <c r="A142" s="43">
        <v>0</v>
      </c>
      <c r="B142" s="43">
        <v>0</v>
      </c>
      <c r="C142" s="43">
        <v>0</v>
      </c>
      <c r="D142" s="70">
        <v>2019</v>
      </c>
      <c r="E142" s="70">
        <v>3</v>
      </c>
      <c r="F142" s="2">
        <v>743</v>
      </c>
      <c r="G142" s="63"/>
      <c r="H142" s="63"/>
      <c r="I142" s="63"/>
      <c r="J142" s="133">
        <f t="shared" si="124"/>
        <v>0</v>
      </c>
      <c r="K142" s="65">
        <v>0</v>
      </c>
      <c r="L142" s="133">
        <f t="shared" si="125"/>
        <v>0</v>
      </c>
      <c r="M142" s="63"/>
      <c r="N142" s="63"/>
      <c r="O142" s="63"/>
      <c r="P142" s="200">
        <f t="shared" si="115"/>
        <v>0</v>
      </c>
      <c r="Q142" s="200">
        <f t="shared" si="116"/>
        <v>0</v>
      </c>
      <c r="R142" s="200">
        <f t="shared" si="117"/>
        <v>0</v>
      </c>
      <c r="S142" s="133">
        <f t="shared" si="118"/>
        <v>0</v>
      </c>
      <c r="T142" s="133">
        <f t="shared" si="119"/>
        <v>0</v>
      </c>
      <c r="U142" s="133">
        <f t="shared" si="120"/>
        <v>0</v>
      </c>
      <c r="V142" s="200">
        <f t="shared" si="121"/>
        <v>0</v>
      </c>
      <c r="W142" s="200">
        <f t="shared" si="122"/>
        <v>0</v>
      </c>
      <c r="X142" s="200">
        <f t="shared" si="123"/>
        <v>0</v>
      </c>
      <c r="Y142" s="63"/>
      <c r="Z142" s="63"/>
      <c r="AA142" s="63"/>
      <c r="AB142" s="200">
        <f t="shared" si="137"/>
        <v>0</v>
      </c>
      <c r="AC142" s="200">
        <f t="shared" si="138"/>
        <v>0</v>
      </c>
      <c r="AD142" s="200">
        <f t="shared" si="139"/>
        <v>0</v>
      </c>
      <c r="AE142" s="199">
        <f t="shared" si="140"/>
        <v>0</v>
      </c>
      <c r="AF142" s="199">
        <f t="shared" si="141"/>
        <v>0</v>
      </c>
      <c r="AG142" s="199">
        <f t="shared" si="142"/>
        <v>0</v>
      </c>
      <c r="AH142" s="199"/>
      <c r="AI142" s="200">
        <f t="shared" si="143"/>
        <v>0</v>
      </c>
      <c r="AJ142" s="200">
        <f t="shared" si="144"/>
        <v>0</v>
      </c>
      <c r="AK142" s="200">
        <f t="shared" si="145"/>
        <v>0</v>
      </c>
      <c r="AL142" s="63"/>
      <c r="AM142" s="63"/>
      <c r="AN142" s="63"/>
      <c r="AO142" s="63"/>
      <c r="AP142" s="63"/>
      <c r="AQ142" s="10">
        <v>8432</v>
      </c>
      <c r="AR142" s="18"/>
      <c r="AS142" s="18"/>
      <c r="AT142" s="62"/>
      <c r="AU142" s="65">
        <v>84.507999999999996</v>
      </c>
      <c r="AV142" s="65">
        <v>2974.4580000000001</v>
      </c>
      <c r="AW142" s="65">
        <v>3.6918695652173916</v>
      </c>
      <c r="AX142" s="65">
        <v>6.4586956521739127</v>
      </c>
      <c r="AY142" s="65">
        <v>1250.3090469600002</v>
      </c>
      <c r="AZ142" s="1">
        <v>220.90964543195651</v>
      </c>
      <c r="BA142" s="65">
        <v>1510.1699180000001</v>
      </c>
      <c r="BB142" s="65">
        <v>2000.0150000000001</v>
      </c>
      <c r="BC142" s="63"/>
      <c r="BD142" s="63"/>
      <c r="BE142" s="63"/>
      <c r="BF142" s="63"/>
      <c r="BG142" s="63"/>
      <c r="BH142" s="63"/>
      <c r="BI142" s="63"/>
      <c r="BJ142" s="63"/>
      <c r="BK142" s="63"/>
      <c r="BL142" s="63"/>
      <c r="BM142" s="63"/>
      <c r="BN142" s="63"/>
      <c r="BO142" s="63"/>
      <c r="BP142" s="10">
        <v>1984</v>
      </c>
      <c r="BQ142" s="65">
        <v>146.23832529374999</v>
      </c>
      <c r="BR142" s="65">
        <v>191.06509242441467</v>
      </c>
      <c r="BS142" s="65">
        <v>691.36168945599957</v>
      </c>
      <c r="BT142" s="5"/>
      <c r="BU142" s="5"/>
      <c r="BV142" s="144">
        <f t="shared" si="134"/>
        <v>0</v>
      </c>
      <c r="BW142" s="144">
        <f t="shared" si="135"/>
        <v>0</v>
      </c>
      <c r="BX142" s="144">
        <f t="shared" si="136"/>
        <v>0</v>
      </c>
      <c r="BY142" s="5"/>
      <c r="BZ142" s="66">
        <v>7244.25</v>
      </c>
      <c r="CA142" s="65">
        <v>3715</v>
      </c>
      <c r="CB142" s="65">
        <f>5*743</f>
        <v>3715</v>
      </c>
      <c r="CC142" s="5"/>
      <c r="CD142" s="188">
        <v>12.840266038266321</v>
      </c>
      <c r="CE142" s="5"/>
      <c r="CF142" s="65"/>
      <c r="CG142" s="70"/>
      <c r="CH142" s="70"/>
      <c r="CI142" s="70"/>
      <c r="CJ142" s="65">
        <v>2000.0150000000001</v>
      </c>
      <c r="CK142" s="8">
        <f t="shared" si="86"/>
        <v>34182.275548821774</v>
      </c>
      <c r="CL142" s="202">
        <f t="shared" si="60"/>
        <v>-34182.275548821774</v>
      </c>
      <c r="CM142" s="202">
        <f t="shared" si="61"/>
        <v>-34182.275548821774</v>
      </c>
      <c r="CN142" s="202">
        <f t="shared" si="62"/>
        <v>-34182.275548821774</v>
      </c>
      <c r="CO142" s="9">
        <f t="shared" si="63"/>
        <v>-34182.275548821774</v>
      </c>
      <c r="CP142" s="9">
        <f t="shared" si="64"/>
        <v>-34182.275548821774</v>
      </c>
      <c r="CQ142" s="9">
        <f t="shared" si="65"/>
        <v>-34182.275548821774</v>
      </c>
      <c r="CR142" s="202">
        <f t="shared" si="66"/>
        <v>-34182.275548821774</v>
      </c>
      <c r="CS142" s="202">
        <f t="shared" si="67"/>
        <v>-34182.275548821774</v>
      </c>
      <c r="CT142" s="202">
        <f t="shared" si="68"/>
        <v>-34182.275548821774</v>
      </c>
      <c r="CU142" s="203" t="e">
        <f t="shared" si="69"/>
        <v>#DIV/0!</v>
      </c>
      <c r="CV142" s="203" t="e">
        <f t="shared" si="70"/>
        <v>#DIV/0!</v>
      </c>
      <c r="CW142" s="203" t="e">
        <f t="shared" si="71"/>
        <v>#DIV/0!</v>
      </c>
      <c r="CX142" s="19" t="e">
        <f t="shared" si="72"/>
        <v>#DIV/0!</v>
      </c>
      <c r="CY142" s="19" t="e">
        <f t="shared" si="73"/>
        <v>#DIV/0!</v>
      </c>
      <c r="CZ142" s="19" t="e">
        <f t="shared" si="74"/>
        <v>#DIV/0!</v>
      </c>
      <c r="DA142" s="203" t="e">
        <f t="shared" si="75"/>
        <v>#DIV/0!</v>
      </c>
      <c r="DB142" s="203" t="e">
        <f t="shared" si="76"/>
        <v>#DIV/0!</v>
      </c>
      <c r="DC142" s="203" t="e">
        <f t="shared" si="77"/>
        <v>#DIV/0!</v>
      </c>
      <c r="DD142" s="65"/>
      <c r="DE142" s="66"/>
      <c r="DF142" s="66"/>
      <c r="DG142" s="66"/>
      <c r="DH142" s="66"/>
      <c r="DI142" s="66"/>
      <c r="DJ142" s="65"/>
      <c r="DK142" s="66"/>
      <c r="DL142" s="66"/>
      <c r="DM142" s="8">
        <f t="shared" si="78"/>
        <v>0</v>
      </c>
      <c r="DN142" s="8">
        <f t="shared" si="79"/>
        <v>34182.275548821774</v>
      </c>
      <c r="DO142" s="202">
        <f t="shared" si="99"/>
        <v>-34182.275548821774</v>
      </c>
      <c r="DP142" s="202">
        <f t="shared" si="100"/>
        <v>-34182.275548821774</v>
      </c>
      <c r="DQ142" s="202">
        <f t="shared" si="101"/>
        <v>-34182.275548821774</v>
      </c>
      <c r="DR142" s="9">
        <f t="shared" si="102"/>
        <v>-34182.275548821774</v>
      </c>
      <c r="DS142" s="9">
        <f t="shared" si="91"/>
        <v>-34182.275548821774</v>
      </c>
      <c r="DT142" s="9">
        <f t="shared" si="103"/>
        <v>-34182.275548821774</v>
      </c>
      <c r="DU142" s="202">
        <f t="shared" si="104"/>
        <v>-34182.275548821774</v>
      </c>
      <c r="DV142" s="202">
        <f t="shared" si="105"/>
        <v>-34182.275548821774</v>
      </c>
      <c r="DW142" s="202">
        <f t="shared" si="106"/>
        <v>-34182.275548821774</v>
      </c>
      <c r="DX142" s="203" t="e">
        <f t="shared" si="107"/>
        <v>#DIV/0!</v>
      </c>
      <c r="DY142" s="203" t="e">
        <f t="shared" si="108"/>
        <v>#DIV/0!</v>
      </c>
      <c r="DZ142" s="203" t="e">
        <f t="shared" si="109"/>
        <v>#DIV/0!</v>
      </c>
      <c r="EA142" s="19" t="e">
        <f t="shared" si="110"/>
        <v>#DIV/0!</v>
      </c>
      <c r="EB142" s="19" t="e">
        <f t="shared" si="97"/>
        <v>#DIV/0!</v>
      </c>
      <c r="EC142" s="19" t="e">
        <f t="shared" si="111"/>
        <v>#DIV/0!</v>
      </c>
      <c r="ED142" s="203" t="e">
        <f t="shared" si="112"/>
        <v>#DIV/0!</v>
      </c>
      <c r="EE142" s="203" t="e">
        <f t="shared" si="113"/>
        <v>#DIV/0!</v>
      </c>
      <c r="EF142" s="203" t="e">
        <f t="shared" si="114"/>
        <v>#DIV/0!</v>
      </c>
      <c r="EH142" s="58">
        <f t="shared" si="127"/>
        <v>26729.284717566123</v>
      </c>
      <c r="EI142" s="68" t="e">
        <f t="shared" si="128"/>
        <v>#DIV/0!</v>
      </c>
      <c r="EJ142" s="58">
        <f t="shared" si="129"/>
        <v>19485.034717566123</v>
      </c>
      <c r="EK142" s="68" t="e">
        <f t="shared" si="128"/>
        <v>#DIV/0!</v>
      </c>
      <c r="EL142" s="58">
        <f t="shared" si="130"/>
        <v>1028.6651071741642</v>
      </c>
      <c r="EM142" s="58">
        <f t="shared" si="131"/>
        <v>1028.6651071741642</v>
      </c>
      <c r="EN142" s="68" t="e">
        <f t="shared" si="132"/>
        <v>#DIV/0!</v>
      </c>
      <c r="EO142" s="138">
        <v>0.32861286969700848</v>
      </c>
      <c r="EP142">
        <f>+(SUM(M142:O142)*EO142*(1-'[1]Tier 3 Data'!$A$2))</f>
        <v>0</v>
      </c>
    </row>
    <row r="143" spans="1:146" x14ac:dyDescent="0.2">
      <c r="A143" s="43">
        <v>0</v>
      </c>
      <c r="B143" s="43">
        <v>0</v>
      </c>
      <c r="C143" s="43">
        <v>0</v>
      </c>
      <c r="D143" s="70">
        <v>2019</v>
      </c>
      <c r="E143" s="70">
        <v>4</v>
      </c>
      <c r="F143" s="2">
        <v>720</v>
      </c>
      <c r="G143" s="63"/>
      <c r="H143" s="63"/>
      <c r="I143" s="63"/>
      <c r="J143" s="133">
        <f t="shared" si="124"/>
        <v>0</v>
      </c>
      <c r="K143" s="65">
        <v>0</v>
      </c>
      <c r="L143" s="133">
        <f t="shared" si="125"/>
        <v>0</v>
      </c>
      <c r="M143" s="63"/>
      <c r="N143" s="63"/>
      <c r="O143" s="63"/>
      <c r="P143" s="200">
        <f t="shared" si="115"/>
        <v>0</v>
      </c>
      <c r="Q143" s="200">
        <f t="shared" si="116"/>
        <v>0</v>
      </c>
      <c r="R143" s="200">
        <f t="shared" si="117"/>
        <v>0</v>
      </c>
      <c r="S143" s="133">
        <f t="shared" si="118"/>
        <v>0</v>
      </c>
      <c r="T143" s="133">
        <f t="shared" si="119"/>
        <v>0</v>
      </c>
      <c r="U143" s="133">
        <f t="shared" si="120"/>
        <v>0</v>
      </c>
      <c r="V143" s="200">
        <f t="shared" si="121"/>
        <v>0</v>
      </c>
      <c r="W143" s="200">
        <f t="shared" si="122"/>
        <v>0</v>
      </c>
      <c r="X143" s="200">
        <f t="shared" si="123"/>
        <v>0</v>
      </c>
      <c r="Y143" s="63"/>
      <c r="Z143" s="63"/>
      <c r="AA143" s="63"/>
      <c r="AB143" s="200">
        <f t="shared" si="137"/>
        <v>0</v>
      </c>
      <c r="AC143" s="200">
        <f t="shared" si="138"/>
        <v>0</v>
      </c>
      <c r="AD143" s="200">
        <f t="shared" si="139"/>
        <v>0</v>
      </c>
      <c r="AE143" s="199">
        <f t="shared" si="140"/>
        <v>0</v>
      </c>
      <c r="AF143" s="199">
        <f t="shared" si="141"/>
        <v>0</v>
      </c>
      <c r="AG143" s="199">
        <f t="shared" si="142"/>
        <v>0</v>
      </c>
      <c r="AH143" s="199"/>
      <c r="AI143" s="200">
        <f t="shared" si="143"/>
        <v>0</v>
      </c>
      <c r="AJ143" s="200">
        <f t="shared" si="144"/>
        <v>0</v>
      </c>
      <c r="AK143" s="200">
        <f t="shared" si="145"/>
        <v>0</v>
      </c>
      <c r="AL143" s="63"/>
      <c r="AM143" s="63"/>
      <c r="AN143" s="63"/>
      <c r="AO143" s="63"/>
      <c r="AP143" s="63"/>
      <c r="AQ143" s="10">
        <v>8160</v>
      </c>
      <c r="AR143" s="18"/>
      <c r="AS143" s="18"/>
      <c r="AT143" s="62"/>
      <c r="AU143" s="65">
        <v>62.503</v>
      </c>
      <c r="AV143" s="65">
        <v>2686.1840000000002</v>
      </c>
      <c r="AW143" s="65">
        <v>4.4116521739130432</v>
      </c>
      <c r="AX143" s="65">
        <v>10.08804347826087</v>
      </c>
      <c r="AY143" s="65">
        <v>1119.0640708799999</v>
      </c>
      <c r="AZ143" s="1">
        <v>233.25830879021743</v>
      </c>
      <c r="BA143" s="65">
        <v>1381.124</v>
      </c>
      <c r="BB143" s="65">
        <v>1791.183</v>
      </c>
      <c r="BC143" s="63"/>
      <c r="BD143" s="63"/>
      <c r="BE143" s="63"/>
      <c r="BF143" s="63"/>
      <c r="BG143" s="63"/>
      <c r="BH143" s="63"/>
      <c r="BI143" s="63"/>
      <c r="BJ143" s="63"/>
      <c r="BK143" s="63"/>
      <c r="BL143" s="63"/>
      <c r="BM143" s="63"/>
      <c r="BN143" s="63"/>
      <c r="BO143" s="63"/>
      <c r="BP143" s="10">
        <v>1920</v>
      </c>
      <c r="BQ143" s="65">
        <v>156.16298559765625</v>
      </c>
      <c r="BR143" s="65">
        <v>204.03202411764443</v>
      </c>
      <c r="BS143" s="65">
        <v>738.28203165592947</v>
      </c>
      <c r="BT143" s="5"/>
      <c r="BU143" s="5"/>
      <c r="BV143" s="144">
        <f t="shared" si="134"/>
        <v>0</v>
      </c>
      <c r="BW143" s="144">
        <f t="shared" si="135"/>
        <v>0</v>
      </c>
      <c r="BX143" s="144">
        <f t="shared" si="136"/>
        <v>0</v>
      </c>
      <c r="BY143" s="5"/>
      <c r="BZ143" s="66">
        <v>7020</v>
      </c>
      <c r="CA143" s="65">
        <v>3600</v>
      </c>
      <c r="CB143" s="65">
        <f>5*720</f>
        <v>3600</v>
      </c>
      <c r="CC143" s="5"/>
      <c r="CD143" s="188">
        <v>4.0322016730503254</v>
      </c>
      <c r="CE143" s="5"/>
      <c r="CF143" s="65"/>
      <c r="CG143" s="70"/>
      <c r="CH143" s="70"/>
      <c r="CI143" s="70"/>
      <c r="CJ143" s="65">
        <v>1791.183</v>
      </c>
      <c r="CK143" s="8">
        <f t="shared" si="86"/>
        <v>32690.325318366675</v>
      </c>
      <c r="CL143" s="202">
        <f t="shared" si="60"/>
        <v>-32690.325318366675</v>
      </c>
      <c r="CM143" s="202">
        <f t="shared" si="61"/>
        <v>-32690.325318366675</v>
      </c>
      <c r="CN143" s="202">
        <f t="shared" si="62"/>
        <v>-32690.325318366675</v>
      </c>
      <c r="CO143" s="9">
        <f t="shared" si="63"/>
        <v>-32690.325318366675</v>
      </c>
      <c r="CP143" s="9">
        <f t="shared" si="64"/>
        <v>-32690.325318366675</v>
      </c>
      <c r="CQ143" s="9">
        <f t="shared" si="65"/>
        <v>-32690.325318366675</v>
      </c>
      <c r="CR143" s="202">
        <f t="shared" si="66"/>
        <v>-32690.325318366675</v>
      </c>
      <c r="CS143" s="202">
        <f t="shared" si="67"/>
        <v>-32690.325318366675</v>
      </c>
      <c r="CT143" s="202">
        <f t="shared" si="68"/>
        <v>-32690.325318366675</v>
      </c>
      <c r="CU143" s="203" t="e">
        <f t="shared" si="69"/>
        <v>#DIV/0!</v>
      </c>
      <c r="CV143" s="203" t="e">
        <f t="shared" si="70"/>
        <v>#DIV/0!</v>
      </c>
      <c r="CW143" s="203" t="e">
        <f t="shared" si="71"/>
        <v>#DIV/0!</v>
      </c>
      <c r="CX143" s="19" t="e">
        <f t="shared" si="72"/>
        <v>#DIV/0!</v>
      </c>
      <c r="CY143" s="19" t="e">
        <f t="shared" si="73"/>
        <v>#DIV/0!</v>
      </c>
      <c r="CZ143" s="19" t="e">
        <f t="shared" si="74"/>
        <v>#DIV/0!</v>
      </c>
      <c r="DA143" s="203" t="e">
        <f t="shared" si="75"/>
        <v>#DIV/0!</v>
      </c>
      <c r="DB143" s="203" t="e">
        <f t="shared" si="76"/>
        <v>#DIV/0!</v>
      </c>
      <c r="DC143" s="203" t="e">
        <f t="shared" si="77"/>
        <v>#DIV/0!</v>
      </c>
      <c r="DD143" s="65"/>
      <c r="DE143" s="66"/>
      <c r="DF143" s="66"/>
      <c r="DG143" s="66"/>
      <c r="DH143" s="66"/>
      <c r="DI143" s="66"/>
      <c r="DJ143" s="65"/>
      <c r="DK143" s="66"/>
      <c r="DL143" s="66"/>
      <c r="DM143" s="8">
        <f t="shared" si="78"/>
        <v>0</v>
      </c>
      <c r="DN143" s="8">
        <f t="shared" si="79"/>
        <v>32690.325318366675</v>
      </c>
      <c r="DO143" s="202">
        <f t="shared" si="99"/>
        <v>-32690.325318366675</v>
      </c>
      <c r="DP143" s="202">
        <f t="shared" si="100"/>
        <v>-32690.325318366675</v>
      </c>
      <c r="DQ143" s="202">
        <f t="shared" si="101"/>
        <v>-32690.325318366675</v>
      </c>
      <c r="DR143" s="9">
        <f t="shared" si="102"/>
        <v>-32690.325318366675</v>
      </c>
      <c r="DS143" s="9">
        <f t="shared" si="91"/>
        <v>-32690.325318366675</v>
      </c>
      <c r="DT143" s="9">
        <f t="shared" si="103"/>
        <v>-32690.325318366675</v>
      </c>
      <c r="DU143" s="202">
        <f t="shared" si="104"/>
        <v>-32690.325318366675</v>
      </c>
      <c r="DV143" s="202">
        <f t="shared" si="105"/>
        <v>-32690.325318366675</v>
      </c>
      <c r="DW143" s="202">
        <f t="shared" si="106"/>
        <v>-32690.325318366675</v>
      </c>
      <c r="DX143" s="203" t="e">
        <f t="shared" si="107"/>
        <v>#DIV/0!</v>
      </c>
      <c r="DY143" s="203" t="e">
        <f t="shared" si="108"/>
        <v>#DIV/0!</v>
      </c>
      <c r="DZ143" s="203" t="e">
        <f t="shared" si="109"/>
        <v>#DIV/0!</v>
      </c>
      <c r="EA143" s="19" t="e">
        <f t="shared" si="110"/>
        <v>#DIV/0!</v>
      </c>
      <c r="EB143" s="19" t="e">
        <f t="shared" si="97"/>
        <v>#DIV/0!</v>
      </c>
      <c r="EC143" s="19" t="e">
        <f t="shared" si="111"/>
        <v>#DIV/0!</v>
      </c>
      <c r="ED143" s="203" t="e">
        <f t="shared" si="112"/>
        <v>#DIV/0!</v>
      </c>
      <c r="EE143" s="203" t="e">
        <f t="shared" si="113"/>
        <v>#DIV/0!</v>
      </c>
      <c r="EF143" s="203" t="e">
        <f t="shared" si="114"/>
        <v>#DIV/0!</v>
      </c>
      <c r="EH143" s="58">
        <f t="shared" si="127"/>
        <v>25471.79342104145</v>
      </c>
      <c r="EI143" s="68" t="e">
        <f t="shared" si="128"/>
        <v>#DIV/0!</v>
      </c>
      <c r="EJ143" s="58">
        <f t="shared" si="129"/>
        <v>18451.79342104145</v>
      </c>
      <c r="EK143" s="68" t="e">
        <f t="shared" si="128"/>
        <v>#DIV/0!</v>
      </c>
      <c r="EL143" s="58">
        <f t="shared" si="130"/>
        <v>1098.4770413712301</v>
      </c>
      <c r="EM143" s="58">
        <f t="shared" si="131"/>
        <v>1098.4770413712301</v>
      </c>
      <c r="EN143" s="68" t="e">
        <f t="shared" si="132"/>
        <v>#DIV/0!</v>
      </c>
      <c r="EO143" s="138">
        <v>0.35351678044029999</v>
      </c>
      <c r="EP143">
        <f>+(SUM(M143:O143)*EO143*(1-'[1]Tier 3 Data'!$A$2))</f>
        <v>0</v>
      </c>
    </row>
    <row r="144" spans="1:146" x14ac:dyDescent="0.2">
      <c r="A144" s="43">
        <v>0</v>
      </c>
      <c r="B144" s="43">
        <v>0</v>
      </c>
      <c r="C144" s="43">
        <v>0</v>
      </c>
      <c r="D144" s="70">
        <v>2019</v>
      </c>
      <c r="E144" s="70">
        <v>5</v>
      </c>
      <c r="F144" s="2">
        <v>744</v>
      </c>
      <c r="G144" s="63"/>
      <c r="H144" s="63"/>
      <c r="I144" s="63"/>
      <c r="J144" s="133">
        <f t="shared" si="124"/>
        <v>0</v>
      </c>
      <c r="K144" s="65">
        <v>0</v>
      </c>
      <c r="L144" s="133">
        <f t="shared" si="125"/>
        <v>0</v>
      </c>
      <c r="M144" s="63"/>
      <c r="N144" s="63"/>
      <c r="O144" s="63"/>
      <c r="P144" s="200">
        <f t="shared" si="115"/>
        <v>0</v>
      </c>
      <c r="Q144" s="200">
        <f t="shared" si="116"/>
        <v>0</v>
      </c>
      <c r="R144" s="200">
        <f t="shared" si="117"/>
        <v>0</v>
      </c>
      <c r="S144" s="133">
        <f t="shared" si="118"/>
        <v>0</v>
      </c>
      <c r="T144" s="133">
        <f t="shared" si="119"/>
        <v>0</v>
      </c>
      <c r="U144" s="133">
        <f t="shared" si="120"/>
        <v>0</v>
      </c>
      <c r="V144" s="200">
        <f t="shared" si="121"/>
        <v>0</v>
      </c>
      <c r="W144" s="200">
        <f t="shared" si="122"/>
        <v>0</v>
      </c>
      <c r="X144" s="200">
        <f t="shared" si="123"/>
        <v>0</v>
      </c>
      <c r="Y144" s="63"/>
      <c r="Z144" s="63"/>
      <c r="AA144" s="63"/>
      <c r="AB144" s="200">
        <f t="shared" si="137"/>
        <v>0</v>
      </c>
      <c r="AC144" s="200">
        <f t="shared" si="138"/>
        <v>0</v>
      </c>
      <c r="AD144" s="200">
        <f t="shared" si="139"/>
        <v>0</v>
      </c>
      <c r="AE144" s="199">
        <f t="shared" si="140"/>
        <v>0</v>
      </c>
      <c r="AF144" s="199">
        <f t="shared" si="141"/>
        <v>0</v>
      </c>
      <c r="AG144" s="199">
        <f t="shared" si="142"/>
        <v>0</v>
      </c>
      <c r="AH144" s="199"/>
      <c r="AI144" s="200">
        <f t="shared" si="143"/>
        <v>0</v>
      </c>
      <c r="AJ144" s="200">
        <f t="shared" si="144"/>
        <v>0</v>
      </c>
      <c r="AK144" s="200">
        <f t="shared" si="145"/>
        <v>0</v>
      </c>
      <c r="AL144" s="63"/>
      <c r="AM144" s="63"/>
      <c r="AN144" s="63"/>
      <c r="AO144" s="63"/>
      <c r="AP144" s="63"/>
      <c r="AQ144" s="10">
        <v>8432</v>
      </c>
      <c r="AR144" s="18"/>
      <c r="AS144" s="18"/>
      <c r="AT144" s="62"/>
      <c r="AU144" s="65">
        <v>71.867000000000004</v>
      </c>
      <c r="AV144" s="65">
        <v>2913.3649999999998</v>
      </c>
      <c r="AW144" s="65">
        <v>3.5895652173913044</v>
      </c>
      <c r="AX144" s="65">
        <v>10.504608695652173</v>
      </c>
      <c r="AY144" s="65">
        <v>654.89368060800007</v>
      </c>
      <c r="AZ144" s="1">
        <v>240.31326405130434</v>
      </c>
      <c r="BA144" s="65">
        <v>2152.7570000000001</v>
      </c>
      <c r="BB144" s="65">
        <v>1874.778</v>
      </c>
      <c r="BC144" s="63"/>
      <c r="BD144" s="63"/>
      <c r="BE144" s="63"/>
      <c r="BF144" s="63"/>
      <c r="BG144" s="63"/>
      <c r="BH144" s="63"/>
      <c r="BI144" s="63"/>
      <c r="BJ144" s="63"/>
      <c r="BK144" s="63"/>
      <c r="BL144" s="63"/>
      <c r="BM144" s="63"/>
      <c r="BN144" s="63"/>
      <c r="BO144" s="63"/>
      <c r="BP144" s="10">
        <v>1984</v>
      </c>
      <c r="BQ144" s="65">
        <v>179.84529627695312</v>
      </c>
      <c r="BR144" s="65">
        <v>234.97370881588955</v>
      </c>
      <c r="BS144" s="65">
        <v>850.24332957738477</v>
      </c>
      <c r="BT144" s="5"/>
      <c r="BU144" s="5"/>
      <c r="BV144" s="144">
        <f t="shared" si="134"/>
        <v>0</v>
      </c>
      <c r="BW144" s="144">
        <f t="shared" si="135"/>
        <v>0</v>
      </c>
      <c r="BX144" s="144">
        <f t="shared" si="136"/>
        <v>0</v>
      </c>
      <c r="BY144" s="5"/>
      <c r="BZ144" s="66">
        <v>7254</v>
      </c>
      <c r="CA144" s="65">
        <v>3720</v>
      </c>
      <c r="CB144" s="65">
        <f>5*744</f>
        <v>3720</v>
      </c>
      <c r="CC144" s="5"/>
      <c r="CD144" s="188">
        <v>7.418703339418351</v>
      </c>
      <c r="CE144" s="5"/>
      <c r="CF144" s="65"/>
      <c r="CG144" s="70"/>
      <c r="CH144" s="70"/>
      <c r="CI144" s="70"/>
      <c r="CJ144" s="65">
        <v>1874.778</v>
      </c>
      <c r="CK144" s="8">
        <f t="shared" si="86"/>
        <v>34304.54915658199</v>
      </c>
      <c r="CL144" s="202">
        <f t="shared" si="60"/>
        <v>-34304.54915658199</v>
      </c>
      <c r="CM144" s="202">
        <f t="shared" si="61"/>
        <v>-34304.54915658199</v>
      </c>
      <c r="CN144" s="202">
        <f t="shared" si="62"/>
        <v>-34304.54915658199</v>
      </c>
      <c r="CO144" s="9">
        <f t="shared" si="63"/>
        <v>-34304.54915658199</v>
      </c>
      <c r="CP144" s="9">
        <f t="shared" si="64"/>
        <v>-34304.54915658199</v>
      </c>
      <c r="CQ144" s="9">
        <f t="shared" si="65"/>
        <v>-34304.54915658199</v>
      </c>
      <c r="CR144" s="202">
        <f t="shared" si="66"/>
        <v>-34304.54915658199</v>
      </c>
      <c r="CS144" s="202">
        <f t="shared" si="67"/>
        <v>-34304.54915658199</v>
      </c>
      <c r="CT144" s="202">
        <f t="shared" si="68"/>
        <v>-34304.54915658199</v>
      </c>
      <c r="CU144" s="203" t="e">
        <f t="shared" si="69"/>
        <v>#DIV/0!</v>
      </c>
      <c r="CV144" s="203" t="e">
        <f t="shared" si="70"/>
        <v>#DIV/0!</v>
      </c>
      <c r="CW144" s="203" t="e">
        <f t="shared" si="71"/>
        <v>#DIV/0!</v>
      </c>
      <c r="CX144" s="19" t="e">
        <f t="shared" si="72"/>
        <v>#DIV/0!</v>
      </c>
      <c r="CY144" s="19" t="e">
        <f t="shared" si="73"/>
        <v>#DIV/0!</v>
      </c>
      <c r="CZ144" s="19" t="e">
        <f t="shared" si="74"/>
        <v>#DIV/0!</v>
      </c>
      <c r="DA144" s="203" t="e">
        <f t="shared" si="75"/>
        <v>#DIV/0!</v>
      </c>
      <c r="DB144" s="203" t="e">
        <f t="shared" si="76"/>
        <v>#DIV/0!</v>
      </c>
      <c r="DC144" s="203" t="e">
        <f t="shared" si="77"/>
        <v>#DIV/0!</v>
      </c>
      <c r="DD144" s="65"/>
      <c r="DE144" s="66"/>
      <c r="DF144" s="66"/>
      <c r="DG144" s="66"/>
      <c r="DH144" s="66"/>
      <c r="DI144" s="66"/>
      <c r="DJ144" s="65"/>
      <c r="DK144" s="66"/>
      <c r="DL144" s="66"/>
      <c r="DM144" s="8">
        <f t="shared" si="78"/>
        <v>0</v>
      </c>
      <c r="DN144" s="8">
        <f t="shared" si="79"/>
        <v>34304.54915658199</v>
      </c>
      <c r="DO144" s="202">
        <f t="shared" si="99"/>
        <v>-34304.54915658199</v>
      </c>
      <c r="DP144" s="202">
        <f t="shared" si="100"/>
        <v>-34304.54915658199</v>
      </c>
      <c r="DQ144" s="202">
        <f t="shared" si="101"/>
        <v>-34304.54915658199</v>
      </c>
      <c r="DR144" s="9">
        <f t="shared" si="102"/>
        <v>-34304.54915658199</v>
      </c>
      <c r="DS144" s="9">
        <f t="shared" si="91"/>
        <v>-34304.54915658199</v>
      </c>
      <c r="DT144" s="9">
        <f t="shared" si="103"/>
        <v>-34304.54915658199</v>
      </c>
      <c r="DU144" s="202">
        <f t="shared" si="104"/>
        <v>-34304.54915658199</v>
      </c>
      <c r="DV144" s="202">
        <f t="shared" si="105"/>
        <v>-34304.54915658199</v>
      </c>
      <c r="DW144" s="202">
        <f t="shared" si="106"/>
        <v>-34304.54915658199</v>
      </c>
      <c r="DX144" s="203" t="e">
        <f t="shared" si="107"/>
        <v>#DIV/0!</v>
      </c>
      <c r="DY144" s="203" t="e">
        <f t="shared" si="108"/>
        <v>#DIV/0!</v>
      </c>
      <c r="DZ144" s="203" t="e">
        <f t="shared" si="109"/>
        <v>#DIV/0!</v>
      </c>
      <c r="EA144" s="19" t="e">
        <f t="shared" si="110"/>
        <v>#DIV/0!</v>
      </c>
      <c r="EB144" s="19" t="e">
        <f t="shared" si="97"/>
        <v>#DIV/0!</v>
      </c>
      <c r="EC144" s="19" t="e">
        <f t="shared" si="111"/>
        <v>#DIV/0!</v>
      </c>
      <c r="ED144" s="203" t="e">
        <f t="shared" si="112"/>
        <v>#DIV/0!</v>
      </c>
      <c r="EE144" s="203" t="e">
        <f t="shared" si="113"/>
        <v>#DIV/0!</v>
      </c>
      <c r="EF144" s="203" t="e">
        <f t="shared" si="114"/>
        <v>#DIV/0!</v>
      </c>
      <c r="EH144" s="58">
        <f t="shared" si="127"/>
        <v>26843.036279329532</v>
      </c>
      <c r="EI144" s="68" t="e">
        <f t="shared" si="128"/>
        <v>#DIV/0!</v>
      </c>
      <c r="EJ144" s="58">
        <f t="shared" si="129"/>
        <v>19589.036279329532</v>
      </c>
      <c r="EK144" s="68" t="e">
        <f t="shared" si="128"/>
        <v>#DIV/0!</v>
      </c>
      <c r="EL144" s="58">
        <f t="shared" si="130"/>
        <v>1265.0623346702273</v>
      </c>
      <c r="EM144" s="58">
        <f t="shared" si="131"/>
        <v>1265.0623346702273</v>
      </c>
      <c r="EN144" s="68" t="e">
        <f t="shared" si="132"/>
        <v>#DIV/0!</v>
      </c>
      <c r="EO144" s="138">
        <v>0.28868615856523006</v>
      </c>
      <c r="EP144">
        <f>+(SUM(M144:O144)*EO144*(1-'[1]Tier 3 Data'!$A$2))</f>
        <v>0</v>
      </c>
    </row>
    <row r="145" spans="1:146" x14ac:dyDescent="0.2">
      <c r="A145" s="43">
        <v>0</v>
      </c>
      <c r="B145" s="43">
        <v>0</v>
      </c>
      <c r="C145" s="43">
        <v>0</v>
      </c>
      <c r="D145" s="70">
        <v>2019</v>
      </c>
      <c r="E145" s="70">
        <v>6</v>
      </c>
      <c r="F145" s="2">
        <v>720</v>
      </c>
      <c r="G145" s="63"/>
      <c r="H145" s="63"/>
      <c r="I145" s="63"/>
      <c r="J145" s="133">
        <f t="shared" si="124"/>
        <v>0</v>
      </c>
      <c r="K145" s="65">
        <v>0</v>
      </c>
      <c r="L145" s="133">
        <f t="shared" si="125"/>
        <v>0</v>
      </c>
      <c r="M145" s="63"/>
      <c r="N145" s="63"/>
      <c r="O145" s="63"/>
      <c r="P145" s="200">
        <f t="shared" si="115"/>
        <v>0</v>
      </c>
      <c r="Q145" s="200">
        <f t="shared" si="116"/>
        <v>0</v>
      </c>
      <c r="R145" s="200">
        <f t="shared" si="117"/>
        <v>0</v>
      </c>
      <c r="S145" s="133">
        <f t="shared" si="118"/>
        <v>0</v>
      </c>
      <c r="T145" s="133">
        <f t="shared" si="119"/>
        <v>0</v>
      </c>
      <c r="U145" s="133">
        <f t="shared" si="120"/>
        <v>0</v>
      </c>
      <c r="V145" s="200">
        <f t="shared" si="121"/>
        <v>0</v>
      </c>
      <c r="W145" s="200">
        <f t="shared" si="122"/>
        <v>0</v>
      </c>
      <c r="X145" s="200">
        <f t="shared" si="123"/>
        <v>0</v>
      </c>
      <c r="Y145" s="63"/>
      <c r="Z145" s="63"/>
      <c r="AA145" s="63"/>
      <c r="AB145" s="200">
        <f t="shared" si="137"/>
        <v>0</v>
      </c>
      <c r="AC145" s="200">
        <f t="shared" si="138"/>
        <v>0</v>
      </c>
      <c r="AD145" s="200">
        <f t="shared" si="139"/>
        <v>0</v>
      </c>
      <c r="AE145" s="199">
        <f t="shared" si="140"/>
        <v>0</v>
      </c>
      <c r="AF145" s="199">
        <f t="shared" si="141"/>
        <v>0</v>
      </c>
      <c r="AG145" s="199">
        <f t="shared" si="142"/>
        <v>0</v>
      </c>
      <c r="AH145" s="199"/>
      <c r="AI145" s="200">
        <f t="shared" si="143"/>
        <v>0</v>
      </c>
      <c r="AJ145" s="200">
        <f t="shared" si="144"/>
        <v>0</v>
      </c>
      <c r="AK145" s="200">
        <f t="shared" si="145"/>
        <v>0</v>
      </c>
      <c r="AL145" s="63"/>
      <c r="AM145" s="63"/>
      <c r="AN145" s="63"/>
      <c r="AO145" s="63"/>
      <c r="AP145" s="63"/>
      <c r="AQ145" s="10">
        <v>8160</v>
      </c>
      <c r="AR145" s="18"/>
      <c r="AS145" s="18"/>
      <c r="AT145" s="62"/>
      <c r="AU145" s="65">
        <v>73.271000000000001</v>
      </c>
      <c r="AV145" s="65">
        <v>2797.6709999999998</v>
      </c>
      <c r="AW145" s="65">
        <v>3.0868695652173916</v>
      </c>
      <c r="AX145" s="65">
        <v>6.8705217391304352</v>
      </c>
      <c r="AY145" s="65">
        <v>1186.4564243999998</v>
      </c>
      <c r="AZ145" s="1">
        <v>190.0681222</v>
      </c>
      <c r="BA145" s="65">
        <v>1672.4961049999999</v>
      </c>
      <c r="BB145" s="65">
        <v>1295.4349999999999</v>
      </c>
      <c r="BC145" s="63"/>
      <c r="BD145" s="63"/>
      <c r="BE145" s="63"/>
      <c r="BF145" s="63"/>
      <c r="BG145" s="63"/>
      <c r="BH145" s="63"/>
      <c r="BI145" s="63"/>
      <c r="BJ145" s="63"/>
      <c r="BK145" s="63"/>
      <c r="BL145" s="63"/>
      <c r="BM145" s="63"/>
      <c r="BN145" s="63"/>
      <c r="BO145" s="63"/>
      <c r="BP145" s="10">
        <v>1920</v>
      </c>
      <c r="BQ145" s="65">
        <v>174.8561581042969</v>
      </c>
      <c r="BR145" s="65">
        <v>228.45528010804449</v>
      </c>
      <c r="BS145" s="65">
        <v>826.65664128918468</v>
      </c>
      <c r="BT145" s="5"/>
      <c r="BU145" s="5"/>
      <c r="BV145" s="144">
        <f t="shared" si="134"/>
        <v>0</v>
      </c>
      <c r="BW145" s="144">
        <f t="shared" si="135"/>
        <v>0</v>
      </c>
      <c r="BX145" s="144">
        <f t="shared" si="136"/>
        <v>0</v>
      </c>
      <c r="BY145" s="5"/>
      <c r="BZ145" s="66">
        <v>7020</v>
      </c>
      <c r="CA145" s="65">
        <v>3600</v>
      </c>
      <c r="CB145" s="65">
        <f t="shared" ref="CB145:CB148" si="146">5*720</f>
        <v>3600</v>
      </c>
      <c r="CC145" s="5"/>
      <c r="CD145" s="188">
        <v>8.408846905945861</v>
      </c>
      <c r="CE145" s="5"/>
      <c r="CF145" s="65"/>
      <c r="CG145" s="70"/>
      <c r="CH145" s="70"/>
      <c r="CI145" s="70"/>
      <c r="CJ145" s="65">
        <v>1295.4349999999999</v>
      </c>
      <c r="CK145" s="8">
        <f t="shared" si="86"/>
        <v>32763.731969311819</v>
      </c>
      <c r="CL145" s="202">
        <f t="shared" si="60"/>
        <v>-32763.731969311819</v>
      </c>
      <c r="CM145" s="202">
        <f t="shared" si="61"/>
        <v>-32763.731969311819</v>
      </c>
      <c r="CN145" s="202">
        <f t="shared" si="62"/>
        <v>-32763.731969311819</v>
      </c>
      <c r="CO145" s="9">
        <f t="shared" si="63"/>
        <v>-32763.731969311819</v>
      </c>
      <c r="CP145" s="9">
        <f t="shared" si="64"/>
        <v>-32763.731969311819</v>
      </c>
      <c r="CQ145" s="9">
        <f t="shared" si="65"/>
        <v>-32763.731969311819</v>
      </c>
      <c r="CR145" s="202">
        <f t="shared" si="66"/>
        <v>-32763.731969311819</v>
      </c>
      <c r="CS145" s="202">
        <f t="shared" si="67"/>
        <v>-32763.731969311819</v>
      </c>
      <c r="CT145" s="202">
        <f t="shared" si="68"/>
        <v>-32763.731969311819</v>
      </c>
      <c r="CU145" s="203" t="e">
        <f t="shared" si="69"/>
        <v>#DIV/0!</v>
      </c>
      <c r="CV145" s="203" t="e">
        <f t="shared" si="70"/>
        <v>#DIV/0!</v>
      </c>
      <c r="CW145" s="203" t="e">
        <f t="shared" si="71"/>
        <v>#DIV/0!</v>
      </c>
      <c r="CX145" s="19" t="e">
        <f t="shared" si="72"/>
        <v>#DIV/0!</v>
      </c>
      <c r="CY145" s="19" t="e">
        <f t="shared" si="73"/>
        <v>#DIV/0!</v>
      </c>
      <c r="CZ145" s="19" t="e">
        <f t="shared" si="74"/>
        <v>#DIV/0!</v>
      </c>
      <c r="DA145" s="203" t="e">
        <f t="shared" si="75"/>
        <v>#DIV/0!</v>
      </c>
      <c r="DB145" s="203" t="e">
        <f t="shared" si="76"/>
        <v>#DIV/0!</v>
      </c>
      <c r="DC145" s="203" t="e">
        <f t="shared" si="77"/>
        <v>#DIV/0!</v>
      </c>
      <c r="DD145" s="65"/>
      <c r="DE145" s="66"/>
      <c r="DF145" s="66"/>
      <c r="DG145" s="66"/>
      <c r="DH145" s="66"/>
      <c r="DI145" s="66"/>
      <c r="DJ145" s="65"/>
      <c r="DK145" s="66"/>
      <c r="DL145" s="66"/>
      <c r="DM145" s="8">
        <f t="shared" si="78"/>
        <v>0</v>
      </c>
      <c r="DN145" s="8">
        <f t="shared" si="79"/>
        <v>32763.731969311819</v>
      </c>
      <c r="DO145" s="202">
        <f t="shared" si="99"/>
        <v>-32763.731969311819</v>
      </c>
      <c r="DP145" s="202">
        <f t="shared" si="100"/>
        <v>-32763.731969311819</v>
      </c>
      <c r="DQ145" s="202">
        <f t="shared" si="101"/>
        <v>-32763.731969311819</v>
      </c>
      <c r="DR145" s="9">
        <f t="shared" si="102"/>
        <v>-32763.731969311819</v>
      </c>
      <c r="DS145" s="9">
        <f t="shared" si="91"/>
        <v>-32763.731969311819</v>
      </c>
      <c r="DT145" s="9">
        <f t="shared" si="103"/>
        <v>-32763.731969311819</v>
      </c>
      <c r="DU145" s="202">
        <f t="shared" si="104"/>
        <v>-32763.731969311819</v>
      </c>
      <c r="DV145" s="202">
        <f t="shared" si="105"/>
        <v>-32763.731969311819</v>
      </c>
      <c r="DW145" s="202">
        <f t="shared" si="106"/>
        <v>-32763.731969311819</v>
      </c>
      <c r="DX145" s="203" t="e">
        <f t="shared" si="107"/>
        <v>#DIV/0!</v>
      </c>
      <c r="DY145" s="203" t="e">
        <f t="shared" si="108"/>
        <v>#DIV/0!</v>
      </c>
      <c r="DZ145" s="203" t="e">
        <f t="shared" si="109"/>
        <v>#DIV/0!</v>
      </c>
      <c r="EA145" s="19" t="e">
        <f t="shared" si="110"/>
        <v>#DIV/0!</v>
      </c>
      <c r="EB145" s="19" t="e">
        <f t="shared" si="97"/>
        <v>#DIV/0!</v>
      </c>
      <c r="EC145" s="19" t="e">
        <f t="shared" si="111"/>
        <v>#DIV/0!</v>
      </c>
      <c r="ED145" s="203" t="e">
        <f t="shared" si="112"/>
        <v>#DIV/0!</v>
      </c>
      <c r="EE145" s="203" t="e">
        <f t="shared" si="113"/>
        <v>#DIV/0!</v>
      </c>
      <c r="EF145" s="203" t="e">
        <f t="shared" si="114"/>
        <v>#DIV/0!</v>
      </c>
      <c r="EH145" s="58">
        <f t="shared" si="127"/>
        <v>25545.365731101527</v>
      </c>
      <c r="EI145" s="68" t="e">
        <f t="shared" si="128"/>
        <v>#DIV/0!</v>
      </c>
      <c r="EJ145" s="58">
        <f t="shared" si="129"/>
        <v>18525.365731101527</v>
      </c>
      <c r="EK145" s="68" t="e">
        <f t="shared" si="128"/>
        <v>#DIV/0!</v>
      </c>
      <c r="EL145" s="58">
        <f t="shared" si="130"/>
        <v>1229.9680795015261</v>
      </c>
      <c r="EM145" s="58">
        <f t="shared" si="131"/>
        <v>1229.9680795015261</v>
      </c>
      <c r="EN145" s="68" t="e">
        <f t="shared" si="132"/>
        <v>#DIV/0!</v>
      </c>
      <c r="EO145" s="138">
        <v>0.24029016665052916</v>
      </c>
      <c r="EP145">
        <f>+(SUM(M145:O145)*EO145*(1-'[1]Tier 3 Data'!$A$2))</f>
        <v>0</v>
      </c>
    </row>
    <row r="146" spans="1:146" x14ac:dyDescent="0.2">
      <c r="A146" s="43">
        <v>0</v>
      </c>
      <c r="B146" s="43">
        <v>0</v>
      </c>
      <c r="C146" s="43">
        <v>0</v>
      </c>
      <c r="D146" s="70">
        <v>2019</v>
      </c>
      <c r="E146" s="70">
        <v>7</v>
      </c>
      <c r="F146" s="2">
        <v>744</v>
      </c>
      <c r="G146" s="63"/>
      <c r="H146" s="63"/>
      <c r="I146" s="63"/>
      <c r="J146" s="133">
        <f t="shared" si="124"/>
        <v>0</v>
      </c>
      <c r="K146" s="65">
        <v>0</v>
      </c>
      <c r="L146" s="133">
        <f t="shared" si="125"/>
        <v>0</v>
      </c>
      <c r="M146" s="63"/>
      <c r="N146" s="63"/>
      <c r="O146" s="63"/>
      <c r="P146" s="200">
        <f t="shared" si="115"/>
        <v>0</v>
      </c>
      <c r="Q146" s="200">
        <f t="shared" si="116"/>
        <v>0</v>
      </c>
      <c r="R146" s="200">
        <f t="shared" si="117"/>
        <v>0</v>
      </c>
      <c r="S146" s="133">
        <f t="shared" si="118"/>
        <v>0</v>
      </c>
      <c r="T146" s="133">
        <f t="shared" si="119"/>
        <v>0</v>
      </c>
      <c r="U146" s="133">
        <f t="shared" si="120"/>
        <v>0</v>
      </c>
      <c r="V146" s="200">
        <f t="shared" si="121"/>
        <v>0</v>
      </c>
      <c r="W146" s="200">
        <f t="shared" si="122"/>
        <v>0</v>
      </c>
      <c r="X146" s="200">
        <f t="shared" si="123"/>
        <v>0</v>
      </c>
      <c r="Y146" s="63"/>
      <c r="Z146" s="63"/>
      <c r="AA146" s="63"/>
      <c r="AB146" s="200">
        <f t="shared" si="137"/>
        <v>0</v>
      </c>
      <c r="AC146" s="200">
        <f t="shared" si="138"/>
        <v>0</v>
      </c>
      <c r="AD146" s="200">
        <f t="shared" si="139"/>
        <v>0</v>
      </c>
      <c r="AE146" s="199">
        <f t="shared" si="140"/>
        <v>0</v>
      </c>
      <c r="AF146" s="199">
        <f t="shared" si="141"/>
        <v>0</v>
      </c>
      <c r="AG146" s="199">
        <f t="shared" si="142"/>
        <v>0</v>
      </c>
      <c r="AH146" s="199"/>
      <c r="AI146" s="200">
        <f t="shared" si="143"/>
        <v>0</v>
      </c>
      <c r="AJ146" s="200">
        <f t="shared" si="144"/>
        <v>0</v>
      </c>
      <c r="AK146" s="200">
        <f t="shared" si="145"/>
        <v>0</v>
      </c>
      <c r="AL146" s="63"/>
      <c r="AM146" s="63"/>
      <c r="AN146" s="63"/>
      <c r="AO146" s="63"/>
      <c r="AP146" s="63"/>
      <c r="AQ146" s="10">
        <v>8432</v>
      </c>
      <c r="AR146" s="18"/>
      <c r="AS146" s="18"/>
      <c r="AT146" s="62"/>
      <c r="AU146" s="65">
        <v>103.587</v>
      </c>
      <c r="AV146" s="65">
        <v>3707.3789999999999</v>
      </c>
      <c r="AW146" s="65">
        <v>2.2491304347826087</v>
      </c>
      <c r="AX146" s="65">
        <v>4.8289565217391299</v>
      </c>
      <c r="AY146" s="65">
        <v>1207.6840342800001</v>
      </c>
      <c r="AZ146" s="1">
        <v>160.68684038434785</v>
      </c>
      <c r="BA146" s="65">
        <v>1235.394</v>
      </c>
      <c r="BB146" s="65">
        <v>857.31</v>
      </c>
      <c r="BC146" s="63"/>
      <c r="BD146" s="63"/>
      <c r="BE146" s="63"/>
      <c r="BF146" s="63"/>
      <c r="BG146" s="63"/>
      <c r="BH146" s="63"/>
      <c r="BI146" s="63"/>
      <c r="BJ146" s="63"/>
      <c r="BK146" s="63"/>
      <c r="BL146" s="63"/>
      <c r="BM146" s="63"/>
      <c r="BN146" s="63"/>
      <c r="BO146" s="63"/>
      <c r="BP146" s="10">
        <v>1984</v>
      </c>
      <c r="BQ146" s="65">
        <v>176.87690741328126</v>
      </c>
      <c r="BR146" s="65">
        <v>231.09537553883428</v>
      </c>
      <c r="BS146" s="65">
        <v>836.20972500935488</v>
      </c>
      <c r="BT146" s="5"/>
      <c r="BU146" s="5"/>
      <c r="BV146" s="144">
        <f t="shared" si="134"/>
        <v>0</v>
      </c>
      <c r="BW146" s="144">
        <f t="shared" si="135"/>
        <v>0</v>
      </c>
      <c r="BX146" s="144">
        <f t="shared" si="136"/>
        <v>0</v>
      </c>
      <c r="BY146" s="5"/>
      <c r="BZ146" s="66">
        <v>7254</v>
      </c>
      <c r="CA146" s="65">
        <v>3720</v>
      </c>
      <c r="CB146" s="65">
        <f>5*744</f>
        <v>3720</v>
      </c>
      <c r="CC146" s="5"/>
      <c r="CD146" s="188">
        <v>1.4635914569736794</v>
      </c>
      <c r="CE146" s="5"/>
      <c r="CF146" s="65"/>
      <c r="CG146" s="70"/>
      <c r="CH146" s="70"/>
      <c r="CI146" s="70"/>
      <c r="CJ146" s="65">
        <v>857.31</v>
      </c>
      <c r="CK146" s="8">
        <f t="shared" si="86"/>
        <v>33634.764561039308</v>
      </c>
      <c r="CL146" s="202">
        <f t="shared" si="60"/>
        <v>-33634.764561039308</v>
      </c>
      <c r="CM146" s="202">
        <f t="shared" si="61"/>
        <v>-33634.764561039308</v>
      </c>
      <c r="CN146" s="202">
        <f t="shared" si="62"/>
        <v>-33634.764561039308</v>
      </c>
      <c r="CO146" s="9">
        <f t="shared" si="63"/>
        <v>-33634.764561039308</v>
      </c>
      <c r="CP146" s="9">
        <f t="shared" si="64"/>
        <v>-33634.764561039308</v>
      </c>
      <c r="CQ146" s="9">
        <f t="shared" si="65"/>
        <v>-33634.764561039308</v>
      </c>
      <c r="CR146" s="202">
        <f t="shared" si="66"/>
        <v>-33634.764561039308</v>
      </c>
      <c r="CS146" s="202">
        <f t="shared" si="67"/>
        <v>-33634.764561039308</v>
      </c>
      <c r="CT146" s="202">
        <f t="shared" si="68"/>
        <v>-33634.764561039308</v>
      </c>
      <c r="CU146" s="203" t="e">
        <f t="shared" si="69"/>
        <v>#DIV/0!</v>
      </c>
      <c r="CV146" s="203" t="e">
        <f t="shared" si="70"/>
        <v>#DIV/0!</v>
      </c>
      <c r="CW146" s="203" t="e">
        <f t="shared" si="71"/>
        <v>#DIV/0!</v>
      </c>
      <c r="CX146" s="19" t="e">
        <f t="shared" si="72"/>
        <v>#DIV/0!</v>
      </c>
      <c r="CY146" s="19" t="e">
        <f t="shared" si="73"/>
        <v>#DIV/0!</v>
      </c>
      <c r="CZ146" s="19" t="e">
        <f t="shared" si="74"/>
        <v>#DIV/0!</v>
      </c>
      <c r="DA146" s="203" t="e">
        <f t="shared" si="75"/>
        <v>#DIV/0!</v>
      </c>
      <c r="DB146" s="203" t="e">
        <f t="shared" si="76"/>
        <v>#DIV/0!</v>
      </c>
      <c r="DC146" s="203" t="e">
        <f t="shared" si="77"/>
        <v>#DIV/0!</v>
      </c>
      <c r="DD146" s="65"/>
      <c r="DE146" s="66"/>
      <c r="DF146" s="66"/>
      <c r="DG146" s="66"/>
      <c r="DH146" s="66"/>
      <c r="DI146" s="66"/>
      <c r="DJ146" s="65"/>
      <c r="DK146" s="66"/>
      <c r="DL146" s="66"/>
      <c r="DM146" s="8">
        <f t="shared" si="78"/>
        <v>0</v>
      </c>
      <c r="DN146" s="8">
        <f t="shared" si="79"/>
        <v>33634.764561039308</v>
      </c>
      <c r="DO146" s="202">
        <f t="shared" si="99"/>
        <v>-33634.764561039308</v>
      </c>
      <c r="DP146" s="202">
        <f t="shared" si="100"/>
        <v>-33634.764561039308</v>
      </c>
      <c r="DQ146" s="202">
        <f t="shared" si="101"/>
        <v>-33634.764561039308</v>
      </c>
      <c r="DR146" s="9">
        <f t="shared" si="102"/>
        <v>-33634.764561039308</v>
      </c>
      <c r="DS146" s="9">
        <f t="shared" si="91"/>
        <v>-33634.764561039308</v>
      </c>
      <c r="DT146" s="9">
        <f t="shared" si="103"/>
        <v>-33634.764561039308</v>
      </c>
      <c r="DU146" s="202">
        <f t="shared" si="104"/>
        <v>-33634.764561039308</v>
      </c>
      <c r="DV146" s="202">
        <f t="shared" si="105"/>
        <v>-33634.764561039308</v>
      </c>
      <c r="DW146" s="202">
        <f t="shared" si="106"/>
        <v>-33634.764561039308</v>
      </c>
      <c r="DX146" s="203" t="e">
        <f t="shared" si="107"/>
        <v>#DIV/0!</v>
      </c>
      <c r="DY146" s="203" t="e">
        <f t="shared" si="108"/>
        <v>#DIV/0!</v>
      </c>
      <c r="DZ146" s="203" t="e">
        <f t="shared" si="109"/>
        <v>#DIV/0!</v>
      </c>
      <c r="EA146" s="19" t="e">
        <f t="shared" si="110"/>
        <v>#DIV/0!</v>
      </c>
      <c r="EB146" s="19" t="e">
        <f t="shared" si="97"/>
        <v>#DIV/0!</v>
      </c>
      <c r="EC146" s="19" t="e">
        <f t="shared" si="111"/>
        <v>#DIV/0!</v>
      </c>
      <c r="ED146" s="203" t="e">
        <f t="shared" si="112"/>
        <v>#DIV/0!</v>
      </c>
      <c r="EE146" s="203" t="e">
        <f t="shared" si="113"/>
        <v>#DIV/0!</v>
      </c>
      <c r="EF146" s="203" t="e">
        <f t="shared" si="114"/>
        <v>#DIV/0!</v>
      </c>
      <c r="EH146" s="58">
        <f t="shared" si="127"/>
        <v>26186.222882625814</v>
      </c>
      <c r="EI146" s="68" t="e">
        <f t="shared" si="128"/>
        <v>#DIV/0!</v>
      </c>
      <c r="EJ146" s="58">
        <f t="shared" si="129"/>
        <v>18932.222882625814</v>
      </c>
      <c r="EK146" s="68" t="e">
        <f t="shared" si="128"/>
        <v>#DIV/0!</v>
      </c>
      <c r="EL146" s="58">
        <f t="shared" si="130"/>
        <v>1244.1820079614704</v>
      </c>
      <c r="EM146" s="58">
        <f t="shared" si="131"/>
        <v>1244.1820079614704</v>
      </c>
      <c r="EN146" s="68" t="e">
        <f t="shared" si="132"/>
        <v>#DIV/0!</v>
      </c>
      <c r="EO146" s="138">
        <v>0.25197746931178833</v>
      </c>
      <c r="EP146">
        <f>+(SUM(M146:O146)*EO146*(1-'[1]Tier 3 Data'!$A$2))</f>
        <v>0</v>
      </c>
    </row>
    <row r="147" spans="1:146" x14ac:dyDescent="0.2">
      <c r="A147" s="43">
        <v>0</v>
      </c>
      <c r="B147" s="43">
        <v>0</v>
      </c>
      <c r="C147" s="43">
        <v>0</v>
      </c>
      <c r="D147" s="70">
        <v>2019</v>
      </c>
      <c r="E147" s="70">
        <v>8</v>
      </c>
      <c r="F147" s="2">
        <v>744</v>
      </c>
      <c r="G147" s="63"/>
      <c r="H147" s="63"/>
      <c r="I147" s="63"/>
      <c r="J147" s="133">
        <f t="shared" si="124"/>
        <v>0</v>
      </c>
      <c r="K147" s="65">
        <v>0</v>
      </c>
      <c r="L147" s="133">
        <f t="shared" si="125"/>
        <v>0</v>
      </c>
      <c r="M147" s="63"/>
      <c r="N147" s="63"/>
      <c r="O147" s="63"/>
      <c r="P147" s="200">
        <f t="shared" si="115"/>
        <v>0</v>
      </c>
      <c r="Q147" s="200">
        <f t="shared" si="116"/>
        <v>0</v>
      </c>
      <c r="R147" s="200">
        <f t="shared" si="117"/>
        <v>0</v>
      </c>
      <c r="S147" s="133">
        <f t="shared" si="118"/>
        <v>0</v>
      </c>
      <c r="T147" s="133">
        <f t="shared" si="119"/>
        <v>0</v>
      </c>
      <c r="U147" s="133">
        <f t="shared" si="120"/>
        <v>0</v>
      </c>
      <c r="V147" s="200">
        <f t="shared" si="121"/>
        <v>0</v>
      </c>
      <c r="W147" s="200">
        <f t="shared" si="122"/>
        <v>0</v>
      </c>
      <c r="X147" s="200">
        <f t="shared" si="123"/>
        <v>0</v>
      </c>
      <c r="Y147" s="63"/>
      <c r="Z147" s="63"/>
      <c r="AA147" s="63"/>
      <c r="AB147" s="200">
        <f t="shared" si="137"/>
        <v>0</v>
      </c>
      <c r="AC147" s="200">
        <f t="shared" si="138"/>
        <v>0</v>
      </c>
      <c r="AD147" s="200">
        <f t="shared" si="139"/>
        <v>0</v>
      </c>
      <c r="AE147" s="199">
        <f t="shared" si="140"/>
        <v>0</v>
      </c>
      <c r="AF147" s="199">
        <f t="shared" si="141"/>
        <v>0</v>
      </c>
      <c r="AG147" s="199">
        <f t="shared" si="142"/>
        <v>0</v>
      </c>
      <c r="AH147" s="199"/>
      <c r="AI147" s="200">
        <f t="shared" si="143"/>
        <v>0</v>
      </c>
      <c r="AJ147" s="200">
        <f t="shared" si="144"/>
        <v>0</v>
      </c>
      <c r="AK147" s="200">
        <f t="shared" si="145"/>
        <v>0</v>
      </c>
      <c r="AL147" s="63"/>
      <c r="AM147" s="63"/>
      <c r="AN147" s="63"/>
      <c r="AO147" s="63"/>
      <c r="AP147" s="63"/>
      <c r="AQ147" s="10">
        <v>8432</v>
      </c>
      <c r="AR147" s="18"/>
      <c r="AS147" s="18"/>
      <c r="AT147" s="62"/>
      <c r="AU147" s="65">
        <v>99.373000000000005</v>
      </c>
      <c r="AV147" s="65">
        <v>3790.5839999999998</v>
      </c>
      <c r="AW147" s="65">
        <v>1.6356818181818182</v>
      </c>
      <c r="AX147" s="65">
        <v>3.9786363636363635</v>
      </c>
      <c r="AY147" s="65">
        <v>1097.150124816</v>
      </c>
      <c r="AZ147" s="1">
        <v>127.32762019613637</v>
      </c>
      <c r="BA147" s="65">
        <v>1734.384</v>
      </c>
      <c r="BB147" s="65">
        <v>1215.8625</v>
      </c>
      <c r="BC147" s="63"/>
      <c r="BD147" s="63"/>
      <c r="BE147" s="63"/>
      <c r="BF147" s="63"/>
      <c r="BG147" s="63"/>
      <c r="BH147" s="63"/>
      <c r="BI147" s="63"/>
      <c r="BJ147" s="63"/>
      <c r="BK147" s="63"/>
      <c r="BL147" s="63"/>
      <c r="BM147" s="63"/>
      <c r="BN147" s="63"/>
      <c r="BO147" s="63"/>
      <c r="BP147" s="10">
        <v>1984</v>
      </c>
      <c r="BQ147" s="65">
        <v>167.8699384078125</v>
      </c>
      <c r="BR147" s="65">
        <v>219.32754882145969</v>
      </c>
      <c r="BS147" s="65">
        <v>793.62829842337464</v>
      </c>
      <c r="BT147" s="5"/>
      <c r="BU147" s="5"/>
      <c r="BV147" s="144">
        <f t="shared" si="134"/>
        <v>0</v>
      </c>
      <c r="BW147" s="144">
        <f t="shared" si="135"/>
        <v>0</v>
      </c>
      <c r="BX147" s="144">
        <f t="shared" si="136"/>
        <v>0</v>
      </c>
      <c r="BY147" s="5"/>
      <c r="BZ147" s="66">
        <v>7254</v>
      </c>
      <c r="CA147" s="65">
        <v>3720</v>
      </c>
      <c r="CB147" s="65">
        <f>5*744</f>
        <v>3720</v>
      </c>
      <c r="CC147" s="5"/>
      <c r="CD147" s="188">
        <v>1.6092243007646725</v>
      </c>
      <c r="CE147" s="5"/>
      <c r="CF147" s="65"/>
      <c r="CG147" s="70"/>
      <c r="CH147" s="70"/>
      <c r="CI147" s="70"/>
      <c r="CJ147" s="65">
        <v>1215.8625</v>
      </c>
      <c r="CK147" s="8">
        <f t="shared" si="86"/>
        <v>34362.730573147368</v>
      </c>
      <c r="CL147" s="202">
        <f t="shared" si="60"/>
        <v>-34362.730573147368</v>
      </c>
      <c r="CM147" s="202">
        <f t="shared" si="61"/>
        <v>-34362.730573147368</v>
      </c>
      <c r="CN147" s="202">
        <f t="shared" si="62"/>
        <v>-34362.730573147368</v>
      </c>
      <c r="CO147" s="9">
        <f t="shared" si="63"/>
        <v>-34362.730573147368</v>
      </c>
      <c r="CP147" s="9">
        <f t="shared" si="64"/>
        <v>-34362.730573147368</v>
      </c>
      <c r="CQ147" s="9">
        <f t="shared" si="65"/>
        <v>-34362.730573147368</v>
      </c>
      <c r="CR147" s="202">
        <f t="shared" si="66"/>
        <v>-34362.730573147368</v>
      </c>
      <c r="CS147" s="202">
        <f t="shared" si="67"/>
        <v>-34362.730573147368</v>
      </c>
      <c r="CT147" s="202">
        <f t="shared" si="68"/>
        <v>-34362.730573147368</v>
      </c>
      <c r="CU147" s="203" t="e">
        <f t="shared" si="69"/>
        <v>#DIV/0!</v>
      </c>
      <c r="CV147" s="203" t="e">
        <f t="shared" si="70"/>
        <v>#DIV/0!</v>
      </c>
      <c r="CW147" s="203" t="e">
        <f t="shared" si="71"/>
        <v>#DIV/0!</v>
      </c>
      <c r="CX147" s="19" t="e">
        <f t="shared" si="72"/>
        <v>#DIV/0!</v>
      </c>
      <c r="CY147" s="19" t="e">
        <f t="shared" si="73"/>
        <v>#DIV/0!</v>
      </c>
      <c r="CZ147" s="19" t="e">
        <f t="shared" si="74"/>
        <v>#DIV/0!</v>
      </c>
      <c r="DA147" s="203" t="e">
        <f t="shared" si="75"/>
        <v>#DIV/0!</v>
      </c>
      <c r="DB147" s="203" t="e">
        <f t="shared" si="76"/>
        <v>#DIV/0!</v>
      </c>
      <c r="DC147" s="203" t="e">
        <f t="shared" si="77"/>
        <v>#DIV/0!</v>
      </c>
      <c r="DD147" s="65"/>
      <c r="DE147" s="66"/>
      <c r="DF147" s="66"/>
      <c r="DG147" s="66"/>
      <c r="DH147" s="66"/>
      <c r="DI147" s="66"/>
      <c r="DJ147" s="65"/>
      <c r="DK147" s="66"/>
      <c r="DL147" s="66"/>
      <c r="DM147" s="8">
        <f t="shared" si="78"/>
        <v>0</v>
      </c>
      <c r="DN147" s="8">
        <f t="shared" si="79"/>
        <v>34362.730573147368</v>
      </c>
      <c r="DO147" s="202">
        <f t="shared" si="99"/>
        <v>-34362.730573147368</v>
      </c>
      <c r="DP147" s="202">
        <f t="shared" si="100"/>
        <v>-34362.730573147368</v>
      </c>
      <c r="DQ147" s="202">
        <f t="shared" si="101"/>
        <v>-34362.730573147368</v>
      </c>
      <c r="DR147" s="9">
        <f t="shared" si="102"/>
        <v>-34362.730573147368</v>
      </c>
      <c r="DS147" s="9">
        <f t="shared" si="91"/>
        <v>-34362.730573147368</v>
      </c>
      <c r="DT147" s="9">
        <f t="shared" si="103"/>
        <v>-34362.730573147368</v>
      </c>
      <c r="DU147" s="202">
        <f t="shared" si="104"/>
        <v>-34362.730573147368</v>
      </c>
      <c r="DV147" s="202">
        <f t="shared" si="105"/>
        <v>-34362.730573147368</v>
      </c>
      <c r="DW147" s="202">
        <f t="shared" si="106"/>
        <v>-34362.730573147368</v>
      </c>
      <c r="DX147" s="203" t="e">
        <f t="shared" si="107"/>
        <v>#DIV/0!</v>
      </c>
      <c r="DY147" s="203" t="e">
        <f t="shared" si="108"/>
        <v>#DIV/0!</v>
      </c>
      <c r="DZ147" s="203" t="e">
        <f t="shared" si="109"/>
        <v>#DIV/0!</v>
      </c>
      <c r="EA147" s="19" t="e">
        <f t="shared" si="110"/>
        <v>#DIV/0!</v>
      </c>
      <c r="EB147" s="19" t="e">
        <f t="shared" si="97"/>
        <v>#DIV/0!</v>
      </c>
      <c r="EC147" s="19" t="e">
        <f t="shared" si="111"/>
        <v>#DIV/0!</v>
      </c>
      <c r="ED147" s="203" t="e">
        <f t="shared" si="112"/>
        <v>#DIV/0!</v>
      </c>
      <c r="EE147" s="203" t="e">
        <f t="shared" si="113"/>
        <v>#DIV/0!</v>
      </c>
      <c r="EF147" s="203" t="e">
        <f t="shared" si="114"/>
        <v>#DIV/0!</v>
      </c>
      <c r="EH147" s="58">
        <f t="shared" si="127"/>
        <v>26915.507030664783</v>
      </c>
      <c r="EI147" s="68" t="e">
        <f t="shared" si="128"/>
        <v>#DIV/0!</v>
      </c>
      <c r="EJ147" s="58">
        <f t="shared" si="129"/>
        <v>19661.507030664783</v>
      </c>
      <c r="EK147" s="68" t="e">
        <f t="shared" si="128"/>
        <v>#DIV/0!</v>
      </c>
      <c r="EL147" s="58">
        <f t="shared" si="130"/>
        <v>1180.8257856526468</v>
      </c>
      <c r="EM147" s="58">
        <f t="shared" si="131"/>
        <v>1180.8257856526468</v>
      </c>
      <c r="EN147" s="68" t="e">
        <f t="shared" si="132"/>
        <v>#DIV/0!</v>
      </c>
      <c r="EO147" s="138">
        <v>0.28519905910129462</v>
      </c>
      <c r="EP147">
        <f>+(SUM(M147:O147)*EO147*(1-'[1]Tier 3 Data'!$A$2))</f>
        <v>0</v>
      </c>
    </row>
    <row r="148" spans="1:146" x14ac:dyDescent="0.2">
      <c r="A148" s="43">
        <v>0</v>
      </c>
      <c r="B148" s="43">
        <v>0</v>
      </c>
      <c r="C148" s="43">
        <v>0</v>
      </c>
      <c r="D148" s="70">
        <v>2019</v>
      </c>
      <c r="E148" s="70">
        <v>9</v>
      </c>
      <c r="F148" s="2">
        <v>720</v>
      </c>
      <c r="G148" s="63"/>
      <c r="H148" s="63"/>
      <c r="I148" s="63"/>
      <c r="J148" s="133">
        <f t="shared" si="124"/>
        <v>0</v>
      </c>
      <c r="K148" s="65">
        <v>0</v>
      </c>
      <c r="L148" s="133">
        <f t="shared" si="125"/>
        <v>0</v>
      </c>
      <c r="M148" s="63"/>
      <c r="N148" s="63"/>
      <c r="O148" s="63"/>
      <c r="P148" s="200">
        <f t="shared" si="115"/>
        <v>0</v>
      </c>
      <c r="Q148" s="200">
        <f t="shared" si="116"/>
        <v>0</v>
      </c>
      <c r="R148" s="200">
        <f t="shared" si="117"/>
        <v>0</v>
      </c>
      <c r="S148" s="133">
        <f t="shared" si="118"/>
        <v>0</v>
      </c>
      <c r="T148" s="133">
        <f t="shared" si="119"/>
        <v>0</v>
      </c>
      <c r="U148" s="133">
        <f t="shared" si="120"/>
        <v>0</v>
      </c>
      <c r="V148" s="200">
        <f t="shared" si="121"/>
        <v>0</v>
      </c>
      <c r="W148" s="200">
        <f t="shared" si="122"/>
        <v>0</v>
      </c>
      <c r="X148" s="200">
        <f t="shared" si="123"/>
        <v>0</v>
      </c>
      <c r="Y148" s="63"/>
      <c r="Z148" s="63"/>
      <c r="AA148" s="63"/>
      <c r="AB148" s="200">
        <f t="shared" si="137"/>
        <v>0</v>
      </c>
      <c r="AC148" s="200">
        <f t="shared" si="138"/>
        <v>0</v>
      </c>
      <c r="AD148" s="200">
        <f t="shared" si="139"/>
        <v>0</v>
      </c>
      <c r="AE148" s="199">
        <f t="shared" si="140"/>
        <v>0</v>
      </c>
      <c r="AF148" s="199">
        <f t="shared" si="141"/>
        <v>0</v>
      </c>
      <c r="AG148" s="199">
        <f t="shared" si="142"/>
        <v>0</v>
      </c>
      <c r="AH148" s="199"/>
      <c r="AI148" s="200">
        <f t="shared" si="143"/>
        <v>0</v>
      </c>
      <c r="AJ148" s="200">
        <f t="shared" si="144"/>
        <v>0</v>
      </c>
      <c r="AK148" s="200">
        <f t="shared" si="145"/>
        <v>0</v>
      </c>
      <c r="AL148" s="63"/>
      <c r="AM148" s="63"/>
      <c r="AN148" s="63"/>
      <c r="AO148" s="63"/>
      <c r="AP148" s="63"/>
      <c r="AQ148" s="10">
        <v>8160</v>
      </c>
      <c r="AR148" s="18"/>
      <c r="AS148" s="18"/>
      <c r="AT148" s="62"/>
      <c r="AU148" s="65">
        <v>110.84399999999999</v>
      </c>
      <c r="AV148" s="65">
        <v>3319.0889999999999</v>
      </c>
      <c r="AW148" s="65">
        <v>1.4349090909090909</v>
      </c>
      <c r="AX148" s="65">
        <v>2.4159999999999999</v>
      </c>
      <c r="AY148" s="65">
        <v>1034.0553087360001</v>
      </c>
      <c r="AZ148" s="1">
        <v>105.78681288886364</v>
      </c>
      <c r="BA148" s="65">
        <v>1091.0940000000001</v>
      </c>
      <c r="BB148" s="65">
        <v>907.05</v>
      </c>
      <c r="BC148" s="63"/>
      <c r="BD148" s="63"/>
      <c r="BE148" s="63"/>
      <c r="BF148" s="63"/>
      <c r="BG148" s="63"/>
      <c r="BH148" s="63"/>
      <c r="BI148" s="63"/>
      <c r="BJ148" s="63"/>
      <c r="BK148" s="63"/>
      <c r="BL148" s="63"/>
      <c r="BM148" s="63"/>
      <c r="BN148" s="63"/>
      <c r="BO148" s="63"/>
      <c r="BP148" s="10">
        <v>1920</v>
      </c>
      <c r="BQ148" s="65">
        <v>134.0306364015625</v>
      </c>
      <c r="BR148" s="65">
        <v>175.11544469597473</v>
      </c>
      <c r="BS148" s="65">
        <v>633.64850203519018</v>
      </c>
      <c r="BT148" s="5"/>
      <c r="BU148" s="5"/>
      <c r="BV148" s="144">
        <f t="shared" si="134"/>
        <v>0</v>
      </c>
      <c r="BW148" s="144">
        <f t="shared" si="135"/>
        <v>0</v>
      </c>
      <c r="BX148" s="144">
        <f t="shared" si="136"/>
        <v>0</v>
      </c>
      <c r="BY148" s="5"/>
      <c r="BZ148" s="66">
        <v>7020</v>
      </c>
      <c r="CA148" s="65">
        <v>3600</v>
      </c>
      <c r="CB148" s="65">
        <f t="shared" si="146"/>
        <v>3600</v>
      </c>
      <c r="CC148" s="5"/>
      <c r="CD148" s="188">
        <v>0.71987692797197578</v>
      </c>
      <c r="CE148" s="5"/>
      <c r="CF148" s="65"/>
      <c r="CG148" s="70"/>
      <c r="CH148" s="70"/>
      <c r="CI148" s="70"/>
      <c r="CJ148" s="65">
        <v>907.05</v>
      </c>
      <c r="CK148" s="8">
        <f t="shared" si="86"/>
        <v>31815.28449077647</v>
      </c>
      <c r="CL148" s="202">
        <f t="shared" si="60"/>
        <v>-31815.28449077647</v>
      </c>
      <c r="CM148" s="202">
        <f t="shared" si="61"/>
        <v>-31815.28449077647</v>
      </c>
      <c r="CN148" s="202">
        <f t="shared" si="62"/>
        <v>-31815.28449077647</v>
      </c>
      <c r="CO148" s="9">
        <f t="shared" si="63"/>
        <v>-31815.28449077647</v>
      </c>
      <c r="CP148" s="9">
        <f t="shared" si="64"/>
        <v>-31815.28449077647</v>
      </c>
      <c r="CQ148" s="9">
        <f t="shared" si="65"/>
        <v>-31815.28449077647</v>
      </c>
      <c r="CR148" s="202">
        <f t="shared" si="66"/>
        <v>-31815.28449077647</v>
      </c>
      <c r="CS148" s="202">
        <f t="shared" si="67"/>
        <v>-31815.28449077647</v>
      </c>
      <c r="CT148" s="202">
        <f t="shared" si="68"/>
        <v>-31815.28449077647</v>
      </c>
      <c r="CU148" s="203" t="e">
        <f t="shared" si="69"/>
        <v>#DIV/0!</v>
      </c>
      <c r="CV148" s="203" t="e">
        <f t="shared" si="70"/>
        <v>#DIV/0!</v>
      </c>
      <c r="CW148" s="203" t="e">
        <f t="shared" si="71"/>
        <v>#DIV/0!</v>
      </c>
      <c r="CX148" s="19" t="e">
        <f t="shared" si="72"/>
        <v>#DIV/0!</v>
      </c>
      <c r="CY148" s="19" t="e">
        <f t="shared" si="73"/>
        <v>#DIV/0!</v>
      </c>
      <c r="CZ148" s="19" t="e">
        <f t="shared" si="74"/>
        <v>#DIV/0!</v>
      </c>
      <c r="DA148" s="203" t="e">
        <f t="shared" si="75"/>
        <v>#DIV/0!</v>
      </c>
      <c r="DB148" s="203" t="e">
        <f t="shared" si="76"/>
        <v>#DIV/0!</v>
      </c>
      <c r="DC148" s="203" t="e">
        <f t="shared" si="77"/>
        <v>#DIV/0!</v>
      </c>
      <c r="DD148" s="65"/>
      <c r="DE148" s="66"/>
      <c r="DF148" s="66"/>
      <c r="DG148" s="66"/>
      <c r="DH148" s="66"/>
      <c r="DI148" s="66"/>
      <c r="DJ148" s="65"/>
      <c r="DK148" s="66"/>
      <c r="DL148" s="66"/>
      <c r="DM148" s="8">
        <f t="shared" si="78"/>
        <v>0</v>
      </c>
      <c r="DN148" s="8">
        <f t="shared" si="79"/>
        <v>31815.28449077647</v>
      </c>
      <c r="DO148" s="202">
        <f t="shared" si="99"/>
        <v>-31815.28449077647</v>
      </c>
      <c r="DP148" s="202">
        <f t="shared" si="100"/>
        <v>-31815.28449077647</v>
      </c>
      <c r="DQ148" s="202">
        <f t="shared" si="101"/>
        <v>-31815.28449077647</v>
      </c>
      <c r="DR148" s="9">
        <f t="shared" si="102"/>
        <v>-31815.28449077647</v>
      </c>
      <c r="DS148" s="9">
        <f t="shared" si="91"/>
        <v>-31815.28449077647</v>
      </c>
      <c r="DT148" s="9">
        <f t="shared" si="103"/>
        <v>-31815.28449077647</v>
      </c>
      <c r="DU148" s="202">
        <f t="shared" si="104"/>
        <v>-31815.28449077647</v>
      </c>
      <c r="DV148" s="202">
        <f t="shared" si="105"/>
        <v>-31815.28449077647</v>
      </c>
      <c r="DW148" s="202">
        <f t="shared" si="106"/>
        <v>-31815.28449077647</v>
      </c>
      <c r="DX148" s="203" t="e">
        <f t="shared" si="107"/>
        <v>#DIV/0!</v>
      </c>
      <c r="DY148" s="203" t="e">
        <f t="shared" si="108"/>
        <v>#DIV/0!</v>
      </c>
      <c r="DZ148" s="203" t="e">
        <f t="shared" si="109"/>
        <v>#DIV/0!</v>
      </c>
      <c r="EA148" s="19" t="e">
        <f t="shared" si="110"/>
        <v>#DIV/0!</v>
      </c>
      <c r="EB148" s="19" t="e">
        <f t="shared" si="97"/>
        <v>#DIV/0!</v>
      </c>
      <c r="EC148" s="19" t="e">
        <f t="shared" si="111"/>
        <v>#DIV/0!</v>
      </c>
      <c r="ED148" s="203" t="e">
        <f t="shared" si="112"/>
        <v>#DIV/0!</v>
      </c>
      <c r="EE148" s="203" t="e">
        <f t="shared" si="113"/>
        <v>#DIV/0!</v>
      </c>
      <c r="EF148" s="203" t="e">
        <f t="shared" si="114"/>
        <v>#DIV/0!</v>
      </c>
      <c r="EH148" s="58">
        <f t="shared" si="127"/>
        <v>24610.713704757589</v>
      </c>
      <c r="EI148" s="68" t="e">
        <f t="shared" si="128"/>
        <v>#DIV/0!</v>
      </c>
      <c r="EJ148" s="58">
        <f t="shared" si="129"/>
        <v>17590.713704757589</v>
      </c>
      <c r="EK148" s="68" t="e">
        <f t="shared" si="128"/>
        <v>#DIV/0!</v>
      </c>
      <c r="EL148" s="58">
        <f t="shared" si="130"/>
        <v>942.79458313272744</v>
      </c>
      <c r="EM148" s="58">
        <f t="shared" si="131"/>
        <v>942.79458313272744</v>
      </c>
      <c r="EN148" s="68" t="e">
        <f t="shared" si="132"/>
        <v>#DIV/0!</v>
      </c>
      <c r="EO148" s="138">
        <v>0.31860645638858931</v>
      </c>
      <c r="EP148">
        <f>+(SUM(M148:O148)*EO148*(1-'[1]Tier 3 Data'!$A$2))</f>
        <v>0</v>
      </c>
    </row>
    <row r="149" spans="1:146" x14ac:dyDescent="0.2">
      <c r="A149" s="43">
        <v>0</v>
      </c>
      <c r="B149" s="43">
        <v>0</v>
      </c>
      <c r="C149" s="43">
        <v>0</v>
      </c>
      <c r="D149" s="70">
        <v>2019</v>
      </c>
      <c r="E149" s="70">
        <v>10</v>
      </c>
      <c r="F149" s="2">
        <v>744</v>
      </c>
      <c r="G149" s="63"/>
      <c r="H149" s="63"/>
      <c r="I149" s="63"/>
      <c r="J149" s="133">
        <f t="shared" si="124"/>
        <v>0</v>
      </c>
      <c r="K149" s="65">
        <v>0</v>
      </c>
      <c r="L149" s="133">
        <f t="shared" si="125"/>
        <v>0</v>
      </c>
      <c r="M149" s="63"/>
      <c r="N149" s="63"/>
      <c r="O149" s="63"/>
      <c r="P149" s="200">
        <f t="shared" si="115"/>
        <v>0</v>
      </c>
      <c r="Q149" s="200">
        <f t="shared" si="116"/>
        <v>0</v>
      </c>
      <c r="R149" s="200">
        <f t="shared" si="117"/>
        <v>0</v>
      </c>
      <c r="S149" s="133">
        <f t="shared" si="118"/>
        <v>0</v>
      </c>
      <c r="T149" s="133">
        <f t="shared" si="119"/>
        <v>0</v>
      </c>
      <c r="U149" s="133">
        <f t="shared" si="120"/>
        <v>0</v>
      </c>
      <c r="V149" s="200">
        <f t="shared" si="121"/>
        <v>0</v>
      </c>
      <c r="W149" s="200">
        <f t="shared" si="122"/>
        <v>0</v>
      </c>
      <c r="X149" s="200">
        <f t="shared" si="123"/>
        <v>0</v>
      </c>
      <c r="Y149" s="63"/>
      <c r="Z149" s="63"/>
      <c r="AA149" s="63"/>
      <c r="AB149" s="200">
        <f t="shared" si="137"/>
        <v>0</v>
      </c>
      <c r="AC149" s="200">
        <f t="shared" si="138"/>
        <v>0</v>
      </c>
      <c r="AD149" s="200">
        <f t="shared" si="139"/>
        <v>0</v>
      </c>
      <c r="AE149" s="199">
        <f t="shared" si="140"/>
        <v>0</v>
      </c>
      <c r="AF149" s="199">
        <f t="shared" si="141"/>
        <v>0</v>
      </c>
      <c r="AG149" s="199">
        <f t="shared" si="142"/>
        <v>0</v>
      </c>
      <c r="AH149" s="199"/>
      <c r="AI149" s="200">
        <f t="shared" si="143"/>
        <v>0</v>
      </c>
      <c r="AJ149" s="200">
        <f t="shared" si="144"/>
        <v>0</v>
      </c>
      <c r="AK149" s="200">
        <f t="shared" si="145"/>
        <v>0</v>
      </c>
      <c r="AL149" s="63"/>
      <c r="AM149" s="63"/>
      <c r="AN149" s="63"/>
      <c r="AO149" s="63"/>
      <c r="AP149" s="63"/>
      <c r="AQ149" s="10">
        <v>8432</v>
      </c>
      <c r="AR149" s="18"/>
      <c r="AS149" s="18"/>
      <c r="AT149" s="62"/>
      <c r="AU149" s="65">
        <v>100.777</v>
      </c>
      <c r="AV149" s="65">
        <v>3508.0830000000001</v>
      </c>
      <c r="AW149" s="65">
        <v>2.1464761904761902</v>
      </c>
      <c r="AX149" s="65">
        <v>6.9496818181818183</v>
      </c>
      <c r="AY149" s="65">
        <v>1243.7316828</v>
      </c>
      <c r="AZ149" s="1">
        <v>160.45690841431818</v>
      </c>
      <c r="BA149" s="65">
        <v>2654.806</v>
      </c>
      <c r="BB149" s="65">
        <v>2632.605</v>
      </c>
      <c r="BC149" s="63"/>
      <c r="BD149" s="63"/>
      <c r="BE149" s="63"/>
      <c r="BF149" s="63"/>
      <c r="BG149" s="63"/>
      <c r="BH149" s="63"/>
      <c r="BI149" s="63"/>
      <c r="BJ149" s="63"/>
      <c r="BK149" s="63"/>
      <c r="BL149" s="63"/>
      <c r="BM149" s="63"/>
      <c r="BN149" s="63"/>
      <c r="BO149" s="63"/>
      <c r="BP149" s="10">
        <v>1984</v>
      </c>
      <c r="BQ149" s="65">
        <v>105.7503170357422</v>
      </c>
      <c r="BR149" s="65">
        <v>138.16623977257476</v>
      </c>
      <c r="BS149" s="65">
        <v>499.94922380170516</v>
      </c>
      <c r="BT149" s="5"/>
      <c r="BU149" s="5"/>
      <c r="BV149" s="144">
        <f t="shared" si="134"/>
        <v>0</v>
      </c>
      <c r="BW149" s="144">
        <f t="shared" si="135"/>
        <v>0</v>
      </c>
      <c r="BX149" s="144">
        <f t="shared" si="136"/>
        <v>0</v>
      </c>
      <c r="BY149" s="5"/>
      <c r="BZ149" s="66">
        <v>7254</v>
      </c>
      <c r="CA149" s="65">
        <v>3720</v>
      </c>
      <c r="CB149" s="65">
        <f>5*744</f>
        <v>3720</v>
      </c>
      <c r="CC149" s="5"/>
      <c r="CD149" s="188">
        <v>2.423520476565336</v>
      </c>
      <c r="CE149" s="5"/>
      <c r="CF149" s="65"/>
      <c r="CG149" s="70"/>
      <c r="CH149" s="70"/>
      <c r="CI149" s="70"/>
      <c r="CJ149" s="65">
        <v>2632.605</v>
      </c>
      <c r="CK149" s="8">
        <f t="shared" si="86"/>
        <v>36165.845050309559</v>
      </c>
      <c r="CL149" s="202">
        <f t="shared" si="60"/>
        <v>-36165.845050309559</v>
      </c>
      <c r="CM149" s="202">
        <f t="shared" si="61"/>
        <v>-36165.845050309559</v>
      </c>
      <c r="CN149" s="202">
        <f t="shared" si="62"/>
        <v>-36165.845050309559</v>
      </c>
      <c r="CO149" s="9">
        <f t="shared" si="63"/>
        <v>-36165.845050309559</v>
      </c>
      <c r="CP149" s="9">
        <f t="shared" si="64"/>
        <v>-36165.845050309559</v>
      </c>
      <c r="CQ149" s="9">
        <f t="shared" si="65"/>
        <v>-36165.845050309559</v>
      </c>
      <c r="CR149" s="202">
        <f t="shared" si="66"/>
        <v>-36165.845050309559</v>
      </c>
      <c r="CS149" s="202">
        <f t="shared" si="67"/>
        <v>-36165.845050309559</v>
      </c>
      <c r="CT149" s="202">
        <f t="shared" si="68"/>
        <v>-36165.845050309559</v>
      </c>
      <c r="CU149" s="203" t="e">
        <f t="shared" si="69"/>
        <v>#DIV/0!</v>
      </c>
      <c r="CV149" s="203" t="e">
        <f t="shared" si="70"/>
        <v>#DIV/0!</v>
      </c>
      <c r="CW149" s="203" t="e">
        <f t="shared" si="71"/>
        <v>#DIV/0!</v>
      </c>
      <c r="CX149" s="19" t="e">
        <f t="shared" si="72"/>
        <v>#DIV/0!</v>
      </c>
      <c r="CY149" s="19" t="e">
        <f t="shared" si="73"/>
        <v>#DIV/0!</v>
      </c>
      <c r="CZ149" s="19" t="e">
        <f t="shared" si="74"/>
        <v>#DIV/0!</v>
      </c>
      <c r="DA149" s="203" t="e">
        <f t="shared" si="75"/>
        <v>#DIV/0!</v>
      </c>
      <c r="DB149" s="203" t="e">
        <f t="shared" si="76"/>
        <v>#DIV/0!</v>
      </c>
      <c r="DC149" s="203" t="e">
        <f t="shared" si="77"/>
        <v>#DIV/0!</v>
      </c>
      <c r="DD149" s="65"/>
      <c r="DE149" s="66"/>
      <c r="DF149" s="66"/>
      <c r="DG149" s="66"/>
      <c r="DH149" s="66"/>
      <c r="DI149" s="66"/>
      <c r="DJ149" s="65"/>
      <c r="DK149" s="66"/>
      <c r="DL149" s="66"/>
      <c r="DM149" s="8">
        <f t="shared" si="78"/>
        <v>0</v>
      </c>
      <c r="DN149" s="8">
        <f t="shared" si="79"/>
        <v>36165.845050309559</v>
      </c>
      <c r="DO149" s="202">
        <f t="shared" si="99"/>
        <v>-36165.845050309559</v>
      </c>
      <c r="DP149" s="202">
        <f t="shared" si="100"/>
        <v>-36165.845050309559</v>
      </c>
      <c r="DQ149" s="202">
        <f t="shared" si="101"/>
        <v>-36165.845050309559</v>
      </c>
      <c r="DR149" s="9">
        <f t="shared" si="102"/>
        <v>-36165.845050309559</v>
      </c>
      <c r="DS149" s="9">
        <f t="shared" si="91"/>
        <v>-36165.845050309559</v>
      </c>
      <c r="DT149" s="9">
        <f t="shared" si="103"/>
        <v>-36165.845050309559</v>
      </c>
      <c r="DU149" s="202">
        <f t="shared" si="104"/>
        <v>-36165.845050309559</v>
      </c>
      <c r="DV149" s="202">
        <f t="shared" si="105"/>
        <v>-36165.845050309559</v>
      </c>
      <c r="DW149" s="202">
        <f t="shared" si="106"/>
        <v>-36165.845050309559</v>
      </c>
      <c r="DX149" s="203" t="e">
        <f t="shared" si="107"/>
        <v>#DIV/0!</v>
      </c>
      <c r="DY149" s="203" t="e">
        <f t="shared" si="108"/>
        <v>#DIV/0!</v>
      </c>
      <c r="DZ149" s="203" t="e">
        <f t="shared" si="109"/>
        <v>#DIV/0!</v>
      </c>
      <c r="EA149" s="19" t="e">
        <f t="shared" si="110"/>
        <v>#DIV/0!</v>
      </c>
      <c r="EB149" s="19" t="e">
        <f t="shared" si="97"/>
        <v>#DIV/0!</v>
      </c>
      <c r="EC149" s="19" t="e">
        <f t="shared" si="111"/>
        <v>#DIV/0!</v>
      </c>
      <c r="ED149" s="203" t="e">
        <f t="shared" si="112"/>
        <v>#DIV/0!</v>
      </c>
      <c r="EE149" s="203" t="e">
        <f t="shared" si="113"/>
        <v>#DIV/0!</v>
      </c>
      <c r="EF149" s="203" t="e">
        <f t="shared" si="114"/>
        <v>#DIV/0!</v>
      </c>
      <c r="EH149" s="58">
        <f t="shared" si="127"/>
        <v>28714.32537182434</v>
      </c>
      <c r="EI149" s="68" t="e">
        <f t="shared" si="128"/>
        <v>#DIV/0!</v>
      </c>
      <c r="EJ149" s="58">
        <f t="shared" si="129"/>
        <v>21460.32537182434</v>
      </c>
      <c r="EK149" s="68" t="e">
        <f t="shared" si="128"/>
        <v>#DIV/0!</v>
      </c>
      <c r="EL149" s="58">
        <f t="shared" si="130"/>
        <v>743.86578061002206</v>
      </c>
      <c r="EM149" s="58">
        <f t="shared" si="131"/>
        <v>743.86578061002206</v>
      </c>
      <c r="EN149" s="68" t="e">
        <f t="shared" si="132"/>
        <v>#DIV/0!</v>
      </c>
      <c r="EO149" s="138">
        <v>0.35739486552628164</v>
      </c>
      <c r="EP149">
        <f>+(SUM(M149:O149)*EO149*(1-'[1]Tier 3 Data'!$A$2))</f>
        <v>0</v>
      </c>
    </row>
    <row r="150" spans="1:146" x14ac:dyDescent="0.2">
      <c r="A150" s="43">
        <v>0</v>
      </c>
      <c r="B150" s="43">
        <v>0</v>
      </c>
      <c r="C150" s="43">
        <v>0</v>
      </c>
      <c r="D150" s="70">
        <v>2019</v>
      </c>
      <c r="E150" s="70">
        <v>11</v>
      </c>
      <c r="F150" s="2">
        <v>721</v>
      </c>
      <c r="G150" s="63"/>
      <c r="H150" s="63"/>
      <c r="I150" s="63"/>
      <c r="J150" s="133">
        <f t="shared" si="124"/>
        <v>0</v>
      </c>
      <c r="K150" s="65">
        <v>0</v>
      </c>
      <c r="L150" s="133">
        <f t="shared" si="125"/>
        <v>0</v>
      </c>
      <c r="M150" s="63"/>
      <c r="N150" s="63"/>
      <c r="O150" s="63"/>
      <c r="P150" s="200">
        <f t="shared" si="115"/>
        <v>0</v>
      </c>
      <c r="Q150" s="200">
        <f t="shared" si="116"/>
        <v>0</v>
      </c>
      <c r="R150" s="200">
        <f t="shared" si="117"/>
        <v>0</v>
      </c>
      <c r="S150" s="133">
        <f t="shared" si="118"/>
        <v>0</v>
      </c>
      <c r="T150" s="133">
        <f t="shared" si="119"/>
        <v>0</v>
      </c>
      <c r="U150" s="133">
        <f t="shared" si="120"/>
        <v>0</v>
      </c>
      <c r="V150" s="200">
        <f t="shared" si="121"/>
        <v>0</v>
      </c>
      <c r="W150" s="200">
        <f t="shared" si="122"/>
        <v>0</v>
      </c>
      <c r="X150" s="200">
        <f t="shared" si="123"/>
        <v>0</v>
      </c>
      <c r="Y150" s="63"/>
      <c r="Z150" s="63"/>
      <c r="AA150" s="63"/>
      <c r="AB150" s="200">
        <f t="shared" si="137"/>
        <v>0</v>
      </c>
      <c r="AC150" s="200">
        <f t="shared" si="138"/>
        <v>0</v>
      </c>
      <c r="AD150" s="200">
        <f t="shared" si="139"/>
        <v>0</v>
      </c>
      <c r="AE150" s="199">
        <f t="shared" si="140"/>
        <v>0</v>
      </c>
      <c r="AF150" s="199">
        <f t="shared" si="141"/>
        <v>0</v>
      </c>
      <c r="AG150" s="199">
        <f t="shared" si="142"/>
        <v>0</v>
      </c>
      <c r="AH150" s="199"/>
      <c r="AI150" s="200">
        <f t="shared" si="143"/>
        <v>0</v>
      </c>
      <c r="AJ150" s="200">
        <f t="shared" si="144"/>
        <v>0</v>
      </c>
      <c r="AK150" s="200">
        <f t="shared" si="145"/>
        <v>0</v>
      </c>
      <c r="AL150" s="63"/>
      <c r="AM150" s="63"/>
      <c r="AN150" s="63"/>
      <c r="AO150" s="63"/>
      <c r="AP150" s="63"/>
      <c r="AQ150" s="10">
        <v>8160</v>
      </c>
      <c r="AR150" s="18"/>
      <c r="AS150" s="18"/>
      <c r="AT150" s="62"/>
      <c r="AU150" s="65">
        <v>88.956000000000003</v>
      </c>
      <c r="AV150" s="65">
        <v>3546.9119999999998</v>
      </c>
      <c r="AW150" s="65">
        <v>2.8365</v>
      </c>
      <c r="AX150" s="65">
        <v>9.1989545454545461</v>
      </c>
      <c r="AY150" s="65">
        <v>1175.4324079200001</v>
      </c>
      <c r="AZ150" s="1">
        <v>199.89833869963641</v>
      </c>
      <c r="BA150" s="65">
        <v>2318.7399999999998</v>
      </c>
      <c r="BB150" s="65">
        <v>2771.13</v>
      </c>
      <c r="BC150" s="63"/>
      <c r="BD150" s="63"/>
      <c r="BE150" s="63"/>
      <c r="BF150" s="63"/>
      <c r="BG150" s="63"/>
      <c r="BH150" s="63"/>
      <c r="BI150" s="63"/>
      <c r="BJ150" s="63"/>
      <c r="BK150" s="63"/>
      <c r="BL150" s="63"/>
      <c r="BM150" s="63"/>
      <c r="BN150" s="63"/>
      <c r="BO150" s="63"/>
      <c r="BP150" s="10">
        <v>1920</v>
      </c>
      <c r="BQ150" s="65">
        <v>65.182410666406241</v>
      </c>
      <c r="BR150" s="65">
        <v>85.162945143789941</v>
      </c>
      <c r="BS150" s="65">
        <v>308.15884142342475</v>
      </c>
      <c r="BT150" s="5"/>
      <c r="BU150" s="5"/>
      <c r="BV150" s="144">
        <f t="shared" si="134"/>
        <v>0</v>
      </c>
      <c r="BW150" s="144">
        <f t="shared" si="135"/>
        <v>0</v>
      </c>
      <c r="BX150" s="144">
        <f t="shared" si="136"/>
        <v>0</v>
      </c>
      <c r="BY150" s="5"/>
      <c r="BZ150" s="66">
        <v>7029.75</v>
      </c>
      <c r="CA150" s="65">
        <v>3605</v>
      </c>
      <c r="CB150" s="65">
        <f>5*721</f>
        <v>3605</v>
      </c>
      <c r="CC150" s="5"/>
      <c r="CD150" s="188">
        <v>0.95927721018850021</v>
      </c>
      <c r="CE150" s="5"/>
      <c r="CF150" s="65"/>
      <c r="CG150" s="70"/>
      <c r="CH150" s="70"/>
      <c r="CI150" s="70"/>
      <c r="CJ150" s="65">
        <v>2771.13</v>
      </c>
      <c r="CK150" s="8">
        <f t="shared" si="86"/>
        <v>34892.317675608901</v>
      </c>
      <c r="CL150" s="202">
        <f t="shared" si="60"/>
        <v>-34892.317675608901</v>
      </c>
      <c r="CM150" s="202">
        <f t="shared" si="61"/>
        <v>-34892.317675608901</v>
      </c>
      <c r="CN150" s="202">
        <f t="shared" si="62"/>
        <v>-34892.317675608901</v>
      </c>
      <c r="CO150" s="9">
        <f t="shared" si="63"/>
        <v>-34892.317675608901</v>
      </c>
      <c r="CP150" s="9">
        <f t="shared" si="64"/>
        <v>-34892.317675608901</v>
      </c>
      <c r="CQ150" s="9">
        <f t="shared" si="65"/>
        <v>-34892.317675608901</v>
      </c>
      <c r="CR150" s="202">
        <f t="shared" si="66"/>
        <v>-34892.317675608901</v>
      </c>
      <c r="CS150" s="202">
        <f t="shared" si="67"/>
        <v>-34892.317675608901</v>
      </c>
      <c r="CT150" s="202">
        <f t="shared" si="68"/>
        <v>-34892.317675608901</v>
      </c>
      <c r="CU150" s="203" t="e">
        <f t="shared" si="69"/>
        <v>#DIV/0!</v>
      </c>
      <c r="CV150" s="203" t="e">
        <f t="shared" si="70"/>
        <v>#DIV/0!</v>
      </c>
      <c r="CW150" s="203" t="e">
        <f t="shared" si="71"/>
        <v>#DIV/0!</v>
      </c>
      <c r="CX150" s="19" t="e">
        <f t="shared" si="72"/>
        <v>#DIV/0!</v>
      </c>
      <c r="CY150" s="19" t="e">
        <f t="shared" si="73"/>
        <v>#DIV/0!</v>
      </c>
      <c r="CZ150" s="19" t="e">
        <f t="shared" si="74"/>
        <v>#DIV/0!</v>
      </c>
      <c r="DA150" s="203" t="e">
        <f t="shared" si="75"/>
        <v>#DIV/0!</v>
      </c>
      <c r="DB150" s="203" t="e">
        <f t="shared" si="76"/>
        <v>#DIV/0!</v>
      </c>
      <c r="DC150" s="203" t="e">
        <f t="shared" si="77"/>
        <v>#DIV/0!</v>
      </c>
      <c r="DD150" s="65"/>
      <c r="DE150" s="66"/>
      <c r="DF150" s="66"/>
      <c r="DG150" s="66"/>
      <c r="DH150" s="66"/>
      <c r="DI150" s="66"/>
      <c r="DJ150" s="65"/>
      <c r="DK150" s="66"/>
      <c r="DL150" s="66"/>
      <c r="DM150" s="8">
        <f t="shared" si="78"/>
        <v>0</v>
      </c>
      <c r="DN150" s="8">
        <f t="shared" si="79"/>
        <v>34892.317675608901</v>
      </c>
      <c r="DO150" s="202">
        <f t="shared" si="99"/>
        <v>-34892.317675608901</v>
      </c>
      <c r="DP150" s="202">
        <f t="shared" si="100"/>
        <v>-34892.317675608901</v>
      </c>
      <c r="DQ150" s="202">
        <f t="shared" si="101"/>
        <v>-34892.317675608901</v>
      </c>
      <c r="DR150" s="9">
        <f t="shared" si="102"/>
        <v>-34892.317675608901</v>
      </c>
      <c r="DS150" s="9">
        <f t="shared" si="91"/>
        <v>-34892.317675608901</v>
      </c>
      <c r="DT150" s="9">
        <f t="shared" si="103"/>
        <v>-34892.317675608901</v>
      </c>
      <c r="DU150" s="202">
        <f t="shared" si="104"/>
        <v>-34892.317675608901</v>
      </c>
      <c r="DV150" s="202">
        <f t="shared" si="105"/>
        <v>-34892.317675608901</v>
      </c>
      <c r="DW150" s="202">
        <f t="shared" si="106"/>
        <v>-34892.317675608901</v>
      </c>
      <c r="DX150" s="203" t="e">
        <f t="shared" si="107"/>
        <v>#DIV/0!</v>
      </c>
      <c r="DY150" s="203" t="e">
        <f t="shared" si="108"/>
        <v>#DIV/0!</v>
      </c>
      <c r="DZ150" s="203" t="e">
        <f t="shared" si="109"/>
        <v>#DIV/0!</v>
      </c>
      <c r="EA150" s="19" t="e">
        <f t="shared" si="110"/>
        <v>#DIV/0!</v>
      </c>
      <c r="EB150" s="19" t="e">
        <f t="shared" si="97"/>
        <v>#DIV/0!</v>
      </c>
      <c r="EC150" s="19" t="e">
        <f t="shared" si="111"/>
        <v>#DIV/0!</v>
      </c>
      <c r="ED150" s="203" t="e">
        <f t="shared" si="112"/>
        <v>#DIV/0!</v>
      </c>
      <c r="EE150" s="203" t="e">
        <f t="shared" si="113"/>
        <v>#DIV/0!</v>
      </c>
      <c r="EF150" s="203" t="e">
        <f t="shared" si="114"/>
        <v>#DIV/0!</v>
      </c>
      <c r="EH150" s="58">
        <f t="shared" si="127"/>
        <v>27669.322943853258</v>
      </c>
      <c r="EI150" s="68" t="e">
        <f t="shared" si="128"/>
        <v>#DIV/0!</v>
      </c>
      <c r="EJ150" s="58">
        <f t="shared" si="129"/>
        <v>20639.572943853258</v>
      </c>
      <c r="EK150" s="68" t="e">
        <f t="shared" si="128"/>
        <v>#DIV/0!</v>
      </c>
      <c r="EL150" s="58">
        <f t="shared" si="130"/>
        <v>458.50419723362091</v>
      </c>
      <c r="EM150" s="58">
        <f t="shared" si="131"/>
        <v>458.50419723362091</v>
      </c>
      <c r="EN150" s="68" t="e">
        <f t="shared" si="132"/>
        <v>#DIV/0!</v>
      </c>
      <c r="EO150" s="138">
        <v>0.4050825009776523</v>
      </c>
      <c r="EP150">
        <f>+(SUM(M150:O150)*EO150*(1-'[1]Tier 3 Data'!$A$2))</f>
        <v>0</v>
      </c>
    </row>
    <row r="151" spans="1:146" x14ac:dyDescent="0.2">
      <c r="A151" s="43">
        <v>0</v>
      </c>
      <c r="B151" s="43">
        <v>0</v>
      </c>
      <c r="C151" s="43">
        <v>0</v>
      </c>
      <c r="D151" s="70">
        <v>2019</v>
      </c>
      <c r="E151" s="70">
        <v>12</v>
      </c>
      <c r="F151" s="2">
        <v>744</v>
      </c>
      <c r="G151" s="63"/>
      <c r="H151" s="63"/>
      <c r="I151" s="63"/>
      <c r="J151" s="133">
        <f t="shared" si="124"/>
        <v>0</v>
      </c>
      <c r="K151" s="65">
        <v>0</v>
      </c>
      <c r="L151" s="133">
        <f t="shared" si="125"/>
        <v>0</v>
      </c>
      <c r="M151" s="63"/>
      <c r="N151" s="63"/>
      <c r="O151" s="63"/>
      <c r="P151" s="200">
        <f t="shared" si="115"/>
        <v>0</v>
      </c>
      <c r="Q151" s="200">
        <f t="shared" si="116"/>
        <v>0</v>
      </c>
      <c r="R151" s="200">
        <f t="shared" si="117"/>
        <v>0</v>
      </c>
      <c r="S151" s="133">
        <f t="shared" si="118"/>
        <v>0</v>
      </c>
      <c r="T151" s="133">
        <f t="shared" si="119"/>
        <v>0</v>
      </c>
      <c r="U151" s="133">
        <f t="shared" si="120"/>
        <v>0</v>
      </c>
      <c r="V151" s="200">
        <f t="shared" si="121"/>
        <v>0</v>
      </c>
      <c r="W151" s="200">
        <f t="shared" si="122"/>
        <v>0</v>
      </c>
      <c r="X151" s="200">
        <f t="shared" si="123"/>
        <v>0</v>
      </c>
      <c r="Y151" s="63"/>
      <c r="Z151" s="63"/>
      <c r="AA151" s="63"/>
      <c r="AB151" s="200">
        <f t="shared" si="137"/>
        <v>0</v>
      </c>
      <c r="AC151" s="200">
        <f t="shared" si="138"/>
        <v>0</v>
      </c>
      <c r="AD151" s="200">
        <f t="shared" si="139"/>
        <v>0</v>
      </c>
      <c r="AE151" s="199">
        <f t="shared" si="140"/>
        <v>0</v>
      </c>
      <c r="AF151" s="199">
        <f t="shared" si="141"/>
        <v>0</v>
      </c>
      <c r="AG151" s="199">
        <f t="shared" si="142"/>
        <v>0</v>
      </c>
      <c r="AH151" s="199"/>
      <c r="AI151" s="200">
        <f t="shared" si="143"/>
        <v>0</v>
      </c>
      <c r="AJ151" s="200">
        <f t="shared" si="144"/>
        <v>0</v>
      </c>
      <c r="AK151" s="200">
        <f t="shared" si="145"/>
        <v>0</v>
      </c>
      <c r="AL151" s="63"/>
      <c r="AM151" s="63"/>
      <c r="AN151" s="63"/>
      <c r="AO151" s="63"/>
      <c r="AP151" s="63"/>
      <c r="AQ151" s="10">
        <v>8432</v>
      </c>
      <c r="AR151" s="18"/>
      <c r="AS151" s="18"/>
      <c r="AT151" s="62"/>
      <c r="AU151" s="65">
        <v>91.706000000000003</v>
      </c>
      <c r="AV151" s="65">
        <v>3628.5329999999999</v>
      </c>
      <c r="AW151" s="65">
        <v>3.7330454545454543</v>
      </c>
      <c r="AX151" s="65">
        <v>7.7730454545454553</v>
      </c>
      <c r="AY151" s="65">
        <v>1240.4980450800001</v>
      </c>
      <c r="AZ151" s="1">
        <v>222.59364208386364</v>
      </c>
      <c r="BA151" s="65">
        <v>2088.1860000000001</v>
      </c>
      <c r="BB151" s="65">
        <v>1939.89</v>
      </c>
      <c r="BC151" s="63"/>
      <c r="BD151" s="63"/>
      <c r="BE151" s="63"/>
      <c r="BF151" s="63"/>
      <c r="BG151" s="63"/>
      <c r="BH151" s="63"/>
      <c r="BI151" s="63"/>
      <c r="BJ151" s="63"/>
      <c r="BK151" s="63"/>
      <c r="BL151" s="63"/>
      <c r="BM151" s="63"/>
      <c r="BN151" s="63"/>
      <c r="BO151" s="63"/>
      <c r="BP151" s="10">
        <v>1984</v>
      </c>
      <c r="BQ151" s="65">
        <v>59.390493706445312</v>
      </c>
      <c r="BR151" s="65">
        <v>77.207609521535815</v>
      </c>
      <c r="BS151" s="65">
        <v>280.77664832571475</v>
      </c>
      <c r="BT151" s="65">
        <v>104.27841821299998</v>
      </c>
      <c r="BU151" s="65">
        <v>110.30647615900003</v>
      </c>
      <c r="BV151" s="144">
        <f t="shared" si="134"/>
        <v>0</v>
      </c>
      <c r="BW151" s="144">
        <f t="shared" si="135"/>
        <v>0</v>
      </c>
      <c r="BX151" s="144">
        <f t="shared" si="136"/>
        <v>0</v>
      </c>
      <c r="BY151" s="5"/>
      <c r="BZ151" s="66">
        <v>7254</v>
      </c>
      <c r="CA151" s="65">
        <v>3720</v>
      </c>
      <c r="CB151" s="65">
        <f>5*744</f>
        <v>3720</v>
      </c>
      <c r="CC151" s="5"/>
      <c r="CD151" s="188">
        <v>2.9082833906196317</v>
      </c>
      <c r="CE151" s="5"/>
      <c r="CF151" s="65"/>
      <c r="CG151" s="70"/>
      <c r="CH151" s="70"/>
      <c r="CI151" s="70"/>
      <c r="CJ151" s="65">
        <v>1939.89</v>
      </c>
      <c r="CK151" s="8">
        <f t="shared" si="86"/>
        <v>34967.780707389269</v>
      </c>
      <c r="CL151" s="202">
        <f t="shared" si="60"/>
        <v>-34967.780707389269</v>
      </c>
      <c r="CM151" s="202">
        <f t="shared" si="61"/>
        <v>-34967.780707389269</v>
      </c>
      <c r="CN151" s="202">
        <f t="shared" si="62"/>
        <v>-34967.780707389269</v>
      </c>
      <c r="CO151" s="9">
        <f t="shared" si="63"/>
        <v>-34967.780707389269</v>
      </c>
      <c r="CP151" s="9">
        <f t="shared" si="64"/>
        <v>-34967.780707389269</v>
      </c>
      <c r="CQ151" s="9">
        <f t="shared" si="65"/>
        <v>-34967.780707389269</v>
      </c>
      <c r="CR151" s="202">
        <f t="shared" si="66"/>
        <v>-34967.780707389269</v>
      </c>
      <c r="CS151" s="202">
        <f t="shared" si="67"/>
        <v>-34967.780707389269</v>
      </c>
      <c r="CT151" s="202">
        <f t="shared" si="68"/>
        <v>-34967.780707389269</v>
      </c>
      <c r="CU151" s="203" t="e">
        <f t="shared" si="69"/>
        <v>#DIV/0!</v>
      </c>
      <c r="CV151" s="203" t="e">
        <f t="shared" si="70"/>
        <v>#DIV/0!</v>
      </c>
      <c r="CW151" s="203" t="e">
        <f t="shared" si="71"/>
        <v>#DIV/0!</v>
      </c>
      <c r="CX151" s="19" t="e">
        <f t="shared" si="72"/>
        <v>#DIV/0!</v>
      </c>
      <c r="CY151" s="19" t="e">
        <f t="shared" si="73"/>
        <v>#DIV/0!</v>
      </c>
      <c r="CZ151" s="19" t="e">
        <f t="shared" si="74"/>
        <v>#DIV/0!</v>
      </c>
      <c r="DA151" s="203" t="e">
        <f t="shared" si="75"/>
        <v>#DIV/0!</v>
      </c>
      <c r="DB151" s="203" t="e">
        <f t="shared" si="76"/>
        <v>#DIV/0!</v>
      </c>
      <c r="DC151" s="203" t="e">
        <f t="shared" si="77"/>
        <v>#DIV/0!</v>
      </c>
      <c r="DD151" s="65"/>
      <c r="DE151" s="66"/>
      <c r="DF151" s="66"/>
      <c r="DG151" s="66"/>
      <c r="DH151" s="66"/>
      <c r="DI151" s="66"/>
      <c r="DJ151" s="65"/>
      <c r="DK151" s="66"/>
      <c r="DL151" s="66"/>
      <c r="DM151" s="8">
        <f t="shared" si="78"/>
        <v>0</v>
      </c>
      <c r="DN151" s="8">
        <f t="shared" si="79"/>
        <v>34967.780707389269</v>
      </c>
      <c r="DO151" s="202">
        <f t="shared" si="99"/>
        <v>-34967.780707389269</v>
      </c>
      <c r="DP151" s="202">
        <f t="shared" si="100"/>
        <v>-34967.780707389269</v>
      </c>
      <c r="DQ151" s="202">
        <f t="shared" si="101"/>
        <v>-34967.780707389269</v>
      </c>
      <c r="DR151" s="9">
        <f t="shared" si="102"/>
        <v>-34967.780707389269</v>
      </c>
      <c r="DS151" s="9">
        <f t="shared" si="91"/>
        <v>-34967.780707389269</v>
      </c>
      <c r="DT151" s="9">
        <f t="shared" si="103"/>
        <v>-34967.780707389269</v>
      </c>
      <c r="DU151" s="202">
        <f t="shared" si="104"/>
        <v>-34967.780707389269</v>
      </c>
      <c r="DV151" s="202">
        <f t="shared" si="105"/>
        <v>-34967.780707389269</v>
      </c>
      <c r="DW151" s="202">
        <f t="shared" si="106"/>
        <v>-34967.780707389269</v>
      </c>
      <c r="DX151" s="203" t="e">
        <f t="shared" si="107"/>
        <v>#DIV/0!</v>
      </c>
      <c r="DY151" s="203" t="e">
        <f t="shared" si="108"/>
        <v>#DIV/0!</v>
      </c>
      <c r="DZ151" s="203" t="e">
        <f t="shared" si="109"/>
        <v>#DIV/0!</v>
      </c>
      <c r="EA151" s="19" t="e">
        <f t="shared" si="110"/>
        <v>#DIV/0!</v>
      </c>
      <c r="EB151" s="19" t="e">
        <f t="shared" si="97"/>
        <v>#DIV/0!</v>
      </c>
      <c r="EC151" s="19" t="e">
        <f t="shared" si="111"/>
        <v>#DIV/0!</v>
      </c>
      <c r="ED151" s="203" t="e">
        <f t="shared" si="112"/>
        <v>#DIV/0!</v>
      </c>
      <c r="EE151" s="203" t="e">
        <f t="shared" si="113"/>
        <v>#DIV/0!</v>
      </c>
      <c r="EF151" s="203" t="e">
        <f t="shared" si="114"/>
        <v>#DIV/0!</v>
      </c>
      <c r="EH151" s="58">
        <f t="shared" si="127"/>
        <v>27513.366333089558</v>
      </c>
      <c r="EI151" s="68" t="e">
        <f t="shared" si="128"/>
        <v>#DIV/0!</v>
      </c>
      <c r="EJ151" s="58">
        <f t="shared" si="129"/>
        <v>20259.366333089558</v>
      </c>
      <c r="EK151" s="68" t="e">
        <f t="shared" si="128"/>
        <v>#DIV/0!</v>
      </c>
      <c r="EL151" s="58">
        <f t="shared" si="130"/>
        <v>631.9596459256959</v>
      </c>
      <c r="EM151" s="58">
        <f t="shared" si="131"/>
        <v>631.9596459256959</v>
      </c>
      <c r="EN151" s="68" t="e">
        <f t="shared" si="132"/>
        <v>#DIV/0!</v>
      </c>
      <c r="EO151" s="138">
        <v>0.32946562535829382</v>
      </c>
      <c r="EP151">
        <f>+(SUM(M151:O151)*EO151*(1-'[1]Tier 3 Data'!$A$2))</f>
        <v>0</v>
      </c>
    </row>
    <row r="152" spans="1:146" x14ac:dyDescent="0.2">
      <c r="A152" s="43">
        <v>0</v>
      </c>
      <c r="B152" s="43">
        <v>0</v>
      </c>
      <c r="C152" s="43">
        <v>0</v>
      </c>
      <c r="D152" s="70">
        <v>2020</v>
      </c>
      <c r="E152" s="70">
        <v>1</v>
      </c>
      <c r="F152" s="2">
        <v>744</v>
      </c>
      <c r="G152" s="63"/>
      <c r="H152" s="63"/>
      <c r="I152" s="63"/>
      <c r="J152" s="133">
        <f t="shared" si="124"/>
        <v>0</v>
      </c>
      <c r="K152" s="65">
        <v>0</v>
      </c>
      <c r="L152" s="133">
        <f t="shared" si="125"/>
        <v>0</v>
      </c>
      <c r="M152" s="63"/>
      <c r="N152" s="63"/>
      <c r="O152" s="63"/>
      <c r="P152" s="200">
        <f t="shared" si="115"/>
        <v>0</v>
      </c>
      <c r="Q152" s="200">
        <f t="shared" si="116"/>
        <v>0</v>
      </c>
      <c r="R152" s="200">
        <f t="shared" si="117"/>
        <v>0</v>
      </c>
      <c r="S152" s="133">
        <f t="shared" si="118"/>
        <v>0</v>
      </c>
      <c r="T152" s="133">
        <f t="shared" si="119"/>
        <v>0</v>
      </c>
      <c r="U152" s="133">
        <f t="shared" si="120"/>
        <v>0</v>
      </c>
      <c r="V152" s="200">
        <f t="shared" si="121"/>
        <v>0</v>
      </c>
      <c r="W152" s="200">
        <f t="shared" si="122"/>
        <v>0</v>
      </c>
      <c r="X152" s="200">
        <f t="shared" si="123"/>
        <v>0</v>
      </c>
      <c r="Y152" s="63"/>
      <c r="Z152" s="63"/>
      <c r="AA152" s="63"/>
      <c r="AB152" s="200">
        <f t="shared" si="137"/>
        <v>0</v>
      </c>
      <c r="AC152" s="200">
        <f t="shared" si="138"/>
        <v>0</v>
      </c>
      <c r="AD152" s="200">
        <f t="shared" si="139"/>
        <v>0</v>
      </c>
      <c r="AE152" s="199">
        <f t="shared" si="140"/>
        <v>0</v>
      </c>
      <c r="AF152" s="199">
        <f t="shared" si="141"/>
        <v>0</v>
      </c>
      <c r="AG152" s="199">
        <f t="shared" si="142"/>
        <v>0</v>
      </c>
      <c r="AH152" s="199"/>
      <c r="AI152" s="200">
        <f t="shared" si="143"/>
        <v>0</v>
      </c>
      <c r="AJ152" s="200">
        <f t="shared" si="144"/>
        <v>0</v>
      </c>
      <c r="AK152" s="200">
        <f t="shared" si="145"/>
        <v>0</v>
      </c>
      <c r="AL152" s="63"/>
      <c r="AM152" s="63"/>
      <c r="AN152" s="63"/>
      <c r="AO152" s="63"/>
      <c r="AP152" s="63"/>
      <c r="AQ152" s="10">
        <v>8432</v>
      </c>
      <c r="AR152" s="18"/>
      <c r="AS152" s="18"/>
      <c r="AT152" s="62"/>
      <c r="AU152" s="65">
        <v>77.016999999999996</v>
      </c>
      <c r="AV152" s="65">
        <v>3714.1149999999998</v>
      </c>
      <c r="AW152" s="65">
        <v>2.9271304347826086</v>
      </c>
      <c r="AX152" s="65">
        <v>7.0815652173913044</v>
      </c>
      <c r="AY152" s="65">
        <v>1241.8319242799998</v>
      </c>
      <c r="AZ152" s="1">
        <v>208.03450639347832</v>
      </c>
      <c r="BA152" s="65">
        <v>2111.6182060000001</v>
      </c>
      <c r="BB152" s="65">
        <v>2270.623</v>
      </c>
      <c r="BC152" s="63"/>
      <c r="BD152" s="63"/>
      <c r="BE152" s="63"/>
      <c r="BF152" s="63"/>
      <c r="BG152" s="63"/>
      <c r="BH152" s="63"/>
      <c r="BI152" s="63"/>
      <c r="BJ152" s="63"/>
      <c r="BK152" s="63"/>
      <c r="BL152" s="63"/>
      <c r="BM152" s="63"/>
      <c r="BN152" s="63"/>
      <c r="BO152" s="63"/>
      <c r="BP152" s="10">
        <v>1984</v>
      </c>
      <c r="BQ152" s="65">
        <v>84.036991550866219</v>
      </c>
      <c r="BR152" s="65">
        <v>109.797115857986</v>
      </c>
      <c r="BS152" s="65">
        <v>397.29664120944921</v>
      </c>
      <c r="BT152" s="65">
        <v>135.14757507299996</v>
      </c>
      <c r="BU152" s="65">
        <v>153.69711504200006</v>
      </c>
      <c r="BV152" s="144">
        <f t="shared" si="134"/>
        <v>0</v>
      </c>
      <c r="BW152" s="144">
        <f t="shared" si="135"/>
        <v>0</v>
      </c>
      <c r="BX152" s="144">
        <f t="shared" si="136"/>
        <v>0</v>
      </c>
      <c r="BY152" s="5"/>
      <c r="BZ152" s="66">
        <v>7254</v>
      </c>
      <c r="CA152" s="65">
        <v>3720</v>
      </c>
      <c r="CB152" s="65">
        <f>5*744</f>
        <v>3720</v>
      </c>
      <c r="CC152" s="5"/>
      <c r="CD152" s="188">
        <v>0</v>
      </c>
      <c r="CE152" s="5"/>
      <c r="CF152" s="65"/>
      <c r="CG152" s="70"/>
      <c r="CH152" s="70"/>
      <c r="CI152" s="70"/>
      <c r="CJ152" s="65">
        <v>2270.623</v>
      </c>
      <c r="CK152" s="8">
        <f t="shared" si="86"/>
        <v>35623.223771058954</v>
      </c>
      <c r="CL152" s="202">
        <f t="shared" si="60"/>
        <v>-35623.223771058954</v>
      </c>
      <c r="CM152" s="202">
        <f t="shared" si="61"/>
        <v>-35623.223771058954</v>
      </c>
      <c r="CN152" s="202">
        <f t="shared" si="62"/>
        <v>-35623.223771058954</v>
      </c>
      <c r="CO152" s="9">
        <f t="shared" si="63"/>
        <v>-35623.223771058954</v>
      </c>
      <c r="CP152" s="9">
        <f t="shared" si="64"/>
        <v>-35623.223771058954</v>
      </c>
      <c r="CQ152" s="9">
        <f t="shared" si="65"/>
        <v>-35623.223771058954</v>
      </c>
      <c r="CR152" s="202">
        <f t="shared" si="66"/>
        <v>-35623.223771058954</v>
      </c>
      <c r="CS152" s="202">
        <f t="shared" si="67"/>
        <v>-35623.223771058954</v>
      </c>
      <c r="CT152" s="202">
        <f t="shared" si="68"/>
        <v>-35623.223771058954</v>
      </c>
      <c r="CU152" s="203" t="e">
        <f t="shared" si="69"/>
        <v>#DIV/0!</v>
      </c>
      <c r="CV152" s="203" t="e">
        <f t="shared" si="70"/>
        <v>#DIV/0!</v>
      </c>
      <c r="CW152" s="203" t="e">
        <f t="shared" si="71"/>
        <v>#DIV/0!</v>
      </c>
      <c r="CX152" s="19" t="e">
        <f t="shared" si="72"/>
        <v>#DIV/0!</v>
      </c>
      <c r="CY152" s="19" t="e">
        <f t="shared" si="73"/>
        <v>#DIV/0!</v>
      </c>
      <c r="CZ152" s="19" t="e">
        <f t="shared" si="74"/>
        <v>#DIV/0!</v>
      </c>
      <c r="DA152" s="203" t="e">
        <f t="shared" si="75"/>
        <v>#DIV/0!</v>
      </c>
      <c r="DB152" s="203" t="e">
        <f t="shared" si="76"/>
        <v>#DIV/0!</v>
      </c>
      <c r="DC152" s="203" t="e">
        <f t="shared" si="77"/>
        <v>#DIV/0!</v>
      </c>
      <c r="DD152" s="65"/>
      <c r="DE152" s="66"/>
      <c r="DF152" s="66"/>
      <c r="DG152" s="66"/>
      <c r="DH152" s="66"/>
      <c r="DI152" s="66"/>
      <c r="DJ152" s="65"/>
      <c r="DK152" s="66"/>
      <c r="DL152" s="66"/>
      <c r="DM152" s="8">
        <f t="shared" si="78"/>
        <v>0</v>
      </c>
      <c r="DN152" s="8">
        <f t="shared" si="79"/>
        <v>35623.223771058954</v>
      </c>
      <c r="DO152" s="202">
        <f t="shared" si="99"/>
        <v>-35623.223771058954</v>
      </c>
      <c r="DP152" s="202">
        <f t="shared" si="100"/>
        <v>-35623.223771058954</v>
      </c>
      <c r="DQ152" s="202">
        <f t="shared" si="101"/>
        <v>-35623.223771058954</v>
      </c>
      <c r="DR152" s="9">
        <f t="shared" si="102"/>
        <v>-35623.223771058954</v>
      </c>
      <c r="DS152" s="9">
        <f t="shared" si="91"/>
        <v>-35623.223771058954</v>
      </c>
      <c r="DT152" s="9">
        <f t="shared" si="103"/>
        <v>-35623.223771058954</v>
      </c>
      <c r="DU152" s="202">
        <f t="shared" si="104"/>
        <v>-35623.223771058954</v>
      </c>
      <c r="DV152" s="202">
        <f t="shared" si="105"/>
        <v>-35623.223771058954</v>
      </c>
      <c r="DW152" s="202">
        <f t="shared" si="106"/>
        <v>-35623.223771058954</v>
      </c>
      <c r="DX152" s="203" t="e">
        <f t="shared" si="107"/>
        <v>#DIV/0!</v>
      </c>
      <c r="DY152" s="203" t="e">
        <f t="shared" si="108"/>
        <v>#DIV/0!</v>
      </c>
      <c r="DZ152" s="203" t="e">
        <f t="shared" si="109"/>
        <v>#DIV/0!</v>
      </c>
      <c r="EA152" s="19" t="e">
        <f t="shared" si="110"/>
        <v>#DIV/0!</v>
      </c>
      <c r="EB152" s="19" t="e">
        <f t="shared" si="97"/>
        <v>#DIV/0!</v>
      </c>
      <c r="EC152" s="19" t="e">
        <f t="shared" si="111"/>
        <v>#DIV/0!</v>
      </c>
      <c r="ED152" s="203" t="e">
        <f t="shared" si="112"/>
        <v>#DIV/0!</v>
      </c>
      <c r="EE152" s="203" t="e">
        <f t="shared" si="113"/>
        <v>#DIV/0!</v>
      </c>
      <c r="EF152" s="203" t="e">
        <f t="shared" si="114"/>
        <v>#DIV/0!</v>
      </c>
      <c r="EH152" s="58">
        <f t="shared" si="127"/>
        <v>28173.215075406781</v>
      </c>
      <c r="EI152" s="68" t="e">
        <f t="shared" si="128"/>
        <v>#DIV/0!</v>
      </c>
      <c r="EJ152" s="58">
        <f t="shared" si="129"/>
        <v>20919.215075406781</v>
      </c>
      <c r="EK152" s="68" t="e">
        <f t="shared" si="128"/>
        <v>#DIV/0!</v>
      </c>
      <c r="EL152" s="58">
        <f t="shared" si="130"/>
        <v>879.97543873330142</v>
      </c>
      <c r="EM152" s="58">
        <f t="shared" si="131"/>
        <v>879.97543873330142</v>
      </c>
      <c r="EN152" s="68" t="e">
        <f t="shared" si="132"/>
        <v>#DIV/0!</v>
      </c>
      <c r="EO152" s="139">
        <f>+EO140</f>
        <v>0.32527353469126524</v>
      </c>
      <c r="EP152">
        <f>+(SUM(M152:O152)*EO152*(1-'[1]Tier 3 Data'!$A$2))</f>
        <v>0</v>
      </c>
    </row>
    <row r="153" spans="1:146" x14ac:dyDescent="0.2">
      <c r="A153" s="43">
        <v>0</v>
      </c>
      <c r="B153" s="43">
        <v>0</v>
      </c>
      <c r="C153" s="43">
        <v>0</v>
      </c>
      <c r="D153" s="70">
        <v>2020</v>
      </c>
      <c r="E153" s="70">
        <v>2</v>
      </c>
      <c r="F153" s="2">
        <f>29*24</f>
        <v>696</v>
      </c>
      <c r="G153" s="63"/>
      <c r="H153" s="63"/>
      <c r="I153" s="63"/>
      <c r="J153" s="133">
        <f t="shared" si="124"/>
        <v>0</v>
      </c>
      <c r="K153" s="65">
        <v>0</v>
      </c>
      <c r="L153" s="133">
        <f t="shared" si="125"/>
        <v>0</v>
      </c>
      <c r="M153" s="63"/>
      <c r="N153" s="63"/>
      <c r="O153" s="63"/>
      <c r="P153" s="200">
        <f t="shared" si="115"/>
        <v>0</v>
      </c>
      <c r="Q153" s="200">
        <f t="shared" si="116"/>
        <v>0</v>
      </c>
      <c r="R153" s="200">
        <f t="shared" si="117"/>
        <v>0</v>
      </c>
      <c r="S153" s="133">
        <f t="shared" si="118"/>
        <v>0</v>
      </c>
      <c r="T153" s="133">
        <f t="shared" si="119"/>
        <v>0</v>
      </c>
      <c r="U153" s="133">
        <f t="shared" si="120"/>
        <v>0</v>
      </c>
      <c r="V153" s="200">
        <f t="shared" si="121"/>
        <v>0</v>
      </c>
      <c r="W153" s="200">
        <f t="shared" si="122"/>
        <v>0</v>
      </c>
      <c r="X153" s="200">
        <f t="shared" si="123"/>
        <v>0</v>
      </c>
      <c r="Y153" s="63"/>
      <c r="Z153" s="63"/>
      <c r="AA153" s="63"/>
      <c r="AB153" s="200">
        <f t="shared" si="137"/>
        <v>0</v>
      </c>
      <c r="AC153" s="200">
        <f t="shared" si="138"/>
        <v>0</v>
      </c>
      <c r="AD153" s="200">
        <f t="shared" si="139"/>
        <v>0</v>
      </c>
      <c r="AE153" s="199">
        <f t="shared" si="140"/>
        <v>0</v>
      </c>
      <c r="AF153" s="199">
        <f t="shared" si="141"/>
        <v>0</v>
      </c>
      <c r="AG153" s="199">
        <f t="shared" si="142"/>
        <v>0</v>
      </c>
      <c r="AH153" s="199"/>
      <c r="AI153" s="200">
        <f t="shared" si="143"/>
        <v>0</v>
      </c>
      <c r="AJ153" s="200">
        <f t="shared" si="144"/>
        <v>0</v>
      </c>
      <c r="AK153" s="200">
        <f t="shared" si="145"/>
        <v>0</v>
      </c>
      <c r="AL153" s="63"/>
      <c r="AM153" s="63"/>
      <c r="AN153" s="63"/>
      <c r="AO153" s="63"/>
      <c r="AP153" s="63"/>
      <c r="AQ153" s="10">
        <v>7888</v>
      </c>
      <c r="AR153" s="18"/>
      <c r="AS153" s="18"/>
      <c r="AT153" s="62"/>
      <c r="AU153" s="65">
        <v>85.795000000000002</v>
      </c>
      <c r="AV153" s="65">
        <v>3394.7660000000001</v>
      </c>
      <c r="AW153" s="65">
        <v>2.6774347826086955</v>
      </c>
      <c r="AX153" s="65">
        <v>5.2181739130434783</v>
      </c>
      <c r="AY153" s="65">
        <v>1169.93700036</v>
      </c>
      <c r="AZ153" s="1">
        <v>172.39278071456522</v>
      </c>
      <c r="BA153" s="65">
        <v>1902.0488915999999</v>
      </c>
      <c r="BB153" s="65">
        <v>2314.7199999999998</v>
      </c>
      <c r="BC153" s="63"/>
      <c r="BD153" s="63"/>
      <c r="BE153" s="63"/>
      <c r="BF153" s="63"/>
      <c r="BG153" s="63"/>
      <c r="BH153" s="63"/>
      <c r="BI153" s="63"/>
      <c r="BJ153" s="63"/>
      <c r="BK153" s="63"/>
      <c r="BL153" s="63"/>
      <c r="BM153" s="63"/>
      <c r="BN153" s="63"/>
      <c r="BO153" s="63"/>
      <c r="BP153" s="10">
        <v>1856</v>
      </c>
      <c r="BQ153" s="65">
        <v>104.54962894735156</v>
      </c>
      <c r="BR153" s="65">
        <v>136.59748586967646</v>
      </c>
      <c r="BS153" s="65">
        <v>494.27274825701244</v>
      </c>
      <c r="BT153" s="65">
        <v>173.34428475599987</v>
      </c>
      <c r="BU153" s="65">
        <v>186.06741608099995</v>
      </c>
      <c r="BV153" s="144">
        <f t="shared" si="134"/>
        <v>0</v>
      </c>
      <c r="BW153" s="144">
        <f t="shared" si="135"/>
        <v>0</v>
      </c>
      <c r="BX153" s="144">
        <f t="shared" si="136"/>
        <v>0</v>
      </c>
      <c r="BY153" s="5"/>
      <c r="BZ153" s="66">
        <v>6786</v>
      </c>
      <c r="CA153" s="65">
        <v>3480</v>
      </c>
      <c r="CB153" s="65">
        <f>5*696</f>
        <v>3480</v>
      </c>
      <c r="CC153" s="5"/>
      <c r="CD153" s="188">
        <v>5.8362082802353541</v>
      </c>
      <c r="CE153" s="5"/>
      <c r="CF153" s="65"/>
      <c r="CG153" s="70"/>
      <c r="CH153" s="70"/>
      <c r="CI153" s="70"/>
      <c r="CJ153" s="65">
        <v>2314.7199999999998</v>
      </c>
      <c r="CK153" s="8">
        <f t="shared" si="86"/>
        <v>33638.223053561494</v>
      </c>
      <c r="CL153" s="202">
        <f t="shared" si="60"/>
        <v>-33638.223053561494</v>
      </c>
      <c r="CM153" s="202">
        <f t="shared" si="61"/>
        <v>-33638.223053561494</v>
      </c>
      <c r="CN153" s="202">
        <f t="shared" si="62"/>
        <v>-33638.223053561494</v>
      </c>
      <c r="CO153" s="9">
        <f t="shared" si="63"/>
        <v>-33638.223053561494</v>
      </c>
      <c r="CP153" s="9">
        <f t="shared" si="64"/>
        <v>-33638.223053561494</v>
      </c>
      <c r="CQ153" s="9">
        <f t="shared" si="65"/>
        <v>-33638.223053561494</v>
      </c>
      <c r="CR153" s="202">
        <f t="shared" si="66"/>
        <v>-33638.223053561494</v>
      </c>
      <c r="CS153" s="202">
        <f t="shared" si="67"/>
        <v>-33638.223053561494</v>
      </c>
      <c r="CT153" s="202">
        <f t="shared" si="68"/>
        <v>-33638.223053561494</v>
      </c>
      <c r="CU153" s="203" t="e">
        <f t="shared" si="69"/>
        <v>#DIV/0!</v>
      </c>
      <c r="CV153" s="203" t="e">
        <f t="shared" si="70"/>
        <v>#DIV/0!</v>
      </c>
      <c r="CW153" s="203" t="e">
        <f t="shared" si="71"/>
        <v>#DIV/0!</v>
      </c>
      <c r="CX153" s="19" t="e">
        <f t="shared" si="72"/>
        <v>#DIV/0!</v>
      </c>
      <c r="CY153" s="19" t="e">
        <f t="shared" si="73"/>
        <v>#DIV/0!</v>
      </c>
      <c r="CZ153" s="19" t="e">
        <f t="shared" si="74"/>
        <v>#DIV/0!</v>
      </c>
      <c r="DA153" s="203" t="e">
        <f t="shared" si="75"/>
        <v>#DIV/0!</v>
      </c>
      <c r="DB153" s="203" t="e">
        <f t="shared" si="76"/>
        <v>#DIV/0!</v>
      </c>
      <c r="DC153" s="203" t="e">
        <f t="shared" si="77"/>
        <v>#DIV/0!</v>
      </c>
      <c r="DD153" s="65"/>
      <c r="DE153" s="66"/>
      <c r="DF153" s="66"/>
      <c r="DG153" s="66"/>
      <c r="DH153" s="66"/>
      <c r="DI153" s="66"/>
      <c r="DJ153" s="65"/>
      <c r="DK153" s="66"/>
      <c r="DL153" s="66"/>
      <c r="DM153" s="8">
        <f t="shared" si="78"/>
        <v>0</v>
      </c>
      <c r="DN153" s="8">
        <f t="shared" si="79"/>
        <v>33638.223053561494</v>
      </c>
      <c r="DO153" s="202">
        <f t="shared" si="99"/>
        <v>-33638.223053561494</v>
      </c>
      <c r="DP153" s="202">
        <f t="shared" si="100"/>
        <v>-33638.223053561494</v>
      </c>
      <c r="DQ153" s="202">
        <f t="shared" si="101"/>
        <v>-33638.223053561494</v>
      </c>
      <c r="DR153" s="9">
        <f t="shared" si="102"/>
        <v>-33638.223053561494</v>
      </c>
      <c r="DS153" s="9">
        <f t="shared" si="91"/>
        <v>-33638.223053561494</v>
      </c>
      <c r="DT153" s="9">
        <f t="shared" si="103"/>
        <v>-33638.223053561494</v>
      </c>
      <c r="DU153" s="202">
        <f t="shared" si="104"/>
        <v>-33638.223053561494</v>
      </c>
      <c r="DV153" s="202">
        <f t="shared" si="105"/>
        <v>-33638.223053561494</v>
      </c>
      <c r="DW153" s="202">
        <f t="shared" si="106"/>
        <v>-33638.223053561494</v>
      </c>
      <c r="DX153" s="203" t="e">
        <f t="shared" si="107"/>
        <v>#DIV/0!</v>
      </c>
      <c r="DY153" s="203" t="e">
        <f t="shared" si="108"/>
        <v>#DIV/0!</v>
      </c>
      <c r="DZ153" s="203" t="e">
        <f t="shared" si="109"/>
        <v>#DIV/0!</v>
      </c>
      <c r="EA153" s="19" t="e">
        <f t="shared" si="110"/>
        <v>#DIV/0!</v>
      </c>
      <c r="EB153" s="19" t="e">
        <f t="shared" si="97"/>
        <v>#DIV/0!</v>
      </c>
      <c r="EC153" s="19" t="e">
        <f t="shared" si="111"/>
        <v>#DIV/0!</v>
      </c>
      <c r="ED153" s="203" t="e">
        <f t="shared" si="112"/>
        <v>#DIV/0!</v>
      </c>
      <c r="EE153" s="203" t="e">
        <f t="shared" si="113"/>
        <v>#DIV/0!</v>
      </c>
      <c r="EF153" s="203" t="e">
        <f t="shared" si="114"/>
        <v>#DIV/0!</v>
      </c>
      <c r="EH153" s="58">
        <f t="shared" si="127"/>
        <v>26664.491236585603</v>
      </c>
      <c r="EI153" s="68" t="e">
        <f t="shared" si="128"/>
        <v>#DIV/0!</v>
      </c>
      <c r="EJ153" s="58">
        <f t="shared" si="129"/>
        <v>19878.491236585603</v>
      </c>
      <c r="EK153" s="68" t="e">
        <f t="shared" si="128"/>
        <v>#DIV/0!</v>
      </c>
      <c r="EL153" s="58">
        <f t="shared" si="130"/>
        <v>1094.8315639110403</v>
      </c>
      <c r="EM153" s="58">
        <f t="shared" si="131"/>
        <v>1094.8315639110403</v>
      </c>
      <c r="EN153" s="68" t="e">
        <f t="shared" si="132"/>
        <v>#DIV/0!</v>
      </c>
      <c r="EO153" s="139">
        <f t="shared" ref="EO153:EO216" si="147">+EO141</f>
        <v>0.3126447604730192</v>
      </c>
      <c r="EP153">
        <f>+(SUM(M153:O153)*EO153*(1-'[1]Tier 3 Data'!$A$2))</f>
        <v>0</v>
      </c>
    </row>
    <row r="154" spans="1:146" x14ac:dyDescent="0.2">
      <c r="A154" s="43">
        <v>0</v>
      </c>
      <c r="B154" s="43">
        <v>0</v>
      </c>
      <c r="C154" s="43">
        <v>0</v>
      </c>
      <c r="D154" s="70">
        <v>2020</v>
      </c>
      <c r="E154" s="70">
        <v>3</v>
      </c>
      <c r="F154" s="2">
        <v>743</v>
      </c>
      <c r="G154" s="63"/>
      <c r="H154" s="63"/>
      <c r="I154" s="63"/>
      <c r="J154" s="133">
        <f t="shared" si="124"/>
        <v>0</v>
      </c>
      <c r="K154" s="65">
        <v>0</v>
      </c>
      <c r="L154" s="133">
        <f t="shared" si="125"/>
        <v>0</v>
      </c>
      <c r="M154" s="63"/>
      <c r="N154" s="63"/>
      <c r="O154" s="63"/>
      <c r="P154" s="200">
        <f t="shared" si="115"/>
        <v>0</v>
      </c>
      <c r="Q154" s="200">
        <f t="shared" si="116"/>
        <v>0</v>
      </c>
      <c r="R154" s="200">
        <f t="shared" si="117"/>
        <v>0</v>
      </c>
      <c r="S154" s="133">
        <f t="shared" si="118"/>
        <v>0</v>
      </c>
      <c r="T154" s="133">
        <f t="shared" si="119"/>
        <v>0</v>
      </c>
      <c r="U154" s="133">
        <f t="shared" si="120"/>
        <v>0</v>
      </c>
      <c r="V154" s="200">
        <f t="shared" si="121"/>
        <v>0</v>
      </c>
      <c r="W154" s="200">
        <f t="shared" si="122"/>
        <v>0</v>
      </c>
      <c r="X154" s="200">
        <f t="shared" si="123"/>
        <v>0</v>
      </c>
      <c r="Y154" s="63"/>
      <c r="Z154" s="63"/>
      <c r="AA154" s="63"/>
      <c r="AB154" s="200">
        <f t="shared" si="137"/>
        <v>0</v>
      </c>
      <c r="AC154" s="200">
        <f t="shared" si="138"/>
        <v>0</v>
      </c>
      <c r="AD154" s="200">
        <f t="shared" si="139"/>
        <v>0</v>
      </c>
      <c r="AE154" s="199">
        <f t="shared" si="140"/>
        <v>0</v>
      </c>
      <c r="AF154" s="199">
        <f t="shared" si="141"/>
        <v>0</v>
      </c>
      <c r="AG154" s="199">
        <f t="shared" si="142"/>
        <v>0</v>
      </c>
      <c r="AH154" s="199"/>
      <c r="AI154" s="200">
        <f t="shared" si="143"/>
        <v>0</v>
      </c>
      <c r="AJ154" s="200">
        <f t="shared" si="144"/>
        <v>0</v>
      </c>
      <c r="AK154" s="200">
        <f t="shared" si="145"/>
        <v>0</v>
      </c>
      <c r="AL154" s="63"/>
      <c r="AM154" s="63"/>
      <c r="AN154" s="63"/>
      <c r="AO154" s="63"/>
      <c r="AP154" s="63"/>
      <c r="AQ154" s="10">
        <v>8432</v>
      </c>
      <c r="AR154" s="18"/>
      <c r="AS154" s="18"/>
      <c r="AT154" s="62"/>
      <c r="AU154" s="65">
        <v>84.507999999999996</v>
      </c>
      <c r="AV154" s="65">
        <v>2974.4580000000001</v>
      </c>
      <c r="AW154" s="65">
        <v>3.6918695652173916</v>
      </c>
      <c r="AX154" s="65">
        <v>6.4586956521739127</v>
      </c>
      <c r="AY154" s="65">
        <v>1250.3090469600002</v>
      </c>
      <c r="AZ154" s="1">
        <v>220.90964543195651</v>
      </c>
      <c r="BA154" s="65">
        <v>1510.1699180000001</v>
      </c>
      <c r="BB154" s="65">
        <v>2000.0150000000001</v>
      </c>
      <c r="BC154" s="63"/>
      <c r="BD154" s="63"/>
      <c r="BE154" s="63"/>
      <c r="BF154" s="63"/>
      <c r="BG154" s="63"/>
      <c r="BH154" s="63"/>
      <c r="BI154" s="63"/>
      <c r="BJ154" s="63"/>
      <c r="BK154" s="63"/>
      <c r="BL154" s="63"/>
      <c r="BM154" s="63"/>
      <c r="BN154" s="63"/>
      <c r="BO154" s="63"/>
      <c r="BP154" s="10">
        <v>1984</v>
      </c>
      <c r="BQ154" s="65">
        <v>145.50713366728124</v>
      </c>
      <c r="BR154" s="65">
        <v>190.10976696229261</v>
      </c>
      <c r="BS154" s="65">
        <v>687.9048810087196</v>
      </c>
      <c r="BT154" s="65">
        <v>229.41705298299999</v>
      </c>
      <c r="BU154" s="65">
        <v>265.27065003600018</v>
      </c>
      <c r="BV154" s="144">
        <f t="shared" si="134"/>
        <v>0</v>
      </c>
      <c r="BW154" s="144">
        <f t="shared" si="135"/>
        <v>0</v>
      </c>
      <c r="BX154" s="144">
        <f t="shared" si="136"/>
        <v>0</v>
      </c>
      <c r="BY154" s="5"/>
      <c r="BZ154" s="66">
        <v>7244.25</v>
      </c>
      <c r="CA154" s="65">
        <v>3715</v>
      </c>
      <c r="CB154" s="65">
        <f>5*743</f>
        <v>3715</v>
      </c>
      <c r="CC154" s="5"/>
      <c r="CD154" s="188">
        <v>12.840266038266321</v>
      </c>
      <c r="CE154" s="5"/>
      <c r="CF154" s="65"/>
      <c r="CG154" s="70"/>
      <c r="CH154" s="70"/>
      <c r="CI154" s="70"/>
      <c r="CJ154" s="65">
        <v>2000.0150000000001</v>
      </c>
      <c r="CK154" s="8">
        <f t="shared" si="86"/>
        <v>34671.81992630491</v>
      </c>
      <c r="CL154" s="202">
        <f t="shared" si="60"/>
        <v>-34671.81992630491</v>
      </c>
      <c r="CM154" s="202">
        <f t="shared" si="61"/>
        <v>-34671.81992630491</v>
      </c>
      <c r="CN154" s="202">
        <f t="shared" si="62"/>
        <v>-34671.81992630491</v>
      </c>
      <c r="CO154" s="9">
        <f t="shared" si="63"/>
        <v>-34671.81992630491</v>
      </c>
      <c r="CP154" s="9">
        <f t="shared" si="64"/>
        <v>-34671.81992630491</v>
      </c>
      <c r="CQ154" s="9">
        <f t="shared" si="65"/>
        <v>-34671.81992630491</v>
      </c>
      <c r="CR154" s="202">
        <f t="shared" si="66"/>
        <v>-34671.81992630491</v>
      </c>
      <c r="CS154" s="202">
        <f t="shared" si="67"/>
        <v>-34671.81992630491</v>
      </c>
      <c r="CT154" s="202">
        <f t="shared" si="68"/>
        <v>-34671.81992630491</v>
      </c>
      <c r="CU154" s="203" t="e">
        <f t="shared" si="69"/>
        <v>#DIV/0!</v>
      </c>
      <c r="CV154" s="203" t="e">
        <f t="shared" si="70"/>
        <v>#DIV/0!</v>
      </c>
      <c r="CW154" s="203" t="e">
        <f t="shared" si="71"/>
        <v>#DIV/0!</v>
      </c>
      <c r="CX154" s="19" t="e">
        <f t="shared" si="72"/>
        <v>#DIV/0!</v>
      </c>
      <c r="CY154" s="19" t="e">
        <f t="shared" si="73"/>
        <v>#DIV/0!</v>
      </c>
      <c r="CZ154" s="19" t="e">
        <f t="shared" si="74"/>
        <v>#DIV/0!</v>
      </c>
      <c r="DA154" s="203" t="e">
        <f t="shared" si="75"/>
        <v>#DIV/0!</v>
      </c>
      <c r="DB154" s="203" t="e">
        <f t="shared" si="76"/>
        <v>#DIV/0!</v>
      </c>
      <c r="DC154" s="203" t="e">
        <f t="shared" si="77"/>
        <v>#DIV/0!</v>
      </c>
      <c r="DD154" s="65"/>
      <c r="DE154" s="66"/>
      <c r="DF154" s="66"/>
      <c r="DG154" s="66"/>
      <c r="DH154" s="66"/>
      <c r="DI154" s="66"/>
      <c r="DJ154" s="65"/>
      <c r="DK154" s="66"/>
      <c r="DL154" s="66"/>
      <c r="DM154" s="8">
        <f t="shared" si="78"/>
        <v>0</v>
      </c>
      <c r="DN154" s="8">
        <f t="shared" si="79"/>
        <v>34671.81992630491</v>
      </c>
      <c r="DO154" s="202">
        <f t="shared" si="99"/>
        <v>-34671.81992630491</v>
      </c>
      <c r="DP154" s="202">
        <f t="shared" si="100"/>
        <v>-34671.81992630491</v>
      </c>
      <c r="DQ154" s="202">
        <f t="shared" si="101"/>
        <v>-34671.81992630491</v>
      </c>
      <c r="DR154" s="9">
        <f t="shared" si="102"/>
        <v>-34671.81992630491</v>
      </c>
      <c r="DS154" s="9">
        <f t="shared" si="91"/>
        <v>-34671.81992630491</v>
      </c>
      <c r="DT154" s="9">
        <f t="shared" si="103"/>
        <v>-34671.81992630491</v>
      </c>
      <c r="DU154" s="202">
        <f t="shared" si="104"/>
        <v>-34671.81992630491</v>
      </c>
      <c r="DV154" s="202">
        <f t="shared" si="105"/>
        <v>-34671.81992630491</v>
      </c>
      <c r="DW154" s="202">
        <f t="shared" si="106"/>
        <v>-34671.81992630491</v>
      </c>
      <c r="DX154" s="203" t="e">
        <f t="shared" si="107"/>
        <v>#DIV/0!</v>
      </c>
      <c r="DY154" s="203" t="e">
        <f t="shared" si="108"/>
        <v>#DIV/0!</v>
      </c>
      <c r="DZ154" s="203" t="e">
        <f t="shared" si="109"/>
        <v>#DIV/0!</v>
      </c>
      <c r="EA154" s="19" t="e">
        <f t="shared" si="110"/>
        <v>#DIV/0!</v>
      </c>
      <c r="EB154" s="19" t="e">
        <f t="shared" si="97"/>
        <v>#DIV/0!</v>
      </c>
      <c r="EC154" s="19" t="e">
        <f t="shared" si="111"/>
        <v>#DIV/0!</v>
      </c>
      <c r="ED154" s="203" t="e">
        <f t="shared" si="112"/>
        <v>#DIV/0!</v>
      </c>
      <c r="EE154" s="203" t="e">
        <f t="shared" si="113"/>
        <v>#DIV/0!</v>
      </c>
      <c r="EF154" s="203" t="e">
        <f t="shared" si="114"/>
        <v>#DIV/0!</v>
      </c>
      <c r="EH154" s="58">
        <f t="shared" si="127"/>
        <v>27218.829095049252</v>
      </c>
      <c r="EI154" s="68" t="e">
        <f t="shared" si="128"/>
        <v>#DIV/0!</v>
      </c>
      <c r="EJ154" s="58">
        <f t="shared" si="129"/>
        <v>19974.579095049252</v>
      </c>
      <c r="EK154" s="68" t="e">
        <f t="shared" si="128"/>
        <v>#DIV/0!</v>
      </c>
      <c r="EL154" s="58">
        <f t="shared" si="130"/>
        <v>1518.2094846572936</v>
      </c>
      <c r="EM154" s="58">
        <f t="shared" si="131"/>
        <v>1518.2094846572936</v>
      </c>
      <c r="EN154" s="68" t="e">
        <f t="shared" si="132"/>
        <v>#DIV/0!</v>
      </c>
      <c r="EO154" s="139">
        <f t="shared" si="147"/>
        <v>0.32861286969700848</v>
      </c>
      <c r="EP154">
        <f>+(SUM(M154:O154)*EO154*(1-'[1]Tier 3 Data'!$A$2))</f>
        <v>0</v>
      </c>
    </row>
    <row r="155" spans="1:146" x14ac:dyDescent="0.2">
      <c r="A155" s="43">
        <v>0</v>
      </c>
      <c r="B155" s="43">
        <v>0</v>
      </c>
      <c r="C155" s="43">
        <v>0</v>
      </c>
      <c r="D155" s="70">
        <v>2020</v>
      </c>
      <c r="E155" s="70">
        <v>4</v>
      </c>
      <c r="F155" s="2">
        <v>720</v>
      </c>
      <c r="G155" s="63"/>
      <c r="H155" s="63"/>
      <c r="I155" s="63"/>
      <c r="J155" s="133">
        <f t="shared" si="124"/>
        <v>0</v>
      </c>
      <c r="K155" s="65">
        <v>0</v>
      </c>
      <c r="L155" s="133">
        <f t="shared" si="125"/>
        <v>0</v>
      </c>
      <c r="M155" s="63"/>
      <c r="N155" s="63"/>
      <c r="O155" s="63"/>
      <c r="P155" s="200">
        <f t="shared" si="115"/>
        <v>0</v>
      </c>
      <c r="Q155" s="200">
        <f t="shared" si="116"/>
        <v>0</v>
      </c>
      <c r="R155" s="200">
        <f t="shared" si="117"/>
        <v>0</v>
      </c>
      <c r="S155" s="133">
        <f t="shared" si="118"/>
        <v>0</v>
      </c>
      <c r="T155" s="133">
        <f t="shared" si="119"/>
        <v>0</v>
      </c>
      <c r="U155" s="133">
        <f t="shared" si="120"/>
        <v>0</v>
      </c>
      <c r="V155" s="200">
        <f t="shared" si="121"/>
        <v>0</v>
      </c>
      <c r="W155" s="200">
        <f t="shared" si="122"/>
        <v>0</v>
      </c>
      <c r="X155" s="200">
        <f t="shared" si="123"/>
        <v>0</v>
      </c>
      <c r="Y155" s="63"/>
      <c r="Z155" s="63"/>
      <c r="AA155" s="63"/>
      <c r="AB155" s="200">
        <f t="shared" si="137"/>
        <v>0</v>
      </c>
      <c r="AC155" s="200">
        <f t="shared" si="138"/>
        <v>0</v>
      </c>
      <c r="AD155" s="200">
        <f t="shared" si="139"/>
        <v>0</v>
      </c>
      <c r="AE155" s="199">
        <f t="shared" si="140"/>
        <v>0</v>
      </c>
      <c r="AF155" s="199">
        <f t="shared" si="141"/>
        <v>0</v>
      </c>
      <c r="AG155" s="199">
        <f t="shared" si="142"/>
        <v>0</v>
      </c>
      <c r="AH155" s="199"/>
      <c r="AI155" s="200">
        <f t="shared" si="143"/>
        <v>0</v>
      </c>
      <c r="AJ155" s="200">
        <f t="shared" si="144"/>
        <v>0</v>
      </c>
      <c r="AK155" s="200">
        <f t="shared" si="145"/>
        <v>0</v>
      </c>
      <c r="AL155" s="63"/>
      <c r="AM155" s="63"/>
      <c r="AN155" s="63"/>
      <c r="AO155" s="63"/>
      <c r="AP155" s="63"/>
      <c r="AQ155" s="10">
        <v>8160</v>
      </c>
      <c r="AR155" s="18"/>
      <c r="AS155" s="18"/>
      <c r="AT155" s="62"/>
      <c r="AU155" s="65">
        <v>62.503</v>
      </c>
      <c r="AV155" s="65">
        <v>2686.1840000000002</v>
      </c>
      <c r="AW155" s="65">
        <v>4.4116521739130432</v>
      </c>
      <c r="AX155" s="65">
        <v>10.08804347826087</v>
      </c>
      <c r="AY155" s="65">
        <v>1119.0640708799999</v>
      </c>
      <c r="AZ155" s="1">
        <v>224.35441806673916</v>
      </c>
      <c r="BA155" s="65">
        <v>1381.124</v>
      </c>
      <c r="BB155" s="65">
        <v>1791.183</v>
      </c>
      <c r="BC155" s="63"/>
      <c r="BD155" s="63"/>
      <c r="BE155" s="63"/>
      <c r="BF155" s="63"/>
      <c r="BG155" s="63"/>
      <c r="BH155" s="63"/>
      <c r="BI155" s="63"/>
      <c r="BJ155" s="63"/>
      <c r="BK155" s="63"/>
      <c r="BL155" s="63"/>
      <c r="BM155" s="63"/>
      <c r="BN155" s="63"/>
      <c r="BO155" s="63"/>
      <c r="BP155" s="10">
        <v>1920</v>
      </c>
      <c r="BQ155" s="65">
        <v>155.38217066966797</v>
      </c>
      <c r="BR155" s="65">
        <v>203.0118639970562</v>
      </c>
      <c r="BS155" s="65">
        <v>734.59062149764986</v>
      </c>
      <c r="BT155" s="65">
        <v>254.03035655999994</v>
      </c>
      <c r="BU155" s="65">
        <v>271.40648446699987</v>
      </c>
      <c r="BV155" s="144">
        <f t="shared" si="134"/>
        <v>0</v>
      </c>
      <c r="BW155" s="144">
        <f t="shared" si="135"/>
        <v>0</v>
      </c>
      <c r="BX155" s="144">
        <f t="shared" si="136"/>
        <v>0</v>
      </c>
      <c r="BY155" s="5"/>
      <c r="BZ155" s="66">
        <v>0</v>
      </c>
      <c r="CA155" s="65">
        <v>3600</v>
      </c>
      <c r="CB155" s="65">
        <f>5*720</f>
        <v>3600</v>
      </c>
      <c r="CC155" s="5"/>
      <c r="CD155" s="188">
        <v>4.0322016730503254</v>
      </c>
      <c r="CE155" s="5"/>
      <c r="CF155" s="65"/>
      <c r="CG155" s="70"/>
      <c r="CH155" s="70"/>
      <c r="CI155" s="70"/>
      <c r="CJ155" s="65">
        <v>1791.183</v>
      </c>
      <c r="CK155" s="8">
        <f t="shared" si="86"/>
        <v>26181.365883463339</v>
      </c>
      <c r="CL155" s="202">
        <f t="shared" si="60"/>
        <v>-26181.365883463339</v>
      </c>
      <c r="CM155" s="202">
        <f t="shared" si="61"/>
        <v>-26181.365883463339</v>
      </c>
      <c r="CN155" s="202">
        <f t="shared" si="62"/>
        <v>-26181.365883463339</v>
      </c>
      <c r="CO155" s="9">
        <f t="shared" si="63"/>
        <v>-26181.365883463339</v>
      </c>
      <c r="CP155" s="9">
        <f t="shared" si="64"/>
        <v>-26181.365883463339</v>
      </c>
      <c r="CQ155" s="9">
        <f t="shared" si="65"/>
        <v>-26181.365883463339</v>
      </c>
      <c r="CR155" s="202">
        <f t="shared" si="66"/>
        <v>-26181.365883463339</v>
      </c>
      <c r="CS155" s="202">
        <f t="shared" si="67"/>
        <v>-26181.365883463339</v>
      </c>
      <c r="CT155" s="202">
        <f t="shared" si="68"/>
        <v>-26181.365883463339</v>
      </c>
      <c r="CU155" s="203" t="e">
        <f t="shared" si="69"/>
        <v>#DIV/0!</v>
      </c>
      <c r="CV155" s="203" t="e">
        <f t="shared" si="70"/>
        <v>#DIV/0!</v>
      </c>
      <c r="CW155" s="203" t="e">
        <f t="shared" si="71"/>
        <v>#DIV/0!</v>
      </c>
      <c r="CX155" s="19" t="e">
        <f t="shared" si="72"/>
        <v>#DIV/0!</v>
      </c>
      <c r="CY155" s="19" t="e">
        <f t="shared" si="73"/>
        <v>#DIV/0!</v>
      </c>
      <c r="CZ155" s="19" t="e">
        <f t="shared" si="74"/>
        <v>#DIV/0!</v>
      </c>
      <c r="DA155" s="203" t="e">
        <f t="shared" si="75"/>
        <v>#DIV/0!</v>
      </c>
      <c r="DB155" s="203" t="e">
        <f t="shared" si="76"/>
        <v>#DIV/0!</v>
      </c>
      <c r="DC155" s="203" t="e">
        <f t="shared" si="77"/>
        <v>#DIV/0!</v>
      </c>
      <c r="DD155" s="65"/>
      <c r="DE155" s="66"/>
      <c r="DF155" s="66"/>
      <c r="DG155" s="66"/>
      <c r="DH155" s="66"/>
      <c r="DI155" s="66"/>
      <c r="DJ155" s="65"/>
      <c r="DK155" s="66"/>
      <c r="DL155" s="66"/>
      <c r="DM155" s="8">
        <f t="shared" si="78"/>
        <v>0</v>
      </c>
      <c r="DN155" s="8">
        <f t="shared" si="79"/>
        <v>26181.365883463339</v>
      </c>
      <c r="DO155" s="202">
        <f t="shared" si="99"/>
        <v>-26181.365883463339</v>
      </c>
      <c r="DP155" s="202">
        <f t="shared" si="100"/>
        <v>-26181.365883463339</v>
      </c>
      <c r="DQ155" s="202">
        <f t="shared" si="101"/>
        <v>-26181.365883463339</v>
      </c>
      <c r="DR155" s="9">
        <f t="shared" si="102"/>
        <v>-26181.365883463339</v>
      </c>
      <c r="DS155" s="9">
        <f t="shared" si="91"/>
        <v>-26181.365883463339</v>
      </c>
      <c r="DT155" s="9">
        <f t="shared" si="103"/>
        <v>-26181.365883463339</v>
      </c>
      <c r="DU155" s="202">
        <f t="shared" si="104"/>
        <v>-26181.365883463339</v>
      </c>
      <c r="DV155" s="202">
        <f t="shared" si="105"/>
        <v>-26181.365883463339</v>
      </c>
      <c r="DW155" s="202">
        <f t="shared" si="106"/>
        <v>-26181.365883463339</v>
      </c>
      <c r="DX155" s="203" t="e">
        <f t="shared" si="107"/>
        <v>#DIV/0!</v>
      </c>
      <c r="DY155" s="203" t="e">
        <f t="shared" si="108"/>
        <v>#DIV/0!</v>
      </c>
      <c r="DZ155" s="203" t="e">
        <f t="shared" si="109"/>
        <v>#DIV/0!</v>
      </c>
      <c r="EA155" s="19" t="e">
        <f t="shared" si="110"/>
        <v>#DIV/0!</v>
      </c>
      <c r="EB155" s="19" t="e">
        <f t="shared" si="97"/>
        <v>#DIV/0!</v>
      </c>
      <c r="EC155" s="19" t="e">
        <f t="shared" si="111"/>
        <v>#DIV/0!</v>
      </c>
      <c r="ED155" s="203" t="e">
        <f t="shared" si="112"/>
        <v>#DIV/0!</v>
      </c>
      <c r="EE155" s="203" t="e">
        <f t="shared" si="113"/>
        <v>#DIV/0!</v>
      </c>
      <c r="EF155" s="203" t="e">
        <f t="shared" si="114"/>
        <v>#DIV/0!</v>
      </c>
      <c r="EH155" s="58">
        <f t="shared" si="127"/>
        <v>18962.833986138117</v>
      </c>
      <c r="EI155" s="68" t="e">
        <f t="shared" si="128"/>
        <v>#DIV/0!</v>
      </c>
      <c r="EJ155" s="58">
        <f t="shared" si="129"/>
        <v>18962.833986138117</v>
      </c>
      <c r="EK155" s="68" t="e">
        <f t="shared" si="128"/>
        <v>#DIV/0!</v>
      </c>
      <c r="EL155" s="58">
        <f t="shared" si="130"/>
        <v>1618.4214971913739</v>
      </c>
      <c r="EM155" s="58">
        <f t="shared" si="131"/>
        <v>1618.4214971913739</v>
      </c>
      <c r="EN155" s="68" t="e">
        <f t="shared" si="132"/>
        <v>#DIV/0!</v>
      </c>
      <c r="EO155" s="139">
        <f t="shared" si="147"/>
        <v>0.35351678044029999</v>
      </c>
      <c r="EP155">
        <f>+(SUM(M155:O155)*EO155*(1-'[1]Tier 3 Data'!$A$2))</f>
        <v>0</v>
      </c>
    </row>
    <row r="156" spans="1:146" x14ac:dyDescent="0.2">
      <c r="A156" s="43">
        <v>0</v>
      </c>
      <c r="B156" s="43">
        <v>0</v>
      </c>
      <c r="C156" s="43">
        <v>0</v>
      </c>
      <c r="D156" s="70">
        <v>2020</v>
      </c>
      <c r="E156" s="70">
        <v>5</v>
      </c>
      <c r="F156" s="2">
        <v>744</v>
      </c>
      <c r="G156" s="63"/>
      <c r="H156" s="63"/>
      <c r="I156" s="63"/>
      <c r="J156" s="133">
        <f t="shared" si="124"/>
        <v>0</v>
      </c>
      <c r="K156" s="65">
        <v>0</v>
      </c>
      <c r="L156" s="133">
        <f t="shared" si="125"/>
        <v>0</v>
      </c>
      <c r="M156" s="63"/>
      <c r="N156" s="63"/>
      <c r="O156" s="63"/>
      <c r="P156" s="200">
        <f t="shared" si="115"/>
        <v>0</v>
      </c>
      <c r="Q156" s="200">
        <f t="shared" si="116"/>
        <v>0</v>
      </c>
      <c r="R156" s="200">
        <f t="shared" si="117"/>
        <v>0</v>
      </c>
      <c r="S156" s="133">
        <f t="shared" si="118"/>
        <v>0</v>
      </c>
      <c r="T156" s="133">
        <f t="shared" si="119"/>
        <v>0</v>
      </c>
      <c r="U156" s="133">
        <f t="shared" si="120"/>
        <v>0</v>
      </c>
      <c r="V156" s="200">
        <f t="shared" si="121"/>
        <v>0</v>
      </c>
      <c r="W156" s="200">
        <f t="shared" si="122"/>
        <v>0</v>
      </c>
      <c r="X156" s="200">
        <f t="shared" si="123"/>
        <v>0</v>
      </c>
      <c r="Y156" s="63"/>
      <c r="Z156" s="63"/>
      <c r="AA156" s="63"/>
      <c r="AB156" s="200">
        <f t="shared" si="137"/>
        <v>0</v>
      </c>
      <c r="AC156" s="200">
        <f t="shared" si="138"/>
        <v>0</v>
      </c>
      <c r="AD156" s="200">
        <f t="shared" si="139"/>
        <v>0</v>
      </c>
      <c r="AE156" s="199">
        <f t="shared" si="140"/>
        <v>0</v>
      </c>
      <c r="AF156" s="199">
        <f t="shared" si="141"/>
        <v>0</v>
      </c>
      <c r="AG156" s="199">
        <f t="shared" si="142"/>
        <v>0</v>
      </c>
      <c r="AH156" s="199"/>
      <c r="AI156" s="200">
        <f t="shared" si="143"/>
        <v>0</v>
      </c>
      <c r="AJ156" s="200">
        <f t="shared" si="144"/>
        <v>0</v>
      </c>
      <c r="AK156" s="200">
        <f t="shared" si="145"/>
        <v>0</v>
      </c>
      <c r="AL156" s="63"/>
      <c r="AM156" s="63"/>
      <c r="AN156" s="63"/>
      <c r="AO156" s="63"/>
      <c r="AP156" s="63"/>
      <c r="AQ156" s="10">
        <v>8432</v>
      </c>
      <c r="AR156" s="18"/>
      <c r="AS156" s="18"/>
      <c r="AT156" s="62"/>
      <c r="AU156" s="65">
        <v>71.867000000000004</v>
      </c>
      <c r="AV156" s="65">
        <v>2913.3649999999998</v>
      </c>
      <c r="AW156" s="65">
        <v>3.5895652173913044</v>
      </c>
      <c r="AX156" s="65">
        <v>10.504608695652173</v>
      </c>
      <c r="AY156" s="65">
        <v>654.89368060800007</v>
      </c>
      <c r="AZ156" s="1">
        <v>233.36048165086956</v>
      </c>
      <c r="BA156" s="65">
        <v>2152.7570000000001</v>
      </c>
      <c r="BB156" s="65">
        <v>1874.778</v>
      </c>
      <c r="BC156" s="63"/>
      <c r="BD156" s="63"/>
      <c r="BE156" s="63"/>
      <c r="BF156" s="63"/>
      <c r="BG156" s="63"/>
      <c r="BH156" s="63"/>
      <c r="BI156" s="63"/>
      <c r="BJ156" s="63"/>
      <c r="BK156" s="63"/>
      <c r="BL156" s="63"/>
      <c r="BM156" s="63"/>
      <c r="BN156" s="63"/>
      <c r="BO156" s="63"/>
      <c r="BP156" s="10">
        <v>1984</v>
      </c>
      <c r="BQ156" s="65">
        <v>178.94606979556835</v>
      </c>
      <c r="BR156" s="65">
        <v>233.79884027181009</v>
      </c>
      <c r="BS156" s="65">
        <v>845.99211292949781</v>
      </c>
      <c r="BT156" s="65">
        <v>262.53854870099997</v>
      </c>
      <c r="BU156" s="65">
        <v>310.38077671899998</v>
      </c>
      <c r="BV156" s="144">
        <f t="shared" si="134"/>
        <v>0</v>
      </c>
      <c r="BW156" s="144">
        <f t="shared" si="135"/>
        <v>0</v>
      </c>
      <c r="BX156" s="144">
        <f t="shared" si="136"/>
        <v>0</v>
      </c>
      <c r="BY156" s="5"/>
      <c r="BZ156" s="66">
        <v>7254</v>
      </c>
      <c r="CA156" s="65">
        <v>3720</v>
      </c>
      <c r="CB156" s="65">
        <f>5*744</f>
        <v>3720</v>
      </c>
      <c r="CC156" s="5"/>
      <c r="CD156" s="188">
        <v>7.418703339418351</v>
      </c>
      <c r="CE156" s="5"/>
      <c r="CF156" s="65"/>
      <c r="CG156" s="70"/>
      <c r="CH156" s="70"/>
      <c r="CI156" s="70"/>
      <c r="CJ156" s="65">
        <v>1874.778</v>
      </c>
      <c r="CK156" s="8">
        <f t="shared" si="86"/>
        <v>34864.190387928211</v>
      </c>
      <c r="CL156" s="202">
        <f t="shared" si="60"/>
        <v>-34864.190387928211</v>
      </c>
      <c r="CM156" s="202">
        <f t="shared" si="61"/>
        <v>-34864.190387928211</v>
      </c>
      <c r="CN156" s="202">
        <f t="shared" si="62"/>
        <v>-34864.190387928211</v>
      </c>
      <c r="CO156" s="9">
        <f t="shared" si="63"/>
        <v>-34864.190387928211</v>
      </c>
      <c r="CP156" s="9">
        <f t="shared" si="64"/>
        <v>-34864.190387928211</v>
      </c>
      <c r="CQ156" s="9">
        <f t="shared" si="65"/>
        <v>-34864.190387928211</v>
      </c>
      <c r="CR156" s="202">
        <f t="shared" si="66"/>
        <v>-34864.190387928211</v>
      </c>
      <c r="CS156" s="202">
        <f t="shared" si="67"/>
        <v>-34864.190387928211</v>
      </c>
      <c r="CT156" s="202">
        <f t="shared" si="68"/>
        <v>-34864.190387928211</v>
      </c>
      <c r="CU156" s="203" t="e">
        <f t="shared" si="69"/>
        <v>#DIV/0!</v>
      </c>
      <c r="CV156" s="203" t="e">
        <f t="shared" si="70"/>
        <v>#DIV/0!</v>
      </c>
      <c r="CW156" s="203" t="e">
        <f t="shared" si="71"/>
        <v>#DIV/0!</v>
      </c>
      <c r="CX156" s="19" t="e">
        <f t="shared" si="72"/>
        <v>#DIV/0!</v>
      </c>
      <c r="CY156" s="19" t="e">
        <f t="shared" si="73"/>
        <v>#DIV/0!</v>
      </c>
      <c r="CZ156" s="19" t="e">
        <f t="shared" si="74"/>
        <v>#DIV/0!</v>
      </c>
      <c r="DA156" s="203" t="e">
        <f t="shared" si="75"/>
        <v>#DIV/0!</v>
      </c>
      <c r="DB156" s="203" t="e">
        <f t="shared" si="76"/>
        <v>#DIV/0!</v>
      </c>
      <c r="DC156" s="203" t="e">
        <f t="shared" si="77"/>
        <v>#DIV/0!</v>
      </c>
      <c r="DD156" s="65"/>
      <c r="DE156" s="66"/>
      <c r="DF156" s="66"/>
      <c r="DG156" s="66"/>
      <c r="DH156" s="66"/>
      <c r="DI156" s="66"/>
      <c r="DJ156" s="65"/>
      <c r="DK156" s="66"/>
      <c r="DL156" s="66"/>
      <c r="DM156" s="8">
        <f t="shared" si="78"/>
        <v>0</v>
      </c>
      <c r="DN156" s="8">
        <f t="shared" si="79"/>
        <v>34864.190387928211</v>
      </c>
      <c r="DO156" s="202">
        <f t="shared" si="99"/>
        <v>-34864.190387928211</v>
      </c>
      <c r="DP156" s="202">
        <f t="shared" si="100"/>
        <v>-34864.190387928211</v>
      </c>
      <c r="DQ156" s="202">
        <f t="shared" si="101"/>
        <v>-34864.190387928211</v>
      </c>
      <c r="DR156" s="9">
        <f t="shared" si="102"/>
        <v>-34864.190387928211</v>
      </c>
      <c r="DS156" s="9">
        <f t="shared" si="91"/>
        <v>-34864.190387928211</v>
      </c>
      <c r="DT156" s="9">
        <f t="shared" si="103"/>
        <v>-34864.190387928211</v>
      </c>
      <c r="DU156" s="202">
        <f t="shared" si="104"/>
        <v>-34864.190387928211</v>
      </c>
      <c r="DV156" s="202">
        <f t="shared" si="105"/>
        <v>-34864.190387928211</v>
      </c>
      <c r="DW156" s="202">
        <f t="shared" si="106"/>
        <v>-34864.190387928211</v>
      </c>
      <c r="DX156" s="203" t="e">
        <f t="shared" si="107"/>
        <v>#DIV/0!</v>
      </c>
      <c r="DY156" s="203" t="e">
        <f t="shared" si="108"/>
        <v>#DIV/0!</v>
      </c>
      <c r="DZ156" s="203" t="e">
        <f t="shared" si="109"/>
        <v>#DIV/0!</v>
      </c>
      <c r="EA156" s="19" t="e">
        <f t="shared" si="110"/>
        <v>#DIV/0!</v>
      </c>
      <c r="EB156" s="19" t="e">
        <f t="shared" si="97"/>
        <v>#DIV/0!</v>
      </c>
      <c r="EC156" s="19" t="e">
        <f t="shared" si="111"/>
        <v>#DIV/0!</v>
      </c>
      <c r="ED156" s="203" t="e">
        <f t="shared" si="112"/>
        <v>#DIV/0!</v>
      </c>
      <c r="EE156" s="203" t="e">
        <f t="shared" si="113"/>
        <v>#DIV/0!</v>
      </c>
      <c r="EF156" s="203" t="e">
        <f t="shared" si="114"/>
        <v>#DIV/0!</v>
      </c>
      <c r="EH156" s="58">
        <f t="shared" si="127"/>
        <v>27402.677510675745</v>
      </c>
      <c r="EI156" s="68" t="e">
        <f t="shared" si="128"/>
        <v>#DIV/0!</v>
      </c>
      <c r="EJ156" s="58">
        <f t="shared" si="129"/>
        <v>20148.677510675745</v>
      </c>
      <c r="EK156" s="68" t="e">
        <f t="shared" si="128"/>
        <v>#DIV/0!</v>
      </c>
      <c r="EL156" s="58">
        <f t="shared" si="130"/>
        <v>1831.6563484168764</v>
      </c>
      <c r="EM156" s="58">
        <f t="shared" si="131"/>
        <v>1831.6563484168764</v>
      </c>
      <c r="EN156" s="68" t="e">
        <f t="shared" si="132"/>
        <v>#DIV/0!</v>
      </c>
      <c r="EO156" s="139">
        <f t="shared" si="147"/>
        <v>0.28868615856523006</v>
      </c>
      <c r="EP156">
        <f>+(SUM(M156:O156)*EO156*(1-'[1]Tier 3 Data'!$A$2))</f>
        <v>0</v>
      </c>
    </row>
    <row r="157" spans="1:146" x14ac:dyDescent="0.2">
      <c r="A157" s="43">
        <v>0</v>
      </c>
      <c r="B157" s="43">
        <v>0</v>
      </c>
      <c r="C157" s="43">
        <v>0</v>
      </c>
      <c r="D157" s="70">
        <v>2020</v>
      </c>
      <c r="E157" s="70">
        <v>6</v>
      </c>
      <c r="F157" s="2">
        <v>720</v>
      </c>
      <c r="G157" s="63"/>
      <c r="H157" s="63"/>
      <c r="I157" s="63"/>
      <c r="J157" s="133">
        <f t="shared" si="124"/>
        <v>0</v>
      </c>
      <c r="K157" s="65">
        <v>0</v>
      </c>
      <c r="L157" s="133">
        <f t="shared" si="125"/>
        <v>0</v>
      </c>
      <c r="M157" s="63"/>
      <c r="N157" s="63"/>
      <c r="O157" s="63"/>
      <c r="P157" s="200">
        <f t="shared" si="115"/>
        <v>0</v>
      </c>
      <c r="Q157" s="200">
        <f t="shared" si="116"/>
        <v>0</v>
      </c>
      <c r="R157" s="200">
        <f t="shared" si="117"/>
        <v>0</v>
      </c>
      <c r="S157" s="133">
        <f t="shared" si="118"/>
        <v>0</v>
      </c>
      <c r="T157" s="133">
        <f t="shared" si="119"/>
        <v>0</v>
      </c>
      <c r="U157" s="133">
        <f t="shared" si="120"/>
        <v>0</v>
      </c>
      <c r="V157" s="200">
        <f t="shared" si="121"/>
        <v>0</v>
      </c>
      <c r="W157" s="200">
        <f t="shared" si="122"/>
        <v>0</v>
      </c>
      <c r="X157" s="200">
        <f t="shared" si="123"/>
        <v>0</v>
      </c>
      <c r="Y157" s="63"/>
      <c r="Z157" s="63"/>
      <c r="AA157" s="63"/>
      <c r="AB157" s="200">
        <f t="shared" si="137"/>
        <v>0</v>
      </c>
      <c r="AC157" s="200">
        <f t="shared" si="138"/>
        <v>0</v>
      </c>
      <c r="AD157" s="200">
        <f t="shared" si="139"/>
        <v>0</v>
      </c>
      <c r="AE157" s="199">
        <f t="shared" si="140"/>
        <v>0</v>
      </c>
      <c r="AF157" s="199">
        <f t="shared" si="141"/>
        <v>0</v>
      </c>
      <c r="AG157" s="199">
        <f t="shared" si="142"/>
        <v>0</v>
      </c>
      <c r="AH157" s="199"/>
      <c r="AI157" s="200">
        <f t="shared" si="143"/>
        <v>0</v>
      </c>
      <c r="AJ157" s="200">
        <f t="shared" si="144"/>
        <v>0</v>
      </c>
      <c r="AK157" s="200">
        <f t="shared" si="145"/>
        <v>0</v>
      </c>
      <c r="AL157" s="63"/>
      <c r="AM157" s="63"/>
      <c r="AN157" s="63"/>
      <c r="AO157" s="63"/>
      <c r="AP157" s="63"/>
      <c r="AQ157" s="10">
        <v>8160</v>
      </c>
      <c r="AR157" s="18"/>
      <c r="AS157" s="18"/>
      <c r="AT157" s="62"/>
      <c r="AU157" s="65">
        <v>73.271000000000001</v>
      </c>
      <c r="AV157" s="65">
        <v>2797.6709999999998</v>
      </c>
      <c r="AW157" s="65">
        <v>3.0868695652173916</v>
      </c>
      <c r="AX157" s="65">
        <v>6.8705217391304352</v>
      </c>
      <c r="AY157" s="65">
        <v>1186.4564243999998</v>
      </c>
      <c r="AZ157" s="1">
        <v>186.02691865586959</v>
      </c>
      <c r="BA157" s="65">
        <v>1672.4961049999999</v>
      </c>
      <c r="BB157" s="65">
        <v>1295.4349999999999</v>
      </c>
      <c r="BC157" s="63"/>
      <c r="BD157" s="63"/>
      <c r="BE157" s="63"/>
      <c r="BF157" s="63"/>
      <c r="BG157" s="63"/>
      <c r="BH157" s="63"/>
      <c r="BI157" s="63"/>
      <c r="BJ157" s="63"/>
      <c r="BK157" s="63"/>
      <c r="BL157" s="63"/>
      <c r="BM157" s="63"/>
      <c r="BN157" s="63"/>
      <c r="BO157" s="63"/>
      <c r="BP157" s="10">
        <v>1920</v>
      </c>
      <c r="BQ157" s="65">
        <v>173.98187731377541</v>
      </c>
      <c r="BR157" s="65">
        <v>227.31300370750427</v>
      </c>
      <c r="BS157" s="65">
        <v>822.5233580827387</v>
      </c>
      <c r="BT157" s="65">
        <v>274.806921644</v>
      </c>
      <c r="BU157" s="65">
        <v>303.78376345100003</v>
      </c>
      <c r="BV157" s="144">
        <f t="shared" si="134"/>
        <v>0</v>
      </c>
      <c r="BW157" s="144">
        <f t="shared" si="135"/>
        <v>0</v>
      </c>
      <c r="BX157" s="144">
        <f t="shared" si="136"/>
        <v>0</v>
      </c>
      <c r="BY157" s="5"/>
      <c r="BZ157" s="66">
        <v>7020</v>
      </c>
      <c r="CA157" s="65">
        <v>3600</v>
      </c>
      <c r="CB157" s="65">
        <f t="shared" ref="CB157:CB160" si="148">5*720</f>
        <v>3600</v>
      </c>
      <c r="CC157" s="5"/>
      <c r="CD157" s="188">
        <v>8.408846905945861</v>
      </c>
      <c r="CE157" s="5"/>
      <c r="CF157" s="65"/>
      <c r="CG157" s="70"/>
      <c r="CH157" s="70"/>
      <c r="CI157" s="70"/>
      <c r="CJ157" s="65">
        <v>1295.4349999999999</v>
      </c>
      <c r="CK157" s="8">
        <f t="shared" si="86"/>
        <v>33332.131610465171</v>
      </c>
      <c r="CL157" s="202">
        <f t="shared" si="60"/>
        <v>-33332.131610465171</v>
      </c>
      <c r="CM157" s="202">
        <f t="shared" si="61"/>
        <v>-33332.131610465171</v>
      </c>
      <c r="CN157" s="202">
        <f t="shared" si="62"/>
        <v>-33332.131610465171</v>
      </c>
      <c r="CO157" s="9">
        <f t="shared" si="63"/>
        <v>-33332.131610465171</v>
      </c>
      <c r="CP157" s="9">
        <f t="shared" si="64"/>
        <v>-33332.131610465171</v>
      </c>
      <c r="CQ157" s="9">
        <f t="shared" si="65"/>
        <v>-33332.131610465171</v>
      </c>
      <c r="CR157" s="202">
        <f t="shared" si="66"/>
        <v>-33332.131610465171</v>
      </c>
      <c r="CS157" s="202">
        <f t="shared" si="67"/>
        <v>-33332.131610465171</v>
      </c>
      <c r="CT157" s="202">
        <f t="shared" si="68"/>
        <v>-33332.131610465171</v>
      </c>
      <c r="CU157" s="203" t="e">
        <f t="shared" si="69"/>
        <v>#DIV/0!</v>
      </c>
      <c r="CV157" s="203" t="e">
        <f t="shared" si="70"/>
        <v>#DIV/0!</v>
      </c>
      <c r="CW157" s="203" t="e">
        <f t="shared" si="71"/>
        <v>#DIV/0!</v>
      </c>
      <c r="CX157" s="19" t="e">
        <f t="shared" si="72"/>
        <v>#DIV/0!</v>
      </c>
      <c r="CY157" s="19" t="e">
        <f t="shared" si="73"/>
        <v>#DIV/0!</v>
      </c>
      <c r="CZ157" s="19" t="e">
        <f t="shared" si="74"/>
        <v>#DIV/0!</v>
      </c>
      <c r="DA157" s="203" t="e">
        <f t="shared" si="75"/>
        <v>#DIV/0!</v>
      </c>
      <c r="DB157" s="203" t="e">
        <f t="shared" si="76"/>
        <v>#DIV/0!</v>
      </c>
      <c r="DC157" s="203" t="e">
        <f t="shared" si="77"/>
        <v>#DIV/0!</v>
      </c>
      <c r="DD157" s="65"/>
      <c r="DE157" s="66"/>
      <c r="DF157" s="66"/>
      <c r="DG157" s="66"/>
      <c r="DH157" s="66"/>
      <c r="DI157" s="66"/>
      <c r="DJ157" s="65"/>
      <c r="DK157" s="66"/>
      <c r="DL157" s="66"/>
      <c r="DM157" s="8">
        <f t="shared" si="78"/>
        <v>0</v>
      </c>
      <c r="DN157" s="8">
        <f t="shared" si="79"/>
        <v>33332.131610465171</v>
      </c>
      <c r="DO157" s="202">
        <f t="shared" si="99"/>
        <v>-33332.131610465171</v>
      </c>
      <c r="DP157" s="202">
        <f t="shared" si="100"/>
        <v>-33332.131610465171</v>
      </c>
      <c r="DQ157" s="202">
        <f t="shared" si="101"/>
        <v>-33332.131610465171</v>
      </c>
      <c r="DR157" s="9">
        <f t="shared" si="102"/>
        <v>-33332.131610465171</v>
      </c>
      <c r="DS157" s="9">
        <f t="shared" si="91"/>
        <v>-33332.131610465171</v>
      </c>
      <c r="DT157" s="9">
        <f t="shared" si="103"/>
        <v>-33332.131610465171</v>
      </c>
      <c r="DU157" s="202">
        <f t="shared" si="104"/>
        <v>-33332.131610465171</v>
      </c>
      <c r="DV157" s="202">
        <f t="shared" si="105"/>
        <v>-33332.131610465171</v>
      </c>
      <c r="DW157" s="202">
        <f t="shared" si="106"/>
        <v>-33332.131610465171</v>
      </c>
      <c r="DX157" s="203" t="e">
        <f t="shared" si="107"/>
        <v>#DIV/0!</v>
      </c>
      <c r="DY157" s="203" t="e">
        <f t="shared" si="108"/>
        <v>#DIV/0!</v>
      </c>
      <c r="DZ157" s="203" t="e">
        <f t="shared" si="109"/>
        <v>#DIV/0!</v>
      </c>
      <c r="EA157" s="19" t="e">
        <f t="shared" si="110"/>
        <v>#DIV/0!</v>
      </c>
      <c r="EB157" s="19" t="e">
        <f t="shared" si="97"/>
        <v>#DIV/0!</v>
      </c>
      <c r="EC157" s="19" t="e">
        <f t="shared" si="111"/>
        <v>#DIV/0!</v>
      </c>
      <c r="ED157" s="203" t="e">
        <f t="shared" si="112"/>
        <v>#DIV/0!</v>
      </c>
      <c r="EE157" s="203" t="e">
        <f t="shared" si="113"/>
        <v>#DIV/0!</v>
      </c>
      <c r="EF157" s="203" t="e">
        <f t="shared" si="114"/>
        <v>#DIV/0!</v>
      </c>
      <c r="EH157" s="58">
        <f t="shared" si="127"/>
        <v>26113.765372254886</v>
      </c>
      <c r="EI157" s="68" t="e">
        <f t="shared" si="128"/>
        <v>#DIV/0!</v>
      </c>
      <c r="EJ157" s="58">
        <f t="shared" si="129"/>
        <v>19093.765372254886</v>
      </c>
      <c r="EK157" s="68" t="e">
        <f t="shared" si="128"/>
        <v>#DIV/0!</v>
      </c>
      <c r="EL157" s="58">
        <f t="shared" si="130"/>
        <v>1802.4089241990187</v>
      </c>
      <c r="EM157" s="58">
        <f t="shared" si="131"/>
        <v>1802.4089241990187</v>
      </c>
      <c r="EN157" s="68" t="e">
        <f t="shared" si="132"/>
        <v>#DIV/0!</v>
      </c>
      <c r="EO157" s="139">
        <f t="shared" si="147"/>
        <v>0.24029016665052916</v>
      </c>
      <c r="EP157">
        <f>+(SUM(M157:O157)*EO157*(1-'[1]Tier 3 Data'!$A$2))</f>
        <v>0</v>
      </c>
    </row>
    <row r="158" spans="1:146" x14ac:dyDescent="0.2">
      <c r="A158" s="43">
        <v>0</v>
      </c>
      <c r="B158" s="43">
        <v>0</v>
      </c>
      <c r="C158" s="43">
        <v>0</v>
      </c>
      <c r="D158" s="70">
        <v>2020</v>
      </c>
      <c r="E158" s="70">
        <v>7</v>
      </c>
      <c r="F158" s="2">
        <v>744</v>
      </c>
      <c r="G158" s="63"/>
      <c r="H158" s="63"/>
      <c r="I158" s="63"/>
      <c r="J158" s="133">
        <f t="shared" si="124"/>
        <v>0</v>
      </c>
      <c r="K158" s="65">
        <v>0</v>
      </c>
      <c r="L158" s="133">
        <f t="shared" si="125"/>
        <v>0</v>
      </c>
      <c r="M158" s="63"/>
      <c r="N158" s="63"/>
      <c r="O158" s="63"/>
      <c r="P158" s="200">
        <f t="shared" si="115"/>
        <v>0</v>
      </c>
      <c r="Q158" s="200">
        <f t="shared" si="116"/>
        <v>0</v>
      </c>
      <c r="R158" s="200">
        <f t="shared" si="117"/>
        <v>0</v>
      </c>
      <c r="S158" s="133">
        <f t="shared" si="118"/>
        <v>0</v>
      </c>
      <c r="T158" s="133">
        <f t="shared" si="119"/>
        <v>0</v>
      </c>
      <c r="U158" s="133">
        <f t="shared" si="120"/>
        <v>0</v>
      </c>
      <c r="V158" s="200">
        <f t="shared" si="121"/>
        <v>0</v>
      </c>
      <c r="W158" s="200">
        <f t="shared" si="122"/>
        <v>0</v>
      </c>
      <c r="X158" s="200">
        <f t="shared" si="123"/>
        <v>0</v>
      </c>
      <c r="Y158" s="63"/>
      <c r="Z158" s="63"/>
      <c r="AA158" s="63"/>
      <c r="AB158" s="200">
        <f t="shared" si="137"/>
        <v>0</v>
      </c>
      <c r="AC158" s="200">
        <f t="shared" si="138"/>
        <v>0</v>
      </c>
      <c r="AD158" s="200">
        <f t="shared" si="139"/>
        <v>0</v>
      </c>
      <c r="AE158" s="199">
        <f t="shared" si="140"/>
        <v>0</v>
      </c>
      <c r="AF158" s="199">
        <f t="shared" si="141"/>
        <v>0</v>
      </c>
      <c r="AG158" s="199">
        <f t="shared" si="142"/>
        <v>0</v>
      </c>
      <c r="AH158" s="199"/>
      <c r="AI158" s="200">
        <f t="shared" si="143"/>
        <v>0</v>
      </c>
      <c r="AJ158" s="200">
        <f t="shared" si="144"/>
        <v>0</v>
      </c>
      <c r="AK158" s="200">
        <f t="shared" si="145"/>
        <v>0</v>
      </c>
      <c r="AL158" s="63"/>
      <c r="AM158" s="63"/>
      <c r="AN158" s="63"/>
      <c r="AO158" s="63"/>
      <c r="AP158" s="63"/>
      <c r="AQ158" s="10">
        <v>8432</v>
      </c>
      <c r="AR158" s="18"/>
      <c r="AS158" s="18"/>
      <c r="AT158" s="62"/>
      <c r="AU158" s="65">
        <v>103.587</v>
      </c>
      <c r="AV158" s="65">
        <v>3707.3789999999999</v>
      </c>
      <c r="AW158" s="65">
        <v>2.2491304347826087</v>
      </c>
      <c r="AX158" s="65">
        <v>4.8289565217391299</v>
      </c>
      <c r="AY158" s="65">
        <v>1207.6840342800001</v>
      </c>
      <c r="AZ158" s="1">
        <v>157.65978084217394</v>
      </c>
      <c r="BA158" s="65">
        <v>1235.394</v>
      </c>
      <c r="BB158" s="65">
        <v>857.31</v>
      </c>
      <c r="BC158" s="63"/>
      <c r="BD158" s="63"/>
      <c r="BE158" s="63"/>
      <c r="BF158" s="63"/>
      <c r="BG158" s="63"/>
      <c r="BH158" s="63"/>
      <c r="BI158" s="63"/>
      <c r="BJ158" s="63"/>
      <c r="BK158" s="63"/>
      <c r="BL158" s="63"/>
      <c r="BM158" s="63"/>
      <c r="BN158" s="63"/>
      <c r="BO158" s="63"/>
      <c r="BP158" s="10">
        <v>1984</v>
      </c>
      <c r="BQ158" s="65">
        <v>175.99252287621485</v>
      </c>
      <c r="BR158" s="65">
        <v>229.93989866114009</v>
      </c>
      <c r="BS158" s="65">
        <v>832.02867638430814</v>
      </c>
      <c r="BT158" s="65">
        <v>283.94598502299993</v>
      </c>
      <c r="BU158" s="65">
        <v>312.34008759699987</v>
      </c>
      <c r="BV158" s="144">
        <f t="shared" si="134"/>
        <v>0</v>
      </c>
      <c r="BW158" s="144">
        <f t="shared" si="135"/>
        <v>0</v>
      </c>
      <c r="BX158" s="144">
        <f t="shared" si="136"/>
        <v>0</v>
      </c>
      <c r="BY158" s="5"/>
      <c r="BZ158" s="66">
        <v>7254</v>
      </c>
      <c r="CA158" s="65">
        <v>3720</v>
      </c>
      <c r="CB158" s="65">
        <f>5*744</f>
        <v>3720</v>
      </c>
      <c r="CC158" s="5"/>
      <c r="CD158" s="188">
        <v>1.4635914569736794</v>
      </c>
      <c r="CE158" s="5"/>
      <c r="CF158" s="65"/>
      <c r="CG158" s="70"/>
      <c r="CH158" s="70"/>
      <c r="CI158" s="70"/>
      <c r="CJ158" s="65">
        <v>857.31</v>
      </c>
      <c r="CK158" s="8">
        <f t="shared" si="86"/>
        <v>34221.802664077339</v>
      </c>
      <c r="CL158" s="202">
        <f t="shared" si="60"/>
        <v>-34221.802664077339</v>
      </c>
      <c r="CM158" s="202">
        <f t="shared" si="61"/>
        <v>-34221.802664077339</v>
      </c>
      <c r="CN158" s="202">
        <f t="shared" si="62"/>
        <v>-34221.802664077339</v>
      </c>
      <c r="CO158" s="9">
        <f t="shared" si="63"/>
        <v>-34221.802664077339</v>
      </c>
      <c r="CP158" s="9">
        <f t="shared" si="64"/>
        <v>-34221.802664077339</v>
      </c>
      <c r="CQ158" s="9">
        <f t="shared" si="65"/>
        <v>-34221.802664077339</v>
      </c>
      <c r="CR158" s="202">
        <f t="shared" si="66"/>
        <v>-34221.802664077339</v>
      </c>
      <c r="CS158" s="202">
        <f t="shared" si="67"/>
        <v>-34221.802664077339</v>
      </c>
      <c r="CT158" s="202">
        <f t="shared" si="68"/>
        <v>-34221.802664077339</v>
      </c>
      <c r="CU158" s="203" t="e">
        <f t="shared" si="69"/>
        <v>#DIV/0!</v>
      </c>
      <c r="CV158" s="203" t="e">
        <f t="shared" si="70"/>
        <v>#DIV/0!</v>
      </c>
      <c r="CW158" s="203" t="e">
        <f t="shared" si="71"/>
        <v>#DIV/0!</v>
      </c>
      <c r="CX158" s="19" t="e">
        <f t="shared" si="72"/>
        <v>#DIV/0!</v>
      </c>
      <c r="CY158" s="19" t="e">
        <f t="shared" si="73"/>
        <v>#DIV/0!</v>
      </c>
      <c r="CZ158" s="19" t="e">
        <f t="shared" si="74"/>
        <v>#DIV/0!</v>
      </c>
      <c r="DA158" s="203" t="e">
        <f t="shared" si="75"/>
        <v>#DIV/0!</v>
      </c>
      <c r="DB158" s="203" t="e">
        <f t="shared" si="76"/>
        <v>#DIV/0!</v>
      </c>
      <c r="DC158" s="203" t="e">
        <f t="shared" si="77"/>
        <v>#DIV/0!</v>
      </c>
      <c r="DD158" s="65"/>
      <c r="DE158" s="66"/>
      <c r="DF158" s="66"/>
      <c r="DG158" s="66"/>
      <c r="DH158" s="66"/>
      <c r="DI158" s="66"/>
      <c r="DJ158" s="65"/>
      <c r="DK158" s="66"/>
      <c r="DL158" s="66"/>
      <c r="DM158" s="8">
        <f t="shared" si="78"/>
        <v>0</v>
      </c>
      <c r="DN158" s="8">
        <f t="shared" si="79"/>
        <v>34221.802664077339</v>
      </c>
      <c r="DO158" s="202">
        <f t="shared" si="99"/>
        <v>-34221.802664077339</v>
      </c>
      <c r="DP158" s="202">
        <f t="shared" si="100"/>
        <v>-34221.802664077339</v>
      </c>
      <c r="DQ158" s="202">
        <f t="shared" si="101"/>
        <v>-34221.802664077339</v>
      </c>
      <c r="DR158" s="9">
        <f t="shared" si="102"/>
        <v>-34221.802664077339</v>
      </c>
      <c r="DS158" s="9">
        <f t="shared" si="91"/>
        <v>-34221.802664077339</v>
      </c>
      <c r="DT158" s="9">
        <f t="shared" si="103"/>
        <v>-34221.802664077339</v>
      </c>
      <c r="DU158" s="202">
        <f t="shared" si="104"/>
        <v>-34221.802664077339</v>
      </c>
      <c r="DV158" s="202">
        <f t="shared" si="105"/>
        <v>-34221.802664077339</v>
      </c>
      <c r="DW158" s="202">
        <f t="shared" si="106"/>
        <v>-34221.802664077339</v>
      </c>
      <c r="DX158" s="203" t="e">
        <f t="shared" si="107"/>
        <v>#DIV/0!</v>
      </c>
      <c r="DY158" s="203" t="e">
        <f t="shared" si="108"/>
        <v>#DIV/0!</v>
      </c>
      <c r="DZ158" s="203" t="e">
        <f t="shared" si="109"/>
        <v>#DIV/0!</v>
      </c>
      <c r="EA158" s="19" t="e">
        <f t="shared" si="110"/>
        <v>#DIV/0!</v>
      </c>
      <c r="EB158" s="19" t="e">
        <f t="shared" si="97"/>
        <v>#DIV/0!</v>
      </c>
      <c r="EC158" s="19" t="e">
        <f t="shared" si="111"/>
        <v>#DIV/0!</v>
      </c>
      <c r="ED158" s="203" t="e">
        <f t="shared" si="112"/>
        <v>#DIV/0!</v>
      </c>
      <c r="EE158" s="203" t="e">
        <f t="shared" si="113"/>
        <v>#DIV/0!</v>
      </c>
      <c r="EF158" s="203" t="e">
        <f t="shared" si="114"/>
        <v>#DIV/0!</v>
      </c>
      <c r="EH158" s="58">
        <f t="shared" si="127"/>
        <v>26773.260985663841</v>
      </c>
      <c r="EI158" s="68" t="e">
        <f t="shared" si="128"/>
        <v>#DIV/0!</v>
      </c>
      <c r="EJ158" s="58">
        <f t="shared" si="129"/>
        <v>19519.260985663841</v>
      </c>
      <c r="EK158" s="68" t="e">
        <f t="shared" si="128"/>
        <v>#DIV/0!</v>
      </c>
      <c r="EL158" s="58">
        <f t="shared" si="130"/>
        <v>1834.2471705416631</v>
      </c>
      <c r="EM158" s="58">
        <f t="shared" si="131"/>
        <v>1834.2471705416631</v>
      </c>
      <c r="EN158" s="68" t="e">
        <f t="shared" si="132"/>
        <v>#DIV/0!</v>
      </c>
      <c r="EO158" s="139">
        <f t="shared" si="147"/>
        <v>0.25197746931178833</v>
      </c>
      <c r="EP158">
        <f>+(SUM(M158:O158)*EO158*(1-'[1]Tier 3 Data'!$A$2))</f>
        <v>0</v>
      </c>
    </row>
    <row r="159" spans="1:146" x14ac:dyDescent="0.2">
      <c r="A159" s="43">
        <v>0</v>
      </c>
      <c r="B159" s="43">
        <v>0</v>
      </c>
      <c r="C159" s="43">
        <v>0</v>
      </c>
      <c r="D159" s="70">
        <v>2020</v>
      </c>
      <c r="E159" s="70">
        <v>8</v>
      </c>
      <c r="F159" s="2">
        <v>744</v>
      </c>
      <c r="G159" s="63"/>
      <c r="H159" s="63"/>
      <c r="I159" s="63"/>
      <c r="J159" s="133">
        <f t="shared" si="124"/>
        <v>0</v>
      </c>
      <c r="K159" s="65">
        <v>0</v>
      </c>
      <c r="L159" s="133">
        <f t="shared" si="125"/>
        <v>0</v>
      </c>
      <c r="M159" s="63"/>
      <c r="N159" s="63"/>
      <c r="O159" s="63"/>
      <c r="P159" s="200">
        <f t="shared" si="115"/>
        <v>0</v>
      </c>
      <c r="Q159" s="200">
        <f t="shared" si="116"/>
        <v>0</v>
      </c>
      <c r="R159" s="200">
        <f t="shared" si="117"/>
        <v>0</v>
      </c>
      <c r="S159" s="133">
        <f t="shared" si="118"/>
        <v>0</v>
      </c>
      <c r="T159" s="133">
        <f t="shared" si="119"/>
        <v>0</v>
      </c>
      <c r="U159" s="133">
        <f t="shared" si="120"/>
        <v>0</v>
      </c>
      <c r="V159" s="200">
        <f t="shared" si="121"/>
        <v>0</v>
      </c>
      <c r="W159" s="200">
        <f t="shared" si="122"/>
        <v>0</v>
      </c>
      <c r="X159" s="200">
        <f t="shared" si="123"/>
        <v>0</v>
      </c>
      <c r="Y159" s="63"/>
      <c r="Z159" s="63"/>
      <c r="AA159" s="63"/>
      <c r="AB159" s="200">
        <f t="shared" si="137"/>
        <v>0</v>
      </c>
      <c r="AC159" s="200">
        <f t="shared" si="138"/>
        <v>0</v>
      </c>
      <c r="AD159" s="200">
        <f t="shared" si="139"/>
        <v>0</v>
      </c>
      <c r="AE159" s="199">
        <f t="shared" si="140"/>
        <v>0</v>
      </c>
      <c r="AF159" s="199">
        <f t="shared" si="141"/>
        <v>0</v>
      </c>
      <c r="AG159" s="199">
        <f t="shared" si="142"/>
        <v>0</v>
      </c>
      <c r="AH159" s="199"/>
      <c r="AI159" s="200">
        <f t="shared" si="143"/>
        <v>0</v>
      </c>
      <c r="AJ159" s="200">
        <f t="shared" si="144"/>
        <v>0</v>
      </c>
      <c r="AK159" s="200">
        <f t="shared" si="145"/>
        <v>0</v>
      </c>
      <c r="AL159" s="63"/>
      <c r="AM159" s="63"/>
      <c r="AN159" s="63"/>
      <c r="AO159" s="63"/>
      <c r="AP159" s="63"/>
      <c r="AQ159" s="10">
        <v>8432</v>
      </c>
      <c r="AR159" s="18"/>
      <c r="AS159" s="18"/>
      <c r="AT159" s="62"/>
      <c r="AU159" s="65">
        <v>99.373000000000005</v>
      </c>
      <c r="AV159" s="65">
        <v>3790.5839999999998</v>
      </c>
      <c r="AW159" s="65">
        <v>1.6356818181818182</v>
      </c>
      <c r="AX159" s="65">
        <v>3.9786363636363635</v>
      </c>
      <c r="AY159" s="65">
        <v>1097.150124816</v>
      </c>
      <c r="AZ159" s="1">
        <v>125.67115578522728</v>
      </c>
      <c r="BA159" s="65">
        <v>1734.384</v>
      </c>
      <c r="BB159" s="65">
        <v>1215.8625</v>
      </c>
      <c r="BC159" s="63"/>
      <c r="BD159" s="63"/>
      <c r="BE159" s="63"/>
      <c r="BF159" s="63"/>
      <c r="BG159" s="63"/>
      <c r="BH159" s="63"/>
      <c r="BI159" s="63"/>
      <c r="BJ159" s="63"/>
      <c r="BK159" s="63"/>
      <c r="BL159" s="63"/>
      <c r="BM159" s="63"/>
      <c r="BN159" s="63"/>
      <c r="BO159" s="63"/>
      <c r="BP159" s="10">
        <v>1984</v>
      </c>
      <c r="BQ159" s="65">
        <v>167.03058871577343</v>
      </c>
      <c r="BR159" s="65">
        <v>218.23091107735237</v>
      </c>
      <c r="BS159" s="65">
        <v>789.6601569312578</v>
      </c>
      <c r="BT159" s="65">
        <v>269.49368115499965</v>
      </c>
      <c r="BU159" s="65">
        <v>290.62684949100003</v>
      </c>
      <c r="BV159" s="144">
        <f t="shared" si="134"/>
        <v>0</v>
      </c>
      <c r="BW159" s="144">
        <f t="shared" si="135"/>
        <v>0</v>
      </c>
      <c r="BX159" s="144">
        <f t="shared" si="136"/>
        <v>0</v>
      </c>
      <c r="BY159" s="5"/>
      <c r="BZ159" s="66">
        <v>7254</v>
      </c>
      <c r="CA159" s="65">
        <v>3720</v>
      </c>
      <c r="CB159" s="65">
        <f>5*744</f>
        <v>3720</v>
      </c>
      <c r="CC159" s="5"/>
      <c r="CD159" s="188">
        <v>1.6092243007646725</v>
      </c>
      <c r="CE159" s="5"/>
      <c r="CF159" s="65"/>
      <c r="CG159" s="70"/>
      <c r="CH159" s="70"/>
      <c r="CI159" s="70"/>
      <c r="CJ159" s="65">
        <v>1215.8625</v>
      </c>
      <c r="CK159" s="8">
        <f t="shared" si="86"/>
        <v>34915.290510454193</v>
      </c>
      <c r="CL159" s="202">
        <f t="shared" si="60"/>
        <v>-34915.290510454193</v>
      </c>
      <c r="CM159" s="202">
        <f t="shared" si="61"/>
        <v>-34915.290510454193</v>
      </c>
      <c r="CN159" s="202">
        <f t="shared" si="62"/>
        <v>-34915.290510454193</v>
      </c>
      <c r="CO159" s="9">
        <f t="shared" si="63"/>
        <v>-34915.290510454193</v>
      </c>
      <c r="CP159" s="9">
        <f t="shared" si="64"/>
        <v>-34915.290510454193</v>
      </c>
      <c r="CQ159" s="9">
        <f t="shared" si="65"/>
        <v>-34915.290510454193</v>
      </c>
      <c r="CR159" s="202">
        <f t="shared" si="66"/>
        <v>-34915.290510454193</v>
      </c>
      <c r="CS159" s="202">
        <f t="shared" si="67"/>
        <v>-34915.290510454193</v>
      </c>
      <c r="CT159" s="202">
        <f t="shared" si="68"/>
        <v>-34915.290510454193</v>
      </c>
      <c r="CU159" s="203" t="e">
        <f t="shared" si="69"/>
        <v>#DIV/0!</v>
      </c>
      <c r="CV159" s="203" t="e">
        <f t="shared" si="70"/>
        <v>#DIV/0!</v>
      </c>
      <c r="CW159" s="203" t="e">
        <f t="shared" si="71"/>
        <v>#DIV/0!</v>
      </c>
      <c r="CX159" s="19" t="e">
        <f t="shared" si="72"/>
        <v>#DIV/0!</v>
      </c>
      <c r="CY159" s="19" t="e">
        <f t="shared" si="73"/>
        <v>#DIV/0!</v>
      </c>
      <c r="CZ159" s="19" t="e">
        <f t="shared" si="74"/>
        <v>#DIV/0!</v>
      </c>
      <c r="DA159" s="203" t="e">
        <f t="shared" si="75"/>
        <v>#DIV/0!</v>
      </c>
      <c r="DB159" s="203" t="e">
        <f t="shared" si="76"/>
        <v>#DIV/0!</v>
      </c>
      <c r="DC159" s="203" t="e">
        <f t="shared" si="77"/>
        <v>#DIV/0!</v>
      </c>
      <c r="DD159" s="65"/>
      <c r="DE159" s="66"/>
      <c r="DF159" s="66"/>
      <c r="DG159" s="66"/>
      <c r="DH159" s="66"/>
      <c r="DI159" s="66"/>
      <c r="DJ159" s="65"/>
      <c r="DK159" s="66"/>
      <c r="DL159" s="66"/>
      <c r="DM159" s="8">
        <f t="shared" si="78"/>
        <v>0</v>
      </c>
      <c r="DN159" s="8">
        <f t="shared" si="79"/>
        <v>34915.290510454193</v>
      </c>
      <c r="DO159" s="202">
        <f t="shared" si="99"/>
        <v>-34915.290510454193</v>
      </c>
      <c r="DP159" s="202">
        <f t="shared" si="100"/>
        <v>-34915.290510454193</v>
      </c>
      <c r="DQ159" s="202">
        <f t="shared" si="101"/>
        <v>-34915.290510454193</v>
      </c>
      <c r="DR159" s="9">
        <f t="shared" si="102"/>
        <v>-34915.290510454193</v>
      </c>
      <c r="DS159" s="9">
        <f t="shared" si="91"/>
        <v>-34915.290510454193</v>
      </c>
      <c r="DT159" s="9">
        <f t="shared" si="103"/>
        <v>-34915.290510454193</v>
      </c>
      <c r="DU159" s="202">
        <f t="shared" si="104"/>
        <v>-34915.290510454193</v>
      </c>
      <c r="DV159" s="202">
        <f t="shared" si="105"/>
        <v>-34915.290510454193</v>
      </c>
      <c r="DW159" s="202">
        <f t="shared" si="106"/>
        <v>-34915.290510454193</v>
      </c>
      <c r="DX159" s="203" t="e">
        <f t="shared" si="107"/>
        <v>#DIV/0!</v>
      </c>
      <c r="DY159" s="203" t="e">
        <f t="shared" si="108"/>
        <v>#DIV/0!</v>
      </c>
      <c r="DZ159" s="203" t="e">
        <f t="shared" si="109"/>
        <v>#DIV/0!</v>
      </c>
      <c r="EA159" s="19" t="e">
        <f t="shared" si="110"/>
        <v>#DIV/0!</v>
      </c>
      <c r="EB159" s="19" t="e">
        <f t="shared" si="97"/>
        <v>#DIV/0!</v>
      </c>
      <c r="EC159" s="19" t="e">
        <f t="shared" si="111"/>
        <v>#DIV/0!</v>
      </c>
      <c r="ED159" s="203" t="e">
        <f t="shared" si="112"/>
        <v>#DIV/0!</v>
      </c>
      <c r="EE159" s="203" t="e">
        <f t="shared" si="113"/>
        <v>#DIV/0!</v>
      </c>
      <c r="EF159" s="203" t="e">
        <f t="shared" si="114"/>
        <v>#DIV/0!</v>
      </c>
      <c r="EH159" s="58">
        <f t="shared" si="127"/>
        <v>27468.066967971612</v>
      </c>
      <c r="EI159" s="68" t="e">
        <f t="shared" si="128"/>
        <v>#DIV/0!</v>
      </c>
      <c r="EJ159" s="58">
        <f t="shared" si="129"/>
        <v>20214.066967971612</v>
      </c>
      <c r="EK159" s="68" t="e">
        <f t="shared" si="128"/>
        <v>#DIV/0!</v>
      </c>
      <c r="EL159" s="58">
        <f t="shared" si="130"/>
        <v>1735.0421873703833</v>
      </c>
      <c r="EM159" s="58">
        <f t="shared" si="131"/>
        <v>1735.0421873703833</v>
      </c>
      <c r="EN159" s="68" t="e">
        <f t="shared" si="132"/>
        <v>#DIV/0!</v>
      </c>
      <c r="EO159" s="139">
        <f t="shared" si="147"/>
        <v>0.28519905910129462</v>
      </c>
      <c r="EP159">
        <f>+(SUM(M159:O159)*EO159*(1-'[1]Tier 3 Data'!$A$2))</f>
        <v>0</v>
      </c>
    </row>
    <row r="160" spans="1:146" x14ac:dyDescent="0.2">
      <c r="A160" s="43">
        <v>0</v>
      </c>
      <c r="B160" s="43">
        <v>0</v>
      </c>
      <c r="C160" s="43">
        <v>0</v>
      </c>
      <c r="D160" s="70">
        <v>2020</v>
      </c>
      <c r="E160" s="70">
        <v>9</v>
      </c>
      <c r="F160" s="2">
        <v>720</v>
      </c>
      <c r="G160" s="63"/>
      <c r="H160" s="63"/>
      <c r="I160" s="63"/>
      <c r="J160" s="133">
        <f t="shared" si="124"/>
        <v>0</v>
      </c>
      <c r="K160" s="65">
        <v>0</v>
      </c>
      <c r="L160" s="133">
        <f t="shared" si="125"/>
        <v>0</v>
      </c>
      <c r="M160" s="63"/>
      <c r="N160" s="63"/>
      <c r="O160" s="63"/>
      <c r="P160" s="200">
        <f t="shared" si="115"/>
        <v>0</v>
      </c>
      <c r="Q160" s="200">
        <f t="shared" si="116"/>
        <v>0</v>
      </c>
      <c r="R160" s="200">
        <f t="shared" si="117"/>
        <v>0</v>
      </c>
      <c r="S160" s="133">
        <f t="shared" ref="S160:S191" si="149">+$H160-J160-(30%*SUM($M160:$O160))</f>
        <v>0</v>
      </c>
      <c r="T160" s="133">
        <f t="shared" ref="T160:T191" si="150">+$H160-K160-(30%*SUM($M160:$O160))</f>
        <v>0</v>
      </c>
      <c r="U160" s="133">
        <f t="shared" ref="U160:U191" si="151">+$H160-L160-(30%*SUM($M160:$O160))</f>
        <v>0</v>
      </c>
      <c r="V160" s="200">
        <f t="shared" si="121"/>
        <v>0</v>
      </c>
      <c r="W160" s="200">
        <f t="shared" si="122"/>
        <v>0</v>
      </c>
      <c r="X160" s="200">
        <f t="shared" si="123"/>
        <v>0</v>
      </c>
      <c r="Y160" s="63"/>
      <c r="Z160" s="63"/>
      <c r="AA160" s="63"/>
      <c r="AB160" s="200">
        <f t="shared" si="137"/>
        <v>0</v>
      </c>
      <c r="AC160" s="200">
        <f t="shared" si="138"/>
        <v>0</v>
      </c>
      <c r="AD160" s="200">
        <f t="shared" si="139"/>
        <v>0</v>
      </c>
      <c r="AE160" s="199">
        <f t="shared" si="140"/>
        <v>0</v>
      </c>
      <c r="AF160" s="199">
        <f t="shared" si="141"/>
        <v>0</v>
      </c>
      <c r="AG160" s="199">
        <f t="shared" si="142"/>
        <v>0</v>
      </c>
      <c r="AH160" s="199"/>
      <c r="AI160" s="200">
        <f t="shared" si="143"/>
        <v>0</v>
      </c>
      <c r="AJ160" s="200">
        <f t="shared" si="144"/>
        <v>0</v>
      </c>
      <c r="AK160" s="200">
        <f t="shared" si="145"/>
        <v>0</v>
      </c>
      <c r="AL160" s="63"/>
      <c r="AM160" s="63"/>
      <c r="AN160" s="63"/>
      <c r="AO160" s="63"/>
      <c r="AP160" s="63"/>
      <c r="AQ160" s="10">
        <v>8160</v>
      </c>
      <c r="AR160" s="18"/>
      <c r="AS160" s="18"/>
      <c r="AT160" s="62"/>
      <c r="AU160" s="65">
        <v>110.84399999999999</v>
      </c>
      <c r="AV160" s="65">
        <v>3319.0889999999999</v>
      </c>
      <c r="AW160" s="65">
        <v>1.4349090909090909</v>
      </c>
      <c r="AX160" s="65">
        <v>2.4159999999999999</v>
      </c>
      <c r="AY160" s="65">
        <v>1034.0553087360001</v>
      </c>
      <c r="AZ160" s="1">
        <v>104.88591166545456</v>
      </c>
      <c r="BA160" s="65">
        <v>1091.0940000000001</v>
      </c>
      <c r="BB160" s="65">
        <v>907.05</v>
      </c>
      <c r="BC160" s="63"/>
      <c r="BD160" s="63"/>
      <c r="BE160" s="63"/>
      <c r="BF160" s="63"/>
      <c r="BG160" s="63"/>
      <c r="BH160" s="63"/>
      <c r="BI160" s="63"/>
      <c r="BJ160" s="63"/>
      <c r="BK160" s="63"/>
      <c r="BL160" s="63"/>
      <c r="BM160" s="63"/>
      <c r="BN160" s="63"/>
      <c r="BO160" s="63"/>
      <c r="BP160" s="10">
        <v>1920</v>
      </c>
      <c r="BQ160" s="65">
        <v>133.36048321955468</v>
      </c>
      <c r="BR160" s="65">
        <v>174.23986747249486</v>
      </c>
      <c r="BS160" s="65">
        <v>630.48025952501428</v>
      </c>
      <c r="BT160" s="65">
        <v>232.11637600099996</v>
      </c>
      <c r="BU160" s="65">
        <v>238.62773000700005</v>
      </c>
      <c r="BV160" s="144">
        <f t="shared" si="134"/>
        <v>0</v>
      </c>
      <c r="BW160" s="144">
        <f t="shared" si="135"/>
        <v>0</v>
      </c>
      <c r="BX160" s="144">
        <f t="shared" si="136"/>
        <v>0</v>
      </c>
      <c r="BY160" s="5"/>
      <c r="BZ160" s="66">
        <v>7020</v>
      </c>
      <c r="CA160" s="65">
        <v>3600</v>
      </c>
      <c r="CB160" s="65">
        <f t="shared" si="148"/>
        <v>3600</v>
      </c>
      <c r="CC160" s="5"/>
      <c r="CD160" s="188">
        <v>0.71987692797197578</v>
      </c>
      <c r="CE160" s="5"/>
      <c r="CF160" s="65"/>
      <c r="CG160" s="70"/>
      <c r="CH160" s="70"/>
      <c r="CI160" s="70"/>
      <c r="CJ160" s="65">
        <v>907.05</v>
      </c>
      <c r="CK160" s="8">
        <f t="shared" si="86"/>
        <v>32280.413722645397</v>
      </c>
      <c r="CL160" s="202">
        <f t="shared" si="60"/>
        <v>-32280.413722645397</v>
      </c>
      <c r="CM160" s="202">
        <f t="shared" si="61"/>
        <v>-32280.413722645397</v>
      </c>
      <c r="CN160" s="202">
        <f t="shared" si="62"/>
        <v>-32280.413722645397</v>
      </c>
      <c r="CO160" s="9">
        <f t="shared" si="63"/>
        <v>-32280.413722645397</v>
      </c>
      <c r="CP160" s="9">
        <f t="shared" si="64"/>
        <v>-32280.413722645397</v>
      </c>
      <c r="CQ160" s="9">
        <f t="shared" si="65"/>
        <v>-32280.413722645397</v>
      </c>
      <c r="CR160" s="202">
        <f t="shared" si="66"/>
        <v>-32280.413722645397</v>
      </c>
      <c r="CS160" s="202">
        <f t="shared" si="67"/>
        <v>-32280.413722645397</v>
      </c>
      <c r="CT160" s="202">
        <f t="shared" si="68"/>
        <v>-32280.413722645397</v>
      </c>
      <c r="CU160" s="203" t="e">
        <f t="shared" si="69"/>
        <v>#DIV/0!</v>
      </c>
      <c r="CV160" s="203" t="e">
        <f t="shared" si="70"/>
        <v>#DIV/0!</v>
      </c>
      <c r="CW160" s="203" t="e">
        <f t="shared" si="71"/>
        <v>#DIV/0!</v>
      </c>
      <c r="CX160" s="19" t="e">
        <f t="shared" si="72"/>
        <v>#DIV/0!</v>
      </c>
      <c r="CY160" s="19" t="e">
        <f t="shared" si="73"/>
        <v>#DIV/0!</v>
      </c>
      <c r="CZ160" s="19" t="e">
        <f t="shared" si="74"/>
        <v>#DIV/0!</v>
      </c>
      <c r="DA160" s="203" t="e">
        <f t="shared" si="75"/>
        <v>#DIV/0!</v>
      </c>
      <c r="DB160" s="203" t="e">
        <f t="shared" si="76"/>
        <v>#DIV/0!</v>
      </c>
      <c r="DC160" s="203" t="e">
        <f t="shared" si="77"/>
        <v>#DIV/0!</v>
      </c>
      <c r="DD160" s="65"/>
      <c r="DE160" s="66"/>
      <c r="DF160" s="66"/>
      <c r="DG160" s="66"/>
      <c r="DH160" s="66"/>
      <c r="DI160" s="66"/>
      <c r="DJ160" s="65"/>
      <c r="DK160" s="66"/>
      <c r="DL160" s="66"/>
      <c r="DM160" s="8">
        <f t="shared" si="78"/>
        <v>0</v>
      </c>
      <c r="DN160" s="8">
        <f t="shared" si="79"/>
        <v>32280.413722645397</v>
      </c>
      <c r="DO160" s="202">
        <f t="shared" si="99"/>
        <v>-32280.413722645397</v>
      </c>
      <c r="DP160" s="202">
        <f t="shared" si="100"/>
        <v>-32280.413722645397</v>
      </c>
      <c r="DQ160" s="202">
        <f t="shared" si="101"/>
        <v>-32280.413722645397</v>
      </c>
      <c r="DR160" s="9">
        <f t="shared" si="102"/>
        <v>-32280.413722645397</v>
      </c>
      <c r="DS160" s="9">
        <f t="shared" si="91"/>
        <v>-32280.413722645397</v>
      </c>
      <c r="DT160" s="9">
        <f t="shared" si="103"/>
        <v>-32280.413722645397</v>
      </c>
      <c r="DU160" s="202">
        <f t="shared" si="104"/>
        <v>-32280.413722645397</v>
      </c>
      <c r="DV160" s="202">
        <f t="shared" si="105"/>
        <v>-32280.413722645397</v>
      </c>
      <c r="DW160" s="202">
        <f t="shared" si="106"/>
        <v>-32280.413722645397</v>
      </c>
      <c r="DX160" s="203" t="e">
        <f t="shared" si="107"/>
        <v>#DIV/0!</v>
      </c>
      <c r="DY160" s="203" t="e">
        <f t="shared" si="108"/>
        <v>#DIV/0!</v>
      </c>
      <c r="DZ160" s="203" t="e">
        <f t="shared" si="109"/>
        <v>#DIV/0!</v>
      </c>
      <c r="EA160" s="19" t="e">
        <f t="shared" si="110"/>
        <v>#DIV/0!</v>
      </c>
      <c r="EB160" s="19" t="e">
        <f t="shared" si="97"/>
        <v>#DIV/0!</v>
      </c>
      <c r="EC160" s="19" t="e">
        <f t="shared" si="111"/>
        <v>#DIV/0!</v>
      </c>
      <c r="ED160" s="203" t="e">
        <f t="shared" si="112"/>
        <v>#DIV/0!</v>
      </c>
      <c r="EE160" s="203" t="e">
        <f t="shared" si="113"/>
        <v>#DIV/0!</v>
      </c>
      <c r="EF160" s="203" t="e">
        <f t="shared" si="114"/>
        <v>#DIV/0!</v>
      </c>
      <c r="EH160" s="58">
        <f t="shared" si="127"/>
        <v>25075.842936626515</v>
      </c>
      <c r="EI160" s="68" t="e">
        <f t="shared" si="128"/>
        <v>#DIV/0!</v>
      </c>
      <c r="EJ160" s="58">
        <f t="shared" si="129"/>
        <v>18055.842936626515</v>
      </c>
      <c r="EK160" s="68" t="e">
        <f t="shared" si="128"/>
        <v>#DIV/0!</v>
      </c>
      <c r="EL160" s="58">
        <f t="shared" si="130"/>
        <v>1408.8247162250639</v>
      </c>
      <c r="EM160" s="58">
        <f t="shared" si="131"/>
        <v>1408.8247162250639</v>
      </c>
      <c r="EN160" s="68" t="e">
        <f t="shared" si="132"/>
        <v>#DIV/0!</v>
      </c>
      <c r="EO160" s="139">
        <f t="shared" si="147"/>
        <v>0.31860645638858931</v>
      </c>
      <c r="EP160">
        <f>+(SUM(M160:O160)*EO160*(1-'[1]Tier 3 Data'!$A$2))</f>
        <v>0</v>
      </c>
    </row>
    <row r="161" spans="1:146" x14ac:dyDescent="0.2">
      <c r="A161" s="43">
        <v>0</v>
      </c>
      <c r="B161" s="43">
        <v>0</v>
      </c>
      <c r="C161" s="43">
        <v>0</v>
      </c>
      <c r="D161" s="70">
        <v>2020</v>
      </c>
      <c r="E161" s="70">
        <v>10</v>
      </c>
      <c r="F161" s="2">
        <v>744</v>
      </c>
      <c r="G161" s="63"/>
      <c r="H161" s="63"/>
      <c r="I161" s="63"/>
      <c r="J161" s="133">
        <f t="shared" si="124"/>
        <v>0</v>
      </c>
      <c r="K161" s="65">
        <v>0</v>
      </c>
      <c r="L161" s="133">
        <f t="shared" si="125"/>
        <v>0</v>
      </c>
      <c r="M161" s="63"/>
      <c r="N161" s="63"/>
      <c r="O161" s="63"/>
      <c r="P161" s="200">
        <f t="shared" si="115"/>
        <v>0</v>
      </c>
      <c r="Q161" s="200">
        <f t="shared" si="116"/>
        <v>0</v>
      </c>
      <c r="R161" s="200">
        <f t="shared" si="117"/>
        <v>0</v>
      </c>
      <c r="S161" s="133">
        <f t="shared" si="149"/>
        <v>0</v>
      </c>
      <c r="T161" s="133">
        <f t="shared" si="150"/>
        <v>0</v>
      </c>
      <c r="U161" s="133">
        <f t="shared" si="151"/>
        <v>0</v>
      </c>
      <c r="V161" s="200">
        <f t="shared" si="121"/>
        <v>0</v>
      </c>
      <c r="W161" s="200">
        <f t="shared" si="122"/>
        <v>0</v>
      </c>
      <c r="X161" s="200">
        <f t="shared" si="123"/>
        <v>0</v>
      </c>
      <c r="Y161" s="63"/>
      <c r="Z161" s="63"/>
      <c r="AA161" s="63"/>
      <c r="AB161" s="200">
        <f t="shared" si="137"/>
        <v>0</v>
      </c>
      <c r="AC161" s="200">
        <f t="shared" si="138"/>
        <v>0</v>
      </c>
      <c r="AD161" s="200">
        <f t="shared" si="139"/>
        <v>0</v>
      </c>
      <c r="AE161" s="199">
        <f t="shared" si="140"/>
        <v>0</v>
      </c>
      <c r="AF161" s="199">
        <f t="shared" si="141"/>
        <v>0</v>
      </c>
      <c r="AG161" s="199">
        <f t="shared" si="142"/>
        <v>0</v>
      </c>
      <c r="AH161" s="199"/>
      <c r="AI161" s="200">
        <f t="shared" si="143"/>
        <v>0</v>
      </c>
      <c r="AJ161" s="200">
        <f t="shared" si="144"/>
        <v>0</v>
      </c>
      <c r="AK161" s="200">
        <f t="shared" si="145"/>
        <v>0</v>
      </c>
      <c r="AL161" s="63"/>
      <c r="AM161" s="63"/>
      <c r="AN161" s="63"/>
      <c r="AO161" s="63"/>
      <c r="AP161" s="63"/>
      <c r="AQ161" s="10">
        <v>8432</v>
      </c>
      <c r="AR161" s="18"/>
      <c r="AS161" s="18"/>
      <c r="AT161" s="62"/>
      <c r="AU161" s="65">
        <v>100.777</v>
      </c>
      <c r="AV161" s="65">
        <v>3508.0830000000001</v>
      </c>
      <c r="AW161" s="65">
        <v>2.1464761904761902</v>
      </c>
      <c r="AX161" s="65">
        <v>6.9496818181818183</v>
      </c>
      <c r="AY161" s="65">
        <v>1243.7316828</v>
      </c>
      <c r="AZ161" s="1">
        <v>158.24629847204545</v>
      </c>
      <c r="BA161" s="65">
        <v>2654.806</v>
      </c>
      <c r="BB161" s="65">
        <v>2632.605</v>
      </c>
      <c r="BC161" s="63"/>
      <c r="BD161" s="63"/>
      <c r="BE161" s="63"/>
      <c r="BF161" s="63"/>
      <c r="BG161" s="63"/>
      <c r="BH161" s="63"/>
      <c r="BI161" s="63"/>
      <c r="BJ161" s="63"/>
      <c r="BK161" s="63"/>
      <c r="BL161" s="63"/>
      <c r="BM161" s="63"/>
      <c r="BN161" s="63"/>
      <c r="BO161" s="63"/>
      <c r="BP161" s="10">
        <v>1984</v>
      </c>
      <c r="BQ161" s="65">
        <v>105.22156545056349</v>
      </c>
      <c r="BR161" s="65">
        <v>137.47540857371189</v>
      </c>
      <c r="BS161" s="65">
        <v>497.44947768269662</v>
      </c>
      <c r="BT161" s="65">
        <v>164.20584379100001</v>
      </c>
      <c r="BU161" s="65">
        <v>162.90647858300002</v>
      </c>
      <c r="BV161" s="144">
        <f t="shared" si="134"/>
        <v>0</v>
      </c>
      <c r="BW161" s="144">
        <f t="shared" si="135"/>
        <v>0</v>
      </c>
      <c r="BX161" s="144">
        <f t="shared" si="136"/>
        <v>0</v>
      </c>
      <c r="BY161" s="5"/>
      <c r="BZ161" s="66">
        <v>7254</v>
      </c>
      <c r="CA161" s="65">
        <v>3720</v>
      </c>
      <c r="CB161" s="65">
        <f>5*744</f>
        <v>3720</v>
      </c>
      <c r="CC161" s="5"/>
      <c r="CD161" s="188">
        <v>2.423520476565336</v>
      </c>
      <c r="CE161" s="5"/>
      <c r="CF161" s="65"/>
      <c r="CG161" s="70"/>
      <c r="CH161" s="70"/>
      <c r="CI161" s="70"/>
      <c r="CJ161" s="65">
        <v>2632.605</v>
      </c>
      <c r="CK161" s="8">
        <f t="shared" si="86"/>
        <v>36487.027433838237</v>
      </c>
      <c r="CL161" s="202">
        <f t="shared" si="60"/>
        <v>-36487.027433838237</v>
      </c>
      <c r="CM161" s="202">
        <f t="shared" si="61"/>
        <v>-36487.027433838237</v>
      </c>
      <c r="CN161" s="202">
        <f t="shared" si="62"/>
        <v>-36487.027433838237</v>
      </c>
      <c r="CO161" s="9">
        <f t="shared" si="63"/>
        <v>-36487.027433838237</v>
      </c>
      <c r="CP161" s="9">
        <f t="shared" si="64"/>
        <v>-36487.027433838237</v>
      </c>
      <c r="CQ161" s="9">
        <f t="shared" si="65"/>
        <v>-36487.027433838237</v>
      </c>
      <c r="CR161" s="202">
        <f t="shared" si="66"/>
        <v>-36487.027433838237</v>
      </c>
      <c r="CS161" s="202">
        <f t="shared" si="67"/>
        <v>-36487.027433838237</v>
      </c>
      <c r="CT161" s="202">
        <f t="shared" si="68"/>
        <v>-36487.027433838237</v>
      </c>
      <c r="CU161" s="203" t="e">
        <f t="shared" si="69"/>
        <v>#DIV/0!</v>
      </c>
      <c r="CV161" s="203" t="e">
        <f t="shared" si="70"/>
        <v>#DIV/0!</v>
      </c>
      <c r="CW161" s="203" t="e">
        <f t="shared" si="71"/>
        <v>#DIV/0!</v>
      </c>
      <c r="CX161" s="19" t="e">
        <f t="shared" si="72"/>
        <v>#DIV/0!</v>
      </c>
      <c r="CY161" s="19" t="e">
        <f t="shared" si="73"/>
        <v>#DIV/0!</v>
      </c>
      <c r="CZ161" s="19" t="e">
        <f t="shared" si="74"/>
        <v>#DIV/0!</v>
      </c>
      <c r="DA161" s="203" t="e">
        <f t="shared" si="75"/>
        <v>#DIV/0!</v>
      </c>
      <c r="DB161" s="203" t="e">
        <f t="shared" si="76"/>
        <v>#DIV/0!</v>
      </c>
      <c r="DC161" s="203" t="e">
        <f t="shared" si="77"/>
        <v>#DIV/0!</v>
      </c>
      <c r="DD161" s="65"/>
      <c r="DE161" s="66"/>
      <c r="DF161" s="66"/>
      <c r="DG161" s="66"/>
      <c r="DH161" s="66"/>
      <c r="DI161" s="66"/>
      <c r="DJ161" s="65"/>
      <c r="DK161" s="66"/>
      <c r="DL161" s="66"/>
      <c r="DM161" s="8">
        <f t="shared" si="78"/>
        <v>0</v>
      </c>
      <c r="DN161" s="8">
        <f t="shared" si="79"/>
        <v>36487.027433838237</v>
      </c>
      <c r="DO161" s="202">
        <f t="shared" si="99"/>
        <v>-36487.027433838237</v>
      </c>
      <c r="DP161" s="202">
        <f t="shared" si="100"/>
        <v>-36487.027433838237</v>
      </c>
      <c r="DQ161" s="202">
        <f t="shared" si="101"/>
        <v>-36487.027433838237</v>
      </c>
      <c r="DR161" s="9">
        <f t="shared" si="102"/>
        <v>-36487.027433838237</v>
      </c>
      <c r="DS161" s="9">
        <f t="shared" si="91"/>
        <v>-36487.027433838237</v>
      </c>
      <c r="DT161" s="9">
        <f t="shared" si="103"/>
        <v>-36487.027433838237</v>
      </c>
      <c r="DU161" s="202">
        <f t="shared" si="104"/>
        <v>-36487.027433838237</v>
      </c>
      <c r="DV161" s="202">
        <f t="shared" si="105"/>
        <v>-36487.027433838237</v>
      </c>
      <c r="DW161" s="202">
        <f t="shared" si="106"/>
        <v>-36487.027433838237</v>
      </c>
      <c r="DX161" s="203" t="e">
        <f t="shared" si="107"/>
        <v>#DIV/0!</v>
      </c>
      <c r="DY161" s="203" t="e">
        <f t="shared" si="108"/>
        <v>#DIV/0!</v>
      </c>
      <c r="DZ161" s="203" t="e">
        <f t="shared" si="109"/>
        <v>#DIV/0!</v>
      </c>
      <c r="EA161" s="19" t="e">
        <f t="shared" si="110"/>
        <v>#DIV/0!</v>
      </c>
      <c r="EB161" s="19" t="e">
        <f t="shared" si="97"/>
        <v>#DIV/0!</v>
      </c>
      <c r="EC161" s="19" t="e">
        <f t="shared" si="111"/>
        <v>#DIV/0!</v>
      </c>
      <c r="ED161" s="203" t="e">
        <f t="shared" si="112"/>
        <v>#DIV/0!</v>
      </c>
      <c r="EE161" s="203" t="e">
        <f t="shared" si="113"/>
        <v>#DIV/0!</v>
      </c>
      <c r="EF161" s="203" t="e">
        <f t="shared" si="114"/>
        <v>#DIV/0!</v>
      </c>
      <c r="EH161" s="58">
        <f t="shared" si="127"/>
        <v>29035.507755353025</v>
      </c>
      <c r="EI161" s="68" t="e">
        <f t="shared" si="128"/>
        <v>#DIV/0!</v>
      </c>
      <c r="EJ161" s="58">
        <f t="shared" si="129"/>
        <v>21781.507755353025</v>
      </c>
      <c r="EK161" s="68" t="e">
        <f t="shared" si="128"/>
        <v>#DIV/0!</v>
      </c>
      <c r="EL161" s="58">
        <f t="shared" si="130"/>
        <v>1067.258774080972</v>
      </c>
      <c r="EM161" s="58">
        <f t="shared" si="131"/>
        <v>1067.258774080972</v>
      </c>
      <c r="EN161" s="68" t="e">
        <f t="shared" si="132"/>
        <v>#DIV/0!</v>
      </c>
      <c r="EO161" s="139">
        <f t="shared" si="147"/>
        <v>0.35739486552628164</v>
      </c>
      <c r="EP161">
        <f>+(SUM(M161:O161)*EO161*(1-'[1]Tier 3 Data'!$A$2))</f>
        <v>0</v>
      </c>
    </row>
    <row r="162" spans="1:146" x14ac:dyDescent="0.2">
      <c r="A162" s="43">
        <v>0</v>
      </c>
      <c r="B162" s="43">
        <v>0</v>
      </c>
      <c r="C162" s="43">
        <v>0</v>
      </c>
      <c r="D162" s="70">
        <v>2020</v>
      </c>
      <c r="E162" s="70">
        <v>11</v>
      </c>
      <c r="F162" s="2">
        <v>721</v>
      </c>
      <c r="G162" s="63"/>
      <c r="H162" s="63"/>
      <c r="I162" s="63"/>
      <c r="J162" s="133">
        <f t="shared" si="124"/>
        <v>0</v>
      </c>
      <c r="K162" s="65">
        <v>0</v>
      </c>
      <c r="L162" s="133">
        <f t="shared" si="125"/>
        <v>0</v>
      </c>
      <c r="M162" s="63"/>
      <c r="N162" s="63"/>
      <c r="O162" s="63"/>
      <c r="P162" s="200">
        <f t="shared" si="115"/>
        <v>0</v>
      </c>
      <c r="Q162" s="200">
        <f t="shared" si="116"/>
        <v>0</v>
      </c>
      <c r="R162" s="200">
        <f t="shared" si="117"/>
        <v>0</v>
      </c>
      <c r="S162" s="133">
        <f t="shared" si="149"/>
        <v>0</v>
      </c>
      <c r="T162" s="133">
        <f t="shared" si="150"/>
        <v>0</v>
      </c>
      <c r="U162" s="133">
        <f t="shared" si="151"/>
        <v>0</v>
      </c>
      <c r="V162" s="200">
        <f t="shared" si="121"/>
        <v>0</v>
      </c>
      <c r="W162" s="200">
        <f t="shared" si="122"/>
        <v>0</v>
      </c>
      <c r="X162" s="200">
        <f t="shared" si="123"/>
        <v>0</v>
      </c>
      <c r="Y162" s="63"/>
      <c r="Z162" s="63"/>
      <c r="AA162" s="63"/>
      <c r="AB162" s="200">
        <f t="shared" si="137"/>
        <v>0</v>
      </c>
      <c r="AC162" s="200">
        <f t="shared" si="138"/>
        <v>0</v>
      </c>
      <c r="AD162" s="200">
        <f t="shared" si="139"/>
        <v>0</v>
      </c>
      <c r="AE162" s="199">
        <f t="shared" si="140"/>
        <v>0</v>
      </c>
      <c r="AF162" s="199">
        <f t="shared" si="141"/>
        <v>0</v>
      </c>
      <c r="AG162" s="199">
        <f t="shared" si="142"/>
        <v>0</v>
      </c>
      <c r="AH162" s="199"/>
      <c r="AI162" s="200">
        <f t="shared" si="143"/>
        <v>0</v>
      </c>
      <c r="AJ162" s="200">
        <f t="shared" si="144"/>
        <v>0</v>
      </c>
      <c r="AK162" s="200">
        <f t="shared" si="145"/>
        <v>0</v>
      </c>
      <c r="AL162" s="63"/>
      <c r="AM162" s="63"/>
      <c r="AN162" s="63"/>
      <c r="AO162" s="63"/>
      <c r="AP162" s="63"/>
      <c r="AQ162" s="18"/>
      <c r="AR162" s="10">
        <v>9600</v>
      </c>
      <c r="AS162" s="18"/>
      <c r="AT162" s="62"/>
      <c r="AU162" s="65">
        <v>88.956000000000003</v>
      </c>
      <c r="AV162" s="65">
        <v>3546.9119999999998</v>
      </c>
      <c r="AW162" s="65">
        <v>2.8365</v>
      </c>
      <c r="AX162" s="65">
        <v>9.1989545454545461</v>
      </c>
      <c r="AY162" s="65">
        <v>1175.4324079200001</v>
      </c>
      <c r="AZ162" s="1">
        <v>195.07467121009094</v>
      </c>
      <c r="BA162" s="65">
        <v>2318.7399999999998</v>
      </c>
      <c r="BB162" s="65">
        <v>2771.13</v>
      </c>
      <c r="BC162" s="63"/>
      <c r="BD162" s="63"/>
      <c r="BE162" s="63"/>
      <c r="BF162" s="63"/>
      <c r="BG162" s="63"/>
      <c r="BH162" s="63"/>
      <c r="BI162" s="63"/>
      <c r="BJ162" s="63"/>
      <c r="BK162" s="63"/>
      <c r="BL162" s="63"/>
      <c r="BM162" s="63"/>
      <c r="BN162" s="63"/>
      <c r="BO162" s="63"/>
      <c r="BP162" s="10">
        <v>1920</v>
      </c>
      <c r="BQ162" s="65">
        <v>64.856498613074208</v>
      </c>
      <c r="BR162" s="65">
        <v>84.73713041807099</v>
      </c>
      <c r="BS162" s="65">
        <v>306.61804721630762</v>
      </c>
      <c r="BT162" s="65">
        <v>113.25973577499995</v>
      </c>
      <c r="BU162" s="65">
        <v>125.33498877499991</v>
      </c>
      <c r="BV162" s="144">
        <f t="shared" si="134"/>
        <v>0</v>
      </c>
      <c r="BW162" s="144">
        <f t="shared" si="135"/>
        <v>0</v>
      </c>
      <c r="BX162" s="144">
        <f t="shared" si="136"/>
        <v>0</v>
      </c>
      <c r="BY162" s="5"/>
      <c r="BZ162" s="66">
        <v>7029.75</v>
      </c>
      <c r="CA162" s="65">
        <v>3605</v>
      </c>
      <c r="CB162" s="65">
        <f>5*721</f>
        <v>3605</v>
      </c>
      <c r="CC162" s="5"/>
      <c r="CD162" s="188">
        <v>0.95927721018850021</v>
      </c>
      <c r="CE162" s="5"/>
      <c r="CF162" s="65"/>
      <c r="CG162" s="70"/>
      <c r="CH162" s="70"/>
      <c r="CI162" s="70"/>
      <c r="CJ162" s="65">
        <v>2771.13</v>
      </c>
      <c r="CK162" s="8">
        <f t="shared" si="86"/>
        <v>36563.796211683184</v>
      </c>
      <c r="CL162" s="202">
        <f t="shared" si="60"/>
        <v>-36563.796211683184</v>
      </c>
      <c r="CM162" s="202">
        <f t="shared" si="61"/>
        <v>-36563.796211683184</v>
      </c>
      <c r="CN162" s="202">
        <f t="shared" si="62"/>
        <v>-36563.796211683184</v>
      </c>
      <c r="CO162" s="9">
        <f t="shared" si="63"/>
        <v>-36563.796211683184</v>
      </c>
      <c r="CP162" s="9">
        <f t="shared" si="64"/>
        <v>-36563.796211683184</v>
      </c>
      <c r="CQ162" s="9">
        <f t="shared" si="65"/>
        <v>-36563.796211683184</v>
      </c>
      <c r="CR162" s="202">
        <f t="shared" si="66"/>
        <v>-36563.796211683184</v>
      </c>
      <c r="CS162" s="202">
        <f t="shared" si="67"/>
        <v>-36563.796211683184</v>
      </c>
      <c r="CT162" s="202">
        <f t="shared" si="68"/>
        <v>-36563.796211683184</v>
      </c>
      <c r="CU162" s="203" t="e">
        <f t="shared" si="69"/>
        <v>#DIV/0!</v>
      </c>
      <c r="CV162" s="203" t="e">
        <f t="shared" si="70"/>
        <v>#DIV/0!</v>
      </c>
      <c r="CW162" s="203" t="e">
        <f t="shared" si="71"/>
        <v>#DIV/0!</v>
      </c>
      <c r="CX162" s="19" t="e">
        <f t="shared" si="72"/>
        <v>#DIV/0!</v>
      </c>
      <c r="CY162" s="19" t="e">
        <f t="shared" si="73"/>
        <v>#DIV/0!</v>
      </c>
      <c r="CZ162" s="19" t="e">
        <f t="shared" si="74"/>
        <v>#DIV/0!</v>
      </c>
      <c r="DA162" s="203" t="e">
        <f t="shared" si="75"/>
        <v>#DIV/0!</v>
      </c>
      <c r="DB162" s="203" t="e">
        <f t="shared" si="76"/>
        <v>#DIV/0!</v>
      </c>
      <c r="DC162" s="203" t="e">
        <f t="shared" si="77"/>
        <v>#DIV/0!</v>
      </c>
      <c r="DD162" s="65"/>
      <c r="DE162" s="66"/>
      <c r="DF162" s="66"/>
      <c r="DG162" s="66"/>
      <c r="DH162" s="66"/>
      <c r="DI162" s="66"/>
      <c r="DJ162" s="65"/>
      <c r="DK162" s="66"/>
      <c r="DL162" s="66"/>
      <c r="DM162" s="8">
        <f t="shared" si="78"/>
        <v>0</v>
      </c>
      <c r="DN162" s="8">
        <f t="shared" si="79"/>
        <v>36563.796211683184</v>
      </c>
      <c r="DO162" s="202">
        <f t="shared" si="99"/>
        <v>-36563.796211683184</v>
      </c>
      <c r="DP162" s="202">
        <f t="shared" si="100"/>
        <v>-36563.796211683184</v>
      </c>
      <c r="DQ162" s="202">
        <f t="shared" si="101"/>
        <v>-36563.796211683184</v>
      </c>
      <c r="DR162" s="9">
        <f t="shared" si="102"/>
        <v>-36563.796211683184</v>
      </c>
      <c r="DS162" s="9">
        <f t="shared" si="91"/>
        <v>-36563.796211683184</v>
      </c>
      <c r="DT162" s="9">
        <f t="shared" si="103"/>
        <v>-36563.796211683184</v>
      </c>
      <c r="DU162" s="202">
        <f t="shared" si="104"/>
        <v>-36563.796211683184</v>
      </c>
      <c r="DV162" s="202">
        <f t="shared" si="105"/>
        <v>-36563.796211683184</v>
      </c>
      <c r="DW162" s="202">
        <f t="shared" si="106"/>
        <v>-36563.796211683184</v>
      </c>
      <c r="DX162" s="203" t="e">
        <f t="shared" si="107"/>
        <v>#DIV/0!</v>
      </c>
      <c r="DY162" s="203" t="e">
        <f t="shared" si="108"/>
        <v>#DIV/0!</v>
      </c>
      <c r="DZ162" s="203" t="e">
        <f t="shared" si="109"/>
        <v>#DIV/0!</v>
      </c>
      <c r="EA162" s="19" t="e">
        <f t="shared" si="110"/>
        <v>#DIV/0!</v>
      </c>
      <c r="EB162" s="19" t="e">
        <f t="shared" si="97"/>
        <v>#DIV/0!</v>
      </c>
      <c r="EC162" s="19" t="e">
        <f t="shared" si="111"/>
        <v>#DIV/0!</v>
      </c>
      <c r="ED162" s="203" t="e">
        <f t="shared" si="112"/>
        <v>#DIV/0!</v>
      </c>
      <c r="EE162" s="203" t="e">
        <f t="shared" si="113"/>
        <v>#DIV/0!</v>
      </c>
      <c r="EF162" s="203" t="e">
        <f t="shared" si="114"/>
        <v>#DIV/0!</v>
      </c>
      <c r="EH162" s="58">
        <f t="shared" si="127"/>
        <v>29340.801479927541</v>
      </c>
      <c r="EI162" s="68" t="e">
        <f t="shared" si="128"/>
        <v>#DIV/0!</v>
      </c>
      <c r="EJ162" s="58">
        <f t="shared" si="129"/>
        <v>22311.051479927541</v>
      </c>
      <c r="EK162" s="68" t="e">
        <f t="shared" si="128"/>
        <v>#DIV/0!</v>
      </c>
      <c r="EL162" s="58">
        <f t="shared" si="130"/>
        <v>694.80640079745274</v>
      </c>
      <c r="EM162" s="58">
        <f t="shared" si="131"/>
        <v>694.80640079745274</v>
      </c>
      <c r="EN162" s="68" t="e">
        <f t="shared" si="132"/>
        <v>#DIV/0!</v>
      </c>
      <c r="EO162" s="139">
        <f t="shared" si="147"/>
        <v>0.4050825009776523</v>
      </c>
      <c r="EP162">
        <f>+(SUM(M162:O162)*EO162*(1-'[1]Tier 3 Data'!$A$2))</f>
        <v>0</v>
      </c>
    </row>
    <row r="163" spans="1:146" x14ac:dyDescent="0.2">
      <c r="A163" s="43">
        <v>0</v>
      </c>
      <c r="B163" s="43">
        <v>0</v>
      </c>
      <c r="C163" s="43">
        <v>0</v>
      </c>
      <c r="D163" s="70">
        <v>2020</v>
      </c>
      <c r="E163" s="70">
        <v>12</v>
      </c>
      <c r="F163" s="2">
        <v>744</v>
      </c>
      <c r="G163" s="63"/>
      <c r="H163" s="63"/>
      <c r="I163" s="63"/>
      <c r="J163" s="133">
        <f t="shared" si="124"/>
        <v>0</v>
      </c>
      <c r="K163" s="65">
        <v>0</v>
      </c>
      <c r="L163" s="133">
        <f t="shared" si="125"/>
        <v>0</v>
      </c>
      <c r="M163" s="63"/>
      <c r="N163" s="63"/>
      <c r="O163" s="63"/>
      <c r="P163" s="200">
        <f t="shared" si="115"/>
        <v>0</v>
      </c>
      <c r="Q163" s="200">
        <f t="shared" si="116"/>
        <v>0</v>
      </c>
      <c r="R163" s="200">
        <f t="shared" si="117"/>
        <v>0</v>
      </c>
      <c r="S163" s="133">
        <f t="shared" si="149"/>
        <v>0</v>
      </c>
      <c r="T163" s="133">
        <f t="shared" si="150"/>
        <v>0</v>
      </c>
      <c r="U163" s="133">
        <f t="shared" si="151"/>
        <v>0</v>
      </c>
      <c r="V163" s="200">
        <f t="shared" si="121"/>
        <v>0</v>
      </c>
      <c r="W163" s="200">
        <f t="shared" si="122"/>
        <v>0</v>
      </c>
      <c r="X163" s="200">
        <f t="shared" si="123"/>
        <v>0</v>
      </c>
      <c r="Y163" s="63"/>
      <c r="Z163" s="63"/>
      <c r="AA163" s="63"/>
      <c r="AB163" s="200">
        <f t="shared" si="137"/>
        <v>0</v>
      </c>
      <c r="AC163" s="200">
        <f t="shared" si="138"/>
        <v>0</v>
      </c>
      <c r="AD163" s="200">
        <f t="shared" si="139"/>
        <v>0</v>
      </c>
      <c r="AE163" s="199">
        <f t="shared" si="140"/>
        <v>0</v>
      </c>
      <c r="AF163" s="199">
        <f t="shared" si="141"/>
        <v>0</v>
      </c>
      <c r="AG163" s="199">
        <f t="shared" si="142"/>
        <v>0</v>
      </c>
      <c r="AH163" s="199"/>
      <c r="AI163" s="200">
        <f t="shared" si="143"/>
        <v>0</v>
      </c>
      <c r="AJ163" s="200">
        <f t="shared" si="144"/>
        <v>0</v>
      </c>
      <c r="AK163" s="200">
        <f t="shared" si="145"/>
        <v>0</v>
      </c>
      <c r="AL163" s="63"/>
      <c r="AM163" s="63"/>
      <c r="AN163" s="63"/>
      <c r="AO163" s="63"/>
      <c r="AP163" s="63"/>
      <c r="AQ163" s="18"/>
      <c r="AR163" s="10">
        <v>9920</v>
      </c>
      <c r="AS163" s="18"/>
      <c r="AT163" s="62"/>
      <c r="AU163" s="65">
        <v>91.706000000000003</v>
      </c>
      <c r="AV163" s="65">
        <v>3628.5329999999999</v>
      </c>
      <c r="AW163" s="65">
        <v>3.7330454545454543</v>
      </c>
      <c r="AX163" s="65">
        <v>7.7730454545454553</v>
      </c>
      <c r="AY163" s="65">
        <v>1240.4980450800001</v>
      </c>
      <c r="AZ163" s="1">
        <v>217.31027306340908</v>
      </c>
      <c r="BA163" s="65">
        <v>2088.1860000000001</v>
      </c>
      <c r="BB163" s="65">
        <v>1939.89</v>
      </c>
      <c r="BC163" s="63"/>
      <c r="BD163" s="63"/>
      <c r="BE163" s="63"/>
      <c r="BF163" s="63"/>
      <c r="BG163" s="63"/>
      <c r="BH163" s="63"/>
      <c r="BI163" s="63"/>
      <c r="BJ163" s="63"/>
      <c r="BK163" s="63"/>
      <c r="BL163" s="63"/>
      <c r="BM163" s="63"/>
      <c r="BN163" s="63"/>
      <c r="BO163" s="63"/>
      <c r="BP163" s="10">
        <v>1984</v>
      </c>
      <c r="BQ163" s="65">
        <v>59.093541237913087</v>
      </c>
      <c r="BR163" s="65">
        <v>76.821571473928131</v>
      </c>
      <c r="BS163" s="65">
        <v>279.37276508408615</v>
      </c>
      <c r="BT163" s="65">
        <v>103.75702612193498</v>
      </c>
      <c r="BU163" s="65">
        <v>109.75494377820503</v>
      </c>
      <c r="BV163" s="144">
        <f t="shared" si="134"/>
        <v>0</v>
      </c>
      <c r="BW163" s="144">
        <f t="shared" si="135"/>
        <v>0</v>
      </c>
      <c r="BX163" s="144">
        <f t="shared" si="136"/>
        <v>0</v>
      </c>
      <c r="BY163" s="5"/>
      <c r="BZ163" s="66">
        <v>7254</v>
      </c>
      <c r="CA163" s="65">
        <v>3720</v>
      </c>
      <c r="CB163" s="65">
        <f>5*744</f>
        <v>3720</v>
      </c>
      <c r="CC163" s="5"/>
      <c r="CD163" s="188">
        <v>2.9082833906196317</v>
      </c>
      <c r="CE163" s="5"/>
      <c r="CF163" s="65">
        <v>1609</v>
      </c>
      <c r="CG163" s="70"/>
      <c r="CH163" s="70"/>
      <c r="CI163" s="70"/>
      <c r="CJ163" s="65">
        <v>1939.89</v>
      </c>
      <c r="CK163" s="8">
        <f t="shared" si="86"/>
        <v>38056.33754013919</v>
      </c>
      <c r="CL163" s="202">
        <f t="shared" si="60"/>
        <v>-38056.33754013919</v>
      </c>
      <c r="CM163" s="202">
        <f t="shared" si="61"/>
        <v>-38056.33754013919</v>
      </c>
      <c r="CN163" s="202">
        <f t="shared" si="62"/>
        <v>-38056.33754013919</v>
      </c>
      <c r="CO163" s="9">
        <f t="shared" si="63"/>
        <v>-38056.33754013919</v>
      </c>
      <c r="CP163" s="9">
        <f t="shared" si="64"/>
        <v>-38056.33754013919</v>
      </c>
      <c r="CQ163" s="9">
        <f t="shared" si="65"/>
        <v>-38056.33754013919</v>
      </c>
      <c r="CR163" s="202">
        <f t="shared" si="66"/>
        <v>-38056.33754013919</v>
      </c>
      <c r="CS163" s="202">
        <f t="shared" si="67"/>
        <v>-38056.33754013919</v>
      </c>
      <c r="CT163" s="202">
        <f t="shared" si="68"/>
        <v>-38056.33754013919</v>
      </c>
      <c r="CU163" s="203" t="e">
        <f t="shared" si="69"/>
        <v>#DIV/0!</v>
      </c>
      <c r="CV163" s="203" t="e">
        <f t="shared" si="70"/>
        <v>#DIV/0!</v>
      </c>
      <c r="CW163" s="203" t="e">
        <f t="shared" si="71"/>
        <v>#DIV/0!</v>
      </c>
      <c r="CX163" s="19" t="e">
        <f t="shared" si="72"/>
        <v>#DIV/0!</v>
      </c>
      <c r="CY163" s="19" t="e">
        <f t="shared" si="73"/>
        <v>#DIV/0!</v>
      </c>
      <c r="CZ163" s="19" t="e">
        <f t="shared" si="74"/>
        <v>#DIV/0!</v>
      </c>
      <c r="DA163" s="203" t="e">
        <f t="shared" si="75"/>
        <v>#DIV/0!</v>
      </c>
      <c r="DB163" s="203" t="e">
        <f t="shared" si="76"/>
        <v>#DIV/0!</v>
      </c>
      <c r="DC163" s="203" t="e">
        <f t="shared" si="77"/>
        <v>#DIV/0!</v>
      </c>
      <c r="DD163" s="65"/>
      <c r="DE163" s="66"/>
      <c r="DF163" s="66"/>
      <c r="DG163" s="66"/>
      <c r="DH163" s="66"/>
      <c r="DI163" s="66"/>
      <c r="DJ163" s="65"/>
      <c r="DK163" s="66"/>
      <c r="DL163" s="66"/>
      <c r="DM163" s="8">
        <f t="shared" si="78"/>
        <v>0</v>
      </c>
      <c r="DN163" s="8">
        <f t="shared" si="79"/>
        <v>38056.33754013919</v>
      </c>
      <c r="DO163" s="202">
        <f t="shared" si="99"/>
        <v>-38056.33754013919</v>
      </c>
      <c r="DP163" s="202">
        <f t="shared" si="100"/>
        <v>-38056.33754013919</v>
      </c>
      <c r="DQ163" s="202">
        <f t="shared" si="101"/>
        <v>-38056.33754013919</v>
      </c>
      <c r="DR163" s="9">
        <f t="shared" si="102"/>
        <v>-38056.33754013919</v>
      </c>
      <c r="DS163" s="9">
        <f t="shared" si="91"/>
        <v>-38056.33754013919</v>
      </c>
      <c r="DT163" s="9">
        <f t="shared" si="103"/>
        <v>-38056.33754013919</v>
      </c>
      <c r="DU163" s="202">
        <f t="shared" si="104"/>
        <v>-38056.33754013919</v>
      </c>
      <c r="DV163" s="202">
        <f t="shared" si="105"/>
        <v>-38056.33754013919</v>
      </c>
      <c r="DW163" s="202">
        <f t="shared" si="106"/>
        <v>-38056.33754013919</v>
      </c>
      <c r="DX163" s="203" t="e">
        <f t="shared" si="107"/>
        <v>#DIV/0!</v>
      </c>
      <c r="DY163" s="203" t="e">
        <f t="shared" si="108"/>
        <v>#DIV/0!</v>
      </c>
      <c r="DZ163" s="203" t="e">
        <f t="shared" si="109"/>
        <v>#DIV/0!</v>
      </c>
      <c r="EA163" s="19" t="e">
        <f t="shared" si="110"/>
        <v>#DIV/0!</v>
      </c>
      <c r="EB163" s="19" t="e">
        <f t="shared" si="97"/>
        <v>#DIV/0!</v>
      </c>
      <c r="EC163" s="19" t="e">
        <f t="shared" si="111"/>
        <v>#DIV/0!</v>
      </c>
      <c r="ED163" s="203" t="e">
        <f t="shared" si="112"/>
        <v>#DIV/0!</v>
      </c>
      <c r="EE163" s="203" t="e">
        <f t="shared" si="113"/>
        <v>#DIV/0!</v>
      </c>
      <c r="EF163" s="203" t="e">
        <f t="shared" si="114"/>
        <v>#DIV/0!</v>
      </c>
      <c r="EH163" s="58">
        <f t="shared" si="127"/>
        <v>30601.923165839467</v>
      </c>
      <c r="EI163" s="68" t="e">
        <f t="shared" si="128"/>
        <v>#DIV/0!</v>
      </c>
      <c r="EJ163" s="58">
        <f t="shared" si="129"/>
        <v>23347.923165839467</v>
      </c>
      <c r="EK163" s="68" t="e">
        <f t="shared" si="128"/>
        <v>#DIV/0!</v>
      </c>
      <c r="EL163" s="58">
        <f t="shared" si="130"/>
        <v>628.79984769606745</v>
      </c>
      <c r="EM163" s="58">
        <f t="shared" si="131"/>
        <v>628.79984769606745</v>
      </c>
      <c r="EN163" s="68" t="e">
        <f t="shared" si="132"/>
        <v>#DIV/0!</v>
      </c>
      <c r="EO163" s="139">
        <f t="shared" si="147"/>
        <v>0.32946562535829382</v>
      </c>
      <c r="EP163">
        <f>+(SUM(M163:O163)*EO163*(1-'[1]Tier 3 Data'!$A$2))</f>
        <v>0</v>
      </c>
    </row>
    <row r="164" spans="1:146" x14ac:dyDescent="0.2">
      <c r="A164" s="43">
        <v>0</v>
      </c>
      <c r="B164" s="43">
        <v>0</v>
      </c>
      <c r="C164" s="43">
        <v>0</v>
      </c>
      <c r="D164" s="70">
        <v>2021</v>
      </c>
      <c r="E164" s="70">
        <v>1</v>
      </c>
      <c r="F164" s="2">
        <v>744</v>
      </c>
      <c r="G164" s="63"/>
      <c r="H164" s="63"/>
      <c r="I164" s="63"/>
      <c r="J164" s="133">
        <f t="shared" si="124"/>
        <v>0</v>
      </c>
      <c r="K164" s="65">
        <v>0</v>
      </c>
      <c r="L164" s="133">
        <f t="shared" si="125"/>
        <v>0</v>
      </c>
      <c r="M164" s="63"/>
      <c r="N164" s="63"/>
      <c r="O164" s="63"/>
      <c r="P164" s="200">
        <f t="shared" si="115"/>
        <v>0</v>
      </c>
      <c r="Q164" s="200">
        <f t="shared" si="116"/>
        <v>0</v>
      </c>
      <c r="R164" s="200">
        <f t="shared" si="117"/>
        <v>0</v>
      </c>
      <c r="S164" s="133">
        <f t="shared" si="149"/>
        <v>0</v>
      </c>
      <c r="T164" s="133">
        <f t="shared" si="150"/>
        <v>0</v>
      </c>
      <c r="U164" s="133">
        <f t="shared" si="151"/>
        <v>0</v>
      </c>
      <c r="V164" s="200">
        <f t="shared" si="121"/>
        <v>0</v>
      </c>
      <c r="W164" s="200">
        <f t="shared" si="122"/>
        <v>0</v>
      </c>
      <c r="X164" s="200">
        <f t="shared" si="123"/>
        <v>0</v>
      </c>
      <c r="Y164" s="63"/>
      <c r="Z164" s="63"/>
      <c r="AA164" s="63"/>
      <c r="AB164" s="200">
        <f t="shared" si="137"/>
        <v>0</v>
      </c>
      <c r="AC164" s="200">
        <f t="shared" si="138"/>
        <v>0</v>
      </c>
      <c r="AD164" s="200">
        <f t="shared" si="139"/>
        <v>0</v>
      </c>
      <c r="AE164" s="199">
        <f t="shared" si="140"/>
        <v>0</v>
      </c>
      <c r="AF164" s="199">
        <f t="shared" si="141"/>
        <v>0</v>
      </c>
      <c r="AG164" s="199">
        <f t="shared" si="142"/>
        <v>0</v>
      </c>
      <c r="AH164" s="199"/>
      <c r="AI164" s="200">
        <f t="shared" si="143"/>
        <v>0</v>
      </c>
      <c r="AJ164" s="200">
        <f t="shared" si="144"/>
        <v>0</v>
      </c>
      <c r="AK164" s="200">
        <f t="shared" si="145"/>
        <v>0</v>
      </c>
      <c r="AL164" s="4"/>
      <c r="AM164" s="4"/>
      <c r="AN164" s="4"/>
      <c r="AO164" s="4"/>
      <c r="AP164" s="4"/>
      <c r="AQ164" s="18"/>
      <c r="AR164" s="10">
        <v>9920</v>
      </c>
      <c r="AS164" s="18"/>
      <c r="AT164" s="62"/>
      <c r="AU164" s="65">
        <v>77.016999999999996</v>
      </c>
      <c r="AV164" s="65">
        <v>3714.1149999999998</v>
      </c>
      <c r="AW164" s="65">
        <v>2.9271304347826086</v>
      </c>
      <c r="AX164" s="65">
        <v>7.0815652173913044</v>
      </c>
      <c r="AY164" s="65">
        <v>1241.8319242799998</v>
      </c>
      <c r="AZ164" s="63"/>
      <c r="BA164" s="65">
        <v>2111.6182060000001</v>
      </c>
      <c r="BB164" s="65">
        <v>2270.623</v>
      </c>
      <c r="BC164" s="63"/>
      <c r="BD164" s="63"/>
      <c r="BE164" s="63"/>
      <c r="BF164" s="63"/>
      <c r="BG164" s="63"/>
      <c r="BH164" s="63"/>
      <c r="BI164" s="63"/>
      <c r="BJ164" s="63"/>
      <c r="BK164" s="63"/>
      <c r="BL164" s="63"/>
      <c r="BM164" s="63"/>
      <c r="BN164" s="63"/>
      <c r="BO164" s="63"/>
      <c r="BP164" s="10">
        <v>1984</v>
      </c>
      <c r="BQ164" s="65">
        <v>83.616806593111889</v>
      </c>
      <c r="BR164" s="65">
        <v>109.24813027869607</v>
      </c>
      <c r="BS164" s="65">
        <v>395.31015800340197</v>
      </c>
      <c r="BT164" s="65">
        <v>134.47183719763495</v>
      </c>
      <c r="BU164" s="65">
        <v>152.92862946679006</v>
      </c>
      <c r="BV164" s="144">
        <f t="shared" si="134"/>
        <v>0</v>
      </c>
      <c r="BW164" s="144">
        <f t="shared" si="135"/>
        <v>0</v>
      </c>
      <c r="BX164" s="144">
        <f t="shared" si="136"/>
        <v>0</v>
      </c>
      <c r="BY164" s="5"/>
      <c r="BZ164" s="66">
        <v>7254</v>
      </c>
      <c r="CA164" s="4"/>
      <c r="CB164" s="63"/>
      <c r="CC164" s="5"/>
      <c r="CD164" s="188">
        <v>0</v>
      </c>
      <c r="CE164" s="5"/>
      <c r="CF164" s="65">
        <v>825</v>
      </c>
      <c r="CG164" s="70"/>
      <c r="CH164" s="70"/>
      <c r="CI164" s="70"/>
      <c r="CJ164" s="65">
        <v>2270.623</v>
      </c>
      <c r="CK164" s="8">
        <f t="shared" si="86"/>
        <v>30283.789387471807</v>
      </c>
      <c r="CL164" s="202">
        <f t="shared" si="60"/>
        <v>-30283.789387471807</v>
      </c>
      <c r="CM164" s="202">
        <f t="shared" si="61"/>
        <v>-30283.789387471807</v>
      </c>
      <c r="CN164" s="202">
        <f t="shared" si="62"/>
        <v>-30283.789387471807</v>
      </c>
      <c r="CO164" s="9">
        <f t="shared" si="63"/>
        <v>-30283.789387471807</v>
      </c>
      <c r="CP164" s="9">
        <f t="shared" si="64"/>
        <v>-30283.789387471807</v>
      </c>
      <c r="CQ164" s="9">
        <f t="shared" si="65"/>
        <v>-30283.789387471807</v>
      </c>
      <c r="CR164" s="202">
        <f t="shared" si="66"/>
        <v>-30283.789387471807</v>
      </c>
      <c r="CS164" s="202">
        <f t="shared" si="67"/>
        <v>-30283.789387471807</v>
      </c>
      <c r="CT164" s="202">
        <f t="shared" si="68"/>
        <v>-30283.789387471807</v>
      </c>
      <c r="CU164" s="203" t="e">
        <f t="shared" si="69"/>
        <v>#DIV/0!</v>
      </c>
      <c r="CV164" s="203" t="e">
        <f t="shared" si="70"/>
        <v>#DIV/0!</v>
      </c>
      <c r="CW164" s="203" t="e">
        <f t="shared" si="71"/>
        <v>#DIV/0!</v>
      </c>
      <c r="CX164" s="19" t="e">
        <f t="shared" si="72"/>
        <v>#DIV/0!</v>
      </c>
      <c r="CY164" s="19" t="e">
        <f t="shared" si="73"/>
        <v>#DIV/0!</v>
      </c>
      <c r="CZ164" s="19" t="e">
        <f t="shared" si="74"/>
        <v>#DIV/0!</v>
      </c>
      <c r="DA164" s="203" t="e">
        <f t="shared" si="75"/>
        <v>#DIV/0!</v>
      </c>
      <c r="DB164" s="203" t="e">
        <f t="shared" si="76"/>
        <v>#DIV/0!</v>
      </c>
      <c r="DC164" s="203" t="e">
        <f t="shared" si="77"/>
        <v>#DIV/0!</v>
      </c>
      <c r="DD164" s="65"/>
      <c r="DE164" s="66"/>
      <c r="DF164" s="66"/>
      <c r="DG164" s="66"/>
      <c r="DH164" s="66"/>
      <c r="DI164" s="66"/>
      <c r="DJ164" s="65"/>
      <c r="DK164" s="66"/>
      <c r="DL164" s="66"/>
      <c r="DM164" s="8">
        <f t="shared" si="78"/>
        <v>0</v>
      </c>
      <c r="DN164" s="8">
        <f t="shared" si="79"/>
        <v>30283.789387471807</v>
      </c>
      <c r="DO164" s="202">
        <f t="shared" si="99"/>
        <v>-30283.789387471807</v>
      </c>
      <c r="DP164" s="202">
        <f t="shared" si="100"/>
        <v>-30283.789387471807</v>
      </c>
      <c r="DQ164" s="202">
        <f t="shared" si="101"/>
        <v>-30283.789387471807</v>
      </c>
      <c r="DR164" s="9">
        <f t="shared" si="102"/>
        <v>-30283.789387471807</v>
      </c>
      <c r="DS164" s="9">
        <f t="shared" si="91"/>
        <v>-30283.789387471807</v>
      </c>
      <c r="DT164" s="9">
        <f t="shared" si="103"/>
        <v>-30283.789387471807</v>
      </c>
      <c r="DU164" s="202">
        <f t="shared" si="104"/>
        <v>-30283.789387471807</v>
      </c>
      <c r="DV164" s="202">
        <f t="shared" si="105"/>
        <v>-30283.789387471807</v>
      </c>
      <c r="DW164" s="202">
        <f t="shared" si="106"/>
        <v>-30283.789387471807</v>
      </c>
      <c r="DX164" s="203" t="e">
        <f t="shared" si="107"/>
        <v>#DIV/0!</v>
      </c>
      <c r="DY164" s="203" t="e">
        <f t="shared" si="108"/>
        <v>#DIV/0!</v>
      </c>
      <c r="DZ164" s="203" t="e">
        <f t="shared" si="109"/>
        <v>#DIV/0!</v>
      </c>
      <c r="EA164" s="19" t="e">
        <f t="shared" si="110"/>
        <v>#DIV/0!</v>
      </c>
      <c r="EB164" s="19" t="e">
        <f t="shared" si="97"/>
        <v>#DIV/0!</v>
      </c>
      <c r="EC164" s="19" t="e">
        <f t="shared" si="111"/>
        <v>#DIV/0!</v>
      </c>
      <c r="ED164" s="203" t="e">
        <f t="shared" si="112"/>
        <v>#DIV/0!</v>
      </c>
      <c r="EE164" s="203" t="e">
        <f t="shared" si="113"/>
        <v>#DIV/0!</v>
      </c>
      <c r="EF164" s="203" t="e">
        <f t="shared" si="114"/>
        <v>#DIV/0!</v>
      </c>
      <c r="EH164" s="58">
        <f t="shared" si="127"/>
        <v>30273.780691819633</v>
      </c>
      <c r="EI164" s="68" t="e">
        <f t="shared" si="128"/>
        <v>#DIV/0!</v>
      </c>
      <c r="EJ164" s="58">
        <f t="shared" si="129"/>
        <v>23019.780691819633</v>
      </c>
      <c r="EK164" s="68" t="e">
        <f t="shared" si="128"/>
        <v>#DIV/0!</v>
      </c>
      <c r="EL164" s="58">
        <f t="shared" si="130"/>
        <v>875.57556153963492</v>
      </c>
      <c r="EM164" s="58">
        <f t="shared" si="131"/>
        <v>875.57556153963492</v>
      </c>
      <c r="EN164" s="68" t="e">
        <f t="shared" si="132"/>
        <v>#DIV/0!</v>
      </c>
      <c r="EO164" s="139">
        <f t="shared" si="147"/>
        <v>0.32527353469126524</v>
      </c>
      <c r="EP164">
        <f>+(SUM(M164:O164)*EO164*(1-'[1]Tier 3 Data'!$A$2))</f>
        <v>0</v>
      </c>
    </row>
    <row r="165" spans="1:146" x14ac:dyDescent="0.2">
      <c r="A165" s="43">
        <v>0</v>
      </c>
      <c r="B165" s="43">
        <v>0</v>
      </c>
      <c r="C165" s="43">
        <v>0</v>
      </c>
      <c r="D165" s="70">
        <v>2021</v>
      </c>
      <c r="E165" s="70">
        <v>2</v>
      </c>
      <c r="F165" s="2">
        <v>672</v>
      </c>
      <c r="G165" s="63"/>
      <c r="H165" s="63"/>
      <c r="I165" s="63"/>
      <c r="J165" s="133">
        <f t="shared" si="124"/>
        <v>0</v>
      </c>
      <c r="K165" s="65">
        <v>0</v>
      </c>
      <c r="L165" s="133">
        <f t="shared" si="125"/>
        <v>0</v>
      </c>
      <c r="M165" s="63"/>
      <c r="N165" s="63"/>
      <c r="O165" s="63"/>
      <c r="P165" s="200">
        <f t="shared" si="115"/>
        <v>0</v>
      </c>
      <c r="Q165" s="200">
        <f t="shared" si="116"/>
        <v>0</v>
      </c>
      <c r="R165" s="200">
        <f t="shared" si="117"/>
        <v>0</v>
      </c>
      <c r="S165" s="133">
        <f t="shared" si="149"/>
        <v>0</v>
      </c>
      <c r="T165" s="133">
        <f t="shared" si="150"/>
        <v>0</v>
      </c>
      <c r="U165" s="133">
        <f t="shared" si="151"/>
        <v>0</v>
      </c>
      <c r="V165" s="200">
        <f t="shared" si="121"/>
        <v>0</v>
      </c>
      <c r="W165" s="200">
        <f t="shared" si="122"/>
        <v>0</v>
      </c>
      <c r="X165" s="200">
        <f t="shared" si="123"/>
        <v>0</v>
      </c>
      <c r="Y165" s="63"/>
      <c r="Z165" s="63"/>
      <c r="AA165" s="63"/>
      <c r="AB165" s="200">
        <f t="shared" si="137"/>
        <v>0</v>
      </c>
      <c r="AC165" s="200">
        <f t="shared" si="138"/>
        <v>0</v>
      </c>
      <c r="AD165" s="200">
        <f t="shared" si="139"/>
        <v>0</v>
      </c>
      <c r="AE165" s="199">
        <f t="shared" si="140"/>
        <v>0</v>
      </c>
      <c r="AF165" s="199">
        <f t="shared" si="141"/>
        <v>0</v>
      </c>
      <c r="AG165" s="199">
        <f t="shared" si="142"/>
        <v>0</v>
      </c>
      <c r="AH165" s="199"/>
      <c r="AI165" s="200">
        <f t="shared" si="143"/>
        <v>0</v>
      </c>
      <c r="AJ165" s="200">
        <f t="shared" si="144"/>
        <v>0</v>
      </c>
      <c r="AK165" s="200">
        <f t="shared" si="145"/>
        <v>0</v>
      </c>
      <c r="AL165" s="4"/>
      <c r="AM165" s="4"/>
      <c r="AN165" s="4"/>
      <c r="AO165" s="4"/>
      <c r="AP165" s="4"/>
      <c r="AQ165" s="18"/>
      <c r="AR165" s="10">
        <v>8960</v>
      </c>
      <c r="AS165" s="18"/>
      <c r="AT165" s="62"/>
      <c r="AU165" s="65">
        <v>85.795000000000002</v>
      </c>
      <c r="AV165" s="65">
        <v>3394.7660000000001</v>
      </c>
      <c r="AW165" s="65">
        <v>2.6774347826086955</v>
      </c>
      <c r="AX165" s="65">
        <v>5.2181739130434783</v>
      </c>
      <c r="AY165" s="65">
        <v>1169.93700036</v>
      </c>
      <c r="AZ165" s="63"/>
      <c r="BA165" s="65">
        <v>1902.0488915999999</v>
      </c>
      <c r="BB165" s="65">
        <v>2314.7199999999998</v>
      </c>
      <c r="BC165" s="63"/>
      <c r="BD165" s="63"/>
      <c r="BE165" s="63"/>
      <c r="BF165" s="63"/>
      <c r="BG165" s="63"/>
      <c r="BH165" s="63"/>
      <c r="BI165" s="63"/>
      <c r="BJ165" s="63"/>
      <c r="BK165" s="63"/>
      <c r="BL165" s="63"/>
      <c r="BM165" s="63"/>
      <c r="BN165" s="63"/>
      <c r="BO165" s="63"/>
      <c r="BP165" s="10">
        <v>1792</v>
      </c>
      <c r="BQ165" s="65">
        <v>104.02688080261481</v>
      </c>
      <c r="BR165" s="65">
        <v>135.91449844032809</v>
      </c>
      <c r="BS165" s="65">
        <v>491.80138451572736</v>
      </c>
      <c r="BT165" s="65">
        <v>172.47756333221986</v>
      </c>
      <c r="BU165" s="65">
        <v>185.13707900059495</v>
      </c>
      <c r="BV165" s="144">
        <f t="shared" si="134"/>
        <v>0</v>
      </c>
      <c r="BW165" s="144">
        <f t="shared" si="135"/>
        <v>0</v>
      </c>
      <c r="BX165" s="144">
        <f t="shared" si="136"/>
        <v>0</v>
      </c>
      <c r="BY165" s="5"/>
      <c r="BZ165" s="66">
        <v>6552</v>
      </c>
      <c r="CA165" s="4"/>
      <c r="CB165" s="63"/>
      <c r="CC165" s="5"/>
      <c r="CD165" s="188">
        <v>5.8362082802353541</v>
      </c>
      <c r="CE165" s="5"/>
      <c r="CF165" s="65">
        <v>235</v>
      </c>
      <c r="CG165" s="70"/>
      <c r="CH165" s="70"/>
      <c r="CI165" s="70"/>
      <c r="CJ165" s="65">
        <v>2314.7199999999998</v>
      </c>
      <c r="CK165" s="8">
        <f t="shared" si="86"/>
        <v>27509.356115027371</v>
      </c>
      <c r="CL165" s="202">
        <f t="shared" si="60"/>
        <v>-27509.356115027371</v>
      </c>
      <c r="CM165" s="202">
        <f t="shared" si="61"/>
        <v>-27509.356115027371</v>
      </c>
      <c r="CN165" s="202">
        <f t="shared" si="62"/>
        <v>-27509.356115027371</v>
      </c>
      <c r="CO165" s="9">
        <f t="shared" si="63"/>
        <v>-27509.356115027371</v>
      </c>
      <c r="CP165" s="9">
        <f t="shared" si="64"/>
        <v>-27509.356115027371</v>
      </c>
      <c r="CQ165" s="9">
        <f t="shared" si="65"/>
        <v>-27509.356115027371</v>
      </c>
      <c r="CR165" s="202">
        <f t="shared" si="66"/>
        <v>-27509.356115027371</v>
      </c>
      <c r="CS165" s="202">
        <f t="shared" si="67"/>
        <v>-27509.356115027371</v>
      </c>
      <c r="CT165" s="202">
        <f t="shared" si="68"/>
        <v>-27509.356115027371</v>
      </c>
      <c r="CU165" s="203" t="e">
        <f t="shared" si="69"/>
        <v>#DIV/0!</v>
      </c>
      <c r="CV165" s="203" t="e">
        <f t="shared" si="70"/>
        <v>#DIV/0!</v>
      </c>
      <c r="CW165" s="203" t="e">
        <f t="shared" si="71"/>
        <v>#DIV/0!</v>
      </c>
      <c r="CX165" s="19" t="e">
        <f t="shared" si="72"/>
        <v>#DIV/0!</v>
      </c>
      <c r="CY165" s="19" t="e">
        <f t="shared" si="73"/>
        <v>#DIV/0!</v>
      </c>
      <c r="CZ165" s="19" t="e">
        <f t="shared" si="74"/>
        <v>#DIV/0!</v>
      </c>
      <c r="DA165" s="203" t="e">
        <f t="shared" si="75"/>
        <v>#DIV/0!</v>
      </c>
      <c r="DB165" s="203" t="e">
        <f t="shared" si="76"/>
        <v>#DIV/0!</v>
      </c>
      <c r="DC165" s="203" t="e">
        <f t="shared" si="77"/>
        <v>#DIV/0!</v>
      </c>
      <c r="DD165" s="65"/>
      <c r="DE165" s="66"/>
      <c r="DF165" s="66"/>
      <c r="DG165" s="66"/>
      <c r="DH165" s="66"/>
      <c r="DI165" s="66"/>
      <c r="DJ165" s="65"/>
      <c r="DK165" s="66"/>
      <c r="DL165" s="66"/>
      <c r="DM165" s="8">
        <f t="shared" si="78"/>
        <v>0</v>
      </c>
      <c r="DN165" s="8">
        <f t="shared" si="79"/>
        <v>27509.356115027371</v>
      </c>
      <c r="DO165" s="202">
        <f t="shared" si="99"/>
        <v>-27509.356115027371</v>
      </c>
      <c r="DP165" s="202">
        <f t="shared" si="100"/>
        <v>-27509.356115027371</v>
      </c>
      <c r="DQ165" s="202">
        <f t="shared" si="101"/>
        <v>-27509.356115027371</v>
      </c>
      <c r="DR165" s="9">
        <f t="shared" si="102"/>
        <v>-27509.356115027371</v>
      </c>
      <c r="DS165" s="9">
        <f t="shared" si="91"/>
        <v>-27509.356115027371</v>
      </c>
      <c r="DT165" s="9">
        <f t="shared" si="103"/>
        <v>-27509.356115027371</v>
      </c>
      <c r="DU165" s="202">
        <f t="shared" si="104"/>
        <v>-27509.356115027371</v>
      </c>
      <c r="DV165" s="202">
        <f t="shared" si="105"/>
        <v>-27509.356115027371</v>
      </c>
      <c r="DW165" s="202">
        <f t="shared" si="106"/>
        <v>-27509.356115027371</v>
      </c>
      <c r="DX165" s="203" t="e">
        <f t="shared" si="107"/>
        <v>#DIV/0!</v>
      </c>
      <c r="DY165" s="203" t="e">
        <f t="shared" si="108"/>
        <v>#DIV/0!</v>
      </c>
      <c r="DZ165" s="203" t="e">
        <f t="shared" si="109"/>
        <v>#DIV/0!</v>
      </c>
      <c r="EA165" s="19" t="e">
        <f t="shared" si="110"/>
        <v>#DIV/0!</v>
      </c>
      <c r="EB165" s="19" t="e">
        <f t="shared" si="97"/>
        <v>#DIV/0!</v>
      </c>
      <c r="EC165" s="19" t="e">
        <f t="shared" si="111"/>
        <v>#DIV/0!</v>
      </c>
      <c r="ED165" s="203" t="e">
        <f t="shared" si="112"/>
        <v>#DIV/0!</v>
      </c>
      <c r="EE165" s="203" t="e">
        <f t="shared" si="113"/>
        <v>#DIV/0!</v>
      </c>
      <c r="EF165" s="203" t="e">
        <f t="shared" si="114"/>
        <v>#DIV/0!</v>
      </c>
      <c r="EH165" s="58">
        <f t="shared" si="127"/>
        <v>27495.624298051487</v>
      </c>
      <c r="EI165" s="68" t="e">
        <f t="shared" si="128"/>
        <v>#DIV/0!</v>
      </c>
      <c r="EJ165" s="58">
        <f t="shared" si="129"/>
        <v>20943.624298051487</v>
      </c>
      <c r="EK165" s="68" t="e">
        <f t="shared" si="128"/>
        <v>#DIV/0!</v>
      </c>
      <c r="EL165" s="58">
        <f t="shared" si="130"/>
        <v>1089.357406091485</v>
      </c>
      <c r="EM165" s="58">
        <f t="shared" si="131"/>
        <v>1089.357406091485</v>
      </c>
      <c r="EN165" s="68" t="e">
        <f t="shared" si="132"/>
        <v>#DIV/0!</v>
      </c>
      <c r="EO165" s="139">
        <f t="shared" si="147"/>
        <v>0.3126447604730192</v>
      </c>
      <c r="EP165">
        <f>+(SUM(M165:O165)*EO165*(1-'[1]Tier 3 Data'!$A$2))</f>
        <v>0</v>
      </c>
    </row>
    <row r="166" spans="1:146" x14ac:dyDescent="0.2">
      <c r="A166" s="43">
        <v>0</v>
      </c>
      <c r="B166" s="43">
        <v>0</v>
      </c>
      <c r="C166" s="43">
        <v>0</v>
      </c>
      <c r="D166" s="70">
        <v>2021</v>
      </c>
      <c r="E166" s="70">
        <v>3</v>
      </c>
      <c r="F166" s="2">
        <v>743</v>
      </c>
      <c r="G166" s="63"/>
      <c r="H166" s="63"/>
      <c r="I166" s="63"/>
      <c r="J166" s="133">
        <f t="shared" si="124"/>
        <v>0</v>
      </c>
      <c r="K166" s="65">
        <v>0</v>
      </c>
      <c r="L166" s="133">
        <f t="shared" si="125"/>
        <v>0</v>
      </c>
      <c r="M166" s="63"/>
      <c r="N166" s="63"/>
      <c r="O166" s="63"/>
      <c r="P166" s="200">
        <f t="shared" si="115"/>
        <v>0</v>
      </c>
      <c r="Q166" s="200">
        <f t="shared" si="116"/>
        <v>0</v>
      </c>
      <c r="R166" s="200">
        <f t="shared" si="117"/>
        <v>0</v>
      </c>
      <c r="S166" s="133">
        <f t="shared" si="149"/>
        <v>0</v>
      </c>
      <c r="T166" s="133">
        <f t="shared" si="150"/>
        <v>0</v>
      </c>
      <c r="U166" s="133">
        <f t="shared" si="151"/>
        <v>0</v>
      </c>
      <c r="V166" s="200">
        <f t="shared" si="121"/>
        <v>0</v>
      </c>
      <c r="W166" s="200">
        <f t="shared" si="122"/>
        <v>0</v>
      </c>
      <c r="X166" s="200">
        <f t="shared" si="123"/>
        <v>0</v>
      </c>
      <c r="Y166" s="63"/>
      <c r="Z166" s="63"/>
      <c r="AA166" s="63"/>
      <c r="AB166" s="200">
        <f t="shared" si="137"/>
        <v>0</v>
      </c>
      <c r="AC166" s="200">
        <f t="shared" si="138"/>
        <v>0</v>
      </c>
      <c r="AD166" s="200">
        <f t="shared" si="139"/>
        <v>0</v>
      </c>
      <c r="AE166" s="199">
        <f t="shared" si="140"/>
        <v>0</v>
      </c>
      <c r="AF166" s="199">
        <f t="shared" si="141"/>
        <v>0</v>
      </c>
      <c r="AG166" s="199">
        <f t="shared" si="142"/>
        <v>0</v>
      </c>
      <c r="AH166" s="199"/>
      <c r="AI166" s="200">
        <f t="shared" si="143"/>
        <v>0</v>
      </c>
      <c r="AJ166" s="200">
        <f t="shared" si="144"/>
        <v>0</v>
      </c>
      <c r="AK166" s="200">
        <f t="shared" si="145"/>
        <v>0</v>
      </c>
      <c r="AL166" s="4"/>
      <c r="AM166" s="4"/>
      <c r="AN166" s="4"/>
      <c r="AO166" s="4"/>
      <c r="AP166" s="4"/>
      <c r="AQ166" s="18"/>
      <c r="AR166" s="10">
        <v>9920</v>
      </c>
      <c r="AS166" s="18"/>
      <c r="AT166" s="62"/>
      <c r="AU166" s="65">
        <v>84.507999999999996</v>
      </c>
      <c r="AV166" s="65">
        <v>2974.4580000000001</v>
      </c>
      <c r="AW166" s="65">
        <v>3.6918695652173916</v>
      </c>
      <c r="AX166" s="65">
        <v>6.4586956521739127</v>
      </c>
      <c r="AY166" s="65">
        <v>1250.3090469600002</v>
      </c>
      <c r="AZ166" s="63"/>
      <c r="BA166" s="65">
        <v>1510.1699180000001</v>
      </c>
      <c r="BB166" s="65">
        <v>2000.0150000000001</v>
      </c>
      <c r="BC166" s="63"/>
      <c r="BD166" s="63"/>
      <c r="BE166" s="63"/>
      <c r="BF166" s="63"/>
      <c r="BG166" s="63"/>
      <c r="BH166" s="63"/>
      <c r="BI166" s="63"/>
      <c r="BJ166" s="63"/>
      <c r="BK166" s="63"/>
      <c r="BL166" s="63"/>
      <c r="BM166" s="63"/>
      <c r="BN166" s="63"/>
      <c r="BO166" s="63"/>
      <c r="BP166" s="10">
        <v>1984</v>
      </c>
      <c r="BQ166" s="65">
        <v>144.77959799894484</v>
      </c>
      <c r="BR166" s="65">
        <v>189.15921812748115</v>
      </c>
      <c r="BS166" s="65">
        <v>684.46535660367601</v>
      </c>
      <c r="BT166" s="65">
        <v>228.26996771808498</v>
      </c>
      <c r="BU166" s="65">
        <v>263.9442967858202</v>
      </c>
      <c r="BV166" s="144">
        <f t="shared" si="134"/>
        <v>0</v>
      </c>
      <c r="BW166" s="144">
        <f t="shared" si="135"/>
        <v>0</v>
      </c>
      <c r="BX166" s="144">
        <f t="shared" si="136"/>
        <v>0</v>
      </c>
      <c r="BY166" s="5"/>
      <c r="BZ166" s="66">
        <v>7244.25</v>
      </c>
      <c r="CA166" s="4"/>
      <c r="CB166" s="63"/>
      <c r="CC166" s="5"/>
      <c r="CD166" s="188">
        <v>12.840266038266321</v>
      </c>
      <c r="CE166" s="5"/>
      <c r="CF166" s="65">
        <v>1252</v>
      </c>
      <c r="CG166" s="70"/>
      <c r="CH166" s="70"/>
      <c r="CI166" s="70"/>
      <c r="CJ166" s="65">
        <v>2000.0150000000001</v>
      </c>
      <c r="CK166" s="8">
        <f t="shared" si="86"/>
        <v>29753.319233449667</v>
      </c>
      <c r="CL166" s="202">
        <f t="shared" si="60"/>
        <v>-29753.319233449667</v>
      </c>
      <c r="CM166" s="202">
        <f t="shared" si="61"/>
        <v>-29753.319233449667</v>
      </c>
      <c r="CN166" s="202">
        <f t="shared" si="62"/>
        <v>-29753.319233449667</v>
      </c>
      <c r="CO166" s="9">
        <f t="shared" si="63"/>
        <v>-29753.319233449667</v>
      </c>
      <c r="CP166" s="9">
        <f t="shared" si="64"/>
        <v>-29753.319233449667</v>
      </c>
      <c r="CQ166" s="9">
        <f t="shared" si="65"/>
        <v>-29753.319233449667</v>
      </c>
      <c r="CR166" s="202">
        <f t="shared" si="66"/>
        <v>-29753.319233449667</v>
      </c>
      <c r="CS166" s="202">
        <f t="shared" si="67"/>
        <v>-29753.319233449667</v>
      </c>
      <c r="CT166" s="202">
        <f t="shared" si="68"/>
        <v>-29753.319233449667</v>
      </c>
      <c r="CU166" s="203" t="e">
        <f t="shared" si="69"/>
        <v>#DIV/0!</v>
      </c>
      <c r="CV166" s="203" t="e">
        <f t="shared" si="70"/>
        <v>#DIV/0!</v>
      </c>
      <c r="CW166" s="203" t="e">
        <f t="shared" si="71"/>
        <v>#DIV/0!</v>
      </c>
      <c r="CX166" s="19" t="e">
        <f t="shared" si="72"/>
        <v>#DIV/0!</v>
      </c>
      <c r="CY166" s="19" t="e">
        <f t="shared" si="73"/>
        <v>#DIV/0!</v>
      </c>
      <c r="CZ166" s="19" t="e">
        <f t="shared" si="74"/>
        <v>#DIV/0!</v>
      </c>
      <c r="DA166" s="203" t="e">
        <f t="shared" si="75"/>
        <v>#DIV/0!</v>
      </c>
      <c r="DB166" s="203" t="e">
        <f t="shared" si="76"/>
        <v>#DIV/0!</v>
      </c>
      <c r="DC166" s="203" t="e">
        <f t="shared" si="77"/>
        <v>#DIV/0!</v>
      </c>
      <c r="DD166" s="65"/>
      <c r="DE166" s="66"/>
      <c r="DF166" s="66"/>
      <c r="DG166" s="66"/>
      <c r="DH166" s="66"/>
      <c r="DI166" s="66"/>
      <c r="DJ166" s="65"/>
      <c r="DK166" s="66"/>
      <c r="DL166" s="66"/>
      <c r="DM166" s="8">
        <f t="shared" si="78"/>
        <v>0</v>
      </c>
      <c r="DN166" s="8">
        <f t="shared" si="79"/>
        <v>29753.319233449667</v>
      </c>
      <c r="DO166" s="202">
        <f t="shared" si="99"/>
        <v>-29753.319233449667</v>
      </c>
      <c r="DP166" s="202">
        <f t="shared" si="100"/>
        <v>-29753.319233449667</v>
      </c>
      <c r="DQ166" s="202">
        <f t="shared" si="101"/>
        <v>-29753.319233449667</v>
      </c>
      <c r="DR166" s="9">
        <f t="shared" si="102"/>
        <v>-29753.319233449667</v>
      </c>
      <c r="DS166" s="9">
        <f t="shared" si="91"/>
        <v>-29753.319233449667</v>
      </c>
      <c r="DT166" s="9">
        <f t="shared" si="103"/>
        <v>-29753.319233449667</v>
      </c>
      <c r="DU166" s="202">
        <f t="shared" si="104"/>
        <v>-29753.319233449667</v>
      </c>
      <c r="DV166" s="202">
        <f t="shared" si="105"/>
        <v>-29753.319233449667</v>
      </c>
      <c r="DW166" s="202">
        <f t="shared" si="106"/>
        <v>-29753.319233449667</v>
      </c>
      <c r="DX166" s="203" t="e">
        <f t="shared" si="107"/>
        <v>#DIV/0!</v>
      </c>
      <c r="DY166" s="203" t="e">
        <f t="shared" si="108"/>
        <v>#DIV/0!</v>
      </c>
      <c r="DZ166" s="203" t="e">
        <f t="shared" si="109"/>
        <v>#DIV/0!</v>
      </c>
      <c r="EA166" s="19" t="e">
        <f t="shared" si="110"/>
        <v>#DIV/0!</v>
      </c>
      <c r="EB166" s="19" t="e">
        <f t="shared" si="97"/>
        <v>#DIV/0!</v>
      </c>
      <c r="EC166" s="19" t="e">
        <f t="shared" si="111"/>
        <v>#DIV/0!</v>
      </c>
      <c r="ED166" s="203" t="e">
        <f t="shared" si="112"/>
        <v>#DIV/0!</v>
      </c>
      <c r="EE166" s="203" t="e">
        <f t="shared" si="113"/>
        <v>#DIV/0!</v>
      </c>
      <c r="EF166" s="203" t="e">
        <f t="shared" si="114"/>
        <v>#DIV/0!</v>
      </c>
      <c r="EH166" s="58">
        <f t="shared" si="127"/>
        <v>29730.328402194009</v>
      </c>
      <c r="EI166" s="68" t="e">
        <f t="shared" si="128"/>
        <v>#DIV/0!</v>
      </c>
      <c r="EJ166" s="58">
        <f t="shared" si="129"/>
        <v>22486.078402194009</v>
      </c>
      <c r="EK166" s="68" t="e">
        <f t="shared" si="128"/>
        <v>#DIV/0!</v>
      </c>
      <c r="EL166" s="58">
        <f t="shared" si="130"/>
        <v>1510.6184372340072</v>
      </c>
      <c r="EM166" s="58">
        <f t="shared" si="131"/>
        <v>1510.6184372340072</v>
      </c>
      <c r="EN166" s="68" t="e">
        <f t="shared" si="132"/>
        <v>#DIV/0!</v>
      </c>
      <c r="EO166" s="139">
        <f t="shared" si="147"/>
        <v>0.32861286969700848</v>
      </c>
      <c r="EP166">
        <f>+(SUM(M166:O166)*EO166*(1-'[1]Tier 3 Data'!$A$2))</f>
        <v>0</v>
      </c>
    </row>
    <row r="167" spans="1:146" x14ac:dyDescent="0.2">
      <c r="A167" s="43">
        <v>0</v>
      </c>
      <c r="B167" s="43">
        <v>0</v>
      </c>
      <c r="C167" s="43">
        <v>0</v>
      </c>
      <c r="D167" s="70">
        <v>2021</v>
      </c>
      <c r="E167" s="70">
        <v>4</v>
      </c>
      <c r="F167" s="2">
        <v>720</v>
      </c>
      <c r="G167" s="63"/>
      <c r="H167" s="63"/>
      <c r="I167" s="63"/>
      <c r="J167" s="133">
        <f t="shared" si="124"/>
        <v>0</v>
      </c>
      <c r="K167" s="65">
        <v>0</v>
      </c>
      <c r="L167" s="133">
        <f t="shared" si="125"/>
        <v>0</v>
      </c>
      <c r="M167" s="63"/>
      <c r="N167" s="63"/>
      <c r="O167" s="63"/>
      <c r="P167" s="200">
        <f t="shared" si="115"/>
        <v>0</v>
      </c>
      <c r="Q167" s="200">
        <f t="shared" si="116"/>
        <v>0</v>
      </c>
      <c r="R167" s="200">
        <f t="shared" si="117"/>
        <v>0</v>
      </c>
      <c r="S167" s="133">
        <f t="shared" si="149"/>
        <v>0</v>
      </c>
      <c r="T167" s="133">
        <f t="shared" si="150"/>
        <v>0</v>
      </c>
      <c r="U167" s="133">
        <f t="shared" si="151"/>
        <v>0</v>
      </c>
      <c r="V167" s="200">
        <f t="shared" si="121"/>
        <v>0</v>
      </c>
      <c r="W167" s="200">
        <f t="shared" si="122"/>
        <v>0</v>
      </c>
      <c r="X167" s="200">
        <f t="shared" si="123"/>
        <v>0</v>
      </c>
      <c r="Y167" s="63"/>
      <c r="Z167" s="63"/>
      <c r="AA167" s="63"/>
      <c r="AB167" s="200">
        <f t="shared" si="137"/>
        <v>0</v>
      </c>
      <c r="AC167" s="200">
        <f t="shared" si="138"/>
        <v>0</v>
      </c>
      <c r="AD167" s="200">
        <f t="shared" si="139"/>
        <v>0</v>
      </c>
      <c r="AE167" s="199">
        <f t="shared" si="140"/>
        <v>0</v>
      </c>
      <c r="AF167" s="199">
        <f t="shared" si="141"/>
        <v>0</v>
      </c>
      <c r="AG167" s="199">
        <f t="shared" si="142"/>
        <v>0</v>
      </c>
      <c r="AH167" s="199"/>
      <c r="AI167" s="200">
        <f t="shared" si="143"/>
        <v>0</v>
      </c>
      <c r="AJ167" s="200">
        <f t="shared" si="144"/>
        <v>0</v>
      </c>
      <c r="AK167" s="200">
        <f t="shared" si="145"/>
        <v>0</v>
      </c>
      <c r="AL167" s="4"/>
      <c r="AM167" s="4"/>
      <c r="AN167" s="4"/>
      <c r="AO167" s="4"/>
      <c r="AP167" s="4"/>
      <c r="AQ167" s="18"/>
      <c r="AR167" s="10">
        <v>9600</v>
      </c>
      <c r="AS167" s="18"/>
      <c r="AT167" s="62"/>
      <c r="AU167" s="65">
        <v>62.503</v>
      </c>
      <c r="AV167" s="65">
        <v>2686.1840000000002</v>
      </c>
      <c r="AW167" s="65">
        <v>4.4116521739130432</v>
      </c>
      <c r="AX167" s="65">
        <v>10.08804347826087</v>
      </c>
      <c r="AY167" s="65">
        <v>1119.0640708799999</v>
      </c>
      <c r="AZ167" s="63"/>
      <c r="BA167" s="65">
        <v>1381.124</v>
      </c>
      <c r="BB167" s="65">
        <v>1791.183</v>
      </c>
      <c r="BC167" s="63"/>
      <c r="BD167" s="63"/>
      <c r="BE167" s="63"/>
      <c r="BF167" s="63"/>
      <c r="BG167" s="63"/>
      <c r="BH167" s="63"/>
      <c r="BI167" s="63"/>
      <c r="BJ167" s="63"/>
      <c r="BK167" s="63"/>
      <c r="BL167" s="63"/>
      <c r="BM167" s="63"/>
      <c r="BN167" s="63"/>
      <c r="BO167" s="63"/>
      <c r="BP167" s="10">
        <v>1920</v>
      </c>
      <c r="BQ167" s="65">
        <v>154.60525981631963</v>
      </c>
      <c r="BR167" s="65">
        <v>201.99680467707091</v>
      </c>
      <c r="BS167" s="65">
        <v>730.91766839016157</v>
      </c>
      <c r="BT167" s="65">
        <v>252.76020477719993</v>
      </c>
      <c r="BU167" s="65">
        <v>270.04945204466486</v>
      </c>
      <c r="BV167" s="144">
        <f t="shared" si="134"/>
        <v>0</v>
      </c>
      <c r="BW167" s="144">
        <f t="shared" si="135"/>
        <v>0</v>
      </c>
      <c r="BX167" s="144">
        <f t="shared" si="136"/>
        <v>0</v>
      </c>
      <c r="BY167" s="5"/>
      <c r="BZ167" s="66">
        <v>7020</v>
      </c>
      <c r="CA167" s="4"/>
      <c r="CB167" s="5"/>
      <c r="CC167" s="5"/>
      <c r="CD167" s="188">
        <v>4.0322016730503254</v>
      </c>
      <c r="CE167" s="5"/>
      <c r="CF167" s="65">
        <v>2136</v>
      </c>
      <c r="CG167" s="70"/>
      <c r="CH167" s="70"/>
      <c r="CI167" s="70"/>
      <c r="CJ167" s="65">
        <v>1791.183</v>
      </c>
      <c r="CK167" s="8">
        <f t="shared" si="86"/>
        <v>29344.919357910643</v>
      </c>
      <c r="CL167" s="202">
        <f t="shared" si="60"/>
        <v>-29344.919357910643</v>
      </c>
      <c r="CM167" s="202">
        <f t="shared" si="61"/>
        <v>-29344.919357910643</v>
      </c>
      <c r="CN167" s="202">
        <f t="shared" si="62"/>
        <v>-29344.919357910643</v>
      </c>
      <c r="CO167" s="9">
        <f t="shared" si="63"/>
        <v>-29344.919357910643</v>
      </c>
      <c r="CP167" s="9">
        <f t="shared" si="64"/>
        <v>-29344.919357910643</v>
      </c>
      <c r="CQ167" s="9">
        <f t="shared" si="65"/>
        <v>-29344.919357910643</v>
      </c>
      <c r="CR167" s="202">
        <f t="shared" si="66"/>
        <v>-29344.919357910643</v>
      </c>
      <c r="CS167" s="202">
        <f t="shared" si="67"/>
        <v>-29344.919357910643</v>
      </c>
      <c r="CT167" s="202">
        <f t="shared" si="68"/>
        <v>-29344.919357910643</v>
      </c>
      <c r="CU167" s="203" t="e">
        <f t="shared" si="69"/>
        <v>#DIV/0!</v>
      </c>
      <c r="CV167" s="203" t="e">
        <f t="shared" si="70"/>
        <v>#DIV/0!</v>
      </c>
      <c r="CW167" s="203" t="e">
        <f t="shared" si="71"/>
        <v>#DIV/0!</v>
      </c>
      <c r="CX167" s="19" t="e">
        <f t="shared" si="72"/>
        <v>#DIV/0!</v>
      </c>
      <c r="CY167" s="19" t="e">
        <f t="shared" si="73"/>
        <v>#DIV/0!</v>
      </c>
      <c r="CZ167" s="19" t="e">
        <f t="shared" si="74"/>
        <v>#DIV/0!</v>
      </c>
      <c r="DA167" s="203" t="e">
        <f t="shared" si="75"/>
        <v>#DIV/0!</v>
      </c>
      <c r="DB167" s="203" t="e">
        <f t="shared" si="76"/>
        <v>#DIV/0!</v>
      </c>
      <c r="DC167" s="203" t="e">
        <f t="shared" si="77"/>
        <v>#DIV/0!</v>
      </c>
      <c r="DD167" s="65"/>
      <c r="DE167" s="66"/>
      <c r="DF167" s="66"/>
      <c r="DG167" s="66"/>
      <c r="DH167" s="66"/>
      <c r="DI167" s="66"/>
      <c r="DJ167" s="65"/>
      <c r="DK167" s="66"/>
      <c r="DL167" s="66"/>
      <c r="DM167" s="8">
        <f t="shared" si="78"/>
        <v>0</v>
      </c>
      <c r="DN167" s="8">
        <f t="shared" si="79"/>
        <v>29344.919357910643</v>
      </c>
      <c r="DO167" s="202">
        <f t="shared" si="99"/>
        <v>-29344.919357910643</v>
      </c>
      <c r="DP167" s="202">
        <f t="shared" si="100"/>
        <v>-29344.919357910643</v>
      </c>
      <c r="DQ167" s="202">
        <f t="shared" si="101"/>
        <v>-29344.919357910643</v>
      </c>
      <c r="DR167" s="9">
        <f t="shared" si="102"/>
        <v>-29344.919357910643</v>
      </c>
      <c r="DS167" s="9">
        <f t="shared" si="91"/>
        <v>-29344.919357910643</v>
      </c>
      <c r="DT167" s="9">
        <f t="shared" si="103"/>
        <v>-29344.919357910643</v>
      </c>
      <c r="DU167" s="202">
        <f t="shared" si="104"/>
        <v>-29344.919357910643</v>
      </c>
      <c r="DV167" s="202">
        <f t="shared" si="105"/>
        <v>-29344.919357910643</v>
      </c>
      <c r="DW167" s="202">
        <f t="shared" si="106"/>
        <v>-29344.919357910643</v>
      </c>
      <c r="DX167" s="203" t="e">
        <f t="shared" si="107"/>
        <v>#DIV/0!</v>
      </c>
      <c r="DY167" s="203" t="e">
        <f t="shared" si="108"/>
        <v>#DIV/0!</v>
      </c>
      <c r="DZ167" s="203" t="e">
        <f t="shared" si="109"/>
        <v>#DIV/0!</v>
      </c>
      <c r="EA167" s="19" t="e">
        <f t="shared" si="110"/>
        <v>#DIV/0!</v>
      </c>
      <c r="EB167" s="19" t="e">
        <f t="shared" si="97"/>
        <v>#DIV/0!</v>
      </c>
      <c r="EC167" s="19" t="e">
        <f t="shared" si="111"/>
        <v>#DIV/0!</v>
      </c>
      <c r="ED167" s="203" t="e">
        <f t="shared" si="112"/>
        <v>#DIV/0!</v>
      </c>
      <c r="EE167" s="203" t="e">
        <f t="shared" si="113"/>
        <v>#DIV/0!</v>
      </c>
      <c r="EF167" s="203" t="e">
        <f t="shared" si="114"/>
        <v>#DIV/0!</v>
      </c>
      <c r="EH167" s="58">
        <f>SUMIF($AL$1:$DL$1,1,$AL167:$DL167)</f>
        <v>29326.387460585418</v>
      </c>
      <c r="EI167" s="68" t="e">
        <f t="shared" si="128"/>
        <v>#DIV/0!</v>
      </c>
      <c r="EJ167" s="58">
        <f t="shared" si="129"/>
        <v>22306.387460585418</v>
      </c>
      <c r="EK167" s="68" t="e">
        <f t="shared" si="128"/>
        <v>#DIV/0!</v>
      </c>
      <c r="EL167" s="58">
        <f t="shared" si="130"/>
        <v>1610.3293897054168</v>
      </c>
      <c r="EM167" s="58">
        <f t="shared" si="131"/>
        <v>1610.3293897054168</v>
      </c>
      <c r="EN167" s="68" t="e">
        <f t="shared" si="132"/>
        <v>#DIV/0!</v>
      </c>
      <c r="EO167" s="139">
        <f t="shared" si="147"/>
        <v>0.35351678044029999</v>
      </c>
      <c r="EP167">
        <f>+(SUM(M167:O167)*EO167*(1-'[1]Tier 3 Data'!$A$2))</f>
        <v>0</v>
      </c>
    </row>
    <row r="168" spans="1:146" x14ac:dyDescent="0.2">
      <c r="A168" s="43">
        <v>0</v>
      </c>
      <c r="B168" s="43">
        <v>0</v>
      </c>
      <c r="C168" s="43">
        <v>0</v>
      </c>
      <c r="D168" s="70">
        <v>2021</v>
      </c>
      <c r="E168" s="70">
        <v>5</v>
      </c>
      <c r="F168" s="2">
        <v>744</v>
      </c>
      <c r="G168" s="63"/>
      <c r="H168" s="63"/>
      <c r="I168" s="63"/>
      <c r="J168" s="133">
        <f t="shared" si="124"/>
        <v>0</v>
      </c>
      <c r="K168" s="65">
        <v>0</v>
      </c>
      <c r="L168" s="133">
        <f t="shared" si="125"/>
        <v>0</v>
      </c>
      <c r="M168" s="63"/>
      <c r="N168" s="63"/>
      <c r="O168" s="63"/>
      <c r="P168" s="200">
        <f t="shared" si="115"/>
        <v>0</v>
      </c>
      <c r="Q168" s="200">
        <f t="shared" si="116"/>
        <v>0</v>
      </c>
      <c r="R168" s="200">
        <f t="shared" si="117"/>
        <v>0</v>
      </c>
      <c r="S168" s="133">
        <f t="shared" si="149"/>
        <v>0</v>
      </c>
      <c r="T168" s="133">
        <f t="shared" si="150"/>
        <v>0</v>
      </c>
      <c r="U168" s="133">
        <f t="shared" si="151"/>
        <v>0</v>
      </c>
      <c r="V168" s="200">
        <f t="shared" si="121"/>
        <v>0</v>
      </c>
      <c r="W168" s="200">
        <f t="shared" si="122"/>
        <v>0</v>
      </c>
      <c r="X168" s="200">
        <f t="shared" si="123"/>
        <v>0</v>
      </c>
      <c r="Y168" s="63"/>
      <c r="Z168" s="63"/>
      <c r="AA168" s="63"/>
      <c r="AB168" s="200">
        <f t="shared" si="137"/>
        <v>0</v>
      </c>
      <c r="AC168" s="200">
        <f t="shared" si="138"/>
        <v>0</v>
      </c>
      <c r="AD168" s="200">
        <f t="shared" si="139"/>
        <v>0</v>
      </c>
      <c r="AE168" s="199">
        <f t="shared" si="140"/>
        <v>0</v>
      </c>
      <c r="AF168" s="199">
        <f t="shared" si="141"/>
        <v>0</v>
      </c>
      <c r="AG168" s="199">
        <f t="shared" si="142"/>
        <v>0</v>
      </c>
      <c r="AH168" s="199"/>
      <c r="AI168" s="200">
        <f t="shared" si="143"/>
        <v>0</v>
      </c>
      <c r="AJ168" s="200">
        <f t="shared" si="144"/>
        <v>0</v>
      </c>
      <c r="AK168" s="200">
        <f t="shared" si="145"/>
        <v>0</v>
      </c>
      <c r="AL168" s="4"/>
      <c r="AM168" s="4"/>
      <c r="AN168" s="4"/>
      <c r="AO168" s="4"/>
      <c r="AP168" s="4"/>
      <c r="AQ168" s="18"/>
      <c r="AR168" s="10">
        <v>9920</v>
      </c>
      <c r="AS168" s="18"/>
      <c r="AT168" s="62"/>
      <c r="AU168" s="65">
        <v>71.867000000000004</v>
      </c>
      <c r="AV168" s="65">
        <v>2913.3649999999998</v>
      </c>
      <c r="AW168" s="65">
        <v>3.5895652173913044</v>
      </c>
      <c r="AX168" s="65">
        <v>10.504608695652173</v>
      </c>
      <c r="AY168" s="65">
        <v>654.89368060800007</v>
      </c>
      <c r="AZ168" s="63"/>
      <c r="BA168" s="65">
        <v>2152.7570000000001</v>
      </c>
      <c r="BB168" s="65">
        <v>1874.778</v>
      </c>
      <c r="BC168" s="63"/>
      <c r="BD168" s="63"/>
      <c r="BE168" s="63"/>
      <c r="BF168" s="63"/>
      <c r="BG168" s="63"/>
      <c r="BH168" s="63"/>
      <c r="BI168" s="63"/>
      <c r="BJ168" s="63"/>
      <c r="BK168" s="63"/>
      <c r="BL168" s="63"/>
      <c r="BM168" s="63"/>
      <c r="BN168" s="63"/>
      <c r="BO168" s="63"/>
      <c r="BP168" s="10">
        <v>1984</v>
      </c>
      <c r="BQ168" s="65">
        <v>178.0513394465905</v>
      </c>
      <c r="BR168" s="65">
        <v>232.62984607045104</v>
      </c>
      <c r="BS168" s="65">
        <v>841.76215236485029</v>
      </c>
      <c r="BT168" s="65">
        <v>261.22585595749496</v>
      </c>
      <c r="BU168" s="65">
        <v>308.82887283540498</v>
      </c>
      <c r="BV168" s="144">
        <f t="shared" si="134"/>
        <v>0</v>
      </c>
      <c r="BW168" s="144">
        <f t="shared" si="135"/>
        <v>0</v>
      </c>
      <c r="BX168" s="144">
        <f t="shared" si="136"/>
        <v>0</v>
      </c>
      <c r="BY168" s="5"/>
      <c r="BZ168" s="66">
        <v>7254</v>
      </c>
      <c r="CA168" s="4"/>
      <c r="CB168" s="5"/>
      <c r="CC168" s="5"/>
      <c r="CD168" s="188">
        <v>7.418703339418351</v>
      </c>
      <c r="CE168" s="5"/>
      <c r="CF168" s="65">
        <v>1873</v>
      </c>
      <c r="CG168" s="70"/>
      <c r="CH168" s="70"/>
      <c r="CI168" s="70"/>
      <c r="CJ168" s="65">
        <v>1874.778</v>
      </c>
      <c r="CK168" s="8">
        <f t="shared" si="86"/>
        <v>30542.671624535247</v>
      </c>
      <c r="CL168" s="202">
        <f t="shared" ref="CL168:CL231" si="152">+AB168-$CK168</f>
        <v>-30542.671624535247</v>
      </c>
      <c r="CM168" s="202">
        <f t="shared" ref="CM168:CM231" si="153">+AC168-$CK168</f>
        <v>-30542.671624535247</v>
      </c>
      <c r="CN168" s="202">
        <f t="shared" ref="CN168:CN231" si="154">+AD168-$CK168</f>
        <v>-30542.671624535247</v>
      </c>
      <c r="CO168" s="9">
        <f t="shared" ref="CO168:CO231" si="155">+AE168-$CK168</f>
        <v>-30542.671624535247</v>
      </c>
      <c r="CP168" s="9">
        <f t="shared" ref="CP168:CP231" si="156">+AF168-$CK168</f>
        <v>-30542.671624535247</v>
      </c>
      <c r="CQ168" s="9">
        <f t="shared" ref="CQ168:CQ231" si="157">+AG168-$CK168</f>
        <v>-30542.671624535247</v>
      </c>
      <c r="CR168" s="202">
        <f t="shared" ref="CR168:CR231" si="158">+AI168-$CK168</f>
        <v>-30542.671624535247</v>
      </c>
      <c r="CS168" s="202">
        <f t="shared" ref="CS168:CS231" si="159">+AJ168-$CK168</f>
        <v>-30542.671624535247</v>
      </c>
      <c r="CT168" s="202">
        <f t="shared" ref="CT168:CT231" si="160">+AK168-$CK168</f>
        <v>-30542.671624535247</v>
      </c>
      <c r="CU168" s="203" t="e">
        <f t="shared" ref="CU168:CU231" si="161">+CL168/AB168</f>
        <v>#DIV/0!</v>
      </c>
      <c r="CV168" s="203" t="e">
        <f t="shared" ref="CV168:CV231" si="162">+CM168/AC168</f>
        <v>#DIV/0!</v>
      </c>
      <c r="CW168" s="203" t="e">
        <f t="shared" ref="CW168:CW231" si="163">+CN168/AD168</f>
        <v>#DIV/0!</v>
      </c>
      <c r="CX168" s="19" t="e">
        <f t="shared" ref="CX168:CX231" si="164">+CO168/AE168</f>
        <v>#DIV/0!</v>
      </c>
      <c r="CY168" s="19" t="e">
        <f t="shared" ref="CY168:CY231" si="165">+CP168/AF168</f>
        <v>#DIV/0!</v>
      </c>
      <c r="CZ168" s="19" t="e">
        <f t="shared" ref="CZ168:CZ231" si="166">+CQ168/AG168</f>
        <v>#DIV/0!</v>
      </c>
      <c r="DA168" s="203" t="e">
        <f t="shared" ref="DA168:DA231" si="167">+CR168/AI168</f>
        <v>#DIV/0!</v>
      </c>
      <c r="DB168" s="203" t="e">
        <f t="shared" ref="DB168:DB231" si="168">+CS168/AJ168</f>
        <v>#DIV/0!</v>
      </c>
      <c r="DC168" s="203" t="e">
        <f t="shared" ref="DC168:DC231" si="169">+CT168/AK168</f>
        <v>#DIV/0!</v>
      </c>
      <c r="DD168" s="65"/>
      <c r="DE168" s="66"/>
      <c r="DF168" s="66"/>
      <c r="DG168" s="66"/>
      <c r="DH168" s="66"/>
      <c r="DI168" s="66"/>
      <c r="DJ168" s="65"/>
      <c r="DK168" s="66"/>
      <c r="DL168" s="66"/>
      <c r="DM168" s="8">
        <f t="shared" ref="DM168:DM231" si="170">+SUM(DD168:DL168)</f>
        <v>0</v>
      </c>
      <c r="DN168" s="8">
        <f t="shared" ref="DN168:DN231" si="171">+DM168+CK168</f>
        <v>30542.671624535247</v>
      </c>
      <c r="DO168" s="202">
        <f t="shared" si="99"/>
        <v>-30542.671624535247</v>
      </c>
      <c r="DP168" s="202">
        <f t="shared" si="100"/>
        <v>-30542.671624535247</v>
      </c>
      <c r="DQ168" s="202">
        <f t="shared" si="101"/>
        <v>-30542.671624535247</v>
      </c>
      <c r="DR168" s="9">
        <f t="shared" si="102"/>
        <v>-30542.671624535247</v>
      </c>
      <c r="DS168" s="9">
        <f t="shared" si="91"/>
        <v>-30542.671624535247</v>
      </c>
      <c r="DT168" s="9">
        <f t="shared" si="103"/>
        <v>-30542.671624535247</v>
      </c>
      <c r="DU168" s="202">
        <f t="shared" si="104"/>
        <v>-30542.671624535247</v>
      </c>
      <c r="DV168" s="202">
        <f t="shared" si="105"/>
        <v>-30542.671624535247</v>
      </c>
      <c r="DW168" s="202">
        <f t="shared" si="106"/>
        <v>-30542.671624535247</v>
      </c>
      <c r="DX168" s="203" t="e">
        <f t="shared" si="107"/>
        <v>#DIV/0!</v>
      </c>
      <c r="DY168" s="203" t="e">
        <f t="shared" si="108"/>
        <v>#DIV/0!</v>
      </c>
      <c r="DZ168" s="203" t="e">
        <f t="shared" si="109"/>
        <v>#DIV/0!</v>
      </c>
      <c r="EA168" s="19" t="e">
        <f t="shared" si="110"/>
        <v>#DIV/0!</v>
      </c>
      <c r="EB168" s="19" t="e">
        <f t="shared" si="97"/>
        <v>#DIV/0!</v>
      </c>
      <c r="EC168" s="19" t="e">
        <f t="shared" si="111"/>
        <v>#DIV/0!</v>
      </c>
      <c r="ED168" s="203" t="e">
        <f t="shared" si="112"/>
        <v>#DIV/0!</v>
      </c>
      <c r="EE168" s="203" t="e">
        <f t="shared" si="113"/>
        <v>#DIV/0!</v>
      </c>
      <c r="EF168" s="203" t="e">
        <f t="shared" si="114"/>
        <v>#DIV/0!</v>
      </c>
      <c r="EH168" s="58">
        <f t="shared" si="127"/>
        <v>30521.158747282785</v>
      </c>
      <c r="EI168" s="68" t="e">
        <f t="shared" si="128"/>
        <v>#DIV/0!</v>
      </c>
      <c r="EJ168" s="58">
        <f t="shared" si="129"/>
        <v>23267.158747282785</v>
      </c>
      <c r="EK168" s="68" t="e">
        <f t="shared" si="128"/>
        <v>#DIV/0!</v>
      </c>
      <c r="EL168" s="58">
        <f t="shared" si="130"/>
        <v>1822.4980666747917</v>
      </c>
      <c r="EM168" s="58">
        <f t="shared" si="131"/>
        <v>1822.4980666747917</v>
      </c>
      <c r="EN168" s="68" t="e">
        <f t="shared" si="132"/>
        <v>#DIV/0!</v>
      </c>
      <c r="EO168" s="139">
        <f t="shared" si="147"/>
        <v>0.28868615856523006</v>
      </c>
      <c r="EP168">
        <f>+(SUM(M168:O168)*EO168*(1-'[1]Tier 3 Data'!$A$2))</f>
        <v>0</v>
      </c>
    </row>
    <row r="169" spans="1:146" x14ac:dyDescent="0.2">
      <c r="A169" s="43">
        <v>0</v>
      </c>
      <c r="B169" s="43">
        <v>0</v>
      </c>
      <c r="C169" s="43">
        <v>0</v>
      </c>
      <c r="D169" s="70">
        <v>2021</v>
      </c>
      <c r="E169" s="70">
        <v>6</v>
      </c>
      <c r="F169" s="2">
        <v>720</v>
      </c>
      <c r="G169" s="63"/>
      <c r="H169" s="63"/>
      <c r="I169" s="63"/>
      <c r="J169" s="133">
        <f t="shared" si="124"/>
        <v>0</v>
      </c>
      <c r="K169" s="65">
        <v>0</v>
      </c>
      <c r="L169" s="133">
        <f t="shared" si="125"/>
        <v>0</v>
      </c>
      <c r="M169" s="63"/>
      <c r="N169" s="63"/>
      <c r="O169" s="63"/>
      <c r="P169" s="200">
        <f t="shared" si="115"/>
        <v>0</v>
      </c>
      <c r="Q169" s="200">
        <f t="shared" si="116"/>
        <v>0</v>
      </c>
      <c r="R169" s="200">
        <f t="shared" si="117"/>
        <v>0</v>
      </c>
      <c r="S169" s="133">
        <f t="shared" si="149"/>
        <v>0</v>
      </c>
      <c r="T169" s="133">
        <f t="shared" si="150"/>
        <v>0</v>
      </c>
      <c r="U169" s="133">
        <f t="shared" si="151"/>
        <v>0</v>
      </c>
      <c r="V169" s="200">
        <f t="shared" si="121"/>
        <v>0</v>
      </c>
      <c r="W169" s="200">
        <f t="shared" si="122"/>
        <v>0</v>
      </c>
      <c r="X169" s="200">
        <f t="shared" si="123"/>
        <v>0</v>
      </c>
      <c r="Y169" s="63"/>
      <c r="Z169" s="63"/>
      <c r="AA169" s="63"/>
      <c r="AB169" s="200">
        <f t="shared" si="137"/>
        <v>0</v>
      </c>
      <c r="AC169" s="200">
        <f t="shared" si="138"/>
        <v>0</v>
      </c>
      <c r="AD169" s="200">
        <f t="shared" si="139"/>
        <v>0</v>
      </c>
      <c r="AE169" s="199">
        <f t="shared" si="140"/>
        <v>0</v>
      </c>
      <c r="AF169" s="199">
        <f t="shared" si="141"/>
        <v>0</v>
      </c>
      <c r="AG169" s="199">
        <f t="shared" si="142"/>
        <v>0</v>
      </c>
      <c r="AH169" s="199"/>
      <c r="AI169" s="200">
        <f t="shared" si="143"/>
        <v>0</v>
      </c>
      <c r="AJ169" s="200">
        <f t="shared" si="144"/>
        <v>0</v>
      </c>
      <c r="AK169" s="200">
        <f t="shared" si="145"/>
        <v>0</v>
      </c>
      <c r="AL169" s="4"/>
      <c r="AM169" s="4"/>
      <c r="AN169" s="4"/>
      <c r="AO169" s="4"/>
      <c r="AP169" s="4"/>
      <c r="AQ169" s="18"/>
      <c r="AR169" s="10">
        <v>9600</v>
      </c>
      <c r="AS169" s="18"/>
      <c r="AT169" s="62"/>
      <c r="AU169" s="65">
        <v>73.271000000000001</v>
      </c>
      <c r="AV169" s="65">
        <v>2797.6709999999998</v>
      </c>
      <c r="AW169" s="65">
        <v>3.0868695652173916</v>
      </c>
      <c r="AX169" s="65">
        <v>6.8705217391304352</v>
      </c>
      <c r="AY169" s="65">
        <v>1186.4564243999998</v>
      </c>
      <c r="AZ169" s="63"/>
      <c r="BA169" s="65">
        <v>1672.4961049999999</v>
      </c>
      <c r="BB169" s="65">
        <v>1295.4349999999999</v>
      </c>
      <c r="BC169" s="63"/>
      <c r="BD169" s="63"/>
      <c r="BE169" s="63"/>
      <c r="BF169" s="63"/>
      <c r="BG169" s="63"/>
      <c r="BH169" s="63"/>
      <c r="BI169" s="63"/>
      <c r="BJ169" s="63"/>
      <c r="BK169" s="63"/>
      <c r="BL169" s="63"/>
      <c r="BM169" s="63"/>
      <c r="BN169" s="63"/>
      <c r="BO169" s="63"/>
      <c r="BP169" s="10">
        <v>1920</v>
      </c>
      <c r="BQ169" s="65">
        <v>173.11196792720654</v>
      </c>
      <c r="BR169" s="65">
        <v>226.17643868896675</v>
      </c>
      <c r="BS169" s="65">
        <v>818.41074129232504</v>
      </c>
      <c r="BT169" s="65">
        <v>273.43288703577997</v>
      </c>
      <c r="BU169" s="65">
        <v>302.26484463374504</v>
      </c>
      <c r="BV169" s="144">
        <f t="shared" si="134"/>
        <v>0</v>
      </c>
      <c r="BW169" s="144">
        <f t="shared" si="135"/>
        <v>0</v>
      </c>
      <c r="BX169" s="144">
        <f t="shared" si="136"/>
        <v>0</v>
      </c>
      <c r="BY169" s="5"/>
      <c r="BZ169" s="66">
        <v>7020</v>
      </c>
      <c r="CA169" s="4"/>
      <c r="CB169" s="5"/>
      <c r="CC169" s="5"/>
      <c r="CD169" s="188">
        <v>8.408846905945861</v>
      </c>
      <c r="CE169" s="5"/>
      <c r="CF169" s="65">
        <v>309</v>
      </c>
      <c r="CG169" s="70"/>
      <c r="CH169" s="70"/>
      <c r="CI169" s="70"/>
      <c r="CJ169" s="65">
        <v>1295.4349999999999</v>
      </c>
      <c r="CK169" s="8">
        <f t="shared" ref="CK169:CK232" si="172">+SUM(AL169:CI169)</f>
        <v>27686.092647188314</v>
      </c>
      <c r="CL169" s="202">
        <f t="shared" si="152"/>
        <v>-27686.092647188314</v>
      </c>
      <c r="CM169" s="202">
        <f t="shared" si="153"/>
        <v>-27686.092647188314</v>
      </c>
      <c r="CN169" s="202">
        <f t="shared" si="154"/>
        <v>-27686.092647188314</v>
      </c>
      <c r="CO169" s="9">
        <f t="shared" si="155"/>
        <v>-27686.092647188314</v>
      </c>
      <c r="CP169" s="9">
        <f t="shared" si="156"/>
        <v>-27686.092647188314</v>
      </c>
      <c r="CQ169" s="9">
        <f t="shared" si="157"/>
        <v>-27686.092647188314</v>
      </c>
      <c r="CR169" s="202">
        <f t="shared" si="158"/>
        <v>-27686.092647188314</v>
      </c>
      <c r="CS169" s="202">
        <f t="shared" si="159"/>
        <v>-27686.092647188314</v>
      </c>
      <c r="CT169" s="202">
        <f t="shared" si="160"/>
        <v>-27686.092647188314</v>
      </c>
      <c r="CU169" s="203" t="e">
        <f t="shared" si="161"/>
        <v>#DIV/0!</v>
      </c>
      <c r="CV169" s="203" t="e">
        <f t="shared" si="162"/>
        <v>#DIV/0!</v>
      </c>
      <c r="CW169" s="203" t="e">
        <f t="shared" si="163"/>
        <v>#DIV/0!</v>
      </c>
      <c r="CX169" s="19" t="e">
        <f t="shared" si="164"/>
        <v>#DIV/0!</v>
      </c>
      <c r="CY169" s="19" t="e">
        <f t="shared" si="165"/>
        <v>#DIV/0!</v>
      </c>
      <c r="CZ169" s="19" t="e">
        <f t="shared" si="166"/>
        <v>#DIV/0!</v>
      </c>
      <c r="DA169" s="203" t="e">
        <f t="shared" si="167"/>
        <v>#DIV/0!</v>
      </c>
      <c r="DB169" s="203" t="e">
        <f t="shared" si="168"/>
        <v>#DIV/0!</v>
      </c>
      <c r="DC169" s="203" t="e">
        <f t="shared" si="169"/>
        <v>#DIV/0!</v>
      </c>
      <c r="DD169" s="65"/>
      <c r="DE169" s="66"/>
      <c r="DF169" s="66"/>
      <c r="DG169" s="66"/>
      <c r="DH169" s="66"/>
      <c r="DI169" s="66"/>
      <c r="DJ169" s="65"/>
      <c r="DK169" s="66"/>
      <c r="DL169" s="66"/>
      <c r="DM169" s="8">
        <f t="shared" si="170"/>
        <v>0</v>
      </c>
      <c r="DN169" s="8">
        <f t="shared" si="171"/>
        <v>27686.092647188314</v>
      </c>
      <c r="DO169" s="202">
        <f t="shared" si="99"/>
        <v>-27686.092647188314</v>
      </c>
      <c r="DP169" s="202">
        <f t="shared" si="100"/>
        <v>-27686.092647188314</v>
      </c>
      <c r="DQ169" s="202">
        <f t="shared" si="101"/>
        <v>-27686.092647188314</v>
      </c>
      <c r="DR169" s="9">
        <f t="shared" si="102"/>
        <v>-27686.092647188314</v>
      </c>
      <c r="DS169" s="9">
        <f t="shared" ref="DS169:DS232" si="173">+AF169-$DN169</f>
        <v>-27686.092647188314</v>
      </c>
      <c r="DT169" s="9">
        <f t="shared" si="103"/>
        <v>-27686.092647188314</v>
      </c>
      <c r="DU169" s="202">
        <f t="shared" si="104"/>
        <v>-27686.092647188314</v>
      </c>
      <c r="DV169" s="202">
        <f t="shared" si="105"/>
        <v>-27686.092647188314</v>
      </c>
      <c r="DW169" s="202">
        <f t="shared" si="106"/>
        <v>-27686.092647188314</v>
      </c>
      <c r="DX169" s="203" t="e">
        <f t="shared" si="107"/>
        <v>#DIV/0!</v>
      </c>
      <c r="DY169" s="203" t="e">
        <f t="shared" si="108"/>
        <v>#DIV/0!</v>
      </c>
      <c r="DZ169" s="203" t="e">
        <f t="shared" si="109"/>
        <v>#DIV/0!</v>
      </c>
      <c r="EA169" s="19" t="e">
        <f t="shared" si="110"/>
        <v>#DIV/0!</v>
      </c>
      <c r="EB169" s="19" t="e">
        <f t="shared" ref="EB169:EB232" si="174">+DS169/AF169</f>
        <v>#DIV/0!</v>
      </c>
      <c r="EC169" s="19" t="e">
        <f t="shared" si="111"/>
        <v>#DIV/0!</v>
      </c>
      <c r="ED169" s="203" t="e">
        <f t="shared" si="112"/>
        <v>#DIV/0!</v>
      </c>
      <c r="EE169" s="203" t="e">
        <f t="shared" si="113"/>
        <v>#DIV/0!</v>
      </c>
      <c r="EF169" s="203" t="e">
        <f t="shared" si="114"/>
        <v>#DIV/0!</v>
      </c>
      <c r="EH169" s="58">
        <f t="shared" si="127"/>
        <v>27667.726408978022</v>
      </c>
      <c r="EI169" s="68" t="e">
        <f t="shared" si="128"/>
        <v>#DIV/0!</v>
      </c>
      <c r="EJ169" s="58">
        <f t="shared" si="129"/>
        <v>20647.726408978022</v>
      </c>
      <c r="EK169" s="68" t="e">
        <f t="shared" si="128"/>
        <v>#DIV/0!</v>
      </c>
      <c r="EL169" s="58">
        <f t="shared" si="130"/>
        <v>1793.3968795780233</v>
      </c>
      <c r="EM169" s="58">
        <f t="shared" si="131"/>
        <v>1793.3968795780233</v>
      </c>
      <c r="EN169" s="68" t="e">
        <f t="shared" si="132"/>
        <v>#DIV/0!</v>
      </c>
      <c r="EO169" s="139">
        <f t="shared" si="147"/>
        <v>0.24029016665052916</v>
      </c>
      <c r="EP169">
        <f>+(SUM(M169:O169)*EO169*(1-'[1]Tier 3 Data'!$A$2))</f>
        <v>0</v>
      </c>
    </row>
    <row r="170" spans="1:146" x14ac:dyDescent="0.2">
      <c r="A170" s="43">
        <v>0</v>
      </c>
      <c r="B170" s="43">
        <v>0</v>
      </c>
      <c r="C170" s="43">
        <v>0</v>
      </c>
      <c r="D170" s="70">
        <v>2021</v>
      </c>
      <c r="E170" s="70">
        <v>7</v>
      </c>
      <c r="F170" s="2">
        <v>744</v>
      </c>
      <c r="G170" s="63"/>
      <c r="H170" s="63"/>
      <c r="I170" s="63"/>
      <c r="J170" s="133">
        <f t="shared" si="124"/>
        <v>0</v>
      </c>
      <c r="K170" s="65">
        <v>0</v>
      </c>
      <c r="L170" s="133">
        <f t="shared" si="125"/>
        <v>0</v>
      </c>
      <c r="M170" s="63"/>
      <c r="N170" s="63"/>
      <c r="O170" s="63"/>
      <c r="P170" s="200">
        <f t="shared" si="115"/>
        <v>0</v>
      </c>
      <c r="Q170" s="200">
        <f t="shared" si="116"/>
        <v>0</v>
      </c>
      <c r="R170" s="200">
        <f t="shared" si="117"/>
        <v>0</v>
      </c>
      <c r="S170" s="133">
        <f t="shared" si="149"/>
        <v>0</v>
      </c>
      <c r="T170" s="133">
        <f t="shared" si="150"/>
        <v>0</v>
      </c>
      <c r="U170" s="133">
        <f t="shared" si="151"/>
        <v>0</v>
      </c>
      <c r="V170" s="200">
        <f t="shared" si="121"/>
        <v>0</v>
      </c>
      <c r="W170" s="200">
        <f t="shared" si="122"/>
        <v>0</v>
      </c>
      <c r="X170" s="200">
        <f t="shared" si="123"/>
        <v>0</v>
      </c>
      <c r="Y170" s="63"/>
      <c r="Z170" s="63"/>
      <c r="AA170" s="63"/>
      <c r="AB170" s="200">
        <f t="shared" si="137"/>
        <v>0</v>
      </c>
      <c r="AC170" s="200">
        <f t="shared" si="138"/>
        <v>0</v>
      </c>
      <c r="AD170" s="200">
        <f t="shared" si="139"/>
        <v>0</v>
      </c>
      <c r="AE170" s="199">
        <f t="shared" si="140"/>
        <v>0</v>
      </c>
      <c r="AF170" s="199">
        <f t="shared" si="141"/>
        <v>0</v>
      </c>
      <c r="AG170" s="199">
        <f t="shared" si="142"/>
        <v>0</v>
      </c>
      <c r="AH170" s="199"/>
      <c r="AI170" s="200">
        <f t="shared" si="143"/>
        <v>0</v>
      </c>
      <c r="AJ170" s="200">
        <f t="shared" si="144"/>
        <v>0</v>
      </c>
      <c r="AK170" s="200">
        <f t="shared" si="145"/>
        <v>0</v>
      </c>
      <c r="AL170" s="4"/>
      <c r="AM170" s="4"/>
      <c r="AN170" s="4"/>
      <c r="AO170" s="4"/>
      <c r="AP170" s="4"/>
      <c r="AQ170" s="18"/>
      <c r="AR170" s="10">
        <v>9920</v>
      </c>
      <c r="AS170" s="18"/>
      <c r="AT170" s="62"/>
      <c r="AU170" s="65">
        <v>103.587</v>
      </c>
      <c r="AV170" s="65">
        <v>3707.3789999999999</v>
      </c>
      <c r="AW170" s="65">
        <v>2.2491304347826087</v>
      </c>
      <c r="AX170" s="65">
        <v>4.8289565217391299</v>
      </c>
      <c r="AY170" s="65">
        <v>1207.6840342800001</v>
      </c>
      <c r="AZ170" s="63"/>
      <c r="BA170" s="65">
        <v>1235.394</v>
      </c>
      <c r="BB170" s="65">
        <v>857.31</v>
      </c>
      <c r="BC170" s="63"/>
      <c r="BD170" s="63"/>
      <c r="BE170" s="63"/>
      <c r="BF170" s="63"/>
      <c r="BG170" s="63"/>
      <c r="BH170" s="63"/>
      <c r="BI170" s="63"/>
      <c r="BJ170" s="63"/>
      <c r="BK170" s="63"/>
      <c r="BL170" s="63"/>
      <c r="BM170" s="63"/>
      <c r="BN170" s="63"/>
      <c r="BO170" s="63"/>
      <c r="BP170" s="10">
        <v>1984</v>
      </c>
      <c r="BQ170" s="65">
        <v>175.11256026183378</v>
      </c>
      <c r="BR170" s="65">
        <v>228.7901991678344</v>
      </c>
      <c r="BS170" s="65">
        <v>827.86853300238658</v>
      </c>
      <c r="BT170" s="65">
        <v>282.52625509788493</v>
      </c>
      <c r="BU170" s="65">
        <v>310.77838715901487</v>
      </c>
      <c r="BV170" s="144">
        <f t="shared" si="134"/>
        <v>0</v>
      </c>
      <c r="BW170" s="144">
        <f t="shared" si="135"/>
        <v>0</v>
      </c>
      <c r="BX170" s="144">
        <f t="shared" si="136"/>
        <v>0</v>
      </c>
      <c r="BY170" s="5"/>
      <c r="BZ170" s="66">
        <v>7254</v>
      </c>
      <c r="CA170" s="4"/>
      <c r="CB170" s="5"/>
      <c r="CC170" s="5"/>
      <c r="CD170" s="188">
        <v>1.4635914569736794</v>
      </c>
      <c r="CE170" s="5"/>
      <c r="CF170" s="65">
        <v>51</v>
      </c>
      <c r="CG170" s="70"/>
      <c r="CH170" s="70"/>
      <c r="CI170" s="70"/>
      <c r="CJ170" s="65">
        <v>857.31</v>
      </c>
      <c r="CK170" s="8">
        <f t="shared" si="172"/>
        <v>28153.971647382448</v>
      </c>
      <c r="CL170" s="202">
        <f t="shared" si="152"/>
        <v>-28153.971647382448</v>
      </c>
      <c r="CM170" s="202">
        <f t="shared" si="153"/>
        <v>-28153.971647382448</v>
      </c>
      <c r="CN170" s="202">
        <f t="shared" si="154"/>
        <v>-28153.971647382448</v>
      </c>
      <c r="CO170" s="9">
        <f t="shared" si="155"/>
        <v>-28153.971647382448</v>
      </c>
      <c r="CP170" s="9">
        <f t="shared" si="156"/>
        <v>-28153.971647382448</v>
      </c>
      <c r="CQ170" s="9">
        <f t="shared" si="157"/>
        <v>-28153.971647382448</v>
      </c>
      <c r="CR170" s="202">
        <f t="shared" si="158"/>
        <v>-28153.971647382448</v>
      </c>
      <c r="CS170" s="202">
        <f t="shared" si="159"/>
        <v>-28153.971647382448</v>
      </c>
      <c r="CT170" s="202">
        <f t="shared" si="160"/>
        <v>-28153.971647382448</v>
      </c>
      <c r="CU170" s="203" t="e">
        <f t="shared" si="161"/>
        <v>#DIV/0!</v>
      </c>
      <c r="CV170" s="203" t="e">
        <f t="shared" si="162"/>
        <v>#DIV/0!</v>
      </c>
      <c r="CW170" s="203" t="e">
        <f t="shared" si="163"/>
        <v>#DIV/0!</v>
      </c>
      <c r="CX170" s="19" t="e">
        <f t="shared" si="164"/>
        <v>#DIV/0!</v>
      </c>
      <c r="CY170" s="19" t="e">
        <f t="shared" si="165"/>
        <v>#DIV/0!</v>
      </c>
      <c r="CZ170" s="19" t="e">
        <f t="shared" si="166"/>
        <v>#DIV/0!</v>
      </c>
      <c r="DA170" s="203" t="e">
        <f t="shared" si="167"/>
        <v>#DIV/0!</v>
      </c>
      <c r="DB170" s="203" t="e">
        <f t="shared" si="168"/>
        <v>#DIV/0!</v>
      </c>
      <c r="DC170" s="203" t="e">
        <f t="shared" si="169"/>
        <v>#DIV/0!</v>
      </c>
      <c r="DD170" s="65"/>
      <c r="DE170" s="66"/>
      <c r="DF170" s="66"/>
      <c r="DG170" s="66"/>
      <c r="DH170" s="66"/>
      <c r="DI170" s="66"/>
      <c r="DJ170" s="65"/>
      <c r="DK170" s="66"/>
      <c r="DL170" s="66"/>
      <c r="DM170" s="8">
        <f t="shared" si="170"/>
        <v>0</v>
      </c>
      <c r="DN170" s="8">
        <f t="shared" si="171"/>
        <v>28153.971647382448</v>
      </c>
      <c r="DO170" s="202">
        <f t="shared" si="99"/>
        <v>-28153.971647382448</v>
      </c>
      <c r="DP170" s="202">
        <f t="shared" si="100"/>
        <v>-28153.971647382448</v>
      </c>
      <c r="DQ170" s="202">
        <f t="shared" si="101"/>
        <v>-28153.971647382448</v>
      </c>
      <c r="DR170" s="9">
        <f t="shared" si="102"/>
        <v>-28153.971647382448</v>
      </c>
      <c r="DS170" s="9">
        <f t="shared" si="173"/>
        <v>-28153.971647382448</v>
      </c>
      <c r="DT170" s="9">
        <f t="shared" si="103"/>
        <v>-28153.971647382448</v>
      </c>
      <c r="DU170" s="202">
        <f t="shared" si="104"/>
        <v>-28153.971647382448</v>
      </c>
      <c r="DV170" s="202">
        <f t="shared" si="105"/>
        <v>-28153.971647382448</v>
      </c>
      <c r="DW170" s="202">
        <f t="shared" si="106"/>
        <v>-28153.971647382448</v>
      </c>
      <c r="DX170" s="203" t="e">
        <f t="shared" si="107"/>
        <v>#DIV/0!</v>
      </c>
      <c r="DY170" s="203" t="e">
        <f t="shared" si="108"/>
        <v>#DIV/0!</v>
      </c>
      <c r="DZ170" s="203" t="e">
        <f t="shared" si="109"/>
        <v>#DIV/0!</v>
      </c>
      <c r="EA170" s="19" t="e">
        <f t="shared" si="110"/>
        <v>#DIV/0!</v>
      </c>
      <c r="EB170" s="19" t="e">
        <f t="shared" si="174"/>
        <v>#DIV/0!</v>
      </c>
      <c r="EC170" s="19" t="e">
        <f t="shared" si="111"/>
        <v>#DIV/0!</v>
      </c>
      <c r="ED170" s="203" t="e">
        <f t="shared" si="112"/>
        <v>#DIV/0!</v>
      </c>
      <c r="EE170" s="203" t="e">
        <f t="shared" si="113"/>
        <v>#DIV/0!</v>
      </c>
      <c r="EF170" s="203" t="e">
        <f t="shared" si="114"/>
        <v>#DIV/0!</v>
      </c>
      <c r="EH170" s="58">
        <f t="shared" si="127"/>
        <v>28145.429968968954</v>
      </c>
      <c r="EI170" s="68" t="e">
        <f t="shared" si="128"/>
        <v>#DIV/0!</v>
      </c>
      <c r="EJ170" s="58">
        <f t="shared" si="129"/>
        <v>20891.429968968954</v>
      </c>
      <c r="EK170" s="68" t="e">
        <f t="shared" si="128"/>
        <v>#DIV/0!</v>
      </c>
      <c r="EL170" s="58">
        <f t="shared" si="130"/>
        <v>1825.0759346889549</v>
      </c>
      <c r="EM170" s="58">
        <f t="shared" si="131"/>
        <v>1825.0759346889549</v>
      </c>
      <c r="EN170" s="68" t="e">
        <f t="shared" si="132"/>
        <v>#DIV/0!</v>
      </c>
      <c r="EO170" s="139">
        <f t="shared" si="147"/>
        <v>0.25197746931178833</v>
      </c>
      <c r="EP170">
        <f>+(SUM(M170:O170)*EO170*(1-'[1]Tier 3 Data'!$A$2))</f>
        <v>0</v>
      </c>
    </row>
    <row r="171" spans="1:146" x14ac:dyDescent="0.2">
      <c r="A171" s="43">
        <v>0</v>
      </c>
      <c r="B171" s="43">
        <v>0</v>
      </c>
      <c r="C171" s="43">
        <v>0</v>
      </c>
      <c r="D171" s="70">
        <v>2021</v>
      </c>
      <c r="E171" s="70">
        <v>8</v>
      </c>
      <c r="F171" s="2">
        <v>744</v>
      </c>
      <c r="G171" s="63"/>
      <c r="H171" s="63"/>
      <c r="I171" s="63"/>
      <c r="J171" s="133">
        <f t="shared" si="124"/>
        <v>0</v>
      </c>
      <c r="K171" s="65">
        <v>0</v>
      </c>
      <c r="L171" s="133">
        <f t="shared" si="125"/>
        <v>0</v>
      </c>
      <c r="M171" s="63"/>
      <c r="N171" s="63"/>
      <c r="O171" s="63"/>
      <c r="P171" s="200">
        <f t="shared" si="115"/>
        <v>0</v>
      </c>
      <c r="Q171" s="200">
        <f t="shared" si="116"/>
        <v>0</v>
      </c>
      <c r="R171" s="200">
        <f t="shared" si="117"/>
        <v>0</v>
      </c>
      <c r="S171" s="133">
        <f t="shared" si="149"/>
        <v>0</v>
      </c>
      <c r="T171" s="133">
        <f t="shared" si="150"/>
        <v>0</v>
      </c>
      <c r="U171" s="133">
        <f t="shared" si="151"/>
        <v>0</v>
      </c>
      <c r="V171" s="200">
        <f t="shared" si="121"/>
        <v>0</v>
      </c>
      <c r="W171" s="200">
        <f t="shared" si="122"/>
        <v>0</v>
      </c>
      <c r="X171" s="200">
        <f t="shared" si="123"/>
        <v>0</v>
      </c>
      <c r="Y171" s="63"/>
      <c r="Z171" s="63"/>
      <c r="AA171" s="63"/>
      <c r="AB171" s="200">
        <f t="shared" si="137"/>
        <v>0</v>
      </c>
      <c r="AC171" s="200">
        <f t="shared" si="138"/>
        <v>0</v>
      </c>
      <c r="AD171" s="200">
        <f t="shared" si="139"/>
        <v>0</v>
      </c>
      <c r="AE171" s="199">
        <f t="shared" si="140"/>
        <v>0</v>
      </c>
      <c r="AF171" s="199">
        <f t="shared" si="141"/>
        <v>0</v>
      </c>
      <c r="AG171" s="199">
        <f t="shared" si="142"/>
        <v>0</v>
      </c>
      <c r="AH171" s="199"/>
      <c r="AI171" s="200">
        <f t="shared" si="143"/>
        <v>0</v>
      </c>
      <c r="AJ171" s="200">
        <f t="shared" si="144"/>
        <v>0</v>
      </c>
      <c r="AK171" s="200">
        <f t="shared" si="145"/>
        <v>0</v>
      </c>
      <c r="AL171" s="4"/>
      <c r="AM171" s="4"/>
      <c r="AN171" s="4"/>
      <c r="AO171" s="4"/>
      <c r="AP171" s="4"/>
      <c r="AQ171" s="18"/>
      <c r="AR171" s="10">
        <v>9920</v>
      </c>
      <c r="AS171" s="18"/>
      <c r="AT171" s="62"/>
      <c r="AU171" s="65">
        <v>99.373000000000005</v>
      </c>
      <c r="AV171" s="65">
        <v>3790.5839999999998</v>
      </c>
      <c r="AW171" s="65">
        <v>1.6356818181818182</v>
      </c>
      <c r="AX171" s="65">
        <v>3.9786363636363635</v>
      </c>
      <c r="AY171" s="65">
        <v>1097.150124816</v>
      </c>
      <c r="AZ171" s="63"/>
      <c r="BA171" s="65">
        <v>1734.384</v>
      </c>
      <c r="BB171" s="65">
        <v>1215.8625</v>
      </c>
      <c r="BC171" s="63"/>
      <c r="BD171" s="63"/>
      <c r="BE171" s="63"/>
      <c r="BF171" s="63"/>
      <c r="BG171" s="63"/>
      <c r="BH171" s="63"/>
      <c r="BI171" s="63"/>
      <c r="BJ171" s="63"/>
      <c r="BK171" s="63"/>
      <c r="BL171" s="63"/>
      <c r="BM171" s="63"/>
      <c r="BN171" s="63"/>
      <c r="BO171" s="63"/>
      <c r="BP171" s="10">
        <v>1984</v>
      </c>
      <c r="BQ171" s="65">
        <v>166.19543577219457</v>
      </c>
      <c r="BR171" s="65">
        <v>217.13975652196561</v>
      </c>
      <c r="BS171" s="65">
        <v>785.71185614660146</v>
      </c>
      <c r="BT171" s="65">
        <v>268.14621274922467</v>
      </c>
      <c r="BU171" s="65">
        <v>289.17371524354502</v>
      </c>
      <c r="BV171" s="144">
        <f t="shared" si="134"/>
        <v>0</v>
      </c>
      <c r="BW171" s="144">
        <f t="shared" si="135"/>
        <v>0</v>
      </c>
      <c r="BX171" s="144">
        <f t="shared" si="136"/>
        <v>0</v>
      </c>
      <c r="BY171" s="5"/>
      <c r="BZ171" s="66">
        <v>7254</v>
      </c>
      <c r="CA171" s="4"/>
      <c r="CB171" s="5"/>
      <c r="CC171" s="5"/>
      <c r="CD171" s="188">
        <v>1.6092243007646725</v>
      </c>
      <c r="CE171" s="5"/>
      <c r="CF171" s="65">
        <v>49</v>
      </c>
      <c r="CG171" s="70"/>
      <c r="CH171" s="70"/>
      <c r="CI171" s="70"/>
      <c r="CJ171" s="65">
        <v>1215.8625</v>
      </c>
      <c r="CK171" s="8">
        <f t="shared" si="172"/>
        <v>28877.944143732115</v>
      </c>
      <c r="CL171" s="202">
        <f t="shared" si="152"/>
        <v>-28877.944143732115</v>
      </c>
      <c r="CM171" s="202">
        <f t="shared" si="153"/>
        <v>-28877.944143732115</v>
      </c>
      <c r="CN171" s="202">
        <f t="shared" si="154"/>
        <v>-28877.944143732115</v>
      </c>
      <c r="CO171" s="9">
        <f t="shared" si="155"/>
        <v>-28877.944143732115</v>
      </c>
      <c r="CP171" s="9">
        <f t="shared" si="156"/>
        <v>-28877.944143732115</v>
      </c>
      <c r="CQ171" s="9">
        <f t="shared" si="157"/>
        <v>-28877.944143732115</v>
      </c>
      <c r="CR171" s="202">
        <f t="shared" si="158"/>
        <v>-28877.944143732115</v>
      </c>
      <c r="CS171" s="202">
        <f t="shared" si="159"/>
        <v>-28877.944143732115</v>
      </c>
      <c r="CT171" s="202">
        <f t="shared" si="160"/>
        <v>-28877.944143732115</v>
      </c>
      <c r="CU171" s="203" t="e">
        <f t="shared" si="161"/>
        <v>#DIV/0!</v>
      </c>
      <c r="CV171" s="203" t="e">
        <f t="shared" si="162"/>
        <v>#DIV/0!</v>
      </c>
      <c r="CW171" s="203" t="e">
        <f t="shared" si="163"/>
        <v>#DIV/0!</v>
      </c>
      <c r="CX171" s="19" t="e">
        <f t="shared" si="164"/>
        <v>#DIV/0!</v>
      </c>
      <c r="CY171" s="19" t="e">
        <f t="shared" si="165"/>
        <v>#DIV/0!</v>
      </c>
      <c r="CZ171" s="19" t="e">
        <f t="shared" si="166"/>
        <v>#DIV/0!</v>
      </c>
      <c r="DA171" s="203" t="e">
        <f t="shared" si="167"/>
        <v>#DIV/0!</v>
      </c>
      <c r="DB171" s="203" t="e">
        <f t="shared" si="168"/>
        <v>#DIV/0!</v>
      </c>
      <c r="DC171" s="203" t="e">
        <f t="shared" si="169"/>
        <v>#DIV/0!</v>
      </c>
      <c r="DD171" s="65"/>
      <c r="DE171" s="66"/>
      <c r="DF171" s="66"/>
      <c r="DG171" s="66"/>
      <c r="DH171" s="66"/>
      <c r="DI171" s="66"/>
      <c r="DJ171" s="65"/>
      <c r="DK171" s="66"/>
      <c r="DL171" s="66"/>
      <c r="DM171" s="8">
        <f t="shared" si="170"/>
        <v>0</v>
      </c>
      <c r="DN171" s="8">
        <f t="shared" si="171"/>
        <v>28877.944143732115</v>
      </c>
      <c r="DO171" s="202">
        <f t="shared" si="99"/>
        <v>-28877.944143732115</v>
      </c>
      <c r="DP171" s="202">
        <f t="shared" si="100"/>
        <v>-28877.944143732115</v>
      </c>
      <c r="DQ171" s="202">
        <f t="shared" si="101"/>
        <v>-28877.944143732115</v>
      </c>
      <c r="DR171" s="9">
        <f t="shared" si="102"/>
        <v>-28877.944143732115</v>
      </c>
      <c r="DS171" s="9">
        <f t="shared" si="173"/>
        <v>-28877.944143732115</v>
      </c>
      <c r="DT171" s="9">
        <f t="shared" si="103"/>
        <v>-28877.944143732115</v>
      </c>
      <c r="DU171" s="202">
        <f t="shared" si="104"/>
        <v>-28877.944143732115</v>
      </c>
      <c r="DV171" s="202">
        <f t="shared" si="105"/>
        <v>-28877.944143732115</v>
      </c>
      <c r="DW171" s="202">
        <f t="shared" si="106"/>
        <v>-28877.944143732115</v>
      </c>
      <c r="DX171" s="203" t="e">
        <f t="shared" si="107"/>
        <v>#DIV/0!</v>
      </c>
      <c r="DY171" s="203" t="e">
        <f t="shared" si="108"/>
        <v>#DIV/0!</v>
      </c>
      <c r="DZ171" s="203" t="e">
        <f t="shared" si="109"/>
        <v>#DIV/0!</v>
      </c>
      <c r="EA171" s="19" t="e">
        <f t="shared" si="110"/>
        <v>#DIV/0!</v>
      </c>
      <c r="EB171" s="19" t="e">
        <f t="shared" si="174"/>
        <v>#DIV/0!</v>
      </c>
      <c r="EC171" s="19" t="e">
        <f t="shared" si="111"/>
        <v>#DIV/0!</v>
      </c>
      <c r="ED171" s="203" t="e">
        <f t="shared" si="112"/>
        <v>#DIV/0!</v>
      </c>
      <c r="EE171" s="203" t="e">
        <f t="shared" si="113"/>
        <v>#DIV/0!</v>
      </c>
      <c r="EF171" s="203" t="e">
        <f t="shared" si="114"/>
        <v>#DIV/0!</v>
      </c>
      <c r="EH171" s="58">
        <f t="shared" si="127"/>
        <v>28870.72060124953</v>
      </c>
      <c r="EI171" s="68" t="e">
        <f t="shared" si="128"/>
        <v>#DIV/0!</v>
      </c>
      <c r="EJ171" s="58">
        <f t="shared" si="129"/>
        <v>21616.72060124953</v>
      </c>
      <c r="EK171" s="68" t="e">
        <f t="shared" si="128"/>
        <v>#DIV/0!</v>
      </c>
      <c r="EL171" s="58">
        <f t="shared" si="130"/>
        <v>1726.3669764335311</v>
      </c>
      <c r="EM171" s="58">
        <f t="shared" si="131"/>
        <v>1726.3669764335311</v>
      </c>
      <c r="EN171" s="68" t="e">
        <f t="shared" si="132"/>
        <v>#DIV/0!</v>
      </c>
      <c r="EO171" s="139">
        <f t="shared" si="147"/>
        <v>0.28519905910129462</v>
      </c>
      <c r="EP171">
        <f>+(SUM(M171:O171)*EO171*(1-'[1]Tier 3 Data'!$A$2))</f>
        <v>0</v>
      </c>
    </row>
    <row r="172" spans="1:146" x14ac:dyDescent="0.2">
      <c r="A172" s="43">
        <v>0</v>
      </c>
      <c r="B172" s="43">
        <v>0</v>
      </c>
      <c r="C172" s="43">
        <v>0</v>
      </c>
      <c r="D172" s="70">
        <v>2021</v>
      </c>
      <c r="E172" s="70">
        <v>9</v>
      </c>
      <c r="F172" s="2">
        <v>720</v>
      </c>
      <c r="G172" s="63"/>
      <c r="H172" s="63"/>
      <c r="I172" s="63"/>
      <c r="J172" s="133">
        <f t="shared" si="124"/>
        <v>0</v>
      </c>
      <c r="K172" s="65">
        <v>0</v>
      </c>
      <c r="L172" s="133">
        <f t="shared" si="125"/>
        <v>0</v>
      </c>
      <c r="M172" s="63"/>
      <c r="N172" s="63"/>
      <c r="O172" s="63"/>
      <c r="P172" s="200">
        <f t="shared" si="115"/>
        <v>0</v>
      </c>
      <c r="Q172" s="200">
        <f t="shared" si="116"/>
        <v>0</v>
      </c>
      <c r="R172" s="200">
        <f t="shared" si="117"/>
        <v>0</v>
      </c>
      <c r="S172" s="133">
        <f t="shared" si="149"/>
        <v>0</v>
      </c>
      <c r="T172" s="133">
        <f t="shared" si="150"/>
        <v>0</v>
      </c>
      <c r="U172" s="133">
        <f t="shared" si="151"/>
        <v>0</v>
      </c>
      <c r="V172" s="200">
        <f t="shared" si="121"/>
        <v>0</v>
      </c>
      <c r="W172" s="200">
        <f t="shared" si="122"/>
        <v>0</v>
      </c>
      <c r="X172" s="200">
        <f t="shared" si="123"/>
        <v>0</v>
      </c>
      <c r="Y172" s="63"/>
      <c r="Z172" s="63"/>
      <c r="AA172" s="63"/>
      <c r="AB172" s="200">
        <f t="shared" si="137"/>
        <v>0</v>
      </c>
      <c r="AC172" s="200">
        <f t="shared" si="138"/>
        <v>0</v>
      </c>
      <c r="AD172" s="200">
        <f t="shared" si="139"/>
        <v>0</v>
      </c>
      <c r="AE172" s="199">
        <f t="shared" si="140"/>
        <v>0</v>
      </c>
      <c r="AF172" s="199">
        <f t="shared" si="141"/>
        <v>0</v>
      </c>
      <c r="AG172" s="199">
        <f t="shared" si="142"/>
        <v>0</v>
      </c>
      <c r="AH172" s="199"/>
      <c r="AI172" s="200">
        <f t="shared" si="143"/>
        <v>0</v>
      </c>
      <c r="AJ172" s="200">
        <f t="shared" si="144"/>
        <v>0</v>
      </c>
      <c r="AK172" s="200">
        <f t="shared" si="145"/>
        <v>0</v>
      </c>
      <c r="AL172" s="4"/>
      <c r="AM172" s="4"/>
      <c r="AN172" s="4"/>
      <c r="AO172" s="4"/>
      <c r="AP172" s="4"/>
      <c r="AQ172" s="18"/>
      <c r="AR172" s="10">
        <v>9600</v>
      </c>
      <c r="AS172" s="18"/>
      <c r="AT172" s="62"/>
      <c r="AU172" s="65">
        <v>110.84399999999999</v>
      </c>
      <c r="AV172" s="65">
        <v>3319.0889999999999</v>
      </c>
      <c r="AW172" s="65">
        <v>1.4349090909090909</v>
      </c>
      <c r="AX172" s="65">
        <v>2.4159999999999999</v>
      </c>
      <c r="AY172" s="65">
        <v>1034.0553087360001</v>
      </c>
      <c r="AZ172" s="63"/>
      <c r="BA172" s="65">
        <v>1091.0940000000001</v>
      </c>
      <c r="BB172" s="65">
        <v>907.05</v>
      </c>
      <c r="BC172" s="63"/>
      <c r="BD172" s="63"/>
      <c r="BE172" s="63"/>
      <c r="BF172" s="63"/>
      <c r="BG172" s="63"/>
      <c r="BH172" s="63"/>
      <c r="BI172" s="63"/>
      <c r="BJ172" s="63"/>
      <c r="BK172" s="63"/>
      <c r="BL172" s="63"/>
      <c r="BM172" s="63"/>
      <c r="BN172" s="63"/>
      <c r="BO172" s="63"/>
      <c r="BP172" s="10">
        <v>1920</v>
      </c>
      <c r="BQ172" s="65">
        <v>132.69368080345691</v>
      </c>
      <c r="BR172" s="65">
        <v>173.3686681351324</v>
      </c>
      <c r="BS172" s="65">
        <v>627.32785822738924</v>
      </c>
      <c r="BT172" s="65">
        <v>230.95579412099497</v>
      </c>
      <c r="BU172" s="65">
        <v>237.43459135696506</v>
      </c>
      <c r="BV172" s="144">
        <f t="shared" si="134"/>
        <v>0</v>
      </c>
      <c r="BW172" s="144">
        <f t="shared" si="135"/>
        <v>0</v>
      </c>
      <c r="BX172" s="144">
        <f t="shared" si="136"/>
        <v>0</v>
      </c>
      <c r="BY172" s="5"/>
      <c r="BZ172" s="66">
        <v>7020</v>
      </c>
      <c r="CA172" s="4"/>
      <c r="CB172" s="5"/>
      <c r="CC172" s="5"/>
      <c r="CD172" s="188">
        <v>0.71987692797197578</v>
      </c>
      <c r="CE172" s="5"/>
      <c r="CF172" s="65">
        <v>1</v>
      </c>
      <c r="CG172" s="70"/>
      <c r="CH172" s="70"/>
      <c r="CI172" s="70"/>
      <c r="CJ172" s="65">
        <v>907.05</v>
      </c>
      <c r="CK172" s="8">
        <f t="shared" si="172"/>
        <v>26409.483687398813</v>
      </c>
      <c r="CL172" s="202">
        <f t="shared" si="152"/>
        <v>-26409.483687398813</v>
      </c>
      <c r="CM172" s="202">
        <f t="shared" si="153"/>
        <v>-26409.483687398813</v>
      </c>
      <c r="CN172" s="202">
        <f t="shared" si="154"/>
        <v>-26409.483687398813</v>
      </c>
      <c r="CO172" s="9">
        <f t="shared" si="155"/>
        <v>-26409.483687398813</v>
      </c>
      <c r="CP172" s="9">
        <f t="shared" si="156"/>
        <v>-26409.483687398813</v>
      </c>
      <c r="CQ172" s="9">
        <f t="shared" si="157"/>
        <v>-26409.483687398813</v>
      </c>
      <c r="CR172" s="202">
        <f t="shared" si="158"/>
        <v>-26409.483687398813</v>
      </c>
      <c r="CS172" s="202">
        <f t="shared" si="159"/>
        <v>-26409.483687398813</v>
      </c>
      <c r="CT172" s="202">
        <f t="shared" si="160"/>
        <v>-26409.483687398813</v>
      </c>
      <c r="CU172" s="203" t="e">
        <f t="shared" si="161"/>
        <v>#DIV/0!</v>
      </c>
      <c r="CV172" s="203" t="e">
        <f t="shared" si="162"/>
        <v>#DIV/0!</v>
      </c>
      <c r="CW172" s="203" t="e">
        <f t="shared" si="163"/>
        <v>#DIV/0!</v>
      </c>
      <c r="CX172" s="19" t="e">
        <f t="shared" si="164"/>
        <v>#DIV/0!</v>
      </c>
      <c r="CY172" s="19" t="e">
        <f t="shared" si="165"/>
        <v>#DIV/0!</v>
      </c>
      <c r="CZ172" s="19" t="e">
        <f t="shared" si="166"/>
        <v>#DIV/0!</v>
      </c>
      <c r="DA172" s="203" t="e">
        <f t="shared" si="167"/>
        <v>#DIV/0!</v>
      </c>
      <c r="DB172" s="203" t="e">
        <f t="shared" si="168"/>
        <v>#DIV/0!</v>
      </c>
      <c r="DC172" s="203" t="e">
        <f t="shared" si="169"/>
        <v>#DIV/0!</v>
      </c>
      <c r="DD172" s="65"/>
      <c r="DE172" s="66"/>
      <c r="DF172" s="66"/>
      <c r="DG172" s="66"/>
      <c r="DH172" s="66"/>
      <c r="DI172" s="66"/>
      <c r="DJ172" s="65"/>
      <c r="DK172" s="66"/>
      <c r="DL172" s="66"/>
      <c r="DM172" s="8">
        <f t="shared" si="170"/>
        <v>0</v>
      </c>
      <c r="DN172" s="8">
        <f t="shared" si="171"/>
        <v>26409.483687398813</v>
      </c>
      <c r="DO172" s="202">
        <f t="shared" si="99"/>
        <v>-26409.483687398813</v>
      </c>
      <c r="DP172" s="202">
        <f t="shared" si="100"/>
        <v>-26409.483687398813</v>
      </c>
      <c r="DQ172" s="202">
        <f t="shared" si="101"/>
        <v>-26409.483687398813</v>
      </c>
      <c r="DR172" s="9">
        <f t="shared" si="102"/>
        <v>-26409.483687398813</v>
      </c>
      <c r="DS172" s="9">
        <f t="shared" si="173"/>
        <v>-26409.483687398813</v>
      </c>
      <c r="DT172" s="9">
        <f t="shared" si="103"/>
        <v>-26409.483687398813</v>
      </c>
      <c r="DU172" s="202">
        <f t="shared" si="104"/>
        <v>-26409.483687398813</v>
      </c>
      <c r="DV172" s="202">
        <f t="shared" si="105"/>
        <v>-26409.483687398813</v>
      </c>
      <c r="DW172" s="202">
        <f t="shared" si="106"/>
        <v>-26409.483687398813</v>
      </c>
      <c r="DX172" s="203" t="e">
        <f t="shared" si="107"/>
        <v>#DIV/0!</v>
      </c>
      <c r="DY172" s="203" t="e">
        <f t="shared" si="108"/>
        <v>#DIV/0!</v>
      </c>
      <c r="DZ172" s="203" t="e">
        <f t="shared" si="109"/>
        <v>#DIV/0!</v>
      </c>
      <c r="EA172" s="19" t="e">
        <f t="shared" si="110"/>
        <v>#DIV/0!</v>
      </c>
      <c r="EB172" s="19" t="e">
        <f t="shared" si="174"/>
        <v>#DIV/0!</v>
      </c>
      <c r="EC172" s="19" t="e">
        <f t="shared" si="111"/>
        <v>#DIV/0!</v>
      </c>
      <c r="ED172" s="203" t="e">
        <f t="shared" si="112"/>
        <v>#DIV/0!</v>
      </c>
      <c r="EE172" s="203" t="e">
        <f t="shared" si="113"/>
        <v>#DIV/0!</v>
      </c>
      <c r="EF172" s="203" t="e">
        <f t="shared" si="114"/>
        <v>#DIV/0!</v>
      </c>
      <c r="EH172" s="58">
        <f t="shared" si="127"/>
        <v>26404.912901379936</v>
      </c>
      <c r="EI172" s="68" t="e">
        <f t="shared" si="128"/>
        <v>#DIV/0!</v>
      </c>
      <c r="EJ172" s="58">
        <f t="shared" si="129"/>
        <v>19384.912901379936</v>
      </c>
      <c r="EK172" s="68" t="e">
        <f t="shared" si="128"/>
        <v>#DIV/0!</v>
      </c>
      <c r="EL172" s="58">
        <f t="shared" si="130"/>
        <v>1401.7805926439387</v>
      </c>
      <c r="EM172" s="58">
        <f t="shared" si="131"/>
        <v>1401.7805926439387</v>
      </c>
      <c r="EN172" s="68" t="e">
        <f t="shared" si="132"/>
        <v>#DIV/0!</v>
      </c>
      <c r="EO172" s="139">
        <f t="shared" si="147"/>
        <v>0.31860645638858931</v>
      </c>
      <c r="EP172">
        <f>+(SUM(M172:O172)*EO172*(1-'[1]Tier 3 Data'!$A$2))</f>
        <v>0</v>
      </c>
    </row>
    <row r="173" spans="1:146" x14ac:dyDescent="0.2">
      <c r="A173" s="43">
        <v>0</v>
      </c>
      <c r="B173" s="43">
        <v>0</v>
      </c>
      <c r="C173" s="43">
        <v>0</v>
      </c>
      <c r="D173" s="70">
        <v>2021</v>
      </c>
      <c r="E173" s="70">
        <v>10</v>
      </c>
      <c r="F173" s="2">
        <v>744</v>
      </c>
      <c r="G173" s="63"/>
      <c r="H173" s="63"/>
      <c r="I173" s="63"/>
      <c r="J173" s="133">
        <f t="shared" si="124"/>
        <v>0</v>
      </c>
      <c r="K173" s="65">
        <v>0</v>
      </c>
      <c r="L173" s="133">
        <f t="shared" si="125"/>
        <v>0</v>
      </c>
      <c r="M173" s="63"/>
      <c r="N173" s="63"/>
      <c r="O173" s="63"/>
      <c r="P173" s="200">
        <f t="shared" si="115"/>
        <v>0</v>
      </c>
      <c r="Q173" s="200">
        <f t="shared" si="116"/>
        <v>0</v>
      </c>
      <c r="R173" s="200">
        <f t="shared" si="117"/>
        <v>0</v>
      </c>
      <c r="S173" s="133">
        <f t="shared" si="149"/>
        <v>0</v>
      </c>
      <c r="T173" s="133">
        <f t="shared" si="150"/>
        <v>0</v>
      </c>
      <c r="U173" s="133">
        <f t="shared" si="151"/>
        <v>0</v>
      </c>
      <c r="V173" s="200">
        <f t="shared" si="121"/>
        <v>0</v>
      </c>
      <c r="W173" s="200">
        <f t="shared" si="122"/>
        <v>0</v>
      </c>
      <c r="X173" s="200">
        <f t="shared" si="123"/>
        <v>0</v>
      </c>
      <c r="Y173" s="63"/>
      <c r="Z173" s="63"/>
      <c r="AA173" s="63"/>
      <c r="AB173" s="200">
        <f t="shared" si="137"/>
        <v>0</v>
      </c>
      <c r="AC173" s="200">
        <f t="shared" si="138"/>
        <v>0</v>
      </c>
      <c r="AD173" s="200">
        <f t="shared" si="139"/>
        <v>0</v>
      </c>
      <c r="AE173" s="199">
        <f t="shared" si="140"/>
        <v>0</v>
      </c>
      <c r="AF173" s="199">
        <f t="shared" si="141"/>
        <v>0</v>
      </c>
      <c r="AG173" s="199">
        <f t="shared" si="142"/>
        <v>0</v>
      </c>
      <c r="AH173" s="199"/>
      <c r="AI173" s="200">
        <f t="shared" si="143"/>
        <v>0</v>
      </c>
      <c r="AJ173" s="200">
        <f t="shared" si="144"/>
        <v>0</v>
      </c>
      <c r="AK173" s="200">
        <f t="shared" si="145"/>
        <v>0</v>
      </c>
      <c r="AL173" s="4"/>
      <c r="AM173" s="4"/>
      <c r="AN173" s="4"/>
      <c r="AO173" s="4"/>
      <c r="AP173" s="4"/>
      <c r="AQ173" s="18"/>
      <c r="AR173" s="10">
        <v>9920</v>
      </c>
      <c r="AS173" s="18"/>
      <c r="AT173" s="62"/>
      <c r="AU173" s="65">
        <v>100.777</v>
      </c>
      <c r="AV173" s="65">
        <v>3508.0830000000001</v>
      </c>
      <c r="AW173" s="65">
        <v>2.1464761904761902</v>
      </c>
      <c r="AX173" s="65">
        <v>6.9496818181818183</v>
      </c>
      <c r="AY173" s="65">
        <v>1243.7316828</v>
      </c>
      <c r="AZ173" s="63"/>
      <c r="BA173" s="65">
        <v>2654.806</v>
      </c>
      <c r="BB173" s="65">
        <v>2632.605</v>
      </c>
      <c r="BC173" s="63"/>
      <c r="BD173" s="63"/>
      <c r="BE173" s="63"/>
      <c r="BF173" s="63"/>
      <c r="BG173" s="63"/>
      <c r="BH173" s="63"/>
      <c r="BI173" s="63"/>
      <c r="BJ173" s="63"/>
      <c r="BK173" s="63"/>
      <c r="BL173" s="63"/>
      <c r="BM173" s="63"/>
      <c r="BN173" s="63"/>
      <c r="BO173" s="63"/>
      <c r="BP173" s="10">
        <v>1984</v>
      </c>
      <c r="BQ173" s="65">
        <v>104.69545762331067</v>
      </c>
      <c r="BR173" s="65">
        <v>136.78803153084334</v>
      </c>
      <c r="BS173" s="65">
        <v>494.96223029428313</v>
      </c>
      <c r="BT173" s="65">
        <v>163.384814572045</v>
      </c>
      <c r="BU173" s="65">
        <v>162.09194619008503</v>
      </c>
      <c r="BV173" s="144">
        <f t="shared" si="134"/>
        <v>0</v>
      </c>
      <c r="BW173" s="144">
        <f t="shared" si="135"/>
        <v>0</v>
      </c>
      <c r="BX173" s="144">
        <f t="shared" si="136"/>
        <v>0</v>
      </c>
      <c r="BY173" s="5"/>
      <c r="BZ173" s="66">
        <v>0</v>
      </c>
      <c r="CA173" s="4"/>
      <c r="CB173" s="5"/>
      <c r="CC173" s="5"/>
      <c r="CD173" s="188">
        <v>2.423520476565336</v>
      </c>
      <c r="CE173" s="5"/>
      <c r="CF173" s="65">
        <v>0</v>
      </c>
      <c r="CG173" s="70"/>
      <c r="CH173" s="70"/>
      <c r="CI173" s="70"/>
      <c r="CJ173" s="65">
        <v>2632.605</v>
      </c>
      <c r="CK173" s="8">
        <f t="shared" si="172"/>
        <v>23117.444841495788</v>
      </c>
      <c r="CL173" s="202">
        <f t="shared" si="152"/>
        <v>-23117.444841495788</v>
      </c>
      <c r="CM173" s="202">
        <f t="shared" si="153"/>
        <v>-23117.444841495788</v>
      </c>
      <c r="CN173" s="202">
        <f t="shared" si="154"/>
        <v>-23117.444841495788</v>
      </c>
      <c r="CO173" s="9">
        <f t="shared" si="155"/>
        <v>-23117.444841495788</v>
      </c>
      <c r="CP173" s="9">
        <f t="shared" si="156"/>
        <v>-23117.444841495788</v>
      </c>
      <c r="CQ173" s="9">
        <f t="shared" si="157"/>
        <v>-23117.444841495788</v>
      </c>
      <c r="CR173" s="202">
        <f t="shared" si="158"/>
        <v>-23117.444841495788</v>
      </c>
      <c r="CS173" s="202">
        <f t="shared" si="159"/>
        <v>-23117.444841495788</v>
      </c>
      <c r="CT173" s="202">
        <f t="shared" si="160"/>
        <v>-23117.444841495788</v>
      </c>
      <c r="CU173" s="203" t="e">
        <f t="shared" si="161"/>
        <v>#DIV/0!</v>
      </c>
      <c r="CV173" s="203" t="e">
        <f t="shared" si="162"/>
        <v>#DIV/0!</v>
      </c>
      <c r="CW173" s="203" t="e">
        <f t="shared" si="163"/>
        <v>#DIV/0!</v>
      </c>
      <c r="CX173" s="19" t="e">
        <f t="shared" si="164"/>
        <v>#DIV/0!</v>
      </c>
      <c r="CY173" s="19" t="e">
        <f t="shared" si="165"/>
        <v>#DIV/0!</v>
      </c>
      <c r="CZ173" s="19" t="e">
        <f t="shared" si="166"/>
        <v>#DIV/0!</v>
      </c>
      <c r="DA173" s="203" t="e">
        <f t="shared" si="167"/>
        <v>#DIV/0!</v>
      </c>
      <c r="DB173" s="203" t="e">
        <f t="shared" si="168"/>
        <v>#DIV/0!</v>
      </c>
      <c r="DC173" s="203" t="e">
        <f t="shared" si="169"/>
        <v>#DIV/0!</v>
      </c>
      <c r="DD173" s="65"/>
      <c r="DE173" s="66"/>
      <c r="DF173" s="66"/>
      <c r="DG173" s="66"/>
      <c r="DH173" s="66"/>
      <c r="DI173" s="66"/>
      <c r="DJ173" s="65"/>
      <c r="DK173" s="66"/>
      <c r="DL173" s="66"/>
      <c r="DM173" s="8">
        <f t="shared" si="170"/>
        <v>0</v>
      </c>
      <c r="DN173" s="8">
        <f t="shared" si="171"/>
        <v>23117.444841495788</v>
      </c>
      <c r="DO173" s="202">
        <f t="shared" si="99"/>
        <v>-23117.444841495788</v>
      </c>
      <c r="DP173" s="202">
        <f t="shared" si="100"/>
        <v>-23117.444841495788</v>
      </c>
      <c r="DQ173" s="202">
        <f t="shared" si="101"/>
        <v>-23117.444841495788</v>
      </c>
      <c r="DR173" s="9">
        <f t="shared" si="102"/>
        <v>-23117.444841495788</v>
      </c>
      <c r="DS173" s="9">
        <f t="shared" si="173"/>
        <v>-23117.444841495788</v>
      </c>
      <c r="DT173" s="9">
        <f t="shared" si="103"/>
        <v>-23117.444841495788</v>
      </c>
      <c r="DU173" s="202">
        <f t="shared" si="104"/>
        <v>-23117.444841495788</v>
      </c>
      <c r="DV173" s="202">
        <f t="shared" si="105"/>
        <v>-23117.444841495788</v>
      </c>
      <c r="DW173" s="202">
        <f t="shared" si="106"/>
        <v>-23117.444841495788</v>
      </c>
      <c r="DX173" s="203" t="e">
        <f t="shared" si="107"/>
        <v>#DIV/0!</v>
      </c>
      <c r="DY173" s="203" t="e">
        <f t="shared" si="108"/>
        <v>#DIV/0!</v>
      </c>
      <c r="DZ173" s="203" t="e">
        <f t="shared" si="109"/>
        <v>#DIV/0!</v>
      </c>
      <c r="EA173" s="19" t="e">
        <f t="shared" si="110"/>
        <v>#DIV/0!</v>
      </c>
      <c r="EB173" s="19" t="e">
        <f t="shared" si="174"/>
        <v>#DIV/0!</v>
      </c>
      <c r="EC173" s="19" t="e">
        <f t="shared" si="111"/>
        <v>#DIV/0!</v>
      </c>
      <c r="ED173" s="203" t="e">
        <f t="shared" si="112"/>
        <v>#DIV/0!</v>
      </c>
      <c r="EE173" s="203" t="e">
        <f t="shared" si="113"/>
        <v>#DIV/0!</v>
      </c>
      <c r="EF173" s="203" t="e">
        <f t="shared" si="114"/>
        <v>#DIV/0!</v>
      </c>
      <c r="EH173" s="58">
        <f t="shared" si="127"/>
        <v>23105.925163010568</v>
      </c>
      <c r="EI173" s="68" t="e">
        <f t="shared" si="128"/>
        <v>#DIV/0!</v>
      </c>
      <c r="EJ173" s="58">
        <f t="shared" si="129"/>
        <v>23105.925163010568</v>
      </c>
      <c r="EK173" s="68" t="e">
        <f t="shared" si="128"/>
        <v>#DIV/0!</v>
      </c>
      <c r="EL173" s="58">
        <f t="shared" si="130"/>
        <v>1061.9224802105671</v>
      </c>
      <c r="EM173" s="58">
        <f t="shared" si="131"/>
        <v>1061.9224802105671</v>
      </c>
      <c r="EN173" s="68" t="e">
        <f t="shared" si="132"/>
        <v>#DIV/0!</v>
      </c>
      <c r="EO173" s="139">
        <f t="shared" si="147"/>
        <v>0.35739486552628164</v>
      </c>
      <c r="EP173">
        <f>+(SUM(M173:O173)*EO173*(1-'[1]Tier 3 Data'!$A$2))</f>
        <v>0</v>
      </c>
    </row>
    <row r="174" spans="1:146" x14ac:dyDescent="0.2">
      <c r="A174" s="43">
        <v>0</v>
      </c>
      <c r="B174" s="43">
        <v>0</v>
      </c>
      <c r="C174" s="43">
        <v>0</v>
      </c>
      <c r="D174" s="70">
        <v>2021</v>
      </c>
      <c r="E174" s="70">
        <v>11</v>
      </c>
      <c r="F174" s="2">
        <v>721</v>
      </c>
      <c r="G174" s="63"/>
      <c r="H174" s="63"/>
      <c r="I174" s="63"/>
      <c r="J174" s="133">
        <f t="shared" si="124"/>
        <v>0</v>
      </c>
      <c r="K174" s="65">
        <v>0</v>
      </c>
      <c r="L174" s="133">
        <f t="shared" si="125"/>
        <v>0</v>
      </c>
      <c r="M174" s="63"/>
      <c r="N174" s="63"/>
      <c r="O174" s="63"/>
      <c r="P174" s="200">
        <f t="shared" si="115"/>
        <v>0</v>
      </c>
      <c r="Q174" s="200">
        <f t="shared" si="116"/>
        <v>0</v>
      </c>
      <c r="R174" s="200">
        <f t="shared" si="117"/>
        <v>0</v>
      </c>
      <c r="S174" s="133">
        <f t="shared" si="149"/>
        <v>0</v>
      </c>
      <c r="T174" s="133">
        <f t="shared" si="150"/>
        <v>0</v>
      </c>
      <c r="U174" s="133">
        <f t="shared" si="151"/>
        <v>0</v>
      </c>
      <c r="V174" s="200">
        <f t="shared" si="121"/>
        <v>0</v>
      </c>
      <c r="W174" s="200">
        <f t="shared" si="122"/>
        <v>0</v>
      </c>
      <c r="X174" s="200">
        <f t="shared" si="123"/>
        <v>0</v>
      </c>
      <c r="Y174" s="63"/>
      <c r="Z174" s="63"/>
      <c r="AA174" s="63"/>
      <c r="AB174" s="200">
        <f t="shared" si="137"/>
        <v>0</v>
      </c>
      <c r="AC174" s="200">
        <f t="shared" si="138"/>
        <v>0</v>
      </c>
      <c r="AD174" s="200">
        <f t="shared" si="139"/>
        <v>0</v>
      </c>
      <c r="AE174" s="199">
        <f t="shared" si="140"/>
        <v>0</v>
      </c>
      <c r="AF174" s="199">
        <f t="shared" si="141"/>
        <v>0</v>
      </c>
      <c r="AG174" s="199">
        <f t="shared" si="142"/>
        <v>0</v>
      </c>
      <c r="AH174" s="199"/>
      <c r="AI174" s="200">
        <f t="shared" si="143"/>
        <v>0</v>
      </c>
      <c r="AJ174" s="200">
        <f t="shared" si="144"/>
        <v>0</v>
      </c>
      <c r="AK174" s="200">
        <f t="shared" si="145"/>
        <v>0</v>
      </c>
      <c r="AL174" s="4"/>
      <c r="AM174" s="4"/>
      <c r="AN174" s="4"/>
      <c r="AO174" s="4"/>
      <c r="AP174" s="4"/>
      <c r="AQ174" s="18"/>
      <c r="AR174" s="10">
        <v>9600</v>
      </c>
      <c r="AS174" s="18"/>
      <c r="AT174" s="62"/>
      <c r="AU174" s="65">
        <v>88.956000000000003</v>
      </c>
      <c r="AV174" s="65">
        <v>3546.9119999999998</v>
      </c>
      <c r="AW174" s="65">
        <v>2.8365</v>
      </c>
      <c r="AX174" s="65">
        <v>9.1989545454545461</v>
      </c>
      <c r="AY174" s="65">
        <v>1175.4324079200001</v>
      </c>
      <c r="AZ174" s="63"/>
      <c r="BA174" s="65">
        <v>2318.7399999999998</v>
      </c>
      <c r="BB174" s="5"/>
      <c r="BC174" s="63"/>
      <c r="BD174" s="63"/>
      <c r="BE174" s="63"/>
      <c r="BF174" s="63"/>
      <c r="BG174" s="63"/>
      <c r="BH174" s="63"/>
      <c r="BI174" s="63"/>
      <c r="BJ174" s="63"/>
      <c r="BK174" s="63"/>
      <c r="BL174" s="63"/>
      <c r="BM174" s="63"/>
      <c r="BN174" s="63"/>
      <c r="BO174" s="63"/>
      <c r="BP174" s="10">
        <v>1920</v>
      </c>
      <c r="BQ174" s="65">
        <v>64.53221612000884</v>
      </c>
      <c r="BR174" s="65">
        <v>84.313444765980634</v>
      </c>
      <c r="BS174" s="65">
        <v>305.08495698022608</v>
      </c>
      <c r="BT174" s="65">
        <v>112.69343709612495</v>
      </c>
      <c r="BU174" s="65">
        <v>124.70831383112491</v>
      </c>
      <c r="BV174" s="144">
        <f t="shared" si="134"/>
        <v>0</v>
      </c>
      <c r="BW174" s="144">
        <f t="shared" si="135"/>
        <v>0</v>
      </c>
      <c r="BX174" s="144">
        <f t="shared" si="136"/>
        <v>0</v>
      </c>
      <c r="BY174" s="5"/>
      <c r="BZ174" s="66">
        <v>7029.75</v>
      </c>
      <c r="CA174" s="4"/>
      <c r="CB174" s="5"/>
      <c r="CC174" s="5"/>
      <c r="CD174" s="188">
        <v>0.95927721018850021</v>
      </c>
      <c r="CE174" s="5"/>
      <c r="CF174" s="65">
        <v>535</v>
      </c>
      <c r="CG174" s="70"/>
      <c r="CH174" s="70"/>
      <c r="CI174" s="70"/>
      <c r="CJ174" s="65">
        <v>4495.9062351111697</v>
      </c>
      <c r="CK174" s="8">
        <f t="shared" si="172"/>
        <v>26919.117508469109</v>
      </c>
      <c r="CL174" s="202">
        <f t="shared" si="152"/>
        <v>-26919.117508469109</v>
      </c>
      <c r="CM174" s="202">
        <f t="shared" si="153"/>
        <v>-26919.117508469109</v>
      </c>
      <c r="CN174" s="202">
        <f t="shared" si="154"/>
        <v>-26919.117508469109</v>
      </c>
      <c r="CO174" s="9">
        <f t="shared" si="155"/>
        <v>-26919.117508469109</v>
      </c>
      <c r="CP174" s="9">
        <f t="shared" si="156"/>
        <v>-26919.117508469109</v>
      </c>
      <c r="CQ174" s="9">
        <f t="shared" si="157"/>
        <v>-26919.117508469109</v>
      </c>
      <c r="CR174" s="202">
        <f t="shared" si="158"/>
        <v>-26919.117508469109</v>
      </c>
      <c r="CS174" s="202">
        <f t="shared" si="159"/>
        <v>-26919.117508469109</v>
      </c>
      <c r="CT174" s="202">
        <f t="shared" si="160"/>
        <v>-26919.117508469109</v>
      </c>
      <c r="CU174" s="203" t="e">
        <f t="shared" si="161"/>
        <v>#DIV/0!</v>
      </c>
      <c r="CV174" s="203" t="e">
        <f t="shared" si="162"/>
        <v>#DIV/0!</v>
      </c>
      <c r="CW174" s="203" t="e">
        <f t="shared" si="163"/>
        <v>#DIV/0!</v>
      </c>
      <c r="CX174" s="19" t="e">
        <f t="shared" si="164"/>
        <v>#DIV/0!</v>
      </c>
      <c r="CY174" s="19" t="e">
        <f t="shared" si="165"/>
        <v>#DIV/0!</v>
      </c>
      <c r="CZ174" s="19" t="e">
        <f t="shared" si="166"/>
        <v>#DIV/0!</v>
      </c>
      <c r="DA174" s="203" t="e">
        <f t="shared" si="167"/>
        <v>#DIV/0!</v>
      </c>
      <c r="DB174" s="203" t="e">
        <f t="shared" si="168"/>
        <v>#DIV/0!</v>
      </c>
      <c r="DC174" s="203" t="e">
        <f t="shared" si="169"/>
        <v>#DIV/0!</v>
      </c>
      <c r="DD174" s="65"/>
      <c r="DE174" s="66"/>
      <c r="DF174" s="66"/>
      <c r="DG174" s="66"/>
      <c r="DH174" s="66"/>
      <c r="DI174" s="66"/>
      <c r="DJ174" s="65"/>
      <c r="DK174" s="66"/>
      <c r="DL174" s="66"/>
      <c r="DM174" s="8">
        <f t="shared" si="170"/>
        <v>0</v>
      </c>
      <c r="DN174" s="8">
        <f t="shared" si="171"/>
        <v>26919.117508469109</v>
      </c>
      <c r="DO174" s="202">
        <f t="shared" si="99"/>
        <v>-26919.117508469109</v>
      </c>
      <c r="DP174" s="202">
        <f t="shared" si="100"/>
        <v>-26919.117508469109</v>
      </c>
      <c r="DQ174" s="202">
        <f t="shared" si="101"/>
        <v>-26919.117508469109</v>
      </c>
      <c r="DR174" s="9">
        <f t="shared" si="102"/>
        <v>-26919.117508469109</v>
      </c>
      <c r="DS174" s="9">
        <f t="shared" si="173"/>
        <v>-26919.117508469109</v>
      </c>
      <c r="DT174" s="9">
        <f t="shared" si="103"/>
        <v>-26919.117508469109</v>
      </c>
      <c r="DU174" s="202">
        <f t="shared" si="104"/>
        <v>-26919.117508469109</v>
      </c>
      <c r="DV174" s="202">
        <f t="shared" si="105"/>
        <v>-26919.117508469109</v>
      </c>
      <c r="DW174" s="202">
        <f t="shared" si="106"/>
        <v>-26919.117508469109</v>
      </c>
      <c r="DX174" s="203" t="e">
        <f t="shared" si="107"/>
        <v>#DIV/0!</v>
      </c>
      <c r="DY174" s="203" t="e">
        <f t="shared" si="108"/>
        <v>#DIV/0!</v>
      </c>
      <c r="DZ174" s="203" t="e">
        <f t="shared" si="109"/>
        <v>#DIV/0!</v>
      </c>
      <c r="EA174" s="19" t="e">
        <f t="shared" si="110"/>
        <v>#DIV/0!</v>
      </c>
      <c r="EB174" s="19" t="e">
        <f t="shared" si="174"/>
        <v>#DIV/0!</v>
      </c>
      <c r="EC174" s="19" t="e">
        <f t="shared" si="111"/>
        <v>#DIV/0!</v>
      </c>
      <c r="ED174" s="203" t="e">
        <f t="shared" si="112"/>
        <v>#DIV/0!</v>
      </c>
      <c r="EE174" s="203" t="e">
        <f t="shared" si="113"/>
        <v>#DIV/0!</v>
      </c>
      <c r="EF174" s="203" t="e">
        <f t="shared" si="114"/>
        <v>#DIV/0!</v>
      </c>
      <c r="EH174" s="58">
        <f t="shared" si="127"/>
        <v>26906.122776713466</v>
      </c>
      <c r="EI174" s="68" t="e">
        <f t="shared" si="128"/>
        <v>#DIV/0!</v>
      </c>
      <c r="EJ174" s="58">
        <f t="shared" si="129"/>
        <v>19876.372776713466</v>
      </c>
      <c r="EK174" s="68" t="e">
        <f t="shared" si="128"/>
        <v>#DIV/0!</v>
      </c>
      <c r="EL174" s="58">
        <f t="shared" si="130"/>
        <v>691.33236879346543</v>
      </c>
      <c r="EM174" s="58">
        <f t="shared" si="131"/>
        <v>691.33236879346543</v>
      </c>
      <c r="EN174" s="68" t="e">
        <f t="shared" si="132"/>
        <v>#DIV/0!</v>
      </c>
      <c r="EO174" s="139">
        <f t="shared" si="147"/>
        <v>0.4050825009776523</v>
      </c>
      <c r="EP174">
        <f>+(SUM(M174:O174)*EO174*(1-'[1]Tier 3 Data'!$A$2))</f>
        <v>0</v>
      </c>
    </row>
    <row r="175" spans="1:146" x14ac:dyDescent="0.2">
      <c r="A175" s="43">
        <v>0</v>
      </c>
      <c r="B175" s="43">
        <v>0</v>
      </c>
      <c r="C175" s="43">
        <v>0</v>
      </c>
      <c r="D175" s="70">
        <v>2021</v>
      </c>
      <c r="E175" s="70">
        <v>12</v>
      </c>
      <c r="F175" s="2">
        <v>744</v>
      </c>
      <c r="G175" s="63"/>
      <c r="H175" s="63"/>
      <c r="I175" s="63"/>
      <c r="J175" s="133">
        <f t="shared" si="124"/>
        <v>0</v>
      </c>
      <c r="K175" s="65">
        <v>0</v>
      </c>
      <c r="L175" s="133">
        <f t="shared" si="125"/>
        <v>0</v>
      </c>
      <c r="M175" s="63"/>
      <c r="N175" s="63"/>
      <c r="O175" s="63"/>
      <c r="P175" s="200">
        <f t="shared" si="115"/>
        <v>0</v>
      </c>
      <c r="Q175" s="200">
        <f t="shared" si="116"/>
        <v>0</v>
      </c>
      <c r="R175" s="200">
        <f t="shared" si="117"/>
        <v>0</v>
      </c>
      <c r="S175" s="133">
        <f t="shared" si="149"/>
        <v>0</v>
      </c>
      <c r="T175" s="133">
        <f t="shared" si="150"/>
        <v>0</v>
      </c>
      <c r="U175" s="133">
        <f t="shared" si="151"/>
        <v>0</v>
      </c>
      <c r="V175" s="200">
        <f t="shared" si="121"/>
        <v>0</v>
      </c>
      <c r="W175" s="200">
        <f t="shared" si="122"/>
        <v>0</v>
      </c>
      <c r="X175" s="200">
        <f t="shared" si="123"/>
        <v>0</v>
      </c>
      <c r="Y175" s="63"/>
      <c r="Z175" s="63"/>
      <c r="AA175" s="63"/>
      <c r="AB175" s="200">
        <f t="shared" si="137"/>
        <v>0</v>
      </c>
      <c r="AC175" s="200">
        <f t="shared" si="138"/>
        <v>0</v>
      </c>
      <c r="AD175" s="200">
        <f t="shared" si="139"/>
        <v>0</v>
      </c>
      <c r="AE175" s="199">
        <f t="shared" si="140"/>
        <v>0</v>
      </c>
      <c r="AF175" s="199">
        <f t="shared" si="141"/>
        <v>0</v>
      </c>
      <c r="AG175" s="199">
        <f t="shared" si="142"/>
        <v>0</v>
      </c>
      <c r="AH175" s="199"/>
      <c r="AI175" s="200">
        <f t="shared" si="143"/>
        <v>0</v>
      </c>
      <c r="AJ175" s="200">
        <f t="shared" si="144"/>
        <v>0</v>
      </c>
      <c r="AK175" s="200">
        <f t="shared" si="145"/>
        <v>0</v>
      </c>
      <c r="AL175" s="4"/>
      <c r="AM175" s="4"/>
      <c r="AN175" s="4"/>
      <c r="AO175" s="4"/>
      <c r="AP175" s="4"/>
      <c r="AQ175" s="18"/>
      <c r="AR175" s="10">
        <v>9920</v>
      </c>
      <c r="AS175" s="18"/>
      <c r="AT175" s="62"/>
      <c r="AU175" s="65">
        <v>91.706000000000003</v>
      </c>
      <c r="AV175" s="65">
        <v>3628.5329999999999</v>
      </c>
      <c r="AW175" s="65">
        <v>3.7330454545454543</v>
      </c>
      <c r="AX175" s="65">
        <v>7.7730454545454553</v>
      </c>
      <c r="AY175" s="65">
        <v>1240.4980450800001</v>
      </c>
      <c r="AZ175" s="63"/>
      <c r="BA175" s="65">
        <v>2088.1860000000001</v>
      </c>
      <c r="BB175" s="5"/>
      <c r="BC175" s="63"/>
      <c r="BD175" s="63"/>
      <c r="BE175" s="63"/>
      <c r="BF175" s="63"/>
      <c r="BG175" s="63"/>
      <c r="BH175" s="63"/>
      <c r="BI175" s="63"/>
      <c r="BJ175" s="63"/>
      <c r="BK175" s="63"/>
      <c r="BL175" s="63"/>
      <c r="BM175" s="63"/>
      <c r="BN175" s="63"/>
      <c r="BO175" s="63"/>
      <c r="BP175" s="10">
        <v>1984</v>
      </c>
      <c r="BQ175" s="65">
        <v>58.798073531723524</v>
      </c>
      <c r="BR175" s="65">
        <v>76.437463616558489</v>
      </c>
      <c r="BS175" s="65">
        <v>277.97590125866571</v>
      </c>
      <c r="BT175" s="65">
        <v>103.23824099132531</v>
      </c>
      <c r="BU175" s="65">
        <v>109.20616905931401</v>
      </c>
      <c r="BV175" s="144">
        <f t="shared" si="134"/>
        <v>0</v>
      </c>
      <c r="BW175" s="144">
        <f t="shared" si="135"/>
        <v>0</v>
      </c>
      <c r="BX175" s="144">
        <f t="shared" si="136"/>
        <v>0</v>
      </c>
      <c r="BY175" s="5"/>
      <c r="BZ175" s="66">
        <v>7254</v>
      </c>
      <c r="CA175" s="4"/>
      <c r="CB175" s="5"/>
      <c r="CC175" s="5"/>
      <c r="CD175" s="188">
        <v>2.9082833906196317</v>
      </c>
      <c r="CE175" s="5"/>
      <c r="CF175" s="65">
        <v>1352</v>
      </c>
      <c r="CG175" s="70"/>
      <c r="CH175" s="70"/>
      <c r="CI175" s="70"/>
      <c r="CJ175" s="65">
        <v>4741.848668351633</v>
      </c>
      <c r="CK175" s="8">
        <f t="shared" si="172"/>
        <v>28198.993267837304</v>
      </c>
      <c r="CL175" s="202">
        <f t="shared" si="152"/>
        <v>-28198.993267837304</v>
      </c>
      <c r="CM175" s="202">
        <f t="shared" si="153"/>
        <v>-28198.993267837304</v>
      </c>
      <c r="CN175" s="202">
        <f t="shared" si="154"/>
        <v>-28198.993267837304</v>
      </c>
      <c r="CO175" s="9">
        <f t="shared" si="155"/>
        <v>-28198.993267837304</v>
      </c>
      <c r="CP175" s="9">
        <f t="shared" si="156"/>
        <v>-28198.993267837304</v>
      </c>
      <c r="CQ175" s="9">
        <f t="shared" si="157"/>
        <v>-28198.993267837304</v>
      </c>
      <c r="CR175" s="202">
        <f t="shared" si="158"/>
        <v>-28198.993267837304</v>
      </c>
      <c r="CS175" s="202">
        <f t="shared" si="159"/>
        <v>-28198.993267837304</v>
      </c>
      <c r="CT175" s="202">
        <f t="shared" si="160"/>
        <v>-28198.993267837304</v>
      </c>
      <c r="CU175" s="203" t="e">
        <f t="shared" si="161"/>
        <v>#DIV/0!</v>
      </c>
      <c r="CV175" s="203" t="e">
        <f t="shared" si="162"/>
        <v>#DIV/0!</v>
      </c>
      <c r="CW175" s="203" t="e">
        <f t="shared" si="163"/>
        <v>#DIV/0!</v>
      </c>
      <c r="CX175" s="19" t="e">
        <f t="shared" si="164"/>
        <v>#DIV/0!</v>
      </c>
      <c r="CY175" s="19" t="e">
        <f t="shared" si="165"/>
        <v>#DIV/0!</v>
      </c>
      <c r="CZ175" s="19" t="e">
        <f t="shared" si="166"/>
        <v>#DIV/0!</v>
      </c>
      <c r="DA175" s="203" t="e">
        <f t="shared" si="167"/>
        <v>#DIV/0!</v>
      </c>
      <c r="DB175" s="203" t="e">
        <f t="shared" si="168"/>
        <v>#DIV/0!</v>
      </c>
      <c r="DC175" s="203" t="e">
        <f t="shared" si="169"/>
        <v>#DIV/0!</v>
      </c>
      <c r="DD175" s="65"/>
      <c r="DE175" s="66"/>
      <c r="DF175" s="66"/>
      <c r="DG175" s="66"/>
      <c r="DH175" s="66"/>
      <c r="DI175" s="66"/>
      <c r="DJ175" s="65"/>
      <c r="DK175" s="66"/>
      <c r="DL175" s="66"/>
      <c r="DM175" s="8">
        <f t="shared" si="170"/>
        <v>0</v>
      </c>
      <c r="DN175" s="8">
        <f t="shared" si="171"/>
        <v>28198.993267837304</v>
      </c>
      <c r="DO175" s="202">
        <f t="shared" si="99"/>
        <v>-28198.993267837304</v>
      </c>
      <c r="DP175" s="202">
        <f t="shared" si="100"/>
        <v>-28198.993267837304</v>
      </c>
      <c r="DQ175" s="202">
        <f t="shared" si="101"/>
        <v>-28198.993267837304</v>
      </c>
      <c r="DR175" s="9">
        <f t="shared" si="102"/>
        <v>-28198.993267837304</v>
      </c>
      <c r="DS175" s="9">
        <f t="shared" si="173"/>
        <v>-28198.993267837304</v>
      </c>
      <c r="DT175" s="9">
        <f t="shared" si="103"/>
        <v>-28198.993267837304</v>
      </c>
      <c r="DU175" s="202">
        <f t="shared" si="104"/>
        <v>-28198.993267837304</v>
      </c>
      <c r="DV175" s="202">
        <f t="shared" si="105"/>
        <v>-28198.993267837304</v>
      </c>
      <c r="DW175" s="202">
        <f t="shared" si="106"/>
        <v>-28198.993267837304</v>
      </c>
      <c r="DX175" s="203" t="e">
        <f t="shared" si="107"/>
        <v>#DIV/0!</v>
      </c>
      <c r="DY175" s="203" t="e">
        <f t="shared" si="108"/>
        <v>#DIV/0!</v>
      </c>
      <c r="DZ175" s="203" t="e">
        <f t="shared" si="109"/>
        <v>#DIV/0!</v>
      </c>
      <c r="EA175" s="19" t="e">
        <f t="shared" si="110"/>
        <v>#DIV/0!</v>
      </c>
      <c r="EB175" s="19" t="e">
        <f t="shared" si="174"/>
        <v>#DIV/0!</v>
      </c>
      <c r="EC175" s="19" t="e">
        <f t="shared" si="111"/>
        <v>#DIV/0!</v>
      </c>
      <c r="ED175" s="203" t="e">
        <f t="shared" si="112"/>
        <v>#DIV/0!</v>
      </c>
      <c r="EE175" s="203" t="e">
        <f t="shared" si="113"/>
        <v>#DIV/0!</v>
      </c>
      <c r="EF175" s="203" t="e">
        <f t="shared" si="114"/>
        <v>#DIV/0!</v>
      </c>
      <c r="EH175" s="58">
        <f t="shared" si="127"/>
        <v>28184.578893537589</v>
      </c>
      <c r="EI175" s="68" t="e">
        <f t="shared" si="128"/>
        <v>#DIV/0!</v>
      </c>
      <c r="EJ175" s="58">
        <f t="shared" si="129"/>
        <v>20930.578893537589</v>
      </c>
      <c r="EK175" s="68" t="e">
        <f t="shared" si="128"/>
        <v>#DIV/0!</v>
      </c>
      <c r="EL175" s="58">
        <f t="shared" si="130"/>
        <v>625.65584845758701</v>
      </c>
      <c r="EM175" s="58">
        <f t="shared" si="131"/>
        <v>625.65584845758701</v>
      </c>
      <c r="EN175" s="68" t="e">
        <f t="shared" si="132"/>
        <v>#DIV/0!</v>
      </c>
      <c r="EO175" s="139">
        <f t="shared" si="147"/>
        <v>0.32946562535829382</v>
      </c>
      <c r="EP175">
        <f>+(SUM(M175:O175)*EO175*(1-'[1]Tier 3 Data'!$A$2))</f>
        <v>0</v>
      </c>
    </row>
    <row r="176" spans="1:146" x14ac:dyDescent="0.2">
      <c r="A176" s="43">
        <v>0</v>
      </c>
      <c r="B176" s="43">
        <v>0</v>
      </c>
      <c r="C176" s="43">
        <v>0</v>
      </c>
      <c r="D176" s="70">
        <v>2022</v>
      </c>
      <c r="E176" s="70">
        <v>1</v>
      </c>
      <c r="F176" s="2">
        <v>744</v>
      </c>
      <c r="G176" s="63"/>
      <c r="H176" s="63"/>
      <c r="I176" s="63"/>
      <c r="J176" s="133">
        <f t="shared" si="124"/>
        <v>0</v>
      </c>
      <c r="K176" s="65">
        <v>0</v>
      </c>
      <c r="L176" s="133">
        <f t="shared" si="125"/>
        <v>0</v>
      </c>
      <c r="M176" s="63"/>
      <c r="N176" s="63"/>
      <c r="O176" s="63"/>
      <c r="P176" s="200">
        <f t="shared" si="115"/>
        <v>0</v>
      </c>
      <c r="Q176" s="200">
        <f t="shared" si="116"/>
        <v>0</v>
      </c>
      <c r="R176" s="200">
        <f t="shared" si="117"/>
        <v>0</v>
      </c>
      <c r="S176" s="133">
        <f t="shared" si="149"/>
        <v>0</v>
      </c>
      <c r="T176" s="133">
        <f t="shared" si="150"/>
        <v>0</v>
      </c>
      <c r="U176" s="133">
        <f t="shared" si="151"/>
        <v>0</v>
      </c>
      <c r="V176" s="200">
        <f t="shared" si="121"/>
        <v>0</v>
      </c>
      <c r="W176" s="200">
        <f t="shared" si="122"/>
        <v>0</v>
      </c>
      <c r="X176" s="200">
        <f t="shared" si="123"/>
        <v>0</v>
      </c>
      <c r="Y176" s="63"/>
      <c r="Z176" s="63"/>
      <c r="AA176" s="63"/>
      <c r="AB176" s="200">
        <f t="shared" si="137"/>
        <v>0</v>
      </c>
      <c r="AC176" s="200">
        <f t="shared" si="138"/>
        <v>0</v>
      </c>
      <c r="AD176" s="200">
        <f t="shared" si="139"/>
        <v>0</v>
      </c>
      <c r="AE176" s="199">
        <f>+S176+$Y176</f>
        <v>0</v>
      </c>
      <c r="AF176" s="199">
        <f t="shared" si="141"/>
        <v>0</v>
      </c>
      <c r="AG176" s="199">
        <f>+U176+$AA176</f>
        <v>0</v>
      </c>
      <c r="AH176" s="199"/>
      <c r="AI176" s="200">
        <f t="shared" si="143"/>
        <v>0</v>
      </c>
      <c r="AJ176" s="200">
        <f t="shared" si="144"/>
        <v>0</v>
      </c>
      <c r="AK176" s="200">
        <f t="shared" si="145"/>
        <v>0</v>
      </c>
      <c r="AL176" s="4"/>
      <c r="AM176" s="4"/>
      <c r="AN176" s="4"/>
      <c r="AO176" s="4"/>
      <c r="AP176" s="65">
        <v>3720</v>
      </c>
      <c r="AQ176" s="18"/>
      <c r="AR176" s="10">
        <v>9920</v>
      </c>
      <c r="AS176" s="18"/>
      <c r="AT176" s="62"/>
      <c r="AU176" s="65">
        <v>68.093999999999994</v>
      </c>
      <c r="AV176" s="65">
        <v>3896.3739999999998</v>
      </c>
      <c r="AW176" s="65">
        <v>3.2503076923076923</v>
      </c>
      <c r="AX176" s="65">
        <v>7.0568076923076921</v>
      </c>
      <c r="AY176" s="65">
        <v>1258.1687644800002</v>
      </c>
      <c r="AZ176" s="63"/>
      <c r="BA176" s="65">
        <v>1660.8</v>
      </c>
      <c r="BB176" s="5"/>
      <c r="BC176" s="65">
        <v>187.65082722949612</v>
      </c>
      <c r="BD176" s="65">
        <v>17.899913811322826</v>
      </c>
      <c r="BE176" s="65">
        <v>0</v>
      </c>
      <c r="BF176" s="65">
        <v>199.42579123871249</v>
      </c>
      <c r="BG176" s="65">
        <v>0</v>
      </c>
      <c r="BH176" s="65">
        <v>44.202923232317495</v>
      </c>
      <c r="BI176" s="65">
        <v>164.31368979803145</v>
      </c>
      <c r="BJ176" s="65">
        <v>0</v>
      </c>
      <c r="BK176" s="65">
        <v>1.1418698480578877</v>
      </c>
      <c r="BL176" s="65">
        <v>0</v>
      </c>
      <c r="BM176" s="65">
        <v>0</v>
      </c>
      <c r="BN176" s="65">
        <v>33.291643770364956</v>
      </c>
      <c r="BO176" s="65">
        <v>75.597823259999998</v>
      </c>
      <c r="BP176" s="10">
        <v>1984</v>
      </c>
      <c r="BQ176" s="65">
        <v>83.198722560146322</v>
      </c>
      <c r="BR176" s="65">
        <v>108.70188962730259</v>
      </c>
      <c r="BS176" s="65">
        <v>393.33360721338494</v>
      </c>
      <c r="BT176" s="65">
        <v>134.47183719763495</v>
      </c>
      <c r="BU176" s="65">
        <v>153.69711504200006</v>
      </c>
      <c r="BV176" s="144">
        <f t="shared" si="134"/>
        <v>0</v>
      </c>
      <c r="BW176" s="144">
        <f t="shared" si="135"/>
        <v>0</v>
      </c>
      <c r="BX176" s="144">
        <f t="shared" si="136"/>
        <v>0</v>
      </c>
      <c r="BY176" s="5"/>
      <c r="BZ176" s="66">
        <v>7254</v>
      </c>
      <c r="CA176" s="65">
        <v>4632.7999999999993</v>
      </c>
      <c r="CB176" s="5"/>
      <c r="CC176" s="5"/>
      <c r="CD176" s="188">
        <v>2.5304839482857915</v>
      </c>
      <c r="CE176" s="5"/>
      <c r="CF176" s="65">
        <v>522</v>
      </c>
      <c r="CG176" s="70"/>
      <c r="CH176" s="70"/>
      <c r="CI176" s="70"/>
      <c r="CJ176" s="65">
        <v>1892.5</v>
      </c>
      <c r="CK176" s="8">
        <f t="shared" si="172"/>
        <v>36526.002017641673</v>
      </c>
      <c r="CL176" s="202">
        <f t="shared" si="152"/>
        <v>-36526.002017641673</v>
      </c>
      <c r="CM176" s="202">
        <f t="shared" si="153"/>
        <v>-36526.002017641673</v>
      </c>
      <c r="CN176" s="202">
        <f t="shared" si="154"/>
        <v>-36526.002017641673</v>
      </c>
      <c r="CO176" s="9">
        <f t="shared" si="155"/>
        <v>-36526.002017641673</v>
      </c>
      <c r="CP176" s="9">
        <f t="shared" si="156"/>
        <v>-36526.002017641673</v>
      </c>
      <c r="CQ176" s="9">
        <f t="shared" si="157"/>
        <v>-36526.002017641673</v>
      </c>
      <c r="CR176" s="202">
        <f t="shared" si="158"/>
        <v>-36526.002017641673</v>
      </c>
      <c r="CS176" s="202">
        <f t="shared" si="159"/>
        <v>-36526.002017641673</v>
      </c>
      <c r="CT176" s="202">
        <f t="shared" si="160"/>
        <v>-36526.002017641673</v>
      </c>
      <c r="CU176" s="203" t="e">
        <f t="shared" si="161"/>
        <v>#DIV/0!</v>
      </c>
      <c r="CV176" s="203" t="e">
        <f t="shared" si="162"/>
        <v>#DIV/0!</v>
      </c>
      <c r="CW176" s="203" t="e">
        <f t="shared" si="163"/>
        <v>#DIV/0!</v>
      </c>
      <c r="CX176" s="19" t="e">
        <f t="shared" si="164"/>
        <v>#DIV/0!</v>
      </c>
      <c r="CY176" s="19" t="e">
        <f t="shared" si="165"/>
        <v>#DIV/0!</v>
      </c>
      <c r="CZ176" s="19" t="e">
        <f t="shared" si="166"/>
        <v>#DIV/0!</v>
      </c>
      <c r="DA176" s="203" t="e">
        <f t="shared" si="167"/>
        <v>#DIV/0!</v>
      </c>
      <c r="DB176" s="203" t="e">
        <f t="shared" si="168"/>
        <v>#DIV/0!</v>
      </c>
      <c r="DC176" s="203" t="e">
        <f t="shared" si="169"/>
        <v>#DIV/0!</v>
      </c>
      <c r="DD176" s="65"/>
      <c r="DE176" s="66"/>
      <c r="DF176" s="66"/>
      <c r="DG176" s="66"/>
      <c r="DH176" s="66"/>
      <c r="DI176" s="66"/>
      <c r="DJ176" s="65"/>
      <c r="DK176" s="66"/>
      <c r="DL176" s="66"/>
      <c r="DM176" s="8">
        <f t="shared" si="170"/>
        <v>0</v>
      </c>
      <c r="DN176" s="8">
        <f t="shared" si="171"/>
        <v>36526.002017641673</v>
      </c>
      <c r="DO176" s="202">
        <f t="shared" si="99"/>
        <v>-36526.002017641673</v>
      </c>
      <c r="DP176" s="202">
        <f t="shared" si="100"/>
        <v>-36526.002017641673</v>
      </c>
      <c r="DQ176" s="202">
        <f t="shared" si="101"/>
        <v>-36526.002017641673</v>
      </c>
      <c r="DR176" s="9">
        <f t="shared" si="102"/>
        <v>-36526.002017641673</v>
      </c>
      <c r="DS176" s="9">
        <f t="shared" si="173"/>
        <v>-36526.002017641673</v>
      </c>
      <c r="DT176" s="9">
        <f t="shared" si="103"/>
        <v>-36526.002017641673</v>
      </c>
      <c r="DU176" s="202">
        <f t="shared" si="104"/>
        <v>-36526.002017641673</v>
      </c>
      <c r="DV176" s="202">
        <f t="shared" si="105"/>
        <v>-36526.002017641673</v>
      </c>
      <c r="DW176" s="202">
        <f t="shared" si="106"/>
        <v>-36526.002017641673</v>
      </c>
      <c r="DX176" s="203" t="e">
        <f t="shared" si="107"/>
        <v>#DIV/0!</v>
      </c>
      <c r="DY176" s="203" t="e">
        <f t="shared" si="108"/>
        <v>#DIV/0!</v>
      </c>
      <c r="DZ176" s="203" t="e">
        <f t="shared" si="109"/>
        <v>#DIV/0!</v>
      </c>
      <c r="EA176" s="19" t="e">
        <f t="shared" si="110"/>
        <v>#DIV/0!</v>
      </c>
      <c r="EB176" s="19" t="e">
        <f t="shared" si="174"/>
        <v>#DIV/0!</v>
      </c>
      <c r="EC176" s="19" t="e">
        <f t="shared" si="111"/>
        <v>#DIV/0!</v>
      </c>
      <c r="ED176" s="203" t="e">
        <f t="shared" si="112"/>
        <v>#DIV/0!</v>
      </c>
      <c r="EE176" s="203" t="e">
        <f t="shared" si="113"/>
        <v>#DIV/0!</v>
      </c>
      <c r="EF176" s="203" t="e">
        <f t="shared" si="114"/>
        <v>#DIV/0!</v>
      </c>
      <c r="EH176" s="58">
        <f t="shared" si="127"/>
        <v>31680.938627070063</v>
      </c>
      <c r="EI176" s="68" t="e">
        <f t="shared" si="128"/>
        <v>#DIV/0!</v>
      </c>
      <c r="EJ176" s="58">
        <f t="shared" si="129"/>
        <v>24426.938627070063</v>
      </c>
      <c r="EK176" s="68" t="e">
        <f t="shared" si="128"/>
        <v>#DIV/0!</v>
      </c>
      <c r="EL176" s="58">
        <f t="shared" si="130"/>
        <v>1397.5018625900593</v>
      </c>
      <c r="EM176" s="58">
        <f t="shared" si="131"/>
        <v>1397.5018625900593</v>
      </c>
      <c r="EN176" s="68" t="e">
        <f t="shared" si="132"/>
        <v>#DIV/0!</v>
      </c>
      <c r="EO176" s="139">
        <f t="shared" si="147"/>
        <v>0.32527353469126524</v>
      </c>
      <c r="EP176">
        <f>+(SUM(M176:O176)*EO176*(1-'[1]Tier 3 Data'!$A$2))</f>
        <v>0</v>
      </c>
    </row>
    <row r="177" spans="1:146" x14ac:dyDescent="0.2">
      <c r="A177" s="43">
        <v>0</v>
      </c>
      <c r="B177" s="43">
        <v>0</v>
      </c>
      <c r="C177" s="43">
        <v>0</v>
      </c>
      <c r="D177" s="70">
        <v>2022</v>
      </c>
      <c r="E177" s="70">
        <v>2</v>
      </c>
      <c r="F177" s="2">
        <v>672</v>
      </c>
      <c r="G177" s="63"/>
      <c r="H177" s="63"/>
      <c r="I177" s="63"/>
      <c r="J177" s="133">
        <f t="shared" si="124"/>
        <v>0</v>
      </c>
      <c r="K177" s="65">
        <v>0</v>
      </c>
      <c r="L177" s="133">
        <f t="shared" si="125"/>
        <v>0</v>
      </c>
      <c r="M177" s="63"/>
      <c r="N177" s="63"/>
      <c r="O177" s="63"/>
      <c r="P177" s="200">
        <f t="shared" si="115"/>
        <v>0</v>
      </c>
      <c r="Q177" s="200">
        <f t="shared" si="116"/>
        <v>0</v>
      </c>
      <c r="R177" s="200">
        <f t="shared" si="117"/>
        <v>0</v>
      </c>
      <c r="S177" s="133">
        <f t="shared" si="149"/>
        <v>0</v>
      </c>
      <c r="T177" s="133">
        <f t="shared" si="150"/>
        <v>0</v>
      </c>
      <c r="U177" s="133">
        <f t="shared" si="151"/>
        <v>0</v>
      </c>
      <c r="V177" s="200">
        <f t="shared" si="121"/>
        <v>0</v>
      </c>
      <c r="W177" s="200">
        <f t="shared" si="122"/>
        <v>0</v>
      </c>
      <c r="X177" s="200">
        <f t="shared" si="123"/>
        <v>0</v>
      </c>
      <c r="Y177" s="63"/>
      <c r="Z177" s="63"/>
      <c r="AA177" s="63"/>
      <c r="AB177" s="200">
        <f t="shared" si="137"/>
        <v>0</v>
      </c>
      <c r="AC177" s="200">
        <f t="shared" si="138"/>
        <v>0</v>
      </c>
      <c r="AD177" s="200">
        <f t="shared" si="139"/>
        <v>0</v>
      </c>
      <c r="AE177" s="199">
        <f t="shared" ref="AE177:AE240" si="175">+S177+$Y177</f>
        <v>0</v>
      </c>
      <c r="AF177" s="199">
        <f t="shared" si="141"/>
        <v>0</v>
      </c>
      <c r="AG177" s="199">
        <f t="shared" ref="AG177:AG240" si="176">+U177+$AA177</f>
        <v>0</v>
      </c>
      <c r="AH177" s="199"/>
      <c r="AI177" s="200">
        <f t="shared" si="143"/>
        <v>0</v>
      </c>
      <c r="AJ177" s="200">
        <f t="shared" si="144"/>
        <v>0</v>
      </c>
      <c r="AK177" s="200">
        <f t="shared" si="145"/>
        <v>0</v>
      </c>
      <c r="AL177" s="4"/>
      <c r="AM177" s="4"/>
      <c r="AN177" s="4"/>
      <c r="AO177" s="4"/>
      <c r="AP177" s="65">
        <v>3360</v>
      </c>
      <c r="AQ177" s="18"/>
      <c r="AR177" s="10">
        <v>8960</v>
      </c>
      <c r="AS177" s="18"/>
      <c r="AT177" s="62"/>
      <c r="AU177" s="65">
        <v>62.127000000000002</v>
      </c>
      <c r="AV177" s="65">
        <v>3090.0770000000002</v>
      </c>
      <c r="AW177" s="65">
        <v>2.8629230769230771</v>
      </c>
      <c r="AX177" s="65">
        <v>5.0469999999999997</v>
      </c>
      <c r="AY177" s="65">
        <v>1185.0038251199999</v>
      </c>
      <c r="AZ177" s="63"/>
      <c r="BA177" s="65">
        <v>853.7</v>
      </c>
      <c r="BB177" s="5"/>
      <c r="BC177" s="65">
        <v>233.87491436180096</v>
      </c>
      <c r="BD177" s="65">
        <v>18.196795404006242</v>
      </c>
      <c r="BE177" s="65">
        <v>0</v>
      </c>
      <c r="BF177" s="65">
        <v>194.72305796175525</v>
      </c>
      <c r="BG177" s="65">
        <v>0</v>
      </c>
      <c r="BH177" s="65">
        <v>25.258813275609995</v>
      </c>
      <c r="BI177" s="65">
        <v>204.78913254663027</v>
      </c>
      <c r="BJ177" s="65">
        <v>0</v>
      </c>
      <c r="BK177" s="65">
        <v>0.97648080967782169</v>
      </c>
      <c r="BL177" s="65">
        <v>0</v>
      </c>
      <c r="BM177" s="65">
        <v>0</v>
      </c>
      <c r="BN177" s="65">
        <v>19.023796440208546</v>
      </c>
      <c r="BO177" s="65">
        <v>68.281904880000013</v>
      </c>
      <c r="BP177" s="10">
        <v>1792</v>
      </c>
      <c r="BQ177" s="65">
        <v>103.50674639860173</v>
      </c>
      <c r="BR177" s="65">
        <v>135.23492594812646</v>
      </c>
      <c r="BS177" s="65">
        <v>489.34237759314874</v>
      </c>
      <c r="BT177" s="65">
        <v>172.47756333221986</v>
      </c>
      <c r="BU177" s="65">
        <v>186.06741608099995</v>
      </c>
      <c r="BV177" s="144">
        <f t="shared" si="134"/>
        <v>0</v>
      </c>
      <c r="BW177" s="144">
        <f t="shared" si="135"/>
        <v>0</v>
      </c>
      <c r="BX177" s="144">
        <f t="shared" si="136"/>
        <v>0</v>
      </c>
      <c r="BY177" s="5"/>
      <c r="BZ177" s="66">
        <v>6552</v>
      </c>
      <c r="CA177" s="65">
        <v>5760</v>
      </c>
      <c r="CB177" s="5"/>
      <c r="CC177" s="5"/>
      <c r="CD177" s="188">
        <v>3.1195892150124847</v>
      </c>
      <c r="CE177" s="5"/>
      <c r="CF177" s="65">
        <v>819</v>
      </c>
      <c r="CG177" s="70"/>
      <c r="CH177" s="70"/>
      <c r="CI177" s="70"/>
      <c r="CJ177" s="65">
        <v>1222.44</v>
      </c>
      <c r="CK177" s="8">
        <f t="shared" si="172"/>
        <v>34296.691262444721</v>
      </c>
      <c r="CL177" s="202">
        <f t="shared" si="152"/>
        <v>-34296.691262444721</v>
      </c>
      <c r="CM177" s="202">
        <f t="shared" si="153"/>
        <v>-34296.691262444721</v>
      </c>
      <c r="CN177" s="202">
        <f t="shared" si="154"/>
        <v>-34296.691262444721</v>
      </c>
      <c r="CO177" s="9">
        <f t="shared" si="155"/>
        <v>-34296.691262444721</v>
      </c>
      <c r="CP177" s="9">
        <f t="shared" si="156"/>
        <v>-34296.691262444721</v>
      </c>
      <c r="CQ177" s="9">
        <f t="shared" si="157"/>
        <v>-34296.691262444721</v>
      </c>
      <c r="CR177" s="202">
        <f t="shared" si="158"/>
        <v>-34296.691262444721</v>
      </c>
      <c r="CS177" s="202">
        <f t="shared" si="159"/>
        <v>-34296.691262444721</v>
      </c>
      <c r="CT177" s="202">
        <f t="shared" si="160"/>
        <v>-34296.691262444721</v>
      </c>
      <c r="CU177" s="203" t="e">
        <f t="shared" si="161"/>
        <v>#DIV/0!</v>
      </c>
      <c r="CV177" s="203" t="e">
        <f t="shared" si="162"/>
        <v>#DIV/0!</v>
      </c>
      <c r="CW177" s="203" t="e">
        <f t="shared" si="163"/>
        <v>#DIV/0!</v>
      </c>
      <c r="CX177" s="19" t="e">
        <f t="shared" si="164"/>
        <v>#DIV/0!</v>
      </c>
      <c r="CY177" s="19" t="e">
        <f t="shared" si="165"/>
        <v>#DIV/0!</v>
      </c>
      <c r="CZ177" s="19" t="e">
        <f t="shared" si="166"/>
        <v>#DIV/0!</v>
      </c>
      <c r="DA177" s="203" t="e">
        <f t="shared" si="167"/>
        <v>#DIV/0!</v>
      </c>
      <c r="DB177" s="203" t="e">
        <f t="shared" si="168"/>
        <v>#DIV/0!</v>
      </c>
      <c r="DC177" s="203" t="e">
        <f t="shared" si="169"/>
        <v>#DIV/0!</v>
      </c>
      <c r="DD177" s="65"/>
      <c r="DE177" s="66"/>
      <c r="DF177" s="66"/>
      <c r="DG177" s="66"/>
      <c r="DH177" s="66"/>
      <c r="DI177" s="66"/>
      <c r="DJ177" s="65"/>
      <c r="DK177" s="66"/>
      <c r="DL177" s="66"/>
      <c r="DM177" s="8">
        <f t="shared" si="170"/>
        <v>0</v>
      </c>
      <c r="DN177" s="8">
        <f t="shared" si="171"/>
        <v>34296.691262444721</v>
      </c>
      <c r="DO177" s="202">
        <f t="shared" si="99"/>
        <v>-34296.691262444721</v>
      </c>
      <c r="DP177" s="202">
        <f t="shared" si="100"/>
        <v>-34296.691262444721</v>
      </c>
      <c r="DQ177" s="202">
        <f t="shared" si="101"/>
        <v>-34296.691262444721</v>
      </c>
      <c r="DR177" s="9">
        <f t="shared" si="102"/>
        <v>-34296.691262444721</v>
      </c>
      <c r="DS177" s="9">
        <f t="shared" si="173"/>
        <v>-34296.691262444721</v>
      </c>
      <c r="DT177" s="9">
        <f t="shared" si="103"/>
        <v>-34296.691262444721</v>
      </c>
      <c r="DU177" s="202">
        <f t="shared" si="104"/>
        <v>-34296.691262444721</v>
      </c>
      <c r="DV177" s="202">
        <f t="shared" si="105"/>
        <v>-34296.691262444721</v>
      </c>
      <c r="DW177" s="202">
        <f t="shared" si="106"/>
        <v>-34296.691262444721</v>
      </c>
      <c r="DX177" s="203" t="e">
        <f t="shared" si="107"/>
        <v>#DIV/0!</v>
      </c>
      <c r="DY177" s="203" t="e">
        <f t="shared" si="108"/>
        <v>#DIV/0!</v>
      </c>
      <c r="DZ177" s="203" t="e">
        <f t="shared" si="109"/>
        <v>#DIV/0!</v>
      </c>
      <c r="EA177" s="19" t="e">
        <f t="shared" si="110"/>
        <v>#DIV/0!</v>
      </c>
      <c r="EB177" s="19" t="e">
        <f t="shared" si="174"/>
        <v>#DIV/0!</v>
      </c>
      <c r="EC177" s="19" t="e">
        <f t="shared" si="111"/>
        <v>#DIV/0!</v>
      </c>
      <c r="ED177" s="203" t="e">
        <f t="shared" si="112"/>
        <v>#DIV/0!</v>
      </c>
      <c r="EE177" s="203" t="e">
        <f t="shared" si="113"/>
        <v>#DIV/0!</v>
      </c>
      <c r="EF177" s="203" t="e">
        <f t="shared" si="114"/>
        <v>#DIV/0!</v>
      </c>
      <c r="EH177" s="58">
        <f t="shared" si="127"/>
        <v>28330.93869219103</v>
      </c>
      <c r="EI177" s="68" t="e">
        <f t="shared" si="128"/>
        <v>#DIV/0!</v>
      </c>
      <c r="EJ177" s="58">
        <f t="shared" si="129"/>
        <v>21778.93869219103</v>
      </c>
      <c r="EK177" s="68" t="e">
        <f t="shared" si="128"/>
        <v>#DIV/0!</v>
      </c>
      <c r="EL177" s="58">
        <f t="shared" si="130"/>
        <v>1657.0308670710308</v>
      </c>
      <c r="EM177" s="58">
        <f t="shared" si="131"/>
        <v>1657.0308670710308</v>
      </c>
      <c r="EN177" s="68" t="e">
        <f t="shared" si="132"/>
        <v>#DIV/0!</v>
      </c>
      <c r="EO177" s="139">
        <f t="shared" si="147"/>
        <v>0.3126447604730192</v>
      </c>
      <c r="EP177">
        <f>+(SUM(M177:O177)*EO177*(1-'[1]Tier 3 Data'!$A$2))</f>
        <v>0</v>
      </c>
    </row>
    <row r="178" spans="1:146" x14ac:dyDescent="0.2">
      <c r="A178" s="43">
        <v>0</v>
      </c>
      <c r="B178" s="43">
        <v>0</v>
      </c>
      <c r="C178" s="43">
        <v>0</v>
      </c>
      <c r="D178" s="70">
        <v>2022</v>
      </c>
      <c r="E178" s="70">
        <v>3</v>
      </c>
      <c r="F178" s="2">
        <v>743</v>
      </c>
      <c r="G178" s="63"/>
      <c r="H178" s="63"/>
      <c r="I178" s="63"/>
      <c r="J178" s="133">
        <f t="shared" si="124"/>
        <v>0</v>
      </c>
      <c r="K178" s="65">
        <v>0</v>
      </c>
      <c r="L178" s="133">
        <f t="shared" si="125"/>
        <v>0</v>
      </c>
      <c r="M178" s="63"/>
      <c r="N178" s="63"/>
      <c r="O178" s="63"/>
      <c r="P178" s="200">
        <f t="shared" si="115"/>
        <v>0</v>
      </c>
      <c r="Q178" s="200">
        <f t="shared" si="116"/>
        <v>0</v>
      </c>
      <c r="R178" s="200">
        <f t="shared" si="117"/>
        <v>0</v>
      </c>
      <c r="S178" s="133">
        <f t="shared" si="149"/>
        <v>0</v>
      </c>
      <c r="T178" s="133">
        <f t="shared" si="150"/>
        <v>0</v>
      </c>
      <c r="U178" s="133">
        <f t="shared" si="151"/>
        <v>0</v>
      </c>
      <c r="V178" s="200">
        <f t="shared" si="121"/>
        <v>0</v>
      </c>
      <c r="W178" s="200">
        <f t="shared" si="122"/>
        <v>0</v>
      </c>
      <c r="X178" s="200">
        <f t="shared" si="123"/>
        <v>0</v>
      </c>
      <c r="Y178" s="63"/>
      <c r="Z178" s="63"/>
      <c r="AA178" s="63"/>
      <c r="AB178" s="200">
        <f t="shared" si="137"/>
        <v>0</v>
      </c>
      <c r="AC178" s="200">
        <f t="shared" si="138"/>
        <v>0</v>
      </c>
      <c r="AD178" s="200">
        <f t="shared" si="139"/>
        <v>0</v>
      </c>
      <c r="AE178" s="199">
        <f t="shared" si="175"/>
        <v>0</v>
      </c>
      <c r="AF178" s="199">
        <f t="shared" si="141"/>
        <v>0</v>
      </c>
      <c r="AG178" s="199">
        <f t="shared" si="176"/>
        <v>0</v>
      </c>
      <c r="AH178" s="199"/>
      <c r="AI178" s="200">
        <f t="shared" si="143"/>
        <v>0</v>
      </c>
      <c r="AJ178" s="200">
        <f t="shared" si="144"/>
        <v>0</v>
      </c>
      <c r="AK178" s="200">
        <f t="shared" si="145"/>
        <v>0</v>
      </c>
      <c r="AL178" s="4"/>
      <c r="AM178" s="4"/>
      <c r="AN178" s="4"/>
      <c r="AO178" s="4"/>
      <c r="AP178" s="65">
        <v>3720</v>
      </c>
      <c r="AQ178" s="18"/>
      <c r="AR178" s="10">
        <v>9920</v>
      </c>
      <c r="AS178" s="18"/>
      <c r="AT178" s="62"/>
      <c r="AU178" s="65">
        <v>69.965999999999994</v>
      </c>
      <c r="AV178" s="65">
        <v>3880.1289999999999</v>
      </c>
      <c r="AW178" s="65">
        <v>4.0479230769230767</v>
      </c>
      <c r="AX178" s="65">
        <v>6.7448461538461544</v>
      </c>
      <c r="AY178" s="65">
        <v>1280.8105891600001</v>
      </c>
      <c r="AZ178" s="63"/>
      <c r="BA178" s="65">
        <v>2416.2429999999999</v>
      </c>
      <c r="BB178" s="5"/>
      <c r="BC178" s="65">
        <v>449.53123898462314</v>
      </c>
      <c r="BD178" s="65">
        <v>17.737549502477364</v>
      </c>
      <c r="BE178" s="65">
        <v>0</v>
      </c>
      <c r="BF178" s="65">
        <v>213.19694193955203</v>
      </c>
      <c r="BG178" s="65">
        <v>0</v>
      </c>
      <c r="BH178" s="65">
        <v>44.202923232317495</v>
      </c>
      <c r="BI178" s="65">
        <v>393.62542466550718</v>
      </c>
      <c r="BJ178" s="65">
        <v>0</v>
      </c>
      <c r="BK178" s="65">
        <v>0.98362954404986547</v>
      </c>
      <c r="BL178" s="65">
        <v>0</v>
      </c>
      <c r="BM178" s="65">
        <v>0</v>
      </c>
      <c r="BN178" s="65">
        <v>33.291643770364956</v>
      </c>
      <c r="BO178" s="65">
        <v>75.597823259999998</v>
      </c>
      <c r="BP178" s="10">
        <v>1984</v>
      </c>
      <c r="BQ178" s="65">
        <v>144.05570000895011</v>
      </c>
      <c r="BR178" s="65">
        <v>188.21342203684375</v>
      </c>
      <c r="BS178" s="65">
        <v>681.04302982065758</v>
      </c>
      <c r="BT178" s="65">
        <v>228.26996771808498</v>
      </c>
      <c r="BU178" s="65">
        <v>265.27065003600018</v>
      </c>
      <c r="BV178" s="144">
        <f t="shared" si="134"/>
        <v>0</v>
      </c>
      <c r="BW178" s="144">
        <f t="shared" si="135"/>
        <v>0</v>
      </c>
      <c r="BX178" s="144">
        <f t="shared" si="136"/>
        <v>0</v>
      </c>
      <c r="BY178" s="5"/>
      <c r="BZ178" s="66">
        <v>7244.25</v>
      </c>
      <c r="CA178" s="65">
        <v>1012.6999999999999</v>
      </c>
      <c r="CB178" s="5"/>
      <c r="CC178" s="5"/>
      <c r="CD178" s="188">
        <v>13.157281760074044</v>
      </c>
      <c r="CE178" s="5"/>
      <c r="CF178" s="65">
        <v>2201</v>
      </c>
      <c r="CG178" s="70"/>
      <c r="CH178" s="70"/>
      <c r="CI178" s="70"/>
      <c r="CJ178" s="65">
        <v>4129.7560000000003</v>
      </c>
      <c r="CK178" s="8">
        <f t="shared" si="172"/>
        <v>36488.068584670276</v>
      </c>
      <c r="CL178" s="202">
        <f t="shared" si="152"/>
        <v>-36488.068584670276</v>
      </c>
      <c r="CM178" s="202">
        <f t="shared" si="153"/>
        <v>-36488.068584670276</v>
      </c>
      <c r="CN178" s="202">
        <f t="shared" si="154"/>
        <v>-36488.068584670276</v>
      </c>
      <c r="CO178" s="9">
        <f t="shared" si="155"/>
        <v>-36488.068584670276</v>
      </c>
      <c r="CP178" s="9">
        <f t="shared" si="156"/>
        <v>-36488.068584670276</v>
      </c>
      <c r="CQ178" s="9">
        <f t="shared" si="157"/>
        <v>-36488.068584670276</v>
      </c>
      <c r="CR178" s="202">
        <f t="shared" si="158"/>
        <v>-36488.068584670276</v>
      </c>
      <c r="CS178" s="202">
        <f t="shared" si="159"/>
        <v>-36488.068584670276</v>
      </c>
      <c r="CT178" s="202">
        <f t="shared" si="160"/>
        <v>-36488.068584670276</v>
      </c>
      <c r="CU178" s="203" t="e">
        <f t="shared" si="161"/>
        <v>#DIV/0!</v>
      </c>
      <c r="CV178" s="203" t="e">
        <f t="shared" si="162"/>
        <v>#DIV/0!</v>
      </c>
      <c r="CW178" s="203" t="e">
        <f t="shared" si="163"/>
        <v>#DIV/0!</v>
      </c>
      <c r="CX178" s="19" t="e">
        <f t="shared" si="164"/>
        <v>#DIV/0!</v>
      </c>
      <c r="CY178" s="19" t="e">
        <f t="shared" si="165"/>
        <v>#DIV/0!</v>
      </c>
      <c r="CZ178" s="19" t="e">
        <f t="shared" si="166"/>
        <v>#DIV/0!</v>
      </c>
      <c r="DA178" s="203" t="e">
        <f t="shared" si="167"/>
        <v>#DIV/0!</v>
      </c>
      <c r="DB178" s="203" t="e">
        <f t="shared" si="168"/>
        <v>#DIV/0!</v>
      </c>
      <c r="DC178" s="203" t="e">
        <f t="shared" si="169"/>
        <v>#DIV/0!</v>
      </c>
      <c r="DD178" s="65"/>
      <c r="DE178" s="66"/>
      <c r="DF178" s="66"/>
      <c r="DG178" s="66"/>
      <c r="DH178" s="66"/>
      <c r="DI178" s="66"/>
      <c r="DJ178" s="65"/>
      <c r="DK178" s="66"/>
      <c r="DL178" s="66"/>
      <c r="DM178" s="8">
        <f t="shared" si="170"/>
        <v>0</v>
      </c>
      <c r="DN178" s="8">
        <f t="shared" si="171"/>
        <v>36488.068584670276</v>
      </c>
      <c r="DO178" s="202">
        <f t="shared" si="99"/>
        <v>-36488.068584670276</v>
      </c>
      <c r="DP178" s="202">
        <f t="shared" si="100"/>
        <v>-36488.068584670276</v>
      </c>
      <c r="DQ178" s="202">
        <f t="shared" si="101"/>
        <v>-36488.068584670276</v>
      </c>
      <c r="DR178" s="9">
        <f t="shared" si="102"/>
        <v>-36488.068584670276</v>
      </c>
      <c r="DS178" s="9">
        <f t="shared" si="173"/>
        <v>-36488.068584670276</v>
      </c>
      <c r="DT178" s="9">
        <f t="shared" si="103"/>
        <v>-36488.068584670276</v>
      </c>
      <c r="DU178" s="202">
        <f t="shared" si="104"/>
        <v>-36488.068584670276</v>
      </c>
      <c r="DV178" s="202">
        <f t="shared" si="105"/>
        <v>-36488.068584670276</v>
      </c>
      <c r="DW178" s="202">
        <f t="shared" si="106"/>
        <v>-36488.068584670276</v>
      </c>
      <c r="DX178" s="203" t="e">
        <f t="shared" si="107"/>
        <v>#DIV/0!</v>
      </c>
      <c r="DY178" s="203" t="e">
        <f t="shared" si="108"/>
        <v>#DIV/0!</v>
      </c>
      <c r="DZ178" s="203" t="e">
        <f t="shared" si="109"/>
        <v>#DIV/0!</v>
      </c>
      <c r="EA178" s="19" t="e">
        <f t="shared" si="110"/>
        <v>#DIV/0!</v>
      </c>
      <c r="EB178" s="19" t="e">
        <f t="shared" si="174"/>
        <v>#DIV/0!</v>
      </c>
      <c r="EC178" s="19" t="e">
        <f t="shared" si="111"/>
        <v>#DIV/0!</v>
      </c>
      <c r="ED178" s="203" t="e">
        <f t="shared" si="112"/>
        <v>#DIV/0!</v>
      </c>
      <c r="EE178" s="203" t="e">
        <f t="shared" si="113"/>
        <v>#DIV/0!</v>
      </c>
      <c r="EF178" s="203" t="e">
        <f t="shared" si="114"/>
        <v>#DIV/0!</v>
      </c>
      <c r="EH178" s="58">
        <f t="shared" si="127"/>
        <v>35238.221591739879</v>
      </c>
      <c r="EI178" s="68" t="e">
        <f t="shared" si="128"/>
        <v>#DIV/0!</v>
      </c>
      <c r="EJ178" s="58">
        <f t="shared" si="129"/>
        <v>27993.971591739879</v>
      </c>
      <c r="EK178" s="68" t="e">
        <f t="shared" si="128"/>
        <v>#DIV/0!</v>
      </c>
      <c r="EL178" s="58">
        <f t="shared" si="130"/>
        <v>2521.8230025798766</v>
      </c>
      <c r="EM178" s="58">
        <f t="shared" si="131"/>
        <v>2521.8230025798766</v>
      </c>
      <c r="EN178" s="68" t="e">
        <f t="shared" si="132"/>
        <v>#DIV/0!</v>
      </c>
      <c r="EO178" s="139">
        <f t="shared" si="147"/>
        <v>0.32861286969700848</v>
      </c>
      <c r="EP178">
        <f>+(SUM(M178:O178)*EO178*(1-'[1]Tier 3 Data'!$A$2))</f>
        <v>0</v>
      </c>
    </row>
    <row r="179" spans="1:146" x14ac:dyDescent="0.2">
      <c r="A179" s="43">
        <v>0</v>
      </c>
      <c r="B179" s="43">
        <v>0</v>
      </c>
      <c r="C179" s="43">
        <v>0</v>
      </c>
      <c r="D179" s="70">
        <v>2022</v>
      </c>
      <c r="E179" s="70">
        <v>4</v>
      </c>
      <c r="F179" s="2">
        <v>720</v>
      </c>
      <c r="G179" s="63"/>
      <c r="H179" s="63"/>
      <c r="I179" s="63"/>
      <c r="J179" s="133">
        <f t="shared" si="124"/>
        <v>0</v>
      </c>
      <c r="K179" s="65">
        <v>0</v>
      </c>
      <c r="L179" s="133">
        <f t="shared" si="125"/>
        <v>0</v>
      </c>
      <c r="M179" s="63"/>
      <c r="N179" s="63"/>
      <c r="O179" s="63"/>
      <c r="P179" s="200">
        <f t="shared" si="115"/>
        <v>0</v>
      </c>
      <c r="Q179" s="200">
        <f t="shared" si="116"/>
        <v>0</v>
      </c>
      <c r="R179" s="200">
        <f t="shared" si="117"/>
        <v>0</v>
      </c>
      <c r="S179" s="133">
        <f t="shared" si="149"/>
        <v>0</v>
      </c>
      <c r="T179" s="133">
        <f t="shared" si="150"/>
        <v>0</v>
      </c>
      <c r="U179" s="133">
        <f t="shared" si="151"/>
        <v>0</v>
      </c>
      <c r="V179" s="200">
        <f t="shared" si="121"/>
        <v>0</v>
      </c>
      <c r="W179" s="200">
        <f t="shared" si="122"/>
        <v>0</v>
      </c>
      <c r="X179" s="200">
        <f t="shared" si="123"/>
        <v>0</v>
      </c>
      <c r="Y179" s="63"/>
      <c r="Z179" s="63"/>
      <c r="AA179" s="63"/>
      <c r="AB179" s="200">
        <f t="shared" si="137"/>
        <v>0</v>
      </c>
      <c r="AC179" s="200">
        <f t="shared" si="138"/>
        <v>0</v>
      </c>
      <c r="AD179" s="200">
        <f t="shared" si="139"/>
        <v>0</v>
      </c>
      <c r="AE179" s="199">
        <f t="shared" si="175"/>
        <v>0</v>
      </c>
      <c r="AF179" s="199">
        <f t="shared" si="141"/>
        <v>0</v>
      </c>
      <c r="AG179" s="199">
        <f t="shared" si="176"/>
        <v>0</v>
      </c>
      <c r="AH179" s="199"/>
      <c r="AI179" s="200">
        <f t="shared" si="143"/>
        <v>0</v>
      </c>
      <c r="AJ179" s="200">
        <f t="shared" si="144"/>
        <v>0</v>
      </c>
      <c r="AK179" s="200">
        <f t="shared" si="145"/>
        <v>0</v>
      </c>
      <c r="AL179" s="4"/>
      <c r="AM179" s="4"/>
      <c r="AN179" s="4"/>
      <c r="AO179" s="4"/>
      <c r="AP179" s="65">
        <v>2880</v>
      </c>
      <c r="AQ179" s="18"/>
      <c r="AR179" s="10">
        <v>9600</v>
      </c>
      <c r="AS179" s="18"/>
      <c r="AT179" s="62"/>
      <c r="AU179" s="65">
        <v>67.275000000000006</v>
      </c>
      <c r="AV179" s="65">
        <v>3766.0189999999998</v>
      </c>
      <c r="AW179" s="65">
        <v>4.8162307692307698</v>
      </c>
      <c r="AX179" s="65">
        <v>10.098384615384616</v>
      </c>
      <c r="AY179" s="65">
        <v>1122.6138126000001</v>
      </c>
      <c r="AZ179" s="63"/>
      <c r="BA179" s="65">
        <v>1366.578</v>
      </c>
      <c r="BB179" s="5"/>
      <c r="BC179" s="65">
        <v>567.6650303146555</v>
      </c>
      <c r="BD179" s="65">
        <v>15.751376692709027</v>
      </c>
      <c r="BE179" s="65">
        <v>0</v>
      </c>
      <c r="BF179" s="65">
        <v>201.0078173079965</v>
      </c>
      <c r="BG179" s="65">
        <v>0</v>
      </c>
      <c r="BH179" s="65">
        <v>138.923473015855</v>
      </c>
      <c r="BI179" s="65">
        <v>497.06754335933368</v>
      </c>
      <c r="BJ179" s="65">
        <v>0</v>
      </c>
      <c r="BK179" s="65">
        <v>1.0133891403180408</v>
      </c>
      <c r="BL179" s="65">
        <v>0</v>
      </c>
      <c r="BM179" s="65">
        <v>0</v>
      </c>
      <c r="BN179" s="65">
        <v>104.630880421147</v>
      </c>
      <c r="BO179" s="65">
        <v>73.159183799999994</v>
      </c>
      <c r="BP179" s="10">
        <v>1920</v>
      </c>
      <c r="BQ179" s="65">
        <v>153.83223351723802</v>
      </c>
      <c r="BR179" s="65">
        <v>200.98682065368556</v>
      </c>
      <c r="BS179" s="65">
        <v>727.26308004821078</v>
      </c>
      <c r="BT179" s="65">
        <v>252.76020477719993</v>
      </c>
      <c r="BU179" s="65">
        <v>271.40648446699987</v>
      </c>
      <c r="BV179" s="144">
        <f t="shared" si="134"/>
        <v>0</v>
      </c>
      <c r="BW179" s="144">
        <f t="shared" si="135"/>
        <v>0</v>
      </c>
      <c r="BX179" s="144">
        <f t="shared" si="136"/>
        <v>0</v>
      </c>
      <c r="BY179" s="5"/>
      <c r="BZ179" s="66">
        <v>7020</v>
      </c>
      <c r="CA179" s="65">
        <v>0</v>
      </c>
      <c r="CB179" s="5"/>
      <c r="CC179" s="5"/>
      <c r="CD179" s="188">
        <v>2.3725527527096357</v>
      </c>
      <c r="CE179" s="5"/>
      <c r="CF179" s="65">
        <v>2601</v>
      </c>
      <c r="CG179" s="70"/>
      <c r="CH179" s="70"/>
      <c r="CI179" s="70"/>
      <c r="CJ179" s="65">
        <v>2881.8</v>
      </c>
      <c r="CK179" s="8">
        <f t="shared" si="172"/>
        <v>33566.240498252671</v>
      </c>
      <c r="CL179" s="202">
        <f t="shared" si="152"/>
        <v>-33566.240498252671</v>
      </c>
      <c r="CM179" s="202">
        <f t="shared" si="153"/>
        <v>-33566.240498252671</v>
      </c>
      <c r="CN179" s="202">
        <f t="shared" si="154"/>
        <v>-33566.240498252671</v>
      </c>
      <c r="CO179" s="9">
        <f t="shared" si="155"/>
        <v>-33566.240498252671</v>
      </c>
      <c r="CP179" s="9">
        <f t="shared" si="156"/>
        <v>-33566.240498252671</v>
      </c>
      <c r="CQ179" s="9">
        <f t="shared" si="157"/>
        <v>-33566.240498252671</v>
      </c>
      <c r="CR179" s="202">
        <f t="shared" si="158"/>
        <v>-33566.240498252671</v>
      </c>
      <c r="CS179" s="202">
        <f t="shared" si="159"/>
        <v>-33566.240498252671</v>
      </c>
      <c r="CT179" s="202">
        <f t="shared" si="160"/>
        <v>-33566.240498252671</v>
      </c>
      <c r="CU179" s="203" t="e">
        <f t="shared" si="161"/>
        <v>#DIV/0!</v>
      </c>
      <c r="CV179" s="203" t="e">
        <f t="shared" si="162"/>
        <v>#DIV/0!</v>
      </c>
      <c r="CW179" s="203" t="e">
        <f t="shared" si="163"/>
        <v>#DIV/0!</v>
      </c>
      <c r="CX179" s="19" t="e">
        <f t="shared" si="164"/>
        <v>#DIV/0!</v>
      </c>
      <c r="CY179" s="19" t="e">
        <f t="shared" si="165"/>
        <v>#DIV/0!</v>
      </c>
      <c r="CZ179" s="19" t="e">
        <f t="shared" si="166"/>
        <v>#DIV/0!</v>
      </c>
      <c r="DA179" s="203" t="e">
        <f t="shared" si="167"/>
        <v>#DIV/0!</v>
      </c>
      <c r="DB179" s="203" t="e">
        <f t="shared" si="168"/>
        <v>#DIV/0!</v>
      </c>
      <c r="DC179" s="203" t="e">
        <f t="shared" si="169"/>
        <v>#DIV/0!</v>
      </c>
      <c r="DD179" s="65"/>
      <c r="DE179" s="66"/>
      <c r="DF179" s="66"/>
      <c r="DG179" s="66"/>
      <c r="DH179" s="66"/>
      <c r="DI179" s="66"/>
      <c r="DJ179" s="65"/>
      <c r="DK179" s="66"/>
      <c r="DL179" s="66"/>
      <c r="DM179" s="8">
        <f t="shared" si="170"/>
        <v>0</v>
      </c>
      <c r="DN179" s="8">
        <f t="shared" si="171"/>
        <v>33566.240498252671</v>
      </c>
      <c r="DO179" s="202">
        <f t="shared" si="99"/>
        <v>-33566.240498252671</v>
      </c>
      <c r="DP179" s="202">
        <f t="shared" si="100"/>
        <v>-33566.240498252671</v>
      </c>
      <c r="DQ179" s="202">
        <f t="shared" si="101"/>
        <v>-33566.240498252671</v>
      </c>
      <c r="DR179" s="9">
        <f t="shared" si="102"/>
        <v>-33566.240498252671</v>
      </c>
      <c r="DS179" s="9">
        <f t="shared" si="173"/>
        <v>-33566.240498252671</v>
      </c>
      <c r="DT179" s="9">
        <f t="shared" si="103"/>
        <v>-33566.240498252671</v>
      </c>
      <c r="DU179" s="202">
        <f t="shared" si="104"/>
        <v>-33566.240498252671</v>
      </c>
      <c r="DV179" s="202">
        <f t="shared" si="105"/>
        <v>-33566.240498252671</v>
      </c>
      <c r="DW179" s="202">
        <f t="shared" si="106"/>
        <v>-33566.240498252671</v>
      </c>
      <c r="DX179" s="203" t="e">
        <f t="shared" si="107"/>
        <v>#DIV/0!</v>
      </c>
      <c r="DY179" s="203" t="e">
        <f t="shared" si="108"/>
        <v>#DIV/0!</v>
      </c>
      <c r="DZ179" s="203" t="e">
        <f t="shared" si="109"/>
        <v>#DIV/0!</v>
      </c>
      <c r="EA179" s="19" t="e">
        <f t="shared" si="110"/>
        <v>#DIV/0!</v>
      </c>
      <c r="EB179" s="19" t="e">
        <f t="shared" si="174"/>
        <v>#DIV/0!</v>
      </c>
      <c r="EC179" s="19" t="e">
        <f t="shared" si="111"/>
        <v>#DIV/0!</v>
      </c>
      <c r="ED179" s="203" t="e">
        <f t="shared" si="112"/>
        <v>#DIV/0!</v>
      </c>
      <c r="EE179" s="203" t="e">
        <f t="shared" si="113"/>
        <v>#DIV/0!</v>
      </c>
      <c r="EF179" s="203" t="e">
        <f t="shared" si="114"/>
        <v>#DIV/0!</v>
      </c>
      <c r="EH179" s="58">
        <f t="shared" si="127"/>
        <v>33347.945512807346</v>
      </c>
      <c r="EI179" s="68" t="e">
        <f t="shared" si="128"/>
        <v>#DIV/0!</v>
      </c>
      <c r="EJ179" s="58">
        <f t="shared" si="129"/>
        <v>26327.94551280735</v>
      </c>
      <c r="EK179" s="68" t="e">
        <f t="shared" si="128"/>
        <v>#DIV/0!</v>
      </c>
      <c r="EL179" s="58">
        <f t="shared" si="130"/>
        <v>3004.4597002073519</v>
      </c>
      <c r="EM179" s="58">
        <f t="shared" si="131"/>
        <v>3004.4597002073519</v>
      </c>
      <c r="EN179" s="68" t="e">
        <f t="shared" si="132"/>
        <v>#DIV/0!</v>
      </c>
      <c r="EO179" s="139">
        <f t="shared" si="147"/>
        <v>0.35351678044029999</v>
      </c>
      <c r="EP179">
        <f>+(SUM(M179:O179)*EO179*(1-'[1]Tier 3 Data'!$A$2))</f>
        <v>0</v>
      </c>
    </row>
    <row r="180" spans="1:146" x14ac:dyDescent="0.2">
      <c r="A180" s="43">
        <v>0</v>
      </c>
      <c r="B180" s="43">
        <v>0</v>
      </c>
      <c r="C180" s="43">
        <v>0</v>
      </c>
      <c r="D180" s="70">
        <v>2022</v>
      </c>
      <c r="E180" s="70">
        <v>5</v>
      </c>
      <c r="F180" s="2">
        <v>744</v>
      </c>
      <c r="G180" s="63"/>
      <c r="H180" s="63"/>
      <c r="I180" s="63"/>
      <c r="J180" s="133">
        <f t="shared" si="124"/>
        <v>0</v>
      </c>
      <c r="K180" s="65">
        <v>0</v>
      </c>
      <c r="L180" s="133">
        <f t="shared" si="125"/>
        <v>0</v>
      </c>
      <c r="M180" s="63"/>
      <c r="N180" s="63"/>
      <c r="O180" s="63"/>
      <c r="P180" s="200">
        <f t="shared" si="115"/>
        <v>0</v>
      </c>
      <c r="Q180" s="200">
        <f t="shared" si="116"/>
        <v>0</v>
      </c>
      <c r="R180" s="200">
        <f t="shared" si="117"/>
        <v>0</v>
      </c>
      <c r="S180" s="133">
        <f t="shared" si="149"/>
        <v>0</v>
      </c>
      <c r="T180" s="133">
        <f t="shared" si="150"/>
        <v>0</v>
      </c>
      <c r="U180" s="133">
        <f t="shared" si="151"/>
        <v>0</v>
      </c>
      <c r="V180" s="200">
        <f t="shared" si="121"/>
        <v>0</v>
      </c>
      <c r="W180" s="200">
        <f t="shared" si="122"/>
        <v>0</v>
      </c>
      <c r="X180" s="200">
        <f t="shared" si="123"/>
        <v>0</v>
      </c>
      <c r="Y180" s="63"/>
      <c r="Z180" s="63"/>
      <c r="AA180" s="63"/>
      <c r="AB180" s="200">
        <f t="shared" si="137"/>
        <v>0</v>
      </c>
      <c r="AC180" s="200">
        <f t="shared" si="138"/>
        <v>0</v>
      </c>
      <c r="AD180" s="200">
        <f t="shared" si="139"/>
        <v>0</v>
      </c>
      <c r="AE180" s="199">
        <f t="shared" si="175"/>
        <v>0</v>
      </c>
      <c r="AF180" s="199">
        <f t="shared" si="141"/>
        <v>0</v>
      </c>
      <c r="AG180" s="199">
        <f t="shared" si="176"/>
        <v>0</v>
      </c>
      <c r="AH180" s="199"/>
      <c r="AI180" s="200">
        <f t="shared" si="143"/>
        <v>0</v>
      </c>
      <c r="AJ180" s="200">
        <f t="shared" si="144"/>
        <v>0</v>
      </c>
      <c r="AK180" s="200">
        <f t="shared" si="145"/>
        <v>0</v>
      </c>
      <c r="AL180" s="4"/>
      <c r="AM180" s="4"/>
      <c r="AN180" s="4"/>
      <c r="AO180" s="4"/>
      <c r="AP180" s="65">
        <v>2976</v>
      </c>
      <c r="AQ180" s="18"/>
      <c r="AR180" s="10">
        <v>9920</v>
      </c>
      <c r="AS180" s="18"/>
      <c r="AT180" s="62"/>
      <c r="AU180" s="65">
        <v>67.742999999999995</v>
      </c>
      <c r="AV180" s="65">
        <v>3897.5619999999999</v>
      </c>
      <c r="AW180" s="65">
        <v>3.858769230769231</v>
      </c>
      <c r="AX180" s="65">
        <v>10.245153846153846</v>
      </c>
      <c r="AY180" s="65">
        <v>837.33634925714296</v>
      </c>
      <c r="AZ180" s="63"/>
      <c r="BA180" s="65">
        <v>1570</v>
      </c>
      <c r="BB180" s="5"/>
      <c r="BC180" s="65">
        <v>570.10748354622444</v>
      </c>
      <c r="BD180" s="65">
        <v>12.098699446784533</v>
      </c>
      <c r="BE180" s="65">
        <v>0</v>
      </c>
      <c r="BF180" s="65">
        <v>204.79596502442698</v>
      </c>
      <c r="BG180" s="65">
        <v>0</v>
      </c>
      <c r="BH180" s="65">
        <v>88.40584646463499</v>
      </c>
      <c r="BI180" s="65">
        <v>499.20624164573871</v>
      </c>
      <c r="BJ180" s="65">
        <v>0</v>
      </c>
      <c r="BK180" s="65">
        <v>0.64663630403278161</v>
      </c>
      <c r="BL180" s="65">
        <v>0</v>
      </c>
      <c r="BM180" s="65">
        <v>0</v>
      </c>
      <c r="BN180" s="65">
        <v>66.583287540729913</v>
      </c>
      <c r="BO180" s="65">
        <v>75.597823259999998</v>
      </c>
      <c r="BP180" s="10">
        <v>1984</v>
      </c>
      <c r="BQ180" s="65">
        <v>177.16108274935755</v>
      </c>
      <c r="BR180" s="65">
        <v>231.46669684009879</v>
      </c>
      <c r="BS180" s="65">
        <v>837.55334160302607</v>
      </c>
      <c r="BT180" s="65">
        <v>261.22585595749496</v>
      </c>
      <c r="BU180" s="65">
        <v>310.38077671899998</v>
      </c>
      <c r="BV180" s="144">
        <f t="shared" si="134"/>
        <v>0</v>
      </c>
      <c r="BW180" s="144">
        <f t="shared" si="135"/>
        <v>0</v>
      </c>
      <c r="BX180" s="144">
        <f t="shared" si="136"/>
        <v>0</v>
      </c>
      <c r="BY180" s="5"/>
      <c r="BZ180" s="66">
        <v>7254</v>
      </c>
      <c r="CA180" s="65">
        <v>0</v>
      </c>
      <c r="CB180" s="5"/>
      <c r="CC180" s="5"/>
      <c r="CD180" s="188">
        <v>1.4538432884059718E-2</v>
      </c>
      <c r="CE180" s="5"/>
      <c r="CF180" s="65">
        <v>1875</v>
      </c>
      <c r="CG180" s="70"/>
      <c r="CH180" s="70"/>
      <c r="CI180" s="70"/>
      <c r="CJ180" s="65">
        <v>2057.34</v>
      </c>
      <c r="CK180" s="8">
        <f t="shared" si="172"/>
        <v>33730.989547868499</v>
      </c>
      <c r="CL180" s="202">
        <f t="shared" si="152"/>
        <v>-33730.989547868499</v>
      </c>
      <c r="CM180" s="202">
        <f t="shared" si="153"/>
        <v>-33730.989547868499</v>
      </c>
      <c r="CN180" s="202">
        <f t="shared" si="154"/>
        <v>-33730.989547868499</v>
      </c>
      <c r="CO180" s="9">
        <f t="shared" si="155"/>
        <v>-33730.989547868499</v>
      </c>
      <c r="CP180" s="9">
        <f t="shared" si="156"/>
        <v>-33730.989547868499</v>
      </c>
      <c r="CQ180" s="9">
        <f t="shared" si="157"/>
        <v>-33730.989547868499</v>
      </c>
      <c r="CR180" s="202">
        <f t="shared" si="158"/>
        <v>-33730.989547868499</v>
      </c>
      <c r="CS180" s="202">
        <f t="shared" si="159"/>
        <v>-33730.989547868499</v>
      </c>
      <c r="CT180" s="202">
        <f t="shared" si="160"/>
        <v>-33730.989547868499</v>
      </c>
      <c r="CU180" s="203" t="e">
        <f t="shared" si="161"/>
        <v>#DIV/0!</v>
      </c>
      <c r="CV180" s="203" t="e">
        <f t="shared" si="162"/>
        <v>#DIV/0!</v>
      </c>
      <c r="CW180" s="203" t="e">
        <f t="shared" si="163"/>
        <v>#DIV/0!</v>
      </c>
      <c r="CX180" s="19" t="e">
        <f t="shared" si="164"/>
        <v>#DIV/0!</v>
      </c>
      <c r="CY180" s="19" t="e">
        <f t="shared" si="165"/>
        <v>#DIV/0!</v>
      </c>
      <c r="CZ180" s="19" t="e">
        <f t="shared" si="166"/>
        <v>#DIV/0!</v>
      </c>
      <c r="DA180" s="203" t="e">
        <f t="shared" si="167"/>
        <v>#DIV/0!</v>
      </c>
      <c r="DB180" s="203" t="e">
        <f t="shared" si="168"/>
        <v>#DIV/0!</v>
      </c>
      <c r="DC180" s="203" t="e">
        <f t="shared" si="169"/>
        <v>#DIV/0!</v>
      </c>
      <c r="DD180" s="65"/>
      <c r="DE180" s="66"/>
      <c r="DF180" s="66"/>
      <c r="DG180" s="66"/>
      <c r="DH180" s="66"/>
      <c r="DI180" s="66"/>
      <c r="DJ180" s="65"/>
      <c r="DK180" s="66"/>
      <c r="DL180" s="66"/>
      <c r="DM180" s="8">
        <f t="shared" si="170"/>
        <v>0</v>
      </c>
      <c r="DN180" s="8">
        <f t="shared" si="171"/>
        <v>33730.989547868499</v>
      </c>
      <c r="DO180" s="202">
        <f t="shared" si="99"/>
        <v>-33730.989547868499</v>
      </c>
      <c r="DP180" s="202">
        <f t="shared" si="100"/>
        <v>-33730.989547868499</v>
      </c>
      <c r="DQ180" s="202">
        <f t="shared" si="101"/>
        <v>-33730.989547868499</v>
      </c>
      <c r="DR180" s="9">
        <f t="shared" si="102"/>
        <v>-33730.989547868499</v>
      </c>
      <c r="DS180" s="9">
        <f t="shared" si="173"/>
        <v>-33730.989547868499</v>
      </c>
      <c r="DT180" s="9">
        <f t="shared" si="103"/>
        <v>-33730.989547868499</v>
      </c>
      <c r="DU180" s="202">
        <f t="shared" si="104"/>
        <v>-33730.989547868499</v>
      </c>
      <c r="DV180" s="202">
        <f t="shared" si="105"/>
        <v>-33730.989547868499</v>
      </c>
      <c r="DW180" s="202">
        <f t="shared" si="106"/>
        <v>-33730.989547868499</v>
      </c>
      <c r="DX180" s="203" t="e">
        <f t="shared" si="107"/>
        <v>#DIV/0!</v>
      </c>
      <c r="DY180" s="203" t="e">
        <f t="shared" si="108"/>
        <v>#DIV/0!</v>
      </c>
      <c r="DZ180" s="203" t="e">
        <f t="shared" si="109"/>
        <v>#DIV/0!</v>
      </c>
      <c r="EA180" s="19" t="e">
        <f t="shared" si="110"/>
        <v>#DIV/0!</v>
      </c>
      <c r="EB180" s="19" t="e">
        <f t="shared" si="174"/>
        <v>#DIV/0!</v>
      </c>
      <c r="EC180" s="19" t="e">
        <f t="shared" si="111"/>
        <v>#DIV/0!</v>
      </c>
      <c r="ED180" s="203" t="e">
        <f t="shared" si="112"/>
        <v>#DIV/0!</v>
      </c>
      <c r="EE180" s="203" t="e">
        <f t="shared" si="113"/>
        <v>#DIV/0!</v>
      </c>
      <c r="EF180" s="203" t="e">
        <f t="shared" si="114"/>
        <v>#DIV/0!</v>
      </c>
      <c r="EH180" s="58">
        <f t="shared" si="127"/>
        <v>33512.075121334266</v>
      </c>
      <c r="EI180" s="68" t="e">
        <f t="shared" si="128"/>
        <v>#DIV/0!</v>
      </c>
      <c r="EJ180" s="58">
        <f t="shared" si="129"/>
        <v>26258.075121334266</v>
      </c>
      <c r="EK180" s="68" t="e">
        <f t="shared" si="128"/>
        <v>#DIV/0!</v>
      </c>
      <c r="EL180" s="58">
        <f t="shared" si="130"/>
        <v>3130.4337720771232</v>
      </c>
      <c r="EM180" s="58">
        <f t="shared" si="131"/>
        <v>3130.4337720771232</v>
      </c>
      <c r="EN180" s="68" t="e">
        <f t="shared" si="132"/>
        <v>#DIV/0!</v>
      </c>
      <c r="EO180" s="139">
        <f t="shared" si="147"/>
        <v>0.28868615856523006</v>
      </c>
      <c r="EP180">
        <f>+(SUM(M180:O180)*EO180*(1-'[1]Tier 3 Data'!$A$2))</f>
        <v>0</v>
      </c>
    </row>
    <row r="181" spans="1:146" x14ac:dyDescent="0.2">
      <c r="A181" s="43">
        <v>0</v>
      </c>
      <c r="B181" s="43">
        <v>0</v>
      </c>
      <c r="C181" s="43">
        <v>0</v>
      </c>
      <c r="D181" s="70">
        <v>2022</v>
      </c>
      <c r="E181" s="70">
        <v>6</v>
      </c>
      <c r="F181" s="2">
        <v>720</v>
      </c>
      <c r="G181" s="63"/>
      <c r="H181" s="63"/>
      <c r="I181" s="63"/>
      <c r="J181" s="133">
        <f t="shared" si="124"/>
        <v>0</v>
      </c>
      <c r="K181" s="65">
        <v>0</v>
      </c>
      <c r="L181" s="133">
        <f t="shared" si="125"/>
        <v>0</v>
      </c>
      <c r="M181" s="63"/>
      <c r="N181" s="63"/>
      <c r="O181" s="63"/>
      <c r="P181" s="200">
        <f t="shared" si="115"/>
        <v>0</v>
      </c>
      <c r="Q181" s="200">
        <f t="shared" si="116"/>
        <v>0</v>
      </c>
      <c r="R181" s="200">
        <f t="shared" si="117"/>
        <v>0</v>
      </c>
      <c r="S181" s="133">
        <f t="shared" si="149"/>
        <v>0</v>
      </c>
      <c r="T181" s="133">
        <f t="shared" si="150"/>
        <v>0</v>
      </c>
      <c r="U181" s="133">
        <f t="shared" si="151"/>
        <v>0</v>
      </c>
      <c r="V181" s="200">
        <f t="shared" si="121"/>
        <v>0</v>
      </c>
      <c r="W181" s="200">
        <f t="shared" si="122"/>
        <v>0</v>
      </c>
      <c r="X181" s="200">
        <f t="shared" si="123"/>
        <v>0</v>
      </c>
      <c r="Y181" s="63"/>
      <c r="Z181" s="63"/>
      <c r="AA181" s="63"/>
      <c r="AB181" s="200">
        <f t="shared" si="137"/>
        <v>0</v>
      </c>
      <c r="AC181" s="200">
        <f t="shared" si="138"/>
        <v>0</v>
      </c>
      <c r="AD181" s="200">
        <f t="shared" si="139"/>
        <v>0</v>
      </c>
      <c r="AE181" s="199">
        <f t="shared" si="175"/>
        <v>0</v>
      </c>
      <c r="AF181" s="199">
        <f t="shared" si="141"/>
        <v>0</v>
      </c>
      <c r="AG181" s="199">
        <f t="shared" si="176"/>
        <v>0</v>
      </c>
      <c r="AH181" s="199"/>
      <c r="AI181" s="200">
        <f t="shared" si="143"/>
        <v>0</v>
      </c>
      <c r="AJ181" s="200">
        <f t="shared" si="144"/>
        <v>0</v>
      </c>
      <c r="AK181" s="200">
        <f t="shared" si="145"/>
        <v>0</v>
      </c>
      <c r="AL181" s="4"/>
      <c r="AM181" s="4"/>
      <c r="AN181" s="4"/>
      <c r="AO181" s="4"/>
      <c r="AP181" s="65">
        <v>2880</v>
      </c>
      <c r="AQ181" s="18"/>
      <c r="AR181" s="10">
        <v>9600</v>
      </c>
      <c r="AS181" s="18"/>
      <c r="AT181" s="62"/>
      <c r="AU181" s="65">
        <v>71.253</v>
      </c>
      <c r="AV181" s="65">
        <v>3752.5479999999998</v>
      </c>
      <c r="AW181" s="65">
        <v>3.1302307692307689</v>
      </c>
      <c r="AX181" s="65">
        <v>6.586615384615385</v>
      </c>
      <c r="AY181" s="65">
        <v>1170.1048746057143</v>
      </c>
      <c r="AZ181" s="63"/>
      <c r="BA181" s="65">
        <v>2058.0909999999999</v>
      </c>
      <c r="BB181" s="5"/>
      <c r="BC181" s="65">
        <v>605.91554170888298</v>
      </c>
      <c r="BD181" s="65">
        <v>8.3809700100652513</v>
      </c>
      <c r="BE181" s="65">
        <v>0</v>
      </c>
      <c r="BF181" s="65">
        <v>179.82494093729514</v>
      </c>
      <c r="BG181" s="65">
        <v>0</v>
      </c>
      <c r="BH181" s="65">
        <v>37.888219913415</v>
      </c>
      <c r="BI181" s="65">
        <v>698.39585287068542</v>
      </c>
      <c r="BJ181" s="65">
        <v>0</v>
      </c>
      <c r="BK181" s="65">
        <v>0.59652687443024122</v>
      </c>
      <c r="BL181" s="65">
        <v>0</v>
      </c>
      <c r="BM181" s="65">
        <v>0</v>
      </c>
      <c r="BN181" s="65">
        <v>28.535694660312817</v>
      </c>
      <c r="BO181" s="65">
        <v>73.159183799999994</v>
      </c>
      <c r="BP181" s="10">
        <v>1920</v>
      </c>
      <c r="BQ181" s="65">
        <v>172.2464080875705</v>
      </c>
      <c r="BR181" s="65">
        <v>225.04555649552191</v>
      </c>
      <c r="BS181" s="65">
        <v>814.31868758586336</v>
      </c>
      <c r="BT181" s="65">
        <v>273.43288703577997</v>
      </c>
      <c r="BU181" s="65">
        <v>302.26484463374504</v>
      </c>
      <c r="BV181" s="144">
        <f t="shared" si="134"/>
        <v>0</v>
      </c>
      <c r="BW181" s="144">
        <f t="shared" si="135"/>
        <v>0</v>
      </c>
      <c r="BX181" s="144">
        <f t="shared" si="136"/>
        <v>0</v>
      </c>
      <c r="BY181" s="5"/>
      <c r="BZ181" s="66">
        <v>7020</v>
      </c>
      <c r="CA181" s="65">
        <v>936</v>
      </c>
      <c r="CB181" s="5"/>
      <c r="CC181" s="5"/>
      <c r="CD181" s="188">
        <v>2.1777775833862054</v>
      </c>
      <c r="CE181" s="5"/>
      <c r="CF181" s="65">
        <v>975</v>
      </c>
      <c r="CG181" s="70"/>
      <c r="CH181" s="70"/>
      <c r="CI181" s="70"/>
      <c r="CJ181" s="65">
        <v>2095.36</v>
      </c>
      <c r="CK181" s="8">
        <f t="shared" si="172"/>
        <v>33814.896812956504</v>
      </c>
      <c r="CL181" s="202">
        <f t="shared" si="152"/>
        <v>-33814.896812956504</v>
      </c>
      <c r="CM181" s="202">
        <f t="shared" si="153"/>
        <v>-33814.896812956504</v>
      </c>
      <c r="CN181" s="202">
        <f t="shared" si="154"/>
        <v>-33814.896812956504</v>
      </c>
      <c r="CO181" s="9">
        <f t="shared" si="155"/>
        <v>-33814.896812956504</v>
      </c>
      <c r="CP181" s="9">
        <f t="shared" si="156"/>
        <v>-33814.896812956504</v>
      </c>
      <c r="CQ181" s="9">
        <f t="shared" si="157"/>
        <v>-33814.896812956504</v>
      </c>
      <c r="CR181" s="202">
        <f t="shared" si="158"/>
        <v>-33814.896812956504</v>
      </c>
      <c r="CS181" s="202">
        <f t="shared" si="159"/>
        <v>-33814.896812956504</v>
      </c>
      <c r="CT181" s="202">
        <f t="shared" si="160"/>
        <v>-33814.896812956504</v>
      </c>
      <c r="CU181" s="203" t="e">
        <f t="shared" si="161"/>
        <v>#DIV/0!</v>
      </c>
      <c r="CV181" s="203" t="e">
        <f t="shared" si="162"/>
        <v>#DIV/0!</v>
      </c>
      <c r="CW181" s="203" t="e">
        <f t="shared" si="163"/>
        <v>#DIV/0!</v>
      </c>
      <c r="CX181" s="19" t="e">
        <f t="shared" si="164"/>
        <v>#DIV/0!</v>
      </c>
      <c r="CY181" s="19" t="e">
        <f t="shared" si="165"/>
        <v>#DIV/0!</v>
      </c>
      <c r="CZ181" s="19" t="e">
        <f t="shared" si="166"/>
        <v>#DIV/0!</v>
      </c>
      <c r="DA181" s="203" t="e">
        <f t="shared" si="167"/>
        <v>#DIV/0!</v>
      </c>
      <c r="DB181" s="203" t="e">
        <f t="shared" si="168"/>
        <v>#DIV/0!</v>
      </c>
      <c r="DC181" s="203" t="e">
        <f t="shared" si="169"/>
        <v>#DIV/0!</v>
      </c>
      <c r="DD181" s="65"/>
      <c r="DE181" s="66"/>
      <c r="DF181" s="66"/>
      <c r="DG181" s="66"/>
      <c r="DH181" s="66"/>
      <c r="DI181" s="66"/>
      <c r="DJ181" s="65"/>
      <c r="DK181" s="66"/>
      <c r="DL181" s="66"/>
      <c r="DM181" s="8">
        <f t="shared" si="170"/>
        <v>0</v>
      </c>
      <c r="DN181" s="8">
        <f t="shared" si="171"/>
        <v>33814.896812956504</v>
      </c>
      <c r="DO181" s="202">
        <f t="shared" si="99"/>
        <v>-33814.896812956504</v>
      </c>
      <c r="DP181" s="202">
        <f t="shared" si="100"/>
        <v>-33814.896812956504</v>
      </c>
      <c r="DQ181" s="202">
        <f t="shared" si="101"/>
        <v>-33814.896812956504</v>
      </c>
      <c r="DR181" s="9">
        <f t="shared" si="102"/>
        <v>-33814.896812956504</v>
      </c>
      <c r="DS181" s="9">
        <f t="shared" si="173"/>
        <v>-33814.896812956504</v>
      </c>
      <c r="DT181" s="9">
        <f t="shared" si="103"/>
        <v>-33814.896812956504</v>
      </c>
      <c r="DU181" s="202">
        <f t="shared" si="104"/>
        <v>-33814.896812956504</v>
      </c>
      <c r="DV181" s="202">
        <f t="shared" si="105"/>
        <v>-33814.896812956504</v>
      </c>
      <c r="DW181" s="202">
        <f t="shared" si="106"/>
        <v>-33814.896812956504</v>
      </c>
      <c r="DX181" s="203" t="e">
        <f t="shared" si="107"/>
        <v>#DIV/0!</v>
      </c>
      <c r="DY181" s="203" t="e">
        <f t="shared" si="108"/>
        <v>#DIV/0!</v>
      </c>
      <c r="DZ181" s="203" t="e">
        <f t="shared" si="109"/>
        <v>#DIV/0!</v>
      </c>
      <c r="EA181" s="19" t="e">
        <f t="shared" si="110"/>
        <v>#DIV/0!</v>
      </c>
      <c r="EB181" s="19" t="e">
        <f t="shared" si="174"/>
        <v>#DIV/0!</v>
      </c>
      <c r="EC181" s="19" t="e">
        <f t="shared" si="111"/>
        <v>#DIV/0!</v>
      </c>
      <c r="ED181" s="203" t="e">
        <f t="shared" si="112"/>
        <v>#DIV/0!</v>
      </c>
      <c r="EE181" s="203" t="e">
        <f t="shared" si="113"/>
        <v>#DIV/0!</v>
      </c>
      <c r="EF181" s="203" t="e">
        <f t="shared" si="114"/>
        <v>#DIV/0!</v>
      </c>
      <c r="EH181" s="58">
        <f t="shared" si="127"/>
        <v>32687.17724828198</v>
      </c>
      <c r="EI181" s="68" t="e">
        <f t="shared" si="128"/>
        <v>#DIV/0!</v>
      </c>
      <c r="EJ181" s="58">
        <f t="shared" si="129"/>
        <v>25667.17724828198</v>
      </c>
      <c r="EK181" s="68" t="e">
        <f t="shared" si="128"/>
        <v>#DIV/0!</v>
      </c>
      <c r="EL181" s="58">
        <f t="shared" si="130"/>
        <v>3240.1803736762722</v>
      </c>
      <c r="EM181" s="58">
        <f t="shared" si="131"/>
        <v>3240.1803736762722</v>
      </c>
      <c r="EN181" s="68" t="e">
        <f t="shared" si="132"/>
        <v>#DIV/0!</v>
      </c>
      <c r="EO181" s="139">
        <f t="shared" si="147"/>
        <v>0.24029016665052916</v>
      </c>
      <c r="EP181">
        <f>+(SUM(M181:O181)*EO181*(1-'[1]Tier 3 Data'!$A$2))</f>
        <v>0</v>
      </c>
    </row>
    <row r="182" spans="1:146" x14ac:dyDescent="0.2">
      <c r="A182" s="43">
        <v>0</v>
      </c>
      <c r="B182" s="43">
        <v>0</v>
      </c>
      <c r="C182" s="43">
        <v>0</v>
      </c>
      <c r="D182" s="70">
        <v>2022</v>
      </c>
      <c r="E182" s="70">
        <v>7</v>
      </c>
      <c r="F182" s="2">
        <v>744</v>
      </c>
      <c r="G182" s="63"/>
      <c r="H182" s="63"/>
      <c r="I182" s="63"/>
      <c r="J182" s="133">
        <f t="shared" si="124"/>
        <v>0</v>
      </c>
      <c r="K182" s="65">
        <v>0</v>
      </c>
      <c r="L182" s="133">
        <f t="shared" si="125"/>
        <v>0</v>
      </c>
      <c r="M182" s="63"/>
      <c r="N182" s="63"/>
      <c r="O182" s="63"/>
      <c r="P182" s="200">
        <f t="shared" si="115"/>
        <v>0</v>
      </c>
      <c r="Q182" s="200">
        <f t="shared" si="116"/>
        <v>0</v>
      </c>
      <c r="R182" s="200">
        <f t="shared" si="117"/>
        <v>0</v>
      </c>
      <c r="S182" s="133">
        <f t="shared" si="149"/>
        <v>0</v>
      </c>
      <c r="T182" s="133">
        <f t="shared" si="150"/>
        <v>0</v>
      </c>
      <c r="U182" s="133">
        <f t="shared" si="151"/>
        <v>0</v>
      </c>
      <c r="V182" s="200">
        <f t="shared" si="121"/>
        <v>0</v>
      </c>
      <c r="W182" s="200">
        <f t="shared" si="122"/>
        <v>0</v>
      </c>
      <c r="X182" s="200">
        <f t="shared" si="123"/>
        <v>0</v>
      </c>
      <c r="Y182" s="63"/>
      <c r="Z182" s="63"/>
      <c r="AA182" s="63"/>
      <c r="AB182" s="200">
        <f t="shared" si="137"/>
        <v>0</v>
      </c>
      <c r="AC182" s="200">
        <f t="shared" si="138"/>
        <v>0</v>
      </c>
      <c r="AD182" s="200">
        <f t="shared" si="139"/>
        <v>0</v>
      </c>
      <c r="AE182" s="199">
        <f t="shared" si="175"/>
        <v>0</v>
      </c>
      <c r="AF182" s="199">
        <f t="shared" si="141"/>
        <v>0</v>
      </c>
      <c r="AG182" s="199">
        <f t="shared" si="176"/>
        <v>0</v>
      </c>
      <c r="AH182" s="199"/>
      <c r="AI182" s="200">
        <f t="shared" si="143"/>
        <v>0</v>
      </c>
      <c r="AJ182" s="200">
        <f t="shared" si="144"/>
        <v>0</v>
      </c>
      <c r="AK182" s="200">
        <f t="shared" si="145"/>
        <v>0</v>
      </c>
      <c r="AL182" s="4"/>
      <c r="AM182" s="4"/>
      <c r="AN182" s="4"/>
      <c r="AO182" s="4"/>
      <c r="AP182" s="65">
        <v>2976</v>
      </c>
      <c r="AQ182" s="18"/>
      <c r="AR182" s="10">
        <v>9920</v>
      </c>
      <c r="AS182" s="18"/>
      <c r="AT182" s="62"/>
      <c r="AU182" s="65">
        <v>79.911000000000001</v>
      </c>
      <c r="AV182" s="65">
        <v>3856.3560000000002</v>
      </c>
      <c r="AW182" s="65">
        <v>2.203846153846154</v>
      </c>
      <c r="AX182" s="65">
        <v>4.5984999999999996</v>
      </c>
      <c r="AY182" s="65">
        <v>1237.5528587885699</v>
      </c>
      <c r="AZ182" s="63"/>
      <c r="BA182" s="65">
        <v>1516.482</v>
      </c>
      <c r="BB182" s="5"/>
      <c r="BC182" s="65">
        <v>586.79739986786444</v>
      </c>
      <c r="BD182" s="65">
        <v>7.5724679441334652</v>
      </c>
      <c r="BE182" s="65">
        <v>0</v>
      </c>
      <c r="BF182" s="65">
        <v>144.12352207184469</v>
      </c>
      <c r="BG182" s="65">
        <v>0</v>
      </c>
      <c r="BH182" s="65">
        <v>37.888219913415</v>
      </c>
      <c r="BI182" s="65">
        <v>841.717531839402</v>
      </c>
      <c r="BJ182" s="65">
        <v>0</v>
      </c>
      <c r="BK182" s="65">
        <v>0.4854656240246108</v>
      </c>
      <c r="BL182" s="65">
        <v>0</v>
      </c>
      <c r="BM182" s="65">
        <v>0</v>
      </c>
      <c r="BN182" s="65">
        <v>28.535694660312817</v>
      </c>
      <c r="BO182" s="65">
        <v>189.16715592</v>
      </c>
      <c r="BP182" s="10">
        <v>1984</v>
      </c>
      <c r="BQ182" s="65">
        <v>174.23699746052461</v>
      </c>
      <c r="BR182" s="65">
        <v>227.64624817199524</v>
      </c>
      <c r="BS182" s="65">
        <v>823.72919033737469</v>
      </c>
      <c r="BT182" s="65">
        <v>282.52625509788498</v>
      </c>
      <c r="BU182" s="65">
        <v>310.77838715901487</v>
      </c>
      <c r="BV182" s="144">
        <f t="shared" si="134"/>
        <v>0</v>
      </c>
      <c r="BW182" s="144">
        <f t="shared" si="135"/>
        <v>0</v>
      </c>
      <c r="BX182" s="144">
        <f t="shared" si="136"/>
        <v>0</v>
      </c>
      <c r="BY182" s="5"/>
      <c r="BZ182" s="66">
        <v>7254</v>
      </c>
      <c r="CA182" s="65">
        <v>2620</v>
      </c>
      <c r="CB182" s="5"/>
      <c r="CC182" s="5"/>
      <c r="CD182" s="188">
        <v>2.1042112926473342</v>
      </c>
      <c r="CE182" s="5"/>
      <c r="CF182" s="65">
        <v>395</v>
      </c>
      <c r="CG182" s="70"/>
      <c r="CH182" s="70"/>
      <c r="CI182" s="70"/>
      <c r="CJ182" s="65">
        <v>1749.82</v>
      </c>
      <c r="CK182" s="8">
        <f t="shared" si="172"/>
        <v>35503.412952302846</v>
      </c>
      <c r="CL182" s="202">
        <f t="shared" si="152"/>
        <v>-35503.412952302846</v>
      </c>
      <c r="CM182" s="202">
        <f t="shared" si="153"/>
        <v>-35503.412952302846</v>
      </c>
      <c r="CN182" s="202">
        <f t="shared" si="154"/>
        <v>-35503.412952302846</v>
      </c>
      <c r="CO182" s="9">
        <f t="shared" si="155"/>
        <v>-35503.412952302846</v>
      </c>
      <c r="CP182" s="9">
        <f t="shared" si="156"/>
        <v>-35503.412952302846</v>
      </c>
      <c r="CQ182" s="9">
        <f t="shared" si="157"/>
        <v>-35503.412952302846</v>
      </c>
      <c r="CR182" s="202">
        <f t="shared" si="158"/>
        <v>-35503.412952302846</v>
      </c>
      <c r="CS182" s="202">
        <f t="shared" si="159"/>
        <v>-35503.412952302846</v>
      </c>
      <c r="CT182" s="202">
        <f t="shared" si="160"/>
        <v>-35503.412952302846</v>
      </c>
      <c r="CU182" s="203" t="e">
        <f t="shared" si="161"/>
        <v>#DIV/0!</v>
      </c>
      <c r="CV182" s="203" t="e">
        <f t="shared" si="162"/>
        <v>#DIV/0!</v>
      </c>
      <c r="CW182" s="203" t="e">
        <f t="shared" si="163"/>
        <v>#DIV/0!</v>
      </c>
      <c r="CX182" s="19" t="e">
        <f t="shared" si="164"/>
        <v>#DIV/0!</v>
      </c>
      <c r="CY182" s="19" t="e">
        <f t="shared" si="165"/>
        <v>#DIV/0!</v>
      </c>
      <c r="CZ182" s="19" t="e">
        <f t="shared" si="166"/>
        <v>#DIV/0!</v>
      </c>
      <c r="DA182" s="203" t="e">
        <f t="shared" si="167"/>
        <v>#DIV/0!</v>
      </c>
      <c r="DB182" s="203" t="e">
        <f t="shared" si="168"/>
        <v>#DIV/0!</v>
      </c>
      <c r="DC182" s="203" t="e">
        <f t="shared" si="169"/>
        <v>#DIV/0!</v>
      </c>
      <c r="DD182" s="65"/>
      <c r="DE182" s="66"/>
      <c r="DF182" s="66"/>
      <c r="DG182" s="66"/>
      <c r="DH182" s="66"/>
      <c r="DI182" s="66"/>
      <c r="DJ182" s="65"/>
      <c r="DK182" s="66"/>
      <c r="DL182" s="66"/>
      <c r="DM182" s="8">
        <f t="shared" si="170"/>
        <v>0</v>
      </c>
      <c r="DN182" s="8">
        <f t="shared" si="171"/>
        <v>35503.412952302846</v>
      </c>
      <c r="DO182" s="202">
        <f t="shared" si="99"/>
        <v>-35503.412952302846</v>
      </c>
      <c r="DP182" s="202">
        <f t="shared" si="100"/>
        <v>-35503.412952302846</v>
      </c>
      <c r="DQ182" s="202">
        <f t="shared" si="101"/>
        <v>-35503.412952302846</v>
      </c>
      <c r="DR182" s="9">
        <f t="shared" si="102"/>
        <v>-35503.412952302846</v>
      </c>
      <c r="DS182" s="9">
        <f t="shared" si="173"/>
        <v>-35503.412952302846</v>
      </c>
      <c r="DT182" s="9">
        <f t="shared" si="103"/>
        <v>-35503.412952302846</v>
      </c>
      <c r="DU182" s="202">
        <f t="shared" si="104"/>
        <v>-35503.412952302846</v>
      </c>
      <c r="DV182" s="202">
        <f t="shared" si="105"/>
        <v>-35503.412952302846</v>
      </c>
      <c r="DW182" s="202">
        <f t="shared" si="106"/>
        <v>-35503.412952302846</v>
      </c>
      <c r="DX182" s="203" t="e">
        <f t="shared" si="107"/>
        <v>#DIV/0!</v>
      </c>
      <c r="DY182" s="203" t="e">
        <f t="shared" si="108"/>
        <v>#DIV/0!</v>
      </c>
      <c r="DZ182" s="203" t="e">
        <f t="shared" si="109"/>
        <v>#DIV/0!</v>
      </c>
      <c r="EA182" s="19" t="e">
        <f t="shared" si="110"/>
        <v>#DIV/0!</v>
      </c>
      <c r="EB182" s="19" t="e">
        <f t="shared" si="174"/>
        <v>#DIV/0!</v>
      </c>
      <c r="EC182" s="19" t="e">
        <f t="shared" si="111"/>
        <v>#DIV/0!</v>
      </c>
      <c r="ED182" s="203" t="e">
        <f t="shared" si="112"/>
        <v>#DIV/0!</v>
      </c>
      <c r="EE182" s="203" t="e">
        <f t="shared" si="113"/>
        <v>#DIV/0!</v>
      </c>
      <c r="EF182" s="203" t="e">
        <f t="shared" si="114"/>
        <v>#DIV/0!</v>
      </c>
      <c r="EH182" s="58">
        <f t="shared" si="127"/>
        <v>32730.38287278451</v>
      </c>
      <c r="EI182" s="68" t="e">
        <f t="shared" si="128"/>
        <v>#DIV/0!</v>
      </c>
      <c r="EJ182" s="58">
        <f t="shared" si="129"/>
        <v>25476.38287278451</v>
      </c>
      <c r="EK182" s="68" t="e">
        <f t="shared" si="128"/>
        <v>#DIV/0!</v>
      </c>
      <c r="EL182" s="58">
        <f t="shared" si="130"/>
        <v>3511.0810139959467</v>
      </c>
      <c r="EM182" s="58">
        <f t="shared" si="131"/>
        <v>3511.0810139959467</v>
      </c>
      <c r="EN182" s="68" t="e">
        <f t="shared" si="132"/>
        <v>#DIV/0!</v>
      </c>
      <c r="EO182" s="139">
        <f t="shared" si="147"/>
        <v>0.25197746931178833</v>
      </c>
      <c r="EP182">
        <f>+(SUM(M182:O182)*EO182*(1-'[1]Tier 3 Data'!$A$2))</f>
        <v>0</v>
      </c>
    </row>
    <row r="183" spans="1:146" x14ac:dyDescent="0.2">
      <c r="A183" s="43">
        <v>0</v>
      </c>
      <c r="B183" s="43">
        <v>0</v>
      </c>
      <c r="C183" s="43">
        <v>0</v>
      </c>
      <c r="D183" s="70">
        <v>2022</v>
      </c>
      <c r="E183" s="70">
        <v>8</v>
      </c>
      <c r="F183" s="2">
        <v>744</v>
      </c>
      <c r="G183" s="63"/>
      <c r="H183" s="63"/>
      <c r="I183" s="63"/>
      <c r="J183" s="133">
        <f t="shared" si="124"/>
        <v>0</v>
      </c>
      <c r="K183" s="65">
        <v>0</v>
      </c>
      <c r="L183" s="133">
        <f t="shared" si="125"/>
        <v>0</v>
      </c>
      <c r="M183" s="63"/>
      <c r="N183" s="63"/>
      <c r="O183" s="63"/>
      <c r="P183" s="200">
        <f t="shared" si="115"/>
        <v>0</v>
      </c>
      <c r="Q183" s="200">
        <f t="shared" si="116"/>
        <v>0</v>
      </c>
      <c r="R183" s="200">
        <f t="shared" si="117"/>
        <v>0</v>
      </c>
      <c r="S183" s="133">
        <f t="shared" si="149"/>
        <v>0</v>
      </c>
      <c r="T183" s="133">
        <f t="shared" si="150"/>
        <v>0</v>
      </c>
      <c r="U183" s="133">
        <f t="shared" si="151"/>
        <v>0</v>
      </c>
      <c r="V183" s="200">
        <f t="shared" si="121"/>
        <v>0</v>
      </c>
      <c r="W183" s="200">
        <f t="shared" si="122"/>
        <v>0</v>
      </c>
      <c r="X183" s="200">
        <f t="shared" si="123"/>
        <v>0</v>
      </c>
      <c r="Y183" s="63"/>
      <c r="Z183" s="63"/>
      <c r="AA183" s="63"/>
      <c r="AB183" s="200">
        <f t="shared" si="137"/>
        <v>0</v>
      </c>
      <c r="AC183" s="200">
        <f t="shared" si="138"/>
        <v>0</v>
      </c>
      <c r="AD183" s="200">
        <f t="shared" si="139"/>
        <v>0</v>
      </c>
      <c r="AE183" s="199">
        <f t="shared" si="175"/>
        <v>0</v>
      </c>
      <c r="AF183" s="199">
        <f t="shared" si="141"/>
        <v>0</v>
      </c>
      <c r="AG183" s="199">
        <f t="shared" si="176"/>
        <v>0</v>
      </c>
      <c r="AH183" s="199"/>
      <c r="AI183" s="200">
        <f t="shared" si="143"/>
        <v>0</v>
      </c>
      <c r="AJ183" s="200">
        <f t="shared" si="144"/>
        <v>0</v>
      </c>
      <c r="AK183" s="200">
        <f t="shared" si="145"/>
        <v>0</v>
      </c>
      <c r="AL183" s="4"/>
      <c r="AM183" s="4"/>
      <c r="AN183" s="4"/>
      <c r="AO183" s="4"/>
      <c r="AP183" s="65">
        <v>2976</v>
      </c>
      <c r="AQ183" s="18"/>
      <c r="AR183" s="10">
        <v>9920</v>
      </c>
      <c r="AS183" s="18"/>
      <c r="AT183" s="62"/>
      <c r="AU183" s="65">
        <v>75.581999999999994</v>
      </c>
      <c r="AV183" s="65">
        <v>3871.0160000000001</v>
      </c>
      <c r="AW183" s="65">
        <v>1.60704</v>
      </c>
      <c r="AX183" s="65">
        <v>3.7436400000000001</v>
      </c>
      <c r="AY183" s="65">
        <v>1159.3158527085716</v>
      </c>
      <c r="AZ183" s="63"/>
      <c r="BA183" s="65">
        <v>1498.2090000000001</v>
      </c>
      <c r="BB183" s="5"/>
      <c r="BC183" s="65">
        <v>569.06141954142743</v>
      </c>
      <c r="BD183" s="65">
        <v>7.9692213995478474</v>
      </c>
      <c r="BE183" s="65">
        <v>0</v>
      </c>
      <c r="BF183" s="65">
        <v>158.69842331487976</v>
      </c>
      <c r="BG183" s="65">
        <v>0</v>
      </c>
      <c r="BH183" s="65">
        <v>31.573516594512498</v>
      </c>
      <c r="BI183" s="65">
        <v>816.27657796250821</v>
      </c>
      <c r="BJ183" s="65">
        <v>0</v>
      </c>
      <c r="BK183" s="65">
        <v>0.56556256802867144</v>
      </c>
      <c r="BL183" s="65">
        <v>0</v>
      </c>
      <c r="BM183" s="65">
        <v>0</v>
      </c>
      <c r="BN183" s="65">
        <v>23.779745550260685</v>
      </c>
      <c r="BO183" s="65">
        <v>189.16715592</v>
      </c>
      <c r="BP183" s="10">
        <v>1984</v>
      </c>
      <c r="BQ183" s="65">
        <v>165.36445859333361</v>
      </c>
      <c r="BR183" s="65">
        <v>216.05405773935578</v>
      </c>
      <c r="BS183" s="65">
        <v>781.78329686586846</v>
      </c>
      <c r="BT183" s="65">
        <v>268.14621274922467</v>
      </c>
      <c r="BU183" s="65">
        <v>289.17371524354502</v>
      </c>
      <c r="BV183" s="144">
        <f t="shared" si="134"/>
        <v>0</v>
      </c>
      <c r="BW183" s="144">
        <f t="shared" si="135"/>
        <v>0</v>
      </c>
      <c r="BX183" s="144">
        <f t="shared" si="136"/>
        <v>0</v>
      </c>
      <c r="BY183" s="5"/>
      <c r="BZ183" s="66">
        <v>7254</v>
      </c>
      <c r="CA183" s="65">
        <v>1066.3999999999999</v>
      </c>
      <c r="CB183" s="5"/>
      <c r="CC183" s="5"/>
      <c r="CD183" s="188">
        <v>16.868963591035975</v>
      </c>
      <c r="CE183" s="5"/>
      <c r="CF183" s="65">
        <v>156</v>
      </c>
      <c r="CG183" s="70"/>
      <c r="CH183" s="70"/>
      <c r="CI183" s="70"/>
      <c r="CJ183" s="65">
        <v>1751.51</v>
      </c>
      <c r="CK183" s="8">
        <f t="shared" si="172"/>
        <v>33500.355860342097</v>
      </c>
      <c r="CL183" s="202">
        <f t="shared" si="152"/>
        <v>-33500.355860342097</v>
      </c>
      <c r="CM183" s="202">
        <f t="shared" si="153"/>
        <v>-33500.355860342097</v>
      </c>
      <c r="CN183" s="202">
        <f t="shared" si="154"/>
        <v>-33500.355860342097</v>
      </c>
      <c r="CO183" s="9">
        <f t="shared" si="155"/>
        <v>-33500.355860342097</v>
      </c>
      <c r="CP183" s="9">
        <f t="shared" si="156"/>
        <v>-33500.355860342097</v>
      </c>
      <c r="CQ183" s="9">
        <f t="shared" si="157"/>
        <v>-33500.355860342097</v>
      </c>
      <c r="CR183" s="202">
        <f t="shared" si="158"/>
        <v>-33500.355860342097</v>
      </c>
      <c r="CS183" s="202">
        <f t="shared" si="159"/>
        <v>-33500.355860342097</v>
      </c>
      <c r="CT183" s="202">
        <f t="shared" si="160"/>
        <v>-33500.355860342097</v>
      </c>
      <c r="CU183" s="203" t="e">
        <f t="shared" si="161"/>
        <v>#DIV/0!</v>
      </c>
      <c r="CV183" s="203" t="e">
        <f t="shared" si="162"/>
        <v>#DIV/0!</v>
      </c>
      <c r="CW183" s="203" t="e">
        <f t="shared" si="163"/>
        <v>#DIV/0!</v>
      </c>
      <c r="CX183" s="19" t="e">
        <f t="shared" si="164"/>
        <v>#DIV/0!</v>
      </c>
      <c r="CY183" s="19" t="e">
        <f t="shared" si="165"/>
        <v>#DIV/0!</v>
      </c>
      <c r="CZ183" s="19" t="e">
        <f t="shared" si="166"/>
        <v>#DIV/0!</v>
      </c>
      <c r="DA183" s="203" t="e">
        <f t="shared" si="167"/>
        <v>#DIV/0!</v>
      </c>
      <c r="DB183" s="203" t="e">
        <f t="shared" si="168"/>
        <v>#DIV/0!</v>
      </c>
      <c r="DC183" s="203" t="e">
        <f t="shared" si="169"/>
        <v>#DIV/0!</v>
      </c>
      <c r="DD183" s="65"/>
      <c r="DE183" s="66"/>
      <c r="DF183" s="66"/>
      <c r="DG183" s="66"/>
      <c r="DH183" s="66"/>
      <c r="DI183" s="66"/>
      <c r="DJ183" s="65"/>
      <c r="DK183" s="66"/>
      <c r="DL183" s="66"/>
      <c r="DM183" s="8">
        <f t="shared" si="170"/>
        <v>0</v>
      </c>
      <c r="DN183" s="8">
        <f t="shared" si="171"/>
        <v>33500.355860342097</v>
      </c>
      <c r="DO183" s="202">
        <f t="shared" si="99"/>
        <v>-33500.355860342097</v>
      </c>
      <c r="DP183" s="202">
        <f t="shared" si="100"/>
        <v>-33500.355860342097</v>
      </c>
      <c r="DQ183" s="202">
        <f t="shared" si="101"/>
        <v>-33500.355860342097</v>
      </c>
      <c r="DR183" s="9">
        <f t="shared" si="102"/>
        <v>-33500.355860342097</v>
      </c>
      <c r="DS183" s="9">
        <f t="shared" si="173"/>
        <v>-33500.355860342097</v>
      </c>
      <c r="DT183" s="9">
        <f t="shared" si="103"/>
        <v>-33500.355860342097</v>
      </c>
      <c r="DU183" s="202">
        <f t="shared" si="104"/>
        <v>-33500.355860342097</v>
      </c>
      <c r="DV183" s="202">
        <f t="shared" si="105"/>
        <v>-33500.355860342097</v>
      </c>
      <c r="DW183" s="202">
        <f t="shared" si="106"/>
        <v>-33500.355860342097</v>
      </c>
      <c r="DX183" s="203" t="e">
        <f t="shared" si="107"/>
        <v>#DIV/0!</v>
      </c>
      <c r="DY183" s="203" t="e">
        <f t="shared" si="108"/>
        <v>#DIV/0!</v>
      </c>
      <c r="DZ183" s="203" t="e">
        <f t="shared" si="109"/>
        <v>#DIV/0!</v>
      </c>
      <c r="EA183" s="19" t="e">
        <f t="shared" si="110"/>
        <v>#DIV/0!</v>
      </c>
      <c r="EB183" s="19" t="e">
        <f t="shared" si="174"/>
        <v>#DIV/0!</v>
      </c>
      <c r="EC183" s="19" t="e">
        <f t="shared" si="111"/>
        <v>#DIV/0!</v>
      </c>
      <c r="ED183" s="203" t="e">
        <f t="shared" si="112"/>
        <v>#DIV/0!</v>
      </c>
      <c r="EE183" s="203" t="e">
        <f t="shared" si="113"/>
        <v>#DIV/0!</v>
      </c>
      <c r="EF183" s="203" t="e">
        <f t="shared" si="114"/>
        <v>#DIV/0!</v>
      </c>
      <c r="EH183" s="58">
        <f t="shared" si="127"/>
        <v>32253.037793436186</v>
      </c>
      <c r="EI183" s="68" t="e">
        <f t="shared" si="128"/>
        <v>#DIV/0!</v>
      </c>
      <c r="EJ183" s="58">
        <f t="shared" si="129"/>
        <v>24999.037793436186</v>
      </c>
      <c r="EK183" s="68" t="e">
        <f t="shared" si="128"/>
        <v>#DIV/0!</v>
      </c>
      <c r="EL183" s="58">
        <f t="shared" si="130"/>
        <v>3358.9149407276127</v>
      </c>
      <c r="EM183" s="58">
        <f t="shared" si="131"/>
        <v>3358.9149407276127</v>
      </c>
      <c r="EN183" s="68" t="e">
        <f t="shared" si="132"/>
        <v>#DIV/0!</v>
      </c>
      <c r="EO183" s="139">
        <f t="shared" si="147"/>
        <v>0.28519905910129462</v>
      </c>
      <c r="EP183">
        <f>+(SUM(M183:O183)*EO183*(1-'[1]Tier 3 Data'!$A$2))</f>
        <v>0</v>
      </c>
    </row>
    <row r="184" spans="1:146" x14ac:dyDescent="0.2">
      <c r="A184" s="43">
        <v>0</v>
      </c>
      <c r="B184" s="43">
        <v>0</v>
      </c>
      <c r="C184" s="43">
        <v>0</v>
      </c>
      <c r="D184" s="70">
        <v>2022</v>
      </c>
      <c r="E184" s="70">
        <v>9</v>
      </c>
      <c r="F184" s="2">
        <v>720</v>
      </c>
      <c r="G184" s="63"/>
      <c r="H184" s="63"/>
      <c r="I184" s="63"/>
      <c r="J184" s="133">
        <f t="shared" si="124"/>
        <v>0</v>
      </c>
      <c r="K184" s="65">
        <v>0</v>
      </c>
      <c r="L184" s="133">
        <f t="shared" si="125"/>
        <v>0</v>
      </c>
      <c r="M184" s="63"/>
      <c r="N184" s="63"/>
      <c r="O184" s="63"/>
      <c r="P184" s="200">
        <f t="shared" si="115"/>
        <v>0</v>
      </c>
      <c r="Q184" s="200">
        <f t="shared" si="116"/>
        <v>0</v>
      </c>
      <c r="R184" s="200">
        <f t="shared" si="117"/>
        <v>0</v>
      </c>
      <c r="S184" s="133">
        <f t="shared" si="149"/>
        <v>0</v>
      </c>
      <c r="T184" s="133">
        <f t="shared" si="150"/>
        <v>0</v>
      </c>
      <c r="U184" s="133">
        <f t="shared" si="151"/>
        <v>0</v>
      </c>
      <c r="V184" s="200">
        <f t="shared" si="121"/>
        <v>0</v>
      </c>
      <c r="W184" s="200">
        <f t="shared" si="122"/>
        <v>0</v>
      </c>
      <c r="X184" s="200">
        <f t="shared" si="123"/>
        <v>0</v>
      </c>
      <c r="Y184" s="63"/>
      <c r="Z184" s="63"/>
      <c r="AA184" s="63"/>
      <c r="AB184" s="200">
        <f t="shared" si="137"/>
        <v>0</v>
      </c>
      <c r="AC184" s="200">
        <f t="shared" si="138"/>
        <v>0</v>
      </c>
      <c r="AD184" s="200">
        <f t="shared" si="139"/>
        <v>0</v>
      </c>
      <c r="AE184" s="199">
        <f t="shared" si="175"/>
        <v>0</v>
      </c>
      <c r="AF184" s="199">
        <f t="shared" si="141"/>
        <v>0</v>
      </c>
      <c r="AG184" s="199">
        <f t="shared" si="176"/>
        <v>0</v>
      </c>
      <c r="AH184" s="199"/>
      <c r="AI184" s="200">
        <f t="shared" si="143"/>
        <v>0</v>
      </c>
      <c r="AJ184" s="200">
        <f t="shared" si="144"/>
        <v>0</v>
      </c>
      <c r="AK184" s="200">
        <f t="shared" si="145"/>
        <v>0</v>
      </c>
      <c r="AL184" s="4"/>
      <c r="AM184" s="4"/>
      <c r="AN184" s="4"/>
      <c r="AO184" s="4"/>
      <c r="AP184" s="65">
        <v>2880</v>
      </c>
      <c r="AQ184" s="18"/>
      <c r="AR184" s="10">
        <v>9600</v>
      </c>
      <c r="AS184" s="18"/>
      <c r="AT184" s="62"/>
      <c r="AU184" s="65">
        <v>69.03</v>
      </c>
      <c r="AV184" s="65">
        <v>3636.8530000000001</v>
      </c>
      <c r="AW184" s="65">
        <v>1.5014799999999999</v>
      </c>
      <c r="AX184" s="65">
        <v>2.4584000000000001</v>
      </c>
      <c r="AY184" s="65">
        <v>1065.150988617143</v>
      </c>
      <c r="AZ184" s="63"/>
      <c r="BA184" s="65">
        <v>2037.9549999999999</v>
      </c>
      <c r="BB184" s="5"/>
      <c r="BC184" s="65">
        <v>529.48077460711397</v>
      </c>
      <c r="BD184" s="65">
        <v>10.55810604601432</v>
      </c>
      <c r="BE184" s="65">
        <v>0</v>
      </c>
      <c r="BF184" s="65">
        <v>164.12369835717462</v>
      </c>
      <c r="BG184" s="65">
        <v>0</v>
      </c>
      <c r="BH184" s="65">
        <v>6.3147033189024988</v>
      </c>
      <c r="BI184" s="65">
        <v>759.50106605631231</v>
      </c>
      <c r="BJ184" s="65">
        <v>0</v>
      </c>
      <c r="BK184" s="65">
        <v>0.67727501310100136</v>
      </c>
      <c r="BL184" s="65">
        <v>0</v>
      </c>
      <c r="BM184" s="65">
        <v>0</v>
      </c>
      <c r="BN184" s="65">
        <v>4.7559491100521365</v>
      </c>
      <c r="BO184" s="65">
        <v>183.06498960000002</v>
      </c>
      <c r="BP184" s="10">
        <v>1920</v>
      </c>
      <c r="BQ184" s="65">
        <v>132.03021239943962</v>
      </c>
      <c r="BR184" s="65">
        <v>172.50182479445672</v>
      </c>
      <c r="BS184" s="65">
        <v>624.19121893625231</v>
      </c>
      <c r="BT184" s="65">
        <v>230.95579412099497</v>
      </c>
      <c r="BU184" s="65">
        <v>237.43459135696506</v>
      </c>
      <c r="BV184" s="144">
        <f t="shared" si="134"/>
        <v>0</v>
      </c>
      <c r="BW184" s="144">
        <f t="shared" si="135"/>
        <v>0</v>
      </c>
      <c r="BX184" s="144">
        <f t="shared" si="136"/>
        <v>0</v>
      </c>
      <c r="BY184" s="5"/>
      <c r="BZ184" s="66">
        <v>7020</v>
      </c>
      <c r="CA184" s="65">
        <v>336</v>
      </c>
      <c r="CB184" s="5"/>
      <c r="CC184" s="5"/>
      <c r="CD184" s="188">
        <v>2.2241810746462862</v>
      </c>
      <c r="CE184" s="5"/>
      <c r="CF184" s="65">
        <v>739</v>
      </c>
      <c r="CG184" s="70"/>
      <c r="CH184" s="70"/>
      <c r="CI184" s="70"/>
      <c r="CJ184" s="65">
        <v>2649.8339999999998</v>
      </c>
      <c r="CK184" s="8">
        <f t="shared" si="172"/>
        <v>32365.763253408571</v>
      </c>
      <c r="CL184" s="202">
        <f t="shared" si="152"/>
        <v>-32365.763253408571</v>
      </c>
      <c r="CM184" s="202">
        <f t="shared" si="153"/>
        <v>-32365.763253408571</v>
      </c>
      <c r="CN184" s="202">
        <f t="shared" si="154"/>
        <v>-32365.763253408571</v>
      </c>
      <c r="CO184" s="9">
        <f t="shared" si="155"/>
        <v>-32365.763253408571</v>
      </c>
      <c r="CP184" s="9">
        <f t="shared" si="156"/>
        <v>-32365.763253408571</v>
      </c>
      <c r="CQ184" s="9">
        <f t="shared" si="157"/>
        <v>-32365.763253408571</v>
      </c>
      <c r="CR184" s="202">
        <f t="shared" si="158"/>
        <v>-32365.763253408571</v>
      </c>
      <c r="CS184" s="202">
        <f t="shared" si="159"/>
        <v>-32365.763253408571</v>
      </c>
      <c r="CT184" s="202">
        <f t="shared" si="160"/>
        <v>-32365.763253408571</v>
      </c>
      <c r="CU184" s="203" t="e">
        <f t="shared" si="161"/>
        <v>#DIV/0!</v>
      </c>
      <c r="CV184" s="203" t="e">
        <f t="shared" si="162"/>
        <v>#DIV/0!</v>
      </c>
      <c r="CW184" s="203" t="e">
        <f t="shared" si="163"/>
        <v>#DIV/0!</v>
      </c>
      <c r="CX184" s="19" t="e">
        <f t="shared" si="164"/>
        <v>#DIV/0!</v>
      </c>
      <c r="CY184" s="19" t="e">
        <f t="shared" si="165"/>
        <v>#DIV/0!</v>
      </c>
      <c r="CZ184" s="19" t="e">
        <f t="shared" si="166"/>
        <v>#DIV/0!</v>
      </c>
      <c r="DA184" s="203" t="e">
        <f t="shared" si="167"/>
        <v>#DIV/0!</v>
      </c>
      <c r="DB184" s="203" t="e">
        <f t="shared" si="168"/>
        <v>#DIV/0!</v>
      </c>
      <c r="DC184" s="203" t="e">
        <f t="shared" si="169"/>
        <v>#DIV/0!</v>
      </c>
      <c r="DD184" s="65"/>
      <c r="DE184" s="66"/>
      <c r="DF184" s="66"/>
      <c r="DG184" s="66"/>
      <c r="DH184" s="66"/>
      <c r="DI184" s="66"/>
      <c r="DJ184" s="65"/>
      <c r="DK184" s="66"/>
      <c r="DL184" s="66"/>
      <c r="DM184" s="8">
        <f t="shared" si="170"/>
        <v>0</v>
      </c>
      <c r="DN184" s="8">
        <f t="shared" si="171"/>
        <v>32365.763253408571</v>
      </c>
      <c r="DO184" s="202">
        <f t="shared" ref="DO184:DO247" si="177">+AB184-$DN184</f>
        <v>-32365.763253408571</v>
      </c>
      <c r="DP184" s="202">
        <f t="shared" ref="DP184:DP247" si="178">+AC184-$DN184</f>
        <v>-32365.763253408571</v>
      </c>
      <c r="DQ184" s="202">
        <f t="shared" ref="DQ184:DQ247" si="179">+AD184-$DN184</f>
        <v>-32365.763253408571</v>
      </c>
      <c r="DR184" s="9">
        <f t="shared" ref="DR184:DR247" si="180">+AE184-$DN184</f>
        <v>-32365.763253408571</v>
      </c>
      <c r="DS184" s="9">
        <f t="shared" si="173"/>
        <v>-32365.763253408571</v>
      </c>
      <c r="DT184" s="9">
        <f t="shared" ref="DT184:DT247" si="181">+AG184-$DN184</f>
        <v>-32365.763253408571</v>
      </c>
      <c r="DU184" s="202">
        <f t="shared" ref="DU184:DU247" si="182">+AI184-$DN184</f>
        <v>-32365.763253408571</v>
      </c>
      <c r="DV184" s="202">
        <f t="shared" ref="DV184:DV247" si="183">+AJ184-$DN184</f>
        <v>-32365.763253408571</v>
      </c>
      <c r="DW184" s="202">
        <f t="shared" ref="DW184:DW247" si="184">+AK184-$DN184</f>
        <v>-32365.763253408571</v>
      </c>
      <c r="DX184" s="203" t="e">
        <f t="shared" ref="DX184:DX247" si="185">+DO184/AB184</f>
        <v>#DIV/0!</v>
      </c>
      <c r="DY184" s="203" t="e">
        <f t="shared" ref="DY184:DY247" si="186">+DP184/AC184</f>
        <v>#DIV/0!</v>
      </c>
      <c r="DZ184" s="203" t="e">
        <f t="shared" ref="DZ184:DZ247" si="187">+DQ184/AD184</f>
        <v>#DIV/0!</v>
      </c>
      <c r="EA184" s="19" t="e">
        <f t="shared" ref="EA184:EA247" si="188">+DR184/AE184</f>
        <v>#DIV/0!</v>
      </c>
      <c r="EB184" s="19" t="e">
        <f t="shared" si="174"/>
        <v>#DIV/0!</v>
      </c>
      <c r="EC184" s="19" t="e">
        <f t="shared" ref="EC184:EC247" si="189">+DT184/AG184</f>
        <v>#DIV/0!</v>
      </c>
      <c r="ED184" s="203" t="e">
        <f t="shared" ref="ED184:ED247" si="190">+DU184/AI184</f>
        <v>#DIV/0!</v>
      </c>
      <c r="EE184" s="203" t="e">
        <f t="shared" ref="EE184:EE247" si="191">+DV184/AJ184</f>
        <v>#DIV/0!</v>
      </c>
      <c r="EF184" s="203" t="e">
        <f t="shared" ref="EF184:EF247" si="192">+DW184/AK184</f>
        <v>#DIV/0!</v>
      </c>
      <c r="EH184" s="58">
        <f t="shared" si="127"/>
        <v>31859.455493976748</v>
      </c>
      <c r="EI184" s="68" t="e">
        <f t="shared" si="128"/>
        <v>#DIV/0!</v>
      </c>
      <c r="EJ184" s="58">
        <f t="shared" si="129"/>
        <v>24839.455493976748</v>
      </c>
      <c r="EK184" s="68" t="e">
        <f t="shared" si="128"/>
        <v>#DIV/0!</v>
      </c>
      <c r="EL184" s="58">
        <f t="shared" si="130"/>
        <v>2891.4665053596054</v>
      </c>
      <c r="EM184" s="58">
        <f t="shared" si="131"/>
        <v>2891.4665053596054</v>
      </c>
      <c r="EN184" s="68" t="e">
        <f t="shared" si="132"/>
        <v>#DIV/0!</v>
      </c>
      <c r="EO184" s="139">
        <f t="shared" si="147"/>
        <v>0.31860645638858931</v>
      </c>
      <c r="EP184">
        <f>+(SUM(M184:O184)*EO184*(1-'[1]Tier 3 Data'!$A$2))</f>
        <v>0</v>
      </c>
    </row>
    <row r="185" spans="1:146" x14ac:dyDescent="0.2">
      <c r="A185" s="43">
        <v>0</v>
      </c>
      <c r="B185" s="43">
        <v>0</v>
      </c>
      <c r="C185" s="43">
        <v>0</v>
      </c>
      <c r="D185" s="70">
        <v>2022</v>
      </c>
      <c r="E185" s="70">
        <v>10</v>
      </c>
      <c r="F185" s="2">
        <v>744</v>
      </c>
      <c r="G185" s="63"/>
      <c r="H185" s="63"/>
      <c r="I185" s="63"/>
      <c r="J185" s="133">
        <f t="shared" si="124"/>
        <v>0</v>
      </c>
      <c r="K185" s="65">
        <v>0</v>
      </c>
      <c r="L185" s="133">
        <f t="shared" si="125"/>
        <v>0</v>
      </c>
      <c r="M185" s="63"/>
      <c r="N185" s="63"/>
      <c r="O185" s="63"/>
      <c r="P185" s="200">
        <f t="shared" si="115"/>
        <v>0</v>
      </c>
      <c r="Q185" s="200">
        <f t="shared" si="116"/>
        <v>0</v>
      </c>
      <c r="R185" s="200">
        <f t="shared" si="117"/>
        <v>0</v>
      </c>
      <c r="S185" s="133">
        <f t="shared" si="149"/>
        <v>0</v>
      </c>
      <c r="T185" s="133">
        <f t="shared" si="150"/>
        <v>0</v>
      </c>
      <c r="U185" s="133">
        <f t="shared" si="151"/>
        <v>0</v>
      </c>
      <c r="V185" s="200">
        <f t="shared" si="121"/>
        <v>0</v>
      </c>
      <c r="W185" s="200">
        <f t="shared" si="122"/>
        <v>0</v>
      </c>
      <c r="X185" s="200">
        <f t="shared" si="123"/>
        <v>0</v>
      </c>
      <c r="Y185" s="63"/>
      <c r="Z185" s="63"/>
      <c r="AA185" s="63"/>
      <c r="AB185" s="200">
        <f t="shared" si="137"/>
        <v>0</v>
      </c>
      <c r="AC185" s="200">
        <f t="shared" si="138"/>
        <v>0</v>
      </c>
      <c r="AD185" s="200">
        <f t="shared" si="139"/>
        <v>0</v>
      </c>
      <c r="AE185" s="199">
        <f t="shared" si="175"/>
        <v>0</v>
      </c>
      <c r="AF185" s="199">
        <f t="shared" si="141"/>
        <v>0</v>
      </c>
      <c r="AG185" s="199">
        <f t="shared" si="176"/>
        <v>0</v>
      </c>
      <c r="AH185" s="199"/>
      <c r="AI185" s="200">
        <f t="shared" si="143"/>
        <v>0</v>
      </c>
      <c r="AJ185" s="200">
        <f t="shared" si="144"/>
        <v>0</v>
      </c>
      <c r="AK185" s="200">
        <f t="shared" si="145"/>
        <v>0</v>
      </c>
      <c r="AL185" s="4"/>
      <c r="AM185" s="4"/>
      <c r="AN185" s="4"/>
      <c r="AO185" s="4"/>
      <c r="AP185" s="65">
        <v>3720</v>
      </c>
      <c r="AQ185" s="18"/>
      <c r="AR185" s="10">
        <v>9920</v>
      </c>
      <c r="AS185" s="18"/>
      <c r="AT185" s="62"/>
      <c r="AU185" s="65">
        <v>81.081000000000003</v>
      </c>
      <c r="AV185" s="65">
        <v>3825.8470000000002</v>
      </c>
      <c r="AW185" s="65">
        <v>2.6086666666666667</v>
      </c>
      <c r="AX185" s="65">
        <v>7.1165600000000007</v>
      </c>
      <c r="AY185" s="65">
        <v>1031.6699594133333</v>
      </c>
      <c r="AZ185" s="63"/>
      <c r="BA185" s="65">
        <v>1760</v>
      </c>
      <c r="BB185" s="5"/>
      <c r="BC185" s="65">
        <v>387.84712854806463</v>
      </c>
      <c r="BD185" s="65">
        <v>15.523669194184084</v>
      </c>
      <c r="BE185" s="65">
        <v>0</v>
      </c>
      <c r="BF185" s="65">
        <v>180.28804750208775</v>
      </c>
      <c r="BG185" s="65">
        <v>0</v>
      </c>
      <c r="BH185" s="65">
        <v>44.202923232317495</v>
      </c>
      <c r="BI185" s="65">
        <v>598.95403255861902</v>
      </c>
      <c r="BJ185" s="65">
        <v>0</v>
      </c>
      <c r="BK185" s="65">
        <v>0.84004112004258624</v>
      </c>
      <c r="BL185" s="65">
        <v>0</v>
      </c>
      <c r="BM185" s="65">
        <v>0</v>
      </c>
      <c r="BN185" s="65">
        <v>33.291643770364956</v>
      </c>
      <c r="BO185" s="65">
        <v>189.16715592</v>
      </c>
      <c r="BP185" s="10">
        <v>1984</v>
      </c>
      <c r="BQ185" s="65">
        <v>104.17198033519412</v>
      </c>
      <c r="BR185" s="65">
        <v>136.10409137318914</v>
      </c>
      <c r="BS185" s="65">
        <v>492.48741914281169</v>
      </c>
      <c r="BT185" s="65">
        <v>162.56789049918478</v>
      </c>
      <c r="BU185" s="65">
        <v>162.09194619008503</v>
      </c>
      <c r="BV185" s="144">
        <f t="shared" si="134"/>
        <v>0</v>
      </c>
      <c r="BW185" s="144">
        <f t="shared" si="135"/>
        <v>0</v>
      </c>
      <c r="BX185" s="144">
        <f t="shared" si="136"/>
        <v>0</v>
      </c>
      <c r="BY185" s="5"/>
      <c r="BZ185" s="66">
        <v>7254</v>
      </c>
      <c r="CA185" s="65">
        <v>0</v>
      </c>
      <c r="CB185" s="5"/>
      <c r="CC185" s="5"/>
      <c r="CD185" s="188">
        <v>0</v>
      </c>
      <c r="CE185" s="5"/>
      <c r="CF185" s="65">
        <v>1288</v>
      </c>
      <c r="CG185" s="70"/>
      <c r="CH185" s="70"/>
      <c r="CI185" s="70"/>
      <c r="CJ185" s="65">
        <v>3173.02</v>
      </c>
      <c r="CK185" s="8">
        <f t="shared" si="172"/>
        <v>33381.861155466147</v>
      </c>
      <c r="CL185" s="202">
        <f t="shared" si="152"/>
        <v>-33381.861155466147</v>
      </c>
      <c r="CM185" s="202">
        <f t="shared" si="153"/>
        <v>-33381.861155466147</v>
      </c>
      <c r="CN185" s="202">
        <f t="shared" si="154"/>
        <v>-33381.861155466147</v>
      </c>
      <c r="CO185" s="9">
        <f t="shared" si="155"/>
        <v>-33381.861155466147</v>
      </c>
      <c r="CP185" s="9">
        <f t="shared" si="156"/>
        <v>-33381.861155466147</v>
      </c>
      <c r="CQ185" s="9">
        <f t="shared" si="157"/>
        <v>-33381.861155466147</v>
      </c>
      <c r="CR185" s="202">
        <f t="shared" si="158"/>
        <v>-33381.861155466147</v>
      </c>
      <c r="CS185" s="202">
        <f t="shared" si="159"/>
        <v>-33381.861155466147</v>
      </c>
      <c r="CT185" s="202">
        <f t="shared" si="160"/>
        <v>-33381.861155466147</v>
      </c>
      <c r="CU185" s="203" t="e">
        <f t="shared" si="161"/>
        <v>#DIV/0!</v>
      </c>
      <c r="CV185" s="203" t="e">
        <f t="shared" si="162"/>
        <v>#DIV/0!</v>
      </c>
      <c r="CW185" s="203" t="e">
        <f t="shared" si="163"/>
        <v>#DIV/0!</v>
      </c>
      <c r="CX185" s="19" t="e">
        <f t="shared" si="164"/>
        <v>#DIV/0!</v>
      </c>
      <c r="CY185" s="19" t="e">
        <f t="shared" si="165"/>
        <v>#DIV/0!</v>
      </c>
      <c r="CZ185" s="19" t="e">
        <f t="shared" si="166"/>
        <v>#DIV/0!</v>
      </c>
      <c r="DA185" s="203" t="e">
        <f t="shared" si="167"/>
        <v>#DIV/0!</v>
      </c>
      <c r="DB185" s="203" t="e">
        <f t="shared" si="168"/>
        <v>#DIV/0!</v>
      </c>
      <c r="DC185" s="203" t="e">
        <f t="shared" si="169"/>
        <v>#DIV/0!</v>
      </c>
      <c r="DD185" s="65"/>
      <c r="DE185" s="66"/>
      <c r="DF185" s="66"/>
      <c r="DG185" s="66"/>
      <c r="DH185" s="66"/>
      <c r="DI185" s="66"/>
      <c r="DJ185" s="65"/>
      <c r="DK185" s="66"/>
      <c r="DL185" s="66"/>
      <c r="DM185" s="8">
        <f t="shared" si="170"/>
        <v>0</v>
      </c>
      <c r="DN185" s="8">
        <f t="shared" si="171"/>
        <v>33381.861155466147</v>
      </c>
      <c r="DO185" s="202">
        <f t="shared" si="177"/>
        <v>-33381.861155466147</v>
      </c>
      <c r="DP185" s="202">
        <f t="shared" si="178"/>
        <v>-33381.861155466147</v>
      </c>
      <c r="DQ185" s="202">
        <f t="shared" si="179"/>
        <v>-33381.861155466147</v>
      </c>
      <c r="DR185" s="9">
        <f t="shared" si="180"/>
        <v>-33381.861155466147</v>
      </c>
      <c r="DS185" s="9">
        <f t="shared" si="173"/>
        <v>-33381.861155466147</v>
      </c>
      <c r="DT185" s="9">
        <f t="shared" si="181"/>
        <v>-33381.861155466147</v>
      </c>
      <c r="DU185" s="202">
        <f t="shared" si="182"/>
        <v>-33381.861155466147</v>
      </c>
      <c r="DV185" s="202">
        <f t="shared" si="183"/>
        <v>-33381.861155466147</v>
      </c>
      <c r="DW185" s="202">
        <f t="shared" si="184"/>
        <v>-33381.861155466147</v>
      </c>
      <c r="DX185" s="203" t="e">
        <f t="shared" si="185"/>
        <v>#DIV/0!</v>
      </c>
      <c r="DY185" s="203" t="e">
        <f t="shared" si="186"/>
        <v>#DIV/0!</v>
      </c>
      <c r="DZ185" s="203" t="e">
        <f t="shared" si="187"/>
        <v>#DIV/0!</v>
      </c>
      <c r="EA185" s="19" t="e">
        <f t="shared" si="188"/>
        <v>#DIV/0!</v>
      </c>
      <c r="EB185" s="19" t="e">
        <f t="shared" si="174"/>
        <v>#DIV/0!</v>
      </c>
      <c r="EC185" s="19" t="e">
        <f t="shared" si="189"/>
        <v>#DIV/0!</v>
      </c>
      <c r="ED185" s="203" t="e">
        <f t="shared" si="190"/>
        <v>#DIV/0!</v>
      </c>
      <c r="EE185" s="203" t="e">
        <f t="shared" si="191"/>
        <v>#DIV/0!</v>
      </c>
      <c r="EF185" s="203" t="e">
        <f t="shared" si="192"/>
        <v>#DIV/0!</v>
      </c>
      <c r="EH185" s="58">
        <f t="shared" si="127"/>
        <v>33191.847881297392</v>
      </c>
      <c r="EI185" s="68" t="e">
        <f t="shared" si="128"/>
        <v>#DIV/0!</v>
      </c>
      <c r="EJ185" s="58">
        <f t="shared" si="129"/>
        <v>25937.847881297392</v>
      </c>
      <c r="EK185" s="68" t="e">
        <f t="shared" si="128"/>
        <v>#DIV/0!</v>
      </c>
      <c r="EL185" s="58">
        <f t="shared" si="130"/>
        <v>2327.2499218840571</v>
      </c>
      <c r="EM185" s="58">
        <f t="shared" si="131"/>
        <v>2327.2499218840571</v>
      </c>
      <c r="EN185" s="68" t="e">
        <f t="shared" si="132"/>
        <v>#DIV/0!</v>
      </c>
      <c r="EO185" s="139">
        <f t="shared" si="147"/>
        <v>0.35739486552628164</v>
      </c>
      <c r="EP185">
        <f>+(SUM(M185:O185)*EO185*(1-'[1]Tier 3 Data'!$A$2))</f>
        <v>0</v>
      </c>
    </row>
    <row r="186" spans="1:146" x14ac:dyDescent="0.2">
      <c r="A186" s="43">
        <v>0</v>
      </c>
      <c r="B186" s="43">
        <v>0</v>
      </c>
      <c r="C186" s="43">
        <v>0</v>
      </c>
      <c r="D186" s="70">
        <v>2022</v>
      </c>
      <c r="E186" s="70">
        <v>11</v>
      </c>
      <c r="F186" s="2">
        <v>721</v>
      </c>
      <c r="G186" s="63"/>
      <c r="H186" s="63"/>
      <c r="I186" s="63"/>
      <c r="J186" s="133">
        <f t="shared" si="124"/>
        <v>0</v>
      </c>
      <c r="K186" s="65">
        <v>0</v>
      </c>
      <c r="L186" s="133">
        <f t="shared" si="125"/>
        <v>0</v>
      </c>
      <c r="M186" s="63"/>
      <c r="N186" s="63"/>
      <c r="O186" s="63"/>
      <c r="P186" s="200">
        <f t="shared" si="115"/>
        <v>0</v>
      </c>
      <c r="Q186" s="200">
        <f t="shared" si="116"/>
        <v>0</v>
      </c>
      <c r="R186" s="200">
        <f t="shared" si="117"/>
        <v>0</v>
      </c>
      <c r="S186" s="133">
        <f t="shared" si="149"/>
        <v>0</v>
      </c>
      <c r="T186" s="133">
        <f t="shared" si="150"/>
        <v>0</v>
      </c>
      <c r="U186" s="133">
        <f t="shared" si="151"/>
        <v>0</v>
      </c>
      <c r="V186" s="200">
        <f t="shared" si="121"/>
        <v>0</v>
      </c>
      <c r="W186" s="200">
        <f t="shared" si="122"/>
        <v>0</v>
      </c>
      <c r="X186" s="200">
        <f t="shared" si="123"/>
        <v>0</v>
      </c>
      <c r="Y186" s="63"/>
      <c r="Z186" s="63"/>
      <c r="AA186" s="63"/>
      <c r="AB186" s="200">
        <f t="shared" si="137"/>
        <v>0</v>
      </c>
      <c r="AC186" s="200">
        <f t="shared" si="138"/>
        <v>0</v>
      </c>
      <c r="AD186" s="200">
        <f t="shared" si="139"/>
        <v>0</v>
      </c>
      <c r="AE186" s="199">
        <f t="shared" si="175"/>
        <v>0</v>
      </c>
      <c r="AF186" s="199">
        <f t="shared" si="141"/>
        <v>0</v>
      </c>
      <c r="AG186" s="199">
        <f t="shared" si="176"/>
        <v>0</v>
      </c>
      <c r="AH186" s="199"/>
      <c r="AI186" s="200">
        <f t="shared" si="143"/>
        <v>0</v>
      </c>
      <c r="AJ186" s="200">
        <f t="shared" si="144"/>
        <v>0</v>
      </c>
      <c r="AK186" s="200">
        <f t="shared" si="145"/>
        <v>0</v>
      </c>
      <c r="AL186" s="4"/>
      <c r="AM186" s="4"/>
      <c r="AN186" s="4"/>
      <c r="AO186" s="4"/>
      <c r="AP186" s="65">
        <v>3600</v>
      </c>
      <c r="AQ186" s="18"/>
      <c r="AR186" s="10">
        <v>9600</v>
      </c>
      <c r="AS186" s="18"/>
      <c r="AT186" s="62"/>
      <c r="AU186" s="65">
        <v>63.881999999999998</v>
      </c>
      <c r="AV186" s="65">
        <v>3781.471</v>
      </c>
      <c r="AW186" s="65">
        <v>3.3028400000000002</v>
      </c>
      <c r="AX186" s="65">
        <v>9.0560400000000012</v>
      </c>
      <c r="AY186" s="65">
        <v>1051.7654038000001</v>
      </c>
      <c r="AZ186" s="63"/>
      <c r="BA186" s="65">
        <v>2363</v>
      </c>
      <c r="BB186" s="5"/>
      <c r="BC186" s="65">
        <v>283.87477427119757</v>
      </c>
      <c r="BD186" s="65">
        <v>14.399660735694527</v>
      </c>
      <c r="BE186" s="65">
        <v>0</v>
      </c>
      <c r="BF186" s="65">
        <v>188.4392525423311</v>
      </c>
      <c r="BG186" s="65">
        <v>0</v>
      </c>
      <c r="BH186" s="65">
        <v>82.091143145732502</v>
      </c>
      <c r="BI186" s="65">
        <v>438.38906691900564</v>
      </c>
      <c r="BJ186" s="65">
        <v>0</v>
      </c>
      <c r="BK186" s="65">
        <v>1.0063236781843496</v>
      </c>
      <c r="BL186" s="65">
        <v>0</v>
      </c>
      <c r="BM186" s="65">
        <v>0</v>
      </c>
      <c r="BN186" s="65">
        <v>61.827338430677763</v>
      </c>
      <c r="BO186" s="65">
        <v>183.06498960000002</v>
      </c>
      <c r="BP186" s="10">
        <v>1920</v>
      </c>
      <c r="BQ186" s="65">
        <v>64.209555039408798</v>
      </c>
      <c r="BR186" s="65">
        <v>83.891877542150723</v>
      </c>
      <c r="BS186" s="65">
        <v>303.55953219532495</v>
      </c>
      <c r="BT186" s="65">
        <v>112.12996991064433</v>
      </c>
      <c r="BU186" s="65">
        <v>124.70831383112491</v>
      </c>
      <c r="BV186" s="144">
        <f t="shared" si="134"/>
        <v>0</v>
      </c>
      <c r="BW186" s="144">
        <f t="shared" si="135"/>
        <v>0</v>
      </c>
      <c r="BX186" s="144">
        <f t="shared" si="136"/>
        <v>0</v>
      </c>
      <c r="BY186" s="5"/>
      <c r="BZ186" s="66">
        <v>7029.75</v>
      </c>
      <c r="CA186" s="65">
        <v>0</v>
      </c>
      <c r="CB186" s="5"/>
      <c r="CC186" s="5"/>
      <c r="CD186" s="188">
        <v>3.0642236760841479</v>
      </c>
      <c r="CE186" s="5"/>
      <c r="CF186" s="65">
        <v>1396</v>
      </c>
      <c r="CG186" s="70"/>
      <c r="CH186" s="70"/>
      <c r="CI186" s="70"/>
      <c r="CJ186" s="65">
        <v>4090.1</v>
      </c>
      <c r="CK186" s="8">
        <f t="shared" si="172"/>
        <v>32762.883305317559</v>
      </c>
      <c r="CL186" s="202">
        <f t="shared" si="152"/>
        <v>-32762.883305317559</v>
      </c>
      <c r="CM186" s="202">
        <f t="shared" si="153"/>
        <v>-32762.883305317559</v>
      </c>
      <c r="CN186" s="202">
        <f t="shared" si="154"/>
        <v>-32762.883305317559</v>
      </c>
      <c r="CO186" s="9">
        <f t="shared" si="155"/>
        <v>-32762.883305317559</v>
      </c>
      <c r="CP186" s="9">
        <f t="shared" si="156"/>
        <v>-32762.883305317559</v>
      </c>
      <c r="CQ186" s="9">
        <f t="shared" si="157"/>
        <v>-32762.883305317559</v>
      </c>
      <c r="CR186" s="202">
        <f t="shared" si="158"/>
        <v>-32762.883305317559</v>
      </c>
      <c r="CS186" s="202">
        <f t="shared" si="159"/>
        <v>-32762.883305317559</v>
      </c>
      <c r="CT186" s="202">
        <f t="shared" si="160"/>
        <v>-32762.883305317559</v>
      </c>
      <c r="CU186" s="203" t="e">
        <f t="shared" si="161"/>
        <v>#DIV/0!</v>
      </c>
      <c r="CV186" s="203" t="e">
        <f t="shared" si="162"/>
        <v>#DIV/0!</v>
      </c>
      <c r="CW186" s="203" t="e">
        <f t="shared" si="163"/>
        <v>#DIV/0!</v>
      </c>
      <c r="CX186" s="19" t="e">
        <f t="shared" si="164"/>
        <v>#DIV/0!</v>
      </c>
      <c r="CY186" s="19" t="e">
        <f t="shared" si="165"/>
        <v>#DIV/0!</v>
      </c>
      <c r="CZ186" s="19" t="e">
        <f t="shared" si="166"/>
        <v>#DIV/0!</v>
      </c>
      <c r="DA186" s="203" t="e">
        <f t="shared" si="167"/>
        <v>#DIV/0!</v>
      </c>
      <c r="DB186" s="203" t="e">
        <f t="shared" si="168"/>
        <v>#DIV/0!</v>
      </c>
      <c r="DC186" s="203" t="e">
        <f t="shared" si="169"/>
        <v>#DIV/0!</v>
      </c>
      <c r="DD186" s="65"/>
      <c r="DE186" s="66"/>
      <c r="DF186" s="66"/>
      <c r="DG186" s="66"/>
      <c r="DH186" s="66"/>
      <c r="DI186" s="66"/>
      <c r="DJ186" s="65"/>
      <c r="DK186" s="66"/>
      <c r="DL186" s="66"/>
      <c r="DM186" s="8">
        <f t="shared" si="170"/>
        <v>0</v>
      </c>
      <c r="DN186" s="8">
        <f t="shared" si="171"/>
        <v>32762.883305317559</v>
      </c>
      <c r="DO186" s="202">
        <f t="shared" si="177"/>
        <v>-32762.883305317559</v>
      </c>
      <c r="DP186" s="202">
        <f t="shared" si="178"/>
        <v>-32762.883305317559</v>
      </c>
      <c r="DQ186" s="202">
        <f t="shared" si="179"/>
        <v>-32762.883305317559</v>
      </c>
      <c r="DR186" s="9">
        <f t="shared" si="180"/>
        <v>-32762.883305317559</v>
      </c>
      <c r="DS186" s="9">
        <f t="shared" si="173"/>
        <v>-32762.883305317559</v>
      </c>
      <c r="DT186" s="9">
        <f t="shared" si="181"/>
        <v>-32762.883305317559</v>
      </c>
      <c r="DU186" s="202">
        <f t="shared" si="182"/>
        <v>-32762.883305317559</v>
      </c>
      <c r="DV186" s="202">
        <f t="shared" si="183"/>
        <v>-32762.883305317559</v>
      </c>
      <c r="DW186" s="202">
        <f t="shared" si="184"/>
        <v>-32762.883305317559</v>
      </c>
      <c r="DX186" s="203" t="e">
        <f t="shared" si="185"/>
        <v>#DIV/0!</v>
      </c>
      <c r="DY186" s="203" t="e">
        <f t="shared" si="186"/>
        <v>#DIV/0!</v>
      </c>
      <c r="DZ186" s="203" t="e">
        <f t="shared" si="187"/>
        <v>#DIV/0!</v>
      </c>
      <c r="EA186" s="19" t="e">
        <f t="shared" si="188"/>
        <v>#DIV/0!</v>
      </c>
      <c r="EB186" s="19" t="e">
        <f t="shared" si="174"/>
        <v>#DIV/0!</v>
      </c>
      <c r="EC186" s="19" t="e">
        <f t="shared" si="189"/>
        <v>#DIV/0!</v>
      </c>
      <c r="ED186" s="203" t="e">
        <f t="shared" si="190"/>
        <v>#DIV/0!</v>
      </c>
      <c r="EE186" s="203" t="e">
        <f t="shared" si="191"/>
        <v>#DIV/0!</v>
      </c>
      <c r="EF186" s="203" t="e">
        <f t="shared" si="192"/>
        <v>#DIV/0!</v>
      </c>
      <c r="EH186" s="58">
        <f t="shared" si="127"/>
        <v>32559.020949099144</v>
      </c>
      <c r="EI186" s="68" t="e">
        <f t="shared" si="128"/>
        <v>#DIV/0!</v>
      </c>
      <c r="EJ186" s="58">
        <f t="shared" si="129"/>
        <v>25529.270949099144</v>
      </c>
      <c r="EK186" s="68" t="e">
        <f t="shared" si="128"/>
        <v>#DIV/0!</v>
      </c>
      <c r="EL186" s="58">
        <f t="shared" si="130"/>
        <v>1753.1525452991461</v>
      </c>
      <c r="EM186" s="58">
        <f t="shared" si="131"/>
        <v>1753.1525452991461</v>
      </c>
      <c r="EN186" s="68" t="e">
        <f t="shared" si="132"/>
        <v>#DIV/0!</v>
      </c>
      <c r="EO186" s="139">
        <f t="shared" si="147"/>
        <v>0.4050825009776523</v>
      </c>
      <c r="EP186">
        <f>+(SUM(M186:O186)*EO186*(1-'[1]Tier 3 Data'!$A$2))</f>
        <v>0</v>
      </c>
    </row>
    <row r="187" spans="1:146" x14ac:dyDescent="0.2">
      <c r="A187" s="43">
        <v>0</v>
      </c>
      <c r="B187" s="43">
        <v>0</v>
      </c>
      <c r="C187" s="43">
        <v>0</v>
      </c>
      <c r="D187" s="70">
        <v>2022</v>
      </c>
      <c r="E187" s="70">
        <v>12</v>
      </c>
      <c r="F187" s="2">
        <v>744</v>
      </c>
      <c r="G187" s="63"/>
      <c r="H187" s="63"/>
      <c r="I187" s="63"/>
      <c r="J187" s="133">
        <f t="shared" si="124"/>
        <v>0</v>
      </c>
      <c r="K187" s="65">
        <v>0</v>
      </c>
      <c r="L187" s="133">
        <f t="shared" si="125"/>
        <v>0</v>
      </c>
      <c r="M187" s="63"/>
      <c r="N187" s="63"/>
      <c r="O187" s="63"/>
      <c r="P187" s="200">
        <f t="shared" si="115"/>
        <v>0</v>
      </c>
      <c r="Q187" s="200">
        <f t="shared" si="116"/>
        <v>0</v>
      </c>
      <c r="R187" s="200">
        <f t="shared" si="117"/>
        <v>0</v>
      </c>
      <c r="S187" s="133">
        <f t="shared" si="149"/>
        <v>0</v>
      </c>
      <c r="T187" s="133">
        <f t="shared" si="150"/>
        <v>0</v>
      </c>
      <c r="U187" s="133">
        <f t="shared" si="151"/>
        <v>0</v>
      </c>
      <c r="V187" s="200">
        <f t="shared" si="121"/>
        <v>0</v>
      </c>
      <c r="W187" s="200">
        <f t="shared" si="122"/>
        <v>0</v>
      </c>
      <c r="X187" s="200">
        <f t="shared" si="123"/>
        <v>0</v>
      </c>
      <c r="Y187" s="63"/>
      <c r="Z187" s="63"/>
      <c r="AA187" s="63"/>
      <c r="AB187" s="200">
        <f t="shared" si="137"/>
        <v>0</v>
      </c>
      <c r="AC187" s="200">
        <f t="shared" si="138"/>
        <v>0</v>
      </c>
      <c r="AD187" s="200">
        <f t="shared" si="139"/>
        <v>0</v>
      </c>
      <c r="AE187" s="199">
        <f t="shared" si="175"/>
        <v>0</v>
      </c>
      <c r="AF187" s="199">
        <f t="shared" si="141"/>
        <v>0</v>
      </c>
      <c r="AG187" s="199">
        <f t="shared" si="176"/>
        <v>0</v>
      </c>
      <c r="AH187" s="199"/>
      <c r="AI187" s="200">
        <f t="shared" si="143"/>
        <v>0</v>
      </c>
      <c r="AJ187" s="200">
        <f t="shared" si="144"/>
        <v>0</v>
      </c>
      <c r="AK187" s="200">
        <f t="shared" si="145"/>
        <v>0</v>
      </c>
      <c r="AL187" s="4"/>
      <c r="AM187" s="4"/>
      <c r="AN187" s="4"/>
      <c r="AO187" s="4"/>
      <c r="AP187" s="65">
        <v>3720</v>
      </c>
      <c r="AQ187" s="18"/>
      <c r="AR187" s="10">
        <v>9920</v>
      </c>
      <c r="AS187" s="18"/>
      <c r="AT187" s="62"/>
      <c r="AU187" s="65">
        <v>68.561999999999998</v>
      </c>
      <c r="AV187" s="65">
        <v>3888.8449999999998</v>
      </c>
      <c r="AW187" s="65">
        <v>4.1184799999999999</v>
      </c>
      <c r="AX187" s="65">
        <v>7.9337200000000001</v>
      </c>
      <c r="AY187" s="65">
        <v>1226.60803108</v>
      </c>
      <c r="AZ187" s="63"/>
      <c r="BA187" s="65">
        <v>2225.2240000000002</v>
      </c>
      <c r="BB187" s="5"/>
      <c r="BC187" s="65">
        <v>133.02629953839877</v>
      </c>
      <c r="BD187" s="65">
        <v>14.892990970660508</v>
      </c>
      <c r="BE187" s="65">
        <v>0</v>
      </c>
      <c r="BF187" s="65">
        <v>193.40118982180462</v>
      </c>
      <c r="BG187" s="65">
        <v>0</v>
      </c>
      <c r="BH187" s="65">
        <v>50.51762655121999</v>
      </c>
      <c r="BI187" s="65">
        <v>205.43310154995945</v>
      </c>
      <c r="BJ187" s="65">
        <v>0</v>
      </c>
      <c r="BK187" s="65">
        <v>1.0285619760521432</v>
      </c>
      <c r="BL187" s="65">
        <v>0</v>
      </c>
      <c r="BM187" s="65">
        <v>0</v>
      </c>
      <c r="BN187" s="65">
        <v>38.047592880417092</v>
      </c>
      <c r="BO187" s="65">
        <v>189.16715592</v>
      </c>
      <c r="BP187" s="10">
        <v>1984</v>
      </c>
      <c r="BQ187" s="65">
        <v>58.504083164064909</v>
      </c>
      <c r="BR187" s="65">
        <v>76.05527629847569</v>
      </c>
      <c r="BS187" s="65">
        <v>276.5860217523724</v>
      </c>
      <c r="BT187" s="65">
        <v>103.23824099132531</v>
      </c>
      <c r="BU187" s="65">
        <v>109.75494377820503</v>
      </c>
      <c r="BV187" s="144">
        <f t="shared" si="134"/>
        <v>0</v>
      </c>
      <c r="BW187" s="144">
        <f t="shared" si="135"/>
        <v>0</v>
      </c>
      <c r="BX187" s="144">
        <f t="shared" si="136"/>
        <v>0</v>
      </c>
      <c r="BY187" s="5"/>
      <c r="BZ187" s="66">
        <v>7254</v>
      </c>
      <c r="CA187" s="65">
        <v>1918.4</v>
      </c>
      <c r="CB187" s="5"/>
      <c r="CC187" s="5"/>
      <c r="CD187" s="188">
        <v>4.9023166732340453</v>
      </c>
      <c r="CE187" s="5"/>
      <c r="CF187" s="65">
        <v>2326</v>
      </c>
      <c r="CG187" s="70"/>
      <c r="CH187" s="70"/>
      <c r="CI187" s="70"/>
      <c r="CJ187" s="65">
        <v>3596.39</v>
      </c>
      <c r="CK187" s="8">
        <f t="shared" si="172"/>
        <v>35998.246632946197</v>
      </c>
      <c r="CL187" s="202">
        <f t="shared" si="152"/>
        <v>-35998.246632946197</v>
      </c>
      <c r="CM187" s="202">
        <f t="shared" si="153"/>
        <v>-35998.246632946197</v>
      </c>
      <c r="CN187" s="202">
        <f t="shared" si="154"/>
        <v>-35998.246632946197</v>
      </c>
      <c r="CO187" s="9">
        <f t="shared" si="155"/>
        <v>-35998.246632946197</v>
      </c>
      <c r="CP187" s="9">
        <f t="shared" si="156"/>
        <v>-35998.246632946197</v>
      </c>
      <c r="CQ187" s="9">
        <f t="shared" si="157"/>
        <v>-35998.246632946197</v>
      </c>
      <c r="CR187" s="202">
        <f t="shared" si="158"/>
        <v>-35998.246632946197</v>
      </c>
      <c r="CS187" s="202">
        <f t="shared" si="159"/>
        <v>-35998.246632946197</v>
      </c>
      <c r="CT187" s="202">
        <f t="shared" si="160"/>
        <v>-35998.246632946197</v>
      </c>
      <c r="CU187" s="203" t="e">
        <f t="shared" si="161"/>
        <v>#DIV/0!</v>
      </c>
      <c r="CV187" s="203" t="e">
        <f t="shared" si="162"/>
        <v>#DIV/0!</v>
      </c>
      <c r="CW187" s="203" t="e">
        <f t="shared" si="163"/>
        <v>#DIV/0!</v>
      </c>
      <c r="CX187" s="19" t="e">
        <f t="shared" si="164"/>
        <v>#DIV/0!</v>
      </c>
      <c r="CY187" s="19" t="e">
        <f t="shared" si="165"/>
        <v>#DIV/0!</v>
      </c>
      <c r="CZ187" s="19" t="e">
        <f t="shared" si="166"/>
        <v>#DIV/0!</v>
      </c>
      <c r="DA187" s="203" t="e">
        <f t="shared" si="167"/>
        <v>#DIV/0!</v>
      </c>
      <c r="DB187" s="203" t="e">
        <f t="shared" si="168"/>
        <v>#DIV/0!</v>
      </c>
      <c r="DC187" s="203" t="e">
        <f t="shared" si="169"/>
        <v>#DIV/0!</v>
      </c>
      <c r="DD187" s="65"/>
      <c r="DE187" s="66"/>
      <c r="DF187" s="66"/>
      <c r="DG187" s="66"/>
      <c r="DH187" s="66"/>
      <c r="DI187" s="66"/>
      <c r="DJ187" s="65"/>
      <c r="DK187" s="66"/>
      <c r="DL187" s="66"/>
      <c r="DM187" s="8">
        <f t="shared" si="170"/>
        <v>0</v>
      </c>
      <c r="DN187" s="8">
        <f t="shared" si="171"/>
        <v>35998.246632946197</v>
      </c>
      <c r="DO187" s="202">
        <f t="shared" si="177"/>
        <v>-35998.246632946197</v>
      </c>
      <c r="DP187" s="202">
        <f t="shared" si="178"/>
        <v>-35998.246632946197</v>
      </c>
      <c r="DQ187" s="202">
        <f t="shared" si="179"/>
        <v>-35998.246632946197</v>
      </c>
      <c r="DR187" s="9">
        <f t="shared" si="180"/>
        <v>-35998.246632946197</v>
      </c>
      <c r="DS187" s="9">
        <f t="shared" si="173"/>
        <v>-35998.246632946197</v>
      </c>
      <c r="DT187" s="9">
        <f t="shared" si="181"/>
        <v>-35998.246632946197</v>
      </c>
      <c r="DU187" s="202">
        <f t="shared" si="182"/>
        <v>-35998.246632946197</v>
      </c>
      <c r="DV187" s="202">
        <f t="shared" si="183"/>
        <v>-35998.246632946197</v>
      </c>
      <c r="DW187" s="202">
        <f t="shared" si="184"/>
        <v>-35998.246632946197</v>
      </c>
      <c r="DX187" s="203" t="e">
        <f t="shared" si="185"/>
        <v>#DIV/0!</v>
      </c>
      <c r="DY187" s="203" t="e">
        <f t="shared" si="186"/>
        <v>#DIV/0!</v>
      </c>
      <c r="DZ187" s="203" t="e">
        <f t="shared" si="187"/>
        <v>#DIV/0!</v>
      </c>
      <c r="EA187" s="19" t="e">
        <f t="shared" si="188"/>
        <v>#DIV/0!</v>
      </c>
      <c r="EB187" s="19" t="e">
        <f t="shared" si="174"/>
        <v>#DIV/0!</v>
      </c>
      <c r="EC187" s="19" t="e">
        <f t="shared" si="189"/>
        <v>#DIV/0!</v>
      </c>
      <c r="ED187" s="203" t="e">
        <f t="shared" si="190"/>
        <v>#DIV/0!</v>
      </c>
      <c r="EE187" s="203" t="e">
        <f t="shared" si="191"/>
        <v>#DIV/0!</v>
      </c>
      <c r="EF187" s="203" t="e">
        <f t="shared" si="192"/>
        <v>#DIV/0!</v>
      </c>
      <c r="EH187" s="58">
        <f t="shared" si="127"/>
        <v>33869.490926451152</v>
      </c>
      <c r="EI187" s="68" t="e">
        <f t="shared" si="128"/>
        <v>#DIV/0!</v>
      </c>
      <c r="EJ187" s="58">
        <f t="shared" si="129"/>
        <v>26615.490926451148</v>
      </c>
      <c r="EK187" s="68" t="e">
        <f t="shared" si="128"/>
        <v>#DIV/0!</v>
      </c>
      <c r="EL187" s="58">
        <f t="shared" si="130"/>
        <v>1256.251895371151</v>
      </c>
      <c r="EM187" s="58">
        <f t="shared" si="131"/>
        <v>1256.251895371151</v>
      </c>
      <c r="EN187" s="68" t="e">
        <f t="shared" si="132"/>
        <v>#DIV/0!</v>
      </c>
      <c r="EO187" s="139">
        <f t="shared" si="147"/>
        <v>0.32946562535829382</v>
      </c>
      <c r="EP187">
        <f>+(SUM(M187:O187)*EO187*(1-'[1]Tier 3 Data'!$A$2))</f>
        <v>0</v>
      </c>
    </row>
    <row r="188" spans="1:146" x14ac:dyDescent="0.2">
      <c r="A188" s="43">
        <v>0</v>
      </c>
      <c r="B188" s="43">
        <v>0</v>
      </c>
      <c r="C188" s="43">
        <v>0</v>
      </c>
      <c r="D188" s="70">
        <v>2023</v>
      </c>
      <c r="E188" s="70">
        <v>1</v>
      </c>
      <c r="F188" s="2">
        <v>744</v>
      </c>
      <c r="G188" s="63"/>
      <c r="H188" s="63"/>
      <c r="I188" s="63"/>
      <c r="J188" s="133">
        <f t="shared" si="124"/>
        <v>0</v>
      </c>
      <c r="K188" s="65">
        <v>0</v>
      </c>
      <c r="L188" s="133">
        <f t="shared" si="125"/>
        <v>0</v>
      </c>
      <c r="M188" s="63"/>
      <c r="N188" s="63"/>
      <c r="O188" s="63"/>
      <c r="P188" s="200">
        <f t="shared" si="115"/>
        <v>0</v>
      </c>
      <c r="Q188" s="200">
        <f t="shared" si="116"/>
        <v>0</v>
      </c>
      <c r="R188" s="200">
        <f t="shared" si="117"/>
        <v>0</v>
      </c>
      <c r="S188" s="133">
        <f t="shared" si="149"/>
        <v>0</v>
      </c>
      <c r="T188" s="133">
        <f t="shared" si="150"/>
        <v>0</v>
      </c>
      <c r="U188" s="133">
        <f t="shared" si="151"/>
        <v>0</v>
      </c>
      <c r="V188" s="200">
        <f t="shared" si="121"/>
        <v>0</v>
      </c>
      <c r="W188" s="200">
        <f t="shared" si="122"/>
        <v>0</v>
      </c>
      <c r="X188" s="200">
        <f t="shared" si="123"/>
        <v>0</v>
      </c>
      <c r="Y188" s="63"/>
      <c r="Z188" s="63"/>
      <c r="AA188" s="63"/>
      <c r="AB188" s="200">
        <f t="shared" si="137"/>
        <v>0</v>
      </c>
      <c r="AC188" s="200">
        <f t="shared" si="138"/>
        <v>0</v>
      </c>
      <c r="AD188" s="200">
        <f t="shared" si="139"/>
        <v>0</v>
      </c>
      <c r="AE188" s="199">
        <f t="shared" si="175"/>
        <v>0</v>
      </c>
      <c r="AF188" s="199">
        <f t="shared" si="141"/>
        <v>0</v>
      </c>
      <c r="AG188" s="199">
        <f t="shared" si="176"/>
        <v>0</v>
      </c>
      <c r="AH188" s="199"/>
      <c r="AI188" s="200">
        <f t="shared" si="143"/>
        <v>0</v>
      </c>
      <c r="AJ188" s="200">
        <f t="shared" si="144"/>
        <v>0</v>
      </c>
      <c r="AK188" s="200">
        <f t="shared" si="145"/>
        <v>0</v>
      </c>
      <c r="AL188" s="4"/>
      <c r="AM188" s="4"/>
      <c r="AN188" s="4"/>
      <c r="AO188" s="4"/>
      <c r="AP188" s="65">
        <v>3720</v>
      </c>
      <c r="AQ188" s="18"/>
      <c r="AR188" s="10">
        <v>9920</v>
      </c>
      <c r="AS188" s="18"/>
      <c r="AT188" s="62"/>
      <c r="AU188" s="65">
        <v>68.093999999999994</v>
      </c>
      <c r="AV188" s="65">
        <v>3896.3739999999998</v>
      </c>
      <c r="AW188" s="65">
        <v>3.2503076923076923</v>
      </c>
      <c r="AX188" s="65">
        <v>7.0568076923076921</v>
      </c>
      <c r="AY188" s="65">
        <v>1258.1687644800002</v>
      </c>
      <c r="AZ188" s="63"/>
      <c r="BA188" s="65">
        <v>1660.8</v>
      </c>
      <c r="BB188" s="65">
        <v>473.125</v>
      </c>
      <c r="BC188" s="65">
        <v>187.65082722949612</v>
      </c>
      <c r="BD188" s="65">
        <v>17.899913811322826</v>
      </c>
      <c r="BE188" s="65">
        <v>0</v>
      </c>
      <c r="BF188" s="65">
        <v>199.42579123871249</v>
      </c>
      <c r="BG188" s="65">
        <v>0</v>
      </c>
      <c r="BH188" s="65">
        <v>44.202923232317495</v>
      </c>
      <c r="BI188" s="65">
        <v>289.79000077381966</v>
      </c>
      <c r="BJ188" s="65">
        <v>0</v>
      </c>
      <c r="BK188" s="65">
        <v>22.517673403701547</v>
      </c>
      <c r="BL188" s="65">
        <v>0</v>
      </c>
      <c r="BM188" s="65">
        <v>0</v>
      </c>
      <c r="BN188" s="65">
        <v>33.291643770364956</v>
      </c>
      <c r="BO188" s="65">
        <v>189.16715592</v>
      </c>
      <c r="BP188" s="10">
        <v>1984</v>
      </c>
      <c r="BQ188" s="65">
        <v>82.782728947345589</v>
      </c>
      <c r="BR188" s="65">
        <v>108.15838017916607</v>
      </c>
      <c r="BS188" s="65">
        <v>391.36693917731799</v>
      </c>
      <c r="BT188" s="65">
        <v>133.79947801164678</v>
      </c>
      <c r="BU188" s="65">
        <v>152.92862946679006</v>
      </c>
      <c r="BV188" s="144">
        <f t="shared" si="134"/>
        <v>0</v>
      </c>
      <c r="BW188" s="144">
        <f t="shared" si="135"/>
        <v>0</v>
      </c>
      <c r="BX188" s="144">
        <f t="shared" si="136"/>
        <v>0</v>
      </c>
      <c r="BY188" s="5"/>
      <c r="BZ188" s="66">
        <v>7254</v>
      </c>
      <c r="CA188" s="65">
        <v>6429.6</v>
      </c>
      <c r="CB188" s="5"/>
      <c r="CC188" s="5"/>
      <c r="CD188" s="188">
        <v>2.5304839482857915</v>
      </c>
      <c r="CE188" s="5"/>
      <c r="CF188" s="65">
        <v>2117</v>
      </c>
      <c r="CG188" s="65">
        <v>2662</v>
      </c>
      <c r="CH188" s="70"/>
      <c r="CI188" s="70"/>
      <c r="CJ188" s="133">
        <f>3*BB188</f>
        <v>1419.375</v>
      </c>
      <c r="CK188" s="8">
        <f t="shared" si="172"/>
        <v>43308.981448974904</v>
      </c>
      <c r="CL188" s="202">
        <f t="shared" si="152"/>
        <v>-43308.981448974904</v>
      </c>
      <c r="CM188" s="202">
        <f t="shared" si="153"/>
        <v>-43308.981448974904</v>
      </c>
      <c r="CN188" s="202">
        <f t="shared" si="154"/>
        <v>-43308.981448974904</v>
      </c>
      <c r="CO188" s="9">
        <f t="shared" si="155"/>
        <v>-43308.981448974904</v>
      </c>
      <c r="CP188" s="9">
        <f t="shared" si="156"/>
        <v>-43308.981448974904</v>
      </c>
      <c r="CQ188" s="9">
        <f t="shared" si="157"/>
        <v>-43308.981448974904</v>
      </c>
      <c r="CR188" s="202">
        <f t="shared" si="158"/>
        <v>-43308.981448974904</v>
      </c>
      <c r="CS188" s="202">
        <f t="shared" si="159"/>
        <v>-43308.981448974904</v>
      </c>
      <c r="CT188" s="202">
        <f t="shared" si="160"/>
        <v>-43308.981448974904</v>
      </c>
      <c r="CU188" s="203" t="e">
        <f t="shared" si="161"/>
        <v>#DIV/0!</v>
      </c>
      <c r="CV188" s="203" t="e">
        <f t="shared" si="162"/>
        <v>#DIV/0!</v>
      </c>
      <c r="CW188" s="203" t="e">
        <f t="shared" si="163"/>
        <v>#DIV/0!</v>
      </c>
      <c r="CX188" s="19" t="e">
        <f t="shared" si="164"/>
        <v>#DIV/0!</v>
      </c>
      <c r="CY188" s="19" t="e">
        <f t="shared" si="165"/>
        <v>#DIV/0!</v>
      </c>
      <c r="CZ188" s="19" t="e">
        <f t="shared" si="166"/>
        <v>#DIV/0!</v>
      </c>
      <c r="DA188" s="203" t="e">
        <f t="shared" si="167"/>
        <v>#DIV/0!</v>
      </c>
      <c r="DB188" s="203" t="e">
        <f t="shared" si="168"/>
        <v>#DIV/0!</v>
      </c>
      <c r="DC188" s="203" t="e">
        <f t="shared" si="169"/>
        <v>#DIV/0!</v>
      </c>
      <c r="DD188" s="65"/>
      <c r="DE188" s="66"/>
      <c r="DF188" s="66"/>
      <c r="DG188" s="66"/>
      <c r="DH188" s="66"/>
      <c r="DI188" s="66"/>
      <c r="DJ188" s="65"/>
      <c r="DK188" s="66"/>
      <c r="DL188" s="66"/>
      <c r="DM188" s="8">
        <f t="shared" si="170"/>
        <v>0</v>
      </c>
      <c r="DN188" s="8">
        <f t="shared" si="171"/>
        <v>43308.981448974904</v>
      </c>
      <c r="DO188" s="202">
        <f t="shared" si="177"/>
        <v>-43308.981448974904</v>
      </c>
      <c r="DP188" s="202">
        <f t="shared" si="178"/>
        <v>-43308.981448974904</v>
      </c>
      <c r="DQ188" s="202">
        <f t="shared" si="179"/>
        <v>-43308.981448974904</v>
      </c>
      <c r="DR188" s="9">
        <f t="shared" si="180"/>
        <v>-43308.981448974904</v>
      </c>
      <c r="DS188" s="9">
        <f t="shared" si="173"/>
        <v>-43308.981448974904</v>
      </c>
      <c r="DT188" s="9">
        <f t="shared" si="181"/>
        <v>-43308.981448974904</v>
      </c>
      <c r="DU188" s="202">
        <f t="shared" si="182"/>
        <v>-43308.981448974904</v>
      </c>
      <c r="DV188" s="202">
        <f t="shared" si="183"/>
        <v>-43308.981448974904</v>
      </c>
      <c r="DW188" s="202">
        <f t="shared" si="184"/>
        <v>-43308.981448974904</v>
      </c>
      <c r="DX188" s="203" t="e">
        <f t="shared" si="185"/>
        <v>#DIV/0!</v>
      </c>
      <c r="DY188" s="203" t="e">
        <f t="shared" si="186"/>
        <v>#DIV/0!</v>
      </c>
      <c r="DZ188" s="203" t="e">
        <f t="shared" si="187"/>
        <v>#DIV/0!</v>
      </c>
      <c r="EA188" s="19" t="e">
        <f t="shared" si="188"/>
        <v>#DIV/0!</v>
      </c>
      <c r="EB188" s="19" t="e">
        <f t="shared" si="174"/>
        <v>#DIV/0!</v>
      </c>
      <c r="EC188" s="19" t="e">
        <f t="shared" si="189"/>
        <v>#DIV/0!</v>
      </c>
      <c r="ED188" s="203" t="e">
        <f t="shared" si="190"/>
        <v>#DIV/0!</v>
      </c>
      <c r="EE188" s="203" t="e">
        <f t="shared" si="191"/>
        <v>#DIV/0!</v>
      </c>
      <c r="EF188" s="203" t="e">
        <f t="shared" si="192"/>
        <v>#DIV/0!</v>
      </c>
      <c r="EH188" s="58">
        <f t="shared" si="127"/>
        <v>36667.118058403292</v>
      </c>
      <c r="EI188" s="68" t="e">
        <f t="shared" si="128"/>
        <v>#DIV/0!</v>
      </c>
      <c r="EJ188" s="58">
        <f t="shared" si="129"/>
        <v>29413.118058403292</v>
      </c>
      <c r="EK188" s="68" t="e">
        <f t="shared" si="128"/>
        <v>#DIV/0!</v>
      </c>
      <c r="EL188" s="58">
        <f t="shared" si="130"/>
        <v>1653.5562939232891</v>
      </c>
      <c r="EM188" s="58">
        <f t="shared" si="131"/>
        <v>1653.5562939232891</v>
      </c>
      <c r="EN188" s="68" t="e">
        <f t="shared" si="132"/>
        <v>#DIV/0!</v>
      </c>
      <c r="EO188" s="139">
        <f t="shared" si="147"/>
        <v>0.32527353469126524</v>
      </c>
      <c r="EP188">
        <f>+(SUM(M188:O188)*EO188*(1-'[1]Tier 3 Data'!$A$2))</f>
        <v>0</v>
      </c>
    </row>
    <row r="189" spans="1:146" x14ac:dyDescent="0.2">
      <c r="A189" s="43">
        <v>0</v>
      </c>
      <c r="B189" s="43">
        <v>0</v>
      </c>
      <c r="C189" s="43">
        <v>0</v>
      </c>
      <c r="D189" s="70">
        <v>2023</v>
      </c>
      <c r="E189" s="70">
        <v>2</v>
      </c>
      <c r="F189" s="2">
        <v>672</v>
      </c>
      <c r="G189" s="63"/>
      <c r="H189" s="63"/>
      <c r="I189" s="63"/>
      <c r="J189" s="133">
        <f t="shared" si="124"/>
        <v>0</v>
      </c>
      <c r="K189" s="65">
        <v>0</v>
      </c>
      <c r="L189" s="133">
        <f t="shared" si="125"/>
        <v>0</v>
      </c>
      <c r="M189" s="63"/>
      <c r="N189" s="63"/>
      <c r="O189" s="63"/>
      <c r="P189" s="200">
        <f t="shared" si="115"/>
        <v>0</v>
      </c>
      <c r="Q189" s="200">
        <f t="shared" si="116"/>
        <v>0</v>
      </c>
      <c r="R189" s="200">
        <f t="shared" si="117"/>
        <v>0</v>
      </c>
      <c r="S189" s="133">
        <f t="shared" si="149"/>
        <v>0</v>
      </c>
      <c r="T189" s="133">
        <f t="shared" si="150"/>
        <v>0</v>
      </c>
      <c r="U189" s="133">
        <f t="shared" si="151"/>
        <v>0</v>
      </c>
      <c r="V189" s="200">
        <f t="shared" si="121"/>
        <v>0</v>
      </c>
      <c r="W189" s="200">
        <f t="shared" si="122"/>
        <v>0</v>
      </c>
      <c r="X189" s="200">
        <f t="shared" si="123"/>
        <v>0</v>
      </c>
      <c r="Y189" s="63"/>
      <c r="Z189" s="63"/>
      <c r="AA189" s="63"/>
      <c r="AB189" s="200">
        <f t="shared" si="137"/>
        <v>0</v>
      </c>
      <c r="AC189" s="200">
        <f t="shared" si="138"/>
        <v>0</v>
      </c>
      <c r="AD189" s="200">
        <f t="shared" si="139"/>
        <v>0</v>
      </c>
      <c r="AE189" s="199">
        <f t="shared" si="175"/>
        <v>0</v>
      </c>
      <c r="AF189" s="199">
        <f t="shared" si="141"/>
        <v>0</v>
      </c>
      <c r="AG189" s="199">
        <f t="shared" si="176"/>
        <v>0</v>
      </c>
      <c r="AH189" s="199"/>
      <c r="AI189" s="200">
        <f t="shared" si="143"/>
        <v>0</v>
      </c>
      <c r="AJ189" s="200">
        <f t="shared" si="144"/>
        <v>0</v>
      </c>
      <c r="AK189" s="200">
        <f t="shared" si="145"/>
        <v>0</v>
      </c>
      <c r="AL189" s="4"/>
      <c r="AM189" s="4"/>
      <c r="AN189" s="4"/>
      <c r="AO189" s="4"/>
      <c r="AP189" s="65">
        <v>3360</v>
      </c>
      <c r="AQ189" s="18"/>
      <c r="AR189" s="10">
        <v>8960</v>
      </c>
      <c r="AS189" s="18"/>
      <c r="AT189" s="62"/>
      <c r="AU189" s="65">
        <v>62.127000000000002</v>
      </c>
      <c r="AV189" s="65">
        <v>3090.0770000000002</v>
      </c>
      <c r="AW189" s="65">
        <v>2.8629230769230771</v>
      </c>
      <c r="AX189" s="65">
        <v>5.0469999999999997</v>
      </c>
      <c r="AY189" s="65">
        <v>1185.0038251199999</v>
      </c>
      <c r="AZ189" s="63"/>
      <c r="BA189" s="65">
        <v>853.7</v>
      </c>
      <c r="BB189" s="65">
        <v>305.61</v>
      </c>
      <c r="BC189" s="65">
        <v>233.87491436180096</v>
      </c>
      <c r="BD189" s="65">
        <v>18.196795404006242</v>
      </c>
      <c r="BE189" s="65">
        <v>0</v>
      </c>
      <c r="BF189" s="65">
        <v>194.72305796175525</v>
      </c>
      <c r="BG189" s="65">
        <v>0</v>
      </c>
      <c r="BH189" s="65">
        <v>25.258813275609995</v>
      </c>
      <c r="BI189" s="65">
        <v>361.17406256352507</v>
      </c>
      <c r="BJ189" s="65">
        <v>0</v>
      </c>
      <c r="BK189" s="65">
        <v>19.256201566846642</v>
      </c>
      <c r="BL189" s="65">
        <v>0</v>
      </c>
      <c r="BM189" s="65">
        <v>0</v>
      </c>
      <c r="BN189" s="65">
        <v>19.023796440208546</v>
      </c>
      <c r="BO189" s="65">
        <v>170.86065696000003</v>
      </c>
      <c r="BP189" s="10">
        <v>1792</v>
      </c>
      <c r="BQ189" s="65">
        <v>102.98921266660872</v>
      </c>
      <c r="BR189" s="65">
        <v>134.55875131838582</v>
      </c>
      <c r="BS189" s="65">
        <v>486.89566570518298</v>
      </c>
      <c r="BT189" s="65">
        <v>171.61517551555875</v>
      </c>
      <c r="BU189" s="65">
        <v>185.13707900059495</v>
      </c>
      <c r="BV189" s="144">
        <f t="shared" si="134"/>
        <v>0</v>
      </c>
      <c r="BW189" s="144">
        <f t="shared" si="135"/>
        <v>0</v>
      </c>
      <c r="BX189" s="144">
        <f t="shared" si="136"/>
        <v>0</v>
      </c>
      <c r="BY189" s="5"/>
      <c r="BZ189" s="66">
        <v>6552</v>
      </c>
      <c r="CA189" s="65">
        <v>6611.2000000000007</v>
      </c>
      <c r="CB189" s="5"/>
      <c r="CC189" s="5"/>
      <c r="CD189" s="188">
        <v>3.1195892150124847</v>
      </c>
      <c r="CE189" s="5"/>
      <c r="CF189" s="65">
        <v>949</v>
      </c>
      <c r="CG189" s="65">
        <v>5586</v>
      </c>
      <c r="CH189" s="70"/>
      <c r="CI189" s="70"/>
      <c r="CJ189" s="133">
        <f t="shared" ref="CJ189:CJ223" si="193">3*BB189</f>
        <v>916.83</v>
      </c>
      <c r="CK189" s="8">
        <f t="shared" si="172"/>
        <v>41441.311520152027</v>
      </c>
      <c r="CL189" s="202">
        <f t="shared" si="152"/>
        <v>-41441.311520152027</v>
      </c>
      <c r="CM189" s="202">
        <f t="shared" si="153"/>
        <v>-41441.311520152027</v>
      </c>
      <c r="CN189" s="202">
        <f t="shared" si="154"/>
        <v>-41441.311520152027</v>
      </c>
      <c r="CO189" s="9">
        <f t="shared" si="155"/>
        <v>-41441.311520152027</v>
      </c>
      <c r="CP189" s="9">
        <f t="shared" si="156"/>
        <v>-41441.311520152027</v>
      </c>
      <c r="CQ189" s="9">
        <f t="shared" si="157"/>
        <v>-41441.311520152027</v>
      </c>
      <c r="CR189" s="202">
        <f t="shared" si="158"/>
        <v>-41441.311520152027</v>
      </c>
      <c r="CS189" s="202">
        <f t="shared" si="159"/>
        <v>-41441.311520152027</v>
      </c>
      <c r="CT189" s="202">
        <f t="shared" si="160"/>
        <v>-41441.311520152027</v>
      </c>
      <c r="CU189" s="203" t="e">
        <f t="shared" si="161"/>
        <v>#DIV/0!</v>
      </c>
      <c r="CV189" s="203" t="e">
        <f t="shared" si="162"/>
        <v>#DIV/0!</v>
      </c>
      <c r="CW189" s="203" t="e">
        <f t="shared" si="163"/>
        <v>#DIV/0!</v>
      </c>
      <c r="CX189" s="19" t="e">
        <f t="shared" si="164"/>
        <v>#DIV/0!</v>
      </c>
      <c r="CY189" s="19" t="e">
        <f t="shared" si="165"/>
        <v>#DIV/0!</v>
      </c>
      <c r="CZ189" s="19" t="e">
        <f t="shared" si="166"/>
        <v>#DIV/0!</v>
      </c>
      <c r="DA189" s="203" t="e">
        <f t="shared" si="167"/>
        <v>#DIV/0!</v>
      </c>
      <c r="DB189" s="203" t="e">
        <f t="shared" si="168"/>
        <v>#DIV/0!</v>
      </c>
      <c r="DC189" s="203" t="e">
        <f t="shared" si="169"/>
        <v>#DIV/0!</v>
      </c>
      <c r="DD189" s="65"/>
      <c r="DE189" s="66"/>
      <c r="DF189" s="66"/>
      <c r="DG189" s="66"/>
      <c r="DH189" s="66"/>
      <c r="DI189" s="66"/>
      <c r="DJ189" s="65"/>
      <c r="DK189" s="66"/>
      <c r="DL189" s="66"/>
      <c r="DM189" s="8">
        <f t="shared" si="170"/>
        <v>0</v>
      </c>
      <c r="DN189" s="8">
        <f t="shared" si="171"/>
        <v>41441.311520152027</v>
      </c>
      <c r="DO189" s="202">
        <f t="shared" si="177"/>
        <v>-41441.311520152027</v>
      </c>
      <c r="DP189" s="202">
        <f t="shared" si="178"/>
        <v>-41441.311520152027</v>
      </c>
      <c r="DQ189" s="202">
        <f t="shared" si="179"/>
        <v>-41441.311520152027</v>
      </c>
      <c r="DR189" s="9">
        <f t="shared" si="180"/>
        <v>-41441.311520152027</v>
      </c>
      <c r="DS189" s="9">
        <f t="shared" si="173"/>
        <v>-41441.311520152027</v>
      </c>
      <c r="DT189" s="9">
        <f t="shared" si="181"/>
        <v>-41441.311520152027</v>
      </c>
      <c r="DU189" s="202">
        <f t="shared" si="182"/>
        <v>-41441.311520152027</v>
      </c>
      <c r="DV189" s="202">
        <f t="shared" si="183"/>
        <v>-41441.311520152027</v>
      </c>
      <c r="DW189" s="202">
        <f t="shared" si="184"/>
        <v>-41441.311520152027</v>
      </c>
      <c r="DX189" s="203" t="e">
        <f t="shared" si="185"/>
        <v>#DIV/0!</v>
      </c>
      <c r="DY189" s="203" t="e">
        <f t="shared" si="186"/>
        <v>#DIV/0!</v>
      </c>
      <c r="DZ189" s="203" t="e">
        <f t="shared" si="187"/>
        <v>#DIV/0!</v>
      </c>
      <c r="EA189" s="19" t="e">
        <f t="shared" si="188"/>
        <v>#DIV/0!</v>
      </c>
      <c r="EB189" s="19" t="e">
        <f t="shared" si="174"/>
        <v>#DIV/0!</v>
      </c>
      <c r="EC189" s="19" t="e">
        <f t="shared" si="189"/>
        <v>#DIV/0!</v>
      </c>
      <c r="ED189" s="203" t="e">
        <f t="shared" si="190"/>
        <v>#DIV/0!</v>
      </c>
      <c r="EE189" s="203" t="e">
        <f t="shared" si="191"/>
        <v>#DIV/0!</v>
      </c>
      <c r="EF189" s="203" t="e">
        <f t="shared" si="192"/>
        <v>#DIV/0!</v>
      </c>
      <c r="EH189" s="58">
        <f t="shared" si="127"/>
        <v>34624.358949898335</v>
      </c>
      <c r="EI189" s="68" t="e">
        <f t="shared" si="128"/>
        <v>#DIV/0!</v>
      </c>
      <c r="EJ189" s="58">
        <f t="shared" si="129"/>
        <v>28072.358949898331</v>
      </c>
      <c r="EK189" s="68" t="e">
        <f t="shared" si="128"/>
        <v>#DIV/0!</v>
      </c>
      <c r="EL189" s="58">
        <f t="shared" si="130"/>
        <v>1928.8411247783288</v>
      </c>
      <c r="EM189" s="58">
        <f t="shared" si="131"/>
        <v>1928.8411247783288</v>
      </c>
      <c r="EN189" s="68" t="e">
        <f t="shared" si="132"/>
        <v>#DIV/0!</v>
      </c>
      <c r="EO189" s="139">
        <f t="shared" si="147"/>
        <v>0.3126447604730192</v>
      </c>
      <c r="EP189">
        <f>+(SUM(M189:O189)*EO189*(1-'[1]Tier 3 Data'!$A$2))</f>
        <v>0</v>
      </c>
    </row>
    <row r="190" spans="1:146" x14ac:dyDescent="0.2">
      <c r="A190" s="43">
        <v>0</v>
      </c>
      <c r="B190" s="43">
        <v>0</v>
      </c>
      <c r="C190" s="43">
        <v>0</v>
      </c>
      <c r="D190" s="70">
        <v>2023</v>
      </c>
      <c r="E190" s="70">
        <v>3</v>
      </c>
      <c r="F190" s="2">
        <v>743</v>
      </c>
      <c r="G190" s="63"/>
      <c r="H190" s="63"/>
      <c r="I190" s="63"/>
      <c r="J190" s="133">
        <f t="shared" si="124"/>
        <v>0</v>
      </c>
      <c r="K190" s="65">
        <v>0</v>
      </c>
      <c r="L190" s="133">
        <f t="shared" si="125"/>
        <v>0</v>
      </c>
      <c r="M190" s="63"/>
      <c r="N190" s="63"/>
      <c r="O190" s="63"/>
      <c r="P190" s="200">
        <f t="shared" si="115"/>
        <v>0</v>
      </c>
      <c r="Q190" s="200">
        <f t="shared" si="116"/>
        <v>0</v>
      </c>
      <c r="R190" s="200">
        <f t="shared" si="117"/>
        <v>0</v>
      </c>
      <c r="S190" s="133">
        <f t="shared" si="149"/>
        <v>0</v>
      </c>
      <c r="T190" s="133">
        <f t="shared" si="150"/>
        <v>0</v>
      </c>
      <c r="U190" s="133">
        <f t="shared" si="151"/>
        <v>0</v>
      </c>
      <c r="V190" s="200">
        <f t="shared" si="121"/>
        <v>0</v>
      </c>
      <c r="W190" s="200">
        <f t="shared" si="122"/>
        <v>0</v>
      </c>
      <c r="X190" s="200">
        <f t="shared" si="123"/>
        <v>0</v>
      </c>
      <c r="Y190" s="63"/>
      <c r="Z190" s="63"/>
      <c r="AA190" s="63"/>
      <c r="AB190" s="200">
        <f t="shared" si="137"/>
        <v>0</v>
      </c>
      <c r="AC190" s="200">
        <f t="shared" si="138"/>
        <v>0</v>
      </c>
      <c r="AD190" s="200">
        <f t="shared" si="139"/>
        <v>0</v>
      </c>
      <c r="AE190" s="199">
        <f t="shared" si="175"/>
        <v>0</v>
      </c>
      <c r="AF190" s="199">
        <f t="shared" si="141"/>
        <v>0</v>
      </c>
      <c r="AG190" s="199">
        <f t="shared" si="176"/>
        <v>0</v>
      </c>
      <c r="AH190" s="199"/>
      <c r="AI190" s="200">
        <f t="shared" si="143"/>
        <v>0</v>
      </c>
      <c r="AJ190" s="200">
        <f t="shared" si="144"/>
        <v>0</v>
      </c>
      <c r="AK190" s="200">
        <f t="shared" si="145"/>
        <v>0</v>
      </c>
      <c r="AL190" s="4"/>
      <c r="AM190" s="4"/>
      <c r="AN190" s="4"/>
      <c r="AO190" s="4"/>
      <c r="AP190" s="65">
        <v>3720</v>
      </c>
      <c r="AQ190" s="18"/>
      <c r="AR190" s="10">
        <v>9920</v>
      </c>
      <c r="AS190" s="18"/>
      <c r="AT190" s="62"/>
      <c r="AU190" s="65">
        <v>69.965999999999994</v>
      </c>
      <c r="AV190" s="65">
        <v>3880.1289999999999</v>
      </c>
      <c r="AW190" s="65">
        <v>4.0479230769230767</v>
      </c>
      <c r="AX190" s="65">
        <v>6.7448461538461544</v>
      </c>
      <c r="AY190" s="65">
        <v>1280.8105891600001</v>
      </c>
      <c r="AZ190" s="63"/>
      <c r="BA190" s="65">
        <v>2416.2429999999999</v>
      </c>
      <c r="BB190" s="65">
        <v>1032.4390000000001</v>
      </c>
      <c r="BC190" s="65">
        <v>449.53123898462314</v>
      </c>
      <c r="BD190" s="65">
        <v>17.737549502477364</v>
      </c>
      <c r="BE190" s="65">
        <v>0</v>
      </c>
      <c r="BF190" s="65">
        <v>213.19694193955203</v>
      </c>
      <c r="BG190" s="65">
        <v>0</v>
      </c>
      <c r="BH190" s="65">
        <v>44.202923232317495</v>
      </c>
      <c r="BI190" s="65">
        <v>694.21307657701357</v>
      </c>
      <c r="BJ190" s="65">
        <v>0</v>
      </c>
      <c r="BK190" s="65">
        <v>19.397174608663349</v>
      </c>
      <c r="BL190" s="65">
        <v>0</v>
      </c>
      <c r="BM190" s="65">
        <v>0</v>
      </c>
      <c r="BN190" s="65">
        <v>33.291643770364956</v>
      </c>
      <c r="BO190" s="65">
        <v>189.16715592</v>
      </c>
      <c r="BP190" s="10">
        <v>1984</v>
      </c>
      <c r="BQ190" s="65">
        <v>143.33542150890537</v>
      </c>
      <c r="BR190" s="65">
        <v>187.27235492665955</v>
      </c>
      <c r="BS190" s="65">
        <v>677.63781467155434</v>
      </c>
      <c r="BT190" s="65">
        <v>227.12861787949456</v>
      </c>
      <c r="BU190" s="65">
        <v>263.9442967858202</v>
      </c>
      <c r="BV190" s="144">
        <f t="shared" si="134"/>
        <v>0</v>
      </c>
      <c r="BW190" s="144">
        <f t="shared" si="135"/>
        <v>0</v>
      </c>
      <c r="BX190" s="144">
        <f t="shared" si="136"/>
        <v>0</v>
      </c>
      <c r="BY190" s="5"/>
      <c r="BZ190" s="66">
        <v>7244.25</v>
      </c>
      <c r="CA190" s="65">
        <v>3912.0999999999995</v>
      </c>
      <c r="CB190" s="5"/>
      <c r="CC190" s="5"/>
      <c r="CD190" s="188">
        <v>13.157281760074044</v>
      </c>
      <c r="CE190" s="5"/>
      <c r="CF190" s="65">
        <v>976</v>
      </c>
      <c r="CG190" s="65">
        <v>5605</v>
      </c>
      <c r="CH190" s="70"/>
      <c r="CI190" s="70"/>
      <c r="CJ190" s="133">
        <f t="shared" si="193"/>
        <v>3097.317</v>
      </c>
      <c r="CK190" s="8">
        <f t="shared" si="172"/>
        <v>45224.943850458294</v>
      </c>
      <c r="CL190" s="202">
        <f t="shared" si="152"/>
        <v>-45224.943850458294</v>
      </c>
      <c r="CM190" s="202">
        <f t="shared" si="153"/>
        <v>-45224.943850458294</v>
      </c>
      <c r="CN190" s="202">
        <f t="shared" si="154"/>
        <v>-45224.943850458294</v>
      </c>
      <c r="CO190" s="9">
        <f t="shared" si="155"/>
        <v>-45224.943850458294</v>
      </c>
      <c r="CP190" s="9">
        <f t="shared" si="156"/>
        <v>-45224.943850458294</v>
      </c>
      <c r="CQ190" s="9">
        <f t="shared" si="157"/>
        <v>-45224.943850458294</v>
      </c>
      <c r="CR190" s="202">
        <f t="shared" si="158"/>
        <v>-45224.943850458294</v>
      </c>
      <c r="CS190" s="202">
        <f t="shared" si="159"/>
        <v>-45224.943850458294</v>
      </c>
      <c r="CT190" s="202">
        <f t="shared" si="160"/>
        <v>-45224.943850458294</v>
      </c>
      <c r="CU190" s="203" t="e">
        <f t="shared" si="161"/>
        <v>#DIV/0!</v>
      </c>
      <c r="CV190" s="203" t="e">
        <f t="shared" si="162"/>
        <v>#DIV/0!</v>
      </c>
      <c r="CW190" s="203" t="e">
        <f t="shared" si="163"/>
        <v>#DIV/0!</v>
      </c>
      <c r="CX190" s="19" t="e">
        <f t="shared" si="164"/>
        <v>#DIV/0!</v>
      </c>
      <c r="CY190" s="19" t="e">
        <f t="shared" si="165"/>
        <v>#DIV/0!</v>
      </c>
      <c r="CZ190" s="19" t="e">
        <f t="shared" si="166"/>
        <v>#DIV/0!</v>
      </c>
      <c r="DA190" s="203" t="e">
        <f t="shared" si="167"/>
        <v>#DIV/0!</v>
      </c>
      <c r="DB190" s="203" t="e">
        <f t="shared" si="168"/>
        <v>#DIV/0!</v>
      </c>
      <c r="DC190" s="203" t="e">
        <f t="shared" si="169"/>
        <v>#DIV/0!</v>
      </c>
      <c r="DD190" s="65"/>
      <c r="DE190" s="66"/>
      <c r="DF190" s="66"/>
      <c r="DG190" s="66"/>
      <c r="DH190" s="66"/>
      <c r="DI190" s="66"/>
      <c r="DJ190" s="65"/>
      <c r="DK190" s="66"/>
      <c r="DL190" s="66"/>
      <c r="DM190" s="8">
        <f t="shared" si="170"/>
        <v>0</v>
      </c>
      <c r="DN190" s="8">
        <f t="shared" si="171"/>
        <v>45224.943850458294</v>
      </c>
      <c r="DO190" s="202">
        <f t="shared" si="177"/>
        <v>-45224.943850458294</v>
      </c>
      <c r="DP190" s="202">
        <f t="shared" si="178"/>
        <v>-45224.943850458294</v>
      </c>
      <c r="DQ190" s="202">
        <f t="shared" si="179"/>
        <v>-45224.943850458294</v>
      </c>
      <c r="DR190" s="9">
        <f t="shared" si="180"/>
        <v>-45224.943850458294</v>
      </c>
      <c r="DS190" s="9">
        <f t="shared" si="173"/>
        <v>-45224.943850458294</v>
      </c>
      <c r="DT190" s="9">
        <f t="shared" si="181"/>
        <v>-45224.943850458294</v>
      </c>
      <c r="DU190" s="202">
        <f t="shared" si="182"/>
        <v>-45224.943850458294</v>
      </c>
      <c r="DV190" s="202">
        <f t="shared" si="183"/>
        <v>-45224.943850458294</v>
      </c>
      <c r="DW190" s="202">
        <f t="shared" si="184"/>
        <v>-45224.943850458294</v>
      </c>
      <c r="DX190" s="203" t="e">
        <f t="shared" si="185"/>
        <v>#DIV/0!</v>
      </c>
      <c r="DY190" s="203" t="e">
        <f t="shared" si="186"/>
        <v>#DIV/0!</v>
      </c>
      <c r="DZ190" s="203" t="e">
        <f t="shared" si="187"/>
        <v>#DIV/0!</v>
      </c>
      <c r="EA190" s="19" t="e">
        <f t="shared" si="188"/>
        <v>#DIV/0!</v>
      </c>
      <c r="EB190" s="19" t="e">
        <f t="shared" si="174"/>
        <v>#DIV/0!</v>
      </c>
      <c r="EC190" s="19" t="e">
        <f t="shared" si="189"/>
        <v>#DIV/0!</v>
      </c>
      <c r="ED190" s="203" t="e">
        <f t="shared" si="190"/>
        <v>#DIV/0!</v>
      </c>
      <c r="EE190" s="203" t="e">
        <f t="shared" si="191"/>
        <v>#DIV/0!</v>
      </c>
      <c r="EF190" s="203" t="e">
        <f t="shared" si="192"/>
        <v>#DIV/0!</v>
      </c>
      <c r="EH190" s="58">
        <f t="shared" si="127"/>
        <v>41075.696857527888</v>
      </c>
      <c r="EI190" s="68" t="e">
        <f t="shared" si="128"/>
        <v>#DIV/0!</v>
      </c>
      <c r="EJ190" s="58">
        <f t="shared" si="129"/>
        <v>33831.446857527888</v>
      </c>
      <c r="EK190" s="68" t="e">
        <f t="shared" si="128"/>
        <v>#DIV/0!</v>
      </c>
      <c r="EL190" s="58">
        <f t="shared" si="130"/>
        <v>2946.8592683678939</v>
      </c>
      <c r="EM190" s="58">
        <f t="shared" si="131"/>
        <v>2946.8592683678939</v>
      </c>
      <c r="EN190" s="68" t="e">
        <f t="shared" si="132"/>
        <v>#DIV/0!</v>
      </c>
      <c r="EO190" s="139">
        <f t="shared" si="147"/>
        <v>0.32861286969700848</v>
      </c>
      <c r="EP190">
        <f>+(SUM(M190:O190)*EO190*(1-'[1]Tier 3 Data'!$A$2))</f>
        <v>0</v>
      </c>
    </row>
    <row r="191" spans="1:146" x14ac:dyDescent="0.2">
      <c r="A191" s="43">
        <v>0</v>
      </c>
      <c r="B191" s="43">
        <v>0</v>
      </c>
      <c r="C191" s="43">
        <v>0</v>
      </c>
      <c r="D191" s="70">
        <v>2023</v>
      </c>
      <c r="E191" s="70">
        <v>4</v>
      </c>
      <c r="F191" s="2">
        <v>720</v>
      </c>
      <c r="G191" s="63"/>
      <c r="H191" s="63"/>
      <c r="I191" s="63"/>
      <c r="J191" s="133">
        <f t="shared" si="124"/>
        <v>0</v>
      </c>
      <c r="K191" s="65">
        <v>0</v>
      </c>
      <c r="L191" s="133">
        <f t="shared" si="125"/>
        <v>0</v>
      </c>
      <c r="M191" s="63"/>
      <c r="N191" s="63"/>
      <c r="O191" s="63"/>
      <c r="P191" s="200">
        <f t="shared" si="115"/>
        <v>0</v>
      </c>
      <c r="Q191" s="200">
        <f t="shared" si="116"/>
        <v>0</v>
      </c>
      <c r="R191" s="200">
        <f t="shared" si="117"/>
        <v>0</v>
      </c>
      <c r="S191" s="133">
        <f t="shared" si="149"/>
        <v>0</v>
      </c>
      <c r="T191" s="133">
        <f t="shared" si="150"/>
        <v>0</v>
      </c>
      <c r="U191" s="133">
        <f t="shared" si="151"/>
        <v>0</v>
      </c>
      <c r="V191" s="200">
        <f t="shared" si="121"/>
        <v>0</v>
      </c>
      <c r="W191" s="200">
        <f t="shared" si="122"/>
        <v>0</v>
      </c>
      <c r="X191" s="200">
        <f t="shared" si="123"/>
        <v>0</v>
      </c>
      <c r="Y191" s="63"/>
      <c r="Z191" s="63"/>
      <c r="AA191" s="63"/>
      <c r="AB191" s="200">
        <f t="shared" si="137"/>
        <v>0</v>
      </c>
      <c r="AC191" s="200">
        <f t="shared" si="138"/>
        <v>0</v>
      </c>
      <c r="AD191" s="200">
        <f t="shared" si="139"/>
        <v>0</v>
      </c>
      <c r="AE191" s="199">
        <f t="shared" si="175"/>
        <v>0</v>
      </c>
      <c r="AF191" s="199">
        <f t="shared" si="141"/>
        <v>0</v>
      </c>
      <c r="AG191" s="199">
        <f t="shared" si="176"/>
        <v>0</v>
      </c>
      <c r="AH191" s="199"/>
      <c r="AI191" s="200">
        <f t="shared" si="143"/>
        <v>0</v>
      </c>
      <c r="AJ191" s="200">
        <f t="shared" si="144"/>
        <v>0</v>
      </c>
      <c r="AK191" s="200">
        <f t="shared" si="145"/>
        <v>0</v>
      </c>
      <c r="AL191" s="4"/>
      <c r="AM191" s="4"/>
      <c r="AN191" s="4"/>
      <c r="AO191" s="4"/>
      <c r="AP191" s="65">
        <v>2880</v>
      </c>
      <c r="AQ191" s="18"/>
      <c r="AR191" s="10">
        <v>9600</v>
      </c>
      <c r="AS191" s="18"/>
      <c r="AT191" s="62"/>
      <c r="AU191" s="65">
        <v>67.275000000000006</v>
      </c>
      <c r="AV191" s="65">
        <v>3766.0189999999998</v>
      </c>
      <c r="AW191" s="65">
        <v>4.8162307692307698</v>
      </c>
      <c r="AX191" s="65">
        <v>10.098384615384616</v>
      </c>
      <c r="AY191" s="65">
        <v>1122.6138126000001</v>
      </c>
      <c r="AZ191" s="63"/>
      <c r="BA191" s="65">
        <v>1366.578</v>
      </c>
      <c r="BB191" s="65">
        <v>720.45</v>
      </c>
      <c r="BC191" s="65">
        <v>567.6650303146555</v>
      </c>
      <c r="BD191" s="65">
        <v>15.751376692709027</v>
      </c>
      <c r="BE191" s="65">
        <v>0</v>
      </c>
      <c r="BF191" s="65">
        <v>201.0078173079965</v>
      </c>
      <c r="BG191" s="65">
        <v>0</v>
      </c>
      <c r="BH191" s="65">
        <v>138.923473015855</v>
      </c>
      <c r="BI191" s="65">
        <v>1076.6055598898511</v>
      </c>
      <c r="BJ191" s="65">
        <v>0</v>
      </c>
      <c r="BK191" s="65">
        <v>19.984033847071771</v>
      </c>
      <c r="BL191" s="65">
        <v>0</v>
      </c>
      <c r="BM191" s="65">
        <v>0</v>
      </c>
      <c r="BN191" s="65">
        <v>104.630880421147</v>
      </c>
      <c r="BO191" s="65">
        <v>183.06498960000002</v>
      </c>
      <c r="BP191" s="10">
        <v>1920</v>
      </c>
      <c r="BQ191" s="65">
        <v>153.06307234965183</v>
      </c>
      <c r="BR191" s="65">
        <v>199.98188655041713</v>
      </c>
      <c r="BS191" s="65">
        <v>723.62676464796971</v>
      </c>
      <c r="BT191" s="65">
        <v>251.49640375331393</v>
      </c>
      <c r="BU191" s="65">
        <v>270.04945204466486</v>
      </c>
      <c r="BV191" s="144">
        <f t="shared" si="134"/>
        <v>0</v>
      </c>
      <c r="BW191" s="144">
        <f t="shared" si="135"/>
        <v>0</v>
      </c>
      <c r="BX191" s="144">
        <f t="shared" si="136"/>
        <v>0</v>
      </c>
      <c r="BY191" s="5"/>
      <c r="BZ191" s="66">
        <v>0</v>
      </c>
      <c r="CA191" s="65">
        <v>1488</v>
      </c>
      <c r="CB191" s="5"/>
      <c r="CC191" s="5"/>
      <c r="CD191" s="188">
        <v>2.3725527527096357</v>
      </c>
      <c r="CE191" s="5"/>
      <c r="CF191" s="65">
        <v>2749</v>
      </c>
      <c r="CG191" s="65">
        <v>4108</v>
      </c>
      <c r="CH191" s="70"/>
      <c r="CI191" s="70"/>
      <c r="CJ191" s="133">
        <f t="shared" si="193"/>
        <v>2161.3500000000004</v>
      </c>
      <c r="CK191" s="8">
        <f t="shared" si="172"/>
        <v>33711.073721172623</v>
      </c>
      <c r="CL191" s="202">
        <f t="shared" si="152"/>
        <v>-33711.073721172623</v>
      </c>
      <c r="CM191" s="202">
        <f t="shared" si="153"/>
        <v>-33711.073721172623</v>
      </c>
      <c r="CN191" s="202">
        <f t="shared" si="154"/>
        <v>-33711.073721172623</v>
      </c>
      <c r="CO191" s="9">
        <f t="shared" si="155"/>
        <v>-33711.073721172623</v>
      </c>
      <c r="CP191" s="9">
        <f t="shared" si="156"/>
        <v>-33711.073721172623</v>
      </c>
      <c r="CQ191" s="9">
        <f t="shared" si="157"/>
        <v>-33711.073721172623</v>
      </c>
      <c r="CR191" s="202">
        <f t="shared" si="158"/>
        <v>-33711.073721172623</v>
      </c>
      <c r="CS191" s="202">
        <f t="shared" si="159"/>
        <v>-33711.073721172623</v>
      </c>
      <c r="CT191" s="202">
        <f t="shared" si="160"/>
        <v>-33711.073721172623</v>
      </c>
      <c r="CU191" s="203" t="e">
        <f t="shared" si="161"/>
        <v>#DIV/0!</v>
      </c>
      <c r="CV191" s="203" t="e">
        <f t="shared" si="162"/>
        <v>#DIV/0!</v>
      </c>
      <c r="CW191" s="203" t="e">
        <f t="shared" si="163"/>
        <v>#DIV/0!</v>
      </c>
      <c r="CX191" s="19" t="e">
        <f t="shared" si="164"/>
        <v>#DIV/0!</v>
      </c>
      <c r="CY191" s="19" t="e">
        <f t="shared" si="165"/>
        <v>#DIV/0!</v>
      </c>
      <c r="CZ191" s="19" t="e">
        <f t="shared" si="166"/>
        <v>#DIV/0!</v>
      </c>
      <c r="DA191" s="203" t="e">
        <f t="shared" si="167"/>
        <v>#DIV/0!</v>
      </c>
      <c r="DB191" s="203" t="e">
        <f t="shared" si="168"/>
        <v>#DIV/0!</v>
      </c>
      <c r="DC191" s="203" t="e">
        <f t="shared" si="169"/>
        <v>#DIV/0!</v>
      </c>
      <c r="DD191" s="65"/>
      <c r="DE191" s="66"/>
      <c r="DF191" s="66"/>
      <c r="DG191" s="66"/>
      <c r="DH191" s="66"/>
      <c r="DI191" s="66"/>
      <c r="DJ191" s="65"/>
      <c r="DK191" s="66"/>
      <c r="DL191" s="66"/>
      <c r="DM191" s="8">
        <f t="shared" si="170"/>
        <v>0</v>
      </c>
      <c r="DN191" s="8">
        <f t="shared" si="171"/>
        <v>33711.073721172623</v>
      </c>
      <c r="DO191" s="202">
        <f t="shared" si="177"/>
        <v>-33711.073721172623</v>
      </c>
      <c r="DP191" s="202">
        <f t="shared" si="178"/>
        <v>-33711.073721172623</v>
      </c>
      <c r="DQ191" s="202">
        <f t="shared" si="179"/>
        <v>-33711.073721172623</v>
      </c>
      <c r="DR191" s="9">
        <f t="shared" si="180"/>
        <v>-33711.073721172623</v>
      </c>
      <c r="DS191" s="9">
        <f t="shared" si="173"/>
        <v>-33711.073721172623</v>
      </c>
      <c r="DT191" s="9">
        <f t="shared" si="181"/>
        <v>-33711.073721172623</v>
      </c>
      <c r="DU191" s="202">
        <f t="shared" si="182"/>
        <v>-33711.073721172623</v>
      </c>
      <c r="DV191" s="202">
        <f t="shared" si="183"/>
        <v>-33711.073721172623</v>
      </c>
      <c r="DW191" s="202">
        <f t="shared" si="184"/>
        <v>-33711.073721172623</v>
      </c>
      <c r="DX191" s="203" t="e">
        <f t="shared" si="185"/>
        <v>#DIV/0!</v>
      </c>
      <c r="DY191" s="203" t="e">
        <f t="shared" si="186"/>
        <v>#DIV/0!</v>
      </c>
      <c r="DZ191" s="203" t="e">
        <f t="shared" si="187"/>
        <v>#DIV/0!</v>
      </c>
      <c r="EA191" s="19" t="e">
        <f t="shared" si="188"/>
        <v>#DIV/0!</v>
      </c>
      <c r="EB191" s="19" t="e">
        <f t="shared" si="174"/>
        <v>#DIV/0!</v>
      </c>
      <c r="EC191" s="19" t="e">
        <f t="shared" si="189"/>
        <v>#DIV/0!</v>
      </c>
      <c r="ED191" s="203" t="e">
        <f t="shared" si="190"/>
        <v>#DIV/0!</v>
      </c>
      <c r="EE191" s="203" t="e">
        <f t="shared" si="191"/>
        <v>#DIV/0!</v>
      </c>
      <c r="EF191" s="203" t="e">
        <f t="shared" si="192"/>
        <v>#DIV/0!</v>
      </c>
      <c r="EH191" s="58">
        <f t="shared" si="127"/>
        <v>32004.778735727305</v>
      </c>
      <c r="EI191" s="68" t="e">
        <f t="shared" si="128"/>
        <v>#DIV/0!</v>
      </c>
      <c r="EJ191" s="58">
        <f t="shared" si="129"/>
        <v>32004.778735727305</v>
      </c>
      <c r="EK191" s="68" t="e">
        <f t="shared" si="128"/>
        <v>#DIV/0!</v>
      </c>
      <c r="EL191" s="58">
        <f t="shared" si="130"/>
        <v>3704.8429231273071</v>
      </c>
      <c r="EM191" s="58">
        <f t="shared" si="131"/>
        <v>3704.8429231273071</v>
      </c>
      <c r="EN191" s="68" t="e">
        <f t="shared" si="132"/>
        <v>#DIV/0!</v>
      </c>
      <c r="EO191" s="139">
        <f t="shared" si="147"/>
        <v>0.35351678044029999</v>
      </c>
      <c r="EP191">
        <f>+(SUM(M191:O191)*EO191*(1-'[1]Tier 3 Data'!$A$2))</f>
        <v>0</v>
      </c>
    </row>
    <row r="192" spans="1:146" x14ac:dyDescent="0.2">
      <c r="A192" s="43">
        <v>0</v>
      </c>
      <c r="B192" s="43">
        <v>0</v>
      </c>
      <c r="C192" s="43">
        <v>0</v>
      </c>
      <c r="D192" s="70">
        <v>2023</v>
      </c>
      <c r="E192" s="70">
        <v>5</v>
      </c>
      <c r="F192" s="2">
        <v>744</v>
      </c>
      <c r="G192" s="63"/>
      <c r="H192" s="63"/>
      <c r="I192" s="63"/>
      <c r="J192" s="133">
        <f t="shared" si="124"/>
        <v>0</v>
      </c>
      <c r="K192" s="65">
        <v>0</v>
      </c>
      <c r="L192" s="133">
        <f t="shared" si="125"/>
        <v>0</v>
      </c>
      <c r="M192" s="63"/>
      <c r="N192" s="63"/>
      <c r="O192" s="63"/>
      <c r="P192" s="200">
        <f t="shared" ref="P192:P255" si="194">+$G192-J192-(30%*SUM($M192:$O192))</f>
        <v>0</v>
      </c>
      <c r="Q192" s="200">
        <f t="shared" ref="Q192:Q255" si="195">+$G192-K192-(30%*SUM($M192:$O192))</f>
        <v>0</v>
      </c>
      <c r="R192" s="200">
        <f t="shared" ref="R192:R255" si="196">+$G192-L192-(30%*SUM($M192:$O192))</f>
        <v>0</v>
      </c>
      <c r="S192" s="133">
        <f t="shared" ref="S192:S211" si="197">+$H192-J192-(30%*SUM($M192:$O192))</f>
        <v>0</v>
      </c>
      <c r="T192" s="133">
        <f t="shared" ref="T192:T211" si="198">+$H192-K192-(30%*SUM($M192:$O192))</f>
        <v>0</v>
      </c>
      <c r="U192" s="133">
        <f t="shared" ref="U192:U211" si="199">+$H192-L192-(30%*SUM($M192:$O192))</f>
        <v>0</v>
      </c>
      <c r="V192" s="200">
        <f t="shared" ref="V192:V255" si="200">+$I192-J192-(30%*SUM($M192:$O192))</f>
        <v>0</v>
      </c>
      <c r="W192" s="200">
        <f t="shared" ref="W192:W255" si="201">+$I192-K192-(30%*SUM($M192:$O192))</f>
        <v>0</v>
      </c>
      <c r="X192" s="200">
        <f t="shared" ref="X192:X255" si="202">+$I192-L192-(30%*SUM($M192:$O192))</f>
        <v>0</v>
      </c>
      <c r="Y192" s="63"/>
      <c r="Z192" s="63"/>
      <c r="AA192" s="63"/>
      <c r="AB192" s="200">
        <f t="shared" si="137"/>
        <v>0</v>
      </c>
      <c r="AC192" s="200">
        <f t="shared" si="138"/>
        <v>0</v>
      </c>
      <c r="AD192" s="200">
        <f t="shared" si="139"/>
        <v>0</v>
      </c>
      <c r="AE192" s="199">
        <f t="shared" si="175"/>
        <v>0</v>
      </c>
      <c r="AF192" s="199">
        <f t="shared" si="141"/>
        <v>0</v>
      </c>
      <c r="AG192" s="199">
        <f t="shared" si="176"/>
        <v>0</v>
      </c>
      <c r="AH192" s="199"/>
      <c r="AI192" s="200">
        <f t="shared" si="143"/>
        <v>0</v>
      </c>
      <c r="AJ192" s="200">
        <f t="shared" si="144"/>
        <v>0</v>
      </c>
      <c r="AK192" s="200">
        <f t="shared" si="145"/>
        <v>0</v>
      </c>
      <c r="AL192" s="4"/>
      <c r="AM192" s="4"/>
      <c r="AN192" s="4"/>
      <c r="AO192" s="4"/>
      <c r="AP192" s="65">
        <v>2976</v>
      </c>
      <c r="AQ192" s="18"/>
      <c r="AR192" s="10">
        <v>9920</v>
      </c>
      <c r="AS192" s="18"/>
      <c r="AT192" s="62"/>
      <c r="AU192" s="65">
        <v>67.742999999999995</v>
      </c>
      <c r="AV192" s="65">
        <v>3897.5619999999999</v>
      </c>
      <c r="AW192" s="65">
        <v>3.858769230769231</v>
      </c>
      <c r="AX192" s="65">
        <v>10.245153846153846</v>
      </c>
      <c r="AY192" s="65">
        <v>837.33634925714296</v>
      </c>
      <c r="AZ192" s="63"/>
      <c r="BA192" s="65">
        <v>1570</v>
      </c>
      <c r="BB192" s="65">
        <v>514.33500000000004</v>
      </c>
      <c r="BC192" s="65">
        <v>570.10748354622444</v>
      </c>
      <c r="BD192" s="65">
        <v>12.098699446784533</v>
      </c>
      <c r="BE192" s="65">
        <v>0</v>
      </c>
      <c r="BF192" s="65">
        <v>204.79596502442698</v>
      </c>
      <c r="BG192" s="65">
        <v>0</v>
      </c>
      <c r="BH192" s="65">
        <v>88.40584646463499</v>
      </c>
      <c r="BI192" s="65">
        <v>1081.2377964879386</v>
      </c>
      <c r="BJ192" s="65">
        <v>0</v>
      </c>
      <c r="BK192" s="65">
        <v>12.751667915526451</v>
      </c>
      <c r="BL192" s="65">
        <v>0</v>
      </c>
      <c r="BM192" s="65">
        <v>0</v>
      </c>
      <c r="BN192" s="65">
        <v>66.583287540729913</v>
      </c>
      <c r="BO192" s="65">
        <v>189.16715592</v>
      </c>
      <c r="BP192" s="10">
        <v>1984</v>
      </c>
      <c r="BQ192" s="65">
        <v>176.27527733561075</v>
      </c>
      <c r="BR192" s="65">
        <v>230.30936335589828</v>
      </c>
      <c r="BS192" s="65">
        <v>833.36557489501092</v>
      </c>
      <c r="BT192" s="65">
        <v>259.9197266777075</v>
      </c>
      <c r="BU192" s="65">
        <v>308.82887283540498</v>
      </c>
      <c r="BV192" s="144">
        <f t="shared" si="134"/>
        <v>0</v>
      </c>
      <c r="BW192" s="144">
        <f t="shared" si="135"/>
        <v>0</v>
      </c>
      <c r="BX192" s="144">
        <f t="shared" si="136"/>
        <v>0</v>
      </c>
      <c r="BY192" s="5"/>
      <c r="BZ192" s="66">
        <v>7254</v>
      </c>
      <c r="CA192" s="65">
        <v>992</v>
      </c>
      <c r="CB192" s="5"/>
      <c r="CC192" s="5"/>
      <c r="CD192" s="188">
        <v>1.4538432884059718E-2</v>
      </c>
      <c r="CE192" s="5"/>
      <c r="CF192" s="65">
        <v>1540</v>
      </c>
      <c r="CG192" s="65">
        <v>2070</v>
      </c>
      <c r="CH192" s="70"/>
      <c r="CI192" s="70"/>
      <c r="CJ192" s="133">
        <f t="shared" si="193"/>
        <v>1543.0050000000001</v>
      </c>
      <c r="CK192" s="8">
        <f t="shared" si="172"/>
        <v>37670.941528212854</v>
      </c>
      <c r="CL192" s="202">
        <f t="shared" si="152"/>
        <v>-37670.941528212854</v>
      </c>
      <c r="CM192" s="202">
        <f t="shared" si="153"/>
        <v>-37670.941528212854</v>
      </c>
      <c r="CN192" s="202">
        <f t="shared" si="154"/>
        <v>-37670.941528212854</v>
      </c>
      <c r="CO192" s="9">
        <f t="shared" si="155"/>
        <v>-37670.941528212854</v>
      </c>
      <c r="CP192" s="9">
        <f t="shared" si="156"/>
        <v>-37670.941528212854</v>
      </c>
      <c r="CQ192" s="9">
        <f t="shared" si="157"/>
        <v>-37670.941528212854</v>
      </c>
      <c r="CR192" s="202">
        <f t="shared" si="158"/>
        <v>-37670.941528212854</v>
      </c>
      <c r="CS192" s="202">
        <f t="shared" si="159"/>
        <v>-37670.941528212854</v>
      </c>
      <c r="CT192" s="202">
        <f t="shared" si="160"/>
        <v>-37670.941528212854</v>
      </c>
      <c r="CU192" s="203" t="e">
        <f t="shared" si="161"/>
        <v>#DIV/0!</v>
      </c>
      <c r="CV192" s="203" t="e">
        <f t="shared" si="162"/>
        <v>#DIV/0!</v>
      </c>
      <c r="CW192" s="203" t="e">
        <f t="shared" si="163"/>
        <v>#DIV/0!</v>
      </c>
      <c r="CX192" s="19" t="e">
        <f t="shared" si="164"/>
        <v>#DIV/0!</v>
      </c>
      <c r="CY192" s="19" t="e">
        <f t="shared" si="165"/>
        <v>#DIV/0!</v>
      </c>
      <c r="CZ192" s="19" t="e">
        <f t="shared" si="166"/>
        <v>#DIV/0!</v>
      </c>
      <c r="DA192" s="203" t="e">
        <f t="shared" si="167"/>
        <v>#DIV/0!</v>
      </c>
      <c r="DB192" s="203" t="e">
        <f t="shared" si="168"/>
        <v>#DIV/0!</v>
      </c>
      <c r="DC192" s="203" t="e">
        <f t="shared" si="169"/>
        <v>#DIV/0!</v>
      </c>
      <c r="DD192" s="65"/>
      <c r="DE192" s="66"/>
      <c r="DF192" s="66"/>
      <c r="DG192" s="66"/>
      <c r="DH192" s="66"/>
      <c r="DI192" s="66"/>
      <c r="DJ192" s="65"/>
      <c r="DK192" s="66"/>
      <c r="DL192" s="66"/>
      <c r="DM192" s="8">
        <f t="shared" si="170"/>
        <v>0</v>
      </c>
      <c r="DN192" s="8">
        <f t="shared" si="171"/>
        <v>37670.941528212854</v>
      </c>
      <c r="DO192" s="202">
        <f t="shared" si="177"/>
        <v>-37670.941528212854</v>
      </c>
      <c r="DP192" s="202">
        <f t="shared" si="178"/>
        <v>-37670.941528212854</v>
      </c>
      <c r="DQ192" s="202">
        <f t="shared" si="179"/>
        <v>-37670.941528212854</v>
      </c>
      <c r="DR192" s="9">
        <f t="shared" si="180"/>
        <v>-37670.941528212854</v>
      </c>
      <c r="DS192" s="9">
        <f t="shared" si="173"/>
        <v>-37670.941528212854</v>
      </c>
      <c r="DT192" s="9">
        <f t="shared" si="181"/>
        <v>-37670.941528212854</v>
      </c>
      <c r="DU192" s="202">
        <f t="shared" si="182"/>
        <v>-37670.941528212854</v>
      </c>
      <c r="DV192" s="202">
        <f t="shared" si="183"/>
        <v>-37670.941528212854</v>
      </c>
      <c r="DW192" s="202">
        <f t="shared" si="184"/>
        <v>-37670.941528212854</v>
      </c>
      <c r="DX192" s="203" t="e">
        <f t="shared" si="185"/>
        <v>#DIV/0!</v>
      </c>
      <c r="DY192" s="203" t="e">
        <f t="shared" si="186"/>
        <v>#DIV/0!</v>
      </c>
      <c r="DZ192" s="203" t="e">
        <f t="shared" si="187"/>
        <v>#DIV/0!</v>
      </c>
      <c r="EA192" s="19" t="e">
        <f t="shared" si="188"/>
        <v>#DIV/0!</v>
      </c>
      <c r="EB192" s="19" t="e">
        <f t="shared" si="174"/>
        <v>#DIV/0!</v>
      </c>
      <c r="EC192" s="19" t="e">
        <f t="shared" si="189"/>
        <v>#DIV/0!</v>
      </c>
      <c r="ED192" s="203" t="e">
        <f t="shared" si="190"/>
        <v>#DIV/0!</v>
      </c>
      <c r="EE192" s="203" t="e">
        <f t="shared" si="191"/>
        <v>#DIV/0!</v>
      </c>
      <c r="EF192" s="203" t="e">
        <f t="shared" si="192"/>
        <v>#DIV/0!</v>
      </c>
      <c r="EH192" s="58">
        <f t="shared" si="127"/>
        <v>36460.027101678614</v>
      </c>
      <c r="EI192" s="68" t="e">
        <f t="shared" si="128"/>
        <v>#DIV/0!</v>
      </c>
      <c r="EJ192" s="58">
        <f t="shared" si="129"/>
        <v>29206.027101678614</v>
      </c>
      <c r="EK192" s="68" t="e">
        <f t="shared" si="128"/>
        <v>#DIV/0!</v>
      </c>
      <c r="EL192" s="58">
        <f t="shared" si="130"/>
        <v>3829.0507524214713</v>
      </c>
      <c r="EM192" s="58">
        <f t="shared" si="131"/>
        <v>3829.0507524214713</v>
      </c>
      <c r="EN192" s="68" t="e">
        <f t="shared" si="132"/>
        <v>#DIV/0!</v>
      </c>
      <c r="EO192" s="139">
        <f t="shared" si="147"/>
        <v>0.28868615856523006</v>
      </c>
      <c r="EP192">
        <f>+(SUM(M192:O192)*EO192*(1-'[1]Tier 3 Data'!$A$2))</f>
        <v>0</v>
      </c>
    </row>
    <row r="193" spans="1:146" x14ac:dyDescent="0.2">
      <c r="A193" s="43">
        <v>0</v>
      </c>
      <c r="B193" s="43">
        <v>0</v>
      </c>
      <c r="C193" s="43">
        <v>0</v>
      </c>
      <c r="D193" s="70">
        <v>2023</v>
      </c>
      <c r="E193" s="70">
        <v>6</v>
      </c>
      <c r="F193" s="2">
        <v>720</v>
      </c>
      <c r="G193" s="63"/>
      <c r="H193" s="63"/>
      <c r="I193" s="63"/>
      <c r="J193" s="133">
        <f t="shared" ref="J193:J256" si="203">+K193</f>
        <v>0</v>
      </c>
      <c r="K193" s="65">
        <v>0</v>
      </c>
      <c r="L193" s="133">
        <f t="shared" ref="L193:L256" si="204">+K193</f>
        <v>0</v>
      </c>
      <c r="M193" s="63"/>
      <c r="N193" s="63"/>
      <c r="O193" s="63"/>
      <c r="P193" s="200">
        <f t="shared" si="194"/>
        <v>0</v>
      </c>
      <c r="Q193" s="200">
        <f t="shared" si="195"/>
        <v>0</v>
      </c>
      <c r="R193" s="200">
        <f t="shared" si="196"/>
        <v>0</v>
      </c>
      <c r="S193" s="133">
        <f t="shared" si="197"/>
        <v>0</v>
      </c>
      <c r="T193" s="133">
        <f t="shared" si="198"/>
        <v>0</v>
      </c>
      <c r="U193" s="133">
        <f t="shared" si="199"/>
        <v>0</v>
      </c>
      <c r="V193" s="200">
        <f t="shared" si="200"/>
        <v>0</v>
      </c>
      <c r="W193" s="200">
        <f t="shared" si="201"/>
        <v>0</v>
      </c>
      <c r="X193" s="200">
        <f t="shared" si="202"/>
        <v>0</v>
      </c>
      <c r="Y193" s="63"/>
      <c r="Z193" s="63"/>
      <c r="AA193" s="63"/>
      <c r="AB193" s="200">
        <f t="shared" si="137"/>
        <v>0</v>
      </c>
      <c r="AC193" s="200">
        <f t="shared" si="138"/>
        <v>0</v>
      </c>
      <c r="AD193" s="200">
        <f t="shared" si="139"/>
        <v>0</v>
      </c>
      <c r="AE193" s="199">
        <f t="shared" si="175"/>
        <v>0</v>
      </c>
      <c r="AF193" s="199">
        <f t="shared" si="141"/>
        <v>0</v>
      </c>
      <c r="AG193" s="199">
        <f t="shared" si="176"/>
        <v>0</v>
      </c>
      <c r="AH193" s="199"/>
      <c r="AI193" s="200">
        <f t="shared" si="143"/>
        <v>0</v>
      </c>
      <c r="AJ193" s="200">
        <f t="shared" si="144"/>
        <v>0</v>
      </c>
      <c r="AK193" s="200">
        <f t="shared" si="145"/>
        <v>0</v>
      </c>
      <c r="AL193" s="4"/>
      <c r="AM193" s="4"/>
      <c r="AN193" s="4"/>
      <c r="AO193" s="4"/>
      <c r="AP193" s="65">
        <v>2880</v>
      </c>
      <c r="AQ193" s="18"/>
      <c r="AR193" s="10">
        <v>9600</v>
      </c>
      <c r="AS193" s="18"/>
      <c r="AT193" s="62"/>
      <c r="AU193" s="65">
        <v>71.253</v>
      </c>
      <c r="AV193" s="65">
        <v>3752.5479999999998</v>
      </c>
      <c r="AW193" s="65">
        <v>3.1302307692307689</v>
      </c>
      <c r="AX193" s="65">
        <v>6.586615384615385</v>
      </c>
      <c r="AY193" s="65">
        <v>1170.1048746057143</v>
      </c>
      <c r="AZ193" s="63"/>
      <c r="BA193" s="65">
        <v>2058.0909999999999</v>
      </c>
      <c r="BB193" s="65">
        <v>523.84</v>
      </c>
      <c r="BC193" s="65">
        <v>605.91554170888298</v>
      </c>
      <c r="BD193" s="65">
        <v>8.3809700100652513</v>
      </c>
      <c r="BE193" s="65">
        <v>0</v>
      </c>
      <c r="BF193" s="65">
        <v>179.82494093729514</v>
      </c>
      <c r="BG193" s="65">
        <v>0</v>
      </c>
      <c r="BH193" s="65">
        <v>37.888219913415</v>
      </c>
      <c r="BI193" s="65">
        <v>1149.1495973705983</v>
      </c>
      <c r="BJ193" s="65">
        <v>0</v>
      </c>
      <c r="BK193" s="65">
        <v>11.763509963764358</v>
      </c>
      <c r="BL193" s="65">
        <v>0</v>
      </c>
      <c r="BM193" s="65">
        <v>0</v>
      </c>
      <c r="BN193" s="65">
        <v>28.535694660312817</v>
      </c>
      <c r="BO193" s="65">
        <v>183.06498960000002</v>
      </c>
      <c r="BP193" s="10">
        <f>2*16*30</f>
        <v>960</v>
      </c>
      <c r="BQ193" s="65">
        <v>171.38517604713266</v>
      </c>
      <c r="BR193" s="65">
        <v>223.92032871304428</v>
      </c>
      <c r="BS193" s="65">
        <v>810.24709414793404</v>
      </c>
      <c r="BT193" s="65">
        <v>272.06572260060108</v>
      </c>
      <c r="BU193" s="65">
        <v>300.7535204105763</v>
      </c>
      <c r="BV193" s="144">
        <f t="shared" si="134"/>
        <v>0</v>
      </c>
      <c r="BW193" s="144">
        <f t="shared" si="135"/>
        <v>0</v>
      </c>
      <c r="BX193" s="144">
        <f t="shared" si="136"/>
        <v>0</v>
      </c>
      <c r="BY193" s="5"/>
      <c r="BZ193" s="66">
        <v>7020</v>
      </c>
      <c r="CA193" s="65">
        <v>2828.8</v>
      </c>
      <c r="CB193" s="5"/>
      <c r="CC193" s="5"/>
      <c r="CD193" s="188">
        <v>2.1777775833862054</v>
      </c>
      <c r="CE193" s="5"/>
      <c r="CF193" s="65">
        <v>758</v>
      </c>
      <c r="CG193" s="65">
        <v>1853</v>
      </c>
      <c r="CH193" s="70"/>
      <c r="CI193" s="70"/>
      <c r="CJ193" s="133">
        <f t="shared" si="193"/>
        <v>1571.52</v>
      </c>
      <c r="CK193" s="8">
        <f t="shared" si="172"/>
        <v>37470.426804426563</v>
      </c>
      <c r="CL193" s="202">
        <f t="shared" si="152"/>
        <v>-37470.426804426563</v>
      </c>
      <c r="CM193" s="202">
        <f t="shared" si="153"/>
        <v>-37470.426804426563</v>
      </c>
      <c r="CN193" s="202">
        <f t="shared" si="154"/>
        <v>-37470.426804426563</v>
      </c>
      <c r="CO193" s="9">
        <f t="shared" si="155"/>
        <v>-37470.426804426563</v>
      </c>
      <c r="CP193" s="9">
        <f t="shared" si="156"/>
        <v>-37470.426804426563</v>
      </c>
      <c r="CQ193" s="9">
        <f t="shared" si="157"/>
        <v>-37470.426804426563</v>
      </c>
      <c r="CR193" s="202">
        <f t="shared" si="158"/>
        <v>-37470.426804426563</v>
      </c>
      <c r="CS193" s="202">
        <f t="shared" si="159"/>
        <v>-37470.426804426563</v>
      </c>
      <c r="CT193" s="202">
        <f t="shared" si="160"/>
        <v>-37470.426804426563</v>
      </c>
      <c r="CU193" s="203" t="e">
        <f t="shared" si="161"/>
        <v>#DIV/0!</v>
      </c>
      <c r="CV193" s="203" t="e">
        <f t="shared" si="162"/>
        <v>#DIV/0!</v>
      </c>
      <c r="CW193" s="203" t="e">
        <f t="shared" si="163"/>
        <v>#DIV/0!</v>
      </c>
      <c r="CX193" s="19" t="e">
        <f t="shared" si="164"/>
        <v>#DIV/0!</v>
      </c>
      <c r="CY193" s="19" t="e">
        <f t="shared" si="165"/>
        <v>#DIV/0!</v>
      </c>
      <c r="CZ193" s="19" t="e">
        <f t="shared" si="166"/>
        <v>#DIV/0!</v>
      </c>
      <c r="DA193" s="203" t="e">
        <f t="shared" si="167"/>
        <v>#DIV/0!</v>
      </c>
      <c r="DB193" s="203" t="e">
        <f t="shared" si="168"/>
        <v>#DIV/0!</v>
      </c>
      <c r="DC193" s="203" t="e">
        <f t="shared" si="169"/>
        <v>#DIV/0!</v>
      </c>
      <c r="DD193" s="65"/>
      <c r="DE193" s="66"/>
      <c r="DF193" s="66"/>
      <c r="DG193" s="66"/>
      <c r="DH193" s="66"/>
      <c r="DI193" s="66"/>
      <c r="DJ193" s="65"/>
      <c r="DK193" s="66"/>
      <c r="DL193" s="66"/>
      <c r="DM193" s="8">
        <f t="shared" si="170"/>
        <v>0</v>
      </c>
      <c r="DN193" s="8">
        <f t="shared" si="171"/>
        <v>37470.426804426563</v>
      </c>
      <c r="DO193" s="202">
        <f t="shared" si="177"/>
        <v>-37470.426804426563</v>
      </c>
      <c r="DP193" s="202">
        <f t="shared" si="178"/>
        <v>-37470.426804426563</v>
      </c>
      <c r="DQ193" s="202">
        <f t="shared" si="179"/>
        <v>-37470.426804426563</v>
      </c>
      <c r="DR193" s="9">
        <f t="shared" si="180"/>
        <v>-37470.426804426563</v>
      </c>
      <c r="DS193" s="9">
        <f t="shared" si="173"/>
        <v>-37470.426804426563</v>
      </c>
      <c r="DT193" s="9">
        <f t="shared" si="181"/>
        <v>-37470.426804426563</v>
      </c>
      <c r="DU193" s="202">
        <f t="shared" si="182"/>
        <v>-37470.426804426563</v>
      </c>
      <c r="DV193" s="202">
        <f t="shared" si="183"/>
        <v>-37470.426804426563</v>
      </c>
      <c r="DW193" s="202">
        <f t="shared" si="184"/>
        <v>-37470.426804426563</v>
      </c>
      <c r="DX193" s="203" t="e">
        <f t="shared" si="185"/>
        <v>#DIV/0!</v>
      </c>
      <c r="DY193" s="203" t="e">
        <f t="shared" si="186"/>
        <v>#DIV/0!</v>
      </c>
      <c r="DZ193" s="203" t="e">
        <f t="shared" si="187"/>
        <v>#DIV/0!</v>
      </c>
      <c r="EA193" s="19" t="e">
        <f t="shared" si="188"/>
        <v>#DIV/0!</v>
      </c>
      <c r="EB193" s="19" t="e">
        <f t="shared" si="174"/>
        <v>#DIV/0!</v>
      </c>
      <c r="EC193" s="19" t="e">
        <f t="shared" si="189"/>
        <v>#DIV/0!</v>
      </c>
      <c r="ED193" s="203" t="e">
        <f t="shared" si="190"/>
        <v>#DIV/0!</v>
      </c>
      <c r="EE193" s="203" t="e">
        <f t="shared" si="191"/>
        <v>#DIV/0!</v>
      </c>
      <c r="EF193" s="203" t="e">
        <f t="shared" si="192"/>
        <v>#DIV/0!</v>
      </c>
      <c r="EH193" s="58">
        <f t="shared" si="127"/>
        <v>34449.907239752036</v>
      </c>
      <c r="EI193" s="68" t="e">
        <f t="shared" si="128"/>
        <v>#DIV/0!</v>
      </c>
      <c r="EJ193" s="58">
        <f t="shared" si="129"/>
        <v>27429.907239752036</v>
      </c>
      <c r="EK193" s="68" t="e">
        <f t="shared" si="128"/>
        <v>#DIV/0!</v>
      </c>
      <c r="EL193" s="58">
        <f t="shared" si="130"/>
        <v>3803.0703651463273</v>
      </c>
      <c r="EM193" s="58">
        <f t="shared" si="131"/>
        <v>3803.0703651463273</v>
      </c>
      <c r="EN193" s="68" t="e">
        <f t="shared" si="132"/>
        <v>#DIV/0!</v>
      </c>
      <c r="EO193" s="139">
        <f t="shared" si="147"/>
        <v>0.24029016665052916</v>
      </c>
      <c r="EP193">
        <f>+(SUM(M193:O193)*EO193*(1-'[1]Tier 3 Data'!$A$2))</f>
        <v>0</v>
      </c>
    </row>
    <row r="194" spans="1:146" x14ac:dyDescent="0.2">
      <c r="A194" s="43">
        <v>0</v>
      </c>
      <c r="B194" s="43">
        <v>0</v>
      </c>
      <c r="C194" s="43">
        <v>0</v>
      </c>
      <c r="D194" s="70">
        <v>2023</v>
      </c>
      <c r="E194" s="70">
        <v>7</v>
      </c>
      <c r="F194" s="2">
        <v>744</v>
      </c>
      <c r="G194" s="63"/>
      <c r="H194" s="63"/>
      <c r="I194" s="63"/>
      <c r="J194" s="133">
        <f t="shared" si="203"/>
        <v>0</v>
      </c>
      <c r="K194" s="65">
        <v>0</v>
      </c>
      <c r="L194" s="133">
        <f t="shared" si="204"/>
        <v>0</v>
      </c>
      <c r="M194" s="63"/>
      <c r="N194" s="63"/>
      <c r="O194" s="63"/>
      <c r="P194" s="200">
        <f t="shared" si="194"/>
        <v>0</v>
      </c>
      <c r="Q194" s="200">
        <f t="shared" si="195"/>
        <v>0</v>
      </c>
      <c r="R194" s="200">
        <f t="shared" si="196"/>
        <v>0</v>
      </c>
      <c r="S194" s="133">
        <f t="shared" si="197"/>
        <v>0</v>
      </c>
      <c r="T194" s="133">
        <f t="shared" si="198"/>
        <v>0</v>
      </c>
      <c r="U194" s="133">
        <f t="shared" si="199"/>
        <v>0</v>
      </c>
      <c r="V194" s="200">
        <f t="shared" si="200"/>
        <v>0</v>
      </c>
      <c r="W194" s="200">
        <f t="shared" si="201"/>
        <v>0</v>
      </c>
      <c r="X194" s="200">
        <f t="shared" si="202"/>
        <v>0</v>
      </c>
      <c r="Y194" s="63"/>
      <c r="Z194" s="63"/>
      <c r="AA194" s="63"/>
      <c r="AB194" s="200">
        <f t="shared" si="137"/>
        <v>0</v>
      </c>
      <c r="AC194" s="200">
        <f t="shared" si="138"/>
        <v>0</v>
      </c>
      <c r="AD194" s="200">
        <f t="shared" si="139"/>
        <v>0</v>
      </c>
      <c r="AE194" s="199">
        <f t="shared" si="175"/>
        <v>0</v>
      </c>
      <c r="AF194" s="199">
        <f t="shared" si="141"/>
        <v>0</v>
      </c>
      <c r="AG194" s="199">
        <f t="shared" si="176"/>
        <v>0</v>
      </c>
      <c r="AH194" s="199"/>
      <c r="AI194" s="200">
        <f t="shared" si="143"/>
        <v>0</v>
      </c>
      <c r="AJ194" s="200">
        <f t="shared" si="144"/>
        <v>0</v>
      </c>
      <c r="AK194" s="200">
        <f t="shared" si="145"/>
        <v>0</v>
      </c>
      <c r="AL194" s="4"/>
      <c r="AM194" s="4"/>
      <c r="AN194" s="4"/>
      <c r="AO194" s="4"/>
      <c r="AP194" s="65">
        <v>2976</v>
      </c>
      <c r="AQ194" s="18"/>
      <c r="AR194" s="10">
        <v>9920</v>
      </c>
      <c r="AS194" s="18"/>
      <c r="AT194" s="62"/>
      <c r="AU194" s="65">
        <v>79.911000000000001</v>
      </c>
      <c r="AV194" s="65">
        <v>3856.3560000000002</v>
      </c>
      <c r="AW194" s="65">
        <v>2.203846153846154</v>
      </c>
      <c r="AX194" s="65">
        <v>4.5984999999999996</v>
      </c>
      <c r="AY194" s="65">
        <v>1237.5528587885699</v>
      </c>
      <c r="AZ194" s="63"/>
      <c r="BA194" s="65">
        <v>1516.482</v>
      </c>
      <c r="BB194" s="65">
        <v>437.45499999999998</v>
      </c>
      <c r="BC194" s="65">
        <v>586.79739986786444</v>
      </c>
      <c r="BD194" s="65">
        <v>7.5724679441334652</v>
      </c>
      <c r="BE194" s="65">
        <v>0</v>
      </c>
      <c r="BF194" s="65">
        <v>144.12352207184469</v>
      </c>
      <c r="BG194" s="65">
        <v>0</v>
      </c>
      <c r="BH194" s="65">
        <v>37.888219913415</v>
      </c>
      <c r="BI194" s="65">
        <v>1300.797666513422</v>
      </c>
      <c r="BJ194" s="65">
        <v>0</v>
      </c>
      <c r="BK194" s="65">
        <v>9.5733821057653241</v>
      </c>
      <c r="BL194" s="65">
        <v>0</v>
      </c>
      <c r="BM194" s="65">
        <v>0</v>
      </c>
      <c r="BN194" s="65">
        <v>28.535694660312817</v>
      </c>
      <c r="BO194" s="65">
        <v>212.18019192</v>
      </c>
      <c r="BP194" s="10">
        <f>2*16*31</f>
        <v>992</v>
      </c>
      <c r="BQ194" s="65">
        <v>173.36581247322198</v>
      </c>
      <c r="BR194" s="65">
        <v>226.50801693113527</v>
      </c>
      <c r="BS194" s="65">
        <v>819.61054438568783</v>
      </c>
      <c r="BT194" s="65">
        <v>281.11362382239554</v>
      </c>
      <c r="BU194" s="65">
        <v>309.22449522321978</v>
      </c>
      <c r="BV194" s="144">
        <f t="shared" si="134"/>
        <v>0</v>
      </c>
      <c r="BW194" s="144">
        <f t="shared" si="135"/>
        <v>0</v>
      </c>
      <c r="BX194" s="144">
        <f t="shared" si="136"/>
        <v>0</v>
      </c>
      <c r="BY194" s="5"/>
      <c r="BZ194" s="66">
        <v>7254</v>
      </c>
      <c r="CA194" s="65">
        <v>5087.2</v>
      </c>
      <c r="CB194" s="5"/>
      <c r="CC194" s="5"/>
      <c r="CD194" s="188">
        <v>2.1042112926473342</v>
      </c>
      <c r="CE194" s="5"/>
      <c r="CF194" s="65">
        <v>2468</v>
      </c>
      <c r="CG194" s="65">
        <v>1568</v>
      </c>
      <c r="CH194" s="70"/>
      <c r="CI194" s="70"/>
      <c r="CJ194" s="133">
        <f t="shared" si="193"/>
        <v>1312.365</v>
      </c>
      <c r="CK194" s="8">
        <f t="shared" si="172"/>
        <v>41539.15445406748</v>
      </c>
      <c r="CL194" s="202">
        <f t="shared" si="152"/>
        <v>-41539.15445406748</v>
      </c>
      <c r="CM194" s="202">
        <f t="shared" si="153"/>
        <v>-41539.15445406748</v>
      </c>
      <c r="CN194" s="202">
        <f t="shared" si="154"/>
        <v>-41539.15445406748</v>
      </c>
      <c r="CO194" s="9">
        <f t="shared" si="155"/>
        <v>-41539.15445406748</v>
      </c>
      <c r="CP194" s="9">
        <f t="shared" si="156"/>
        <v>-41539.15445406748</v>
      </c>
      <c r="CQ194" s="9">
        <f t="shared" si="157"/>
        <v>-41539.15445406748</v>
      </c>
      <c r="CR194" s="202">
        <f t="shared" si="158"/>
        <v>-41539.15445406748</v>
      </c>
      <c r="CS194" s="202">
        <f t="shared" si="159"/>
        <v>-41539.15445406748</v>
      </c>
      <c r="CT194" s="202">
        <f t="shared" si="160"/>
        <v>-41539.15445406748</v>
      </c>
      <c r="CU194" s="203" t="e">
        <f t="shared" si="161"/>
        <v>#DIV/0!</v>
      </c>
      <c r="CV194" s="203" t="e">
        <f t="shared" si="162"/>
        <v>#DIV/0!</v>
      </c>
      <c r="CW194" s="203" t="e">
        <f t="shared" si="163"/>
        <v>#DIV/0!</v>
      </c>
      <c r="CX194" s="19" t="e">
        <f t="shared" si="164"/>
        <v>#DIV/0!</v>
      </c>
      <c r="CY194" s="19" t="e">
        <f t="shared" si="165"/>
        <v>#DIV/0!</v>
      </c>
      <c r="CZ194" s="19" t="e">
        <f t="shared" si="166"/>
        <v>#DIV/0!</v>
      </c>
      <c r="DA194" s="203" t="e">
        <f t="shared" si="167"/>
        <v>#DIV/0!</v>
      </c>
      <c r="DB194" s="203" t="e">
        <f t="shared" si="168"/>
        <v>#DIV/0!</v>
      </c>
      <c r="DC194" s="203" t="e">
        <f t="shared" si="169"/>
        <v>#DIV/0!</v>
      </c>
      <c r="DD194" s="65"/>
      <c r="DE194" s="66"/>
      <c r="DF194" s="66"/>
      <c r="DG194" s="66"/>
      <c r="DH194" s="66"/>
      <c r="DI194" s="66"/>
      <c r="DJ194" s="65"/>
      <c r="DK194" s="66"/>
      <c r="DL194" s="66"/>
      <c r="DM194" s="8">
        <f t="shared" si="170"/>
        <v>0</v>
      </c>
      <c r="DN194" s="8">
        <f t="shared" si="171"/>
        <v>41539.15445406748</v>
      </c>
      <c r="DO194" s="202">
        <f t="shared" si="177"/>
        <v>-41539.15445406748</v>
      </c>
      <c r="DP194" s="202">
        <f t="shared" si="178"/>
        <v>-41539.15445406748</v>
      </c>
      <c r="DQ194" s="202">
        <f t="shared" si="179"/>
        <v>-41539.15445406748</v>
      </c>
      <c r="DR194" s="9">
        <f t="shared" si="180"/>
        <v>-41539.15445406748</v>
      </c>
      <c r="DS194" s="9">
        <f t="shared" si="173"/>
        <v>-41539.15445406748</v>
      </c>
      <c r="DT194" s="9">
        <f t="shared" si="181"/>
        <v>-41539.15445406748</v>
      </c>
      <c r="DU194" s="202">
        <f t="shared" si="182"/>
        <v>-41539.15445406748</v>
      </c>
      <c r="DV194" s="202">
        <f t="shared" si="183"/>
        <v>-41539.15445406748</v>
      </c>
      <c r="DW194" s="202">
        <f t="shared" si="184"/>
        <v>-41539.15445406748</v>
      </c>
      <c r="DX194" s="203" t="e">
        <f t="shared" si="185"/>
        <v>#DIV/0!</v>
      </c>
      <c r="DY194" s="203" t="e">
        <f t="shared" si="186"/>
        <v>#DIV/0!</v>
      </c>
      <c r="DZ194" s="203" t="e">
        <f t="shared" si="187"/>
        <v>#DIV/0!</v>
      </c>
      <c r="EA194" s="19" t="e">
        <f t="shared" si="188"/>
        <v>#DIV/0!</v>
      </c>
      <c r="EB194" s="19" t="e">
        <f t="shared" si="174"/>
        <v>#DIV/0!</v>
      </c>
      <c r="EC194" s="19" t="e">
        <f t="shared" si="189"/>
        <v>#DIV/0!</v>
      </c>
      <c r="ED194" s="203" t="e">
        <f t="shared" si="190"/>
        <v>#DIV/0!</v>
      </c>
      <c r="EE194" s="203" t="e">
        <f t="shared" si="191"/>
        <v>#DIV/0!</v>
      </c>
      <c r="EF194" s="203" t="e">
        <f t="shared" si="192"/>
        <v>#DIV/0!</v>
      </c>
      <c r="EH194" s="58">
        <f t="shared" si="127"/>
        <v>36298.924374549148</v>
      </c>
      <c r="EI194" s="68" t="e">
        <f t="shared" si="128"/>
        <v>#DIV/0!</v>
      </c>
      <c r="EJ194" s="58">
        <f t="shared" si="129"/>
        <v>29044.924374549148</v>
      </c>
      <c r="EK194" s="68" t="e">
        <f t="shared" si="128"/>
        <v>#DIV/0!</v>
      </c>
      <c r="EL194" s="58">
        <f t="shared" si="130"/>
        <v>3993.1675157605737</v>
      </c>
      <c r="EM194" s="58">
        <f t="shared" si="131"/>
        <v>3993.1675157605737</v>
      </c>
      <c r="EN194" s="68" t="e">
        <f t="shared" si="132"/>
        <v>#DIV/0!</v>
      </c>
      <c r="EO194" s="139">
        <f t="shared" si="147"/>
        <v>0.25197746931178833</v>
      </c>
      <c r="EP194">
        <f>+(SUM(M194:O194)*EO194*(1-'[1]Tier 3 Data'!$A$2))</f>
        <v>0</v>
      </c>
    </row>
    <row r="195" spans="1:146" x14ac:dyDescent="0.2">
      <c r="A195" s="43">
        <v>0</v>
      </c>
      <c r="B195" s="43">
        <v>0</v>
      </c>
      <c r="C195" s="43">
        <v>0</v>
      </c>
      <c r="D195" s="70">
        <v>2023</v>
      </c>
      <c r="E195" s="70">
        <v>8</v>
      </c>
      <c r="F195" s="2">
        <v>744</v>
      </c>
      <c r="G195" s="63"/>
      <c r="H195" s="63"/>
      <c r="I195" s="63"/>
      <c r="J195" s="133">
        <f t="shared" si="203"/>
        <v>0</v>
      </c>
      <c r="K195" s="65">
        <v>0</v>
      </c>
      <c r="L195" s="133">
        <f t="shared" si="204"/>
        <v>0</v>
      </c>
      <c r="M195" s="63"/>
      <c r="N195" s="63"/>
      <c r="O195" s="63"/>
      <c r="P195" s="200">
        <f t="shared" si="194"/>
        <v>0</v>
      </c>
      <c r="Q195" s="200">
        <f t="shared" si="195"/>
        <v>0</v>
      </c>
      <c r="R195" s="200">
        <f t="shared" si="196"/>
        <v>0</v>
      </c>
      <c r="S195" s="133">
        <f t="shared" si="197"/>
        <v>0</v>
      </c>
      <c r="T195" s="133">
        <f t="shared" si="198"/>
        <v>0</v>
      </c>
      <c r="U195" s="133">
        <f t="shared" si="199"/>
        <v>0</v>
      </c>
      <c r="V195" s="200">
        <f t="shared" si="200"/>
        <v>0</v>
      </c>
      <c r="W195" s="200">
        <f t="shared" si="201"/>
        <v>0</v>
      </c>
      <c r="X195" s="200">
        <f t="shared" si="202"/>
        <v>0</v>
      </c>
      <c r="Y195" s="63"/>
      <c r="Z195" s="63"/>
      <c r="AA195" s="63"/>
      <c r="AB195" s="200">
        <f t="shared" si="137"/>
        <v>0</v>
      </c>
      <c r="AC195" s="200">
        <f t="shared" si="138"/>
        <v>0</v>
      </c>
      <c r="AD195" s="200">
        <f t="shared" si="139"/>
        <v>0</v>
      </c>
      <c r="AE195" s="199">
        <f t="shared" si="175"/>
        <v>0</v>
      </c>
      <c r="AF195" s="199">
        <f t="shared" si="141"/>
        <v>0</v>
      </c>
      <c r="AG195" s="199">
        <f t="shared" si="176"/>
        <v>0</v>
      </c>
      <c r="AH195" s="199"/>
      <c r="AI195" s="200">
        <f t="shared" si="143"/>
        <v>0</v>
      </c>
      <c r="AJ195" s="200">
        <f t="shared" si="144"/>
        <v>0</v>
      </c>
      <c r="AK195" s="200">
        <f t="shared" si="145"/>
        <v>0</v>
      </c>
      <c r="AL195" s="4"/>
      <c r="AM195" s="4"/>
      <c r="AN195" s="4"/>
      <c r="AO195" s="4"/>
      <c r="AP195" s="65">
        <v>2976</v>
      </c>
      <c r="AQ195" s="18"/>
      <c r="AR195" s="10">
        <v>9920</v>
      </c>
      <c r="AS195" s="18"/>
      <c r="AT195" s="62"/>
      <c r="AU195" s="65">
        <v>75.581999999999994</v>
      </c>
      <c r="AV195" s="65">
        <v>3871.0160000000001</v>
      </c>
      <c r="AW195" s="65">
        <v>1.60704</v>
      </c>
      <c r="AX195" s="65">
        <v>3.7436400000000001</v>
      </c>
      <c r="AY195" s="65">
        <v>1159.3158527085716</v>
      </c>
      <c r="AZ195" s="63"/>
      <c r="BA195" s="65">
        <v>1498.2090000000001</v>
      </c>
      <c r="BB195" s="65">
        <v>437.8775</v>
      </c>
      <c r="BC195" s="65">
        <v>569.06141954142743</v>
      </c>
      <c r="BD195" s="65">
        <v>7.9692213995478474</v>
      </c>
      <c r="BE195" s="65">
        <v>0</v>
      </c>
      <c r="BF195" s="65">
        <v>158.69842331487976</v>
      </c>
      <c r="BG195" s="65">
        <v>0</v>
      </c>
      <c r="BH195" s="65">
        <v>31.573516594512498</v>
      </c>
      <c r="BI195" s="65">
        <v>1261.4809929440587</v>
      </c>
      <c r="BJ195" s="65">
        <v>0</v>
      </c>
      <c r="BK195" s="65">
        <v>11.152893841525399</v>
      </c>
      <c r="BL195" s="65">
        <v>0</v>
      </c>
      <c r="BM195" s="65">
        <v>0</v>
      </c>
      <c r="BN195" s="65">
        <v>23.779745550260685</v>
      </c>
      <c r="BO195" s="65">
        <v>212.18019192</v>
      </c>
      <c r="BP195" s="10">
        <f>2*16*31</f>
        <v>992</v>
      </c>
      <c r="BQ195" s="65">
        <v>164.53763630036693</v>
      </c>
      <c r="BR195" s="65">
        <v>214.97378745065902</v>
      </c>
      <c r="BS195" s="65">
        <v>777.87438038153914</v>
      </c>
      <c r="BT195" s="65">
        <v>266.80548168547853</v>
      </c>
      <c r="BU195" s="65">
        <v>287.7278466673273</v>
      </c>
      <c r="BV195" s="144">
        <f t="shared" si="134"/>
        <v>0</v>
      </c>
      <c r="BW195" s="144">
        <f t="shared" si="135"/>
        <v>0</v>
      </c>
      <c r="BX195" s="144">
        <f t="shared" si="136"/>
        <v>0</v>
      </c>
      <c r="BY195" s="5"/>
      <c r="BZ195" s="66">
        <v>7254</v>
      </c>
      <c r="CA195" s="65">
        <v>3164</v>
      </c>
      <c r="CB195" s="5"/>
      <c r="CC195" s="5"/>
      <c r="CD195" s="188">
        <v>16.868963591035975</v>
      </c>
      <c r="CE195" s="5"/>
      <c r="CF195" s="65">
        <v>1590</v>
      </c>
      <c r="CG195" s="65">
        <v>2629</v>
      </c>
      <c r="CH195" s="70"/>
      <c r="CI195" s="70"/>
      <c r="CJ195" s="133">
        <f t="shared" si="193"/>
        <v>1313.6324999999999</v>
      </c>
      <c r="CK195" s="8">
        <f t="shared" si="172"/>
        <v>39577.035533891183</v>
      </c>
      <c r="CL195" s="202">
        <f t="shared" si="152"/>
        <v>-39577.035533891183</v>
      </c>
      <c r="CM195" s="202">
        <f t="shared" si="153"/>
        <v>-39577.035533891183</v>
      </c>
      <c r="CN195" s="202">
        <f t="shared" si="154"/>
        <v>-39577.035533891183</v>
      </c>
      <c r="CO195" s="9">
        <f t="shared" si="155"/>
        <v>-39577.035533891183</v>
      </c>
      <c r="CP195" s="9">
        <f t="shared" si="156"/>
        <v>-39577.035533891183</v>
      </c>
      <c r="CQ195" s="9">
        <f t="shared" si="157"/>
        <v>-39577.035533891183</v>
      </c>
      <c r="CR195" s="202">
        <f t="shared" si="158"/>
        <v>-39577.035533891183</v>
      </c>
      <c r="CS195" s="202">
        <f t="shared" si="159"/>
        <v>-39577.035533891183</v>
      </c>
      <c r="CT195" s="202">
        <f t="shared" si="160"/>
        <v>-39577.035533891183</v>
      </c>
      <c r="CU195" s="203" t="e">
        <f t="shared" si="161"/>
        <v>#DIV/0!</v>
      </c>
      <c r="CV195" s="203" t="e">
        <f t="shared" si="162"/>
        <v>#DIV/0!</v>
      </c>
      <c r="CW195" s="203" t="e">
        <f t="shared" si="163"/>
        <v>#DIV/0!</v>
      </c>
      <c r="CX195" s="19" t="e">
        <f t="shared" si="164"/>
        <v>#DIV/0!</v>
      </c>
      <c r="CY195" s="19" t="e">
        <f t="shared" si="165"/>
        <v>#DIV/0!</v>
      </c>
      <c r="CZ195" s="19" t="e">
        <f t="shared" si="166"/>
        <v>#DIV/0!</v>
      </c>
      <c r="DA195" s="203" t="e">
        <f t="shared" si="167"/>
        <v>#DIV/0!</v>
      </c>
      <c r="DB195" s="203" t="e">
        <f t="shared" si="168"/>
        <v>#DIV/0!</v>
      </c>
      <c r="DC195" s="203" t="e">
        <f t="shared" si="169"/>
        <v>#DIV/0!</v>
      </c>
      <c r="DD195" s="65"/>
      <c r="DE195" s="66"/>
      <c r="DF195" s="66"/>
      <c r="DG195" s="66"/>
      <c r="DH195" s="66"/>
      <c r="DI195" s="66"/>
      <c r="DJ195" s="65"/>
      <c r="DK195" s="66"/>
      <c r="DL195" s="66"/>
      <c r="DM195" s="8">
        <f t="shared" si="170"/>
        <v>0</v>
      </c>
      <c r="DN195" s="8">
        <f t="shared" si="171"/>
        <v>39577.035533891183</v>
      </c>
      <c r="DO195" s="202">
        <f t="shared" si="177"/>
        <v>-39577.035533891183</v>
      </c>
      <c r="DP195" s="202">
        <f t="shared" si="178"/>
        <v>-39577.035533891183</v>
      </c>
      <c r="DQ195" s="202">
        <f t="shared" si="179"/>
        <v>-39577.035533891183</v>
      </c>
      <c r="DR195" s="9">
        <f t="shared" si="180"/>
        <v>-39577.035533891183</v>
      </c>
      <c r="DS195" s="9">
        <f t="shared" si="173"/>
        <v>-39577.035533891183</v>
      </c>
      <c r="DT195" s="9">
        <f t="shared" si="181"/>
        <v>-39577.035533891183</v>
      </c>
      <c r="DU195" s="202">
        <f t="shared" si="182"/>
        <v>-39577.035533891183</v>
      </c>
      <c r="DV195" s="202">
        <f t="shared" si="183"/>
        <v>-39577.035533891183</v>
      </c>
      <c r="DW195" s="202">
        <f t="shared" si="184"/>
        <v>-39577.035533891183</v>
      </c>
      <c r="DX195" s="203" t="e">
        <f t="shared" si="185"/>
        <v>#DIV/0!</v>
      </c>
      <c r="DY195" s="203" t="e">
        <f t="shared" si="186"/>
        <v>#DIV/0!</v>
      </c>
      <c r="DZ195" s="203" t="e">
        <f t="shared" si="187"/>
        <v>#DIV/0!</v>
      </c>
      <c r="EA195" s="19" t="e">
        <f t="shared" si="188"/>
        <v>#DIV/0!</v>
      </c>
      <c r="EB195" s="19" t="e">
        <f t="shared" si="174"/>
        <v>#DIV/0!</v>
      </c>
      <c r="EC195" s="19" t="e">
        <f t="shared" si="189"/>
        <v>#DIV/0!</v>
      </c>
      <c r="ED195" s="203" t="e">
        <f t="shared" si="190"/>
        <v>#DIV/0!</v>
      </c>
      <c r="EE195" s="203" t="e">
        <f t="shared" si="191"/>
        <v>#DIV/0!</v>
      </c>
      <c r="EF195" s="203" t="e">
        <f t="shared" si="192"/>
        <v>#DIV/0!</v>
      </c>
      <c r="EH195" s="58">
        <f t="shared" si="127"/>
        <v>36232.117466985277</v>
      </c>
      <c r="EI195" s="68" t="e">
        <f t="shared" si="128"/>
        <v>#DIV/0!</v>
      </c>
      <c r="EJ195" s="58">
        <f t="shared" si="129"/>
        <v>28978.117466985273</v>
      </c>
      <c r="EK195" s="68" t="e">
        <f t="shared" si="128"/>
        <v>#DIV/0!</v>
      </c>
      <c r="EL195" s="58">
        <f t="shared" si="130"/>
        <v>3829.1171142767039</v>
      </c>
      <c r="EM195" s="58">
        <f t="shared" si="131"/>
        <v>3829.1171142767039</v>
      </c>
      <c r="EN195" s="68" t="e">
        <f t="shared" si="132"/>
        <v>#DIV/0!</v>
      </c>
      <c r="EO195" s="139">
        <f t="shared" si="147"/>
        <v>0.28519905910129462</v>
      </c>
      <c r="EP195">
        <f>+(SUM(M195:O195)*EO195*(1-'[1]Tier 3 Data'!$A$2))</f>
        <v>0</v>
      </c>
    </row>
    <row r="196" spans="1:146" x14ac:dyDescent="0.2">
      <c r="A196" s="43">
        <v>0</v>
      </c>
      <c r="B196" s="43">
        <v>0</v>
      </c>
      <c r="C196" s="43">
        <v>0</v>
      </c>
      <c r="D196" s="70">
        <v>2023</v>
      </c>
      <c r="E196" s="70">
        <v>9</v>
      </c>
      <c r="F196" s="2">
        <v>720</v>
      </c>
      <c r="G196" s="63"/>
      <c r="H196" s="63"/>
      <c r="I196" s="63"/>
      <c r="J196" s="133">
        <f t="shared" si="203"/>
        <v>0</v>
      </c>
      <c r="K196" s="65">
        <v>0</v>
      </c>
      <c r="L196" s="133">
        <f t="shared" si="204"/>
        <v>0</v>
      </c>
      <c r="M196" s="63"/>
      <c r="N196" s="63"/>
      <c r="O196" s="63"/>
      <c r="P196" s="200">
        <f t="shared" si="194"/>
        <v>0</v>
      </c>
      <c r="Q196" s="200">
        <f t="shared" si="195"/>
        <v>0</v>
      </c>
      <c r="R196" s="200">
        <f t="shared" si="196"/>
        <v>0</v>
      </c>
      <c r="S196" s="133">
        <f t="shared" si="197"/>
        <v>0</v>
      </c>
      <c r="T196" s="133">
        <f t="shared" si="198"/>
        <v>0</v>
      </c>
      <c r="U196" s="133">
        <f t="shared" si="199"/>
        <v>0</v>
      </c>
      <c r="V196" s="200">
        <f t="shared" si="200"/>
        <v>0</v>
      </c>
      <c r="W196" s="200">
        <f t="shared" si="201"/>
        <v>0</v>
      </c>
      <c r="X196" s="200">
        <f t="shared" si="202"/>
        <v>0</v>
      </c>
      <c r="Y196" s="63"/>
      <c r="Z196" s="63"/>
      <c r="AA196" s="63"/>
      <c r="AB196" s="200">
        <f t="shared" si="137"/>
        <v>0</v>
      </c>
      <c r="AC196" s="200">
        <f t="shared" si="138"/>
        <v>0</v>
      </c>
      <c r="AD196" s="200">
        <f t="shared" si="139"/>
        <v>0</v>
      </c>
      <c r="AE196" s="199">
        <f t="shared" si="175"/>
        <v>0</v>
      </c>
      <c r="AF196" s="199">
        <f t="shared" si="141"/>
        <v>0</v>
      </c>
      <c r="AG196" s="199">
        <f t="shared" si="176"/>
        <v>0</v>
      </c>
      <c r="AH196" s="199"/>
      <c r="AI196" s="200">
        <f t="shared" si="143"/>
        <v>0</v>
      </c>
      <c r="AJ196" s="200">
        <f t="shared" si="144"/>
        <v>0</v>
      </c>
      <c r="AK196" s="200">
        <f t="shared" si="145"/>
        <v>0</v>
      </c>
      <c r="AL196" s="4"/>
      <c r="AM196" s="4"/>
      <c r="AN196" s="4"/>
      <c r="AO196" s="4"/>
      <c r="AP196" s="65">
        <v>2880</v>
      </c>
      <c r="AQ196" s="18"/>
      <c r="AR196" s="10">
        <v>9600</v>
      </c>
      <c r="AS196" s="18"/>
      <c r="AT196" s="62"/>
      <c r="AU196" s="65">
        <v>69.03</v>
      </c>
      <c r="AV196" s="65">
        <v>3636.8530000000001</v>
      </c>
      <c r="AW196" s="65">
        <v>1.5014799999999999</v>
      </c>
      <c r="AX196" s="65">
        <v>2.4584000000000001</v>
      </c>
      <c r="AY196" s="65">
        <v>1065.150988617143</v>
      </c>
      <c r="AZ196" s="63"/>
      <c r="BA196" s="65">
        <v>2037.9549999999999</v>
      </c>
      <c r="BB196" s="65">
        <v>662.45849999999996</v>
      </c>
      <c r="BC196" s="65">
        <v>529.48077460711397</v>
      </c>
      <c r="BD196" s="65">
        <v>10.55810604601432</v>
      </c>
      <c r="BE196" s="65">
        <v>0</v>
      </c>
      <c r="BF196" s="65">
        <v>164.12369835717462</v>
      </c>
      <c r="BG196" s="65">
        <v>0</v>
      </c>
      <c r="BH196" s="65">
        <v>6.3147033189024988</v>
      </c>
      <c r="BI196" s="65">
        <v>1173.739618184652</v>
      </c>
      <c r="BJ196" s="65">
        <v>0</v>
      </c>
      <c r="BK196" s="65">
        <v>13.355863258351745</v>
      </c>
      <c r="BL196" s="65">
        <v>0</v>
      </c>
      <c r="BM196" s="65">
        <v>0</v>
      </c>
      <c r="BN196" s="65">
        <v>4.7559491100521365</v>
      </c>
      <c r="BO196" s="65">
        <v>205.33566960000002</v>
      </c>
      <c r="BP196" s="10">
        <f t="shared" ref="BP196:BP203" si="205">2*16*30</f>
        <v>960</v>
      </c>
      <c r="BQ196" s="65">
        <v>131.37006133744242</v>
      </c>
      <c r="BR196" s="65">
        <v>171.63931567048445</v>
      </c>
      <c r="BS196" s="65">
        <v>621.07026284157109</v>
      </c>
      <c r="BT196" s="65">
        <v>229.80101515038999</v>
      </c>
      <c r="BU196" s="65">
        <v>236.24741840018024</v>
      </c>
      <c r="BV196" s="144">
        <f t="shared" si="134"/>
        <v>0</v>
      </c>
      <c r="BW196" s="144">
        <f t="shared" si="135"/>
        <v>0</v>
      </c>
      <c r="BX196" s="144">
        <f t="shared" si="136"/>
        <v>0</v>
      </c>
      <c r="BY196" s="5"/>
      <c r="BZ196" s="66">
        <v>7020</v>
      </c>
      <c r="CA196" s="65">
        <v>1848</v>
      </c>
      <c r="CB196" s="5"/>
      <c r="CC196" s="5"/>
      <c r="CD196" s="188">
        <v>2.2241810746462862</v>
      </c>
      <c r="CE196" s="5"/>
      <c r="CF196" s="65">
        <v>1226</v>
      </c>
      <c r="CG196" s="65">
        <v>1448</v>
      </c>
      <c r="CH196" s="70"/>
      <c r="CI196" s="70"/>
      <c r="CJ196" s="133">
        <f t="shared" si="193"/>
        <v>1987.3754999999999</v>
      </c>
      <c r="CK196" s="8">
        <f t="shared" si="172"/>
        <v>35957.424005574125</v>
      </c>
      <c r="CL196" s="202">
        <f t="shared" si="152"/>
        <v>-35957.424005574125</v>
      </c>
      <c r="CM196" s="202">
        <f t="shared" si="153"/>
        <v>-35957.424005574125</v>
      </c>
      <c r="CN196" s="202">
        <f t="shared" si="154"/>
        <v>-35957.424005574125</v>
      </c>
      <c r="CO196" s="9">
        <f t="shared" si="155"/>
        <v>-35957.424005574125</v>
      </c>
      <c r="CP196" s="9">
        <f t="shared" si="156"/>
        <v>-35957.424005574125</v>
      </c>
      <c r="CQ196" s="9">
        <f t="shared" si="157"/>
        <v>-35957.424005574125</v>
      </c>
      <c r="CR196" s="202">
        <f t="shared" si="158"/>
        <v>-35957.424005574125</v>
      </c>
      <c r="CS196" s="202">
        <f t="shared" si="159"/>
        <v>-35957.424005574125</v>
      </c>
      <c r="CT196" s="202">
        <f t="shared" si="160"/>
        <v>-35957.424005574125</v>
      </c>
      <c r="CU196" s="203" t="e">
        <f t="shared" si="161"/>
        <v>#DIV/0!</v>
      </c>
      <c r="CV196" s="203" t="e">
        <f t="shared" si="162"/>
        <v>#DIV/0!</v>
      </c>
      <c r="CW196" s="203" t="e">
        <f t="shared" si="163"/>
        <v>#DIV/0!</v>
      </c>
      <c r="CX196" s="19" t="e">
        <f t="shared" si="164"/>
        <v>#DIV/0!</v>
      </c>
      <c r="CY196" s="19" t="e">
        <f t="shared" si="165"/>
        <v>#DIV/0!</v>
      </c>
      <c r="CZ196" s="19" t="e">
        <f t="shared" si="166"/>
        <v>#DIV/0!</v>
      </c>
      <c r="DA196" s="203" t="e">
        <f t="shared" si="167"/>
        <v>#DIV/0!</v>
      </c>
      <c r="DB196" s="203" t="e">
        <f t="shared" si="168"/>
        <v>#DIV/0!</v>
      </c>
      <c r="DC196" s="203" t="e">
        <f t="shared" si="169"/>
        <v>#DIV/0!</v>
      </c>
      <c r="DD196" s="65"/>
      <c r="DE196" s="66"/>
      <c r="DF196" s="66"/>
      <c r="DG196" s="66"/>
      <c r="DH196" s="66"/>
      <c r="DI196" s="66"/>
      <c r="DJ196" s="65"/>
      <c r="DK196" s="66"/>
      <c r="DL196" s="66"/>
      <c r="DM196" s="8">
        <f t="shared" si="170"/>
        <v>0</v>
      </c>
      <c r="DN196" s="8">
        <f t="shared" si="171"/>
        <v>35957.424005574125</v>
      </c>
      <c r="DO196" s="202">
        <f t="shared" si="177"/>
        <v>-35957.424005574125</v>
      </c>
      <c r="DP196" s="202">
        <f t="shared" si="178"/>
        <v>-35957.424005574125</v>
      </c>
      <c r="DQ196" s="202">
        <f t="shared" si="179"/>
        <v>-35957.424005574125</v>
      </c>
      <c r="DR196" s="9">
        <f t="shared" si="180"/>
        <v>-35957.424005574125</v>
      </c>
      <c r="DS196" s="9">
        <f t="shared" si="173"/>
        <v>-35957.424005574125</v>
      </c>
      <c r="DT196" s="9">
        <f t="shared" si="181"/>
        <v>-35957.424005574125</v>
      </c>
      <c r="DU196" s="202">
        <f t="shared" si="182"/>
        <v>-35957.424005574125</v>
      </c>
      <c r="DV196" s="202">
        <f t="shared" si="183"/>
        <v>-35957.424005574125</v>
      </c>
      <c r="DW196" s="202">
        <f t="shared" si="184"/>
        <v>-35957.424005574125</v>
      </c>
      <c r="DX196" s="203" t="e">
        <f t="shared" si="185"/>
        <v>#DIV/0!</v>
      </c>
      <c r="DY196" s="203" t="e">
        <f t="shared" si="186"/>
        <v>#DIV/0!</v>
      </c>
      <c r="DZ196" s="203" t="e">
        <f t="shared" si="187"/>
        <v>#DIV/0!</v>
      </c>
      <c r="EA196" s="19" t="e">
        <f t="shared" si="188"/>
        <v>#DIV/0!</v>
      </c>
      <c r="EB196" s="19" t="e">
        <f t="shared" si="174"/>
        <v>#DIV/0!</v>
      </c>
      <c r="EC196" s="19" t="e">
        <f t="shared" si="189"/>
        <v>#DIV/0!</v>
      </c>
      <c r="ED196" s="203" t="e">
        <f t="shared" si="190"/>
        <v>#DIV/0!</v>
      </c>
      <c r="EE196" s="203" t="e">
        <f t="shared" si="191"/>
        <v>#DIV/0!</v>
      </c>
      <c r="EF196" s="203" t="e">
        <f t="shared" si="192"/>
        <v>#DIV/0!</v>
      </c>
      <c r="EH196" s="58">
        <f t="shared" si="127"/>
        <v>33939.116246142294</v>
      </c>
      <c r="EI196" s="68" t="e">
        <f t="shared" si="128"/>
        <v>#DIV/0!</v>
      </c>
      <c r="EJ196" s="58">
        <f t="shared" si="129"/>
        <v>26919.116246142297</v>
      </c>
      <c r="EK196" s="68" t="e">
        <f t="shared" si="128"/>
        <v>#DIV/0!</v>
      </c>
      <c r="EL196" s="58">
        <f t="shared" si="130"/>
        <v>3333.6687575251549</v>
      </c>
      <c r="EM196" s="58">
        <f t="shared" si="131"/>
        <v>3333.6687575251549</v>
      </c>
      <c r="EN196" s="68" t="e">
        <f t="shared" si="132"/>
        <v>#DIV/0!</v>
      </c>
      <c r="EO196" s="139">
        <f t="shared" si="147"/>
        <v>0.31860645638858931</v>
      </c>
      <c r="EP196">
        <f>+(SUM(M196:O196)*EO196*(1-'[1]Tier 3 Data'!$A$2))</f>
        <v>0</v>
      </c>
    </row>
    <row r="197" spans="1:146" x14ac:dyDescent="0.2">
      <c r="A197" s="43">
        <v>0</v>
      </c>
      <c r="B197" s="43">
        <v>0</v>
      </c>
      <c r="C197" s="43">
        <v>0</v>
      </c>
      <c r="D197" s="70">
        <v>2023</v>
      </c>
      <c r="E197" s="70">
        <v>10</v>
      </c>
      <c r="F197" s="2">
        <v>744</v>
      </c>
      <c r="G197" s="63"/>
      <c r="H197" s="63"/>
      <c r="I197" s="63"/>
      <c r="J197" s="133">
        <f t="shared" si="203"/>
        <v>0</v>
      </c>
      <c r="K197" s="65">
        <v>0</v>
      </c>
      <c r="L197" s="133">
        <f t="shared" si="204"/>
        <v>0</v>
      </c>
      <c r="M197" s="63"/>
      <c r="N197" s="63"/>
      <c r="O197" s="63"/>
      <c r="P197" s="200">
        <f t="shared" si="194"/>
        <v>0</v>
      </c>
      <c r="Q197" s="200">
        <f t="shared" si="195"/>
        <v>0</v>
      </c>
      <c r="R197" s="200">
        <f t="shared" si="196"/>
        <v>0</v>
      </c>
      <c r="S197" s="133">
        <f t="shared" si="197"/>
        <v>0</v>
      </c>
      <c r="T197" s="133">
        <f t="shared" si="198"/>
        <v>0</v>
      </c>
      <c r="U197" s="133">
        <f t="shared" si="199"/>
        <v>0</v>
      </c>
      <c r="V197" s="200">
        <f t="shared" si="200"/>
        <v>0</v>
      </c>
      <c r="W197" s="200">
        <f t="shared" si="201"/>
        <v>0</v>
      </c>
      <c r="X197" s="200">
        <f t="shared" si="202"/>
        <v>0</v>
      </c>
      <c r="Y197" s="63"/>
      <c r="Z197" s="63"/>
      <c r="AA197" s="63"/>
      <c r="AB197" s="200">
        <f t="shared" si="137"/>
        <v>0</v>
      </c>
      <c r="AC197" s="200">
        <f t="shared" si="138"/>
        <v>0</v>
      </c>
      <c r="AD197" s="200">
        <f t="shared" si="139"/>
        <v>0</v>
      </c>
      <c r="AE197" s="199">
        <f t="shared" si="175"/>
        <v>0</v>
      </c>
      <c r="AF197" s="199">
        <f t="shared" si="141"/>
        <v>0</v>
      </c>
      <c r="AG197" s="199">
        <f t="shared" si="176"/>
        <v>0</v>
      </c>
      <c r="AH197" s="199"/>
      <c r="AI197" s="200">
        <f t="shared" si="143"/>
        <v>0</v>
      </c>
      <c r="AJ197" s="200">
        <f t="shared" si="144"/>
        <v>0</v>
      </c>
      <c r="AK197" s="200">
        <f t="shared" si="145"/>
        <v>0</v>
      </c>
      <c r="AL197" s="4"/>
      <c r="AM197" s="4"/>
      <c r="AN197" s="4"/>
      <c r="AO197" s="4"/>
      <c r="AP197" s="65">
        <v>3720</v>
      </c>
      <c r="AQ197" s="18"/>
      <c r="AR197" s="10">
        <v>9920</v>
      </c>
      <c r="AS197" s="18"/>
      <c r="AT197" s="62"/>
      <c r="AU197" s="65">
        <v>81.081000000000003</v>
      </c>
      <c r="AV197" s="65">
        <v>3825.8470000000002</v>
      </c>
      <c r="AW197" s="65">
        <v>2.6086666666666667</v>
      </c>
      <c r="AX197" s="65">
        <v>7.1165600000000007</v>
      </c>
      <c r="AY197" s="65">
        <v>1031.6699594133333</v>
      </c>
      <c r="AZ197" s="63"/>
      <c r="BA197" s="65">
        <v>1760</v>
      </c>
      <c r="BB197" s="65">
        <v>793.255</v>
      </c>
      <c r="BC197" s="65">
        <v>387.84712854806463</v>
      </c>
      <c r="BD197" s="65">
        <v>15.523669194184084</v>
      </c>
      <c r="BE197" s="65">
        <v>0</v>
      </c>
      <c r="BF197" s="65">
        <v>180.28804750208775</v>
      </c>
      <c r="BG197" s="65">
        <v>0</v>
      </c>
      <c r="BH197" s="65">
        <v>44.202923232317495</v>
      </c>
      <c r="BI197" s="65">
        <v>859.76972613181294</v>
      </c>
      <c r="BJ197" s="65">
        <v>0</v>
      </c>
      <c r="BK197" s="65">
        <v>16.565610887239799</v>
      </c>
      <c r="BL197" s="65">
        <v>0</v>
      </c>
      <c r="BM197" s="65">
        <v>0</v>
      </c>
      <c r="BN197" s="65">
        <v>33.291643770364956</v>
      </c>
      <c r="BO197" s="65">
        <v>212.18019192</v>
      </c>
      <c r="BP197" s="10">
        <f>2*16*31</f>
        <v>992</v>
      </c>
      <c r="BQ197" s="65">
        <v>103.65112043351814</v>
      </c>
      <c r="BR197" s="65">
        <v>135.4235709163232</v>
      </c>
      <c r="BS197" s="65">
        <v>490.02498204709764</v>
      </c>
      <c r="BT197" s="65">
        <v>161.75505104668886</v>
      </c>
      <c r="BU197" s="65">
        <v>161.28148645913461</v>
      </c>
      <c r="BV197" s="144">
        <f t="shared" si="134"/>
        <v>0</v>
      </c>
      <c r="BW197" s="144">
        <f t="shared" si="135"/>
        <v>0</v>
      </c>
      <c r="BX197" s="144">
        <f t="shared" si="136"/>
        <v>0</v>
      </c>
      <c r="BY197" s="5"/>
      <c r="BZ197" s="66">
        <v>7254</v>
      </c>
      <c r="CA197" s="65">
        <v>1884.8000000000002</v>
      </c>
      <c r="CB197" s="5"/>
      <c r="CC197" s="5"/>
      <c r="CD197" s="188">
        <v>0</v>
      </c>
      <c r="CE197" s="5"/>
      <c r="CF197" s="65">
        <v>1308</v>
      </c>
      <c r="CG197" s="65">
        <v>3162</v>
      </c>
      <c r="CH197" s="70"/>
      <c r="CI197" s="70"/>
      <c r="CJ197" s="133">
        <f t="shared" si="193"/>
        <v>2379.7649999999999</v>
      </c>
      <c r="CK197" s="8">
        <f t="shared" si="172"/>
        <v>38544.183338168834</v>
      </c>
      <c r="CL197" s="202">
        <f t="shared" si="152"/>
        <v>-38544.183338168834</v>
      </c>
      <c r="CM197" s="202">
        <f t="shared" si="153"/>
        <v>-38544.183338168834</v>
      </c>
      <c r="CN197" s="202">
        <f t="shared" si="154"/>
        <v>-38544.183338168834</v>
      </c>
      <c r="CO197" s="9">
        <f t="shared" si="155"/>
        <v>-38544.183338168834</v>
      </c>
      <c r="CP197" s="9">
        <f t="shared" si="156"/>
        <v>-38544.183338168834</v>
      </c>
      <c r="CQ197" s="9">
        <f t="shared" si="157"/>
        <v>-38544.183338168834</v>
      </c>
      <c r="CR197" s="202">
        <f t="shared" si="158"/>
        <v>-38544.183338168834</v>
      </c>
      <c r="CS197" s="202">
        <f t="shared" si="159"/>
        <v>-38544.183338168834</v>
      </c>
      <c r="CT197" s="202">
        <f t="shared" si="160"/>
        <v>-38544.183338168834</v>
      </c>
      <c r="CU197" s="203" t="e">
        <f t="shared" si="161"/>
        <v>#DIV/0!</v>
      </c>
      <c r="CV197" s="203" t="e">
        <f t="shared" si="162"/>
        <v>#DIV/0!</v>
      </c>
      <c r="CW197" s="203" t="e">
        <f t="shared" si="163"/>
        <v>#DIV/0!</v>
      </c>
      <c r="CX197" s="19" t="e">
        <f t="shared" si="164"/>
        <v>#DIV/0!</v>
      </c>
      <c r="CY197" s="19" t="e">
        <f t="shared" si="165"/>
        <v>#DIV/0!</v>
      </c>
      <c r="CZ197" s="19" t="e">
        <f t="shared" si="166"/>
        <v>#DIV/0!</v>
      </c>
      <c r="DA197" s="203" t="e">
        <f t="shared" si="167"/>
        <v>#DIV/0!</v>
      </c>
      <c r="DB197" s="203" t="e">
        <f t="shared" si="168"/>
        <v>#DIV/0!</v>
      </c>
      <c r="DC197" s="203" t="e">
        <f t="shared" si="169"/>
        <v>#DIV/0!</v>
      </c>
      <c r="DD197" s="65"/>
      <c r="DE197" s="66"/>
      <c r="DF197" s="66"/>
      <c r="DG197" s="66"/>
      <c r="DH197" s="66"/>
      <c r="DI197" s="66"/>
      <c r="DJ197" s="65"/>
      <c r="DK197" s="66"/>
      <c r="DL197" s="66"/>
      <c r="DM197" s="8">
        <f t="shared" si="170"/>
        <v>0</v>
      </c>
      <c r="DN197" s="8">
        <f t="shared" si="171"/>
        <v>38544.183338168834</v>
      </c>
      <c r="DO197" s="202">
        <f t="shared" si="177"/>
        <v>-38544.183338168834</v>
      </c>
      <c r="DP197" s="202">
        <f t="shared" si="178"/>
        <v>-38544.183338168834</v>
      </c>
      <c r="DQ197" s="202">
        <f t="shared" si="179"/>
        <v>-38544.183338168834</v>
      </c>
      <c r="DR197" s="9">
        <f t="shared" si="180"/>
        <v>-38544.183338168834</v>
      </c>
      <c r="DS197" s="9">
        <f t="shared" si="173"/>
        <v>-38544.183338168834</v>
      </c>
      <c r="DT197" s="9">
        <f t="shared" si="181"/>
        <v>-38544.183338168834</v>
      </c>
      <c r="DU197" s="202">
        <f t="shared" si="182"/>
        <v>-38544.183338168834</v>
      </c>
      <c r="DV197" s="202">
        <f t="shared" si="183"/>
        <v>-38544.183338168834</v>
      </c>
      <c r="DW197" s="202">
        <f t="shared" si="184"/>
        <v>-38544.183338168834</v>
      </c>
      <c r="DX197" s="203" t="e">
        <f t="shared" si="185"/>
        <v>#DIV/0!</v>
      </c>
      <c r="DY197" s="203" t="e">
        <f t="shared" si="186"/>
        <v>#DIV/0!</v>
      </c>
      <c r="DZ197" s="203" t="e">
        <f t="shared" si="187"/>
        <v>#DIV/0!</v>
      </c>
      <c r="EA197" s="19" t="e">
        <f t="shared" si="188"/>
        <v>#DIV/0!</v>
      </c>
      <c r="EB197" s="19" t="e">
        <f t="shared" si="174"/>
        <v>#DIV/0!</v>
      </c>
      <c r="EC197" s="19" t="e">
        <f t="shared" si="189"/>
        <v>#DIV/0!</v>
      </c>
      <c r="ED197" s="203" t="e">
        <f t="shared" si="190"/>
        <v>#DIV/0!</v>
      </c>
      <c r="EE197" s="203" t="e">
        <f t="shared" si="191"/>
        <v>#DIV/0!</v>
      </c>
      <c r="EF197" s="203" t="e">
        <f t="shared" si="192"/>
        <v>#DIV/0!</v>
      </c>
      <c r="EH197" s="58">
        <f t="shared" si="127"/>
        <v>36469.370064000075</v>
      </c>
      <c r="EI197" s="68" t="e">
        <f t="shared" si="128"/>
        <v>#DIV/0!</v>
      </c>
      <c r="EJ197" s="58">
        <f t="shared" si="129"/>
        <v>29215.370064000079</v>
      </c>
      <c r="EK197" s="68" t="e">
        <f t="shared" si="128"/>
        <v>#DIV/0!</v>
      </c>
      <c r="EL197" s="58">
        <f t="shared" si="130"/>
        <v>2621.5171045867464</v>
      </c>
      <c r="EM197" s="58">
        <f t="shared" si="131"/>
        <v>2621.5171045867464</v>
      </c>
      <c r="EN197" s="68" t="e">
        <f t="shared" si="132"/>
        <v>#DIV/0!</v>
      </c>
      <c r="EO197" s="139">
        <f t="shared" si="147"/>
        <v>0.35739486552628164</v>
      </c>
      <c r="EP197">
        <f>+(SUM(M197:O197)*EO197*(1-'[1]Tier 3 Data'!$A$2))</f>
        <v>0</v>
      </c>
    </row>
    <row r="198" spans="1:146" x14ac:dyDescent="0.2">
      <c r="A198" s="43">
        <v>0</v>
      </c>
      <c r="B198" s="43">
        <v>0</v>
      </c>
      <c r="C198" s="43">
        <v>0</v>
      </c>
      <c r="D198" s="70">
        <v>2023</v>
      </c>
      <c r="E198" s="70">
        <v>11</v>
      </c>
      <c r="F198" s="2">
        <v>721</v>
      </c>
      <c r="G198" s="63"/>
      <c r="H198" s="63"/>
      <c r="I198" s="63"/>
      <c r="J198" s="133">
        <f t="shared" si="203"/>
        <v>0</v>
      </c>
      <c r="K198" s="65">
        <v>0</v>
      </c>
      <c r="L198" s="133">
        <f t="shared" si="204"/>
        <v>0</v>
      </c>
      <c r="M198" s="63"/>
      <c r="N198" s="63"/>
      <c r="O198" s="63"/>
      <c r="P198" s="200">
        <f t="shared" si="194"/>
        <v>0</v>
      </c>
      <c r="Q198" s="200">
        <f t="shared" si="195"/>
        <v>0</v>
      </c>
      <c r="R198" s="200">
        <f t="shared" si="196"/>
        <v>0</v>
      </c>
      <c r="S198" s="133">
        <f t="shared" si="197"/>
        <v>0</v>
      </c>
      <c r="T198" s="133">
        <f t="shared" si="198"/>
        <v>0</v>
      </c>
      <c r="U198" s="133">
        <f t="shared" si="199"/>
        <v>0</v>
      </c>
      <c r="V198" s="200">
        <f t="shared" si="200"/>
        <v>0</v>
      </c>
      <c r="W198" s="200">
        <f t="shared" si="201"/>
        <v>0</v>
      </c>
      <c r="X198" s="200">
        <f t="shared" si="202"/>
        <v>0</v>
      </c>
      <c r="Y198" s="63"/>
      <c r="Z198" s="63"/>
      <c r="AA198" s="63"/>
      <c r="AB198" s="200">
        <f t="shared" si="137"/>
        <v>0</v>
      </c>
      <c r="AC198" s="200">
        <f t="shared" si="138"/>
        <v>0</v>
      </c>
      <c r="AD198" s="200">
        <f t="shared" si="139"/>
        <v>0</v>
      </c>
      <c r="AE198" s="199">
        <f t="shared" si="175"/>
        <v>0</v>
      </c>
      <c r="AF198" s="199">
        <f t="shared" si="141"/>
        <v>0</v>
      </c>
      <c r="AG198" s="199">
        <f t="shared" si="176"/>
        <v>0</v>
      </c>
      <c r="AH198" s="199"/>
      <c r="AI198" s="200">
        <f t="shared" si="143"/>
        <v>0</v>
      </c>
      <c r="AJ198" s="200">
        <f t="shared" si="144"/>
        <v>0</v>
      </c>
      <c r="AK198" s="200">
        <f t="shared" si="145"/>
        <v>0</v>
      </c>
      <c r="AL198" s="4"/>
      <c r="AM198" s="4"/>
      <c r="AN198" s="4"/>
      <c r="AO198" s="4"/>
      <c r="AP198" s="65">
        <v>3600</v>
      </c>
      <c r="AQ198" s="18"/>
      <c r="AR198" s="10">
        <v>9600</v>
      </c>
      <c r="AS198" s="18"/>
      <c r="AT198" s="62"/>
      <c r="AU198" s="65">
        <v>63.881999999999998</v>
      </c>
      <c r="AV198" s="65">
        <v>3781.471</v>
      </c>
      <c r="AW198" s="65">
        <v>3.3028400000000002</v>
      </c>
      <c r="AX198" s="65">
        <v>9.0560400000000012</v>
      </c>
      <c r="AY198" s="65">
        <v>1051.7654038000001</v>
      </c>
      <c r="AZ198" s="63"/>
      <c r="BA198" s="65">
        <v>2363</v>
      </c>
      <c r="BB198" s="65">
        <v>1022.525</v>
      </c>
      <c r="BC198" s="65">
        <v>283.87477427119757</v>
      </c>
      <c r="BD198" s="65">
        <v>14.399660735694527</v>
      </c>
      <c r="BE198" s="65">
        <v>0</v>
      </c>
      <c r="BF198" s="65">
        <v>188.4392525423311</v>
      </c>
      <c r="BG198" s="65">
        <v>0</v>
      </c>
      <c r="BH198" s="65">
        <v>82.091143145732502</v>
      </c>
      <c r="BI198" s="65">
        <v>629.28643521111337</v>
      </c>
      <c r="BJ198" s="65">
        <v>0</v>
      </c>
      <c r="BK198" s="65">
        <v>19.844702933795372</v>
      </c>
      <c r="BL198" s="65">
        <v>0</v>
      </c>
      <c r="BM198" s="65">
        <v>0</v>
      </c>
      <c r="BN198" s="65">
        <v>61.827338430677763</v>
      </c>
      <c r="BO198" s="65">
        <v>205.33566960000002</v>
      </c>
      <c r="BP198" s="10">
        <f t="shared" si="205"/>
        <v>960</v>
      </c>
      <c r="BQ198" s="65">
        <v>63.888507264211754</v>
      </c>
      <c r="BR198" s="65">
        <v>83.472418154439964</v>
      </c>
      <c r="BS198" s="65">
        <v>302.04173453434834</v>
      </c>
      <c r="BT198" s="65">
        <v>111.5693200610911</v>
      </c>
      <c r="BU198" s="65">
        <v>124.08477226196929</v>
      </c>
      <c r="BV198" s="144">
        <f t="shared" si="134"/>
        <v>0</v>
      </c>
      <c r="BW198" s="144">
        <f t="shared" si="135"/>
        <v>0</v>
      </c>
      <c r="BX198" s="144">
        <f t="shared" si="136"/>
        <v>0</v>
      </c>
      <c r="BY198" s="5"/>
      <c r="BZ198" s="66">
        <v>7029.75</v>
      </c>
      <c r="CA198" s="65">
        <v>2691.6000000000004</v>
      </c>
      <c r="CB198" s="5"/>
      <c r="CC198" s="5"/>
      <c r="CD198" s="188">
        <v>3.0642236760841479</v>
      </c>
      <c r="CE198" s="5"/>
      <c r="CF198" s="65">
        <v>1553</v>
      </c>
      <c r="CG198" s="65">
        <v>4663</v>
      </c>
      <c r="CH198" s="70"/>
      <c r="CI198" s="70"/>
      <c r="CJ198" s="133">
        <f t="shared" si="193"/>
        <v>3067.5749999999998</v>
      </c>
      <c r="CK198" s="8">
        <f t="shared" si="172"/>
        <v>40565.572236622684</v>
      </c>
      <c r="CL198" s="202">
        <f t="shared" si="152"/>
        <v>-40565.572236622684</v>
      </c>
      <c r="CM198" s="202">
        <f t="shared" si="153"/>
        <v>-40565.572236622684</v>
      </c>
      <c r="CN198" s="202">
        <f t="shared" si="154"/>
        <v>-40565.572236622684</v>
      </c>
      <c r="CO198" s="9">
        <f t="shared" si="155"/>
        <v>-40565.572236622684</v>
      </c>
      <c r="CP198" s="9">
        <f t="shared" si="156"/>
        <v>-40565.572236622684</v>
      </c>
      <c r="CQ198" s="9">
        <f t="shared" si="157"/>
        <v>-40565.572236622684</v>
      </c>
      <c r="CR198" s="202">
        <f t="shared" si="158"/>
        <v>-40565.572236622684</v>
      </c>
      <c r="CS198" s="202">
        <f t="shared" si="159"/>
        <v>-40565.572236622684</v>
      </c>
      <c r="CT198" s="202">
        <f t="shared" si="160"/>
        <v>-40565.572236622684</v>
      </c>
      <c r="CU198" s="203" t="e">
        <f t="shared" si="161"/>
        <v>#DIV/0!</v>
      </c>
      <c r="CV198" s="203" t="e">
        <f t="shared" si="162"/>
        <v>#DIV/0!</v>
      </c>
      <c r="CW198" s="203" t="e">
        <f t="shared" si="163"/>
        <v>#DIV/0!</v>
      </c>
      <c r="CX198" s="19" t="e">
        <f t="shared" si="164"/>
        <v>#DIV/0!</v>
      </c>
      <c r="CY198" s="19" t="e">
        <f t="shared" si="165"/>
        <v>#DIV/0!</v>
      </c>
      <c r="CZ198" s="19" t="e">
        <f t="shared" si="166"/>
        <v>#DIV/0!</v>
      </c>
      <c r="DA198" s="203" t="e">
        <f t="shared" si="167"/>
        <v>#DIV/0!</v>
      </c>
      <c r="DB198" s="203" t="e">
        <f t="shared" si="168"/>
        <v>#DIV/0!</v>
      </c>
      <c r="DC198" s="203" t="e">
        <f t="shared" si="169"/>
        <v>#DIV/0!</v>
      </c>
      <c r="DD198" s="65"/>
      <c r="DE198" s="66"/>
      <c r="DF198" s="66"/>
      <c r="DG198" s="66"/>
      <c r="DH198" s="66"/>
      <c r="DI198" s="66"/>
      <c r="DJ198" s="65"/>
      <c r="DK198" s="66"/>
      <c r="DL198" s="66"/>
      <c r="DM198" s="8">
        <f t="shared" si="170"/>
        <v>0</v>
      </c>
      <c r="DN198" s="8">
        <f t="shared" si="171"/>
        <v>40565.572236622684</v>
      </c>
      <c r="DO198" s="202">
        <f t="shared" si="177"/>
        <v>-40565.572236622684</v>
      </c>
      <c r="DP198" s="202">
        <f t="shared" si="178"/>
        <v>-40565.572236622684</v>
      </c>
      <c r="DQ198" s="202">
        <f t="shared" si="179"/>
        <v>-40565.572236622684</v>
      </c>
      <c r="DR198" s="9">
        <f t="shared" si="180"/>
        <v>-40565.572236622684</v>
      </c>
      <c r="DS198" s="9">
        <f t="shared" si="173"/>
        <v>-40565.572236622684</v>
      </c>
      <c r="DT198" s="9">
        <f t="shared" si="181"/>
        <v>-40565.572236622684</v>
      </c>
      <c r="DU198" s="202">
        <f t="shared" si="182"/>
        <v>-40565.572236622684</v>
      </c>
      <c r="DV198" s="202">
        <f t="shared" si="183"/>
        <v>-40565.572236622684</v>
      </c>
      <c r="DW198" s="202">
        <f t="shared" si="184"/>
        <v>-40565.572236622684</v>
      </c>
      <c r="DX198" s="203" t="e">
        <f t="shared" si="185"/>
        <v>#DIV/0!</v>
      </c>
      <c r="DY198" s="203" t="e">
        <f t="shared" si="186"/>
        <v>#DIV/0!</v>
      </c>
      <c r="DZ198" s="203" t="e">
        <f t="shared" si="187"/>
        <v>#DIV/0!</v>
      </c>
      <c r="EA198" s="19" t="e">
        <f t="shared" si="188"/>
        <v>#DIV/0!</v>
      </c>
      <c r="EB198" s="19" t="e">
        <f t="shared" si="174"/>
        <v>#DIV/0!</v>
      </c>
      <c r="EC198" s="19" t="e">
        <f t="shared" si="189"/>
        <v>#DIV/0!</v>
      </c>
      <c r="ED198" s="203" t="e">
        <f t="shared" si="190"/>
        <v>#DIV/0!</v>
      </c>
      <c r="EE198" s="203" t="e">
        <f t="shared" si="191"/>
        <v>#DIV/0!</v>
      </c>
      <c r="EF198" s="203" t="e">
        <f t="shared" si="192"/>
        <v>#DIV/0!</v>
      </c>
      <c r="EH198" s="58">
        <f t="shared" si="127"/>
        <v>37670.10988040427</v>
      </c>
      <c r="EI198" s="68" t="e">
        <f t="shared" si="128"/>
        <v>#DIV/0!</v>
      </c>
      <c r="EJ198" s="58">
        <f t="shared" si="129"/>
        <v>30640.35988040427</v>
      </c>
      <c r="EK198" s="68" t="e">
        <f t="shared" si="128"/>
        <v>#DIV/0!</v>
      </c>
      <c r="EL198" s="58">
        <f t="shared" si="130"/>
        <v>1981.7164766042715</v>
      </c>
      <c r="EM198" s="58">
        <f t="shared" si="131"/>
        <v>1981.7164766042715</v>
      </c>
      <c r="EN198" s="68" t="e">
        <f t="shared" si="132"/>
        <v>#DIV/0!</v>
      </c>
      <c r="EO198" s="139">
        <f t="shared" si="147"/>
        <v>0.4050825009776523</v>
      </c>
      <c r="EP198">
        <f>+(SUM(M198:O198)*EO198*(1-'[1]Tier 3 Data'!$A$2))</f>
        <v>0</v>
      </c>
    </row>
    <row r="199" spans="1:146" x14ac:dyDescent="0.2">
      <c r="A199" s="43">
        <v>0</v>
      </c>
      <c r="B199" s="43">
        <v>0</v>
      </c>
      <c r="C199" s="43">
        <v>0</v>
      </c>
      <c r="D199" s="70">
        <v>2023</v>
      </c>
      <c r="E199" s="70">
        <v>12</v>
      </c>
      <c r="F199" s="2">
        <v>744</v>
      </c>
      <c r="G199" s="63"/>
      <c r="H199" s="63"/>
      <c r="I199" s="63"/>
      <c r="J199" s="133">
        <f t="shared" si="203"/>
        <v>0</v>
      </c>
      <c r="K199" s="65">
        <v>0</v>
      </c>
      <c r="L199" s="133">
        <f t="shared" si="204"/>
        <v>0</v>
      </c>
      <c r="M199" s="63"/>
      <c r="N199" s="63"/>
      <c r="O199" s="63"/>
      <c r="P199" s="200">
        <f t="shared" si="194"/>
        <v>0</v>
      </c>
      <c r="Q199" s="200">
        <f t="shared" si="195"/>
        <v>0</v>
      </c>
      <c r="R199" s="200">
        <f t="shared" si="196"/>
        <v>0</v>
      </c>
      <c r="S199" s="133">
        <f t="shared" si="197"/>
        <v>0</v>
      </c>
      <c r="T199" s="133">
        <f t="shared" si="198"/>
        <v>0</v>
      </c>
      <c r="U199" s="133">
        <f t="shared" si="199"/>
        <v>0</v>
      </c>
      <c r="V199" s="200">
        <f t="shared" si="200"/>
        <v>0</v>
      </c>
      <c r="W199" s="200">
        <f t="shared" si="201"/>
        <v>0</v>
      </c>
      <c r="X199" s="200">
        <f t="shared" si="202"/>
        <v>0</v>
      </c>
      <c r="Y199" s="63"/>
      <c r="Z199" s="63"/>
      <c r="AA199" s="63"/>
      <c r="AB199" s="200">
        <f t="shared" si="137"/>
        <v>0</v>
      </c>
      <c r="AC199" s="200">
        <f t="shared" si="138"/>
        <v>0</v>
      </c>
      <c r="AD199" s="200">
        <f t="shared" si="139"/>
        <v>0</v>
      </c>
      <c r="AE199" s="199">
        <f t="shared" si="175"/>
        <v>0</v>
      </c>
      <c r="AF199" s="199">
        <f t="shared" si="141"/>
        <v>0</v>
      </c>
      <c r="AG199" s="199">
        <f t="shared" si="176"/>
        <v>0</v>
      </c>
      <c r="AH199" s="199"/>
      <c r="AI199" s="200">
        <f t="shared" si="143"/>
        <v>0</v>
      </c>
      <c r="AJ199" s="200">
        <f t="shared" si="144"/>
        <v>0</v>
      </c>
      <c r="AK199" s="200">
        <f t="shared" si="145"/>
        <v>0</v>
      </c>
      <c r="AL199" s="4"/>
      <c r="AM199" s="4"/>
      <c r="AN199" s="4"/>
      <c r="AO199" s="4"/>
      <c r="AP199" s="65">
        <v>3720</v>
      </c>
      <c r="AQ199" s="18"/>
      <c r="AR199" s="10">
        <v>9920</v>
      </c>
      <c r="AS199" s="18"/>
      <c r="AT199" s="62"/>
      <c r="AU199" s="65">
        <v>68.561999999999998</v>
      </c>
      <c r="AV199" s="65">
        <v>3888.8449999999998</v>
      </c>
      <c r="AW199" s="65">
        <v>4.1184799999999999</v>
      </c>
      <c r="AX199" s="65">
        <v>7.9337200000000001</v>
      </c>
      <c r="AY199" s="65">
        <v>1226.60803108</v>
      </c>
      <c r="AZ199" s="63"/>
      <c r="BA199" s="65">
        <v>2225.2240000000002</v>
      </c>
      <c r="BB199" s="65">
        <v>899.09749999999997</v>
      </c>
      <c r="BC199" s="65">
        <v>133.02629953839877</v>
      </c>
      <c r="BD199" s="65">
        <v>14.892990970660508</v>
      </c>
      <c r="BE199" s="65">
        <v>0</v>
      </c>
      <c r="BF199" s="65">
        <v>193.40118982180462</v>
      </c>
      <c r="BG199" s="65">
        <v>0</v>
      </c>
      <c r="BH199" s="65">
        <v>50.51762655121999</v>
      </c>
      <c r="BI199" s="65">
        <v>294.88934351691091</v>
      </c>
      <c r="BJ199" s="65">
        <v>0</v>
      </c>
      <c r="BK199" s="65">
        <v>20.28324216774827</v>
      </c>
      <c r="BL199" s="65">
        <v>0</v>
      </c>
      <c r="BM199" s="65">
        <v>0</v>
      </c>
      <c r="BN199" s="65">
        <v>38.047592880417092</v>
      </c>
      <c r="BO199" s="65">
        <v>212.18019192</v>
      </c>
      <c r="BP199" s="10">
        <f>2*16*31</f>
        <v>992</v>
      </c>
      <c r="BQ199" s="65">
        <v>58.211562748244582</v>
      </c>
      <c r="BR199" s="65">
        <v>75.67499991698331</v>
      </c>
      <c r="BS199" s="65">
        <v>275.20309164361055</v>
      </c>
      <c r="BT199" s="65">
        <v>102.72204978636869</v>
      </c>
      <c r="BU199" s="65">
        <v>109.20616905931401</v>
      </c>
      <c r="BV199" s="144">
        <f t="shared" si="134"/>
        <v>0</v>
      </c>
      <c r="BW199" s="144">
        <f t="shared" si="135"/>
        <v>0</v>
      </c>
      <c r="BX199" s="144">
        <f t="shared" si="136"/>
        <v>0</v>
      </c>
      <c r="BY199" s="5"/>
      <c r="BZ199" s="66">
        <v>7254</v>
      </c>
      <c r="CA199" s="65">
        <v>4940.8</v>
      </c>
      <c r="CB199" s="5"/>
      <c r="CC199" s="5"/>
      <c r="CD199" s="188">
        <v>4.9023166732340453</v>
      </c>
      <c r="CE199" s="5"/>
      <c r="CF199" s="133">
        <f>+CF163</f>
        <v>1609</v>
      </c>
      <c r="CG199" s="65">
        <v>4206</v>
      </c>
      <c r="CH199" s="70"/>
      <c r="CI199" s="70"/>
      <c r="CJ199" s="133">
        <f t="shared" si="193"/>
        <v>2697.2925</v>
      </c>
      <c r="CK199" s="8">
        <f t="shared" si="172"/>
        <v>42545.34739827492</v>
      </c>
      <c r="CL199" s="202">
        <f t="shared" si="152"/>
        <v>-42545.34739827492</v>
      </c>
      <c r="CM199" s="202">
        <f t="shared" si="153"/>
        <v>-42545.34739827492</v>
      </c>
      <c r="CN199" s="202">
        <f t="shared" si="154"/>
        <v>-42545.34739827492</v>
      </c>
      <c r="CO199" s="9">
        <f t="shared" si="155"/>
        <v>-42545.34739827492</v>
      </c>
      <c r="CP199" s="9">
        <f t="shared" si="156"/>
        <v>-42545.34739827492</v>
      </c>
      <c r="CQ199" s="9">
        <f t="shared" si="157"/>
        <v>-42545.34739827492</v>
      </c>
      <c r="CR199" s="202">
        <f t="shared" si="158"/>
        <v>-42545.34739827492</v>
      </c>
      <c r="CS199" s="202">
        <f t="shared" si="159"/>
        <v>-42545.34739827492</v>
      </c>
      <c r="CT199" s="202">
        <f t="shared" si="160"/>
        <v>-42545.34739827492</v>
      </c>
      <c r="CU199" s="203" t="e">
        <f t="shared" si="161"/>
        <v>#DIV/0!</v>
      </c>
      <c r="CV199" s="203" t="e">
        <f t="shared" si="162"/>
        <v>#DIV/0!</v>
      </c>
      <c r="CW199" s="203" t="e">
        <f t="shared" si="163"/>
        <v>#DIV/0!</v>
      </c>
      <c r="CX199" s="19" t="e">
        <f t="shared" si="164"/>
        <v>#DIV/0!</v>
      </c>
      <c r="CY199" s="19" t="e">
        <f t="shared" si="165"/>
        <v>#DIV/0!</v>
      </c>
      <c r="CZ199" s="19" t="e">
        <f t="shared" si="166"/>
        <v>#DIV/0!</v>
      </c>
      <c r="DA199" s="203" t="e">
        <f t="shared" si="167"/>
        <v>#DIV/0!</v>
      </c>
      <c r="DB199" s="203" t="e">
        <f t="shared" si="168"/>
        <v>#DIV/0!</v>
      </c>
      <c r="DC199" s="203" t="e">
        <f t="shared" si="169"/>
        <v>#DIV/0!</v>
      </c>
      <c r="DD199" s="65"/>
      <c r="DE199" s="66"/>
      <c r="DF199" s="66"/>
      <c r="DG199" s="66"/>
      <c r="DH199" s="66"/>
      <c r="DI199" s="66"/>
      <c r="DJ199" s="65"/>
      <c r="DK199" s="66"/>
      <c r="DL199" s="66"/>
      <c r="DM199" s="8">
        <f t="shared" si="170"/>
        <v>0</v>
      </c>
      <c r="DN199" s="8">
        <f t="shared" si="171"/>
        <v>42545.34739827492</v>
      </c>
      <c r="DO199" s="202">
        <f t="shared" si="177"/>
        <v>-42545.34739827492</v>
      </c>
      <c r="DP199" s="202">
        <f t="shared" si="178"/>
        <v>-42545.34739827492</v>
      </c>
      <c r="DQ199" s="202">
        <f t="shared" si="179"/>
        <v>-42545.34739827492</v>
      </c>
      <c r="DR199" s="9">
        <f t="shared" si="180"/>
        <v>-42545.34739827492</v>
      </c>
      <c r="DS199" s="9">
        <f t="shared" si="173"/>
        <v>-42545.34739827492</v>
      </c>
      <c r="DT199" s="9">
        <f t="shared" si="181"/>
        <v>-42545.34739827492</v>
      </c>
      <c r="DU199" s="202">
        <f t="shared" si="182"/>
        <v>-42545.34739827492</v>
      </c>
      <c r="DV199" s="202">
        <f t="shared" si="183"/>
        <v>-42545.34739827492</v>
      </c>
      <c r="DW199" s="202">
        <f t="shared" si="184"/>
        <v>-42545.34739827492</v>
      </c>
      <c r="DX199" s="203" t="e">
        <f t="shared" si="185"/>
        <v>#DIV/0!</v>
      </c>
      <c r="DY199" s="203" t="e">
        <f t="shared" si="186"/>
        <v>#DIV/0!</v>
      </c>
      <c r="DZ199" s="203" t="e">
        <f t="shared" si="187"/>
        <v>#DIV/0!</v>
      </c>
      <c r="EA199" s="19" t="e">
        <f t="shared" si="188"/>
        <v>#DIV/0!</v>
      </c>
      <c r="EB199" s="19" t="e">
        <f t="shared" si="174"/>
        <v>#DIV/0!</v>
      </c>
      <c r="EC199" s="19" t="e">
        <f t="shared" si="189"/>
        <v>#DIV/0!</v>
      </c>
      <c r="ED199" s="203" t="e">
        <f t="shared" si="190"/>
        <v>#DIV/0!</v>
      </c>
      <c r="EE199" s="203" t="e">
        <f t="shared" si="191"/>
        <v>#DIV/0!</v>
      </c>
      <c r="EF199" s="203" t="e">
        <f t="shared" si="192"/>
        <v>#DIV/0!</v>
      </c>
      <c r="EH199" s="58">
        <f t="shared" si="127"/>
        <v>37394.191691779874</v>
      </c>
      <c r="EI199" s="68" t="e">
        <f t="shared" si="128"/>
        <v>#DIV/0!</v>
      </c>
      <c r="EJ199" s="58">
        <f t="shared" si="129"/>
        <v>30140.191691779874</v>
      </c>
      <c r="EK199" s="68" t="e">
        <f t="shared" si="128"/>
        <v>#DIV/0!</v>
      </c>
      <c r="EL199" s="58">
        <f t="shared" si="130"/>
        <v>1384.8551606998767</v>
      </c>
      <c r="EM199" s="58">
        <f t="shared" si="131"/>
        <v>1384.8551606998767</v>
      </c>
      <c r="EN199" s="68" t="e">
        <f t="shared" si="132"/>
        <v>#DIV/0!</v>
      </c>
      <c r="EO199" s="139">
        <f t="shared" si="147"/>
        <v>0.32946562535829382</v>
      </c>
      <c r="EP199">
        <f>+(SUM(M199:O199)*EO199*(1-'[1]Tier 3 Data'!$A$2))</f>
        <v>0</v>
      </c>
    </row>
    <row r="200" spans="1:146" x14ac:dyDescent="0.2">
      <c r="A200" s="43">
        <v>0</v>
      </c>
      <c r="B200" s="43">
        <v>0</v>
      </c>
      <c r="C200" s="43">
        <v>0</v>
      </c>
      <c r="D200" s="70">
        <v>2024</v>
      </c>
      <c r="E200" s="70">
        <v>1</v>
      </c>
      <c r="F200" s="2">
        <v>744</v>
      </c>
      <c r="G200" s="63"/>
      <c r="H200" s="63"/>
      <c r="I200" s="63"/>
      <c r="J200" s="133">
        <f t="shared" si="203"/>
        <v>0</v>
      </c>
      <c r="K200" s="65">
        <v>0</v>
      </c>
      <c r="L200" s="133">
        <f t="shared" si="204"/>
        <v>0</v>
      </c>
      <c r="M200" s="63"/>
      <c r="N200" s="63"/>
      <c r="O200" s="63"/>
      <c r="P200" s="200">
        <f t="shared" si="194"/>
        <v>0</v>
      </c>
      <c r="Q200" s="200">
        <f t="shared" si="195"/>
        <v>0</v>
      </c>
      <c r="R200" s="200">
        <f t="shared" si="196"/>
        <v>0</v>
      </c>
      <c r="S200" s="133">
        <f t="shared" si="197"/>
        <v>0</v>
      </c>
      <c r="T200" s="133">
        <f t="shared" si="198"/>
        <v>0</v>
      </c>
      <c r="U200" s="133">
        <f t="shared" si="199"/>
        <v>0</v>
      </c>
      <c r="V200" s="200">
        <f t="shared" si="200"/>
        <v>0</v>
      </c>
      <c r="W200" s="200">
        <f t="shared" si="201"/>
        <v>0</v>
      </c>
      <c r="X200" s="200">
        <f t="shared" si="202"/>
        <v>0</v>
      </c>
      <c r="Y200" s="63"/>
      <c r="Z200" s="63"/>
      <c r="AA200" s="63"/>
      <c r="AB200" s="200">
        <f t="shared" si="137"/>
        <v>0</v>
      </c>
      <c r="AC200" s="200">
        <f t="shared" si="138"/>
        <v>0</v>
      </c>
      <c r="AD200" s="200">
        <f t="shared" si="139"/>
        <v>0</v>
      </c>
      <c r="AE200" s="199">
        <f t="shared" si="175"/>
        <v>0</v>
      </c>
      <c r="AF200" s="199">
        <f t="shared" si="141"/>
        <v>0</v>
      </c>
      <c r="AG200" s="199">
        <f t="shared" si="176"/>
        <v>0</v>
      </c>
      <c r="AH200" s="199"/>
      <c r="AI200" s="200">
        <f t="shared" si="143"/>
        <v>0</v>
      </c>
      <c r="AJ200" s="200">
        <f t="shared" si="144"/>
        <v>0</v>
      </c>
      <c r="AK200" s="200">
        <f t="shared" si="145"/>
        <v>0</v>
      </c>
      <c r="AL200" s="4"/>
      <c r="AM200" s="4"/>
      <c r="AN200" s="4"/>
      <c r="AO200" s="4"/>
      <c r="AP200" s="63"/>
      <c r="AQ200" s="18"/>
      <c r="AR200" s="10">
        <v>9920</v>
      </c>
      <c r="AS200" s="18"/>
      <c r="AT200" s="62"/>
      <c r="AU200" s="65">
        <v>68.093999999999994</v>
      </c>
      <c r="AV200" s="65">
        <v>3896.3739999999998</v>
      </c>
      <c r="AW200" s="65">
        <v>3.2503076923076923</v>
      </c>
      <c r="AX200" s="65">
        <v>7.0568076923076921</v>
      </c>
      <c r="AY200" s="65">
        <v>1258.1687644800002</v>
      </c>
      <c r="AZ200" s="63"/>
      <c r="BA200" s="65">
        <v>1660.8</v>
      </c>
      <c r="BB200" s="133">
        <f>+BB188</f>
        <v>473.125</v>
      </c>
      <c r="BC200" s="65">
        <v>187.65082722949612</v>
      </c>
      <c r="BD200" s="65">
        <v>17.899913811322826</v>
      </c>
      <c r="BE200" s="65">
        <v>0</v>
      </c>
      <c r="BF200" s="65">
        <v>199.42579123871249</v>
      </c>
      <c r="BG200" s="65">
        <v>0</v>
      </c>
      <c r="BH200" s="65">
        <v>44.202923232317495</v>
      </c>
      <c r="BI200" s="65">
        <v>415.97961789607035</v>
      </c>
      <c r="BJ200" s="65">
        <v>0</v>
      </c>
      <c r="BK200" s="65">
        <v>22.517673403701547</v>
      </c>
      <c r="BL200" s="65">
        <v>0</v>
      </c>
      <c r="BM200" s="65">
        <v>0</v>
      </c>
      <c r="BN200" s="65">
        <v>33.291643770364956</v>
      </c>
      <c r="BO200" s="65">
        <v>212.18019192</v>
      </c>
      <c r="BP200" s="10">
        <f>2*16*31</f>
        <v>992</v>
      </c>
      <c r="BQ200" s="65">
        <v>82.368815302608866</v>
      </c>
      <c r="BR200" s="65">
        <v>107.61758827827025</v>
      </c>
      <c r="BS200" s="65">
        <v>389.4101044814314</v>
      </c>
      <c r="BT200" s="65">
        <v>133.13048062158856</v>
      </c>
      <c r="BU200" s="65">
        <v>152.16398631945611</v>
      </c>
      <c r="BV200" s="144">
        <f t="shared" si="134"/>
        <v>0</v>
      </c>
      <c r="BW200" s="144">
        <f t="shared" si="135"/>
        <v>0</v>
      </c>
      <c r="BX200" s="144">
        <f t="shared" si="136"/>
        <v>0</v>
      </c>
      <c r="BY200" s="5"/>
      <c r="BZ200" s="66">
        <v>7254</v>
      </c>
      <c r="CA200" s="65">
        <v>8308.7999999999993</v>
      </c>
      <c r="CB200" s="5"/>
      <c r="CC200" s="5"/>
      <c r="CD200" s="188">
        <v>2.5304839482857915</v>
      </c>
      <c r="CE200" s="5"/>
      <c r="CF200" s="133">
        <f>+AVERAGE(CF188,CF176,CF164)</f>
        <v>1154.6666666666667</v>
      </c>
      <c r="CG200" s="133">
        <f>+CG188</f>
        <v>2662</v>
      </c>
      <c r="CH200" s="70"/>
      <c r="CI200" s="70"/>
      <c r="CJ200" s="133">
        <f t="shared" si="193"/>
        <v>1419.375</v>
      </c>
      <c r="CK200" s="8">
        <f t="shared" si="172"/>
        <v>39658.705587984899</v>
      </c>
      <c r="CL200" s="202">
        <f t="shared" si="152"/>
        <v>-39658.705587984899</v>
      </c>
      <c r="CM200" s="202">
        <f t="shared" si="153"/>
        <v>-39658.705587984899</v>
      </c>
      <c r="CN200" s="202">
        <f t="shared" si="154"/>
        <v>-39658.705587984899</v>
      </c>
      <c r="CO200" s="9">
        <f t="shared" si="155"/>
        <v>-39658.705587984899</v>
      </c>
      <c r="CP200" s="9">
        <f t="shared" si="156"/>
        <v>-39658.705587984899</v>
      </c>
      <c r="CQ200" s="9">
        <f t="shared" si="157"/>
        <v>-39658.705587984899</v>
      </c>
      <c r="CR200" s="202">
        <f t="shared" si="158"/>
        <v>-39658.705587984899</v>
      </c>
      <c r="CS200" s="202">
        <f t="shared" si="159"/>
        <v>-39658.705587984899</v>
      </c>
      <c r="CT200" s="202">
        <f t="shared" si="160"/>
        <v>-39658.705587984899</v>
      </c>
      <c r="CU200" s="203" t="e">
        <f t="shared" si="161"/>
        <v>#DIV/0!</v>
      </c>
      <c r="CV200" s="203" t="e">
        <f t="shared" si="162"/>
        <v>#DIV/0!</v>
      </c>
      <c r="CW200" s="203" t="e">
        <f t="shared" si="163"/>
        <v>#DIV/0!</v>
      </c>
      <c r="CX200" s="19" t="e">
        <f t="shared" si="164"/>
        <v>#DIV/0!</v>
      </c>
      <c r="CY200" s="19" t="e">
        <f t="shared" si="165"/>
        <v>#DIV/0!</v>
      </c>
      <c r="CZ200" s="19" t="e">
        <f t="shared" si="166"/>
        <v>#DIV/0!</v>
      </c>
      <c r="DA200" s="203" t="e">
        <f t="shared" si="167"/>
        <v>#DIV/0!</v>
      </c>
      <c r="DB200" s="203" t="e">
        <f t="shared" si="168"/>
        <v>#DIV/0!</v>
      </c>
      <c r="DC200" s="203" t="e">
        <f t="shared" si="169"/>
        <v>#DIV/0!</v>
      </c>
      <c r="DD200" s="65"/>
      <c r="DE200" s="66"/>
      <c r="DF200" s="66"/>
      <c r="DG200" s="66"/>
      <c r="DH200" s="66"/>
      <c r="DI200" s="66"/>
      <c r="DJ200" s="65"/>
      <c r="DK200" s="66"/>
      <c r="DL200" s="66"/>
      <c r="DM200" s="8">
        <f t="shared" si="170"/>
        <v>0</v>
      </c>
      <c r="DN200" s="8">
        <f t="shared" si="171"/>
        <v>39658.705587984899</v>
      </c>
      <c r="DO200" s="202">
        <f t="shared" si="177"/>
        <v>-39658.705587984899</v>
      </c>
      <c r="DP200" s="202">
        <f t="shared" si="178"/>
        <v>-39658.705587984899</v>
      </c>
      <c r="DQ200" s="202">
        <f t="shared" si="179"/>
        <v>-39658.705587984899</v>
      </c>
      <c r="DR200" s="9">
        <f t="shared" si="180"/>
        <v>-39658.705587984899</v>
      </c>
      <c r="DS200" s="9">
        <f t="shared" si="173"/>
        <v>-39658.705587984899</v>
      </c>
      <c r="DT200" s="9">
        <f t="shared" si="181"/>
        <v>-39658.705587984899</v>
      </c>
      <c r="DU200" s="202">
        <f t="shared" si="182"/>
        <v>-39658.705587984899</v>
      </c>
      <c r="DV200" s="202">
        <f t="shared" si="183"/>
        <v>-39658.705587984899</v>
      </c>
      <c r="DW200" s="202">
        <f t="shared" si="184"/>
        <v>-39658.705587984899</v>
      </c>
      <c r="DX200" s="203" t="e">
        <f t="shared" si="185"/>
        <v>#DIV/0!</v>
      </c>
      <c r="DY200" s="203" t="e">
        <f t="shared" si="186"/>
        <v>#DIV/0!</v>
      </c>
      <c r="DZ200" s="203" t="e">
        <f t="shared" si="187"/>
        <v>#DIV/0!</v>
      </c>
      <c r="EA200" s="19" t="e">
        <f t="shared" si="188"/>
        <v>#DIV/0!</v>
      </c>
      <c r="EB200" s="19" t="e">
        <f t="shared" si="174"/>
        <v>#DIV/0!</v>
      </c>
      <c r="EC200" s="19" t="e">
        <f t="shared" si="189"/>
        <v>#DIV/0!</v>
      </c>
      <c r="ED200" s="203" t="e">
        <f t="shared" si="190"/>
        <v>#DIV/0!</v>
      </c>
      <c r="EE200" s="203" t="e">
        <f t="shared" si="191"/>
        <v>#DIV/0!</v>
      </c>
      <c r="EF200" s="203" t="e">
        <f t="shared" si="192"/>
        <v>#DIV/0!</v>
      </c>
      <c r="EH200" s="58">
        <f>SUMIF($AL$1:$DL$1,1,$AL200:$DL200)-0.5*BZ200-CF200</f>
        <v>26355.975530746629</v>
      </c>
      <c r="EI200" s="68" t="e">
        <f t="shared" si="128"/>
        <v>#DIV/0!</v>
      </c>
      <c r="EJ200" s="58">
        <f t="shared" si="129"/>
        <v>23883.642197413297</v>
      </c>
      <c r="EK200" s="68" t="e">
        <f t="shared" si="128"/>
        <v>#DIV/0!</v>
      </c>
      <c r="EL200" s="58">
        <f t="shared" si="130"/>
        <v>1798.4137662666283</v>
      </c>
      <c r="EM200" s="58">
        <f t="shared" si="131"/>
        <v>1798.4137662666283</v>
      </c>
      <c r="EN200" s="68" t="e">
        <f t="shared" si="132"/>
        <v>#DIV/0!</v>
      </c>
      <c r="EO200" s="139">
        <f t="shared" si="147"/>
        <v>0.32527353469126524</v>
      </c>
      <c r="EP200">
        <f>+(SUM(M200:O200)*EO200*(1-'[1]Tier 3 Data'!$A$2))</f>
        <v>0</v>
      </c>
    </row>
    <row r="201" spans="1:146" x14ac:dyDescent="0.2">
      <c r="A201" s="43">
        <v>0</v>
      </c>
      <c r="B201" s="43">
        <v>0</v>
      </c>
      <c r="C201" s="43">
        <v>0</v>
      </c>
      <c r="D201" s="70">
        <v>2024</v>
      </c>
      <c r="E201" s="70">
        <v>2</v>
      </c>
      <c r="F201" s="2">
        <f>29*24</f>
        <v>696</v>
      </c>
      <c r="G201" s="63"/>
      <c r="H201" s="63"/>
      <c r="I201" s="63"/>
      <c r="J201" s="133">
        <f t="shared" si="203"/>
        <v>0</v>
      </c>
      <c r="K201" s="65">
        <v>0</v>
      </c>
      <c r="L201" s="133">
        <f t="shared" si="204"/>
        <v>0</v>
      </c>
      <c r="M201" s="63"/>
      <c r="N201" s="63"/>
      <c r="O201" s="63"/>
      <c r="P201" s="200">
        <f t="shared" si="194"/>
        <v>0</v>
      </c>
      <c r="Q201" s="200">
        <f t="shared" si="195"/>
        <v>0</v>
      </c>
      <c r="R201" s="200">
        <f t="shared" si="196"/>
        <v>0</v>
      </c>
      <c r="S201" s="133">
        <f t="shared" si="197"/>
        <v>0</v>
      </c>
      <c r="T201" s="133">
        <f t="shared" si="198"/>
        <v>0</v>
      </c>
      <c r="U201" s="133">
        <f t="shared" si="199"/>
        <v>0</v>
      </c>
      <c r="V201" s="200">
        <f t="shared" si="200"/>
        <v>0</v>
      </c>
      <c r="W201" s="200">
        <f t="shared" si="201"/>
        <v>0</v>
      </c>
      <c r="X201" s="200">
        <f t="shared" si="202"/>
        <v>0</v>
      </c>
      <c r="Y201" s="63"/>
      <c r="Z201" s="63"/>
      <c r="AA201" s="63"/>
      <c r="AB201" s="200">
        <f t="shared" si="137"/>
        <v>0</v>
      </c>
      <c r="AC201" s="200">
        <f t="shared" si="138"/>
        <v>0</v>
      </c>
      <c r="AD201" s="200">
        <f t="shared" si="139"/>
        <v>0</v>
      </c>
      <c r="AE201" s="199">
        <f t="shared" si="175"/>
        <v>0</v>
      </c>
      <c r="AF201" s="199">
        <f t="shared" si="141"/>
        <v>0</v>
      </c>
      <c r="AG201" s="199">
        <f t="shared" si="176"/>
        <v>0</v>
      </c>
      <c r="AH201" s="199"/>
      <c r="AI201" s="200">
        <f t="shared" si="143"/>
        <v>0</v>
      </c>
      <c r="AJ201" s="200">
        <f t="shared" si="144"/>
        <v>0</v>
      </c>
      <c r="AK201" s="200">
        <f t="shared" si="145"/>
        <v>0</v>
      </c>
      <c r="AL201" s="4"/>
      <c r="AM201" s="4"/>
      <c r="AN201" s="4"/>
      <c r="AO201" s="4"/>
      <c r="AP201" s="63"/>
      <c r="AQ201" s="18"/>
      <c r="AR201" s="10">
        <v>9280</v>
      </c>
      <c r="AS201" s="18"/>
      <c r="AT201" s="62"/>
      <c r="AU201" s="65">
        <v>62.127000000000002</v>
      </c>
      <c r="AV201" s="65">
        <v>3090.0770000000002</v>
      </c>
      <c r="AW201" s="65">
        <v>2.8629230769230771</v>
      </c>
      <c r="AX201" s="65">
        <v>5.0469999999999997</v>
      </c>
      <c r="AY201" s="65">
        <v>1185.0038251199999</v>
      </c>
      <c r="AZ201" s="63"/>
      <c r="BA201" s="65">
        <v>853.7</v>
      </c>
      <c r="BB201" s="133">
        <f t="shared" ref="BB201:BB264" si="206">+BB189</f>
        <v>305.61</v>
      </c>
      <c r="BC201" s="65">
        <v>233.87491436180096</v>
      </c>
      <c r="BD201" s="65">
        <v>18.196795404006242</v>
      </c>
      <c r="BE201" s="65">
        <v>0</v>
      </c>
      <c r="BF201" s="65">
        <v>194.72305796175525</v>
      </c>
      <c r="BG201" s="65">
        <v>0</v>
      </c>
      <c r="BH201" s="65">
        <v>25.258813275609995</v>
      </c>
      <c r="BI201" s="65">
        <v>518.44800765368484</v>
      </c>
      <c r="BJ201" s="65">
        <v>0</v>
      </c>
      <c r="BK201" s="65">
        <v>19.256201566846642</v>
      </c>
      <c r="BL201" s="65">
        <v>0</v>
      </c>
      <c r="BM201" s="65">
        <v>0</v>
      </c>
      <c r="BN201" s="65">
        <v>19.023796440208546</v>
      </c>
      <c r="BO201" s="65">
        <v>191.64662496000003</v>
      </c>
      <c r="BP201" s="10">
        <f>2*16*29</f>
        <v>928</v>
      </c>
      <c r="BQ201" s="65">
        <v>102.47426660327568</v>
      </c>
      <c r="BR201" s="65">
        <v>133.88595756179387</v>
      </c>
      <c r="BS201" s="65">
        <v>484.46118737665705</v>
      </c>
      <c r="BT201" s="65">
        <v>170.75709963798096</v>
      </c>
      <c r="BU201" s="65">
        <v>184.21139360559198</v>
      </c>
      <c r="BV201" s="144">
        <f t="shared" si="134"/>
        <v>0</v>
      </c>
      <c r="BW201" s="144">
        <f t="shared" si="135"/>
        <v>0</v>
      </c>
      <c r="BX201" s="144">
        <f t="shared" si="136"/>
        <v>0</v>
      </c>
      <c r="BY201" s="5"/>
      <c r="BZ201" s="66">
        <v>6786</v>
      </c>
      <c r="CA201" s="65">
        <v>8596</v>
      </c>
      <c r="CB201" s="5"/>
      <c r="CC201" s="5"/>
      <c r="CD201" s="188">
        <v>3.1195892150124847</v>
      </c>
      <c r="CE201" s="5"/>
      <c r="CF201" s="133">
        <f t="shared" ref="CF201:CF211" si="207">+AVERAGE(CF189,CF177,CF165)</f>
        <v>667.66666666666663</v>
      </c>
      <c r="CG201" s="133">
        <f t="shared" ref="CG201:CG247" si="208">+CG189</f>
        <v>5586</v>
      </c>
      <c r="CH201" s="70"/>
      <c r="CI201" s="70"/>
      <c r="CJ201" s="133">
        <f t="shared" si="193"/>
        <v>916.83</v>
      </c>
      <c r="CK201" s="8">
        <f t="shared" si="172"/>
        <v>39647.432120487814</v>
      </c>
      <c r="CL201" s="202">
        <f t="shared" si="152"/>
        <v>-39647.432120487814</v>
      </c>
      <c r="CM201" s="202">
        <f t="shared" si="153"/>
        <v>-39647.432120487814</v>
      </c>
      <c r="CN201" s="202">
        <f t="shared" si="154"/>
        <v>-39647.432120487814</v>
      </c>
      <c r="CO201" s="9">
        <f t="shared" si="155"/>
        <v>-39647.432120487814</v>
      </c>
      <c r="CP201" s="9">
        <f t="shared" si="156"/>
        <v>-39647.432120487814</v>
      </c>
      <c r="CQ201" s="9">
        <f t="shared" si="157"/>
        <v>-39647.432120487814</v>
      </c>
      <c r="CR201" s="202">
        <f t="shared" si="158"/>
        <v>-39647.432120487814</v>
      </c>
      <c r="CS201" s="202">
        <f t="shared" si="159"/>
        <v>-39647.432120487814</v>
      </c>
      <c r="CT201" s="202">
        <f t="shared" si="160"/>
        <v>-39647.432120487814</v>
      </c>
      <c r="CU201" s="203" t="e">
        <f t="shared" si="161"/>
        <v>#DIV/0!</v>
      </c>
      <c r="CV201" s="203" t="e">
        <f t="shared" si="162"/>
        <v>#DIV/0!</v>
      </c>
      <c r="CW201" s="203" t="e">
        <f t="shared" si="163"/>
        <v>#DIV/0!</v>
      </c>
      <c r="CX201" s="19" t="e">
        <f t="shared" si="164"/>
        <v>#DIV/0!</v>
      </c>
      <c r="CY201" s="19" t="e">
        <f t="shared" si="165"/>
        <v>#DIV/0!</v>
      </c>
      <c r="CZ201" s="19" t="e">
        <f t="shared" si="166"/>
        <v>#DIV/0!</v>
      </c>
      <c r="DA201" s="203" t="e">
        <f t="shared" si="167"/>
        <v>#DIV/0!</v>
      </c>
      <c r="DB201" s="203" t="e">
        <f t="shared" si="168"/>
        <v>#DIV/0!</v>
      </c>
      <c r="DC201" s="203" t="e">
        <f t="shared" si="169"/>
        <v>#DIV/0!</v>
      </c>
      <c r="DD201" s="65"/>
      <c r="DE201" s="66"/>
      <c r="DF201" s="66"/>
      <c r="DG201" s="66"/>
      <c r="DH201" s="66"/>
      <c r="DI201" s="66"/>
      <c r="DJ201" s="65"/>
      <c r="DK201" s="66"/>
      <c r="DL201" s="66"/>
      <c r="DM201" s="8">
        <f t="shared" si="170"/>
        <v>0</v>
      </c>
      <c r="DN201" s="8">
        <f t="shared" si="171"/>
        <v>39647.432120487814</v>
      </c>
      <c r="DO201" s="202">
        <f t="shared" si="177"/>
        <v>-39647.432120487814</v>
      </c>
      <c r="DP201" s="202">
        <f t="shared" si="178"/>
        <v>-39647.432120487814</v>
      </c>
      <c r="DQ201" s="202">
        <f t="shared" si="179"/>
        <v>-39647.432120487814</v>
      </c>
      <c r="DR201" s="9">
        <f t="shared" si="180"/>
        <v>-39647.432120487814</v>
      </c>
      <c r="DS201" s="9">
        <f t="shared" si="173"/>
        <v>-39647.432120487814</v>
      </c>
      <c r="DT201" s="9">
        <f t="shared" si="181"/>
        <v>-39647.432120487814</v>
      </c>
      <c r="DU201" s="202">
        <f t="shared" si="182"/>
        <v>-39647.432120487814</v>
      </c>
      <c r="DV201" s="202">
        <f t="shared" si="183"/>
        <v>-39647.432120487814</v>
      </c>
      <c r="DW201" s="202">
        <f t="shared" si="184"/>
        <v>-39647.432120487814</v>
      </c>
      <c r="DX201" s="203" t="e">
        <f t="shared" si="185"/>
        <v>#DIV/0!</v>
      </c>
      <c r="DY201" s="203" t="e">
        <f t="shared" si="186"/>
        <v>#DIV/0!</v>
      </c>
      <c r="DZ201" s="203" t="e">
        <f t="shared" si="187"/>
        <v>#DIV/0!</v>
      </c>
      <c r="EA201" s="19" t="e">
        <f t="shared" si="188"/>
        <v>#DIV/0!</v>
      </c>
      <c r="EB201" s="19" t="e">
        <f t="shared" si="174"/>
        <v>#DIV/0!</v>
      </c>
      <c r="EC201" s="19" t="e">
        <f t="shared" si="189"/>
        <v>#DIV/0!</v>
      </c>
      <c r="ED201" s="203" t="e">
        <f t="shared" si="190"/>
        <v>#DIV/0!</v>
      </c>
      <c r="EE201" s="203" t="e">
        <f t="shared" si="191"/>
        <v>#DIV/0!</v>
      </c>
      <c r="EF201" s="203" t="e">
        <f t="shared" si="192"/>
        <v>#DIV/0!</v>
      </c>
      <c r="EH201" s="58">
        <f t="shared" ref="EH201:EH223" si="209">SUMIF($AL$1:$DL$1,1,$AL201:$DL201)-0.5*BZ201-CF201</f>
        <v>26785.012883567455</v>
      </c>
      <c r="EI201" s="68" t="e">
        <f t="shared" ref="EI201:EK264" si="210">+EH201/$AF201</f>
        <v>#DIV/0!</v>
      </c>
      <c r="EJ201" s="58">
        <f t="shared" ref="EJ201:EJ264" si="211">SUMIF($AL$2:$DL$2,1,$AL201:$DL201)</f>
        <v>24059.679550234123</v>
      </c>
      <c r="EK201" s="68" t="e">
        <f t="shared" si="210"/>
        <v>#DIV/0!</v>
      </c>
      <c r="EL201" s="58">
        <f t="shared" ref="EL201:EL264" si="212">+EM201-BX201</f>
        <v>2101.4950584474568</v>
      </c>
      <c r="EM201" s="58">
        <f t="shared" ref="EM201:EM264" si="213">SUMIF($AL$3:$DL$3,1,$AL201:$DL201)</f>
        <v>2101.4950584474568</v>
      </c>
      <c r="EN201" s="68" t="e">
        <f t="shared" ref="EN201:EN264" si="214">+EM201/$AF201</f>
        <v>#DIV/0!</v>
      </c>
      <c r="EO201" s="139">
        <f t="shared" si="147"/>
        <v>0.3126447604730192</v>
      </c>
      <c r="EP201">
        <f>+(SUM(M201:O201)*EO201*(1-'[1]Tier 3 Data'!$A$2))</f>
        <v>0</v>
      </c>
    </row>
    <row r="202" spans="1:146" x14ac:dyDescent="0.2">
      <c r="A202" s="43">
        <v>0</v>
      </c>
      <c r="B202" s="43">
        <v>0</v>
      </c>
      <c r="C202" s="43">
        <v>0</v>
      </c>
      <c r="D202" s="70">
        <v>2024</v>
      </c>
      <c r="E202" s="70">
        <v>3</v>
      </c>
      <c r="F202" s="2">
        <v>743</v>
      </c>
      <c r="G202" s="63"/>
      <c r="H202" s="63"/>
      <c r="I202" s="63"/>
      <c r="J202" s="133">
        <f t="shared" si="203"/>
        <v>0</v>
      </c>
      <c r="K202" s="65">
        <v>0</v>
      </c>
      <c r="L202" s="133">
        <f t="shared" si="204"/>
        <v>0</v>
      </c>
      <c r="M202" s="63"/>
      <c r="N202" s="63"/>
      <c r="O202" s="63"/>
      <c r="P202" s="200">
        <f t="shared" si="194"/>
        <v>0</v>
      </c>
      <c r="Q202" s="200">
        <f t="shared" si="195"/>
        <v>0</v>
      </c>
      <c r="R202" s="200">
        <f t="shared" si="196"/>
        <v>0</v>
      </c>
      <c r="S202" s="133">
        <f t="shared" si="197"/>
        <v>0</v>
      </c>
      <c r="T202" s="133">
        <f t="shared" si="198"/>
        <v>0</v>
      </c>
      <c r="U202" s="133">
        <f t="shared" si="199"/>
        <v>0</v>
      </c>
      <c r="V202" s="200">
        <f t="shared" si="200"/>
        <v>0</v>
      </c>
      <c r="W202" s="200">
        <f t="shared" si="201"/>
        <v>0</v>
      </c>
      <c r="X202" s="200">
        <f t="shared" si="202"/>
        <v>0</v>
      </c>
      <c r="Y202" s="63"/>
      <c r="Z202" s="63"/>
      <c r="AA202" s="63"/>
      <c r="AB202" s="200">
        <f t="shared" si="137"/>
        <v>0</v>
      </c>
      <c r="AC202" s="200">
        <f t="shared" si="138"/>
        <v>0</v>
      </c>
      <c r="AD202" s="200">
        <f t="shared" si="139"/>
        <v>0</v>
      </c>
      <c r="AE202" s="199">
        <f t="shared" si="175"/>
        <v>0</v>
      </c>
      <c r="AF202" s="199">
        <f t="shared" si="141"/>
        <v>0</v>
      </c>
      <c r="AG202" s="199">
        <f t="shared" si="176"/>
        <v>0</v>
      </c>
      <c r="AH202" s="199"/>
      <c r="AI202" s="200">
        <f t="shared" si="143"/>
        <v>0</v>
      </c>
      <c r="AJ202" s="200">
        <f t="shared" si="144"/>
        <v>0</v>
      </c>
      <c r="AK202" s="200">
        <f t="shared" si="145"/>
        <v>0</v>
      </c>
      <c r="AL202" s="4"/>
      <c r="AM202" s="4"/>
      <c r="AN202" s="4"/>
      <c r="AO202" s="4"/>
      <c r="AP202" s="63"/>
      <c r="AQ202" s="18"/>
      <c r="AR202" s="10">
        <v>9920</v>
      </c>
      <c r="AS202" s="18"/>
      <c r="AT202" s="62"/>
      <c r="AU202" s="65">
        <v>69.965999999999994</v>
      </c>
      <c r="AV202" s="65">
        <v>3880.1289999999999</v>
      </c>
      <c r="AW202" s="65">
        <v>4.0479230769230767</v>
      </c>
      <c r="AX202" s="65">
        <v>6.7448461538461544</v>
      </c>
      <c r="AY202" s="65">
        <v>1280.8105891600001</v>
      </c>
      <c r="AZ202" s="63"/>
      <c r="BA202" s="65">
        <v>2416.2429999999999</v>
      </c>
      <c r="BB202" s="133">
        <f t="shared" si="206"/>
        <v>1032.4390000000001</v>
      </c>
      <c r="BC202" s="65">
        <v>449.53123898462314</v>
      </c>
      <c r="BD202" s="65">
        <v>17.737549502477364</v>
      </c>
      <c r="BE202" s="65">
        <v>0</v>
      </c>
      <c r="BF202" s="65">
        <v>213.19694193955203</v>
      </c>
      <c r="BG202" s="65">
        <v>0</v>
      </c>
      <c r="BH202" s="65">
        <v>44.202923232317495</v>
      </c>
      <c r="BI202" s="65">
        <v>996.50950537231449</v>
      </c>
      <c r="BJ202" s="65">
        <v>0</v>
      </c>
      <c r="BK202" s="65">
        <v>19.397174608663349</v>
      </c>
      <c r="BL202" s="65">
        <v>0</v>
      </c>
      <c r="BM202" s="65">
        <v>0</v>
      </c>
      <c r="BN202" s="65">
        <v>33.291643770364956</v>
      </c>
      <c r="BO202" s="65">
        <v>212.18019192</v>
      </c>
      <c r="BP202" s="10">
        <f>2*16*31</f>
        <v>992</v>
      </c>
      <c r="BQ202" s="65">
        <v>142.61874440136083</v>
      </c>
      <c r="BR202" s="65">
        <v>186.33599315202625</v>
      </c>
      <c r="BS202" s="65">
        <v>674.24962559819653</v>
      </c>
      <c r="BT202" s="65">
        <v>225.99297479009709</v>
      </c>
      <c r="BU202" s="65">
        <v>262.62457530189107</v>
      </c>
      <c r="BV202" s="144">
        <f t="shared" si="134"/>
        <v>0</v>
      </c>
      <c r="BW202" s="144">
        <f t="shared" si="135"/>
        <v>0</v>
      </c>
      <c r="BX202" s="144">
        <f t="shared" si="136"/>
        <v>0</v>
      </c>
      <c r="BY202" s="5"/>
      <c r="BZ202" s="66">
        <v>7244.25</v>
      </c>
      <c r="CA202" s="65">
        <v>5671.7999999999993</v>
      </c>
      <c r="CB202" s="5"/>
      <c r="CC202" s="5"/>
      <c r="CD202" s="188">
        <v>13.157281760074044</v>
      </c>
      <c r="CE202" s="5"/>
      <c r="CF202" s="133">
        <f t="shared" si="207"/>
        <v>1476.3333333333333</v>
      </c>
      <c r="CG202" s="133">
        <f t="shared" si="208"/>
        <v>5605</v>
      </c>
      <c r="CH202" s="70"/>
      <c r="CI202" s="70"/>
      <c r="CJ202" s="133">
        <f t="shared" si="193"/>
        <v>3097.317</v>
      </c>
      <c r="CK202" s="8">
        <f t="shared" si="172"/>
        <v>43090.790056058067</v>
      </c>
      <c r="CL202" s="202">
        <f t="shared" si="152"/>
        <v>-43090.790056058067</v>
      </c>
      <c r="CM202" s="202">
        <f t="shared" si="153"/>
        <v>-43090.790056058067</v>
      </c>
      <c r="CN202" s="202">
        <f t="shared" si="154"/>
        <v>-43090.790056058067</v>
      </c>
      <c r="CO202" s="9">
        <f t="shared" si="155"/>
        <v>-43090.790056058067</v>
      </c>
      <c r="CP202" s="9">
        <f t="shared" si="156"/>
        <v>-43090.790056058067</v>
      </c>
      <c r="CQ202" s="9">
        <f t="shared" si="157"/>
        <v>-43090.790056058067</v>
      </c>
      <c r="CR202" s="202">
        <f t="shared" si="158"/>
        <v>-43090.790056058067</v>
      </c>
      <c r="CS202" s="202">
        <f t="shared" si="159"/>
        <v>-43090.790056058067</v>
      </c>
      <c r="CT202" s="202">
        <f t="shared" si="160"/>
        <v>-43090.790056058067</v>
      </c>
      <c r="CU202" s="203" t="e">
        <f t="shared" si="161"/>
        <v>#DIV/0!</v>
      </c>
      <c r="CV202" s="203" t="e">
        <f t="shared" si="162"/>
        <v>#DIV/0!</v>
      </c>
      <c r="CW202" s="203" t="e">
        <f t="shared" si="163"/>
        <v>#DIV/0!</v>
      </c>
      <c r="CX202" s="19" t="e">
        <f t="shared" si="164"/>
        <v>#DIV/0!</v>
      </c>
      <c r="CY202" s="19" t="e">
        <f t="shared" si="165"/>
        <v>#DIV/0!</v>
      </c>
      <c r="CZ202" s="19" t="e">
        <f t="shared" si="166"/>
        <v>#DIV/0!</v>
      </c>
      <c r="DA202" s="203" t="e">
        <f t="shared" si="167"/>
        <v>#DIV/0!</v>
      </c>
      <c r="DB202" s="203" t="e">
        <f t="shared" si="168"/>
        <v>#DIV/0!</v>
      </c>
      <c r="DC202" s="203" t="e">
        <f t="shared" si="169"/>
        <v>#DIV/0!</v>
      </c>
      <c r="DD202" s="65"/>
      <c r="DE202" s="66"/>
      <c r="DF202" s="66"/>
      <c r="DG202" s="66"/>
      <c r="DH202" s="66"/>
      <c r="DI202" s="66"/>
      <c r="DJ202" s="65"/>
      <c r="DK202" s="66"/>
      <c r="DL202" s="66"/>
      <c r="DM202" s="8">
        <f t="shared" si="170"/>
        <v>0</v>
      </c>
      <c r="DN202" s="8">
        <f t="shared" si="171"/>
        <v>43090.790056058067</v>
      </c>
      <c r="DO202" s="202">
        <f t="shared" si="177"/>
        <v>-43090.790056058067</v>
      </c>
      <c r="DP202" s="202">
        <f t="shared" si="178"/>
        <v>-43090.790056058067</v>
      </c>
      <c r="DQ202" s="202">
        <f t="shared" si="179"/>
        <v>-43090.790056058067</v>
      </c>
      <c r="DR202" s="9">
        <f t="shared" si="180"/>
        <v>-43090.790056058067</v>
      </c>
      <c r="DS202" s="9">
        <f t="shared" si="173"/>
        <v>-43090.790056058067</v>
      </c>
      <c r="DT202" s="9">
        <f t="shared" si="181"/>
        <v>-43090.790056058067</v>
      </c>
      <c r="DU202" s="202">
        <f t="shared" si="182"/>
        <v>-43090.790056058067</v>
      </c>
      <c r="DV202" s="202">
        <f t="shared" si="183"/>
        <v>-43090.790056058067</v>
      </c>
      <c r="DW202" s="202">
        <f t="shared" si="184"/>
        <v>-43090.790056058067</v>
      </c>
      <c r="DX202" s="203" t="e">
        <f t="shared" si="185"/>
        <v>#DIV/0!</v>
      </c>
      <c r="DY202" s="203" t="e">
        <f t="shared" si="186"/>
        <v>#DIV/0!</v>
      </c>
      <c r="DZ202" s="203" t="e">
        <f t="shared" si="187"/>
        <v>#DIV/0!</v>
      </c>
      <c r="EA202" s="19" t="e">
        <f t="shared" si="188"/>
        <v>#DIV/0!</v>
      </c>
      <c r="EB202" s="19" t="e">
        <f t="shared" si="174"/>
        <v>#DIV/0!</v>
      </c>
      <c r="EC202" s="19" t="e">
        <f t="shared" si="189"/>
        <v>#DIV/0!</v>
      </c>
      <c r="ED202" s="203" t="e">
        <f t="shared" si="190"/>
        <v>#DIV/0!</v>
      </c>
      <c r="EE202" s="203" t="e">
        <f t="shared" si="191"/>
        <v>#DIV/0!</v>
      </c>
      <c r="EF202" s="203" t="e">
        <f t="shared" si="192"/>
        <v>#DIV/0!</v>
      </c>
      <c r="EH202" s="58">
        <f t="shared" si="209"/>
        <v>32083.384729794339</v>
      </c>
      <c r="EI202" s="68" t="e">
        <f t="shared" si="210"/>
        <v>#DIV/0!</v>
      </c>
      <c r="EJ202" s="58">
        <f t="shared" si="211"/>
        <v>29937.593063127668</v>
      </c>
      <c r="EK202" s="68" t="e">
        <f t="shared" si="210"/>
        <v>#DIV/0!</v>
      </c>
      <c r="EL202" s="58">
        <f t="shared" si="212"/>
        <v>3264.6721406343322</v>
      </c>
      <c r="EM202" s="58">
        <f t="shared" si="213"/>
        <v>3264.6721406343322</v>
      </c>
      <c r="EN202" s="68" t="e">
        <f t="shared" si="214"/>
        <v>#DIV/0!</v>
      </c>
      <c r="EO202" s="139">
        <f t="shared" si="147"/>
        <v>0.32861286969700848</v>
      </c>
      <c r="EP202">
        <f>+(SUM(M202:O202)*EO202*(1-'[1]Tier 3 Data'!$A$2))</f>
        <v>0</v>
      </c>
    </row>
    <row r="203" spans="1:146" x14ac:dyDescent="0.2">
      <c r="A203" s="43">
        <v>0</v>
      </c>
      <c r="B203" s="43">
        <v>0</v>
      </c>
      <c r="C203" s="43">
        <v>0</v>
      </c>
      <c r="D203" s="70">
        <v>2024</v>
      </c>
      <c r="E203" s="70">
        <v>4</v>
      </c>
      <c r="F203" s="2">
        <v>720</v>
      </c>
      <c r="G203" s="63"/>
      <c r="H203" s="63"/>
      <c r="I203" s="63"/>
      <c r="J203" s="133">
        <f t="shared" si="203"/>
        <v>0</v>
      </c>
      <c r="K203" s="65">
        <v>0</v>
      </c>
      <c r="L203" s="133">
        <f t="shared" si="204"/>
        <v>0</v>
      </c>
      <c r="M203" s="63"/>
      <c r="N203" s="63"/>
      <c r="O203" s="63"/>
      <c r="P203" s="200">
        <f t="shared" si="194"/>
        <v>0</v>
      </c>
      <c r="Q203" s="200">
        <f t="shared" si="195"/>
        <v>0</v>
      </c>
      <c r="R203" s="200">
        <f t="shared" si="196"/>
        <v>0</v>
      </c>
      <c r="S203" s="133">
        <f t="shared" si="197"/>
        <v>0</v>
      </c>
      <c r="T203" s="133">
        <f t="shared" si="198"/>
        <v>0</v>
      </c>
      <c r="U203" s="133">
        <f t="shared" si="199"/>
        <v>0</v>
      </c>
      <c r="V203" s="200">
        <f t="shared" si="200"/>
        <v>0</v>
      </c>
      <c r="W203" s="200">
        <f t="shared" si="201"/>
        <v>0</v>
      </c>
      <c r="X203" s="200">
        <f t="shared" si="202"/>
        <v>0</v>
      </c>
      <c r="Y203" s="63"/>
      <c r="Z203" s="63"/>
      <c r="AA203" s="63"/>
      <c r="AB203" s="200">
        <f t="shared" si="137"/>
        <v>0</v>
      </c>
      <c r="AC203" s="200">
        <f t="shared" si="138"/>
        <v>0</v>
      </c>
      <c r="AD203" s="200">
        <f t="shared" si="139"/>
        <v>0</v>
      </c>
      <c r="AE203" s="199">
        <f t="shared" si="175"/>
        <v>0</v>
      </c>
      <c r="AF203" s="199">
        <f t="shared" si="141"/>
        <v>0</v>
      </c>
      <c r="AG203" s="199">
        <f t="shared" si="176"/>
        <v>0</v>
      </c>
      <c r="AH203" s="199"/>
      <c r="AI203" s="200">
        <f t="shared" si="143"/>
        <v>0</v>
      </c>
      <c r="AJ203" s="200">
        <f t="shared" si="144"/>
        <v>0</v>
      </c>
      <c r="AK203" s="200">
        <f t="shared" si="145"/>
        <v>0</v>
      </c>
      <c r="AL203" s="4"/>
      <c r="AM203" s="4"/>
      <c r="AN203" s="4"/>
      <c r="AO203" s="4"/>
      <c r="AP203" s="63"/>
      <c r="AQ203" s="18"/>
      <c r="AR203" s="10">
        <v>9600</v>
      </c>
      <c r="AS203" s="18"/>
      <c r="AT203" s="62"/>
      <c r="AU203" s="65">
        <v>67.275000000000006</v>
      </c>
      <c r="AV203" s="65">
        <v>3766.0189999999998</v>
      </c>
      <c r="AW203" s="65">
        <v>4.8162307692307698</v>
      </c>
      <c r="AX203" s="65">
        <v>10.098384615384616</v>
      </c>
      <c r="AY203" s="65">
        <v>1122.6138126000001</v>
      </c>
      <c r="AZ203" s="63"/>
      <c r="BA203" s="65">
        <v>1366.578</v>
      </c>
      <c r="BB203" s="133">
        <f t="shared" si="206"/>
        <v>720.45</v>
      </c>
      <c r="BC203" s="65">
        <v>567.6650303146555</v>
      </c>
      <c r="BD203" s="65">
        <v>15.751376692709027</v>
      </c>
      <c r="BE203" s="65">
        <v>0</v>
      </c>
      <c r="BF203" s="65">
        <v>201.0078173079965</v>
      </c>
      <c r="BG203" s="65">
        <v>0</v>
      </c>
      <c r="BH203" s="65">
        <v>138.923473015855</v>
      </c>
      <c r="BI203" s="65">
        <v>1258.3855125480325</v>
      </c>
      <c r="BJ203" s="65">
        <v>0</v>
      </c>
      <c r="BK203" s="65">
        <v>19.984033847071771</v>
      </c>
      <c r="BL203" s="65">
        <v>0</v>
      </c>
      <c r="BM203" s="65">
        <v>0</v>
      </c>
      <c r="BN203" s="65">
        <v>104.630880421147</v>
      </c>
      <c r="BO203" s="65">
        <v>205.33566960000002</v>
      </c>
      <c r="BP203" s="10">
        <f t="shared" si="205"/>
        <v>960</v>
      </c>
      <c r="BQ203" s="65">
        <v>152.29775698790357</v>
      </c>
      <c r="BR203" s="65">
        <v>198.98197711766505</v>
      </c>
      <c r="BS203" s="65">
        <v>720.00863082472983</v>
      </c>
      <c r="BT203" s="65">
        <v>250.23892173454735</v>
      </c>
      <c r="BU203" s="65">
        <v>268.69920478444152</v>
      </c>
      <c r="BV203" s="144">
        <f t="shared" si="134"/>
        <v>0</v>
      </c>
      <c r="BW203" s="144">
        <f t="shared" si="135"/>
        <v>0</v>
      </c>
      <c r="BX203" s="144">
        <f t="shared" si="136"/>
        <v>0</v>
      </c>
      <c r="BY203" s="5"/>
      <c r="BZ203" s="66">
        <v>7020</v>
      </c>
      <c r="CA203" s="65">
        <v>2966.4</v>
      </c>
      <c r="CB203" s="5"/>
      <c r="CC203" s="5"/>
      <c r="CD203" s="188">
        <v>2.3725527527096357</v>
      </c>
      <c r="CE203" s="5"/>
      <c r="CF203" s="133">
        <f t="shared" si="207"/>
        <v>2495.3333333333335</v>
      </c>
      <c r="CG203" s="133">
        <f t="shared" si="208"/>
        <v>4108</v>
      </c>
      <c r="CH203" s="70"/>
      <c r="CI203" s="70"/>
      <c r="CJ203" s="133">
        <f t="shared" si="193"/>
        <v>2161.3500000000004</v>
      </c>
      <c r="CK203" s="8">
        <f t="shared" si="172"/>
        <v>38311.866599267421</v>
      </c>
      <c r="CL203" s="202">
        <f t="shared" si="152"/>
        <v>-38311.866599267421</v>
      </c>
      <c r="CM203" s="202">
        <f t="shared" si="153"/>
        <v>-38311.866599267421</v>
      </c>
      <c r="CN203" s="202">
        <f t="shared" si="154"/>
        <v>-38311.866599267421</v>
      </c>
      <c r="CO203" s="9">
        <f t="shared" si="155"/>
        <v>-38311.866599267421</v>
      </c>
      <c r="CP203" s="9">
        <f t="shared" si="156"/>
        <v>-38311.866599267421</v>
      </c>
      <c r="CQ203" s="9">
        <f t="shared" si="157"/>
        <v>-38311.866599267421</v>
      </c>
      <c r="CR203" s="202">
        <f t="shared" si="158"/>
        <v>-38311.866599267421</v>
      </c>
      <c r="CS203" s="202">
        <f t="shared" si="159"/>
        <v>-38311.866599267421</v>
      </c>
      <c r="CT203" s="202">
        <f t="shared" si="160"/>
        <v>-38311.866599267421</v>
      </c>
      <c r="CU203" s="203" t="e">
        <f t="shared" si="161"/>
        <v>#DIV/0!</v>
      </c>
      <c r="CV203" s="203" t="e">
        <f t="shared" si="162"/>
        <v>#DIV/0!</v>
      </c>
      <c r="CW203" s="203" t="e">
        <f t="shared" si="163"/>
        <v>#DIV/0!</v>
      </c>
      <c r="CX203" s="19" t="e">
        <f t="shared" si="164"/>
        <v>#DIV/0!</v>
      </c>
      <c r="CY203" s="19" t="e">
        <f t="shared" si="165"/>
        <v>#DIV/0!</v>
      </c>
      <c r="CZ203" s="19" t="e">
        <f t="shared" si="166"/>
        <v>#DIV/0!</v>
      </c>
      <c r="DA203" s="203" t="e">
        <f t="shared" si="167"/>
        <v>#DIV/0!</v>
      </c>
      <c r="DB203" s="203" t="e">
        <f t="shared" si="168"/>
        <v>#DIV/0!</v>
      </c>
      <c r="DC203" s="203" t="e">
        <f t="shared" si="169"/>
        <v>#DIV/0!</v>
      </c>
      <c r="DD203" s="65"/>
      <c r="DE203" s="66"/>
      <c r="DF203" s="66"/>
      <c r="DG203" s="66"/>
      <c r="DH203" s="66"/>
      <c r="DI203" s="66"/>
      <c r="DJ203" s="65"/>
      <c r="DK203" s="66"/>
      <c r="DL203" s="66"/>
      <c r="DM203" s="8">
        <f t="shared" si="170"/>
        <v>0</v>
      </c>
      <c r="DN203" s="8">
        <f t="shared" si="171"/>
        <v>38311.866599267421</v>
      </c>
      <c r="DO203" s="202">
        <f t="shared" si="177"/>
        <v>-38311.866599267421</v>
      </c>
      <c r="DP203" s="202">
        <f t="shared" si="178"/>
        <v>-38311.866599267421</v>
      </c>
      <c r="DQ203" s="202">
        <f t="shared" si="179"/>
        <v>-38311.866599267421</v>
      </c>
      <c r="DR203" s="9">
        <f t="shared" si="180"/>
        <v>-38311.866599267421</v>
      </c>
      <c r="DS203" s="9">
        <f t="shared" si="173"/>
        <v>-38311.866599267421</v>
      </c>
      <c r="DT203" s="9">
        <f t="shared" si="181"/>
        <v>-38311.866599267421</v>
      </c>
      <c r="DU203" s="202">
        <f t="shared" si="182"/>
        <v>-38311.866599267421</v>
      </c>
      <c r="DV203" s="202">
        <f t="shared" si="183"/>
        <v>-38311.866599267421</v>
      </c>
      <c r="DW203" s="202">
        <f t="shared" si="184"/>
        <v>-38311.866599267421</v>
      </c>
      <c r="DX203" s="203" t="e">
        <f t="shared" si="185"/>
        <v>#DIV/0!</v>
      </c>
      <c r="DY203" s="203" t="e">
        <f t="shared" si="186"/>
        <v>#DIV/0!</v>
      </c>
      <c r="DZ203" s="203" t="e">
        <f t="shared" si="187"/>
        <v>#DIV/0!</v>
      </c>
      <c r="EA203" s="19" t="e">
        <f t="shared" si="188"/>
        <v>#DIV/0!</v>
      </c>
      <c r="EB203" s="19" t="e">
        <f t="shared" si="174"/>
        <v>#DIV/0!</v>
      </c>
      <c r="EC203" s="19" t="e">
        <f t="shared" si="189"/>
        <v>#DIV/0!</v>
      </c>
      <c r="ED203" s="203" t="e">
        <f t="shared" si="190"/>
        <v>#DIV/0!</v>
      </c>
      <c r="EE203" s="203" t="e">
        <f t="shared" si="191"/>
        <v>#DIV/0!</v>
      </c>
      <c r="EF203" s="203" t="e">
        <f t="shared" si="192"/>
        <v>#DIV/0!</v>
      </c>
      <c r="EH203" s="58">
        <f t="shared" si="209"/>
        <v>29121.838280488762</v>
      </c>
      <c r="EI203" s="68" t="e">
        <f t="shared" si="210"/>
        <v>#DIV/0!</v>
      </c>
      <c r="EJ203" s="58">
        <f t="shared" si="211"/>
        <v>28107.171613822095</v>
      </c>
      <c r="EK203" s="68" t="e">
        <f t="shared" si="210"/>
        <v>#DIV/0!</v>
      </c>
      <c r="EL203" s="58">
        <f t="shared" si="212"/>
        <v>3900.9024678887581</v>
      </c>
      <c r="EM203" s="58">
        <f t="shared" si="213"/>
        <v>3900.9024678887581</v>
      </c>
      <c r="EN203" s="68" t="e">
        <f t="shared" si="214"/>
        <v>#DIV/0!</v>
      </c>
      <c r="EO203" s="139">
        <f t="shared" si="147"/>
        <v>0.35351678044029999</v>
      </c>
      <c r="EP203">
        <f>+(SUM(M203:O203)*EO203*(1-'[1]Tier 3 Data'!$A$2))</f>
        <v>0</v>
      </c>
    </row>
    <row r="204" spans="1:146" x14ac:dyDescent="0.2">
      <c r="A204" s="43">
        <v>0</v>
      </c>
      <c r="B204" s="43">
        <v>0</v>
      </c>
      <c r="C204" s="43">
        <v>0</v>
      </c>
      <c r="D204" s="70">
        <v>2024</v>
      </c>
      <c r="E204" s="70">
        <v>5</v>
      </c>
      <c r="F204" s="2">
        <v>744</v>
      </c>
      <c r="G204" s="63"/>
      <c r="H204" s="63"/>
      <c r="I204" s="63"/>
      <c r="J204" s="133">
        <f t="shared" si="203"/>
        <v>0</v>
      </c>
      <c r="K204" s="65">
        <v>0</v>
      </c>
      <c r="L204" s="133">
        <f t="shared" si="204"/>
        <v>0</v>
      </c>
      <c r="M204" s="63"/>
      <c r="N204" s="63"/>
      <c r="O204" s="63"/>
      <c r="P204" s="200">
        <f t="shared" si="194"/>
        <v>0</v>
      </c>
      <c r="Q204" s="200">
        <f t="shared" si="195"/>
        <v>0</v>
      </c>
      <c r="R204" s="200">
        <f t="shared" si="196"/>
        <v>0</v>
      </c>
      <c r="S204" s="133">
        <f t="shared" si="197"/>
        <v>0</v>
      </c>
      <c r="T204" s="133">
        <f t="shared" si="198"/>
        <v>0</v>
      </c>
      <c r="U204" s="133">
        <f t="shared" si="199"/>
        <v>0</v>
      </c>
      <c r="V204" s="200">
        <f t="shared" si="200"/>
        <v>0</v>
      </c>
      <c r="W204" s="200">
        <f t="shared" si="201"/>
        <v>0</v>
      </c>
      <c r="X204" s="200">
        <f t="shared" si="202"/>
        <v>0</v>
      </c>
      <c r="Y204" s="63"/>
      <c r="Z204" s="63"/>
      <c r="AA204" s="63"/>
      <c r="AB204" s="200">
        <f t="shared" si="137"/>
        <v>0</v>
      </c>
      <c r="AC204" s="200">
        <f t="shared" si="138"/>
        <v>0</v>
      </c>
      <c r="AD204" s="200">
        <f t="shared" si="139"/>
        <v>0</v>
      </c>
      <c r="AE204" s="199">
        <f t="shared" si="175"/>
        <v>0</v>
      </c>
      <c r="AF204" s="199">
        <f t="shared" si="141"/>
        <v>0</v>
      </c>
      <c r="AG204" s="199">
        <f t="shared" si="176"/>
        <v>0</v>
      </c>
      <c r="AH204" s="199"/>
      <c r="AI204" s="200">
        <f t="shared" si="143"/>
        <v>0</v>
      </c>
      <c r="AJ204" s="200">
        <f t="shared" si="144"/>
        <v>0</v>
      </c>
      <c r="AK204" s="200">
        <f t="shared" si="145"/>
        <v>0</v>
      </c>
      <c r="AL204" s="4"/>
      <c r="AM204" s="4"/>
      <c r="AN204" s="4"/>
      <c r="AO204" s="4"/>
      <c r="AP204" s="63"/>
      <c r="AQ204" s="18"/>
      <c r="AR204" s="10">
        <v>9920</v>
      </c>
      <c r="AS204" s="18"/>
      <c r="AT204" s="62"/>
      <c r="AU204" s="65">
        <v>67.742999999999995</v>
      </c>
      <c r="AV204" s="65">
        <v>3897.5619999999999</v>
      </c>
      <c r="AW204" s="65">
        <v>3.858769230769231</v>
      </c>
      <c r="AX204" s="65">
        <v>10.245153846153846</v>
      </c>
      <c r="AY204" s="65">
        <v>837.33634925714296</v>
      </c>
      <c r="AZ204" s="63"/>
      <c r="BA204" s="65">
        <v>1570</v>
      </c>
      <c r="BB204" s="133">
        <f t="shared" si="206"/>
        <v>514.33500000000004</v>
      </c>
      <c r="BC204" s="65">
        <v>570.10748354622444</v>
      </c>
      <c r="BD204" s="65">
        <v>12.098699446784533</v>
      </c>
      <c r="BE204" s="65">
        <v>0</v>
      </c>
      <c r="BF204" s="65">
        <v>204.79596502442698</v>
      </c>
      <c r="BG204" s="65">
        <v>0</v>
      </c>
      <c r="BH204" s="65">
        <v>88.40584646463499</v>
      </c>
      <c r="BI204" s="65">
        <v>1263.7998812294688</v>
      </c>
      <c r="BJ204" s="65">
        <v>0</v>
      </c>
      <c r="BK204" s="65">
        <v>12.751667915526451</v>
      </c>
      <c r="BL204" s="65">
        <v>0</v>
      </c>
      <c r="BM204" s="65">
        <v>0</v>
      </c>
      <c r="BN204" s="65">
        <v>66.583287540729913</v>
      </c>
      <c r="BO204" s="65">
        <v>212.18019192</v>
      </c>
      <c r="BP204" s="10">
        <f>2*16*31</f>
        <v>992</v>
      </c>
      <c r="BQ204" s="65">
        <v>175.3939009489327</v>
      </c>
      <c r="BR204" s="65">
        <v>229.15781653911878</v>
      </c>
      <c r="BS204" s="65">
        <v>829.19874702053585</v>
      </c>
      <c r="BT204" s="65">
        <v>258.62012804431896</v>
      </c>
      <c r="BU204" s="65">
        <v>307.28472847122794</v>
      </c>
      <c r="BV204" s="144">
        <f t="shared" ref="BV204:BV267" si="215">+M204*0.7</f>
        <v>0</v>
      </c>
      <c r="BW204" s="144">
        <f t="shared" ref="BW204:BW267" si="216">+N204*0.7</f>
        <v>0</v>
      </c>
      <c r="BX204" s="144">
        <f t="shared" ref="BX204:BX267" si="217">+O204*0.7</f>
        <v>0</v>
      </c>
      <c r="BY204" s="5"/>
      <c r="BZ204" s="66">
        <v>7254</v>
      </c>
      <c r="CA204" s="65">
        <v>2480</v>
      </c>
      <c r="CB204" s="5"/>
      <c r="CC204" s="5"/>
      <c r="CD204" s="188">
        <v>1.4538432884059718E-2</v>
      </c>
      <c r="CE204" s="5"/>
      <c r="CF204" s="133">
        <f t="shared" si="207"/>
        <v>1762.6666666666667</v>
      </c>
      <c r="CG204" s="133">
        <f t="shared" si="208"/>
        <v>2070</v>
      </c>
      <c r="CH204" s="70"/>
      <c r="CI204" s="70"/>
      <c r="CJ204" s="133">
        <f t="shared" si="193"/>
        <v>1543.0050000000001</v>
      </c>
      <c r="CK204" s="8">
        <f t="shared" si="172"/>
        <v>35610.139821545548</v>
      </c>
      <c r="CL204" s="202">
        <f t="shared" si="152"/>
        <v>-35610.139821545548</v>
      </c>
      <c r="CM204" s="202">
        <f t="shared" si="153"/>
        <v>-35610.139821545548</v>
      </c>
      <c r="CN204" s="202">
        <f t="shared" si="154"/>
        <v>-35610.139821545548</v>
      </c>
      <c r="CO204" s="9">
        <f t="shared" si="155"/>
        <v>-35610.139821545548</v>
      </c>
      <c r="CP204" s="9">
        <f t="shared" si="156"/>
        <v>-35610.139821545548</v>
      </c>
      <c r="CQ204" s="9">
        <f t="shared" si="157"/>
        <v>-35610.139821545548</v>
      </c>
      <c r="CR204" s="202">
        <f t="shared" si="158"/>
        <v>-35610.139821545548</v>
      </c>
      <c r="CS204" s="202">
        <f t="shared" si="159"/>
        <v>-35610.139821545548</v>
      </c>
      <c r="CT204" s="202">
        <f t="shared" si="160"/>
        <v>-35610.139821545548</v>
      </c>
      <c r="CU204" s="203" t="e">
        <f t="shared" si="161"/>
        <v>#DIV/0!</v>
      </c>
      <c r="CV204" s="203" t="e">
        <f t="shared" si="162"/>
        <v>#DIV/0!</v>
      </c>
      <c r="CW204" s="203" t="e">
        <f t="shared" si="163"/>
        <v>#DIV/0!</v>
      </c>
      <c r="CX204" s="19" t="e">
        <f t="shared" si="164"/>
        <v>#DIV/0!</v>
      </c>
      <c r="CY204" s="19" t="e">
        <f t="shared" si="165"/>
        <v>#DIV/0!</v>
      </c>
      <c r="CZ204" s="19" t="e">
        <f t="shared" si="166"/>
        <v>#DIV/0!</v>
      </c>
      <c r="DA204" s="203" t="e">
        <f t="shared" si="167"/>
        <v>#DIV/0!</v>
      </c>
      <c r="DB204" s="203" t="e">
        <f t="shared" si="168"/>
        <v>#DIV/0!</v>
      </c>
      <c r="DC204" s="203" t="e">
        <f t="shared" si="169"/>
        <v>#DIV/0!</v>
      </c>
      <c r="DD204" s="65"/>
      <c r="DE204" s="66"/>
      <c r="DF204" s="66"/>
      <c r="DG204" s="66"/>
      <c r="DH204" s="66"/>
      <c r="DI204" s="66"/>
      <c r="DJ204" s="65"/>
      <c r="DK204" s="66"/>
      <c r="DL204" s="66"/>
      <c r="DM204" s="8">
        <f t="shared" si="170"/>
        <v>0</v>
      </c>
      <c r="DN204" s="8">
        <f t="shared" si="171"/>
        <v>35610.139821545548</v>
      </c>
      <c r="DO204" s="202">
        <f t="shared" si="177"/>
        <v>-35610.139821545548</v>
      </c>
      <c r="DP204" s="202">
        <f t="shared" si="178"/>
        <v>-35610.139821545548</v>
      </c>
      <c r="DQ204" s="202">
        <f t="shared" si="179"/>
        <v>-35610.139821545548</v>
      </c>
      <c r="DR204" s="9">
        <f t="shared" si="180"/>
        <v>-35610.139821545548</v>
      </c>
      <c r="DS204" s="9">
        <f t="shared" si="173"/>
        <v>-35610.139821545548</v>
      </c>
      <c r="DT204" s="9">
        <f t="shared" si="181"/>
        <v>-35610.139821545548</v>
      </c>
      <c r="DU204" s="202">
        <f t="shared" si="182"/>
        <v>-35610.139821545548</v>
      </c>
      <c r="DV204" s="202">
        <f t="shared" si="183"/>
        <v>-35610.139821545548</v>
      </c>
      <c r="DW204" s="202">
        <f t="shared" si="184"/>
        <v>-35610.139821545548</v>
      </c>
      <c r="DX204" s="203" t="e">
        <f t="shared" si="185"/>
        <v>#DIV/0!</v>
      </c>
      <c r="DY204" s="203" t="e">
        <f t="shared" si="186"/>
        <v>#DIV/0!</v>
      </c>
      <c r="DZ204" s="203" t="e">
        <f t="shared" si="187"/>
        <v>#DIV/0!</v>
      </c>
      <c r="EA204" s="19" t="e">
        <f t="shared" si="188"/>
        <v>#DIV/0!</v>
      </c>
      <c r="EB204" s="19" t="e">
        <f t="shared" si="174"/>
        <v>#DIV/0!</v>
      </c>
      <c r="EC204" s="19" t="e">
        <f t="shared" si="189"/>
        <v>#DIV/0!</v>
      </c>
      <c r="ED204" s="203" t="e">
        <f t="shared" si="190"/>
        <v>#DIV/0!</v>
      </c>
      <c r="EE204" s="203" t="e">
        <f t="shared" si="191"/>
        <v>#DIV/0!</v>
      </c>
      <c r="EF204" s="203" t="e">
        <f t="shared" si="192"/>
        <v>#DIV/0!</v>
      </c>
      <c r="EH204" s="58">
        <f t="shared" si="209"/>
        <v>27521.55872834464</v>
      </c>
      <c r="EI204" s="68" t="e">
        <f t="shared" si="210"/>
        <v>#DIV/0!</v>
      </c>
      <c r="EJ204" s="58">
        <f t="shared" si="211"/>
        <v>25657.225395011312</v>
      </c>
      <c r="EK204" s="68" t="e">
        <f t="shared" si="210"/>
        <v>#DIV/0!</v>
      </c>
      <c r="EL204" s="58">
        <f t="shared" si="212"/>
        <v>4025.5823790875033</v>
      </c>
      <c r="EM204" s="58">
        <f t="shared" si="213"/>
        <v>4025.5823790875033</v>
      </c>
      <c r="EN204" s="68" t="e">
        <f t="shared" si="214"/>
        <v>#DIV/0!</v>
      </c>
      <c r="EO204" s="139">
        <f t="shared" si="147"/>
        <v>0.28868615856523006</v>
      </c>
      <c r="EP204">
        <f>+(SUM(M204:O204)*EO204*(1-'[1]Tier 3 Data'!$A$2))</f>
        <v>0</v>
      </c>
    </row>
    <row r="205" spans="1:146" x14ac:dyDescent="0.2">
      <c r="A205" s="43">
        <v>0</v>
      </c>
      <c r="B205" s="43">
        <v>0</v>
      </c>
      <c r="C205" s="43">
        <v>0</v>
      </c>
      <c r="D205" s="70">
        <v>2024</v>
      </c>
      <c r="E205" s="70">
        <v>6</v>
      </c>
      <c r="F205" s="2">
        <v>720</v>
      </c>
      <c r="G205" s="63"/>
      <c r="H205" s="63"/>
      <c r="I205" s="63"/>
      <c r="J205" s="133">
        <f t="shared" si="203"/>
        <v>0</v>
      </c>
      <c r="K205" s="65">
        <v>0</v>
      </c>
      <c r="L205" s="133">
        <f t="shared" si="204"/>
        <v>0</v>
      </c>
      <c r="M205" s="63"/>
      <c r="N205" s="63"/>
      <c r="O205" s="63"/>
      <c r="P205" s="200">
        <f t="shared" si="194"/>
        <v>0</v>
      </c>
      <c r="Q205" s="200">
        <f t="shared" si="195"/>
        <v>0</v>
      </c>
      <c r="R205" s="200">
        <f t="shared" si="196"/>
        <v>0</v>
      </c>
      <c r="S205" s="133">
        <f t="shared" si="197"/>
        <v>0</v>
      </c>
      <c r="T205" s="133">
        <f t="shared" si="198"/>
        <v>0</v>
      </c>
      <c r="U205" s="133">
        <f t="shared" si="199"/>
        <v>0</v>
      </c>
      <c r="V205" s="200">
        <f t="shared" si="200"/>
        <v>0</v>
      </c>
      <c r="W205" s="200">
        <f t="shared" si="201"/>
        <v>0</v>
      </c>
      <c r="X205" s="200">
        <f t="shared" si="202"/>
        <v>0</v>
      </c>
      <c r="Y205" s="63"/>
      <c r="Z205" s="63"/>
      <c r="AA205" s="63"/>
      <c r="AB205" s="200">
        <f t="shared" ref="AB205:AB268" si="218">+P205+$Z205</f>
        <v>0</v>
      </c>
      <c r="AC205" s="200">
        <f t="shared" ref="AC205:AC268" si="219">+Q205+$Z205</f>
        <v>0</v>
      </c>
      <c r="AD205" s="200">
        <f t="shared" ref="AD205:AD268" si="220">+R205+$Z205</f>
        <v>0</v>
      </c>
      <c r="AE205" s="199">
        <f t="shared" si="175"/>
        <v>0</v>
      </c>
      <c r="AF205" s="199">
        <f t="shared" ref="AF205:AF268" si="221">+T205+$Z205</f>
        <v>0</v>
      </c>
      <c r="AG205" s="199">
        <f t="shared" si="176"/>
        <v>0</v>
      </c>
      <c r="AH205" s="199"/>
      <c r="AI205" s="200">
        <f t="shared" ref="AI205:AI268" si="222">+V205+$Z205</f>
        <v>0</v>
      </c>
      <c r="AJ205" s="200">
        <f t="shared" ref="AJ205:AJ268" si="223">+W205+$Z205</f>
        <v>0</v>
      </c>
      <c r="AK205" s="200">
        <f t="shared" ref="AK205:AK268" si="224">+X205+$Z205</f>
        <v>0</v>
      </c>
      <c r="AL205" s="4"/>
      <c r="AM205" s="4"/>
      <c r="AN205" s="4"/>
      <c r="AO205" s="4"/>
      <c r="AP205" s="63"/>
      <c r="AQ205" s="18"/>
      <c r="AR205" s="10">
        <v>9600</v>
      </c>
      <c r="AS205" s="18"/>
      <c r="AT205" s="62"/>
      <c r="AU205" s="65">
        <v>71.253</v>
      </c>
      <c r="AV205" s="65">
        <v>3752.5479999999998</v>
      </c>
      <c r="AW205" s="65">
        <v>3.1302307692307689</v>
      </c>
      <c r="AX205" s="65">
        <v>6.586615384615385</v>
      </c>
      <c r="AY205" s="65">
        <v>1170.1048746057143</v>
      </c>
      <c r="AZ205" s="63"/>
      <c r="BA205" s="65">
        <v>2058.0909999999999</v>
      </c>
      <c r="BB205" s="133">
        <f t="shared" si="206"/>
        <v>523.84</v>
      </c>
      <c r="BC205" s="65">
        <v>605.91554170888298</v>
      </c>
      <c r="BD205" s="65">
        <v>8.3809700100652513</v>
      </c>
      <c r="BE205" s="65">
        <v>0</v>
      </c>
      <c r="BF205" s="65">
        <v>179.82494093729514</v>
      </c>
      <c r="BG205" s="65">
        <v>0</v>
      </c>
      <c r="BH205" s="65">
        <v>37.888219913415</v>
      </c>
      <c r="BI205" s="65">
        <v>1343.1782808455075</v>
      </c>
      <c r="BJ205" s="65">
        <v>0</v>
      </c>
      <c r="BK205" s="65">
        <v>11.763509963764358</v>
      </c>
      <c r="BL205" s="65">
        <v>0</v>
      </c>
      <c r="BM205" s="65">
        <v>0</v>
      </c>
      <c r="BN205" s="65">
        <v>28.535694660312817</v>
      </c>
      <c r="BO205" s="65">
        <v>205.33566960000002</v>
      </c>
      <c r="BP205" s="260">
        <f>+BP193</f>
        <v>960</v>
      </c>
      <c r="BQ205" s="65">
        <v>170.52825016689701</v>
      </c>
      <c r="BR205" s="65">
        <v>222.80072706947905</v>
      </c>
      <c r="BS205" s="65">
        <v>806.19585867719434</v>
      </c>
      <c r="BT205" s="65">
        <v>270.70539398759809</v>
      </c>
      <c r="BU205" s="65">
        <v>299.2497528085234</v>
      </c>
      <c r="BV205" s="144">
        <f t="shared" si="215"/>
        <v>0</v>
      </c>
      <c r="BW205" s="144">
        <f t="shared" si="216"/>
        <v>0</v>
      </c>
      <c r="BX205" s="144">
        <f t="shared" si="217"/>
        <v>0</v>
      </c>
      <c r="BY205" s="5"/>
      <c r="BZ205" s="66">
        <v>7020</v>
      </c>
      <c r="CA205" s="65">
        <v>4160</v>
      </c>
      <c r="CB205" s="5"/>
      <c r="CC205" s="5"/>
      <c r="CD205" s="188">
        <v>2.1777775833862054</v>
      </c>
      <c r="CE205" s="5"/>
      <c r="CF205" s="133">
        <f t="shared" si="207"/>
        <v>680.66666666666663</v>
      </c>
      <c r="CG205" s="133">
        <f t="shared" si="208"/>
        <v>1853</v>
      </c>
      <c r="CH205" s="70"/>
      <c r="CI205" s="70"/>
      <c r="CJ205" s="133">
        <f t="shared" si="193"/>
        <v>1571.52</v>
      </c>
      <c r="CK205" s="8">
        <f t="shared" si="172"/>
        <v>36051.700975358537</v>
      </c>
      <c r="CL205" s="202">
        <f t="shared" si="152"/>
        <v>-36051.700975358537</v>
      </c>
      <c r="CM205" s="202">
        <f t="shared" si="153"/>
        <v>-36051.700975358537</v>
      </c>
      <c r="CN205" s="202">
        <f t="shared" si="154"/>
        <v>-36051.700975358537</v>
      </c>
      <c r="CO205" s="9">
        <f t="shared" si="155"/>
        <v>-36051.700975358537</v>
      </c>
      <c r="CP205" s="9">
        <f t="shared" si="156"/>
        <v>-36051.700975358537</v>
      </c>
      <c r="CQ205" s="9">
        <f t="shared" si="157"/>
        <v>-36051.700975358537</v>
      </c>
      <c r="CR205" s="202">
        <f t="shared" si="158"/>
        <v>-36051.700975358537</v>
      </c>
      <c r="CS205" s="202">
        <f t="shared" si="159"/>
        <v>-36051.700975358537</v>
      </c>
      <c r="CT205" s="202">
        <f t="shared" si="160"/>
        <v>-36051.700975358537</v>
      </c>
      <c r="CU205" s="203" t="e">
        <f t="shared" si="161"/>
        <v>#DIV/0!</v>
      </c>
      <c r="CV205" s="203" t="e">
        <f t="shared" si="162"/>
        <v>#DIV/0!</v>
      </c>
      <c r="CW205" s="203" t="e">
        <f t="shared" si="163"/>
        <v>#DIV/0!</v>
      </c>
      <c r="CX205" s="19" t="e">
        <f t="shared" si="164"/>
        <v>#DIV/0!</v>
      </c>
      <c r="CY205" s="19" t="e">
        <f t="shared" si="165"/>
        <v>#DIV/0!</v>
      </c>
      <c r="CZ205" s="19" t="e">
        <f t="shared" si="166"/>
        <v>#DIV/0!</v>
      </c>
      <c r="DA205" s="203" t="e">
        <f t="shared" si="167"/>
        <v>#DIV/0!</v>
      </c>
      <c r="DB205" s="203" t="e">
        <f t="shared" si="168"/>
        <v>#DIV/0!</v>
      </c>
      <c r="DC205" s="203" t="e">
        <f t="shared" si="169"/>
        <v>#DIV/0!</v>
      </c>
      <c r="DD205" s="65"/>
      <c r="DE205" s="66"/>
      <c r="DF205" s="66"/>
      <c r="DG205" s="66"/>
      <c r="DH205" s="66"/>
      <c r="DI205" s="66"/>
      <c r="DJ205" s="65"/>
      <c r="DK205" s="66"/>
      <c r="DL205" s="66"/>
      <c r="DM205" s="8">
        <f t="shared" si="170"/>
        <v>0</v>
      </c>
      <c r="DN205" s="8">
        <f t="shared" si="171"/>
        <v>36051.700975358537</v>
      </c>
      <c r="DO205" s="202">
        <f t="shared" si="177"/>
        <v>-36051.700975358537</v>
      </c>
      <c r="DP205" s="202">
        <f t="shared" si="178"/>
        <v>-36051.700975358537</v>
      </c>
      <c r="DQ205" s="202">
        <f t="shared" si="179"/>
        <v>-36051.700975358537</v>
      </c>
      <c r="DR205" s="9">
        <f t="shared" si="180"/>
        <v>-36051.700975358537</v>
      </c>
      <c r="DS205" s="9">
        <f t="shared" si="173"/>
        <v>-36051.700975358537</v>
      </c>
      <c r="DT205" s="9">
        <f t="shared" si="181"/>
        <v>-36051.700975358537</v>
      </c>
      <c r="DU205" s="202">
        <f t="shared" si="182"/>
        <v>-36051.700975358537</v>
      </c>
      <c r="DV205" s="202">
        <f t="shared" si="183"/>
        <v>-36051.700975358537</v>
      </c>
      <c r="DW205" s="202">
        <f t="shared" si="184"/>
        <v>-36051.700975358537</v>
      </c>
      <c r="DX205" s="203" t="e">
        <f t="shared" si="185"/>
        <v>#DIV/0!</v>
      </c>
      <c r="DY205" s="203" t="e">
        <f t="shared" si="186"/>
        <v>#DIV/0!</v>
      </c>
      <c r="DZ205" s="203" t="e">
        <f t="shared" si="187"/>
        <v>#DIV/0!</v>
      </c>
      <c r="EA205" s="19" t="e">
        <f t="shared" si="188"/>
        <v>#DIV/0!</v>
      </c>
      <c r="EB205" s="19" t="e">
        <f t="shared" si="174"/>
        <v>#DIV/0!</v>
      </c>
      <c r="EC205" s="19" t="e">
        <f t="shared" si="189"/>
        <v>#DIV/0!</v>
      </c>
      <c r="ED205" s="203" t="e">
        <f t="shared" si="190"/>
        <v>#DIV/0!</v>
      </c>
      <c r="EE205" s="203" t="e">
        <f t="shared" si="191"/>
        <v>#DIV/0!</v>
      </c>
      <c r="EF205" s="203" t="e">
        <f t="shared" si="192"/>
        <v>#DIV/0!</v>
      </c>
      <c r="EH205" s="58">
        <f t="shared" si="209"/>
        <v>27509.314744017349</v>
      </c>
      <c r="EI205" s="68" t="e">
        <f t="shared" si="210"/>
        <v>#DIV/0!</v>
      </c>
      <c r="EJ205" s="58">
        <f t="shared" si="211"/>
        <v>24679.981410684017</v>
      </c>
      <c r="EK205" s="68" t="e">
        <f t="shared" si="210"/>
        <v>#DIV/0!</v>
      </c>
      <c r="EL205" s="58">
        <f t="shared" si="212"/>
        <v>4010.4778694116394</v>
      </c>
      <c r="EM205" s="58">
        <f t="shared" si="213"/>
        <v>4010.4778694116394</v>
      </c>
      <c r="EN205" s="68" t="e">
        <f t="shared" si="214"/>
        <v>#DIV/0!</v>
      </c>
      <c r="EO205" s="139">
        <f t="shared" si="147"/>
        <v>0.24029016665052916</v>
      </c>
      <c r="EP205">
        <f>+(SUM(M205:O205)*EO205*(1-'[1]Tier 3 Data'!$A$2))</f>
        <v>0</v>
      </c>
    </row>
    <row r="206" spans="1:146" x14ac:dyDescent="0.2">
      <c r="A206" s="43">
        <v>0</v>
      </c>
      <c r="B206" s="43">
        <v>0</v>
      </c>
      <c r="C206" s="43">
        <v>0</v>
      </c>
      <c r="D206" s="70">
        <v>2024</v>
      </c>
      <c r="E206" s="70">
        <v>7</v>
      </c>
      <c r="F206" s="2">
        <v>744</v>
      </c>
      <c r="G206" s="63"/>
      <c r="H206" s="63"/>
      <c r="I206" s="63"/>
      <c r="J206" s="133">
        <f t="shared" si="203"/>
        <v>0</v>
      </c>
      <c r="K206" s="65">
        <v>0</v>
      </c>
      <c r="L206" s="133">
        <f t="shared" si="204"/>
        <v>0</v>
      </c>
      <c r="M206" s="63"/>
      <c r="N206" s="63"/>
      <c r="O206" s="63"/>
      <c r="P206" s="200">
        <f t="shared" si="194"/>
        <v>0</v>
      </c>
      <c r="Q206" s="200">
        <f t="shared" si="195"/>
        <v>0</v>
      </c>
      <c r="R206" s="200">
        <f t="shared" si="196"/>
        <v>0</v>
      </c>
      <c r="S206" s="133">
        <f t="shared" si="197"/>
        <v>0</v>
      </c>
      <c r="T206" s="133">
        <f t="shared" si="198"/>
        <v>0</v>
      </c>
      <c r="U206" s="133">
        <f t="shared" si="199"/>
        <v>0</v>
      </c>
      <c r="V206" s="200">
        <f t="shared" si="200"/>
        <v>0</v>
      </c>
      <c r="W206" s="200">
        <f t="shared" si="201"/>
        <v>0</v>
      </c>
      <c r="X206" s="200">
        <f t="shared" si="202"/>
        <v>0</v>
      </c>
      <c r="Y206" s="63"/>
      <c r="Z206" s="63"/>
      <c r="AA206" s="63"/>
      <c r="AB206" s="200">
        <f t="shared" si="218"/>
        <v>0</v>
      </c>
      <c r="AC206" s="200">
        <f t="shared" si="219"/>
        <v>0</v>
      </c>
      <c r="AD206" s="200">
        <f t="shared" si="220"/>
        <v>0</v>
      </c>
      <c r="AE206" s="199">
        <f t="shared" si="175"/>
        <v>0</v>
      </c>
      <c r="AF206" s="199">
        <f t="shared" si="221"/>
        <v>0</v>
      </c>
      <c r="AG206" s="199">
        <f t="shared" si="176"/>
        <v>0</v>
      </c>
      <c r="AH206" s="199"/>
      <c r="AI206" s="200">
        <f t="shared" si="222"/>
        <v>0</v>
      </c>
      <c r="AJ206" s="200">
        <f t="shared" si="223"/>
        <v>0</v>
      </c>
      <c r="AK206" s="200">
        <f t="shared" si="224"/>
        <v>0</v>
      </c>
      <c r="AL206" s="4"/>
      <c r="AM206" s="4"/>
      <c r="AN206" s="4"/>
      <c r="AO206" s="4"/>
      <c r="AP206" s="63"/>
      <c r="AQ206" s="18"/>
      <c r="AR206" s="10">
        <v>9920</v>
      </c>
      <c r="AS206" s="18"/>
      <c r="AT206" s="62"/>
      <c r="AU206" s="65">
        <v>79.911000000000001</v>
      </c>
      <c r="AV206" s="65">
        <v>3856.3560000000002</v>
      </c>
      <c r="AW206" s="65">
        <v>2.203846153846154</v>
      </c>
      <c r="AX206" s="65">
        <v>4.5984999999999996</v>
      </c>
      <c r="AY206" s="65">
        <v>1237.5528587885699</v>
      </c>
      <c r="AZ206" s="63"/>
      <c r="BA206" s="65">
        <v>1516.482</v>
      </c>
      <c r="BB206" s="133">
        <f t="shared" si="206"/>
        <v>437.45499999999998</v>
      </c>
      <c r="BC206" s="65">
        <v>586.79739986786444</v>
      </c>
      <c r="BD206" s="65">
        <v>7.5724679441334652</v>
      </c>
      <c r="BE206" s="65">
        <v>0</v>
      </c>
      <c r="BF206" s="65">
        <v>144.12352207184469</v>
      </c>
      <c r="BG206" s="65">
        <v>0</v>
      </c>
      <c r="BH206" s="65">
        <v>37.888219913415</v>
      </c>
      <c r="BI206" s="65">
        <v>1488.7042626072459</v>
      </c>
      <c r="BJ206" s="65">
        <v>0</v>
      </c>
      <c r="BK206" s="65">
        <v>9.5733821057653241</v>
      </c>
      <c r="BL206" s="65">
        <v>0</v>
      </c>
      <c r="BM206" s="65">
        <v>0</v>
      </c>
      <c r="BN206" s="65">
        <v>28.535694660312817</v>
      </c>
      <c r="BO206" s="65">
        <v>212.18019192</v>
      </c>
      <c r="BP206" s="260">
        <f t="shared" ref="BP206:BP269" si="225">+BP194</f>
        <v>992</v>
      </c>
      <c r="BQ206" s="65">
        <v>172.49898341085586</v>
      </c>
      <c r="BR206" s="65">
        <v>225.37547684647959</v>
      </c>
      <c r="BS206" s="65">
        <v>815.51249166375942</v>
      </c>
      <c r="BT206" s="65">
        <v>279.70805570328355</v>
      </c>
      <c r="BU206" s="65">
        <v>307.67837274710365</v>
      </c>
      <c r="BV206" s="144">
        <f t="shared" si="215"/>
        <v>0</v>
      </c>
      <c r="BW206" s="144">
        <f t="shared" si="216"/>
        <v>0</v>
      </c>
      <c r="BX206" s="144">
        <f t="shared" si="217"/>
        <v>0</v>
      </c>
      <c r="BY206" s="5"/>
      <c r="BZ206" s="66">
        <v>7254</v>
      </c>
      <c r="CA206" s="65">
        <v>6664.8</v>
      </c>
      <c r="CB206" s="5"/>
      <c r="CC206" s="5"/>
      <c r="CD206" s="188">
        <v>2.1042112926473342</v>
      </c>
      <c r="CE206" s="5"/>
      <c r="CF206" s="133">
        <f t="shared" si="207"/>
        <v>971.33333333333337</v>
      </c>
      <c r="CG206" s="133">
        <f t="shared" si="208"/>
        <v>1568</v>
      </c>
      <c r="CH206" s="70"/>
      <c r="CI206" s="70"/>
      <c r="CJ206" s="133">
        <f t="shared" si="193"/>
        <v>1312.365</v>
      </c>
      <c r="CK206" s="8">
        <f t="shared" si="172"/>
        <v>38822.945271030461</v>
      </c>
      <c r="CL206" s="202">
        <f t="shared" si="152"/>
        <v>-38822.945271030461</v>
      </c>
      <c r="CM206" s="202">
        <f t="shared" si="153"/>
        <v>-38822.945271030461</v>
      </c>
      <c r="CN206" s="202">
        <f t="shared" si="154"/>
        <v>-38822.945271030461</v>
      </c>
      <c r="CO206" s="9">
        <f t="shared" si="155"/>
        <v>-38822.945271030461</v>
      </c>
      <c r="CP206" s="9">
        <f t="shared" si="156"/>
        <v>-38822.945271030461</v>
      </c>
      <c r="CQ206" s="9">
        <f t="shared" si="157"/>
        <v>-38822.945271030461</v>
      </c>
      <c r="CR206" s="202">
        <f t="shared" si="158"/>
        <v>-38822.945271030461</v>
      </c>
      <c r="CS206" s="202">
        <f t="shared" si="159"/>
        <v>-38822.945271030461</v>
      </c>
      <c r="CT206" s="202">
        <f t="shared" si="160"/>
        <v>-38822.945271030461</v>
      </c>
      <c r="CU206" s="203" t="e">
        <f t="shared" si="161"/>
        <v>#DIV/0!</v>
      </c>
      <c r="CV206" s="203" t="e">
        <f t="shared" si="162"/>
        <v>#DIV/0!</v>
      </c>
      <c r="CW206" s="203" t="e">
        <f t="shared" si="163"/>
        <v>#DIV/0!</v>
      </c>
      <c r="CX206" s="19" t="e">
        <f t="shared" si="164"/>
        <v>#DIV/0!</v>
      </c>
      <c r="CY206" s="19" t="e">
        <f t="shared" si="165"/>
        <v>#DIV/0!</v>
      </c>
      <c r="CZ206" s="19" t="e">
        <f t="shared" si="166"/>
        <v>#DIV/0!</v>
      </c>
      <c r="DA206" s="203" t="e">
        <f t="shared" si="167"/>
        <v>#DIV/0!</v>
      </c>
      <c r="DB206" s="203" t="e">
        <f t="shared" si="168"/>
        <v>#DIV/0!</v>
      </c>
      <c r="DC206" s="203" t="e">
        <f t="shared" si="169"/>
        <v>#DIV/0!</v>
      </c>
      <c r="DD206" s="65"/>
      <c r="DE206" s="66"/>
      <c r="DF206" s="66"/>
      <c r="DG206" s="66"/>
      <c r="DH206" s="66"/>
      <c r="DI206" s="66"/>
      <c r="DJ206" s="65"/>
      <c r="DK206" s="66"/>
      <c r="DL206" s="66"/>
      <c r="DM206" s="8">
        <f t="shared" si="170"/>
        <v>0</v>
      </c>
      <c r="DN206" s="8">
        <f t="shared" si="171"/>
        <v>38822.945271030461</v>
      </c>
      <c r="DO206" s="202">
        <f t="shared" si="177"/>
        <v>-38822.945271030461</v>
      </c>
      <c r="DP206" s="202">
        <f t="shared" si="178"/>
        <v>-38822.945271030461</v>
      </c>
      <c r="DQ206" s="202">
        <f t="shared" si="179"/>
        <v>-38822.945271030461</v>
      </c>
      <c r="DR206" s="9">
        <f t="shared" si="180"/>
        <v>-38822.945271030461</v>
      </c>
      <c r="DS206" s="9">
        <f t="shared" si="173"/>
        <v>-38822.945271030461</v>
      </c>
      <c r="DT206" s="9">
        <f t="shared" si="181"/>
        <v>-38822.945271030461</v>
      </c>
      <c r="DU206" s="202">
        <f t="shared" si="182"/>
        <v>-38822.945271030461</v>
      </c>
      <c r="DV206" s="202">
        <f t="shared" si="183"/>
        <v>-38822.945271030461</v>
      </c>
      <c r="DW206" s="202">
        <f t="shared" si="184"/>
        <v>-38822.945271030461</v>
      </c>
      <c r="DX206" s="203" t="e">
        <f t="shared" si="185"/>
        <v>#DIV/0!</v>
      </c>
      <c r="DY206" s="203" t="e">
        <f t="shared" si="186"/>
        <v>#DIV/0!</v>
      </c>
      <c r="DZ206" s="203" t="e">
        <f t="shared" si="187"/>
        <v>#DIV/0!</v>
      </c>
      <c r="EA206" s="19" t="e">
        <f t="shared" si="188"/>
        <v>#DIV/0!</v>
      </c>
      <c r="EB206" s="19" t="e">
        <f t="shared" si="174"/>
        <v>#DIV/0!</v>
      </c>
      <c r="EC206" s="19" t="e">
        <f t="shared" si="189"/>
        <v>#DIV/0!</v>
      </c>
      <c r="ED206" s="203" t="e">
        <f t="shared" si="190"/>
        <v>#DIV/0!</v>
      </c>
      <c r="EE206" s="203" t="e">
        <f t="shared" si="191"/>
        <v>#DIV/0!</v>
      </c>
      <c r="EF206" s="203" t="e">
        <f t="shared" si="192"/>
        <v>#DIV/0!</v>
      </c>
      <c r="EH206" s="58">
        <f t="shared" si="209"/>
        <v>27406.781858178787</v>
      </c>
      <c r="EI206" s="68" t="e">
        <f t="shared" si="210"/>
        <v>#DIV/0!</v>
      </c>
      <c r="EJ206" s="58">
        <f t="shared" si="211"/>
        <v>24751.115191512119</v>
      </c>
      <c r="EK206" s="68" t="e">
        <f t="shared" si="210"/>
        <v>#DIV/0!</v>
      </c>
      <c r="EL206" s="58">
        <f t="shared" si="212"/>
        <v>4172.0249993902189</v>
      </c>
      <c r="EM206" s="58">
        <f t="shared" si="213"/>
        <v>4172.0249993902189</v>
      </c>
      <c r="EN206" s="68" t="e">
        <f t="shared" si="214"/>
        <v>#DIV/0!</v>
      </c>
      <c r="EO206" s="139">
        <f t="shared" si="147"/>
        <v>0.25197746931178833</v>
      </c>
      <c r="EP206">
        <f>+(SUM(M206:O206)*EO206*(1-'[1]Tier 3 Data'!$A$2))</f>
        <v>0</v>
      </c>
    </row>
    <row r="207" spans="1:146" x14ac:dyDescent="0.2">
      <c r="A207" s="43">
        <v>0</v>
      </c>
      <c r="B207" s="43">
        <v>0</v>
      </c>
      <c r="C207" s="43">
        <v>0</v>
      </c>
      <c r="D207" s="70">
        <v>2024</v>
      </c>
      <c r="E207" s="70">
        <v>8</v>
      </c>
      <c r="F207" s="2">
        <v>744</v>
      </c>
      <c r="G207" s="63"/>
      <c r="H207" s="63"/>
      <c r="I207" s="63"/>
      <c r="J207" s="133">
        <f t="shared" si="203"/>
        <v>0</v>
      </c>
      <c r="K207" s="65">
        <v>0</v>
      </c>
      <c r="L207" s="133">
        <f t="shared" si="204"/>
        <v>0</v>
      </c>
      <c r="M207" s="63"/>
      <c r="N207" s="63"/>
      <c r="O207" s="63"/>
      <c r="P207" s="200">
        <f t="shared" si="194"/>
        <v>0</v>
      </c>
      <c r="Q207" s="200">
        <f t="shared" si="195"/>
        <v>0</v>
      </c>
      <c r="R207" s="200">
        <f t="shared" si="196"/>
        <v>0</v>
      </c>
      <c r="S207" s="133">
        <f t="shared" si="197"/>
        <v>0</v>
      </c>
      <c r="T207" s="133">
        <f t="shared" si="198"/>
        <v>0</v>
      </c>
      <c r="U207" s="133">
        <f t="shared" si="199"/>
        <v>0</v>
      </c>
      <c r="V207" s="200">
        <f t="shared" si="200"/>
        <v>0</v>
      </c>
      <c r="W207" s="200">
        <f t="shared" si="201"/>
        <v>0</v>
      </c>
      <c r="X207" s="200">
        <f t="shared" si="202"/>
        <v>0</v>
      </c>
      <c r="Y207" s="63"/>
      <c r="Z207" s="63"/>
      <c r="AA207" s="63"/>
      <c r="AB207" s="200">
        <f t="shared" si="218"/>
        <v>0</v>
      </c>
      <c r="AC207" s="200">
        <f t="shared" si="219"/>
        <v>0</v>
      </c>
      <c r="AD207" s="200">
        <f t="shared" si="220"/>
        <v>0</v>
      </c>
      <c r="AE207" s="199">
        <f t="shared" si="175"/>
        <v>0</v>
      </c>
      <c r="AF207" s="199">
        <f t="shared" si="221"/>
        <v>0</v>
      </c>
      <c r="AG207" s="199">
        <f t="shared" si="176"/>
        <v>0</v>
      </c>
      <c r="AH207" s="199"/>
      <c r="AI207" s="200">
        <f t="shared" si="222"/>
        <v>0</v>
      </c>
      <c r="AJ207" s="200">
        <f t="shared" si="223"/>
        <v>0</v>
      </c>
      <c r="AK207" s="200">
        <f t="shared" si="224"/>
        <v>0</v>
      </c>
      <c r="AL207" s="4"/>
      <c r="AM207" s="4"/>
      <c r="AN207" s="4"/>
      <c r="AO207" s="4"/>
      <c r="AP207" s="63"/>
      <c r="AQ207" s="18"/>
      <c r="AR207" s="10">
        <v>9920</v>
      </c>
      <c r="AS207" s="18"/>
      <c r="AT207" s="62"/>
      <c r="AU207" s="65">
        <v>75.581999999999994</v>
      </c>
      <c r="AV207" s="65">
        <v>3871.0160000000001</v>
      </c>
      <c r="AW207" s="63"/>
      <c r="AX207" s="63"/>
      <c r="AY207" s="65">
        <v>1159.3158527085716</v>
      </c>
      <c r="AZ207" s="63"/>
      <c r="BA207" s="65">
        <v>1498.2090000000001</v>
      </c>
      <c r="BB207" s="133">
        <f t="shared" si="206"/>
        <v>437.8775</v>
      </c>
      <c r="BC207" s="65">
        <v>569.06141954142743</v>
      </c>
      <c r="BD207" s="65">
        <v>7.9692213995478474</v>
      </c>
      <c r="BE207" s="65">
        <v>0</v>
      </c>
      <c r="BF207" s="65">
        <v>158.69842331487976</v>
      </c>
      <c r="BG207" s="65">
        <v>0</v>
      </c>
      <c r="BH207" s="65">
        <v>31.573516594512498</v>
      </c>
      <c r="BI207" s="65">
        <v>1443.7081029115327</v>
      </c>
      <c r="BJ207" s="65">
        <v>0</v>
      </c>
      <c r="BK207" s="65">
        <v>11.152893841525399</v>
      </c>
      <c r="BL207" s="65">
        <v>0</v>
      </c>
      <c r="BM207" s="65">
        <v>0</v>
      </c>
      <c r="BN207" s="65">
        <v>23.779745550260685</v>
      </c>
      <c r="BO207" s="65">
        <v>212.18019192</v>
      </c>
      <c r="BP207" s="260">
        <f t="shared" si="225"/>
        <v>992</v>
      </c>
      <c r="BQ207" s="65">
        <v>163.7149481188651</v>
      </c>
      <c r="BR207" s="65">
        <v>213.89891851340573</v>
      </c>
      <c r="BS207" s="65">
        <v>773.98500847963146</v>
      </c>
      <c r="BT207" s="65">
        <v>265.47145427705112</v>
      </c>
      <c r="BU207" s="65">
        <v>286.28920743399067</v>
      </c>
      <c r="BV207" s="144">
        <f t="shared" si="215"/>
        <v>0</v>
      </c>
      <c r="BW207" s="144">
        <f t="shared" si="216"/>
        <v>0</v>
      </c>
      <c r="BX207" s="144">
        <f t="shared" si="217"/>
        <v>0</v>
      </c>
      <c r="BY207" s="5"/>
      <c r="BZ207" s="66">
        <v>7254</v>
      </c>
      <c r="CA207" s="65">
        <v>4610.4000000000005</v>
      </c>
      <c r="CB207" s="5"/>
      <c r="CC207" s="5"/>
      <c r="CD207" s="188">
        <v>16.868963591035975</v>
      </c>
      <c r="CE207" s="5"/>
      <c r="CF207" s="133">
        <f t="shared" si="207"/>
        <v>598.33333333333337</v>
      </c>
      <c r="CG207" s="133">
        <f t="shared" si="208"/>
        <v>2629</v>
      </c>
      <c r="CH207" s="70"/>
      <c r="CI207" s="70"/>
      <c r="CJ207" s="133">
        <f t="shared" si="193"/>
        <v>1313.6324999999999</v>
      </c>
      <c r="CK207" s="8">
        <f t="shared" si="172"/>
        <v>37224.08570152957</v>
      </c>
      <c r="CL207" s="202">
        <f t="shared" si="152"/>
        <v>-37224.08570152957</v>
      </c>
      <c r="CM207" s="202">
        <f t="shared" si="153"/>
        <v>-37224.08570152957</v>
      </c>
      <c r="CN207" s="202">
        <f t="shared" si="154"/>
        <v>-37224.08570152957</v>
      </c>
      <c r="CO207" s="9">
        <f t="shared" si="155"/>
        <v>-37224.08570152957</v>
      </c>
      <c r="CP207" s="9">
        <f t="shared" si="156"/>
        <v>-37224.08570152957</v>
      </c>
      <c r="CQ207" s="9">
        <f t="shared" si="157"/>
        <v>-37224.08570152957</v>
      </c>
      <c r="CR207" s="202">
        <f t="shared" si="158"/>
        <v>-37224.08570152957</v>
      </c>
      <c r="CS207" s="202">
        <f t="shared" si="159"/>
        <v>-37224.08570152957</v>
      </c>
      <c r="CT207" s="202">
        <f t="shared" si="160"/>
        <v>-37224.08570152957</v>
      </c>
      <c r="CU207" s="203" t="e">
        <f t="shared" si="161"/>
        <v>#DIV/0!</v>
      </c>
      <c r="CV207" s="203" t="e">
        <f t="shared" si="162"/>
        <v>#DIV/0!</v>
      </c>
      <c r="CW207" s="203" t="e">
        <f t="shared" si="163"/>
        <v>#DIV/0!</v>
      </c>
      <c r="CX207" s="19" t="e">
        <f t="shared" si="164"/>
        <v>#DIV/0!</v>
      </c>
      <c r="CY207" s="19" t="e">
        <f t="shared" si="165"/>
        <v>#DIV/0!</v>
      </c>
      <c r="CZ207" s="19" t="e">
        <f t="shared" si="166"/>
        <v>#DIV/0!</v>
      </c>
      <c r="DA207" s="203" t="e">
        <f t="shared" si="167"/>
        <v>#DIV/0!</v>
      </c>
      <c r="DB207" s="203" t="e">
        <f t="shared" si="168"/>
        <v>#DIV/0!</v>
      </c>
      <c r="DC207" s="203" t="e">
        <f t="shared" si="169"/>
        <v>#DIV/0!</v>
      </c>
      <c r="DD207" s="65"/>
      <c r="DE207" s="66"/>
      <c r="DF207" s="66"/>
      <c r="DG207" s="66"/>
      <c r="DH207" s="66"/>
      <c r="DI207" s="66"/>
      <c r="DJ207" s="65"/>
      <c r="DK207" s="66"/>
      <c r="DL207" s="66"/>
      <c r="DM207" s="8">
        <f t="shared" si="170"/>
        <v>0</v>
      </c>
      <c r="DN207" s="8">
        <f t="shared" si="171"/>
        <v>37224.08570152957</v>
      </c>
      <c r="DO207" s="202">
        <f t="shared" si="177"/>
        <v>-37224.08570152957</v>
      </c>
      <c r="DP207" s="202">
        <f t="shared" si="178"/>
        <v>-37224.08570152957</v>
      </c>
      <c r="DQ207" s="202">
        <f t="shared" si="179"/>
        <v>-37224.08570152957</v>
      </c>
      <c r="DR207" s="9">
        <f t="shared" si="180"/>
        <v>-37224.08570152957</v>
      </c>
      <c r="DS207" s="9">
        <f t="shared" si="173"/>
        <v>-37224.08570152957</v>
      </c>
      <c r="DT207" s="9">
        <f t="shared" si="181"/>
        <v>-37224.08570152957</v>
      </c>
      <c r="DU207" s="202">
        <f t="shared" si="182"/>
        <v>-37224.08570152957</v>
      </c>
      <c r="DV207" s="202">
        <f t="shared" si="183"/>
        <v>-37224.08570152957</v>
      </c>
      <c r="DW207" s="202">
        <f t="shared" si="184"/>
        <v>-37224.08570152957</v>
      </c>
      <c r="DX207" s="203" t="e">
        <f t="shared" si="185"/>
        <v>#DIV/0!</v>
      </c>
      <c r="DY207" s="203" t="e">
        <f t="shared" si="186"/>
        <v>#DIV/0!</v>
      </c>
      <c r="DZ207" s="203" t="e">
        <f t="shared" si="187"/>
        <v>#DIV/0!</v>
      </c>
      <c r="EA207" s="19" t="e">
        <f t="shared" si="188"/>
        <v>#DIV/0!</v>
      </c>
      <c r="EB207" s="19" t="e">
        <f t="shared" si="174"/>
        <v>#DIV/0!</v>
      </c>
      <c r="EC207" s="19" t="e">
        <f t="shared" si="189"/>
        <v>#DIV/0!</v>
      </c>
      <c r="ED207" s="203" t="e">
        <f t="shared" si="190"/>
        <v>#DIV/0!</v>
      </c>
      <c r="EE207" s="203" t="e">
        <f t="shared" si="191"/>
        <v>#DIV/0!</v>
      </c>
      <c r="EF207" s="203" t="e">
        <f t="shared" si="192"/>
        <v>#DIV/0!</v>
      </c>
      <c r="EH207" s="58">
        <f t="shared" si="209"/>
        <v>28212.784981290319</v>
      </c>
      <c r="EI207" s="68" t="e">
        <f t="shared" si="210"/>
        <v>#DIV/0!</v>
      </c>
      <c r="EJ207" s="58">
        <f t="shared" si="211"/>
        <v>25184.118314623651</v>
      </c>
      <c r="EK207" s="68" t="e">
        <f t="shared" si="210"/>
        <v>#DIV/0!</v>
      </c>
      <c r="EL207" s="58">
        <f t="shared" si="212"/>
        <v>4002.78462858175</v>
      </c>
      <c r="EM207" s="58">
        <f t="shared" si="213"/>
        <v>4002.78462858175</v>
      </c>
      <c r="EN207" s="68" t="e">
        <f t="shared" si="214"/>
        <v>#DIV/0!</v>
      </c>
      <c r="EO207" s="139">
        <f t="shared" si="147"/>
        <v>0.28519905910129462</v>
      </c>
      <c r="EP207">
        <f>+(SUM(M207:O207)*EO207*(1-'[1]Tier 3 Data'!$A$2))</f>
        <v>0</v>
      </c>
    </row>
    <row r="208" spans="1:146" x14ac:dyDescent="0.2">
      <c r="A208" s="43">
        <v>0</v>
      </c>
      <c r="B208" s="43">
        <v>0</v>
      </c>
      <c r="C208" s="43">
        <v>0</v>
      </c>
      <c r="D208" s="70">
        <v>2024</v>
      </c>
      <c r="E208" s="70">
        <v>9</v>
      </c>
      <c r="F208" s="2">
        <v>720</v>
      </c>
      <c r="G208" s="63"/>
      <c r="H208" s="63"/>
      <c r="I208" s="63"/>
      <c r="J208" s="133">
        <f t="shared" si="203"/>
        <v>0</v>
      </c>
      <c r="K208" s="65">
        <v>0</v>
      </c>
      <c r="L208" s="133">
        <f t="shared" si="204"/>
        <v>0</v>
      </c>
      <c r="M208" s="63"/>
      <c r="N208" s="63"/>
      <c r="O208" s="63"/>
      <c r="P208" s="200">
        <f t="shared" si="194"/>
        <v>0</v>
      </c>
      <c r="Q208" s="200">
        <f t="shared" si="195"/>
        <v>0</v>
      </c>
      <c r="R208" s="200">
        <f t="shared" si="196"/>
        <v>0</v>
      </c>
      <c r="S208" s="133">
        <f t="shared" si="197"/>
        <v>0</v>
      </c>
      <c r="T208" s="133">
        <f t="shared" si="198"/>
        <v>0</v>
      </c>
      <c r="U208" s="133">
        <f t="shared" si="199"/>
        <v>0</v>
      </c>
      <c r="V208" s="200">
        <f t="shared" si="200"/>
        <v>0</v>
      </c>
      <c r="W208" s="200">
        <f t="shared" si="201"/>
        <v>0</v>
      </c>
      <c r="X208" s="200">
        <f t="shared" si="202"/>
        <v>0</v>
      </c>
      <c r="Y208" s="63"/>
      <c r="Z208" s="63"/>
      <c r="AA208" s="63"/>
      <c r="AB208" s="200">
        <f t="shared" si="218"/>
        <v>0</v>
      </c>
      <c r="AC208" s="200">
        <f t="shared" si="219"/>
        <v>0</v>
      </c>
      <c r="AD208" s="200">
        <f t="shared" si="220"/>
        <v>0</v>
      </c>
      <c r="AE208" s="199">
        <f t="shared" si="175"/>
        <v>0</v>
      </c>
      <c r="AF208" s="199">
        <f t="shared" si="221"/>
        <v>0</v>
      </c>
      <c r="AG208" s="199">
        <f t="shared" si="176"/>
        <v>0</v>
      </c>
      <c r="AH208" s="199"/>
      <c r="AI208" s="200">
        <f t="shared" si="222"/>
        <v>0</v>
      </c>
      <c r="AJ208" s="200">
        <f t="shared" si="223"/>
        <v>0</v>
      </c>
      <c r="AK208" s="200">
        <f t="shared" si="224"/>
        <v>0</v>
      </c>
      <c r="AL208" s="4"/>
      <c r="AM208" s="4"/>
      <c r="AN208" s="4"/>
      <c r="AO208" s="4"/>
      <c r="AP208" s="63"/>
      <c r="AQ208" s="18"/>
      <c r="AR208" s="10">
        <v>9600</v>
      </c>
      <c r="AS208" s="18"/>
      <c r="AT208" s="62"/>
      <c r="AU208" s="65">
        <v>69.03</v>
      </c>
      <c r="AV208" s="65">
        <v>3636.8530000000001</v>
      </c>
      <c r="AW208" s="63"/>
      <c r="AX208" s="63"/>
      <c r="AY208" s="65">
        <v>1065.150988617143</v>
      </c>
      <c r="AZ208" s="63"/>
      <c r="BA208" s="65">
        <v>2037.9549999999999</v>
      </c>
      <c r="BB208" s="133">
        <f t="shared" si="206"/>
        <v>662.45849999999996</v>
      </c>
      <c r="BC208" s="65">
        <v>529.48077460711397</v>
      </c>
      <c r="BD208" s="65">
        <v>10.55810604601432</v>
      </c>
      <c r="BE208" s="65">
        <v>0</v>
      </c>
      <c r="BF208" s="65">
        <v>164.12369835717462</v>
      </c>
      <c r="BG208" s="65">
        <v>0</v>
      </c>
      <c r="BH208" s="65">
        <v>6.3147033189024988</v>
      </c>
      <c r="BI208" s="65">
        <v>1343.2920566854839</v>
      </c>
      <c r="BJ208" s="65">
        <v>0</v>
      </c>
      <c r="BK208" s="65">
        <v>13.355863258351745</v>
      </c>
      <c r="BL208" s="65">
        <v>0</v>
      </c>
      <c r="BM208" s="65">
        <v>0</v>
      </c>
      <c r="BN208" s="65">
        <v>4.7559491100521365</v>
      </c>
      <c r="BO208" s="65">
        <v>205.33566960000002</v>
      </c>
      <c r="BP208" s="260">
        <f t="shared" si="225"/>
        <v>960</v>
      </c>
      <c r="BQ208" s="65">
        <v>130.71321103075522</v>
      </c>
      <c r="BR208" s="65">
        <v>170.78111909213203</v>
      </c>
      <c r="BS208" s="65">
        <v>617.96491152736326</v>
      </c>
      <c r="BT208" s="65">
        <v>228.65201007463804</v>
      </c>
      <c r="BU208" s="65">
        <v>235.06618130817932</v>
      </c>
      <c r="BV208" s="144">
        <f t="shared" si="215"/>
        <v>0</v>
      </c>
      <c r="BW208" s="144">
        <f t="shared" si="216"/>
        <v>0</v>
      </c>
      <c r="BX208" s="144">
        <f t="shared" si="217"/>
        <v>0</v>
      </c>
      <c r="BY208" s="5"/>
      <c r="BZ208" s="66">
        <v>7020</v>
      </c>
      <c r="CA208" s="65">
        <v>3288</v>
      </c>
      <c r="CB208" s="5"/>
      <c r="CC208" s="5"/>
      <c r="CD208" s="188">
        <v>2.2241810746462862</v>
      </c>
      <c r="CE208" s="5"/>
      <c r="CF208" s="133">
        <f t="shared" si="207"/>
        <v>655.33333333333337</v>
      </c>
      <c r="CG208" s="133">
        <f t="shared" si="208"/>
        <v>1448</v>
      </c>
      <c r="CH208" s="70"/>
      <c r="CI208" s="70"/>
      <c r="CJ208" s="133">
        <f t="shared" si="193"/>
        <v>1987.3754999999999</v>
      </c>
      <c r="CK208" s="8">
        <f t="shared" si="172"/>
        <v>34105.399257041281</v>
      </c>
      <c r="CL208" s="202">
        <f t="shared" si="152"/>
        <v>-34105.399257041281</v>
      </c>
      <c r="CM208" s="202">
        <f t="shared" si="153"/>
        <v>-34105.399257041281</v>
      </c>
      <c r="CN208" s="202">
        <f t="shared" si="154"/>
        <v>-34105.399257041281</v>
      </c>
      <c r="CO208" s="9">
        <f t="shared" si="155"/>
        <v>-34105.399257041281</v>
      </c>
      <c r="CP208" s="9">
        <f t="shared" si="156"/>
        <v>-34105.399257041281</v>
      </c>
      <c r="CQ208" s="9">
        <f t="shared" si="157"/>
        <v>-34105.399257041281</v>
      </c>
      <c r="CR208" s="202">
        <f t="shared" si="158"/>
        <v>-34105.399257041281</v>
      </c>
      <c r="CS208" s="202">
        <f t="shared" si="159"/>
        <v>-34105.399257041281</v>
      </c>
      <c r="CT208" s="202">
        <f t="shared" si="160"/>
        <v>-34105.399257041281</v>
      </c>
      <c r="CU208" s="203" t="e">
        <f t="shared" si="161"/>
        <v>#DIV/0!</v>
      </c>
      <c r="CV208" s="203" t="e">
        <f t="shared" si="162"/>
        <v>#DIV/0!</v>
      </c>
      <c r="CW208" s="203" t="e">
        <f t="shared" si="163"/>
        <v>#DIV/0!</v>
      </c>
      <c r="CX208" s="19" t="e">
        <f t="shared" si="164"/>
        <v>#DIV/0!</v>
      </c>
      <c r="CY208" s="19" t="e">
        <f t="shared" si="165"/>
        <v>#DIV/0!</v>
      </c>
      <c r="CZ208" s="19" t="e">
        <f t="shared" si="166"/>
        <v>#DIV/0!</v>
      </c>
      <c r="DA208" s="203" t="e">
        <f t="shared" si="167"/>
        <v>#DIV/0!</v>
      </c>
      <c r="DB208" s="203" t="e">
        <f t="shared" si="168"/>
        <v>#DIV/0!</v>
      </c>
      <c r="DC208" s="203" t="e">
        <f t="shared" si="169"/>
        <v>#DIV/0!</v>
      </c>
      <c r="DD208" s="65"/>
      <c r="DE208" s="66"/>
      <c r="DF208" s="66"/>
      <c r="DG208" s="66"/>
      <c r="DH208" s="66"/>
      <c r="DI208" s="66"/>
      <c r="DJ208" s="65"/>
      <c r="DK208" s="66"/>
      <c r="DL208" s="66"/>
      <c r="DM208" s="8">
        <f t="shared" si="170"/>
        <v>0</v>
      </c>
      <c r="DN208" s="8">
        <f t="shared" si="171"/>
        <v>34105.399257041281</v>
      </c>
      <c r="DO208" s="202">
        <f t="shared" si="177"/>
        <v>-34105.399257041281</v>
      </c>
      <c r="DP208" s="202">
        <f t="shared" si="178"/>
        <v>-34105.399257041281</v>
      </c>
      <c r="DQ208" s="202">
        <f t="shared" si="179"/>
        <v>-34105.399257041281</v>
      </c>
      <c r="DR208" s="9">
        <f t="shared" si="180"/>
        <v>-34105.399257041281</v>
      </c>
      <c r="DS208" s="9">
        <f t="shared" si="173"/>
        <v>-34105.399257041281</v>
      </c>
      <c r="DT208" s="9">
        <f t="shared" si="181"/>
        <v>-34105.399257041281</v>
      </c>
      <c r="DU208" s="202">
        <f t="shared" si="182"/>
        <v>-34105.399257041281</v>
      </c>
      <c r="DV208" s="202">
        <f t="shared" si="183"/>
        <v>-34105.399257041281</v>
      </c>
      <c r="DW208" s="202">
        <f t="shared" si="184"/>
        <v>-34105.399257041281</v>
      </c>
      <c r="DX208" s="203" t="e">
        <f t="shared" si="185"/>
        <v>#DIV/0!</v>
      </c>
      <c r="DY208" s="203" t="e">
        <f t="shared" si="186"/>
        <v>#DIV/0!</v>
      </c>
      <c r="DZ208" s="203" t="e">
        <f t="shared" si="187"/>
        <v>#DIV/0!</v>
      </c>
      <c r="EA208" s="19" t="e">
        <f t="shared" si="188"/>
        <v>#DIV/0!</v>
      </c>
      <c r="EB208" s="19" t="e">
        <f t="shared" si="174"/>
        <v>#DIV/0!</v>
      </c>
      <c r="EC208" s="19" t="e">
        <f t="shared" si="189"/>
        <v>#DIV/0!</v>
      </c>
      <c r="ED208" s="203" t="e">
        <f t="shared" si="190"/>
        <v>#DIV/0!</v>
      </c>
      <c r="EE208" s="203" t="e">
        <f t="shared" si="191"/>
        <v>#DIV/0!</v>
      </c>
      <c r="EF208" s="203" t="e">
        <f t="shared" si="192"/>
        <v>#DIV/0!</v>
      </c>
      <c r="EH208" s="58">
        <f t="shared" si="209"/>
        <v>26485.718044276127</v>
      </c>
      <c r="EI208" s="68" t="e">
        <f t="shared" si="210"/>
        <v>#DIV/0!</v>
      </c>
      <c r="EJ208" s="58">
        <f t="shared" si="211"/>
        <v>23631.051377609459</v>
      </c>
      <c r="EK208" s="68" t="e">
        <f t="shared" si="210"/>
        <v>#DIV/0!</v>
      </c>
      <c r="EL208" s="58">
        <f t="shared" si="212"/>
        <v>3496.2705556589863</v>
      </c>
      <c r="EM208" s="58">
        <f t="shared" si="213"/>
        <v>3496.2705556589863</v>
      </c>
      <c r="EN208" s="68" t="e">
        <f t="shared" si="214"/>
        <v>#DIV/0!</v>
      </c>
      <c r="EO208" s="139">
        <f t="shared" si="147"/>
        <v>0.31860645638858931</v>
      </c>
      <c r="EP208">
        <f>+(SUM(M208:O208)*EO208*(1-'[1]Tier 3 Data'!$A$2))</f>
        <v>0</v>
      </c>
    </row>
    <row r="209" spans="1:146" x14ac:dyDescent="0.2">
      <c r="A209" s="43">
        <v>0</v>
      </c>
      <c r="B209" s="43">
        <v>0</v>
      </c>
      <c r="C209" s="43">
        <v>0</v>
      </c>
      <c r="D209" s="70">
        <v>2024</v>
      </c>
      <c r="E209" s="70">
        <v>10</v>
      </c>
      <c r="F209" s="2">
        <v>744</v>
      </c>
      <c r="G209" s="63"/>
      <c r="H209" s="63"/>
      <c r="I209" s="63"/>
      <c r="J209" s="133">
        <f t="shared" si="203"/>
        <v>0</v>
      </c>
      <c r="K209" s="65">
        <v>0</v>
      </c>
      <c r="L209" s="133">
        <f t="shared" si="204"/>
        <v>0</v>
      </c>
      <c r="M209" s="63"/>
      <c r="N209" s="63"/>
      <c r="O209" s="63"/>
      <c r="P209" s="200">
        <f t="shared" si="194"/>
        <v>0</v>
      </c>
      <c r="Q209" s="200">
        <f t="shared" si="195"/>
        <v>0</v>
      </c>
      <c r="R209" s="200">
        <f t="shared" si="196"/>
        <v>0</v>
      </c>
      <c r="S209" s="133">
        <f t="shared" si="197"/>
        <v>0</v>
      </c>
      <c r="T209" s="133">
        <f t="shared" si="198"/>
        <v>0</v>
      </c>
      <c r="U209" s="133">
        <f t="shared" si="199"/>
        <v>0</v>
      </c>
      <c r="V209" s="200">
        <f t="shared" si="200"/>
        <v>0</v>
      </c>
      <c r="W209" s="200">
        <f t="shared" si="201"/>
        <v>0</v>
      </c>
      <c r="X209" s="200">
        <f t="shared" si="202"/>
        <v>0</v>
      </c>
      <c r="Y209" s="63"/>
      <c r="Z209" s="63"/>
      <c r="AA209" s="63"/>
      <c r="AB209" s="200">
        <f t="shared" si="218"/>
        <v>0</v>
      </c>
      <c r="AC209" s="200">
        <f t="shared" si="219"/>
        <v>0</v>
      </c>
      <c r="AD209" s="200">
        <f t="shared" si="220"/>
        <v>0</v>
      </c>
      <c r="AE209" s="199">
        <f t="shared" si="175"/>
        <v>0</v>
      </c>
      <c r="AF209" s="199">
        <f t="shared" si="221"/>
        <v>0</v>
      </c>
      <c r="AG209" s="199">
        <f t="shared" si="176"/>
        <v>0</v>
      </c>
      <c r="AH209" s="199"/>
      <c r="AI209" s="200">
        <f t="shared" si="222"/>
        <v>0</v>
      </c>
      <c r="AJ209" s="200">
        <f t="shared" si="223"/>
        <v>0</v>
      </c>
      <c r="AK209" s="200">
        <f t="shared" si="224"/>
        <v>0</v>
      </c>
      <c r="AL209" s="4"/>
      <c r="AM209" s="4"/>
      <c r="AN209" s="4"/>
      <c r="AO209" s="4"/>
      <c r="AP209" s="63"/>
      <c r="AQ209" s="18"/>
      <c r="AR209" s="10">
        <v>9920</v>
      </c>
      <c r="AS209" s="18"/>
      <c r="AT209" s="62"/>
      <c r="AU209" s="65">
        <v>81.081000000000003</v>
      </c>
      <c r="AV209" s="65">
        <v>3825.8470000000002</v>
      </c>
      <c r="AW209" s="63"/>
      <c r="AX209" s="63"/>
      <c r="AY209" s="65">
        <v>1031.6699594133333</v>
      </c>
      <c r="AZ209" s="63"/>
      <c r="BA209" s="65">
        <v>1760</v>
      </c>
      <c r="BB209" s="133">
        <f t="shared" si="206"/>
        <v>793.255</v>
      </c>
      <c r="BC209" s="65">
        <v>387.84712854806463</v>
      </c>
      <c r="BD209" s="65">
        <v>15.523669194184084</v>
      </c>
      <c r="BE209" s="65">
        <v>0</v>
      </c>
      <c r="BF209" s="65">
        <v>180.28804750208775</v>
      </c>
      <c r="BG209" s="65">
        <v>0</v>
      </c>
      <c r="BH209" s="65">
        <v>44.202923232317495</v>
      </c>
      <c r="BI209" s="65">
        <v>983.96767545238163</v>
      </c>
      <c r="BJ209" s="65">
        <v>0</v>
      </c>
      <c r="BK209" s="65">
        <v>16.565610887239799</v>
      </c>
      <c r="BL209" s="65">
        <v>0</v>
      </c>
      <c r="BM209" s="65">
        <v>0</v>
      </c>
      <c r="BN209" s="65">
        <v>33.291643770364956</v>
      </c>
      <c r="BO209" s="65">
        <v>212.18019192</v>
      </c>
      <c r="BP209" s="260">
        <f t="shared" si="225"/>
        <v>992</v>
      </c>
      <c r="BQ209" s="65">
        <v>103.13286483135056</v>
      </c>
      <c r="BR209" s="65">
        <v>134.74645306174159</v>
      </c>
      <c r="BS209" s="65">
        <v>487.57485713686214</v>
      </c>
      <c r="BT209" s="65">
        <v>160.94627579145541</v>
      </c>
      <c r="BU209" s="65">
        <v>160.47507902683893</v>
      </c>
      <c r="BV209" s="144">
        <f t="shared" si="215"/>
        <v>0</v>
      </c>
      <c r="BW209" s="144">
        <f t="shared" si="216"/>
        <v>0</v>
      </c>
      <c r="BX209" s="144">
        <f t="shared" si="217"/>
        <v>0</v>
      </c>
      <c r="BY209" s="5"/>
      <c r="BZ209" s="66">
        <v>0</v>
      </c>
      <c r="CA209" s="65">
        <v>3794.3999999999996</v>
      </c>
      <c r="CB209" s="5"/>
      <c r="CC209" s="5"/>
      <c r="CD209" s="188">
        <v>0</v>
      </c>
      <c r="CE209" s="5"/>
      <c r="CF209" s="133">
        <f t="shared" si="207"/>
        <v>865.33333333333337</v>
      </c>
      <c r="CG209" s="133">
        <f t="shared" si="208"/>
        <v>3162</v>
      </c>
      <c r="CH209" s="70"/>
      <c r="CI209" s="70"/>
      <c r="CJ209" s="133">
        <f t="shared" si="193"/>
        <v>2379.7649999999999</v>
      </c>
      <c r="CK209" s="8">
        <f t="shared" si="172"/>
        <v>29146.32871310155</v>
      </c>
      <c r="CL209" s="202">
        <f t="shared" si="152"/>
        <v>-29146.32871310155</v>
      </c>
      <c r="CM209" s="202">
        <f t="shared" si="153"/>
        <v>-29146.32871310155</v>
      </c>
      <c r="CN209" s="202">
        <f t="shared" si="154"/>
        <v>-29146.32871310155</v>
      </c>
      <c r="CO209" s="9">
        <f t="shared" si="155"/>
        <v>-29146.32871310155</v>
      </c>
      <c r="CP209" s="9">
        <f t="shared" si="156"/>
        <v>-29146.32871310155</v>
      </c>
      <c r="CQ209" s="9">
        <f t="shared" si="157"/>
        <v>-29146.32871310155</v>
      </c>
      <c r="CR209" s="202">
        <f t="shared" si="158"/>
        <v>-29146.32871310155</v>
      </c>
      <c r="CS209" s="202">
        <f t="shared" si="159"/>
        <v>-29146.32871310155</v>
      </c>
      <c r="CT209" s="202">
        <f t="shared" si="160"/>
        <v>-29146.32871310155</v>
      </c>
      <c r="CU209" s="203" t="e">
        <f t="shared" si="161"/>
        <v>#DIV/0!</v>
      </c>
      <c r="CV209" s="203" t="e">
        <f t="shared" si="162"/>
        <v>#DIV/0!</v>
      </c>
      <c r="CW209" s="203" t="e">
        <f t="shared" si="163"/>
        <v>#DIV/0!</v>
      </c>
      <c r="CX209" s="19" t="e">
        <f t="shared" si="164"/>
        <v>#DIV/0!</v>
      </c>
      <c r="CY209" s="19" t="e">
        <f t="shared" si="165"/>
        <v>#DIV/0!</v>
      </c>
      <c r="CZ209" s="19" t="e">
        <f t="shared" si="166"/>
        <v>#DIV/0!</v>
      </c>
      <c r="DA209" s="203" t="e">
        <f t="shared" si="167"/>
        <v>#DIV/0!</v>
      </c>
      <c r="DB209" s="203" t="e">
        <f t="shared" si="168"/>
        <v>#DIV/0!</v>
      </c>
      <c r="DC209" s="203" t="e">
        <f t="shared" si="169"/>
        <v>#DIV/0!</v>
      </c>
      <c r="DD209" s="65"/>
      <c r="DE209" s="66"/>
      <c r="DF209" s="66"/>
      <c r="DG209" s="66"/>
      <c r="DH209" s="66"/>
      <c r="DI209" s="66"/>
      <c r="DJ209" s="65"/>
      <c r="DK209" s="66"/>
      <c r="DL209" s="66"/>
      <c r="DM209" s="8">
        <f t="shared" si="170"/>
        <v>0</v>
      </c>
      <c r="DN209" s="8">
        <f t="shared" si="171"/>
        <v>29146.32871310155</v>
      </c>
      <c r="DO209" s="202">
        <f t="shared" si="177"/>
        <v>-29146.32871310155</v>
      </c>
      <c r="DP209" s="202">
        <f t="shared" si="178"/>
        <v>-29146.32871310155</v>
      </c>
      <c r="DQ209" s="202">
        <f t="shared" si="179"/>
        <v>-29146.32871310155</v>
      </c>
      <c r="DR209" s="9">
        <f t="shared" si="180"/>
        <v>-29146.32871310155</v>
      </c>
      <c r="DS209" s="9">
        <f t="shared" si="173"/>
        <v>-29146.32871310155</v>
      </c>
      <c r="DT209" s="9">
        <f t="shared" si="181"/>
        <v>-29146.32871310155</v>
      </c>
      <c r="DU209" s="202">
        <f t="shared" si="182"/>
        <v>-29146.32871310155</v>
      </c>
      <c r="DV209" s="202">
        <f t="shared" si="183"/>
        <v>-29146.32871310155</v>
      </c>
      <c r="DW209" s="202">
        <f t="shared" si="184"/>
        <v>-29146.32871310155</v>
      </c>
      <c r="DX209" s="203" t="e">
        <f t="shared" si="185"/>
        <v>#DIV/0!</v>
      </c>
      <c r="DY209" s="203" t="e">
        <f t="shared" si="186"/>
        <v>#DIV/0!</v>
      </c>
      <c r="DZ209" s="203" t="e">
        <f t="shared" si="187"/>
        <v>#DIV/0!</v>
      </c>
      <c r="EA209" s="19" t="e">
        <f t="shared" si="188"/>
        <v>#DIV/0!</v>
      </c>
      <c r="EB209" s="19" t="e">
        <f t="shared" si="174"/>
        <v>#DIV/0!</v>
      </c>
      <c r="EC209" s="19" t="e">
        <f t="shared" si="189"/>
        <v>#DIV/0!</v>
      </c>
      <c r="ED209" s="203" t="e">
        <f t="shared" si="190"/>
        <v>#DIV/0!</v>
      </c>
      <c r="EE209" s="203" t="e">
        <f t="shared" si="191"/>
        <v>#DIV/0!</v>
      </c>
      <c r="EF209" s="203" t="e">
        <f t="shared" si="192"/>
        <v>#DIV/0!</v>
      </c>
      <c r="EH209" s="58">
        <f t="shared" si="209"/>
        <v>24306.307332266129</v>
      </c>
      <c r="EI209" s="68" t="e">
        <f t="shared" si="210"/>
        <v>#DIV/0!</v>
      </c>
      <c r="EJ209" s="58">
        <f t="shared" si="211"/>
        <v>25171.640665599461</v>
      </c>
      <c r="EK209" s="68" t="e">
        <f t="shared" si="210"/>
        <v>#DIV/0!</v>
      </c>
      <c r="EL209" s="58">
        <f t="shared" si="212"/>
        <v>2740.454372852801</v>
      </c>
      <c r="EM209" s="58">
        <f t="shared" si="213"/>
        <v>2740.454372852801</v>
      </c>
      <c r="EN209" s="68" t="e">
        <f t="shared" si="214"/>
        <v>#DIV/0!</v>
      </c>
      <c r="EO209" s="139">
        <f t="shared" si="147"/>
        <v>0.35739486552628164</v>
      </c>
      <c r="EP209">
        <f>+(SUM(M209:O209)*EO209*(1-'[1]Tier 3 Data'!$A$2))</f>
        <v>0</v>
      </c>
    </row>
    <row r="210" spans="1:146" x14ac:dyDescent="0.2">
      <c r="A210" s="43">
        <v>0</v>
      </c>
      <c r="B210" s="43">
        <v>0</v>
      </c>
      <c r="C210" s="43">
        <v>0</v>
      </c>
      <c r="D210" s="70">
        <v>2024</v>
      </c>
      <c r="E210" s="70">
        <v>11</v>
      </c>
      <c r="F210" s="2">
        <v>721</v>
      </c>
      <c r="G210" s="63"/>
      <c r="H210" s="63"/>
      <c r="I210" s="63"/>
      <c r="J210" s="133">
        <f t="shared" si="203"/>
        <v>0</v>
      </c>
      <c r="K210" s="65">
        <v>0</v>
      </c>
      <c r="L210" s="133">
        <f t="shared" si="204"/>
        <v>0</v>
      </c>
      <c r="M210" s="63"/>
      <c r="N210" s="63"/>
      <c r="O210" s="63"/>
      <c r="P210" s="200">
        <f t="shared" si="194"/>
        <v>0</v>
      </c>
      <c r="Q210" s="200">
        <f t="shared" si="195"/>
        <v>0</v>
      </c>
      <c r="R210" s="200">
        <f t="shared" si="196"/>
        <v>0</v>
      </c>
      <c r="S210" s="133">
        <f t="shared" si="197"/>
        <v>0</v>
      </c>
      <c r="T210" s="133">
        <f t="shared" si="198"/>
        <v>0</v>
      </c>
      <c r="U210" s="133">
        <f t="shared" si="199"/>
        <v>0</v>
      </c>
      <c r="V210" s="200">
        <f t="shared" si="200"/>
        <v>0</v>
      </c>
      <c r="W210" s="200">
        <f t="shared" si="201"/>
        <v>0</v>
      </c>
      <c r="X210" s="200">
        <f t="shared" si="202"/>
        <v>0</v>
      </c>
      <c r="Y210" s="63"/>
      <c r="Z210" s="63"/>
      <c r="AA210" s="63"/>
      <c r="AB210" s="200">
        <f t="shared" si="218"/>
        <v>0</v>
      </c>
      <c r="AC210" s="200">
        <f t="shared" si="219"/>
        <v>0</v>
      </c>
      <c r="AD210" s="200">
        <f t="shared" si="220"/>
        <v>0</v>
      </c>
      <c r="AE210" s="199">
        <f t="shared" si="175"/>
        <v>0</v>
      </c>
      <c r="AF210" s="199">
        <f t="shared" si="221"/>
        <v>0</v>
      </c>
      <c r="AG210" s="199">
        <f t="shared" si="176"/>
        <v>0</v>
      </c>
      <c r="AH210" s="199"/>
      <c r="AI210" s="200">
        <f t="shared" si="222"/>
        <v>0</v>
      </c>
      <c r="AJ210" s="200">
        <f t="shared" si="223"/>
        <v>0</v>
      </c>
      <c r="AK210" s="200">
        <f t="shared" si="224"/>
        <v>0</v>
      </c>
      <c r="AL210" s="4"/>
      <c r="AM210" s="4"/>
      <c r="AN210" s="4"/>
      <c r="AO210" s="4"/>
      <c r="AP210" s="63"/>
      <c r="AQ210" s="18"/>
      <c r="AR210" s="10">
        <v>9600</v>
      </c>
      <c r="AS210" s="18"/>
      <c r="AT210" s="62"/>
      <c r="AU210" s="65">
        <v>63.881999999999998</v>
      </c>
      <c r="AV210" s="65">
        <v>3781.471</v>
      </c>
      <c r="AW210" s="63"/>
      <c r="AX210" s="63"/>
      <c r="AY210" s="65">
        <v>1051.7654038000001</v>
      </c>
      <c r="AZ210" s="63"/>
      <c r="BA210" s="65">
        <v>2363</v>
      </c>
      <c r="BB210" s="133">
        <f t="shared" si="206"/>
        <v>1022.525</v>
      </c>
      <c r="BC210" s="65">
        <v>283.87477427119757</v>
      </c>
      <c r="BD210" s="65">
        <v>14.399660735694527</v>
      </c>
      <c r="BE210" s="65">
        <v>0</v>
      </c>
      <c r="BF210" s="65">
        <v>188.4392525423311</v>
      </c>
      <c r="BG210" s="65">
        <v>0</v>
      </c>
      <c r="BH210" s="65">
        <v>82.091143145732502</v>
      </c>
      <c r="BI210" s="65">
        <v>720.18994392164086</v>
      </c>
      <c r="BJ210" s="65">
        <v>0</v>
      </c>
      <c r="BK210" s="65">
        <v>19.844702933795372</v>
      </c>
      <c r="BL210" s="65">
        <v>0</v>
      </c>
      <c r="BM210" s="65">
        <v>0</v>
      </c>
      <c r="BN210" s="65">
        <v>61.827338430677763</v>
      </c>
      <c r="BO210" s="65">
        <v>205.33566960000002</v>
      </c>
      <c r="BP210" s="260">
        <f t="shared" si="225"/>
        <v>960</v>
      </c>
      <c r="BQ210" s="65">
        <v>63.569064727890698</v>
      </c>
      <c r="BR210" s="65">
        <v>83.055056063667763</v>
      </c>
      <c r="BS210" s="65">
        <v>300.53152586167658</v>
      </c>
      <c r="BT210" s="65">
        <v>111.01147346078565</v>
      </c>
      <c r="BU210" s="65">
        <v>123.46434840065945</v>
      </c>
      <c r="BV210" s="144">
        <f t="shared" si="215"/>
        <v>0</v>
      </c>
      <c r="BW210" s="144">
        <f t="shared" si="216"/>
        <v>0</v>
      </c>
      <c r="BX210" s="144">
        <f t="shared" si="217"/>
        <v>0</v>
      </c>
      <c r="BY210" s="5"/>
      <c r="BZ210" s="66">
        <v>7029.75</v>
      </c>
      <c r="CA210" s="65">
        <v>4467.1000000000004</v>
      </c>
      <c r="CB210" s="5"/>
      <c r="CC210" s="5"/>
      <c r="CD210" s="188">
        <v>3.0642236760841479</v>
      </c>
      <c r="CE210" s="5"/>
      <c r="CF210" s="133">
        <f t="shared" si="207"/>
        <v>1161.3333333333333</v>
      </c>
      <c r="CG210" s="133">
        <f t="shared" si="208"/>
        <v>4663</v>
      </c>
      <c r="CH210" s="70"/>
      <c r="CI210" s="70"/>
      <c r="CJ210" s="133">
        <f t="shared" si="193"/>
        <v>3067.5749999999998</v>
      </c>
      <c r="CK210" s="8">
        <f t="shared" si="172"/>
        <v>38424.524914905167</v>
      </c>
      <c r="CL210" s="202">
        <f t="shared" si="152"/>
        <v>-38424.524914905167</v>
      </c>
      <c r="CM210" s="202">
        <f t="shared" si="153"/>
        <v>-38424.524914905167</v>
      </c>
      <c r="CN210" s="202">
        <f t="shared" si="154"/>
        <v>-38424.524914905167</v>
      </c>
      <c r="CO210" s="9">
        <f t="shared" si="155"/>
        <v>-38424.524914905167</v>
      </c>
      <c r="CP210" s="9">
        <f t="shared" si="156"/>
        <v>-38424.524914905167</v>
      </c>
      <c r="CQ210" s="9">
        <f t="shared" si="157"/>
        <v>-38424.524914905167</v>
      </c>
      <c r="CR210" s="202">
        <f t="shared" si="158"/>
        <v>-38424.524914905167</v>
      </c>
      <c r="CS210" s="202">
        <f t="shared" si="159"/>
        <v>-38424.524914905167</v>
      </c>
      <c r="CT210" s="202">
        <f t="shared" si="160"/>
        <v>-38424.524914905167</v>
      </c>
      <c r="CU210" s="203" t="e">
        <f t="shared" si="161"/>
        <v>#DIV/0!</v>
      </c>
      <c r="CV210" s="203" t="e">
        <f t="shared" si="162"/>
        <v>#DIV/0!</v>
      </c>
      <c r="CW210" s="203" t="e">
        <f t="shared" si="163"/>
        <v>#DIV/0!</v>
      </c>
      <c r="CX210" s="19" t="e">
        <f t="shared" si="164"/>
        <v>#DIV/0!</v>
      </c>
      <c r="CY210" s="19" t="e">
        <f t="shared" si="165"/>
        <v>#DIV/0!</v>
      </c>
      <c r="CZ210" s="19" t="e">
        <f t="shared" si="166"/>
        <v>#DIV/0!</v>
      </c>
      <c r="DA210" s="203" t="e">
        <f t="shared" si="167"/>
        <v>#DIV/0!</v>
      </c>
      <c r="DB210" s="203" t="e">
        <f t="shared" si="168"/>
        <v>#DIV/0!</v>
      </c>
      <c r="DC210" s="203" t="e">
        <f t="shared" si="169"/>
        <v>#DIV/0!</v>
      </c>
      <c r="DD210" s="65"/>
      <c r="DE210" s="66"/>
      <c r="DF210" s="66"/>
      <c r="DG210" s="66"/>
      <c r="DH210" s="66"/>
      <c r="DI210" s="66"/>
      <c r="DJ210" s="65"/>
      <c r="DK210" s="66"/>
      <c r="DL210" s="66"/>
      <c r="DM210" s="8">
        <f t="shared" si="170"/>
        <v>0</v>
      </c>
      <c r="DN210" s="8">
        <f t="shared" si="171"/>
        <v>38424.524914905167</v>
      </c>
      <c r="DO210" s="202">
        <f t="shared" si="177"/>
        <v>-38424.524914905167</v>
      </c>
      <c r="DP210" s="202">
        <f t="shared" si="178"/>
        <v>-38424.524914905167</v>
      </c>
      <c r="DQ210" s="202">
        <f t="shared" si="179"/>
        <v>-38424.524914905167</v>
      </c>
      <c r="DR210" s="9">
        <f t="shared" si="180"/>
        <v>-38424.524914905167</v>
      </c>
      <c r="DS210" s="9">
        <f t="shared" si="173"/>
        <v>-38424.524914905167</v>
      </c>
      <c r="DT210" s="9">
        <f t="shared" si="181"/>
        <v>-38424.524914905167</v>
      </c>
      <c r="DU210" s="202">
        <f t="shared" si="182"/>
        <v>-38424.524914905167</v>
      </c>
      <c r="DV210" s="202">
        <f t="shared" si="183"/>
        <v>-38424.524914905167</v>
      </c>
      <c r="DW210" s="202">
        <f t="shared" si="184"/>
        <v>-38424.524914905167</v>
      </c>
      <c r="DX210" s="203" t="e">
        <f t="shared" si="185"/>
        <v>#DIV/0!</v>
      </c>
      <c r="DY210" s="203" t="e">
        <f t="shared" si="186"/>
        <v>#DIV/0!</v>
      </c>
      <c r="DZ210" s="203" t="e">
        <f t="shared" si="187"/>
        <v>#DIV/0!</v>
      </c>
      <c r="EA210" s="19" t="e">
        <f t="shared" si="188"/>
        <v>#DIV/0!</v>
      </c>
      <c r="EB210" s="19" t="e">
        <f t="shared" si="174"/>
        <v>#DIV/0!</v>
      </c>
      <c r="EC210" s="19" t="e">
        <f t="shared" si="189"/>
        <v>#DIV/0!</v>
      </c>
      <c r="ED210" s="203" t="e">
        <f t="shared" si="190"/>
        <v>#DIV/0!</v>
      </c>
      <c r="EE210" s="203" t="e">
        <f t="shared" si="191"/>
        <v>#DIV/0!</v>
      </c>
      <c r="EF210" s="203" t="e">
        <f t="shared" si="192"/>
        <v>#DIV/0!</v>
      </c>
      <c r="EH210" s="58">
        <f t="shared" si="209"/>
        <v>29089.713105353414</v>
      </c>
      <c r="EI210" s="68" t="e">
        <f t="shared" si="210"/>
        <v>#DIV/0!</v>
      </c>
      <c r="EJ210" s="58">
        <f t="shared" si="211"/>
        <v>26736.171438686746</v>
      </c>
      <c r="EK210" s="68" t="e">
        <f t="shared" si="210"/>
        <v>#DIV/0!</v>
      </c>
      <c r="EL210" s="58">
        <f t="shared" si="212"/>
        <v>2069.1947015534188</v>
      </c>
      <c r="EM210" s="58">
        <f t="shared" si="213"/>
        <v>2069.1947015534188</v>
      </c>
      <c r="EN210" s="68" t="e">
        <f t="shared" si="214"/>
        <v>#DIV/0!</v>
      </c>
      <c r="EO210" s="139">
        <f t="shared" si="147"/>
        <v>0.4050825009776523</v>
      </c>
      <c r="EP210">
        <f>+(SUM(M210:O210)*EO210*(1-'[1]Tier 3 Data'!$A$2))</f>
        <v>0</v>
      </c>
    </row>
    <row r="211" spans="1:146" x14ac:dyDescent="0.2">
      <c r="A211" s="43">
        <v>0</v>
      </c>
      <c r="B211" s="43">
        <v>0</v>
      </c>
      <c r="C211" s="43">
        <v>0</v>
      </c>
      <c r="D211" s="70">
        <v>2024</v>
      </c>
      <c r="E211" s="70">
        <v>12</v>
      </c>
      <c r="F211" s="2">
        <v>744</v>
      </c>
      <c r="G211" s="63"/>
      <c r="H211" s="63"/>
      <c r="I211" s="63"/>
      <c r="J211" s="133">
        <f t="shared" si="203"/>
        <v>0</v>
      </c>
      <c r="K211" s="65">
        <v>0</v>
      </c>
      <c r="L211" s="133">
        <f t="shared" si="204"/>
        <v>0</v>
      </c>
      <c r="M211" s="63"/>
      <c r="N211" s="63"/>
      <c r="O211" s="63"/>
      <c r="P211" s="200">
        <f t="shared" si="194"/>
        <v>0</v>
      </c>
      <c r="Q211" s="200">
        <f t="shared" si="195"/>
        <v>0</v>
      </c>
      <c r="R211" s="200">
        <f t="shared" si="196"/>
        <v>0</v>
      </c>
      <c r="S211" s="133">
        <f t="shared" si="197"/>
        <v>0</v>
      </c>
      <c r="T211" s="133">
        <f t="shared" si="198"/>
        <v>0</v>
      </c>
      <c r="U211" s="133">
        <f t="shared" si="199"/>
        <v>0</v>
      </c>
      <c r="V211" s="200">
        <f t="shared" si="200"/>
        <v>0</v>
      </c>
      <c r="W211" s="200">
        <f t="shared" si="201"/>
        <v>0</v>
      </c>
      <c r="X211" s="200">
        <f t="shared" si="202"/>
        <v>0</v>
      </c>
      <c r="Y211" s="63"/>
      <c r="Z211" s="63"/>
      <c r="AA211" s="63"/>
      <c r="AB211" s="200">
        <f t="shared" si="218"/>
        <v>0</v>
      </c>
      <c r="AC211" s="200">
        <f t="shared" si="219"/>
        <v>0</v>
      </c>
      <c r="AD211" s="200">
        <f t="shared" si="220"/>
        <v>0</v>
      </c>
      <c r="AE211" s="199">
        <f t="shared" si="175"/>
        <v>0</v>
      </c>
      <c r="AF211" s="199">
        <f t="shared" si="221"/>
        <v>0</v>
      </c>
      <c r="AG211" s="199">
        <f t="shared" si="176"/>
        <v>0</v>
      </c>
      <c r="AH211" s="199"/>
      <c r="AI211" s="200">
        <f t="shared" si="222"/>
        <v>0</v>
      </c>
      <c r="AJ211" s="200">
        <f t="shared" si="223"/>
        <v>0</v>
      </c>
      <c r="AK211" s="200">
        <f t="shared" si="224"/>
        <v>0</v>
      </c>
      <c r="AL211" s="4"/>
      <c r="AM211" s="4"/>
      <c r="AN211" s="4"/>
      <c r="AO211" s="4"/>
      <c r="AP211" s="63"/>
      <c r="AQ211" s="18"/>
      <c r="AR211" s="10">
        <v>9920</v>
      </c>
      <c r="AS211" s="18"/>
      <c r="AT211" s="62"/>
      <c r="AU211" s="65">
        <v>68.561999999999998</v>
      </c>
      <c r="AV211" s="65">
        <v>3888.8449999999998</v>
      </c>
      <c r="AW211" s="63"/>
      <c r="AX211" s="63"/>
      <c r="AY211" s="65">
        <v>1226.60803108</v>
      </c>
      <c r="AZ211" s="63"/>
      <c r="BA211" s="65">
        <v>2225.2240000000002</v>
      </c>
      <c r="BB211" s="133">
        <f t="shared" si="206"/>
        <v>899.09749999999997</v>
      </c>
      <c r="BC211" s="65">
        <v>133.02629953839877</v>
      </c>
      <c r="BD211" s="65">
        <v>14.892990970660508</v>
      </c>
      <c r="BE211" s="65">
        <v>0</v>
      </c>
      <c r="BF211" s="65">
        <v>193.40118982180462</v>
      </c>
      <c r="BG211" s="65">
        <v>0</v>
      </c>
      <c r="BH211" s="65">
        <v>50.51762655121999</v>
      </c>
      <c r="BI211" s="65">
        <v>337.48755397736403</v>
      </c>
      <c r="BJ211" s="65">
        <v>0</v>
      </c>
      <c r="BK211" s="65">
        <v>20.28324216774827</v>
      </c>
      <c r="BL211" s="65">
        <v>0</v>
      </c>
      <c r="BM211" s="65">
        <v>0</v>
      </c>
      <c r="BN211" s="65">
        <v>38.047592880417092</v>
      </c>
      <c r="BO211" s="65">
        <v>212.18019192</v>
      </c>
      <c r="BP211" s="260">
        <f t="shared" si="225"/>
        <v>992</v>
      </c>
      <c r="BQ211" s="65">
        <v>57.920504934503356</v>
      </c>
      <c r="BR211" s="65">
        <v>75.29662491739839</v>
      </c>
      <c r="BS211" s="65">
        <v>273.82707618539251</v>
      </c>
      <c r="BT211" s="65">
        <v>102.20843953743685</v>
      </c>
      <c r="BU211" s="65">
        <v>108.66013821401744</v>
      </c>
      <c r="BV211" s="144">
        <f t="shared" si="215"/>
        <v>0</v>
      </c>
      <c r="BW211" s="144">
        <f t="shared" si="216"/>
        <v>0</v>
      </c>
      <c r="BX211" s="144">
        <f t="shared" si="217"/>
        <v>0</v>
      </c>
      <c r="BY211" s="5"/>
      <c r="BZ211" s="66">
        <v>7254</v>
      </c>
      <c r="CA211" s="65">
        <v>6829.6</v>
      </c>
      <c r="CB211" s="5"/>
      <c r="CC211" s="5"/>
      <c r="CD211" s="188">
        <v>4.9023166732340453</v>
      </c>
      <c r="CE211" s="5"/>
      <c r="CF211" s="133">
        <f t="shared" si="207"/>
        <v>1762.3333333333333</v>
      </c>
      <c r="CG211" s="133">
        <f t="shared" si="208"/>
        <v>4206</v>
      </c>
      <c r="CH211" s="70"/>
      <c r="CI211" s="70"/>
      <c r="CJ211" s="133">
        <f t="shared" si="193"/>
        <v>2697.2925</v>
      </c>
      <c r="CK211" s="8">
        <f t="shared" si="172"/>
        <v>40894.921652702935</v>
      </c>
      <c r="CL211" s="202">
        <f t="shared" si="152"/>
        <v>-40894.921652702935</v>
      </c>
      <c r="CM211" s="202">
        <f t="shared" si="153"/>
        <v>-40894.921652702935</v>
      </c>
      <c r="CN211" s="202">
        <f t="shared" si="154"/>
        <v>-40894.921652702935</v>
      </c>
      <c r="CO211" s="9">
        <f t="shared" si="155"/>
        <v>-40894.921652702935</v>
      </c>
      <c r="CP211" s="9">
        <f t="shared" si="156"/>
        <v>-40894.921652702935</v>
      </c>
      <c r="CQ211" s="9">
        <f t="shared" si="157"/>
        <v>-40894.921652702935</v>
      </c>
      <c r="CR211" s="202">
        <f t="shared" si="158"/>
        <v>-40894.921652702935</v>
      </c>
      <c r="CS211" s="202">
        <f t="shared" si="159"/>
        <v>-40894.921652702935</v>
      </c>
      <c r="CT211" s="202">
        <f t="shared" si="160"/>
        <v>-40894.921652702935</v>
      </c>
      <c r="CU211" s="203" t="e">
        <f t="shared" si="161"/>
        <v>#DIV/0!</v>
      </c>
      <c r="CV211" s="203" t="e">
        <f t="shared" si="162"/>
        <v>#DIV/0!</v>
      </c>
      <c r="CW211" s="203" t="e">
        <f t="shared" si="163"/>
        <v>#DIV/0!</v>
      </c>
      <c r="CX211" s="19" t="e">
        <f t="shared" si="164"/>
        <v>#DIV/0!</v>
      </c>
      <c r="CY211" s="19" t="e">
        <f t="shared" si="165"/>
        <v>#DIV/0!</v>
      </c>
      <c r="CZ211" s="19" t="e">
        <f t="shared" si="166"/>
        <v>#DIV/0!</v>
      </c>
      <c r="DA211" s="203" t="e">
        <f t="shared" si="167"/>
        <v>#DIV/0!</v>
      </c>
      <c r="DB211" s="203" t="e">
        <f t="shared" si="168"/>
        <v>#DIV/0!</v>
      </c>
      <c r="DC211" s="203" t="e">
        <f t="shared" si="169"/>
        <v>#DIV/0!</v>
      </c>
      <c r="DD211" s="65"/>
      <c r="DE211" s="66"/>
      <c r="DF211" s="66"/>
      <c r="DG211" s="66"/>
      <c r="DH211" s="66"/>
      <c r="DI211" s="66"/>
      <c r="DJ211" s="65"/>
      <c r="DK211" s="66"/>
      <c r="DL211" s="66"/>
      <c r="DM211" s="8">
        <f t="shared" si="170"/>
        <v>0</v>
      </c>
      <c r="DN211" s="8">
        <f t="shared" si="171"/>
        <v>40894.921652702935</v>
      </c>
      <c r="DO211" s="202">
        <f t="shared" si="177"/>
        <v>-40894.921652702935</v>
      </c>
      <c r="DP211" s="202">
        <f t="shared" si="178"/>
        <v>-40894.921652702935</v>
      </c>
      <c r="DQ211" s="202">
        <f t="shared" si="179"/>
        <v>-40894.921652702935</v>
      </c>
      <c r="DR211" s="9">
        <f t="shared" si="180"/>
        <v>-40894.921652702935</v>
      </c>
      <c r="DS211" s="9">
        <f t="shared" si="173"/>
        <v>-40894.921652702935</v>
      </c>
      <c r="DT211" s="9">
        <f t="shared" si="181"/>
        <v>-40894.921652702935</v>
      </c>
      <c r="DU211" s="202">
        <f t="shared" si="182"/>
        <v>-40894.921652702935</v>
      </c>
      <c r="DV211" s="202">
        <f t="shared" si="183"/>
        <v>-40894.921652702935</v>
      </c>
      <c r="DW211" s="202">
        <f t="shared" si="184"/>
        <v>-40894.921652702935</v>
      </c>
      <c r="DX211" s="203" t="e">
        <f t="shared" si="185"/>
        <v>#DIV/0!</v>
      </c>
      <c r="DY211" s="203" t="e">
        <f t="shared" si="186"/>
        <v>#DIV/0!</v>
      </c>
      <c r="DZ211" s="203" t="e">
        <f t="shared" si="187"/>
        <v>#DIV/0!</v>
      </c>
      <c r="EA211" s="19" t="e">
        <f t="shared" si="188"/>
        <v>#DIV/0!</v>
      </c>
      <c r="EB211" s="19" t="e">
        <f t="shared" si="174"/>
        <v>#DIV/0!</v>
      </c>
      <c r="EC211" s="19" t="e">
        <f t="shared" si="189"/>
        <v>#DIV/0!</v>
      </c>
      <c r="ED211" s="203" t="e">
        <f t="shared" si="190"/>
        <v>#DIV/0!</v>
      </c>
      <c r="EE211" s="203" t="e">
        <f t="shared" si="191"/>
        <v>#DIV/0!</v>
      </c>
      <c r="EF211" s="203" t="e">
        <f t="shared" si="192"/>
        <v>#DIV/0!</v>
      </c>
      <c r="EH211" s="58">
        <f t="shared" si="209"/>
        <v>28477.684812874559</v>
      </c>
      <c r="EI211" s="68" t="e">
        <f t="shared" si="210"/>
        <v>#DIV/0!</v>
      </c>
      <c r="EJ211" s="58">
        <f t="shared" si="211"/>
        <v>26613.018146207891</v>
      </c>
      <c r="EK211" s="68" t="e">
        <f t="shared" si="210"/>
        <v>#DIV/0!</v>
      </c>
      <c r="EL211" s="58">
        <f t="shared" si="212"/>
        <v>1424.3482817945574</v>
      </c>
      <c r="EM211" s="58">
        <f t="shared" si="213"/>
        <v>1424.3482817945574</v>
      </c>
      <c r="EN211" s="68" t="e">
        <f t="shared" si="214"/>
        <v>#DIV/0!</v>
      </c>
      <c r="EO211" s="139">
        <f t="shared" si="147"/>
        <v>0.32946562535829382</v>
      </c>
      <c r="EP211">
        <f>+(SUM(M211:O211)*EO211*(1-'[1]Tier 3 Data'!$A$2))</f>
        <v>0</v>
      </c>
    </row>
    <row r="212" spans="1:146" x14ac:dyDescent="0.2">
      <c r="A212" s="43">
        <v>0</v>
      </c>
      <c r="B212" s="43">
        <v>0</v>
      </c>
      <c r="C212" s="43">
        <v>0</v>
      </c>
      <c r="D212" s="70">
        <v>2025</v>
      </c>
      <c r="E212" s="70">
        <v>1</v>
      </c>
      <c r="F212" s="2">
        <v>744</v>
      </c>
      <c r="G212" s="133">
        <f>+H212</f>
        <v>48460.858054485798</v>
      </c>
      <c r="H212" s="65">
        <v>48460.858054485798</v>
      </c>
      <c r="I212" s="133">
        <f>+H212</f>
        <v>48460.858054485798</v>
      </c>
      <c r="J212" s="133">
        <f t="shared" si="203"/>
        <v>38.374374999999993</v>
      </c>
      <c r="K212" s="65">
        <v>38.374374999999993</v>
      </c>
      <c r="L212" s="133">
        <f t="shared" si="204"/>
        <v>38.374374999999993</v>
      </c>
      <c r="M212" s="65">
        <v>350.79787520860157</v>
      </c>
      <c r="N212" s="65">
        <v>755.37984075477868</v>
      </c>
      <c r="O212" s="65">
        <v>1.8813217485167462</v>
      </c>
      <c r="P212" s="200">
        <f t="shared" si="194"/>
        <v>48090.065968172232</v>
      </c>
      <c r="Q212" s="200">
        <f t="shared" si="195"/>
        <v>48090.065968172232</v>
      </c>
      <c r="R212" s="200">
        <f t="shared" si="196"/>
        <v>48090.065968172232</v>
      </c>
      <c r="S212" s="133">
        <f>+$H212-J212-(30%*SUM($O212:$O212))</f>
        <v>48421.919282961244</v>
      </c>
      <c r="T212" s="133">
        <f>+$H212-K212-(30%*SUM($O212:$O212))</f>
        <v>48421.919282961244</v>
      </c>
      <c r="U212" s="133">
        <f>+$H212-L212-(30%*SUM($O212:$O212))</f>
        <v>48421.919282961244</v>
      </c>
      <c r="V212" s="200">
        <f t="shared" si="200"/>
        <v>48090.065968172232</v>
      </c>
      <c r="W212" s="200">
        <f t="shared" si="201"/>
        <v>48090.065968172232</v>
      </c>
      <c r="X212" s="200">
        <f t="shared" si="202"/>
        <v>48090.065968172232</v>
      </c>
      <c r="Y212" s="65">
        <v>263.71323538477532</v>
      </c>
      <c r="Z212" s="65">
        <v>491.14175558208501</v>
      </c>
      <c r="AA212" s="65">
        <v>66.92466798248897</v>
      </c>
      <c r="AB212" s="200">
        <f t="shared" si="218"/>
        <v>48581.20772375432</v>
      </c>
      <c r="AC212" s="200">
        <f t="shared" si="219"/>
        <v>48581.20772375432</v>
      </c>
      <c r="AD212" s="200">
        <f t="shared" si="220"/>
        <v>48581.20772375432</v>
      </c>
      <c r="AE212" s="199">
        <f t="shared" si="175"/>
        <v>48685.632518346021</v>
      </c>
      <c r="AF212" s="199">
        <f t="shared" si="221"/>
        <v>48913.061038543332</v>
      </c>
      <c r="AG212" s="199">
        <f t="shared" si="176"/>
        <v>48488.84395094373</v>
      </c>
      <c r="AH212" s="199">
        <f>+(MIN(AE212:AG212)+MAX(AE212:AG212))/2</f>
        <v>48700.952494743527</v>
      </c>
      <c r="AI212" s="200">
        <f t="shared" si="222"/>
        <v>48581.20772375432</v>
      </c>
      <c r="AJ212" s="200">
        <f t="shared" si="223"/>
        <v>48581.20772375432</v>
      </c>
      <c r="AK212" s="200">
        <f t="shared" si="224"/>
        <v>48581.20772375432</v>
      </c>
      <c r="AL212" s="4"/>
      <c r="AM212" s="4"/>
      <c r="AN212" s="4"/>
      <c r="AO212" s="4"/>
      <c r="AP212" s="63"/>
      <c r="AQ212" s="18"/>
      <c r="AR212" s="10">
        <v>9920</v>
      </c>
      <c r="AS212" s="18"/>
      <c r="AT212" s="62"/>
      <c r="AU212" s="65">
        <v>98.513999999999996</v>
      </c>
      <c r="AV212" s="65">
        <v>3278.6750000000002</v>
      </c>
      <c r="AW212" s="63"/>
      <c r="AX212" s="63"/>
      <c r="AY212" s="65">
        <v>1258.1687644800002</v>
      </c>
      <c r="AZ212" s="63"/>
      <c r="BA212" s="65">
        <v>1660.8</v>
      </c>
      <c r="BB212" s="133">
        <f t="shared" si="206"/>
        <v>473.125</v>
      </c>
      <c r="BC212" s="65">
        <v>187.65082722949612</v>
      </c>
      <c r="BD212" s="65">
        <v>17.899913811322826</v>
      </c>
      <c r="BE212" s="65">
        <v>0</v>
      </c>
      <c r="BF212" s="65">
        <v>199.42579123871249</v>
      </c>
      <c r="BG212" s="65">
        <v>0</v>
      </c>
      <c r="BH212" s="65">
        <v>44.202923232317495</v>
      </c>
      <c r="BI212" s="65">
        <v>476.06991176380893</v>
      </c>
      <c r="BJ212" s="65">
        <v>0</v>
      </c>
      <c r="BK212" s="65">
        <v>22.517673403701547</v>
      </c>
      <c r="BL212" s="65">
        <v>0</v>
      </c>
      <c r="BM212" s="65">
        <v>0</v>
      </c>
      <c r="BN212" s="65">
        <v>33.291643770364956</v>
      </c>
      <c r="BO212" s="65">
        <v>212.18019192</v>
      </c>
      <c r="BP212" s="260">
        <f t="shared" si="225"/>
        <v>992</v>
      </c>
      <c r="BQ212" s="65">
        <v>81.956971226095817</v>
      </c>
      <c r="BR212" s="65">
        <v>107.07950033687889</v>
      </c>
      <c r="BS212" s="65">
        <v>387.46305395902425</v>
      </c>
      <c r="BT212" s="65">
        <v>132.46482821848062</v>
      </c>
      <c r="BU212" s="65">
        <v>151.40316638785885</v>
      </c>
      <c r="BV212" s="144">
        <f t="shared" si="215"/>
        <v>245.55851264602109</v>
      </c>
      <c r="BW212" s="144">
        <f t="shared" si="216"/>
        <v>528.76588852834504</v>
      </c>
      <c r="BX212" s="144">
        <f t="shared" si="217"/>
        <v>1.3169252239617222</v>
      </c>
      <c r="BY212" s="5"/>
      <c r="BZ212" s="66">
        <v>7254</v>
      </c>
      <c r="CA212" s="65">
        <v>8308.7999999999993</v>
      </c>
      <c r="CB212" s="5"/>
      <c r="CC212" s="5"/>
      <c r="CD212" s="188">
        <v>2.5304839482857915</v>
      </c>
      <c r="CE212" s="5"/>
      <c r="CF212" s="133">
        <f>+CF200</f>
        <v>1154.6666666666667</v>
      </c>
      <c r="CG212" s="133">
        <f t="shared" si="208"/>
        <v>2662</v>
      </c>
      <c r="CH212" s="70"/>
      <c r="CI212" s="70"/>
      <c r="CJ212" s="133">
        <f t="shared" si="193"/>
        <v>1419.375</v>
      </c>
      <c r="CK212" s="8">
        <f t="shared" si="172"/>
        <v>39892.527637991334</v>
      </c>
      <c r="CL212" s="202">
        <f t="shared" si="152"/>
        <v>8688.680085762986</v>
      </c>
      <c r="CM212" s="202">
        <f t="shared" si="153"/>
        <v>8688.680085762986</v>
      </c>
      <c r="CN212" s="202">
        <f t="shared" si="154"/>
        <v>8688.680085762986</v>
      </c>
      <c r="CO212" s="9">
        <f t="shared" si="155"/>
        <v>8793.1048803546873</v>
      </c>
      <c r="CP212" s="9">
        <f t="shared" si="156"/>
        <v>9020.5334005519981</v>
      </c>
      <c r="CQ212" s="9">
        <f t="shared" si="157"/>
        <v>8596.3163129523964</v>
      </c>
      <c r="CR212" s="202">
        <f t="shared" si="158"/>
        <v>8688.680085762986</v>
      </c>
      <c r="CS212" s="202">
        <f t="shared" si="159"/>
        <v>8688.680085762986</v>
      </c>
      <c r="CT212" s="202">
        <f t="shared" si="160"/>
        <v>8688.680085762986</v>
      </c>
      <c r="CU212" s="203">
        <f t="shared" si="161"/>
        <v>0.17884858143439195</v>
      </c>
      <c r="CV212" s="203">
        <f t="shared" si="162"/>
        <v>0.17884858143439195</v>
      </c>
      <c r="CW212" s="203">
        <f t="shared" si="163"/>
        <v>0.17884858143439195</v>
      </c>
      <c r="CX212" s="19">
        <f t="shared" si="164"/>
        <v>0.18060985193200921</v>
      </c>
      <c r="CY212" s="19">
        <f t="shared" si="165"/>
        <v>0.18441972775827395</v>
      </c>
      <c r="CZ212" s="19">
        <f t="shared" si="166"/>
        <v>0.17728441456862343</v>
      </c>
      <c r="DA212" s="203">
        <f t="shared" si="167"/>
        <v>0.17884858143439195</v>
      </c>
      <c r="DB212" s="203">
        <f t="shared" si="168"/>
        <v>0.17884858143439195</v>
      </c>
      <c r="DC212" s="203">
        <f t="shared" si="169"/>
        <v>0.17884858143439195</v>
      </c>
      <c r="DD212" s="65"/>
      <c r="DE212" s="66"/>
      <c r="DF212" s="66"/>
      <c r="DG212" s="66"/>
      <c r="DH212" s="66"/>
      <c r="DI212" s="66"/>
      <c r="DJ212" s="65"/>
      <c r="DK212" s="66"/>
      <c r="DL212" s="66"/>
      <c r="DM212" s="8">
        <f t="shared" si="170"/>
        <v>0</v>
      </c>
      <c r="DN212" s="8">
        <f t="shared" si="171"/>
        <v>39892.527637991334</v>
      </c>
      <c r="DO212" s="202">
        <f t="shared" si="177"/>
        <v>8688.680085762986</v>
      </c>
      <c r="DP212" s="202">
        <f t="shared" si="178"/>
        <v>8688.680085762986</v>
      </c>
      <c r="DQ212" s="202">
        <f t="shared" si="179"/>
        <v>8688.680085762986</v>
      </c>
      <c r="DR212" s="9">
        <f t="shared" si="180"/>
        <v>8793.1048803546873</v>
      </c>
      <c r="DS212" s="9">
        <f t="shared" si="173"/>
        <v>9020.5334005519981</v>
      </c>
      <c r="DT212" s="9">
        <f t="shared" si="181"/>
        <v>8596.3163129523964</v>
      </c>
      <c r="DU212" s="202">
        <f t="shared" si="182"/>
        <v>8688.680085762986</v>
      </c>
      <c r="DV212" s="202">
        <f t="shared" si="183"/>
        <v>8688.680085762986</v>
      </c>
      <c r="DW212" s="202">
        <f t="shared" si="184"/>
        <v>8688.680085762986</v>
      </c>
      <c r="DX212" s="203">
        <f t="shared" si="185"/>
        <v>0.17884858143439195</v>
      </c>
      <c r="DY212" s="203">
        <f t="shared" si="186"/>
        <v>0.17884858143439195</v>
      </c>
      <c r="DZ212" s="203">
        <f t="shared" si="187"/>
        <v>0.17884858143439195</v>
      </c>
      <c r="EA212" s="19">
        <f t="shared" si="188"/>
        <v>0.18060985193200921</v>
      </c>
      <c r="EB212" s="19">
        <f t="shared" si="174"/>
        <v>0.18441972775827395</v>
      </c>
      <c r="EC212" s="19">
        <f t="shared" si="189"/>
        <v>0.17728441456862343</v>
      </c>
      <c r="ED212" s="203">
        <f t="shared" si="190"/>
        <v>0.17884858143439195</v>
      </c>
      <c r="EE212" s="203">
        <f t="shared" si="191"/>
        <v>0.17884858143439195</v>
      </c>
      <c r="EF212" s="203">
        <f t="shared" si="192"/>
        <v>0.17884858143439195</v>
      </c>
      <c r="EH212" s="58">
        <f t="shared" si="209"/>
        <v>26354.546183491657</v>
      </c>
      <c r="EI212" s="68">
        <f t="shared" si="210"/>
        <v>0.53880386187084794</v>
      </c>
      <c r="EJ212" s="58">
        <f t="shared" si="211"/>
        <v>23882.212850158325</v>
      </c>
      <c r="EK212" s="68">
        <f t="shared" si="210"/>
        <v>0.48825839853570441</v>
      </c>
      <c r="EL212" s="58">
        <f t="shared" si="212"/>
        <v>2382.9464937876951</v>
      </c>
      <c r="EM212" s="58">
        <f t="shared" si="213"/>
        <v>2384.2634190116569</v>
      </c>
      <c r="EN212" s="68">
        <f t="shared" si="214"/>
        <v>4.874492351097931E-2</v>
      </c>
      <c r="EO212" s="139">
        <f t="shared" si="147"/>
        <v>0.32527353469126524</v>
      </c>
      <c r="EP212">
        <f>+(SUM(M212:O212)*EO212*(1-'[1]Tier 3 Data'!$A$2))</f>
        <v>336.27398709365963</v>
      </c>
    </row>
    <row r="213" spans="1:146" x14ac:dyDescent="0.2">
      <c r="A213" s="43">
        <v>0</v>
      </c>
      <c r="B213" s="43">
        <v>0</v>
      </c>
      <c r="C213" s="43">
        <v>0</v>
      </c>
      <c r="D213" s="70">
        <v>2025</v>
      </c>
      <c r="E213" s="70">
        <v>2</v>
      </c>
      <c r="F213" s="2">
        <v>672</v>
      </c>
      <c r="G213" s="133">
        <f t="shared" ref="G213:G276" si="226">+H213</f>
        <v>43845.958070997149</v>
      </c>
      <c r="H213" s="65">
        <v>43845.958070997149</v>
      </c>
      <c r="I213" s="133">
        <f t="shared" ref="I213:I276" si="227">+H213</f>
        <v>43845.958070997149</v>
      </c>
      <c r="J213" s="133">
        <f t="shared" si="203"/>
        <v>76.748749999999987</v>
      </c>
      <c r="K213" s="65">
        <v>76.748749999999987</v>
      </c>
      <c r="L213" s="133">
        <f t="shared" si="204"/>
        <v>76.748749999999987</v>
      </c>
      <c r="M213" s="65">
        <v>758.12758719225985</v>
      </c>
      <c r="N213" s="65">
        <v>1632.4907776153254</v>
      </c>
      <c r="O213" s="65">
        <v>6.0487442307107475</v>
      </c>
      <c r="P213" s="200">
        <f t="shared" si="194"/>
        <v>43050.209188285662</v>
      </c>
      <c r="Q213" s="200">
        <f t="shared" si="195"/>
        <v>43050.209188285662</v>
      </c>
      <c r="R213" s="200">
        <f t="shared" si="196"/>
        <v>43050.209188285662</v>
      </c>
      <c r="S213" s="133">
        <f t="shared" ref="S213:S276" si="228">+$H213-J213-(30%*SUM($O213:$O213))</f>
        <v>43767.394697727934</v>
      </c>
      <c r="T213" s="133">
        <f t="shared" ref="T213:T276" si="229">+$H213-K213-(30%*SUM($O213:$O213))</f>
        <v>43767.394697727934</v>
      </c>
      <c r="U213" s="133">
        <f t="shared" ref="U213:U276" si="230">+$H213-L213-(30%*SUM($O213:$O213))</f>
        <v>43767.394697727934</v>
      </c>
      <c r="V213" s="200">
        <f t="shared" si="200"/>
        <v>43050.209188285662</v>
      </c>
      <c r="W213" s="200">
        <f t="shared" si="201"/>
        <v>43050.209188285662</v>
      </c>
      <c r="X213" s="200">
        <f t="shared" si="202"/>
        <v>43050.209188285662</v>
      </c>
      <c r="Y213" s="65">
        <v>478.81642748066281</v>
      </c>
      <c r="Z213" s="65">
        <v>837.61029250245997</v>
      </c>
      <c r="AA213" s="65">
        <v>116.1641041399737</v>
      </c>
      <c r="AB213" s="200">
        <f t="shared" si="218"/>
        <v>43887.819480788123</v>
      </c>
      <c r="AC213" s="200">
        <f t="shared" si="219"/>
        <v>43887.819480788123</v>
      </c>
      <c r="AD213" s="200">
        <f t="shared" si="220"/>
        <v>43887.819480788123</v>
      </c>
      <c r="AE213" s="199">
        <f t="shared" si="175"/>
        <v>44246.211125208596</v>
      </c>
      <c r="AF213" s="199">
        <f t="shared" si="221"/>
        <v>44605.004990230394</v>
      </c>
      <c r="AG213" s="199">
        <f t="shared" si="176"/>
        <v>43883.558801867905</v>
      </c>
      <c r="AH213" s="199">
        <f t="shared" ref="AH213:AH276" si="231">+(MIN(AE213:AG213)+MAX(AE213:AG213))/2</f>
        <v>44244.28189604915</v>
      </c>
      <c r="AI213" s="200">
        <f t="shared" si="222"/>
        <v>43887.819480788123</v>
      </c>
      <c r="AJ213" s="200">
        <f t="shared" si="223"/>
        <v>43887.819480788123</v>
      </c>
      <c r="AK213" s="200">
        <f t="shared" si="224"/>
        <v>43887.819480788123</v>
      </c>
      <c r="AL213" s="4"/>
      <c r="AM213" s="4"/>
      <c r="AN213" s="4"/>
      <c r="AO213" s="4"/>
      <c r="AP213" s="63"/>
      <c r="AQ213" s="18"/>
      <c r="AR213" s="10">
        <v>8960</v>
      </c>
      <c r="AS213" s="18"/>
      <c r="AT213" s="62"/>
      <c r="AU213" s="65">
        <v>92.897999999999996</v>
      </c>
      <c r="AV213" s="65">
        <v>3057.587</v>
      </c>
      <c r="AW213" s="63"/>
      <c r="AX213" s="63"/>
      <c r="AY213" s="65">
        <v>1185.0038251199999</v>
      </c>
      <c r="AZ213" s="63"/>
      <c r="BA213" s="65">
        <v>853.7</v>
      </c>
      <c r="BB213" s="133">
        <f t="shared" si="206"/>
        <v>305.61</v>
      </c>
      <c r="BC213" s="65">
        <v>233.87491436180096</v>
      </c>
      <c r="BD213" s="65">
        <v>18.196795404006242</v>
      </c>
      <c r="BE213" s="65">
        <v>0</v>
      </c>
      <c r="BF213" s="65">
        <v>194.72305796175525</v>
      </c>
      <c r="BG213" s="65">
        <v>0</v>
      </c>
      <c r="BH213" s="65">
        <v>25.258813275609995</v>
      </c>
      <c r="BI213" s="65">
        <v>593.34036245852292</v>
      </c>
      <c r="BJ213" s="65">
        <v>0</v>
      </c>
      <c r="BK213" s="65">
        <v>19.256201566846642</v>
      </c>
      <c r="BL213" s="65">
        <v>0</v>
      </c>
      <c r="BM213" s="65">
        <v>0</v>
      </c>
      <c r="BN213" s="65">
        <v>19.023796440208546</v>
      </c>
      <c r="BO213" s="65">
        <v>191.64662496000003</v>
      </c>
      <c r="BP213" s="260">
        <f>2*16*28</f>
        <v>896</v>
      </c>
      <c r="BQ213" s="65">
        <v>101.9618952702593</v>
      </c>
      <c r="BR213" s="65">
        <v>133.21652777398489</v>
      </c>
      <c r="BS213" s="65">
        <v>482.03888143977377</v>
      </c>
      <c r="BT213" s="65">
        <v>169.90331413979106</v>
      </c>
      <c r="BU213" s="65">
        <v>183.29033663756402</v>
      </c>
      <c r="BV213" s="144">
        <f t="shared" si="215"/>
        <v>530.68931103458192</v>
      </c>
      <c r="BW213" s="144">
        <f t="shared" si="216"/>
        <v>1142.7435443307277</v>
      </c>
      <c r="BX213" s="144">
        <f t="shared" si="217"/>
        <v>4.2341209614975233</v>
      </c>
      <c r="BY213" s="5"/>
      <c r="BZ213" s="66">
        <v>6552</v>
      </c>
      <c r="CA213" s="65">
        <v>8291.2000000000007</v>
      </c>
      <c r="CB213" s="5"/>
      <c r="CC213" s="5"/>
      <c r="CD213" s="188">
        <v>3.1195892150124847</v>
      </c>
      <c r="CE213" s="5"/>
      <c r="CF213" s="133">
        <f t="shared" ref="CF213:CF276" si="232">+CF201</f>
        <v>667.66666666666663</v>
      </c>
      <c r="CG213" s="133">
        <f t="shared" si="208"/>
        <v>5586</v>
      </c>
      <c r="CH213" s="70"/>
      <c r="CI213" s="70"/>
      <c r="CJ213" s="133">
        <f t="shared" si="193"/>
        <v>916.83</v>
      </c>
      <c r="CK213" s="8">
        <f t="shared" si="172"/>
        <v>40494.183579018609</v>
      </c>
      <c r="CL213" s="202">
        <f t="shared" si="152"/>
        <v>3393.635901769514</v>
      </c>
      <c r="CM213" s="202">
        <f t="shared" si="153"/>
        <v>3393.635901769514</v>
      </c>
      <c r="CN213" s="202">
        <f t="shared" si="154"/>
        <v>3393.635901769514</v>
      </c>
      <c r="CO213" s="9">
        <f t="shared" si="155"/>
        <v>3752.0275461899873</v>
      </c>
      <c r="CP213" s="9">
        <f t="shared" si="156"/>
        <v>4110.8214112117857</v>
      </c>
      <c r="CQ213" s="9">
        <f t="shared" si="157"/>
        <v>3389.3752228492958</v>
      </c>
      <c r="CR213" s="202">
        <f t="shared" si="158"/>
        <v>3393.635901769514</v>
      </c>
      <c r="CS213" s="202">
        <f t="shared" si="159"/>
        <v>3393.635901769514</v>
      </c>
      <c r="CT213" s="202">
        <f t="shared" si="160"/>
        <v>3393.635901769514</v>
      </c>
      <c r="CU213" s="203">
        <f t="shared" si="161"/>
        <v>7.7325233787362738E-2</v>
      </c>
      <c r="CV213" s="203">
        <f t="shared" si="162"/>
        <v>7.7325233787362738E-2</v>
      </c>
      <c r="CW213" s="203">
        <f t="shared" si="163"/>
        <v>7.7325233787362738E-2</v>
      </c>
      <c r="CX213" s="19">
        <f t="shared" si="164"/>
        <v>8.4798843805460392E-2</v>
      </c>
      <c r="CY213" s="19">
        <f t="shared" si="165"/>
        <v>9.2160541448480002E-2</v>
      </c>
      <c r="CZ213" s="19">
        <f t="shared" si="166"/>
        <v>7.7235650785574553E-2</v>
      </c>
      <c r="DA213" s="203">
        <f t="shared" si="167"/>
        <v>7.7325233787362738E-2</v>
      </c>
      <c r="DB213" s="203">
        <f t="shared" si="168"/>
        <v>7.7325233787362738E-2</v>
      </c>
      <c r="DC213" s="203">
        <f t="shared" si="169"/>
        <v>7.7325233787362738E-2</v>
      </c>
      <c r="DD213" s="65"/>
      <c r="DE213" s="66"/>
      <c r="DF213" s="66"/>
      <c r="DG213" s="66"/>
      <c r="DH213" s="66"/>
      <c r="DI213" s="66"/>
      <c r="DJ213" s="65"/>
      <c r="DK213" s="66"/>
      <c r="DL213" s="66"/>
      <c r="DM213" s="8">
        <f t="shared" si="170"/>
        <v>0</v>
      </c>
      <c r="DN213" s="8">
        <f t="shared" si="171"/>
        <v>40494.183579018609</v>
      </c>
      <c r="DO213" s="202">
        <f t="shared" si="177"/>
        <v>3393.635901769514</v>
      </c>
      <c r="DP213" s="202">
        <f t="shared" si="178"/>
        <v>3393.635901769514</v>
      </c>
      <c r="DQ213" s="202">
        <f t="shared" si="179"/>
        <v>3393.635901769514</v>
      </c>
      <c r="DR213" s="9">
        <f t="shared" si="180"/>
        <v>3752.0275461899873</v>
      </c>
      <c r="DS213" s="9">
        <f t="shared" si="173"/>
        <v>4110.8214112117857</v>
      </c>
      <c r="DT213" s="9">
        <f t="shared" si="181"/>
        <v>3389.3752228492958</v>
      </c>
      <c r="DU213" s="202">
        <f t="shared" si="182"/>
        <v>3393.635901769514</v>
      </c>
      <c r="DV213" s="202">
        <f t="shared" si="183"/>
        <v>3393.635901769514</v>
      </c>
      <c r="DW213" s="202">
        <f t="shared" si="184"/>
        <v>3393.635901769514</v>
      </c>
      <c r="DX213" s="203">
        <f t="shared" si="185"/>
        <v>7.7325233787362738E-2</v>
      </c>
      <c r="DY213" s="203">
        <f t="shared" si="186"/>
        <v>7.7325233787362738E-2</v>
      </c>
      <c r="DZ213" s="203">
        <f t="shared" si="187"/>
        <v>7.7325233787362738E-2</v>
      </c>
      <c r="EA213" s="19">
        <f t="shared" si="188"/>
        <v>8.4798843805460392E-2</v>
      </c>
      <c r="EB213" s="19">
        <f t="shared" si="174"/>
        <v>9.2160541448480002E-2</v>
      </c>
      <c r="EC213" s="19">
        <f t="shared" si="189"/>
        <v>7.7235650785574553E-2</v>
      </c>
      <c r="ED213" s="203">
        <f t="shared" si="190"/>
        <v>7.7325233787362738E-2</v>
      </c>
      <c r="EE213" s="203">
        <f t="shared" si="191"/>
        <v>7.7325233787362738E-2</v>
      </c>
      <c r="EF213" s="203">
        <f t="shared" si="192"/>
        <v>7.7325233787362738E-2</v>
      </c>
      <c r="EH213" s="58">
        <f t="shared" si="209"/>
        <v>27530.784954140589</v>
      </c>
      <c r="EI213" s="68">
        <f t="shared" si="210"/>
        <v>0.61721291052810134</v>
      </c>
      <c r="EJ213" s="58">
        <f t="shared" si="211"/>
        <v>24922.451620807256</v>
      </c>
      <c r="EK213" s="68">
        <f t="shared" si="210"/>
        <v>0.55873666253968346</v>
      </c>
      <c r="EL213" s="58">
        <f t="shared" si="212"/>
        <v>3313.7520080590962</v>
      </c>
      <c r="EM213" s="58">
        <f t="shared" si="213"/>
        <v>3317.9861290205936</v>
      </c>
      <c r="EN213" s="68">
        <f t="shared" si="214"/>
        <v>7.4385960269420778E-2</v>
      </c>
      <c r="EO213" s="139">
        <f t="shared" si="147"/>
        <v>0.3126447604730192</v>
      </c>
      <c r="EP213">
        <f>+(SUM(M213:O213)*EO213*(1-'[1]Tier 3 Data'!$A$2))</f>
        <v>699.10195148483911</v>
      </c>
    </row>
    <row r="214" spans="1:146" x14ac:dyDescent="0.2">
      <c r="A214" s="43">
        <v>0</v>
      </c>
      <c r="B214" s="43">
        <v>0</v>
      </c>
      <c r="C214" s="43">
        <v>0</v>
      </c>
      <c r="D214" s="70">
        <v>2025</v>
      </c>
      <c r="E214" s="70">
        <v>3</v>
      </c>
      <c r="F214" s="2">
        <v>743</v>
      </c>
      <c r="G214" s="133">
        <f t="shared" si="226"/>
        <v>45956.296578292691</v>
      </c>
      <c r="H214" s="65">
        <v>45956.296578292691</v>
      </c>
      <c r="I214" s="133">
        <f t="shared" si="227"/>
        <v>45956.296578292691</v>
      </c>
      <c r="J214" s="133">
        <f t="shared" si="203"/>
        <v>115.12312499999999</v>
      </c>
      <c r="K214" s="65">
        <v>115.12312499999999</v>
      </c>
      <c r="L214" s="133">
        <f t="shared" si="204"/>
        <v>115.12312499999999</v>
      </c>
      <c r="M214" s="65">
        <v>1050.2026341606518</v>
      </c>
      <c r="N214" s="65">
        <v>2261.4216180208796</v>
      </c>
      <c r="O214" s="65">
        <v>12.376253870710309</v>
      </c>
      <c r="P214" s="200">
        <f t="shared" si="194"/>
        <v>44843.973301477017</v>
      </c>
      <c r="Q214" s="200">
        <f t="shared" si="195"/>
        <v>44843.973301477017</v>
      </c>
      <c r="R214" s="200">
        <f t="shared" si="196"/>
        <v>44843.973301477017</v>
      </c>
      <c r="S214" s="133">
        <f t="shared" si="228"/>
        <v>45837.460577131482</v>
      </c>
      <c r="T214" s="133">
        <f t="shared" si="229"/>
        <v>45837.460577131482</v>
      </c>
      <c r="U214" s="133">
        <f t="shared" si="230"/>
        <v>45837.460577131482</v>
      </c>
      <c r="V214" s="200">
        <f t="shared" si="200"/>
        <v>44843.973301477017</v>
      </c>
      <c r="W214" s="200">
        <f t="shared" si="201"/>
        <v>44843.973301477017</v>
      </c>
      <c r="X214" s="200">
        <f t="shared" si="202"/>
        <v>44843.973301477017</v>
      </c>
      <c r="Y214" s="65">
        <v>643.9973662031681</v>
      </c>
      <c r="Z214" s="65">
        <v>1083.2317521707273</v>
      </c>
      <c r="AA214" s="65">
        <v>153.26296714573817</v>
      </c>
      <c r="AB214" s="200">
        <f t="shared" si="218"/>
        <v>45927.205053647747</v>
      </c>
      <c r="AC214" s="200">
        <f t="shared" si="219"/>
        <v>45927.205053647747</v>
      </c>
      <c r="AD214" s="200">
        <f t="shared" si="220"/>
        <v>45927.205053647747</v>
      </c>
      <c r="AE214" s="199">
        <f t="shared" si="175"/>
        <v>46481.457943334652</v>
      </c>
      <c r="AF214" s="199">
        <f t="shared" si="221"/>
        <v>46920.692329302212</v>
      </c>
      <c r="AG214" s="199">
        <f t="shared" si="176"/>
        <v>45990.723544277222</v>
      </c>
      <c r="AH214" s="199">
        <f t="shared" si="231"/>
        <v>46455.707936789717</v>
      </c>
      <c r="AI214" s="200">
        <f t="shared" si="222"/>
        <v>45927.205053647747</v>
      </c>
      <c r="AJ214" s="200">
        <f t="shared" si="223"/>
        <v>45927.205053647747</v>
      </c>
      <c r="AK214" s="200">
        <f t="shared" si="224"/>
        <v>45927.205053647747</v>
      </c>
      <c r="AL214" s="4"/>
      <c r="AM214" s="4"/>
      <c r="AN214" s="4"/>
      <c r="AO214" s="4"/>
      <c r="AP214" s="63"/>
      <c r="AQ214" s="18"/>
      <c r="AR214" s="10">
        <v>9920</v>
      </c>
      <c r="AS214" s="18"/>
      <c r="AT214" s="62"/>
      <c r="AU214" s="65">
        <v>87.516000000000005</v>
      </c>
      <c r="AV214" s="65">
        <v>3232.7139999999999</v>
      </c>
      <c r="AW214" s="63"/>
      <c r="AX214" s="63"/>
      <c r="AY214" s="65">
        <v>1280.8105891600001</v>
      </c>
      <c r="AZ214" s="63"/>
      <c r="BA214" s="65">
        <v>2416.2429999999999</v>
      </c>
      <c r="BB214" s="133">
        <f t="shared" si="206"/>
        <v>1032.4390000000001</v>
      </c>
      <c r="BC214" s="65">
        <v>449.53123898462314</v>
      </c>
      <c r="BD214" s="65">
        <v>17.737549502477364</v>
      </c>
      <c r="BE214" s="65">
        <v>0</v>
      </c>
      <c r="BF214" s="65">
        <v>213.19694193955203</v>
      </c>
      <c r="BG214" s="65">
        <v>0</v>
      </c>
      <c r="BH214" s="65">
        <v>44.202923232317495</v>
      </c>
      <c r="BI214" s="65">
        <v>1140.4601857510293</v>
      </c>
      <c r="BJ214" s="65">
        <v>0</v>
      </c>
      <c r="BK214" s="65">
        <v>19.397174608663349</v>
      </c>
      <c r="BL214" s="65">
        <v>0</v>
      </c>
      <c r="BM214" s="65">
        <v>0</v>
      </c>
      <c r="BN214" s="65">
        <v>33.291643770364956</v>
      </c>
      <c r="BO214" s="65">
        <v>212.18019192</v>
      </c>
      <c r="BP214" s="260">
        <f t="shared" si="225"/>
        <v>992</v>
      </c>
      <c r="BQ214" s="65">
        <v>141.90565067935401</v>
      </c>
      <c r="BR214" s="65">
        <v>185.40431318626611</v>
      </c>
      <c r="BS214" s="65">
        <v>670.87837747020558</v>
      </c>
      <c r="BT214" s="65">
        <v>224.86300991614661</v>
      </c>
      <c r="BU214" s="65">
        <v>261.31145242538162</v>
      </c>
      <c r="BV214" s="144">
        <f t="shared" si="215"/>
        <v>735.14184391245624</v>
      </c>
      <c r="BW214" s="144">
        <f t="shared" si="216"/>
        <v>1582.9951326146156</v>
      </c>
      <c r="BX214" s="144">
        <f t="shared" si="217"/>
        <v>8.6633777094972153</v>
      </c>
      <c r="BY214" s="5"/>
      <c r="BZ214" s="66">
        <v>7244.25</v>
      </c>
      <c r="CA214" s="65">
        <v>5671.7999999999993</v>
      </c>
      <c r="CB214" s="5"/>
      <c r="CC214" s="5"/>
      <c r="CD214" s="188">
        <v>13.157281760074044</v>
      </c>
      <c r="CE214" s="5"/>
      <c r="CF214" s="133">
        <f t="shared" si="232"/>
        <v>1476.3333333333333</v>
      </c>
      <c r="CG214" s="133">
        <f t="shared" si="208"/>
        <v>5605</v>
      </c>
      <c r="CH214" s="70"/>
      <c r="CI214" s="70"/>
      <c r="CJ214" s="133">
        <f t="shared" si="193"/>
        <v>3097.317</v>
      </c>
      <c r="CK214" s="8">
        <f t="shared" si="172"/>
        <v>44913.424211876365</v>
      </c>
      <c r="CL214" s="202">
        <f t="shared" si="152"/>
        <v>1013.7808417713823</v>
      </c>
      <c r="CM214" s="202">
        <f t="shared" si="153"/>
        <v>1013.7808417713823</v>
      </c>
      <c r="CN214" s="202">
        <f t="shared" si="154"/>
        <v>1013.7808417713823</v>
      </c>
      <c r="CO214" s="9">
        <f t="shared" si="155"/>
        <v>1568.0337314582866</v>
      </c>
      <c r="CP214" s="9">
        <f t="shared" si="156"/>
        <v>2007.2681174258469</v>
      </c>
      <c r="CQ214" s="9">
        <f t="shared" si="157"/>
        <v>1077.2993324008567</v>
      </c>
      <c r="CR214" s="202">
        <f t="shared" si="158"/>
        <v>1013.7808417713823</v>
      </c>
      <c r="CS214" s="202">
        <f t="shared" si="159"/>
        <v>1013.7808417713823</v>
      </c>
      <c r="CT214" s="202">
        <f t="shared" si="160"/>
        <v>1013.7808417713823</v>
      </c>
      <c r="CU214" s="203">
        <f t="shared" si="161"/>
        <v>2.2073645469764182E-2</v>
      </c>
      <c r="CV214" s="203">
        <f t="shared" si="162"/>
        <v>2.2073645469764182E-2</v>
      </c>
      <c r="CW214" s="203">
        <f t="shared" si="163"/>
        <v>2.2073645469764182E-2</v>
      </c>
      <c r="CX214" s="19">
        <f t="shared" si="164"/>
        <v>3.373460732169524E-2</v>
      </c>
      <c r="CY214" s="19">
        <f t="shared" si="165"/>
        <v>4.2780019172315102E-2</v>
      </c>
      <c r="CZ214" s="19">
        <f t="shared" si="166"/>
        <v>2.3424274492304841E-2</v>
      </c>
      <c r="DA214" s="203">
        <f t="shared" si="167"/>
        <v>2.2073645469764182E-2</v>
      </c>
      <c r="DB214" s="203">
        <f t="shared" si="168"/>
        <v>2.2073645469764182E-2</v>
      </c>
      <c r="DC214" s="203">
        <f t="shared" si="169"/>
        <v>2.2073645469764182E-2</v>
      </c>
      <c r="DD214" s="65"/>
      <c r="DE214" s="66"/>
      <c r="DF214" s="66"/>
      <c r="DG214" s="66"/>
      <c r="DH214" s="66"/>
      <c r="DI214" s="66"/>
      <c r="DJ214" s="65"/>
      <c r="DK214" s="66"/>
      <c r="DL214" s="66"/>
      <c r="DM214" s="8">
        <f t="shared" si="170"/>
        <v>0</v>
      </c>
      <c r="DN214" s="8">
        <f t="shared" si="171"/>
        <v>44913.424211876365</v>
      </c>
      <c r="DO214" s="202">
        <f t="shared" si="177"/>
        <v>1013.7808417713823</v>
      </c>
      <c r="DP214" s="202">
        <f t="shared" si="178"/>
        <v>1013.7808417713823</v>
      </c>
      <c r="DQ214" s="202">
        <f t="shared" si="179"/>
        <v>1013.7808417713823</v>
      </c>
      <c r="DR214" s="9">
        <f t="shared" si="180"/>
        <v>1568.0337314582866</v>
      </c>
      <c r="DS214" s="9">
        <f t="shared" si="173"/>
        <v>2007.2681174258469</v>
      </c>
      <c r="DT214" s="9">
        <f t="shared" si="181"/>
        <v>1077.2993324008567</v>
      </c>
      <c r="DU214" s="202">
        <f t="shared" si="182"/>
        <v>1013.7808417713823</v>
      </c>
      <c r="DV214" s="202">
        <f t="shared" si="183"/>
        <v>1013.7808417713823</v>
      </c>
      <c r="DW214" s="202">
        <f t="shared" si="184"/>
        <v>1013.7808417713823</v>
      </c>
      <c r="DX214" s="203">
        <f t="shared" si="185"/>
        <v>2.2073645469764182E-2</v>
      </c>
      <c r="DY214" s="203">
        <f t="shared" si="186"/>
        <v>2.2073645469764182E-2</v>
      </c>
      <c r="DZ214" s="203">
        <f t="shared" si="187"/>
        <v>2.2073645469764182E-2</v>
      </c>
      <c r="EA214" s="19">
        <f t="shared" si="188"/>
        <v>3.373460732169524E-2</v>
      </c>
      <c r="EB214" s="19">
        <f t="shared" si="174"/>
        <v>4.2780019172315102E-2</v>
      </c>
      <c r="EC214" s="19">
        <f t="shared" si="189"/>
        <v>2.3424274492304841E-2</v>
      </c>
      <c r="ED214" s="203">
        <f t="shared" si="190"/>
        <v>2.2073645469764182E-2</v>
      </c>
      <c r="EE214" s="203">
        <f t="shared" si="191"/>
        <v>2.2073645469764182E-2</v>
      </c>
      <c r="EF214" s="203">
        <f t="shared" si="192"/>
        <v>2.2073645469764182E-2</v>
      </c>
      <c r="EH214" s="58">
        <f t="shared" si="209"/>
        <v>33181.669810930944</v>
      </c>
      <c r="EI214" s="68">
        <f t="shared" si="210"/>
        <v>0.70718627888209618</v>
      </c>
      <c r="EJ214" s="58">
        <f t="shared" si="211"/>
        <v>31035.878144264276</v>
      </c>
      <c r="EK214" s="68">
        <f t="shared" si="210"/>
        <v>0.66145396846333859</v>
      </c>
      <c r="EL214" s="58">
        <f t="shared" si="212"/>
        <v>4984.1588440614451</v>
      </c>
      <c r="EM214" s="58">
        <f t="shared" si="213"/>
        <v>4992.8222217709426</v>
      </c>
      <c r="EN214" s="68">
        <f t="shared" si="214"/>
        <v>0.10640981566789243</v>
      </c>
      <c r="EO214" s="139">
        <f t="shared" si="147"/>
        <v>0.32861286969700848</v>
      </c>
      <c r="EP214">
        <f>+(SUM(M214:O214)*EO214*(1-'[1]Tier 3 Data'!$A$2))</f>
        <v>1019.1246190418705</v>
      </c>
    </row>
    <row r="215" spans="1:146" x14ac:dyDescent="0.2">
      <c r="A215" s="43">
        <v>0</v>
      </c>
      <c r="B215" s="43">
        <v>0</v>
      </c>
      <c r="C215" s="43">
        <v>0</v>
      </c>
      <c r="D215" s="70">
        <v>2025</v>
      </c>
      <c r="E215" s="70">
        <v>4</v>
      </c>
      <c r="F215" s="2">
        <v>720</v>
      </c>
      <c r="G215" s="133">
        <f t="shared" si="226"/>
        <v>38605.784185934368</v>
      </c>
      <c r="H215" s="65">
        <v>38605.784185934368</v>
      </c>
      <c r="I215" s="133">
        <f t="shared" si="227"/>
        <v>38605.784185934368</v>
      </c>
      <c r="J215" s="133">
        <f t="shared" si="203"/>
        <v>153.49749999999997</v>
      </c>
      <c r="K215" s="65">
        <v>153.49749999999997</v>
      </c>
      <c r="L215" s="133">
        <f t="shared" si="204"/>
        <v>153.49749999999997</v>
      </c>
      <c r="M215" s="65">
        <v>1418.2286880453187</v>
      </c>
      <c r="N215" s="65">
        <v>3053.8992287010965</v>
      </c>
      <c r="O215" s="65">
        <v>25.399861500053454</v>
      </c>
      <c r="P215" s="200">
        <f t="shared" si="194"/>
        <v>37103.028352460431</v>
      </c>
      <c r="Q215" s="200">
        <f t="shared" si="195"/>
        <v>37103.028352460431</v>
      </c>
      <c r="R215" s="200">
        <f t="shared" si="196"/>
        <v>37103.028352460431</v>
      </c>
      <c r="S215" s="133">
        <f t="shared" si="228"/>
        <v>38444.666727484357</v>
      </c>
      <c r="T215" s="133">
        <f t="shared" si="229"/>
        <v>38444.666727484357</v>
      </c>
      <c r="U215" s="133">
        <f t="shared" si="230"/>
        <v>38444.666727484357</v>
      </c>
      <c r="V215" s="200">
        <f t="shared" si="200"/>
        <v>37103.028352460431</v>
      </c>
      <c r="W215" s="200">
        <f t="shared" si="201"/>
        <v>37103.028352460431</v>
      </c>
      <c r="X215" s="200">
        <f t="shared" si="202"/>
        <v>37103.028352460431</v>
      </c>
      <c r="Y215" s="65">
        <v>703.46722061217906</v>
      </c>
      <c r="Z215" s="65">
        <v>1052.7714144271285</v>
      </c>
      <c r="AA215" s="65">
        <v>153.75534517685378</v>
      </c>
      <c r="AB215" s="200">
        <f t="shared" si="218"/>
        <v>38155.799766887561</v>
      </c>
      <c r="AC215" s="200">
        <f t="shared" si="219"/>
        <v>38155.799766887561</v>
      </c>
      <c r="AD215" s="200">
        <f t="shared" si="220"/>
        <v>38155.799766887561</v>
      </c>
      <c r="AE215" s="199">
        <f t="shared" si="175"/>
        <v>39148.133948096533</v>
      </c>
      <c r="AF215" s="199">
        <f t="shared" si="221"/>
        <v>39497.438141911487</v>
      </c>
      <c r="AG215" s="199">
        <f t="shared" si="176"/>
        <v>38598.422072661211</v>
      </c>
      <c r="AH215" s="199">
        <f t="shared" si="231"/>
        <v>39047.930107286345</v>
      </c>
      <c r="AI215" s="200">
        <f t="shared" si="222"/>
        <v>38155.799766887561</v>
      </c>
      <c r="AJ215" s="200">
        <f t="shared" si="223"/>
        <v>38155.799766887561</v>
      </c>
      <c r="AK215" s="200">
        <f t="shared" si="224"/>
        <v>38155.799766887561</v>
      </c>
      <c r="AL215" s="4"/>
      <c r="AM215" s="4"/>
      <c r="AN215" s="4"/>
      <c r="AO215" s="4"/>
      <c r="AP215" s="63"/>
      <c r="AQ215" s="18"/>
      <c r="AR215" s="10">
        <v>9600</v>
      </c>
      <c r="AS215" s="18"/>
      <c r="AT215" s="62"/>
      <c r="AU215" s="65">
        <v>96.057000000000002</v>
      </c>
      <c r="AV215" s="65">
        <v>3017.9659999999999</v>
      </c>
      <c r="AW215" s="63"/>
      <c r="AX215" s="63"/>
      <c r="AY215" s="65">
        <v>1122.6138126000001</v>
      </c>
      <c r="AZ215" s="63"/>
      <c r="BA215" s="65">
        <v>1366.578</v>
      </c>
      <c r="BB215" s="133">
        <f t="shared" si="206"/>
        <v>720.45</v>
      </c>
      <c r="BC215" s="65">
        <v>567.6650303146555</v>
      </c>
      <c r="BD215" s="65">
        <v>15.751376692709027</v>
      </c>
      <c r="BE215" s="65">
        <v>0</v>
      </c>
      <c r="BF215" s="65">
        <v>201.0078173079965</v>
      </c>
      <c r="BG215" s="65">
        <v>0</v>
      </c>
      <c r="BH215" s="65">
        <v>138.923473015855</v>
      </c>
      <c r="BI215" s="65">
        <v>1440.1654652062136</v>
      </c>
      <c r="BJ215" s="65">
        <v>0</v>
      </c>
      <c r="BK215" s="65">
        <v>19.984033847071771</v>
      </c>
      <c r="BL215" s="65">
        <v>0</v>
      </c>
      <c r="BM215" s="65">
        <v>0</v>
      </c>
      <c r="BN215" s="65">
        <v>104.630880421147</v>
      </c>
      <c r="BO215" s="65">
        <v>205.33566960000002</v>
      </c>
      <c r="BP215" s="260">
        <f t="shared" si="225"/>
        <v>960</v>
      </c>
      <c r="BQ215" s="65">
        <v>151.53626820296404</v>
      </c>
      <c r="BR215" s="65">
        <v>197.98706723207673</v>
      </c>
      <c r="BS215" s="65">
        <v>716.40858767060615</v>
      </c>
      <c r="BT215" s="65">
        <v>248.98772712587461</v>
      </c>
      <c r="BU215" s="65">
        <v>267.35570876051929</v>
      </c>
      <c r="BV215" s="144">
        <f t="shared" si="215"/>
        <v>992.76008163172298</v>
      </c>
      <c r="BW215" s="144">
        <f t="shared" si="216"/>
        <v>2137.7294600907676</v>
      </c>
      <c r="BX215" s="144">
        <f t="shared" si="217"/>
        <v>17.779903050037415</v>
      </c>
      <c r="BY215" s="5"/>
      <c r="BZ215" s="66">
        <v>7020</v>
      </c>
      <c r="CA215" s="65">
        <v>2966.4</v>
      </c>
      <c r="CB215" s="5"/>
      <c r="CC215" s="5"/>
      <c r="CD215" s="188">
        <v>2.3725527527096357</v>
      </c>
      <c r="CE215" s="5"/>
      <c r="CF215" s="133">
        <f t="shared" si="232"/>
        <v>2495.3333333333335</v>
      </c>
      <c r="CG215" s="133">
        <f t="shared" si="208"/>
        <v>4108</v>
      </c>
      <c r="CH215" s="70"/>
      <c r="CI215" s="70"/>
      <c r="CJ215" s="133">
        <f t="shared" si="193"/>
        <v>2161.3500000000004</v>
      </c>
      <c r="CK215" s="8">
        <f t="shared" si="172"/>
        <v>40899.779248856263</v>
      </c>
      <c r="CL215" s="202">
        <f t="shared" si="152"/>
        <v>-2743.9794819687013</v>
      </c>
      <c r="CM215" s="202">
        <f t="shared" si="153"/>
        <v>-2743.9794819687013</v>
      </c>
      <c r="CN215" s="202">
        <f t="shared" si="154"/>
        <v>-2743.9794819687013</v>
      </c>
      <c r="CO215" s="9">
        <f t="shared" si="155"/>
        <v>-1751.6453007597302</v>
      </c>
      <c r="CP215" s="9">
        <f t="shared" si="156"/>
        <v>-1402.3411069447757</v>
      </c>
      <c r="CQ215" s="9">
        <f t="shared" si="157"/>
        <v>-2301.3571761950516</v>
      </c>
      <c r="CR215" s="202">
        <f t="shared" si="158"/>
        <v>-2743.9794819687013</v>
      </c>
      <c r="CS215" s="202">
        <f t="shared" si="159"/>
        <v>-2743.9794819687013</v>
      </c>
      <c r="CT215" s="202">
        <f t="shared" si="160"/>
        <v>-2743.9794819687013</v>
      </c>
      <c r="CU215" s="203">
        <f t="shared" si="161"/>
        <v>-7.1915134756262836E-2</v>
      </c>
      <c r="CV215" s="203">
        <f t="shared" si="162"/>
        <v>-7.1915134756262836E-2</v>
      </c>
      <c r="CW215" s="203">
        <f t="shared" si="163"/>
        <v>-7.1915134756262836E-2</v>
      </c>
      <c r="CX215" s="19">
        <f t="shared" si="164"/>
        <v>-4.4744030534944537E-2</v>
      </c>
      <c r="CY215" s="19">
        <f t="shared" si="165"/>
        <v>-3.5504609233294161E-2</v>
      </c>
      <c r="CZ215" s="19">
        <f t="shared" si="166"/>
        <v>-5.9623089562126808E-2</v>
      </c>
      <c r="DA215" s="203">
        <f t="shared" si="167"/>
        <v>-7.1915134756262836E-2</v>
      </c>
      <c r="DB215" s="203">
        <f t="shared" si="168"/>
        <v>-7.1915134756262836E-2</v>
      </c>
      <c r="DC215" s="203">
        <f t="shared" si="169"/>
        <v>-7.1915134756262836E-2</v>
      </c>
      <c r="DD215" s="65"/>
      <c r="DE215" s="66"/>
      <c r="DF215" s="66"/>
      <c r="DG215" s="66"/>
      <c r="DH215" s="66"/>
      <c r="DI215" s="66"/>
      <c r="DJ215" s="65"/>
      <c r="DK215" s="66"/>
      <c r="DL215" s="66"/>
      <c r="DM215" s="8">
        <f t="shared" si="170"/>
        <v>0</v>
      </c>
      <c r="DN215" s="8">
        <f t="shared" si="171"/>
        <v>40899.779248856263</v>
      </c>
      <c r="DO215" s="202">
        <f t="shared" si="177"/>
        <v>-2743.9794819687013</v>
      </c>
      <c r="DP215" s="202">
        <f t="shared" si="178"/>
        <v>-2743.9794819687013</v>
      </c>
      <c r="DQ215" s="202">
        <f t="shared" si="179"/>
        <v>-2743.9794819687013</v>
      </c>
      <c r="DR215" s="9">
        <f t="shared" si="180"/>
        <v>-1751.6453007597302</v>
      </c>
      <c r="DS215" s="9">
        <f t="shared" si="173"/>
        <v>-1402.3411069447757</v>
      </c>
      <c r="DT215" s="9">
        <f t="shared" si="181"/>
        <v>-2301.3571761950516</v>
      </c>
      <c r="DU215" s="202">
        <f t="shared" si="182"/>
        <v>-2743.9794819687013</v>
      </c>
      <c r="DV215" s="202">
        <f t="shared" si="183"/>
        <v>-2743.9794819687013</v>
      </c>
      <c r="DW215" s="202">
        <f t="shared" si="184"/>
        <v>-2743.9794819687013</v>
      </c>
      <c r="DX215" s="203">
        <f t="shared" si="185"/>
        <v>-7.1915134756262836E-2</v>
      </c>
      <c r="DY215" s="203">
        <f t="shared" si="186"/>
        <v>-7.1915134756262836E-2</v>
      </c>
      <c r="DZ215" s="203">
        <f t="shared" si="187"/>
        <v>-7.1915134756262836E-2</v>
      </c>
      <c r="EA215" s="19">
        <f t="shared" si="188"/>
        <v>-4.4744030534944537E-2</v>
      </c>
      <c r="EB215" s="19">
        <f t="shared" si="174"/>
        <v>-3.5504609233294161E-2</v>
      </c>
      <c r="EC215" s="19">
        <f t="shared" si="189"/>
        <v>-5.9623089562126808E-2</v>
      </c>
      <c r="ED215" s="203">
        <f t="shared" si="190"/>
        <v>-7.1915134756262836E-2</v>
      </c>
      <c r="EE215" s="203">
        <f t="shared" si="191"/>
        <v>-7.1915134756262836E-2</v>
      </c>
      <c r="EF215" s="203">
        <f t="shared" si="192"/>
        <v>-7.1915134756262836E-2</v>
      </c>
      <c r="EH215" s="58">
        <f t="shared" si="209"/>
        <v>30731.905463830491</v>
      </c>
      <c r="EI215" s="68">
        <f t="shared" si="210"/>
        <v>0.77807338677037585</v>
      </c>
      <c r="EJ215" s="58">
        <f t="shared" si="211"/>
        <v>29717.238797163824</v>
      </c>
      <c r="EK215" s="68">
        <f t="shared" si="210"/>
        <v>0.75238395691365845</v>
      </c>
      <c r="EL215" s="58">
        <f t="shared" si="212"/>
        <v>6212.4607481804615</v>
      </c>
      <c r="EM215" s="58">
        <f t="shared" si="213"/>
        <v>6230.2406512304988</v>
      </c>
      <c r="EN215" s="68">
        <f t="shared" si="214"/>
        <v>0.15773784185307632</v>
      </c>
      <c r="EO215" s="139">
        <f t="shared" si="147"/>
        <v>0.35351678044029999</v>
      </c>
      <c r="EP215">
        <f>+(SUM(M215:O215)*EO215*(1-'[1]Tier 3 Data'!$A$2))</f>
        <v>1483.4247869193714</v>
      </c>
    </row>
    <row r="216" spans="1:146" x14ac:dyDescent="0.2">
      <c r="A216" s="43">
        <v>0</v>
      </c>
      <c r="B216" s="43">
        <v>0</v>
      </c>
      <c r="C216" s="43">
        <v>0</v>
      </c>
      <c r="D216" s="70">
        <v>2025</v>
      </c>
      <c r="E216" s="70">
        <v>5</v>
      </c>
      <c r="F216" s="2">
        <v>744</v>
      </c>
      <c r="G216" s="133">
        <f t="shared" si="226"/>
        <v>36803.926796859472</v>
      </c>
      <c r="H216" s="65">
        <v>36803.926796859472</v>
      </c>
      <c r="I216" s="133">
        <f t="shared" si="227"/>
        <v>36803.926796859472</v>
      </c>
      <c r="J216" s="133">
        <f t="shared" si="203"/>
        <v>191.87187499999996</v>
      </c>
      <c r="K216" s="65">
        <v>191.87187499999996</v>
      </c>
      <c r="L216" s="133">
        <f t="shared" si="204"/>
        <v>191.87187499999996</v>
      </c>
      <c r="M216" s="65">
        <v>1750.7817988213781</v>
      </c>
      <c r="N216" s="65">
        <v>3769.9922657844818</v>
      </c>
      <c r="O216" s="65">
        <v>43.201531879073144</v>
      </c>
      <c r="P216" s="200">
        <f t="shared" si="194"/>
        <v>34942.862242913994</v>
      </c>
      <c r="Q216" s="200">
        <f t="shared" si="195"/>
        <v>34942.862242913994</v>
      </c>
      <c r="R216" s="200">
        <f t="shared" si="196"/>
        <v>34942.862242913994</v>
      </c>
      <c r="S216" s="133">
        <f t="shared" si="228"/>
        <v>36599.094462295754</v>
      </c>
      <c r="T216" s="133">
        <f t="shared" si="229"/>
        <v>36599.094462295754</v>
      </c>
      <c r="U216" s="133">
        <f t="shared" si="230"/>
        <v>36599.094462295754</v>
      </c>
      <c r="V216" s="200">
        <f t="shared" si="200"/>
        <v>34942.862242913994</v>
      </c>
      <c r="W216" s="200">
        <f t="shared" si="201"/>
        <v>34942.862242913994</v>
      </c>
      <c r="X216" s="200">
        <f t="shared" si="202"/>
        <v>34942.862242913994</v>
      </c>
      <c r="Y216" s="65">
        <v>680.96768226157246</v>
      </c>
      <c r="Z216" s="65">
        <v>893.68403509451525</v>
      </c>
      <c r="AA216" s="65">
        <v>137.20348717534114</v>
      </c>
      <c r="AB216" s="200">
        <f t="shared" si="218"/>
        <v>35836.546278008507</v>
      </c>
      <c r="AC216" s="200">
        <f t="shared" si="219"/>
        <v>35836.546278008507</v>
      </c>
      <c r="AD216" s="200">
        <f t="shared" si="220"/>
        <v>35836.546278008507</v>
      </c>
      <c r="AE216" s="199">
        <f t="shared" si="175"/>
        <v>37280.062144557327</v>
      </c>
      <c r="AF216" s="199">
        <f t="shared" si="221"/>
        <v>37492.778497390267</v>
      </c>
      <c r="AG216" s="199">
        <f t="shared" si="176"/>
        <v>36736.297949471096</v>
      </c>
      <c r="AH216" s="199">
        <f t="shared" si="231"/>
        <v>37114.538223430682</v>
      </c>
      <c r="AI216" s="200">
        <f t="shared" si="222"/>
        <v>35836.546278008507</v>
      </c>
      <c r="AJ216" s="200">
        <f t="shared" si="223"/>
        <v>35836.546278008507</v>
      </c>
      <c r="AK216" s="200">
        <f t="shared" si="224"/>
        <v>35836.546278008507</v>
      </c>
      <c r="AL216" s="4"/>
      <c r="AM216" s="4"/>
      <c r="AN216" s="4"/>
      <c r="AO216" s="4"/>
      <c r="AP216" s="63"/>
      <c r="AQ216" s="18"/>
      <c r="AR216" s="10">
        <v>9920</v>
      </c>
      <c r="AS216" s="18"/>
      <c r="AT216" s="62"/>
      <c r="AU216" s="65">
        <v>109.161</v>
      </c>
      <c r="AV216" s="65">
        <v>3327.41</v>
      </c>
      <c r="AW216" s="63"/>
      <c r="AX216" s="63"/>
      <c r="AY216" s="65">
        <v>837.33634925714296</v>
      </c>
      <c r="AZ216" s="63"/>
      <c r="BA216" s="65">
        <v>1570</v>
      </c>
      <c r="BB216" s="133">
        <f t="shared" si="206"/>
        <v>514.33500000000004</v>
      </c>
      <c r="BC216" s="65">
        <v>570.10748354622444</v>
      </c>
      <c r="BD216" s="65">
        <v>12.098699446784533</v>
      </c>
      <c r="BE216" s="65">
        <v>0</v>
      </c>
      <c r="BF216" s="65">
        <v>204.79596502442698</v>
      </c>
      <c r="BG216" s="65">
        <v>0</v>
      </c>
      <c r="BH216" s="65">
        <v>88.40584646463499</v>
      </c>
      <c r="BI216" s="65">
        <v>1446.3619659709991</v>
      </c>
      <c r="BJ216" s="65">
        <v>0</v>
      </c>
      <c r="BK216" s="65">
        <v>12.751667915526451</v>
      </c>
      <c r="BL216" s="65">
        <v>0</v>
      </c>
      <c r="BM216" s="65">
        <v>0</v>
      </c>
      <c r="BN216" s="65">
        <v>66.583287540729913</v>
      </c>
      <c r="BO216" s="65">
        <v>212.18019192</v>
      </c>
      <c r="BP216" s="260">
        <f t="shared" si="225"/>
        <v>992</v>
      </c>
      <c r="BQ216" s="65">
        <v>174.51693144418803</v>
      </c>
      <c r="BR216" s="65">
        <v>228.0120274564232</v>
      </c>
      <c r="BS216" s="65">
        <v>825.05275328543314</v>
      </c>
      <c r="BT216" s="65">
        <v>257.32702740409735</v>
      </c>
      <c r="BU216" s="65">
        <v>305.74830482887177</v>
      </c>
      <c r="BV216" s="144">
        <f t="shared" si="215"/>
        <v>1225.5472591749647</v>
      </c>
      <c r="BW216" s="144">
        <f t="shared" si="216"/>
        <v>2638.9945860491371</v>
      </c>
      <c r="BX216" s="144">
        <f t="shared" si="217"/>
        <v>30.2410723153512</v>
      </c>
      <c r="BY216" s="5"/>
      <c r="BZ216" s="66">
        <v>7254</v>
      </c>
      <c r="CA216" s="65">
        <v>2480</v>
      </c>
      <c r="CB216" s="5"/>
      <c r="CC216" s="5"/>
      <c r="CD216" s="188">
        <v>1.4538432884059718E-2</v>
      </c>
      <c r="CE216" s="5"/>
      <c r="CF216" s="133">
        <f t="shared" si="232"/>
        <v>1762.6666666666667</v>
      </c>
      <c r="CG216" s="133">
        <f t="shared" si="208"/>
        <v>2070</v>
      </c>
      <c r="CH216" s="70"/>
      <c r="CI216" s="70"/>
      <c r="CJ216" s="133">
        <f t="shared" si="193"/>
        <v>1543.0050000000001</v>
      </c>
      <c r="CK216" s="8">
        <f t="shared" si="172"/>
        <v>39135.64862414448</v>
      </c>
      <c r="CL216" s="202">
        <f t="shared" si="152"/>
        <v>-3299.1023461359728</v>
      </c>
      <c r="CM216" s="202">
        <f t="shared" si="153"/>
        <v>-3299.1023461359728</v>
      </c>
      <c r="CN216" s="202">
        <f t="shared" si="154"/>
        <v>-3299.1023461359728</v>
      </c>
      <c r="CO216" s="9">
        <f t="shared" si="155"/>
        <v>-1855.586479587153</v>
      </c>
      <c r="CP216" s="9">
        <f t="shared" si="156"/>
        <v>-1642.8701267542128</v>
      </c>
      <c r="CQ216" s="9">
        <f t="shared" si="157"/>
        <v>-2399.3506746733838</v>
      </c>
      <c r="CR216" s="202">
        <f t="shared" si="158"/>
        <v>-3299.1023461359728</v>
      </c>
      <c r="CS216" s="202">
        <f t="shared" si="159"/>
        <v>-3299.1023461359728</v>
      </c>
      <c r="CT216" s="202">
        <f t="shared" si="160"/>
        <v>-3299.1023461359728</v>
      </c>
      <c r="CU216" s="203">
        <f t="shared" si="161"/>
        <v>-9.2059718047118377E-2</v>
      </c>
      <c r="CV216" s="203">
        <f t="shared" si="162"/>
        <v>-9.2059718047118377E-2</v>
      </c>
      <c r="CW216" s="203">
        <f t="shared" si="163"/>
        <v>-9.2059718047118377E-2</v>
      </c>
      <c r="CX216" s="19">
        <f t="shared" si="164"/>
        <v>-4.9774232467529773E-2</v>
      </c>
      <c r="CY216" s="19">
        <f t="shared" si="165"/>
        <v>-4.3818308287516407E-2</v>
      </c>
      <c r="CZ216" s="19">
        <f t="shared" si="166"/>
        <v>-6.5312805279769029E-2</v>
      </c>
      <c r="DA216" s="203">
        <f t="shared" si="167"/>
        <v>-9.2059718047118377E-2</v>
      </c>
      <c r="DB216" s="203">
        <f t="shared" si="168"/>
        <v>-9.2059718047118377E-2</v>
      </c>
      <c r="DC216" s="203">
        <f t="shared" si="169"/>
        <v>-9.2059718047118377E-2</v>
      </c>
      <c r="DD216" s="65"/>
      <c r="DE216" s="66"/>
      <c r="DF216" s="66"/>
      <c r="DG216" s="66"/>
      <c r="DH216" s="66"/>
      <c r="DI216" s="66"/>
      <c r="DJ216" s="65"/>
      <c r="DK216" s="66"/>
      <c r="DL216" s="66"/>
      <c r="DM216" s="8">
        <f t="shared" si="170"/>
        <v>0</v>
      </c>
      <c r="DN216" s="8">
        <f t="shared" si="171"/>
        <v>39135.64862414448</v>
      </c>
      <c r="DO216" s="202">
        <f t="shared" si="177"/>
        <v>-3299.1023461359728</v>
      </c>
      <c r="DP216" s="202">
        <f t="shared" si="178"/>
        <v>-3299.1023461359728</v>
      </c>
      <c r="DQ216" s="202">
        <f t="shared" si="179"/>
        <v>-3299.1023461359728</v>
      </c>
      <c r="DR216" s="9">
        <f t="shared" si="180"/>
        <v>-1855.586479587153</v>
      </c>
      <c r="DS216" s="9">
        <f t="shared" si="173"/>
        <v>-1642.8701267542128</v>
      </c>
      <c r="DT216" s="9">
        <f t="shared" si="181"/>
        <v>-2399.3506746733838</v>
      </c>
      <c r="DU216" s="202">
        <f t="shared" si="182"/>
        <v>-3299.1023461359728</v>
      </c>
      <c r="DV216" s="202">
        <f t="shared" si="183"/>
        <v>-3299.1023461359728</v>
      </c>
      <c r="DW216" s="202">
        <f t="shared" si="184"/>
        <v>-3299.1023461359728</v>
      </c>
      <c r="DX216" s="203">
        <f t="shared" si="185"/>
        <v>-9.2059718047118377E-2</v>
      </c>
      <c r="DY216" s="203">
        <f t="shared" si="186"/>
        <v>-9.2059718047118377E-2</v>
      </c>
      <c r="DZ216" s="203">
        <f t="shared" si="187"/>
        <v>-9.2059718047118377E-2</v>
      </c>
      <c r="EA216" s="19">
        <f t="shared" si="188"/>
        <v>-4.9774232467529773E-2</v>
      </c>
      <c r="EB216" s="19">
        <f t="shared" si="174"/>
        <v>-4.3818308287516407E-2</v>
      </c>
      <c r="EC216" s="19">
        <f t="shared" si="189"/>
        <v>-6.5312805279769029E-2</v>
      </c>
      <c r="ED216" s="203">
        <f t="shared" si="190"/>
        <v>-9.2059718047118377E-2</v>
      </c>
      <c r="EE216" s="203">
        <f t="shared" si="191"/>
        <v>-9.2059718047118377E-2</v>
      </c>
      <c r="EF216" s="203">
        <f t="shared" si="192"/>
        <v>-9.2059718047118377E-2</v>
      </c>
      <c r="EH216" s="58">
        <f t="shared" si="209"/>
        <v>29835.624194845539</v>
      </c>
      <c r="EI216" s="68">
        <f t="shared" si="210"/>
        <v>0.7957698893114119</v>
      </c>
      <c r="EJ216" s="58">
        <f t="shared" si="211"/>
        <v>27971.290861512211</v>
      </c>
      <c r="EK216" s="68">
        <f t="shared" si="210"/>
        <v>0.74604475801811243</v>
      </c>
      <c r="EL216" s="58">
        <f t="shared" si="212"/>
        <v>6838.1407732730504</v>
      </c>
      <c r="EM216" s="58">
        <f t="shared" si="213"/>
        <v>6868.381845588402</v>
      </c>
      <c r="EN216" s="68">
        <f t="shared" si="214"/>
        <v>0.18319212714700472</v>
      </c>
      <c r="EO216" s="139">
        <f t="shared" si="147"/>
        <v>0.28868615856523006</v>
      </c>
      <c r="EP216">
        <f>+(SUM(M216:O216)*EO216*(1-'[1]Tier 3 Data'!$A$2))</f>
        <v>1498.6244776328251</v>
      </c>
    </row>
    <row r="217" spans="1:146" x14ac:dyDescent="0.2">
      <c r="A217" s="43">
        <v>0</v>
      </c>
      <c r="B217" s="43">
        <v>0</v>
      </c>
      <c r="C217" s="43">
        <v>0</v>
      </c>
      <c r="D217" s="70">
        <v>2025</v>
      </c>
      <c r="E217" s="70">
        <v>6</v>
      </c>
      <c r="F217" s="2">
        <v>720</v>
      </c>
      <c r="G217" s="133">
        <f t="shared" si="226"/>
        <v>39126.973148653538</v>
      </c>
      <c r="H217" s="65">
        <v>39126.973148653538</v>
      </c>
      <c r="I217" s="133">
        <f t="shared" si="227"/>
        <v>39126.973148653538</v>
      </c>
      <c r="J217" s="133">
        <f t="shared" si="203"/>
        <v>230.24624999999995</v>
      </c>
      <c r="K217" s="65">
        <v>230.24624999999995</v>
      </c>
      <c r="L217" s="133">
        <f t="shared" si="204"/>
        <v>230.24624999999995</v>
      </c>
      <c r="M217" s="65">
        <v>1630.7561929849653</v>
      </c>
      <c r="N217" s="65">
        <v>3511.538810303055</v>
      </c>
      <c r="O217" s="65">
        <v>61.964323429003585</v>
      </c>
      <c r="P217" s="200">
        <f t="shared" si="194"/>
        <v>37335.449100638434</v>
      </c>
      <c r="Q217" s="200">
        <f t="shared" si="195"/>
        <v>37335.449100638434</v>
      </c>
      <c r="R217" s="200">
        <f t="shared" si="196"/>
        <v>37335.449100638434</v>
      </c>
      <c r="S217" s="133">
        <f t="shared" si="228"/>
        <v>38878.13760162484</v>
      </c>
      <c r="T217" s="133">
        <f t="shared" si="229"/>
        <v>38878.13760162484</v>
      </c>
      <c r="U217" s="133">
        <f t="shared" si="230"/>
        <v>38878.13760162484</v>
      </c>
      <c r="V217" s="200">
        <f t="shared" si="200"/>
        <v>37335.449100638434</v>
      </c>
      <c r="W217" s="200">
        <f t="shared" si="201"/>
        <v>37335.449100638434</v>
      </c>
      <c r="X217" s="200">
        <f t="shared" si="202"/>
        <v>37335.449100638434</v>
      </c>
      <c r="Y217" s="65">
        <v>862.05001815376841</v>
      </c>
      <c r="Z217" s="65">
        <v>1178.5266420376859</v>
      </c>
      <c r="AA217" s="65">
        <v>189.82590908616604</v>
      </c>
      <c r="AB217" s="200">
        <f t="shared" si="218"/>
        <v>38513.975742676121</v>
      </c>
      <c r="AC217" s="200">
        <f t="shared" si="219"/>
        <v>38513.975742676121</v>
      </c>
      <c r="AD217" s="200">
        <f t="shared" si="220"/>
        <v>38513.975742676121</v>
      </c>
      <c r="AE217" s="199">
        <f t="shared" si="175"/>
        <v>39740.187619778611</v>
      </c>
      <c r="AF217" s="199">
        <f t="shared" si="221"/>
        <v>40056.664243662526</v>
      </c>
      <c r="AG217" s="199">
        <f t="shared" si="176"/>
        <v>39067.963510711008</v>
      </c>
      <c r="AH217" s="199">
        <f t="shared" si="231"/>
        <v>39562.313877186767</v>
      </c>
      <c r="AI217" s="200">
        <f t="shared" si="222"/>
        <v>38513.975742676121</v>
      </c>
      <c r="AJ217" s="200">
        <f t="shared" si="223"/>
        <v>38513.975742676121</v>
      </c>
      <c r="AK217" s="200">
        <f t="shared" si="224"/>
        <v>38513.975742676121</v>
      </c>
      <c r="AL217" s="4"/>
      <c r="AM217" s="4"/>
      <c r="AN217" s="4"/>
      <c r="AO217" s="4"/>
      <c r="AP217" s="63"/>
      <c r="AQ217" s="18"/>
      <c r="AR217" s="10">
        <v>9600</v>
      </c>
      <c r="AS217" s="18"/>
      <c r="AT217" s="62"/>
      <c r="AU217" s="65">
        <v>128.934</v>
      </c>
      <c r="AV217" s="65">
        <v>3110.2840000000001</v>
      </c>
      <c r="AW217" s="63"/>
      <c r="AX217" s="63"/>
      <c r="AY217" s="65">
        <v>1170.1048746057143</v>
      </c>
      <c r="AZ217" s="63"/>
      <c r="BA217" s="65">
        <v>2058.0909999999999</v>
      </c>
      <c r="BB217" s="133">
        <f t="shared" si="206"/>
        <v>523.84</v>
      </c>
      <c r="BC217" s="65">
        <v>605.91554170888298</v>
      </c>
      <c r="BD217" s="65">
        <v>8.3809700100652513</v>
      </c>
      <c r="BE217" s="65">
        <v>0</v>
      </c>
      <c r="BF217" s="65">
        <v>179.82494093729514</v>
      </c>
      <c r="BG217" s="65">
        <v>0</v>
      </c>
      <c r="BH217" s="65">
        <v>37.888219913415</v>
      </c>
      <c r="BI217" s="65">
        <v>1537.2069643204168</v>
      </c>
      <c r="BJ217" s="65">
        <v>0</v>
      </c>
      <c r="BK217" s="65">
        <v>11.763509963764358</v>
      </c>
      <c r="BL217" s="65">
        <v>0</v>
      </c>
      <c r="BM217" s="65">
        <v>0</v>
      </c>
      <c r="BN217" s="65">
        <v>28.535694660312817</v>
      </c>
      <c r="BO217" s="65">
        <v>205.33566960000002</v>
      </c>
      <c r="BP217" s="260">
        <f t="shared" si="225"/>
        <v>960</v>
      </c>
      <c r="BQ217" s="65">
        <v>169.67560891606252</v>
      </c>
      <c r="BR217" s="65">
        <v>221.68672343413166</v>
      </c>
      <c r="BS217" s="65">
        <v>802.1648793838084</v>
      </c>
      <c r="BT217" s="65">
        <v>269.35186701766008</v>
      </c>
      <c r="BU217" s="65">
        <v>297.75350404448079</v>
      </c>
      <c r="BV217" s="144">
        <f t="shared" si="215"/>
        <v>1141.5293350894756</v>
      </c>
      <c r="BW217" s="144">
        <f t="shared" si="216"/>
        <v>2458.0771672121382</v>
      </c>
      <c r="BX217" s="144">
        <f t="shared" si="217"/>
        <v>43.375026400302509</v>
      </c>
      <c r="BY217" s="5"/>
      <c r="BZ217" s="66">
        <v>7020</v>
      </c>
      <c r="CA217" s="65">
        <v>4214.3999999999996</v>
      </c>
      <c r="CB217" s="5"/>
      <c r="CC217" s="5"/>
      <c r="CD217" s="188">
        <v>2.1777775833862054</v>
      </c>
      <c r="CE217" s="5"/>
      <c r="CF217" s="133">
        <f t="shared" si="232"/>
        <v>680.66666666666663</v>
      </c>
      <c r="CG217" s="133">
        <f t="shared" si="208"/>
        <v>1853</v>
      </c>
      <c r="CH217" s="70"/>
      <c r="CI217" s="70"/>
      <c r="CJ217" s="133">
        <f t="shared" si="193"/>
        <v>1571.52</v>
      </c>
      <c r="CK217" s="8">
        <f t="shared" si="172"/>
        <v>39339.96394146797</v>
      </c>
      <c r="CL217" s="202">
        <f t="shared" si="152"/>
        <v>-825.98819879184884</v>
      </c>
      <c r="CM217" s="202">
        <f t="shared" si="153"/>
        <v>-825.98819879184884</v>
      </c>
      <c r="CN217" s="202">
        <f t="shared" si="154"/>
        <v>-825.98819879184884</v>
      </c>
      <c r="CO217" s="9">
        <f t="shared" si="155"/>
        <v>400.22367831064184</v>
      </c>
      <c r="CP217" s="9">
        <f t="shared" si="156"/>
        <v>716.70030219455657</v>
      </c>
      <c r="CQ217" s="9">
        <f t="shared" si="157"/>
        <v>-272.00043075696158</v>
      </c>
      <c r="CR217" s="202">
        <f t="shared" si="158"/>
        <v>-825.98819879184884</v>
      </c>
      <c r="CS217" s="202">
        <f t="shared" si="159"/>
        <v>-825.98819879184884</v>
      </c>
      <c r="CT217" s="202">
        <f t="shared" si="160"/>
        <v>-825.98819879184884</v>
      </c>
      <c r="CU217" s="203">
        <f t="shared" si="161"/>
        <v>-2.1446453731770863E-2</v>
      </c>
      <c r="CV217" s="203">
        <f t="shared" si="162"/>
        <v>-2.1446453731770863E-2</v>
      </c>
      <c r="CW217" s="203">
        <f t="shared" si="163"/>
        <v>-2.1446453731770863E-2</v>
      </c>
      <c r="CX217" s="19">
        <f t="shared" si="164"/>
        <v>1.0071006260459911E-2</v>
      </c>
      <c r="CY217" s="19">
        <f t="shared" si="165"/>
        <v>1.7892161410019251E-2</v>
      </c>
      <c r="CZ217" s="19">
        <f t="shared" si="166"/>
        <v>-6.9622372479791273E-3</v>
      </c>
      <c r="DA217" s="203">
        <f t="shared" si="167"/>
        <v>-2.1446453731770863E-2</v>
      </c>
      <c r="DB217" s="203">
        <f t="shared" si="168"/>
        <v>-2.1446453731770863E-2</v>
      </c>
      <c r="DC217" s="203">
        <f t="shared" si="169"/>
        <v>-2.1446453731770863E-2</v>
      </c>
      <c r="DD217" s="65"/>
      <c r="DE217" s="66"/>
      <c r="DF217" s="66"/>
      <c r="DG217" s="66"/>
      <c r="DH217" s="66"/>
      <c r="DI217" s="66"/>
      <c r="DJ217" s="65"/>
      <c r="DK217" s="66"/>
      <c r="DL217" s="66"/>
      <c r="DM217" s="8">
        <f t="shared" si="170"/>
        <v>0</v>
      </c>
      <c r="DN217" s="8">
        <f t="shared" si="171"/>
        <v>39339.96394146797</v>
      </c>
      <c r="DO217" s="202">
        <f t="shared" si="177"/>
        <v>-825.98819879184884</v>
      </c>
      <c r="DP217" s="202">
        <f t="shared" si="178"/>
        <v>-825.98819879184884</v>
      </c>
      <c r="DQ217" s="202">
        <f t="shared" si="179"/>
        <v>-825.98819879184884</v>
      </c>
      <c r="DR217" s="9">
        <f t="shared" si="180"/>
        <v>400.22367831064184</v>
      </c>
      <c r="DS217" s="9">
        <f t="shared" si="173"/>
        <v>716.70030219455657</v>
      </c>
      <c r="DT217" s="9">
        <f t="shared" si="181"/>
        <v>-272.00043075696158</v>
      </c>
      <c r="DU217" s="202">
        <f t="shared" si="182"/>
        <v>-825.98819879184884</v>
      </c>
      <c r="DV217" s="202">
        <f t="shared" si="183"/>
        <v>-825.98819879184884</v>
      </c>
      <c r="DW217" s="202">
        <f t="shared" si="184"/>
        <v>-825.98819879184884</v>
      </c>
      <c r="DX217" s="203">
        <f t="shared" si="185"/>
        <v>-2.1446453731770863E-2</v>
      </c>
      <c r="DY217" s="203">
        <f t="shared" si="186"/>
        <v>-2.1446453731770863E-2</v>
      </c>
      <c r="DZ217" s="203">
        <f t="shared" si="187"/>
        <v>-2.1446453731770863E-2</v>
      </c>
      <c r="EA217" s="19">
        <f t="shared" si="188"/>
        <v>1.0071006260459911E-2</v>
      </c>
      <c r="EB217" s="19">
        <f t="shared" si="174"/>
        <v>1.7892161410019251E-2</v>
      </c>
      <c r="EC217" s="19">
        <f t="shared" si="189"/>
        <v>-6.9622372479791273E-3</v>
      </c>
      <c r="ED217" s="203">
        <f t="shared" si="190"/>
        <v>-2.1446453731770863E-2</v>
      </c>
      <c r="EE217" s="203">
        <f t="shared" si="191"/>
        <v>-2.1446453731770863E-2</v>
      </c>
      <c r="EF217" s="203">
        <f t="shared" si="192"/>
        <v>-2.1446453731770863E-2</v>
      </c>
      <c r="EH217" s="58">
        <f t="shared" si="209"/>
        <v>29611.365221191158</v>
      </c>
      <c r="EI217" s="68">
        <f t="shared" si="210"/>
        <v>0.73923692300154653</v>
      </c>
      <c r="EJ217" s="58">
        <f t="shared" si="211"/>
        <v>26782.031887857822</v>
      </c>
      <c r="EK217" s="68">
        <f t="shared" si="210"/>
        <v>0.66860364919415571</v>
      </c>
      <c r="EL217" s="58">
        <f t="shared" si="212"/>
        <v>6653.7363201851385</v>
      </c>
      <c r="EM217" s="58">
        <f t="shared" si="213"/>
        <v>6697.1113465854414</v>
      </c>
      <c r="EN217" s="68">
        <f t="shared" si="214"/>
        <v>0.16719093996063364</v>
      </c>
      <c r="EO217" s="139">
        <f t="shared" ref="EO217:EO280" si="233">+EO205</f>
        <v>0.24029016665052916</v>
      </c>
      <c r="EP217">
        <f>+(SUM(M217:O217)*EO217*(1-'[1]Tier 3 Data'!$A$2))</f>
        <v>1166.7466740684742</v>
      </c>
    </row>
    <row r="218" spans="1:146" x14ac:dyDescent="0.2">
      <c r="A218" s="43">
        <v>0</v>
      </c>
      <c r="B218" s="43">
        <v>0</v>
      </c>
      <c r="C218" s="43">
        <v>0</v>
      </c>
      <c r="D218" s="70">
        <v>2025</v>
      </c>
      <c r="E218" s="70">
        <v>7</v>
      </c>
      <c r="F218" s="2">
        <v>744</v>
      </c>
      <c r="G218" s="133">
        <f t="shared" si="226"/>
        <v>44918.905242731867</v>
      </c>
      <c r="H218" s="65">
        <v>44918.905242731867</v>
      </c>
      <c r="I218" s="133">
        <f t="shared" si="227"/>
        <v>44918.905242731867</v>
      </c>
      <c r="J218" s="133">
        <f t="shared" si="203"/>
        <v>268.62062499999996</v>
      </c>
      <c r="K218" s="65">
        <v>268.62062499999996</v>
      </c>
      <c r="L218" s="133">
        <f t="shared" si="204"/>
        <v>268.62062499999996</v>
      </c>
      <c r="M218" s="65">
        <v>1709.2251160000674</v>
      </c>
      <c r="N218" s="65">
        <v>3680.5074579497937</v>
      </c>
      <c r="O218" s="65">
        <v>86.390622297445262</v>
      </c>
      <c r="P218" s="200">
        <f t="shared" si="194"/>
        <v>43007.447658857673</v>
      </c>
      <c r="Q218" s="200">
        <f t="shared" si="195"/>
        <v>43007.447658857673</v>
      </c>
      <c r="R218" s="200">
        <f t="shared" si="196"/>
        <v>43007.447658857673</v>
      </c>
      <c r="S218" s="133">
        <f t="shared" si="228"/>
        <v>44624.367431042629</v>
      </c>
      <c r="T218" s="133">
        <f t="shared" si="229"/>
        <v>44624.367431042629</v>
      </c>
      <c r="U218" s="133">
        <f t="shared" si="230"/>
        <v>44624.367431042629</v>
      </c>
      <c r="V218" s="200">
        <f t="shared" si="200"/>
        <v>43007.447658857673</v>
      </c>
      <c r="W218" s="200">
        <f t="shared" si="201"/>
        <v>43007.447658857673</v>
      </c>
      <c r="X218" s="200">
        <f t="shared" si="202"/>
        <v>43007.447658857673</v>
      </c>
      <c r="Y218" s="65">
        <v>1141.08094402445</v>
      </c>
      <c r="Z218" s="65">
        <v>1779.7611182527685</v>
      </c>
      <c r="AA218" s="65">
        <v>270.07531020751856</v>
      </c>
      <c r="AB218" s="200">
        <f t="shared" si="218"/>
        <v>44787.208777110442</v>
      </c>
      <c r="AC218" s="200">
        <f t="shared" si="219"/>
        <v>44787.208777110442</v>
      </c>
      <c r="AD218" s="200">
        <f t="shared" si="220"/>
        <v>44787.208777110442</v>
      </c>
      <c r="AE218" s="199">
        <f t="shared" si="175"/>
        <v>45765.448375067077</v>
      </c>
      <c r="AF218" s="199">
        <f t="shared" si="221"/>
        <v>46404.128549295398</v>
      </c>
      <c r="AG218" s="199">
        <f t="shared" si="176"/>
        <v>44894.442741250146</v>
      </c>
      <c r="AH218" s="199">
        <f t="shared" si="231"/>
        <v>45649.285645272772</v>
      </c>
      <c r="AI218" s="200">
        <f t="shared" si="222"/>
        <v>44787.208777110442</v>
      </c>
      <c r="AJ218" s="200">
        <f t="shared" si="223"/>
        <v>44787.208777110442</v>
      </c>
      <c r="AK218" s="200">
        <f t="shared" si="224"/>
        <v>44787.208777110442</v>
      </c>
      <c r="AL218" s="4"/>
      <c r="AM218" s="4"/>
      <c r="AN218" s="4"/>
      <c r="AO218" s="4"/>
      <c r="AP218" s="63"/>
      <c r="AQ218" s="18"/>
      <c r="AR218" s="10">
        <v>9920</v>
      </c>
      <c r="AS218" s="18"/>
      <c r="AT218" s="62"/>
      <c r="AU218" s="65">
        <v>118.521</v>
      </c>
      <c r="AV218" s="65">
        <v>3084.53</v>
      </c>
      <c r="AW218" s="63"/>
      <c r="AX218" s="63"/>
      <c r="AY218" s="65">
        <v>1237.5528587885699</v>
      </c>
      <c r="AZ218" s="63"/>
      <c r="BA218" s="65">
        <v>1516.482</v>
      </c>
      <c r="BB218" s="133">
        <f t="shared" si="206"/>
        <v>437.45499999999998</v>
      </c>
      <c r="BC218" s="65">
        <v>586.79739986786444</v>
      </c>
      <c r="BD218" s="65">
        <v>7.5724679441334652</v>
      </c>
      <c r="BE218" s="65">
        <v>0</v>
      </c>
      <c r="BF218" s="65">
        <v>144.12352207184469</v>
      </c>
      <c r="BG218" s="65">
        <v>0</v>
      </c>
      <c r="BH218" s="65">
        <v>37.888219913415</v>
      </c>
      <c r="BI218" s="65">
        <v>1488.7042626072459</v>
      </c>
      <c r="BJ218" s="65">
        <v>0</v>
      </c>
      <c r="BK218" s="65">
        <v>9.5733821057653241</v>
      </c>
      <c r="BL218" s="65">
        <v>0</v>
      </c>
      <c r="BM218" s="65">
        <v>0</v>
      </c>
      <c r="BN218" s="65">
        <v>28.535694660312817</v>
      </c>
      <c r="BO218" s="65">
        <v>212.18019192</v>
      </c>
      <c r="BP218" s="260">
        <f t="shared" si="225"/>
        <v>992</v>
      </c>
      <c r="BQ218" s="65">
        <v>171.63648849380158</v>
      </c>
      <c r="BR218" s="65">
        <v>224.2485994622472</v>
      </c>
      <c r="BS218" s="65">
        <v>811.43492920544065</v>
      </c>
      <c r="BT218" s="65">
        <v>278.30951542476714</v>
      </c>
      <c r="BU218" s="65">
        <v>306.13998088336814</v>
      </c>
      <c r="BV218" s="144">
        <f t="shared" si="215"/>
        <v>1196.4575812000471</v>
      </c>
      <c r="BW218" s="144">
        <f t="shared" si="216"/>
        <v>2576.3552205648552</v>
      </c>
      <c r="BX218" s="144">
        <f t="shared" si="217"/>
        <v>60.47343560821168</v>
      </c>
      <c r="BY218" s="5"/>
      <c r="BZ218" s="66">
        <v>7254</v>
      </c>
      <c r="CA218" s="65">
        <v>6664.8</v>
      </c>
      <c r="CB218" s="5"/>
      <c r="CC218" s="5"/>
      <c r="CD218" s="188">
        <v>2.1042112926473342</v>
      </c>
      <c r="CE218" s="5"/>
      <c r="CF218" s="133">
        <f t="shared" si="232"/>
        <v>971.33333333333337</v>
      </c>
      <c r="CG218" s="133">
        <f t="shared" si="208"/>
        <v>1568</v>
      </c>
      <c r="CH218" s="70"/>
      <c r="CI218" s="70"/>
      <c r="CJ218" s="133">
        <f t="shared" si="193"/>
        <v>1312.365</v>
      </c>
      <c r="CK218" s="8">
        <f t="shared" si="172"/>
        <v>41907.209295347871</v>
      </c>
      <c r="CL218" s="202">
        <f t="shared" si="152"/>
        <v>2879.9994817625702</v>
      </c>
      <c r="CM218" s="202">
        <f t="shared" si="153"/>
        <v>2879.9994817625702</v>
      </c>
      <c r="CN218" s="202">
        <f t="shared" si="154"/>
        <v>2879.9994817625702</v>
      </c>
      <c r="CO218" s="9">
        <f t="shared" si="155"/>
        <v>3858.2390797192056</v>
      </c>
      <c r="CP218" s="9">
        <f t="shared" si="156"/>
        <v>4496.9192539475262</v>
      </c>
      <c r="CQ218" s="9">
        <f t="shared" si="157"/>
        <v>2987.233445902275</v>
      </c>
      <c r="CR218" s="202">
        <f t="shared" si="158"/>
        <v>2879.9994817625702</v>
      </c>
      <c r="CS218" s="202">
        <f t="shared" si="159"/>
        <v>2879.9994817625702</v>
      </c>
      <c r="CT218" s="202">
        <f t="shared" si="160"/>
        <v>2879.9994817625702</v>
      </c>
      <c r="CU218" s="203">
        <f t="shared" si="161"/>
        <v>6.4304062708959484E-2</v>
      </c>
      <c r="CV218" s="203">
        <f t="shared" si="162"/>
        <v>6.4304062708959484E-2</v>
      </c>
      <c r="CW218" s="203">
        <f t="shared" si="163"/>
        <v>6.4304062708959484E-2</v>
      </c>
      <c r="CX218" s="19">
        <f t="shared" si="164"/>
        <v>8.4304627545639138E-2</v>
      </c>
      <c r="CY218" s="19">
        <f t="shared" si="165"/>
        <v>9.6907740637137932E-2</v>
      </c>
      <c r="CZ218" s="19">
        <f t="shared" si="166"/>
        <v>6.6539047229503295E-2</v>
      </c>
      <c r="DA218" s="203">
        <f t="shared" si="167"/>
        <v>6.4304062708959484E-2</v>
      </c>
      <c r="DB218" s="203">
        <f t="shared" si="168"/>
        <v>6.4304062708959484E-2</v>
      </c>
      <c r="DC218" s="203">
        <f t="shared" si="169"/>
        <v>6.4304062708959484E-2</v>
      </c>
      <c r="DD218" s="65"/>
      <c r="DE218" s="66"/>
      <c r="DF218" s="66"/>
      <c r="DG218" s="66"/>
      <c r="DH218" s="66"/>
      <c r="DI218" s="66"/>
      <c r="DJ218" s="65"/>
      <c r="DK218" s="66"/>
      <c r="DL218" s="66"/>
      <c r="DM218" s="8">
        <f t="shared" si="170"/>
        <v>0</v>
      </c>
      <c r="DN218" s="8">
        <f t="shared" si="171"/>
        <v>41907.209295347871</v>
      </c>
      <c r="DO218" s="202">
        <f t="shared" si="177"/>
        <v>2879.9994817625702</v>
      </c>
      <c r="DP218" s="202">
        <f t="shared" si="178"/>
        <v>2879.9994817625702</v>
      </c>
      <c r="DQ218" s="202">
        <f t="shared" si="179"/>
        <v>2879.9994817625702</v>
      </c>
      <c r="DR218" s="9">
        <f t="shared" si="180"/>
        <v>3858.2390797192056</v>
      </c>
      <c r="DS218" s="9">
        <f t="shared" si="173"/>
        <v>4496.9192539475262</v>
      </c>
      <c r="DT218" s="9">
        <f t="shared" si="181"/>
        <v>2987.233445902275</v>
      </c>
      <c r="DU218" s="202">
        <f t="shared" si="182"/>
        <v>2879.9994817625702</v>
      </c>
      <c r="DV218" s="202">
        <f t="shared" si="183"/>
        <v>2879.9994817625702</v>
      </c>
      <c r="DW218" s="202">
        <f t="shared" si="184"/>
        <v>2879.9994817625702</v>
      </c>
      <c r="DX218" s="203">
        <f t="shared" si="185"/>
        <v>6.4304062708959484E-2</v>
      </c>
      <c r="DY218" s="203">
        <f t="shared" si="186"/>
        <v>6.4304062708959484E-2</v>
      </c>
      <c r="DZ218" s="203">
        <f t="shared" si="187"/>
        <v>6.4304062708959484E-2</v>
      </c>
      <c r="EA218" s="19">
        <f t="shared" si="188"/>
        <v>8.4304627545639138E-2</v>
      </c>
      <c r="EB218" s="19">
        <f t="shared" si="174"/>
        <v>9.6907740637137932E-2</v>
      </c>
      <c r="EC218" s="19">
        <f t="shared" si="189"/>
        <v>6.6539047229503295E-2</v>
      </c>
      <c r="ED218" s="203">
        <f t="shared" si="190"/>
        <v>6.4304062708959484E-2</v>
      </c>
      <c r="EE218" s="203">
        <f t="shared" si="191"/>
        <v>6.4304062708959484E-2</v>
      </c>
      <c r="EF218" s="203">
        <f t="shared" si="192"/>
        <v>6.4304062708959484E-2</v>
      </c>
      <c r="EH218" s="58">
        <f t="shared" si="209"/>
        <v>29301.390647449993</v>
      </c>
      <c r="EI218" s="68">
        <f t="shared" si="210"/>
        <v>0.63143930429213735</v>
      </c>
      <c r="EJ218" s="58">
        <f t="shared" si="211"/>
        <v>26645.723980783328</v>
      </c>
      <c r="EK218" s="68">
        <f t="shared" si="210"/>
        <v>0.57421020098410869</v>
      </c>
      <c r="EL218" s="58">
        <f t="shared" si="212"/>
        <v>6739.3763530532178</v>
      </c>
      <c r="EM218" s="58">
        <f t="shared" si="213"/>
        <v>6799.8497886614296</v>
      </c>
      <c r="EN218" s="68">
        <f t="shared" si="214"/>
        <v>0.1465354484879057</v>
      </c>
      <c r="EO218" s="139">
        <f t="shared" si="233"/>
        <v>0.25197746931178833</v>
      </c>
      <c r="EP218">
        <f>+(SUM(M218:O218)*EO218*(1-'[1]Tier 3 Data'!$A$2))</f>
        <v>1287.4090670997696</v>
      </c>
    </row>
    <row r="219" spans="1:146" x14ac:dyDescent="0.2">
      <c r="A219" s="43">
        <v>0</v>
      </c>
      <c r="B219" s="43">
        <v>0</v>
      </c>
      <c r="C219" s="43">
        <v>0</v>
      </c>
      <c r="D219" s="70">
        <v>2025</v>
      </c>
      <c r="E219" s="70">
        <v>8</v>
      </c>
      <c r="F219" s="2">
        <v>744</v>
      </c>
      <c r="G219" s="133">
        <f t="shared" si="226"/>
        <v>42901.892595873833</v>
      </c>
      <c r="H219" s="65">
        <v>42901.892595873833</v>
      </c>
      <c r="I219" s="133">
        <f t="shared" si="227"/>
        <v>42901.892595873833</v>
      </c>
      <c r="J219" s="133">
        <f t="shared" si="203"/>
        <v>306.99499999999995</v>
      </c>
      <c r="K219" s="65">
        <v>306.99499999999995</v>
      </c>
      <c r="L219" s="133">
        <f t="shared" si="204"/>
        <v>306.99499999999995</v>
      </c>
      <c r="M219" s="65">
        <v>1523.4196774399222</v>
      </c>
      <c r="N219" s="65">
        <v>3280.4090180505418</v>
      </c>
      <c r="O219" s="65">
        <v>103.57994629077749</v>
      </c>
      <c r="P219" s="200">
        <f t="shared" si="194"/>
        <v>41122.675003339456</v>
      </c>
      <c r="Q219" s="200">
        <f t="shared" si="195"/>
        <v>41122.675003339456</v>
      </c>
      <c r="R219" s="200">
        <f t="shared" si="196"/>
        <v>41122.675003339456</v>
      </c>
      <c r="S219" s="133">
        <f t="shared" si="228"/>
        <v>42563.823611986598</v>
      </c>
      <c r="T219" s="133">
        <f t="shared" si="229"/>
        <v>42563.823611986598</v>
      </c>
      <c r="U219" s="133">
        <f t="shared" si="230"/>
        <v>42563.823611986598</v>
      </c>
      <c r="V219" s="200">
        <f t="shared" si="200"/>
        <v>41122.675003339456</v>
      </c>
      <c r="W219" s="200">
        <f t="shared" si="201"/>
        <v>41122.675003339456</v>
      </c>
      <c r="X219" s="200">
        <f t="shared" si="202"/>
        <v>41122.675003339456</v>
      </c>
      <c r="Y219" s="65">
        <v>1219.408117388052</v>
      </c>
      <c r="Z219" s="65">
        <v>1781.3280809186492</v>
      </c>
      <c r="AA219" s="65">
        <v>278.05601255873182</v>
      </c>
      <c r="AB219" s="200">
        <f t="shared" si="218"/>
        <v>42904.003084258104</v>
      </c>
      <c r="AC219" s="200">
        <f t="shared" si="219"/>
        <v>42904.003084258104</v>
      </c>
      <c r="AD219" s="200">
        <f t="shared" si="220"/>
        <v>42904.003084258104</v>
      </c>
      <c r="AE219" s="199">
        <f t="shared" si="175"/>
        <v>43783.231729374653</v>
      </c>
      <c r="AF219" s="199">
        <f t="shared" si="221"/>
        <v>44345.151692905245</v>
      </c>
      <c r="AG219" s="199">
        <f t="shared" si="176"/>
        <v>42841.879624545327</v>
      </c>
      <c r="AH219" s="199">
        <f t="shared" si="231"/>
        <v>43593.515658725286</v>
      </c>
      <c r="AI219" s="200">
        <f t="shared" si="222"/>
        <v>42904.003084258104</v>
      </c>
      <c r="AJ219" s="200">
        <f t="shared" si="223"/>
        <v>42904.003084258104</v>
      </c>
      <c r="AK219" s="200">
        <f t="shared" si="224"/>
        <v>42904.003084258104</v>
      </c>
      <c r="AL219" s="4"/>
      <c r="AM219" s="4"/>
      <c r="AN219" s="4"/>
      <c r="AO219" s="4"/>
      <c r="AP219" s="63"/>
      <c r="AQ219" s="18"/>
      <c r="AR219" s="10">
        <v>9920</v>
      </c>
      <c r="AS219" s="18"/>
      <c r="AT219" s="62"/>
      <c r="AU219" s="65">
        <v>107.64</v>
      </c>
      <c r="AV219" s="65">
        <v>3021.9279999999999</v>
      </c>
      <c r="AW219" s="63"/>
      <c r="AX219" s="63"/>
      <c r="AY219" s="65">
        <v>1159.3158527085716</v>
      </c>
      <c r="AZ219" s="63"/>
      <c r="BA219" s="65">
        <v>1498.2090000000001</v>
      </c>
      <c r="BB219" s="133">
        <f t="shared" si="206"/>
        <v>437.8775</v>
      </c>
      <c r="BC219" s="65">
        <v>569.06141954142743</v>
      </c>
      <c r="BD219" s="65">
        <v>7.9692213995478474</v>
      </c>
      <c r="BE219" s="65">
        <v>0</v>
      </c>
      <c r="BF219" s="65">
        <v>158.69842331487976</v>
      </c>
      <c r="BG219" s="65">
        <v>0</v>
      </c>
      <c r="BH219" s="65">
        <v>31.573516594512498</v>
      </c>
      <c r="BI219" s="65">
        <v>1443.7081029115327</v>
      </c>
      <c r="BJ219" s="65">
        <v>0</v>
      </c>
      <c r="BK219" s="65">
        <v>11.152893841525399</v>
      </c>
      <c r="BL219" s="65">
        <v>0</v>
      </c>
      <c r="BM219" s="65">
        <v>0</v>
      </c>
      <c r="BN219" s="65">
        <v>23.779745550260685</v>
      </c>
      <c r="BO219" s="65">
        <v>212.18019192</v>
      </c>
      <c r="BP219" s="260">
        <f t="shared" si="225"/>
        <v>992</v>
      </c>
      <c r="BQ219" s="65">
        <v>162.89637337827077</v>
      </c>
      <c r="BR219" s="65">
        <v>212.82942392083871</v>
      </c>
      <c r="BS219" s="65">
        <v>770.11508343723335</v>
      </c>
      <c r="BT219" s="65">
        <v>264.14409700566586</v>
      </c>
      <c r="BU219" s="65">
        <v>284.85776139682071</v>
      </c>
      <c r="BV219" s="144">
        <f t="shared" si="215"/>
        <v>1066.3937742079454</v>
      </c>
      <c r="BW219" s="144">
        <f t="shared" si="216"/>
        <v>2296.2863126353791</v>
      </c>
      <c r="BX219" s="144">
        <f t="shared" si="217"/>
        <v>72.505962403544231</v>
      </c>
      <c r="BY219" s="5"/>
      <c r="BZ219" s="66">
        <v>7254</v>
      </c>
      <c r="CA219" s="65">
        <v>4568.8</v>
      </c>
      <c r="CB219" s="5"/>
      <c r="CC219" s="5"/>
      <c r="CD219" s="188">
        <v>16.868963591035975</v>
      </c>
      <c r="CE219" s="5"/>
      <c r="CF219" s="133">
        <f t="shared" si="232"/>
        <v>598.33333333333337</v>
      </c>
      <c r="CG219" s="133">
        <f t="shared" si="208"/>
        <v>2629</v>
      </c>
      <c r="CH219" s="70"/>
      <c r="CI219" s="70"/>
      <c r="CJ219" s="133">
        <f t="shared" si="193"/>
        <v>1313.6324999999999</v>
      </c>
      <c r="CK219" s="8">
        <f t="shared" si="172"/>
        <v>39792.124953092331</v>
      </c>
      <c r="CL219" s="202">
        <f t="shared" si="152"/>
        <v>3111.8781311657731</v>
      </c>
      <c r="CM219" s="202">
        <f t="shared" si="153"/>
        <v>3111.8781311657731</v>
      </c>
      <c r="CN219" s="202">
        <f t="shared" si="154"/>
        <v>3111.8781311657731</v>
      </c>
      <c r="CO219" s="9">
        <f t="shared" si="155"/>
        <v>3991.1067762823222</v>
      </c>
      <c r="CP219" s="9">
        <f t="shared" si="156"/>
        <v>4553.0267398129145</v>
      </c>
      <c r="CQ219" s="9">
        <f t="shared" si="157"/>
        <v>3049.7546714529963</v>
      </c>
      <c r="CR219" s="202">
        <f t="shared" si="158"/>
        <v>3111.8781311657731</v>
      </c>
      <c r="CS219" s="202">
        <f t="shared" si="159"/>
        <v>3111.8781311657731</v>
      </c>
      <c r="CT219" s="202">
        <f t="shared" si="160"/>
        <v>3111.8781311657731</v>
      </c>
      <c r="CU219" s="203">
        <f t="shared" si="161"/>
        <v>7.2531183746524383E-2</v>
      </c>
      <c r="CV219" s="203">
        <f t="shared" si="162"/>
        <v>7.2531183746524383E-2</v>
      </c>
      <c r="CW219" s="203">
        <f t="shared" si="163"/>
        <v>7.2531183746524383E-2</v>
      </c>
      <c r="CX219" s="19">
        <f t="shared" si="164"/>
        <v>9.1156057208190158E-2</v>
      </c>
      <c r="CY219" s="19">
        <f t="shared" si="165"/>
        <v>0.10267248089132934</v>
      </c>
      <c r="CZ219" s="19">
        <f t="shared" si="166"/>
        <v>7.118629476998263E-2</v>
      </c>
      <c r="DA219" s="203">
        <f t="shared" si="167"/>
        <v>7.2531183746524383E-2</v>
      </c>
      <c r="DB219" s="203">
        <f t="shared" si="168"/>
        <v>7.2531183746524383E-2</v>
      </c>
      <c r="DC219" s="203">
        <f t="shared" si="169"/>
        <v>7.2531183746524383E-2</v>
      </c>
      <c r="DD219" s="65"/>
      <c r="DE219" s="66"/>
      <c r="DF219" s="66"/>
      <c r="DG219" s="66"/>
      <c r="DH219" s="66"/>
      <c r="DI219" s="66"/>
      <c r="DJ219" s="65"/>
      <c r="DK219" s="66"/>
      <c r="DL219" s="66"/>
      <c r="DM219" s="8">
        <f t="shared" si="170"/>
        <v>0</v>
      </c>
      <c r="DN219" s="8">
        <f t="shared" si="171"/>
        <v>39792.124953092331</v>
      </c>
      <c r="DO219" s="202">
        <f t="shared" si="177"/>
        <v>3111.8781311657731</v>
      </c>
      <c r="DP219" s="202">
        <f t="shared" si="178"/>
        <v>3111.8781311657731</v>
      </c>
      <c r="DQ219" s="202">
        <f t="shared" si="179"/>
        <v>3111.8781311657731</v>
      </c>
      <c r="DR219" s="9">
        <f t="shared" si="180"/>
        <v>3991.1067762823222</v>
      </c>
      <c r="DS219" s="9">
        <f t="shared" si="173"/>
        <v>4553.0267398129145</v>
      </c>
      <c r="DT219" s="9">
        <f t="shared" si="181"/>
        <v>3049.7546714529963</v>
      </c>
      <c r="DU219" s="202">
        <f t="shared" si="182"/>
        <v>3111.8781311657731</v>
      </c>
      <c r="DV219" s="202">
        <f t="shared" si="183"/>
        <v>3111.8781311657731</v>
      </c>
      <c r="DW219" s="202">
        <f t="shared" si="184"/>
        <v>3111.8781311657731</v>
      </c>
      <c r="DX219" s="203">
        <f t="shared" si="185"/>
        <v>7.2531183746524383E-2</v>
      </c>
      <c r="DY219" s="203">
        <f t="shared" si="186"/>
        <v>7.2531183746524383E-2</v>
      </c>
      <c r="DZ219" s="203">
        <f t="shared" si="187"/>
        <v>7.2531183746524383E-2</v>
      </c>
      <c r="EA219" s="19">
        <f t="shared" si="188"/>
        <v>9.1156057208190158E-2</v>
      </c>
      <c r="EB219" s="19">
        <f t="shared" si="174"/>
        <v>0.10267248089132934</v>
      </c>
      <c r="EC219" s="19">
        <f t="shared" si="189"/>
        <v>7.118629476998263E-2</v>
      </c>
      <c r="ED219" s="203">
        <f t="shared" si="190"/>
        <v>7.2531183746524383E-2</v>
      </c>
      <c r="EE219" s="203">
        <f t="shared" si="191"/>
        <v>7.2531183746524383E-2</v>
      </c>
      <c r="EF219" s="203">
        <f t="shared" si="192"/>
        <v>7.2531183746524383E-2</v>
      </c>
      <c r="EH219" s="58">
        <f t="shared" si="209"/>
        <v>29756.030458645135</v>
      </c>
      <c r="EI219" s="68">
        <f t="shared" si="210"/>
        <v>0.67100977948409601</v>
      </c>
      <c r="EJ219" s="58">
        <f t="shared" si="211"/>
        <v>26727.363791978463</v>
      </c>
      <c r="EK219" s="68">
        <f t="shared" si="210"/>
        <v>0.60271219674854692</v>
      </c>
      <c r="EL219" s="58">
        <f t="shared" si="212"/>
        <v>6290.5541435330142</v>
      </c>
      <c r="EM219" s="58">
        <f t="shared" si="213"/>
        <v>6363.0601059365581</v>
      </c>
      <c r="EN219" s="68">
        <f t="shared" si="214"/>
        <v>0.14348942021895442</v>
      </c>
      <c r="EO219" s="139">
        <f t="shared" si="233"/>
        <v>0.28519905910129462</v>
      </c>
      <c r="EP219">
        <f>+(SUM(M219:O219)*EO219*(1-'[1]Tier 3 Data'!$A$2))</f>
        <v>1305.8159093350469</v>
      </c>
    </row>
    <row r="220" spans="1:146" x14ac:dyDescent="0.2">
      <c r="A220" s="43">
        <v>0</v>
      </c>
      <c r="B220" s="43">
        <v>0</v>
      </c>
      <c r="C220" s="43">
        <v>0</v>
      </c>
      <c r="D220" s="70">
        <v>2025</v>
      </c>
      <c r="E220" s="70">
        <v>9</v>
      </c>
      <c r="F220" s="2">
        <v>720</v>
      </c>
      <c r="G220" s="133">
        <f t="shared" si="226"/>
        <v>37269.092857533433</v>
      </c>
      <c r="H220" s="65">
        <v>37269.092857533433</v>
      </c>
      <c r="I220" s="133">
        <f t="shared" si="227"/>
        <v>37269.092857533433</v>
      </c>
      <c r="J220" s="133">
        <f t="shared" si="203"/>
        <v>345.36937499999993</v>
      </c>
      <c r="K220" s="65">
        <v>345.36937499999993</v>
      </c>
      <c r="L220" s="133">
        <f t="shared" si="204"/>
        <v>345.36937499999993</v>
      </c>
      <c r="M220" s="65">
        <v>1305.6369062084025</v>
      </c>
      <c r="N220" s="65">
        <v>2811.4531700307239</v>
      </c>
      <c r="O220" s="65">
        <v>105.01797249899334</v>
      </c>
      <c r="P220" s="200">
        <f t="shared" si="194"/>
        <v>35657.091067911992</v>
      </c>
      <c r="Q220" s="200">
        <f t="shared" si="195"/>
        <v>35657.091067911992</v>
      </c>
      <c r="R220" s="200">
        <f t="shared" si="196"/>
        <v>35657.091067911992</v>
      </c>
      <c r="S220" s="133">
        <f t="shared" si="228"/>
        <v>36892.218090783732</v>
      </c>
      <c r="T220" s="133">
        <f t="shared" si="229"/>
        <v>36892.218090783732</v>
      </c>
      <c r="U220" s="133">
        <f t="shared" si="230"/>
        <v>36892.218090783732</v>
      </c>
      <c r="V220" s="200">
        <f t="shared" si="200"/>
        <v>35657.091067911992</v>
      </c>
      <c r="W220" s="200">
        <f t="shared" si="201"/>
        <v>35657.091067911992</v>
      </c>
      <c r="X220" s="200">
        <f t="shared" si="202"/>
        <v>35657.091067911992</v>
      </c>
      <c r="Y220" s="65">
        <v>1273.0619386986552</v>
      </c>
      <c r="Z220" s="65">
        <v>1753.628717810348</v>
      </c>
      <c r="AA220" s="65">
        <v>262.8419403226074</v>
      </c>
      <c r="AB220" s="200">
        <f t="shared" si="218"/>
        <v>37410.719785722336</v>
      </c>
      <c r="AC220" s="200">
        <f t="shared" si="219"/>
        <v>37410.719785722336</v>
      </c>
      <c r="AD220" s="200">
        <f t="shared" si="220"/>
        <v>37410.719785722336</v>
      </c>
      <c r="AE220" s="199">
        <f t="shared" si="175"/>
        <v>38165.28002948239</v>
      </c>
      <c r="AF220" s="199">
        <f t="shared" si="221"/>
        <v>38645.846808594077</v>
      </c>
      <c r="AG220" s="199">
        <f t="shared" si="176"/>
        <v>37155.060031106339</v>
      </c>
      <c r="AH220" s="199">
        <f t="shared" si="231"/>
        <v>37900.453419850208</v>
      </c>
      <c r="AI220" s="200">
        <f t="shared" si="222"/>
        <v>37410.719785722336</v>
      </c>
      <c r="AJ220" s="200">
        <f t="shared" si="223"/>
        <v>37410.719785722336</v>
      </c>
      <c r="AK220" s="200">
        <f t="shared" si="224"/>
        <v>37410.719785722336</v>
      </c>
      <c r="AL220" s="4"/>
      <c r="AM220" s="4"/>
      <c r="AN220" s="4"/>
      <c r="AO220" s="4"/>
      <c r="AP220" s="63"/>
      <c r="AQ220" s="18"/>
      <c r="AR220" s="10">
        <v>9600</v>
      </c>
      <c r="AS220" s="18"/>
      <c r="AT220" s="62"/>
      <c r="AU220" s="65">
        <v>102.375</v>
      </c>
      <c r="AV220" s="65">
        <v>2969.6280000000002</v>
      </c>
      <c r="AW220" s="63"/>
      <c r="AX220" s="63"/>
      <c r="AY220" s="65">
        <v>1065.150988617143</v>
      </c>
      <c r="AZ220" s="63"/>
      <c r="BA220" s="65">
        <v>2037.9549999999999</v>
      </c>
      <c r="BB220" s="133">
        <f t="shared" si="206"/>
        <v>662.45849999999996</v>
      </c>
      <c r="BC220" s="65">
        <v>529.48077460711397</v>
      </c>
      <c r="BD220" s="65">
        <v>10.55810604601432</v>
      </c>
      <c r="BE220" s="65">
        <v>0</v>
      </c>
      <c r="BF220" s="65">
        <v>164.12369835717462</v>
      </c>
      <c r="BG220" s="65">
        <v>0</v>
      </c>
      <c r="BH220" s="65">
        <v>6.3147033189024988</v>
      </c>
      <c r="BI220" s="65">
        <v>1343.2920566854839</v>
      </c>
      <c r="BJ220" s="65">
        <v>0</v>
      </c>
      <c r="BK220" s="65">
        <v>13.355863258351745</v>
      </c>
      <c r="BL220" s="65">
        <v>0</v>
      </c>
      <c r="BM220" s="65">
        <v>0</v>
      </c>
      <c r="BN220" s="65">
        <v>4.7559491100521365</v>
      </c>
      <c r="BO220" s="65">
        <v>205.33566960000002</v>
      </c>
      <c r="BP220" s="260">
        <f t="shared" si="225"/>
        <v>960</v>
      </c>
      <c r="BQ220" s="65">
        <v>130.05964497560143</v>
      </c>
      <c r="BR220" s="65">
        <v>169.92721349667136</v>
      </c>
      <c r="BS220" s="65">
        <v>614.87508696972645</v>
      </c>
      <c r="BT220" s="65">
        <v>227.50875002426486</v>
      </c>
      <c r="BU220" s="65">
        <v>233.89085040163843</v>
      </c>
      <c r="BV220" s="144">
        <f t="shared" si="215"/>
        <v>913.94583434588162</v>
      </c>
      <c r="BW220" s="144">
        <f t="shared" si="216"/>
        <v>1968.0172190215067</v>
      </c>
      <c r="BX220" s="144">
        <f t="shared" si="217"/>
        <v>73.512580749295338</v>
      </c>
      <c r="BY220" s="5"/>
      <c r="BZ220" s="66">
        <v>7020</v>
      </c>
      <c r="CA220" s="65">
        <v>3316.8</v>
      </c>
      <c r="CB220" s="5"/>
      <c r="CC220" s="5"/>
      <c r="CD220" s="188">
        <v>2.2241810746462862</v>
      </c>
      <c r="CE220" s="5"/>
      <c r="CF220" s="133">
        <f t="shared" si="232"/>
        <v>655.33333333333337</v>
      </c>
      <c r="CG220" s="133">
        <f t="shared" si="208"/>
        <v>1448</v>
      </c>
      <c r="CH220" s="70"/>
      <c r="CI220" s="70"/>
      <c r="CJ220" s="133">
        <f t="shared" si="193"/>
        <v>1987.3754999999999</v>
      </c>
      <c r="CK220" s="8">
        <f t="shared" si="172"/>
        <v>36448.879003992806</v>
      </c>
      <c r="CL220" s="202">
        <f t="shared" si="152"/>
        <v>961.84078172953014</v>
      </c>
      <c r="CM220" s="202">
        <f t="shared" si="153"/>
        <v>961.84078172953014</v>
      </c>
      <c r="CN220" s="202">
        <f t="shared" si="154"/>
        <v>961.84078172953014</v>
      </c>
      <c r="CO220" s="9">
        <f t="shared" si="155"/>
        <v>1716.4010254895838</v>
      </c>
      <c r="CP220" s="9">
        <f t="shared" si="156"/>
        <v>2196.9678046012705</v>
      </c>
      <c r="CQ220" s="9">
        <f t="shared" si="157"/>
        <v>706.18102711353276</v>
      </c>
      <c r="CR220" s="202">
        <f t="shared" si="158"/>
        <v>961.84078172953014</v>
      </c>
      <c r="CS220" s="202">
        <f t="shared" si="159"/>
        <v>961.84078172953014</v>
      </c>
      <c r="CT220" s="202">
        <f t="shared" si="160"/>
        <v>961.84078172953014</v>
      </c>
      <c r="CU220" s="203">
        <f t="shared" si="161"/>
        <v>2.57102987389356E-2</v>
      </c>
      <c r="CV220" s="203">
        <f t="shared" si="162"/>
        <v>2.57102987389356E-2</v>
      </c>
      <c r="CW220" s="203">
        <f t="shared" si="163"/>
        <v>2.57102987389356E-2</v>
      </c>
      <c r="CX220" s="19">
        <f t="shared" si="164"/>
        <v>4.4972839821001628E-2</v>
      </c>
      <c r="CY220" s="19">
        <f t="shared" si="165"/>
        <v>5.6848742776486605E-2</v>
      </c>
      <c r="CZ220" s="19">
        <f t="shared" si="166"/>
        <v>1.9006321790957025E-2</v>
      </c>
      <c r="DA220" s="203">
        <f t="shared" si="167"/>
        <v>2.57102987389356E-2</v>
      </c>
      <c r="DB220" s="203">
        <f t="shared" si="168"/>
        <v>2.57102987389356E-2</v>
      </c>
      <c r="DC220" s="203">
        <f t="shared" si="169"/>
        <v>2.57102987389356E-2</v>
      </c>
      <c r="DD220" s="65"/>
      <c r="DE220" s="66"/>
      <c r="DF220" s="66"/>
      <c r="DG220" s="66"/>
      <c r="DH220" s="66"/>
      <c r="DI220" s="66"/>
      <c r="DJ220" s="65"/>
      <c r="DK220" s="66"/>
      <c r="DL220" s="66"/>
      <c r="DM220" s="8">
        <f t="shared" si="170"/>
        <v>0</v>
      </c>
      <c r="DN220" s="8">
        <f t="shared" si="171"/>
        <v>36448.879003992806</v>
      </c>
      <c r="DO220" s="202">
        <f t="shared" si="177"/>
        <v>961.84078172953014</v>
      </c>
      <c r="DP220" s="202">
        <f t="shared" si="178"/>
        <v>961.84078172953014</v>
      </c>
      <c r="DQ220" s="202">
        <f t="shared" si="179"/>
        <v>961.84078172953014</v>
      </c>
      <c r="DR220" s="9">
        <f t="shared" si="180"/>
        <v>1716.4010254895838</v>
      </c>
      <c r="DS220" s="9">
        <f t="shared" si="173"/>
        <v>2196.9678046012705</v>
      </c>
      <c r="DT220" s="9">
        <f t="shared" si="181"/>
        <v>706.18102711353276</v>
      </c>
      <c r="DU220" s="202">
        <f t="shared" si="182"/>
        <v>961.84078172953014</v>
      </c>
      <c r="DV220" s="202">
        <f t="shared" si="183"/>
        <v>961.84078172953014</v>
      </c>
      <c r="DW220" s="202">
        <f t="shared" si="184"/>
        <v>961.84078172953014</v>
      </c>
      <c r="DX220" s="203">
        <f t="shared" si="185"/>
        <v>2.57102987389356E-2</v>
      </c>
      <c r="DY220" s="203">
        <f t="shared" si="186"/>
        <v>2.57102987389356E-2</v>
      </c>
      <c r="DZ220" s="203">
        <f t="shared" si="187"/>
        <v>2.57102987389356E-2</v>
      </c>
      <c r="EA220" s="19">
        <f t="shared" si="188"/>
        <v>4.4972839821001628E-2</v>
      </c>
      <c r="EB220" s="19">
        <f t="shared" si="174"/>
        <v>5.6848742776486605E-2</v>
      </c>
      <c r="EC220" s="19">
        <f t="shared" si="189"/>
        <v>1.9006321790957025E-2</v>
      </c>
      <c r="ED220" s="203">
        <f t="shared" si="190"/>
        <v>2.57102987389356E-2</v>
      </c>
      <c r="EE220" s="203">
        <f t="shared" si="191"/>
        <v>2.57102987389356E-2</v>
      </c>
      <c r="EF220" s="203">
        <f t="shared" si="192"/>
        <v>2.57102987389356E-2</v>
      </c>
      <c r="EH220" s="58">
        <f t="shared" si="209"/>
        <v>27886.451956881763</v>
      </c>
      <c r="EI220" s="68">
        <f t="shared" si="210"/>
        <v>0.72158987989054402</v>
      </c>
      <c r="EJ220" s="58">
        <f t="shared" si="211"/>
        <v>25031.785290215095</v>
      </c>
      <c r="EK220" s="68">
        <f t="shared" si="210"/>
        <v>0.64772252020231369</v>
      </c>
      <c r="EL220" s="58">
        <f t="shared" si="212"/>
        <v>5457.3718875153281</v>
      </c>
      <c r="EM220" s="58">
        <f t="shared" si="213"/>
        <v>5530.8844682646231</v>
      </c>
      <c r="EN220" s="68">
        <f t="shared" si="214"/>
        <v>0.14311717623003833</v>
      </c>
      <c r="EO220" s="139">
        <f t="shared" si="233"/>
        <v>0.31860645638858931</v>
      </c>
      <c r="EP220">
        <f>+(SUM(M220:O220)*EO220*(1-'[1]Tier 3 Data'!$A$2))</f>
        <v>1255.0630946770145</v>
      </c>
    </row>
    <row r="221" spans="1:146" x14ac:dyDescent="0.2">
      <c r="A221" s="43">
        <v>0</v>
      </c>
      <c r="B221" s="43">
        <v>0</v>
      </c>
      <c r="C221" s="43">
        <v>0</v>
      </c>
      <c r="D221" s="70">
        <v>2025</v>
      </c>
      <c r="E221" s="70">
        <v>10</v>
      </c>
      <c r="F221" s="2">
        <v>744</v>
      </c>
      <c r="G221" s="133">
        <f t="shared" si="226"/>
        <v>39174.974611565813</v>
      </c>
      <c r="H221" s="65">
        <v>39174.974611565813</v>
      </c>
      <c r="I221" s="133">
        <f t="shared" si="227"/>
        <v>39174.974611565813</v>
      </c>
      <c r="J221" s="133">
        <f t="shared" si="203"/>
        <v>383.74374999999992</v>
      </c>
      <c r="K221" s="65">
        <v>383.74374999999992</v>
      </c>
      <c r="L221" s="133">
        <f t="shared" si="204"/>
        <v>383.74374999999992</v>
      </c>
      <c r="M221" s="65">
        <v>957.87478015852639</v>
      </c>
      <c r="N221" s="65">
        <v>2062.6102665784465</v>
      </c>
      <c r="O221" s="65">
        <v>89.017014362663275</v>
      </c>
      <c r="P221" s="200">
        <f t="shared" si="194"/>
        <v>37858.380243235923</v>
      </c>
      <c r="Q221" s="200">
        <f t="shared" si="195"/>
        <v>37858.380243235923</v>
      </c>
      <c r="R221" s="200">
        <f t="shared" si="196"/>
        <v>37858.380243235923</v>
      </c>
      <c r="S221" s="133">
        <f t="shared" si="228"/>
        <v>38764.525757257012</v>
      </c>
      <c r="T221" s="133">
        <f t="shared" si="229"/>
        <v>38764.525757257012</v>
      </c>
      <c r="U221" s="133">
        <f t="shared" si="230"/>
        <v>38764.525757257012</v>
      </c>
      <c r="V221" s="200">
        <f t="shared" si="200"/>
        <v>37858.380243235923</v>
      </c>
      <c r="W221" s="200">
        <f t="shared" si="201"/>
        <v>37858.380243235923</v>
      </c>
      <c r="X221" s="200">
        <f t="shared" si="202"/>
        <v>37858.380243235923</v>
      </c>
      <c r="Y221" s="65">
        <v>1595.6275277771445</v>
      </c>
      <c r="Z221" s="65">
        <v>2490.6626136791965</v>
      </c>
      <c r="AA221" s="65">
        <v>356.92398630000332</v>
      </c>
      <c r="AB221" s="200">
        <f t="shared" si="218"/>
        <v>40349.042856915119</v>
      </c>
      <c r="AC221" s="200">
        <f t="shared" si="219"/>
        <v>40349.042856915119</v>
      </c>
      <c r="AD221" s="200">
        <f t="shared" si="220"/>
        <v>40349.042856915119</v>
      </c>
      <c r="AE221" s="199">
        <f t="shared" si="175"/>
        <v>40360.153285034154</v>
      </c>
      <c r="AF221" s="199">
        <f t="shared" si="221"/>
        <v>41255.188370936208</v>
      </c>
      <c r="AG221" s="199">
        <f t="shared" si="176"/>
        <v>39121.449743557016</v>
      </c>
      <c r="AH221" s="199">
        <f t="shared" si="231"/>
        <v>40188.319057246612</v>
      </c>
      <c r="AI221" s="200">
        <f t="shared" si="222"/>
        <v>40349.042856915119</v>
      </c>
      <c r="AJ221" s="200">
        <f t="shared" si="223"/>
        <v>40349.042856915119</v>
      </c>
      <c r="AK221" s="200">
        <f t="shared" si="224"/>
        <v>40349.042856915119</v>
      </c>
      <c r="AL221" s="4"/>
      <c r="AM221" s="4"/>
      <c r="AN221" s="4"/>
      <c r="AO221" s="4"/>
      <c r="AP221" s="63"/>
      <c r="AQ221" s="18"/>
      <c r="AR221" s="10">
        <v>9920</v>
      </c>
      <c r="AS221" s="18"/>
      <c r="AT221" s="62"/>
      <c r="AU221" s="65">
        <v>118.17</v>
      </c>
      <c r="AV221" s="65">
        <v>3225.1860000000001</v>
      </c>
      <c r="AW221" s="63"/>
      <c r="AX221" s="63"/>
      <c r="AY221" s="65">
        <v>1031.6699594133333</v>
      </c>
      <c r="AZ221" s="63"/>
      <c r="BA221" s="65">
        <v>1760</v>
      </c>
      <c r="BB221" s="133">
        <f t="shared" si="206"/>
        <v>793.255</v>
      </c>
      <c r="BC221" s="65">
        <v>387.84712854806463</v>
      </c>
      <c r="BD221" s="65">
        <v>15.523669194184084</v>
      </c>
      <c r="BE221" s="65">
        <v>0</v>
      </c>
      <c r="BF221" s="65">
        <v>180.28804750208775</v>
      </c>
      <c r="BG221" s="65">
        <v>0</v>
      </c>
      <c r="BH221" s="65">
        <v>44.202923232317495</v>
      </c>
      <c r="BI221" s="65">
        <v>983.96767545238163</v>
      </c>
      <c r="BJ221" s="65">
        <v>0</v>
      </c>
      <c r="BK221" s="65">
        <v>16.565610887239799</v>
      </c>
      <c r="BL221" s="65">
        <v>0</v>
      </c>
      <c r="BM221" s="65">
        <v>0</v>
      </c>
      <c r="BN221" s="65">
        <v>33.291643770364956</v>
      </c>
      <c r="BO221" s="65">
        <v>212.18019192</v>
      </c>
      <c r="BP221" s="260">
        <f t="shared" si="225"/>
        <v>992</v>
      </c>
      <c r="BQ221" s="65">
        <v>102.6172005071938</v>
      </c>
      <c r="BR221" s="65">
        <v>134.07272079643289</v>
      </c>
      <c r="BS221" s="65">
        <v>485.13698285117783</v>
      </c>
      <c r="BT221" s="65">
        <v>160.14154441249812</v>
      </c>
      <c r="BU221" s="65">
        <v>159.67270363170474</v>
      </c>
      <c r="BV221" s="144">
        <f t="shared" si="215"/>
        <v>670.51234611096845</v>
      </c>
      <c r="BW221" s="144">
        <f t="shared" si="216"/>
        <v>1443.8271866049124</v>
      </c>
      <c r="BX221" s="144">
        <f t="shared" si="217"/>
        <v>62.311910053864288</v>
      </c>
      <c r="BY221" s="5"/>
      <c r="BZ221" s="66">
        <v>7254</v>
      </c>
      <c r="CA221" s="65">
        <v>3794.3999999999996</v>
      </c>
      <c r="CB221" s="5"/>
      <c r="CC221" s="5"/>
      <c r="CD221" s="188">
        <v>0</v>
      </c>
      <c r="CE221" s="5"/>
      <c r="CF221" s="133">
        <f t="shared" si="232"/>
        <v>865.33333333333337</v>
      </c>
      <c r="CG221" s="133">
        <f t="shared" si="208"/>
        <v>3162</v>
      </c>
      <c r="CH221" s="70"/>
      <c r="CI221" s="70"/>
      <c r="CJ221" s="133">
        <f t="shared" si="193"/>
        <v>2379.7649999999999</v>
      </c>
      <c r="CK221" s="8">
        <f t="shared" si="172"/>
        <v>38008.173778222059</v>
      </c>
      <c r="CL221" s="202">
        <f t="shared" si="152"/>
        <v>2340.8690786930601</v>
      </c>
      <c r="CM221" s="202">
        <f t="shared" si="153"/>
        <v>2340.8690786930601</v>
      </c>
      <c r="CN221" s="202">
        <f t="shared" si="154"/>
        <v>2340.8690786930601</v>
      </c>
      <c r="CO221" s="9">
        <f t="shared" si="155"/>
        <v>2351.9795068120948</v>
      </c>
      <c r="CP221" s="9">
        <f t="shared" si="156"/>
        <v>3247.0145927141493</v>
      </c>
      <c r="CQ221" s="9">
        <f t="shared" si="157"/>
        <v>1113.2759653349567</v>
      </c>
      <c r="CR221" s="202">
        <f t="shared" si="158"/>
        <v>2340.8690786930601</v>
      </c>
      <c r="CS221" s="202">
        <f t="shared" si="159"/>
        <v>2340.8690786930601</v>
      </c>
      <c r="CT221" s="202">
        <f t="shared" si="160"/>
        <v>2340.8690786930601</v>
      </c>
      <c r="CU221" s="203">
        <f t="shared" si="161"/>
        <v>5.8015479747418004E-2</v>
      </c>
      <c r="CV221" s="203">
        <f t="shared" si="162"/>
        <v>5.8015479747418004E-2</v>
      </c>
      <c r="CW221" s="203">
        <f t="shared" si="163"/>
        <v>5.8015479747418004E-2</v>
      </c>
      <c r="CX221" s="19">
        <f t="shared" si="164"/>
        <v>5.8274791232872408E-2</v>
      </c>
      <c r="CY221" s="19">
        <f t="shared" si="165"/>
        <v>7.8705605789977012E-2</v>
      </c>
      <c r="CZ221" s="19">
        <f t="shared" si="166"/>
        <v>2.8456919992294105E-2</v>
      </c>
      <c r="DA221" s="203">
        <f t="shared" si="167"/>
        <v>5.8015479747418004E-2</v>
      </c>
      <c r="DB221" s="203">
        <f t="shared" si="168"/>
        <v>5.8015479747418004E-2</v>
      </c>
      <c r="DC221" s="203">
        <f t="shared" si="169"/>
        <v>5.8015479747418004E-2</v>
      </c>
      <c r="DD221" s="65"/>
      <c r="DE221" s="66"/>
      <c r="DF221" s="66"/>
      <c r="DG221" s="66"/>
      <c r="DH221" s="66"/>
      <c r="DI221" s="66"/>
      <c r="DJ221" s="65"/>
      <c r="DK221" s="66"/>
      <c r="DL221" s="66"/>
      <c r="DM221" s="8">
        <f t="shared" si="170"/>
        <v>0</v>
      </c>
      <c r="DN221" s="8">
        <f t="shared" si="171"/>
        <v>38008.173778222059</v>
      </c>
      <c r="DO221" s="202">
        <f t="shared" si="177"/>
        <v>2340.8690786930601</v>
      </c>
      <c r="DP221" s="202">
        <f t="shared" si="178"/>
        <v>2340.8690786930601</v>
      </c>
      <c r="DQ221" s="202">
        <f t="shared" si="179"/>
        <v>2340.8690786930601</v>
      </c>
      <c r="DR221" s="9">
        <f t="shared" si="180"/>
        <v>2351.9795068120948</v>
      </c>
      <c r="DS221" s="9">
        <f t="shared" si="173"/>
        <v>3247.0145927141493</v>
      </c>
      <c r="DT221" s="9">
        <f t="shared" si="181"/>
        <v>1113.2759653349567</v>
      </c>
      <c r="DU221" s="202">
        <f t="shared" si="182"/>
        <v>2340.8690786930601</v>
      </c>
      <c r="DV221" s="202">
        <f t="shared" si="183"/>
        <v>2340.8690786930601</v>
      </c>
      <c r="DW221" s="202">
        <f t="shared" si="184"/>
        <v>2340.8690786930601</v>
      </c>
      <c r="DX221" s="203">
        <f t="shared" si="185"/>
        <v>5.8015479747418004E-2</v>
      </c>
      <c r="DY221" s="203">
        <f t="shared" si="186"/>
        <v>5.8015479747418004E-2</v>
      </c>
      <c r="DZ221" s="203">
        <f t="shared" si="187"/>
        <v>5.8015479747418004E-2</v>
      </c>
      <c r="EA221" s="19">
        <f t="shared" si="188"/>
        <v>5.8274791232872408E-2</v>
      </c>
      <c r="EB221" s="19">
        <f t="shared" si="174"/>
        <v>7.8705605789977012E-2</v>
      </c>
      <c r="EC221" s="19">
        <f t="shared" si="189"/>
        <v>2.8456919992294105E-2</v>
      </c>
      <c r="ED221" s="203">
        <f t="shared" si="190"/>
        <v>5.8015479747418004E-2</v>
      </c>
      <c r="EE221" s="203">
        <f t="shared" si="191"/>
        <v>5.8015479747418004E-2</v>
      </c>
      <c r="EF221" s="203">
        <f t="shared" si="192"/>
        <v>5.8015479747418004E-2</v>
      </c>
      <c r="EH221" s="58">
        <f t="shared" si="209"/>
        <v>28870.64005127567</v>
      </c>
      <c r="EI221" s="68">
        <f t="shared" si="210"/>
        <v>0.69980628355619612</v>
      </c>
      <c r="EJ221" s="58">
        <f t="shared" si="211"/>
        <v>26108.973384609002</v>
      </c>
      <c r="EK221" s="68">
        <f t="shared" si="210"/>
        <v>0.6328652083674029</v>
      </c>
      <c r="EL221" s="58">
        <f t="shared" si="212"/>
        <v>4179.0471818084725</v>
      </c>
      <c r="EM221" s="58">
        <f t="shared" si="213"/>
        <v>4241.3590918623368</v>
      </c>
      <c r="EN221" s="68">
        <f t="shared" si="214"/>
        <v>0.10280789542704703</v>
      </c>
      <c r="EO221" s="139">
        <f t="shared" si="233"/>
        <v>0.35739486552628164</v>
      </c>
      <c r="EP221">
        <f>+(SUM(M221:O221)*EO221*(1-'[1]Tier 3 Data'!$A$2))</f>
        <v>1036.8616262247133</v>
      </c>
    </row>
    <row r="222" spans="1:146" x14ac:dyDescent="0.2">
      <c r="A222" s="43">
        <v>0</v>
      </c>
      <c r="B222" s="43">
        <v>0</v>
      </c>
      <c r="C222" s="43">
        <v>0</v>
      </c>
      <c r="D222" s="70">
        <v>2025</v>
      </c>
      <c r="E222" s="70">
        <v>11</v>
      </c>
      <c r="F222" s="2">
        <v>721</v>
      </c>
      <c r="G222" s="133">
        <f t="shared" si="226"/>
        <v>41464.337454544686</v>
      </c>
      <c r="H222" s="65">
        <v>41464.337454544686</v>
      </c>
      <c r="I222" s="133">
        <f t="shared" si="227"/>
        <v>41464.337454544686</v>
      </c>
      <c r="J222" s="133">
        <f t="shared" si="203"/>
        <v>422.11812499999991</v>
      </c>
      <c r="K222" s="65">
        <v>422.11812499999991</v>
      </c>
      <c r="L222" s="133">
        <f t="shared" si="204"/>
        <v>422.11812499999991</v>
      </c>
      <c r="M222" s="65">
        <v>391.15101618171565</v>
      </c>
      <c r="N222" s="65">
        <v>842.27303867993726</v>
      </c>
      <c r="O222" s="65">
        <v>42.558167483156126</v>
      </c>
      <c r="P222" s="200">
        <f t="shared" si="194"/>
        <v>40659.424662841244</v>
      </c>
      <c r="Q222" s="200">
        <f t="shared" si="195"/>
        <v>40659.424662841244</v>
      </c>
      <c r="R222" s="200">
        <f t="shared" si="196"/>
        <v>40659.424662841244</v>
      </c>
      <c r="S222" s="133">
        <f t="shared" si="228"/>
        <v>41029.451879299741</v>
      </c>
      <c r="T222" s="133">
        <f t="shared" si="229"/>
        <v>41029.451879299741</v>
      </c>
      <c r="U222" s="133">
        <f t="shared" si="230"/>
        <v>41029.451879299741</v>
      </c>
      <c r="V222" s="200">
        <f t="shared" si="200"/>
        <v>40659.424662841244</v>
      </c>
      <c r="W222" s="200">
        <f t="shared" si="201"/>
        <v>40659.424662841244</v>
      </c>
      <c r="X222" s="200">
        <f t="shared" si="202"/>
        <v>40659.424662841244</v>
      </c>
      <c r="Y222" s="65">
        <v>2576.758942453961</v>
      </c>
      <c r="Z222" s="65">
        <v>4817.7514025237952</v>
      </c>
      <c r="AA222" s="65">
        <v>652.8609556899421</v>
      </c>
      <c r="AB222" s="200">
        <f t="shared" si="218"/>
        <v>45477.176065365042</v>
      </c>
      <c r="AC222" s="200">
        <f t="shared" si="219"/>
        <v>45477.176065365042</v>
      </c>
      <c r="AD222" s="200">
        <f t="shared" si="220"/>
        <v>45477.176065365042</v>
      </c>
      <c r="AE222" s="199">
        <f t="shared" si="175"/>
        <v>43606.210821753702</v>
      </c>
      <c r="AF222" s="199">
        <f t="shared" si="221"/>
        <v>45847.203281823538</v>
      </c>
      <c r="AG222" s="199">
        <f t="shared" si="176"/>
        <v>41682.31283498968</v>
      </c>
      <c r="AH222" s="199">
        <f t="shared" si="231"/>
        <v>43764.758058406609</v>
      </c>
      <c r="AI222" s="200">
        <f t="shared" si="222"/>
        <v>45477.176065365042</v>
      </c>
      <c r="AJ222" s="200">
        <f t="shared" si="223"/>
        <v>45477.176065365042</v>
      </c>
      <c r="AK222" s="200">
        <f t="shared" si="224"/>
        <v>45477.176065365042</v>
      </c>
      <c r="AL222" s="4"/>
      <c r="AM222" s="4"/>
      <c r="AN222" s="4"/>
      <c r="AO222" s="4"/>
      <c r="AP222" s="63"/>
      <c r="AQ222" s="18"/>
      <c r="AR222" s="10">
        <v>9600</v>
      </c>
      <c r="AS222" s="18"/>
      <c r="AT222" s="62"/>
      <c r="AU222" s="65">
        <v>104.364</v>
      </c>
      <c r="AV222" s="65">
        <v>3268.3739999999998</v>
      </c>
      <c r="AW222" s="63"/>
      <c r="AX222" s="63"/>
      <c r="AY222" s="65">
        <v>1051.7654038000001</v>
      </c>
      <c r="AZ222" s="63"/>
      <c r="BA222" s="65">
        <v>2363</v>
      </c>
      <c r="BB222" s="133">
        <f t="shared" si="206"/>
        <v>1022.525</v>
      </c>
      <c r="BC222" s="65">
        <v>283.87477427119757</v>
      </c>
      <c r="BD222" s="65">
        <v>14.399660735694527</v>
      </c>
      <c r="BE222" s="65">
        <v>0</v>
      </c>
      <c r="BF222" s="65">
        <v>188.4392525423311</v>
      </c>
      <c r="BG222" s="65">
        <v>0</v>
      </c>
      <c r="BH222" s="65">
        <v>82.091143145732502</v>
      </c>
      <c r="BI222" s="65">
        <v>720.18994392164086</v>
      </c>
      <c r="BJ222" s="65">
        <v>0</v>
      </c>
      <c r="BK222" s="65">
        <v>19.844702933795372</v>
      </c>
      <c r="BL222" s="65">
        <v>0</v>
      </c>
      <c r="BM222" s="65">
        <v>0</v>
      </c>
      <c r="BN222" s="65">
        <v>61.827338430677763</v>
      </c>
      <c r="BO222" s="65">
        <v>205.33566960000002</v>
      </c>
      <c r="BP222" s="260">
        <f t="shared" si="225"/>
        <v>960</v>
      </c>
      <c r="BQ222" s="65">
        <v>63.251219404251245</v>
      </c>
      <c r="BR222" s="65">
        <v>82.639780783349423</v>
      </c>
      <c r="BS222" s="65">
        <v>299.02886823236821</v>
      </c>
      <c r="BT222" s="65">
        <v>110.45641609348172</v>
      </c>
      <c r="BU222" s="65">
        <v>122.84702665865615</v>
      </c>
      <c r="BV222" s="144">
        <f t="shared" si="215"/>
        <v>273.80571132720092</v>
      </c>
      <c r="BW222" s="144">
        <f t="shared" si="216"/>
        <v>589.59112707595602</v>
      </c>
      <c r="BX222" s="144">
        <f t="shared" si="217"/>
        <v>29.790717238209286</v>
      </c>
      <c r="BY222" s="5"/>
      <c r="BZ222" s="66">
        <v>7029.75</v>
      </c>
      <c r="CA222" s="65">
        <v>4435.1000000000004</v>
      </c>
      <c r="CB222" s="5"/>
      <c r="CC222" s="5"/>
      <c r="CD222" s="188">
        <v>3.0642236760841479</v>
      </c>
      <c r="CE222" s="5"/>
      <c r="CF222" s="133">
        <f t="shared" si="232"/>
        <v>1161.3333333333333</v>
      </c>
      <c r="CG222" s="133">
        <f t="shared" si="208"/>
        <v>4663</v>
      </c>
      <c r="CH222" s="70"/>
      <c r="CI222" s="70"/>
      <c r="CJ222" s="133">
        <f t="shared" si="193"/>
        <v>3067.5749999999998</v>
      </c>
      <c r="CK222" s="8">
        <f t="shared" si="172"/>
        <v>38809.689313203962</v>
      </c>
      <c r="CL222" s="202">
        <f t="shared" si="152"/>
        <v>6667.4867521610795</v>
      </c>
      <c r="CM222" s="202">
        <f t="shared" si="153"/>
        <v>6667.4867521610795</v>
      </c>
      <c r="CN222" s="202">
        <f t="shared" si="154"/>
        <v>6667.4867521610795</v>
      </c>
      <c r="CO222" s="9">
        <f t="shared" si="155"/>
        <v>4796.5215085497402</v>
      </c>
      <c r="CP222" s="9">
        <f t="shared" si="156"/>
        <v>7037.5139686195762</v>
      </c>
      <c r="CQ222" s="9">
        <f t="shared" si="157"/>
        <v>2872.6235217857175</v>
      </c>
      <c r="CR222" s="202">
        <f t="shared" si="158"/>
        <v>6667.4867521610795</v>
      </c>
      <c r="CS222" s="202">
        <f t="shared" si="159"/>
        <v>6667.4867521610795</v>
      </c>
      <c r="CT222" s="202">
        <f t="shared" si="160"/>
        <v>6667.4867521610795</v>
      </c>
      <c r="CU222" s="203">
        <f t="shared" si="161"/>
        <v>0.14661171446920535</v>
      </c>
      <c r="CV222" s="203">
        <f t="shared" si="162"/>
        <v>0.14661171446920535</v>
      </c>
      <c r="CW222" s="203">
        <f t="shared" si="163"/>
        <v>0.14661171446920535</v>
      </c>
      <c r="CX222" s="19">
        <f t="shared" si="164"/>
        <v>0.10999629222901691</v>
      </c>
      <c r="CY222" s="19">
        <f t="shared" si="165"/>
        <v>0.15349930780640769</v>
      </c>
      <c r="CZ222" s="19">
        <f t="shared" si="166"/>
        <v>6.8917085603136946E-2</v>
      </c>
      <c r="DA222" s="203">
        <f t="shared" si="167"/>
        <v>0.14661171446920535</v>
      </c>
      <c r="DB222" s="203">
        <f t="shared" si="168"/>
        <v>0.14661171446920535</v>
      </c>
      <c r="DC222" s="203">
        <f t="shared" si="169"/>
        <v>0.14661171446920535</v>
      </c>
      <c r="DD222" s="65"/>
      <c r="DE222" s="66"/>
      <c r="DF222" s="66"/>
      <c r="DG222" s="66"/>
      <c r="DH222" s="66"/>
      <c r="DI222" s="66"/>
      <c r="DJ222" s="65"/>
      <c r="DK222" s="66"/>
      <c r="DL222" s="66"/>
      <c r="DM222" s="8">
        <f t="shared" si="170"/>
        <v>0</v>
      </c>
      <c r="DN222" s="8">
        <f t="shared" si="171"/>
        <v>38809.689313203962</v>
      </c>
      <c r="DO222" s="202">
        <f t="shared" si="177"/>
        <v>6667.4867521610795</v>
      </c>
      <c r="DP222" s="202">
        <f t="shared" si="178"/>
        <v>6667.4867521610795</v>
      </c>
      <c r="DQ222" s="202">
        <f t="shared" si="179"/>
        <v>6667.4867521610795</v>
      </c>
      <c r="DR222" s="9">
        <f t="shared" si="180"/>
        <v>4796.5215085497402</v>
      </c>
      <c r="DS222" s="9">
        <f t="shared" si="173"/>
        <v>7037.5139686195762</v>
      </c>
      <c r="DT222" s="9">
        <f t="shared" si="181"/>
        <v>2872.6235217857175</v>
      </c>
      <c r="DU222" s="202">
        <f t="shared" si="182"/>
        <v>6667.4867521610795</v>
      </c>
      <c r="DV222" s="202">
        <f t="shared" si="183"/>
        <v>6667.4867521610795</v>
      </c>
      <c r="DW222" s="202">
        <f t="shared" si="184"/>
        <v>6667.4867521610795</v>
      </c>
      <c r="DX222" s="203">
        <f t="shared" si="185"/>
        <v>0.14661171446920535</v>
      </c>
      <c r="DY222" s="203">
        <f t="shared" si="186"/>
        <v>0.14661171446920535</v>
      </c>
      <c r="DZ222" s="203">
        <f t="shared" si="187"/>
        <v>0.14661171446920535</v>
      </c>
      <c r="EA222" s="19">
        <f t="shared" si="188"/>
        <v>0.10999629222901691</v>
      </c>
      <c r="EB222" s="19">
        <f t="shared" si="174"/>
        <v>0.15349930780640769</v>
      </c>
      <c r="EC222" s="19">
        <f t="shared" si="189"/>
        <v>6.8917085603136946E-2</v>
      </c>
      <c r="ED222" s="203">
        <f t="shared" si="190"/>
        <v>0.14661171446920535</v>
      </c>
      <c r="EE222" s="203">
        <f t="shared" si="191"/>
        <v>0.14661171446920535</v>
      </c>
      <c r="EF222" s="203">
        <f t="shared" si="192"/>
        <v>0.14661171446920535</v>
      </c>
      <c r="EH222" s="58">
        <f t="shared" si="209"/>
        <v>29233.071792325016</v>
      </c>
      <c r="EI222" s="68">
        <f t="shared" si="210"/>
        <v>0.63761952092538399</v>
      </c>
      <c r="EJ222" s="58">
        <f t="shared" si="211"/>
        <v>26879.530125658344</v>
      </c>
      <c r="EK222" s="68">
        <f t="shared" si="210"/>
        <v>0.58628505561024991</v>
      </c>
      <c r="EL222" s="58">
        <f t="shared" si="212"/>
        <v>2655.3776712868016</v>
      </c>
      <c r="EM222" s="58">
        <f t="shared" si="213"/>
        <v>2685.1683885250109</v>
      </c>
      <c r="EN222" s="68">
        <f t="shared" si="214"/>
        <v>5.8567768507475478E-2</v>
      </c>
      <c r="EO222" s="139">
        <f t="shared" si="233"/>
        <v>0.4050825009776523</v>
      </c>
      <c r="EP222">
        <f>+(SUM(M222:O222)*EO222*(1-'[1]Tier 3 Data'!$A$2))</f>
        <v>482.24723915181744</v>
      </c>
    </row>
    <row r="223" spans="1:146" x14ac:dyDescent="0.2">
      <c r="A223" s="43">
        <v>0</v>
      </c>
      <c r="B223" s="43">
        <v>0</v>
      </c>
      <c r="C223" s="43">
        <v>0</v>
      </c>
      <c r="D223" s="70">
        <v>2025</v>
      </c>
      <c r="E223" s="70">
        <v>12</v>
      </c>
      <c r="F223" s="2">
        <v>744</v>
      </c>
      <c r="G223" s="133">
        <f t="shared" si="226"/>
        <v>47055.26669931884</v>
      </c>
      <c r="H223" s="65">
        <v>47055.26669931884</v>
      </c>
      <c r="I223" s="133">
        <f t="shared" si="227"/>
        <v>47055.26669931884</v>
      </c>
      <c r="J223" s="133">
        <f t="shared" si="203"/>
        <v>460.49249999999989</v>
      </c>
      <c r="K223" s="65">
        <v>460.49249999999989</v>
      </c>
      <c r="L223" s="133">
        <f t="shared" si="204"/>
        <v>460.49249999999989</v>
      </c>
      <c r="M223" s="65">
        <v>248.30627982623952</v>
      </c>
      <c r="N223" s="65">
        <v>534.68270867382159</v>
      </c>
      <c r="O223" s="65">
        <v>29.525371921380444</v>
      </c>
      <c r="P223" s="200">
        <f t="shared" si="194"/>
        <v>46351.019891192409</v>
      </c>
      <c r="Q223" s="200">
        <f t="shared" si="195"/>
        <v>46351.019891192409</v>
      </c>
      <c r="R223" s="200">
        <f t="shared" si="196"/>
        <v>46351.019891192409</v>
      </c>
      <c r="S223" s="133">
        <f t="shared" si="228"/>
        <v>46585.916587742424</v>
      </c>
      <c r="T223" s="133">
        <f t="shared" si="229"/>
        <v>46585.916587742424</v>
      </c>
      <c r="U223" s="133">
        <f t="shared" si="230"/>
        <v>46585.916587742424</v>
      </c>
      <c r="V223" s="200">
        <f t="shared" si="200"/>
        <v>46351.019891192409</v>
      </c>
      <c r="W223" s="200">
        <f t="shared" si="201"/>
        <v>46351.019891192409</v>
      </c>
      <c r="X223" s="200">
        <f t="shared" si="202"/>
        <v>46351.019891192409</v>
      </c>
      <c r="Y223" s="65">
        <v>3011.6318499963545</v>
      </c>
      <c r="Z223" s="65">
        <v>5440.6066615086911</v>
      </c>
      <c r="AA223" s="65">
        <v>746.79942186136395</v>
      </c>
      <c r="AB223" s="200">
        <f t="shared" si="218"/>
        <v>51791.626552701098</v>
      </c>
      <c r="AC223" s="200">
        <f t="shared" si="219"/>
        <v>51791.626552701098</v>
      </c>
      <c r="AD223" s="200">
        <f t="shared" si="220"/>
        <v>51791.626552701098</v>
      </c>
      <c r="AE223" s="199">
        <f t="shared" si="175"/>
        <v>49597.548437738777</v>
      </c>
      <c r="AF223" s="199">
        <f t="shared" si="221"/>
        <v>52026.523249251113</v>
      </c>
      <c r="AG223" s="199">
        <f t="shared" si="176"/>
        <v>47332.716009603784</v>
      </c>
      <c r="AH223" s="199">
        <f t="shared" si="231"/>
        <v>49679.619629427449</v>
      </c>
      <c r="AI223" s="200">
        <f t="shared" si="222"/>
        <v>51791.626552701098</v>
      </c>
      <c r="AJ223" s="200">
        <f t="shared" si="223"/>
        <v>51791.626552701098</v>
      </c>
      <c r="AK223" s="200">
        <f t="shared" si="224"/>
        <v>51791.626552701098</v>
      </c>
      <c r="AL223" s="4"/>
      <c r="AM223" s="4"/>
      <c r="AN223" s="4"/>
      <c r="AO223" s="4"/>
      <c r="AP223" s="63"/>
      <c r="AQ223" s="18"/>
      <c r="AR223" s="10">
        <v>9920</v>
      </c>
      <c r="AS223" s="18"/>
      <c r="AT223" s="62"/>
      <c r="AU223" s="65">
        <v>105.066</v>
      </c>
      <c r="AV223" s="65">
        <v>3218.8470000000002</v>
      </c>
      <c r="AW223" s="63"/>
      <c r="AX223" s="63"/>
      <c r="AY223" s="65">
        <v>1226.60803108</v>
      </c>
      <c r="AZ223" s="63"/>
      <c r="BA223" s="65">
        <v>2225.2240000000002</v>
      </c>
      <c r="BB223" s="133">
        <f t="shared" si="206"/>
        <v>899.09749999999997</v>
      </c>
      <c r="BC223" s="65">
        <v>133.02629953839877</v>
      </c>
      <c r="BD223" s="65">
        <v>14.892990970660508</v>
      </c>
      <c r="BE223" s="65">
        <v>0</v>
      </c>
      <c r="BF223" s="65">
        <v>193.40118982180462</v>
      </c>
      <c r="BG223" s="65">
        <v>0</v>
      </c>
      <c r="BH223" s="65">
        <v>50.51762655121999</v>
      </c>
      <c r="BI223" s="65">
        <v>337.48755397736403</v>
      </c>
      <c r="BJ223" s="65">
        <v>0</v>
      </c>
      <c r="BK223" s="65">
        <v>20.28324216774827</v>
      </c>
      <c r="BL223" s="65">
        <v>0</v>
      </c>
      <c r="BM223" s="65">
        <v>0</v>
      </c>
      <c r="BN223" s="65">
        <v>38.047592880417092</v>
      </c>
      <c r="BO223" s="65">
        <v>212.18019192</v>
      </c>
      <c r="BP223" s="260">
        <f t="shared" si="225"/>
        <v>992</v>
      </c>
      <c r="BQ223" s="65">
        <v>57.630902409830838</v>
      </c>
      <c r="BR223" s="65">
        <v>74.920141792811393</v>
      </c>
      <c r="BS223" s="65">
        <v>272.45794080446552</v>
      </c>
      <c r="BT223" s="65">
        <v>101.69739733974966</v>
      </c>
      <c r="BU223" s="65">
        <v>108.11683752294735</v>
      </c>
      <c r="BV223" s="144">
        <f t="shared" si="215"/>
        <v>173.81439587836766</v>
      </c>
      <c r="BW223" s="144">
        <f t="shared" si="216"/>
        <v>374.27789607167512</v>
      </c>
      <c r="BX223" s="144">
        <f t="shared" si="217"/>
        <v>20.667760344966311</v>
      </c>
      <c r="BY223" s="5"/>
      <c r="BZ223" s="66">
        <v>7254</v>
      </c>
      <c r="CA223" s="65">
        <v>6858.4000000000005</v>
      </c>
      <c r="CB223" s="5"/>
      <c r="CC223" s="5"/>
      <c r="CD223" s="188">
        <v>4.9023166732340453</v>
      </c>
      <c r="CE223" s="5"/>
      <c r="CF223" s="133">
        <f t="shared" si="232"/>
        <v>1762.3333333333333</v>
      </c>
      <c r="CG223" s="133">
        <f t="shared" si="208"/>
        <v>4206</v>
      </c>
      <c r="CH223" s="70"/>
      <c r="CI223" s="70"/>
      <c r="CJ223" s="133">
        <f t="shared" si="193"/>
        <v>2697.2925</v>
      </c>
      <c r="CK223" s="8">
        <f t="shared" si="172"/>
        <v>40855.898141079007</v>
      </c>
      <c r="CL223" s="202">
        <f t="shared" si="152"/>
        <v>10935.728411622091</v>
      </c>
      <c r="CM223" s="202">
        <f t="shared" si="153"/>
        <v>10935.728411622091</v>
      </c>
      <c r="CN223" s="202">
        <f t="shared" si="154"/>
        <v>10935.728411622091</v>
      </c>
      <c r="CO223" s="9">
        <f t="shared" si="155"/>
        <v>8741.6502966597691</v>
      </c>
      <c r="CP223" s="9">
        <f t="shared" si="156"/>
        <v>11170.625108172106</v>
      </c>
      <c r="CQ223" s="9">
        <f t="shared" si="157"/>
        <v>6476.8178685247767</v>
      </c>
      <c r="CR223" s="202">
        <f t="shared" si="158"/>
        <v>10935.728411622091</v>
      </c>
      <c r="CS223" s="202">
        <f t="shared" si="159"/>
        <v>10935.728411622091</v>
      </c>
      <c r="CT223" s="202">
        <f t="shared" si="160"/>
        <v>10935.728411622091</v>
      </c>
      <c r="CU223" s="203">
        <f t="shared" si="161"/>
        <v>0.21114858017626323</v>
      </c>
      <c r="CV223" s="203">
        <f t="shared" si="162"/>
        <v>0.21114858017626323</v>
      </c>
      <c r="CW223" s="203">
        <f t="shared" si="163"/>
        <v>0.21114858017626323</v>
      </c>
      <c r="CX223" s="19">
        <f t="shared" si="164"/>
        <v>0.17625166106009077</v>
      </c>
      <c r="CY223" s="19">
        <f t="shared" si="165"/>
        <v>0.21471019800141844</v>
      </c>
      <c r="CZ223" s="19">
        <f t="shared" si="166"/>
        <v>0.13683596494252798</v>
      </c>
      <c r="DA223" s="203">
        <f t="shared" si="167"/>
        <v>0.21114858017626323</v>
      </c>
      <c r="DB223" s="203">
        <f t="shared" si="168"/>
        <v>0.21114858017626323</v>
      </c>
      <c r="DC223" s="203">
        <f t="shared" si="169"/>
        <v>0.21114858017626323</v>
      </c>
      <c r="DD223" s="65"/>
      <c r="DE223" s="66"/>
      <c r="DF223" s="66"/>
      <c r="DG223" s="66"/>
      <c r="DH223" s="66"/>
      <c r="DI223" s="66"/>
      <c r="DJ223" s="65"/>
      <c r="DK223" s="66"/>
      <c r="DL223" s="66"/>
      <c r="DM223" s="8">
        <f t="shared" si="170"/>
        <v>0</v>
      </c>
      <c r="DN223" s="8">
        <f t="shared" si="171"/>
        <v>40855.898141079007</v>
      </c>
      <c r="DO223" s="202">
        <f t="shared" si="177"/>
        <v>10935.728411622091</v>
      </c>
      <c r="DP223" s="202">
        <f t="shared" si="178"/>
        <v>10935.728411622091</v>
      </c>
      <c r="DQ223" s="202">
        <f t="shared" si="179"/>
        <v>10935.728411622091</v>
      </c>
      <c r="DR223" s="9">
        <f t="shared" si="180"/>
        <v>8741.6502966597691</v>
      </c>
      <c r="DS223" s="9">
        <f t="shared" si="173"/>
        <v>11170.625108172106</v>
      </c>
      <c r="DT223" s="9">
        <f t="shared" si="181"/>
        <v>6476.8178685247767</v>
      </c>
      <c r="DU223" s="202">
        <f t="shared" si="182"/>
        <v>10935.728411622091</v>
      </c>
      <c r="DV223" s="202">
        <f t="shared" si="183"/>
        <v>10935.728411622091</v>
      </c>
      <c r="DW223" s="202">
        <f t="shared" si="184"/>
        <v>10935.728411622091</v>
      </c>
      <c r="DX223" s="203">
        <f t="shared" si="185"/>
        <v>0.21114858017626323</v>
      </c>
      <c r="DY223" s="203">
        <f t="shared" si="186"/>
        <v>0.21114858017626323</v>
      </c>
      <c r="DZ223" s="203">
        <f t="shared" si="187"/>
        <v>0.21114858017626323</v>
      </c>
      <c r="EA223" s="19">
        <f t="shared" si="188"/>
        <v>0.17625166106009077</v>
      </c>
      <c r="EB223" s="19">
        <f t="shared" si="174"/>
        <v>0.21471019800141844</v>
      </c>
      <c r="EC223" s="19">
        <f t="shared" si="189"/>
        <v>0.13683596494252798</v>
      </c>
      <c r="ED223" s="203">
        <f t="shared" si="190"/>
        <v>0.21114858017626323</v>
      </c>
      <c r="EE223" s="203">
        <f t="shared" si="191"/>
        <v>0.21114858017626323</v>
      </c>
      <c r="EF223" s="203">
        <f t="shared" si="192"/>
        <v>0.21114858017626323</v>
      </c>
      <c r="EH223" s="58">
        <f t="shared" si="209"/>
        <v>28236.046905372259</v>
      </c>
      <c r="EI223" s="68">
        <f t="shared" si="210"/>
        <v>0.54272407883374563</v>
      </c>
      <c r="EJ223" s="58">
        <f t="shared" si="211"/>
        <v>26371.380238705591</v>
      </c>
      <c r="EK223" s="68">
        <f t="shared" si="210"/>
        <v>0.506883385467915</v>
      </c>
      <c r="EL223" s="58">
        <f t="shared" si="212"/>
        <v>1795.5366139472885</v>
      </c>
      <c r="EM223" s="58">
        <f t="shared" si="213"/>
        <v>1816.2043742922549</v>
      </c>
      <c r="EN223" s="68">
        <f t="shared" si="214"/>
        <v>3.4909201323930446E-2</v>
      </c>
      <c r="EO223" s="139">
        <f t="shared" si="233"/>
        <v>0.32946562535829382</v>
      </c>
      <c r="EP223">
        <f>+(SUM(M223:O223)*EO223*(1-'[1]Tier 3 Data'!$A$2))</f>
        <v>249.75994989363184</v>
      </c>
    </row>
    <row r="224" spans="1:146" x14ac:dyDescent="0.2">
      <c r="A224" s="43">
        <v>0</v>
      </c>
      <c r="B224" s="43">
        <v>0</v>
      </c>
      <c r="C224" s="43">
        <v>0</v>
      </c>
      <c r="D224" s="70">
        <v>2026</v>
      </c>
      <c r="E224" s="70">
        <v>1</v>
      </c>
      <c r="F224" s="2">
        <v>744</v>
      </c>
      <c r="G224" s="133">
        <f t="shared" si="226"/>
        <v>48689.297208420634</v>
      </c>
      <c r="H224" s="65">
        <v>48689.297208420634</v>
      </c>
      <c r="I224" s="133">
        <f t="shared" si="227"/>
        <v>48689.297208420634</v>
      </c>
      <c r="J224" s="133">
        <f t="shared" si="203"/>
        <v>498.91687499999989</v>
      </c>
      <c r="K224" s="65">
        <v>498.91687499999989</v>
      </c>
      <c r="L224" s="133">
        <f t="shared" si="204"/>
        <v>498.91687499999989</v>
      </c>
      <c r="M224" s="65">
        <v>350.79787520860157</v>
      </c>
      <c r="N224" s="65">
        <v>755.37984075477868</v>
      </c>
      <c r="O224" s="65">
        <v>43.177896756359729</v>
      </c>
      <c r="P224" s="200">
        <f t="shared" si="194"/>
        <v>47845.57364960471</v>
      </c>
      <c r="Q224" s="200">
        <f t="shared" si="195"/>
        <v>47845.57364960471</v>
      </c>
      <c r="R224" s="200">
        <f t="shared" si="196"/>
        <v>47845.57364960471</v>
      </c>
      <c r="S224" s="133">
        <f t="shared" si="228"/>
        <v>48177.426964393722</v>
      </c>
      <c r="T224" s="133">
        <f t="shared" si="229"/>
        <v>48177.426964393722</v>
      </c>
      <c r="U224" s="133">
        <f t="shared" si="230"/>
        <v>48177.426964393722</v>
      </c>
      <c r="V224" s="200">
        <f t="shared" si="200"/>
        <v>47845.57364960471</v>
      </c>
      <c r="W224" s="200">
        <f t="shared" si="201"/>
        <v>47845.57364960471</v>
      </c>
      <c r="X224" s="200">
        <f t="shared" si="202"/>
        <v>47845.57364960471</v>
      </c>
      <c r="Y224" s="65">
        <v>3310.5007015072633</v>
      </c>
      <c r="Z224" s="65">
        <v>6043.8368171599795</v>
      </c>
      <c r="AA224" s="65">
        <v>876.16285617397773</v>
      </c>
      <c r="AB224" s="200">
        <f t="shared" si="218"/>
        <v>53889.41046676469</v>
      </c>
      <c r="AC224" s="200">
        <f t="shared" si="219"/>
        <v>53889.41046676469</v>
      </c>
      <c r="AD224" s="200">
        <f t="shared" si="220"/>
        <v>53889.41046676469</v>
      </c>
      <c r="AE224" s="199">
        <f t="shared" si="175"/>
        <v>51487.927665900985</v>
      </c>
      <c r="AF224" s="199">
        <f t="shared" si="221"/>
        <v>54221.263781553702</v>
      </c>
      <c r="AG224" s="199">
        <f t="shared" si="176"/>
        <v>49053.5898205677</v>
      </c>
      <c r="AH224" s="199">
        <f t="shared" si="231"/>
        <v>51637.426801060705</v>
      </c>
      <c r="AI224" s="200">
        <f t="shared" si="222"/>
        <v>53889.41046676469</v>
      </c>
      <c r="AJ224" s="200">
        <f t="shared" si="223"/>
        <v>53889.41046676469</v>
      </c>
      <c r="AK224" s="200">
        <f t="shared" si="224"/>
        <v>53889.41046676469</v>
      </c>
      <c r="AL224" s="4"/>
      <c r="AM224" s="4"/>
      <c r="AN224" s="4"/>
      <c r="AO224" s="4"/>
      <c r="AP224" s="63"/>
      <c r="AQ224" s="18"/>
      <c r="AR224" s="10">
        <v>9920</v>
      </c>
      <c r="AS224" s="18"/>
      <c r="AT224" s="62"/>
      <c r="AU224" s="133">
        <f>+AU212</f>
        <v>98.513999999999996</v>
      </c>
      <c r="AV224" s="133">
        <f>+AV212</f>
        <v>3278.6750000000002</v>
      </c>
      <c r="AW224" s="63"/>
      <c r="AX224" s="63"/>
      <c r="AY224" s="65">
        <v>1258.1687644800002</v>
      </c>
      <c r="AZ224" s="63"/>
      <c r="BA224" s="65">
        <v>1660.8</v>
      </c>
      <c r="BB224" s="133">
        <f>+BB212*2</f>
        <v>946.25</v>
      </c>
      <c r="BC224" s="65">
        <v>187.65082722949612</v>
      </c>
      <c r="BD224" s="65">
        <v>17.899913811322826</v>
      </c>
      <c r="BE224" s="65">
        <v>0</v>
      </c>
      <c r="BF224" s="65">
        <v>199.42579123871249</v>
      </c>
      <c r="BG224" s="65">
        <v>0</v>
      </c>
      <c r="BH224" s="65">
        <v>44.202923232317495</v>
      </c>
      <c r="BI224" s="65">
        <v>476.06991176380893</v>
      </c>
      <c r="BJ224" s="65">
        <v>0</v>
      </c>
      <c r="BK224" s="65">
        <v>22.517673403701547</v>
      </c>
      <c r="BL224" s="65">
        <v>0</v>
      </c>
      <c r="BM224" s="65">
        <v>0</v>
      </c>
      <c r="BN224" s="65">
        <v>33.291643770364956</v>
      </c>
      <c r="BO224" s="65">
        <v>212.18019192</v>
      </c>
      <c r="BP224" s="260">
        <f t="shared" si="225"/>
        <v>992</v>
      </c>
      <c r="BQ224" s="65">
        <v>81.547186369965331</v>
      </c>
      <c r="BR224" s="65">
        <v>106.54410283519449</v>
      </c>
      <c r="BS224" s="65">
        <v>385.52573868922912</v>
      </c>
      <c r="BT224" s="65">
        <v>131.80250407738822</v>
      </c>
      <c r="BU224" s="65">
        <v>150.64615055591955</v>
      </c>
      <c r="BV224" s="144">
        <f t="shared" si="215"/>
        <v>245.55851264602109</v>
      </c>
      <c r="BW224" s="144">
        <f t="shared" si="216"/>
        <v>528.76588852834504</v>
      </c>
      <c r="BX224" s="144">
        <f t="shared" si="217"/>
        <v>30.224527729451808</v>
      </c>
      <c r="BY224" s="5"/>
      <c r="BZ224" s="66">
        <v>7254</v>
      </c>
      <c r="CA224" s="4"/>
      <c r="CB224" s="5"/>
      <c r="CC224" s="5"/>
      <c r="CD224" s="188">
        <v>2.5304839482857915</v>
      </c>
      <c r="CE224" s="5"/>
      <c r="CF224" s="133">
        <f t="shared" si="232"/>
        <v>1154.6666666666667</v>
      </c>
      <c r="CG224" s="133">
        <f t="shared" si="208"/>
        <v>2662</v>
      </c>
      <c r="CH224" s="70">
        <v>7440</v>
      </c>
      <c r="CI224" s="70"/>
      <c r="CJ224" s="133">
        <f>BB224</f>
        <v>946.25</v>
      </c>
      <c r="CK224" s="8">
        <f t="shared" si="172"/>
        <v>39521.458402896191</v>
      </c>
      <c r="CL224" s="202">
        <f t="shared" si="152"/>
        <v>14367.952063868499</v>
      </c>
      <c r="CM224" s="202">
        <f t="shared" si="153"/>
        <v>14367.952063868499</v>
      </c>
      <c r="CN224" s="202">
        <f t="shared" si="154"/>
        <v>14367.952063868499</v>
      </c>
      <c r="CO224" s="9">
        <f t="shared" si="155"/>
        <v>11966.469263004794</v>
      </c>
      <c r="CP224" s="9">
        <f t="shared" si="156"/>
        <v>14699.805378657511</v>
      </c>
      <c r="CQ224" s="9">
        <f t="shared" si="157"/>
        <v>9532.1314176715096</v>
      </c>
      <c r="CR224" s="202">
        <f t="shared" si="158"/>
        <v>14367.952063868499</v>
      </c>
      <c r="CS224" s="202">
        <f t="shared" si="159"/>
        <v>14367.952063868499</v>
      </c>
      <c r="CT224" s="202">
        <f t="shared" si="160"/>
        <v>14367.952063868499</v>
      </c>
      <c r="CU224" s="203">
        <f t="shared" si="161"/>
        <v>0.26661921033130753</v>
      </c>
      <c r="CV224" s="203">
        <f t="shared" si="162"/>
        <v>0.26661921033130753</v>
      </c>
      <c r="CW224" s="203">
        <f t="shared" si="163"/>
        <v>0.26661921033130753</v>
      </c>
      <c r="CX224" s="19">
        <f t="shared" si="164"/>
        <v>0.23241310741138746</v>
      </c>
      <c r="CY224" s="19">
        <f t="shared" si="165"/>
        <v>0.27110776019312272</v>
      </c>
      <c r="CZ224" s="19">
        <f t="shared" si="166"/>
        <v>0.19432077147745827</v>
      </c>
      <c r="DA224" s="203">
        <f t="shared" si="167"/>
        <v>0.26661921033130753</v>
      </c>
      <c r="DB224" s="203">
        <f t="shared" si="168"/>
        <v>0.26661921033130753</v>
      </c>
      <c r="DC224" s="203">
        <f t="shared" si="169"/>
        <v>0.26661921033130753</v>
      </c>
      <c r="DD224" s="65"/>
      <c r="DE224" s="66"/>
      <c r="DF224" s="66"/>
      <c r="DG224" s="66"/>
      <c r="DH224" s="66"/>
      <c r="DI224" s="66"/>
      <c r="DJ224" s="65"/>
      <c r="DK224" s="66"/>
      <c r="DL224" s="66"/>
      <c r="DM224" s="8">
        <f t="shared" si="170"/>
        <v>0</v>
      </c>
      <c r="DN224" s="8">
        <f t="shared" si="171"/>
        <v>39521.458402896191</v>
      </c>
      <c r="DO224" s="202">
        <f t="shared" si="177"/>
        <v>14367.952063868499</v>
      </c>
      <c r="DP224" s="202">
        <f t="shared" si="178"/>
        <v>14367.952063868499</v>
      </c>
      <c r="DQ224" s="202">
        <f t="shared" si="179"/>
        <v>14367.952063868499</v>
      </c>
      <c r="DR224" s="9">
        <f t="shared" si="180"/>
        <v>11966.469263004794</v>
      </c>
      <c r="DS224" s="9">
        <f t="shared" si="173"/>
        <v>14699.805378657511</v>
      </c>
      <c r="DT224" s="9">
        <f t="shared" si="181"/>
        <v>9532.1314176715096</v>
      </c>
      <c r="DU224" s="202">
        <f t="shared" si="182"/>
        <v>14367.952063868499</v>
      </c>
      <c r="DV224" s="202">
        <f t="shared" si="183"/>
        <v>14367.952063868499</v>
      </c>
      <c r="DW224" s="202">
        <f t="shared" si="184"/>
        <v>14367.952063868499</v>
      </c>
      <c r="DX224" s="203">
        <f t="shared" si="185"/>
        <v>0.26661921033130753</v>
      </c>
      <c r="DY224" s="203">
        <f t="shared" si="186"/>
        <v>0.26661921033130753</v>
      </c>
      <c r="DZ224" s="203">
        <f t="shared" si="187"/>
        <v>0.26661921033130753</v>
      </c>
      <c r="EA224" s="19">
        <f t="shared" si="188"/>
        <v>0.23241310741138746</v>
      </c>
      <c r="EB224" s="19">
        <f t="shared" si="174"/>
        <v>0.27110776019312272</v>
      </c>
      <c r="EC224" s="19">
        <f t="shared" si="189"/>
        <v>0.19432077147745827</v>
      </c>
      <c r="ED224" s="203">
        <f t="shared" si="190"/>
        <v>0.26661921033130753</v>
      </c>
      <c r="EE224" s="203">
        <f t="shared" si="191"/>
        <v>0.26661921033130753</v>
      </c>
      <c r="EF224" s="203">
        <f t="shared" si="192"/>
        <v>0.26661921033130753</v>
      </c>
      <c r="EH224" s="58">
        <f t="shared" ref="EH224:EH264" si="234">SUMIF($AL$1:$DL$1,1,$AL224:$DL224)-0.5*BZ224</f>
        <v>35446.943615063174</v>
      </c>
      <c r="EI224" s="68">
        <f t="shared" si="210"/>
        <v>0.65374617157341819</v>
      </c>
      <c r="EJ224" s="58">
        <f t="shared" si="211"/>
        <v>31819.943615063174</v>
      </c>
      <c r="EK224" s="68">
        <f t="shared" si="210"/>
        <v>0.58685359572693052</v>
      </c>
      <c r="EL224" s="58">
        <f t="shared" si="212"/>
        <v>2378.6446561870534</v>
      </c>
      <c r="EM224" s="58">
        <f t="shared" si="213"/>
        <v>2408.8691839165053</v>
      </c>
      <c r="EN224" s="68">
        <f t="shared" si="214"/>
        <v>4.4426651389413256E-2</v>
      </c>
      <c r="EO224" s="139">
        <f t="shared" si="233"/>
        <v>0.32527353469126524</v>
      </c>
      <c r="EP224">
        <f>+(SUM(M224:O224)*EO224*(1-'[1]Tier 3 Data'!$A$2))</f>
        <v>348.80668026123294</v>
      </c>
    </row>
    <row r="225" spans="1:146" x14ac:dyDescent="0.2">
      <c r="A225" s="43">
        <v>0</v>
      </c>
      <c r="B225" s="43">
        <v>0</v>
      </c>
      <c r="C225" s="43">
        <v>0</v>
      </c>
      <c r="D225" s="70">
        <v>2026</v>
      </c>
      <c r="E225" s="70">
        <v>2</v>
      </c>
      <c r="F225" s="2">
        <v>672</v>
      </c>
      <c r="G225" s="133">
        <f t="shared" si="226"/>
        <v>44050.104339229016</v>
      </c>
      <c r="H225" s="65">
        <v>44050.104339229016</v>
      </c>
      <c r="I225" s="133">
        <f t="shared" si="227"/>
        <v>44050.104339229016</v>
      </c>
      <c r="J225" s="133">
        <f t="shared" si="203"/>
        <v>537.34124999999995</v>
      </c>
      <c r="K225" s="65">
        <v>537.34124999999995</v>
      </c>
      <c r="L225" s="133">
        <f t="shared" si="204"/>
        <v>537.34124999999995</v>
      </c>
      <c r="M225" s="65">
        <v>758.12758719225985</v>
      </c>
      <c r="N225" s="65">
        <v>1632.4907776153254</v>
      </c>
      <c r="O225" s="65">
        <v>94.85870099420363</v>
      </c>
      <c r="P225" s="200">
        <f t="shared" si="194"/>
        <v>42767.119969488478</v>
      </c>
      <c r="Q225" s="200">
        <f t="shared" si="195"/>
        <v>42767.119969488478</v>
      </c>
      <c r="R225" s="200">
        <f t="shared" si="196"/>
        <v>42767.119969488478</v>
      </c>
      <c r="S225" s="133">
        <f t="shared" si="228"/>
        <v>43484.305478930757</v>
      </c>
      <c r="T225" s="133">
        <f t="shared" si="229"/>
        <v>43484.305478930757</v>
      </c>
      <c r="U225" s="133">
        <f t="shared" si="230"/>
        <v>43484.305478930757</v>
      </c>
      <c r="V225" s="200">
        <f t="shared" si="200"/>
        <v>42767.119969488478</v>
      </c>
      <c r="W225" s="200">
        <f t="shared" si="201"/>
        <v>42767.119969488478</v>
      </c>
      <c r="X225" s="200">
        <f t="shared" si="202"/>
        <v>42767.119969488478</v>
      </c>
      <c r="Y225" s="65">
        <v>3141.6379169462189</v>
      </c>
      <c r="Z225" s="65">
        <v>5287.5881102316289</v>
      </c>
      <c r="AA225" s="65">
        <v>825.49699567330231</v>
      </c>
      <c r="AB225" s="200">
        <f t="shared" si="218"/>
        <v>48054.708079720105</v>
      </c>
      <c r="AC225" s="200">
        <f t="shared" si="219"/>
        <v>48054.708079720105</v>
      </c>
      <c r="AD225" s="200">
        <f t="shared" si="220"/>
        <v>48054.708079720105</v>
      </c>
      <c r="AE225" s="199">
        <f t="shared" si="175"/>
        <v>46625.943395876973</v>
      </c>
      <c r="AF225" s="199">
        <f t="shared" si="221"/>
        <v>48771.893589162384</v>
      </c>
      <c r="AG225" s="199">
        <f t="shared" si="176"/>
        <v>44309.802474604061</v>
      </c>
      <c r="AH225" s="199">
        <f t="shared" si="231"/>
        <v>46540.848031883223</v>
      </c>
      <c r="AI225" s="200">
        <f t="shared" si="222"/>
        <v>48054.708079720105</v>
      </c>
      <c r="AJ225" s="200">
        <f t="shared" si="223"/>
        <v>48054.708079720105</v>
      </c>
      <c r="AK225" s="200">
        <f t="shared" si="224"/>
        <v>48054.708079720105</v>
      </c>
      <c r="AL225" s="4"/>
      <c r="AM225" s="4"/>
      <c r="AN225" s="4"/>
      <c r="AO225" s="4"/>
      <c r="AP225" s="63"/>
      <c r="AQ225" s="18"/>
      <c r="AR225" s="10">
        <v>8960</v>
      </c>
      <c r="AS225" s="18"/>
      <c r="AT225" s="62"/>
      <c r="AU225" s="133">
        <f t="shared" ref="AU225:AV288" si="235">+AU213</f>
        <v>92.897999999999996</v>
      </c>
      <c r="AV225" s="133">
        <f t="shared" si="235"/>
        <v>3057.587</v>
      </c>
      <c r="AW225" s="63"/>
      <c r="AX225" s="63"/>
      <c r="AY225" s="65">
        <v>1185.0038251199999</v>
      </c>
      <c r="AZ225" s="63"/>
      <c r="BA225" s="65">
        <v>853.7</v>
      </c>
      <c r="BB225" s="133">
        <f t="shared" ref="BB225:BB235" si="236">+BB213*2</f>
        <v>611.22</v>
      </c>
      <c r="BC225" s="65">
        <v>233.87491436180096</v>
      </c>
      <c r="BD225" s="65">
        <v>18.196795404006242</v>
      </c>
      <c r="BE225" s="65">
        <v>0</v>
      </c>
      <c r="BF225" s="65">
        <v>194.72305796175525</v>
      </c>
      <c r="BG225" s="65">
        <v>0</v>
      </c>
      <c r="BH225" s="65">
        <v>25.258813275609995</v>
      </c>
      <c r="BI225" s="65">
        <v>593.34036245852292</v>
      </c>
      <c r="BJ225" s="65">
        <v>0</v>
      </c>
      <c r="BK225" s="65">
        <v>19.256201566846642</v>
      </c>
      <c r="BL225" s="65">
        <v>0</v>
      </c>
      <c r="BM225" s="65">
        <v>0</v>
      </c>
      <c r="BN225" s="65">
        <v>19.023796440208546</v>
      </c>
      <c r="BO225" s="65">
        <v>191.64662496000003</v>
      </c>
      <c r="BP225" s="260">
        <f t="shared" si="225"/>
        <v>896</v>
      </c>
      <c r="BQ225" s="65">
        <v>101.45208579390801</v>
      </c>
      <c r="BR225" s="65">
        <v>132.55044513511496</v>
      </c>
      <c r="BS225" s="65">
        <v>479.62868703257493</v>
      </c>
      <c r="BT225" s="65">
        <v>169.0537975690921</v>
      </c>
      <c r="BU225" s="65">
        <v>182.37388495437619</v>
      </c>
      <c r="BV225" s="144">
        <f t="shared" si="215"/>
        <v>530.68931103458192</v>
      </c>
      <c r="BW225" s="144">
        <f t="shared" si="216"/>
        <v>1142.7435443307277</v>
      </c>
      <c r="BX225" s="144">
        <f t="shared" si="217"/>
        <v>66.401090695942543</v>
      </c>
      <c r="BY225" s="5"/>
      <c r="BZ225" s="66">
        <v>6552</v>
      </c>
      <c r="CA225" s="4"/>
      <c r="CB225" s="5"/>
      <c r="CC225" s="5"/>
      <c r="CD225" s="188">
        <v>3.1195892150124847</v>
      </c>
      <c r="CE225" s="5"/>
      <c r="CF225" s="133">
        <f t="shared" si="232"/>
        <v>667.66666666666663</v>
      </c>
      <c r="CG225" s="133">
        <f t="shared" si="208"/>
        <v>5586</v>
      </c>
      <c r="CH225" s="70">
        <v>6720</v>
      </c>
      <c r="CI225" s="70"/>
      <c r="CJ225" s="133">
        <f t="shared" ref="CJ225:CJ288" si="237">BB225</f>
        <v>611.22</v>
      </c>
      <c r="CK225" s="8">
        <f t="shared" si="172"/>
        <v>39285.408493976749</v>
      </c>
      <c r="CL225" s="202">
        <f t="shared" si="152"/>
        <v>8769.2995857433561</v>
      </c>
      <c r="CM225" s="202">
        <f t="shared" si="153"/>
        <v>8769.2995857433561</v>
      </c>
      <c r="CN225" s="202">
        <f t="shared" si="154"/>
        <v>8769.2995857433561</v>
      </c>
      <c r="CO225" s="9">
        <f t="shared" si="155"/>
        <v>7340.5349019002242</v>
      </c>
      <c r="CP225" s="9">
        <f t="shared" si="156"/>
        <v>9486.4850951856351</v>
      </c>
      <c r="CQ225" s="9">
        <f t="shared" si="157"/>
        <v>5024.393980627312</v>
      </c>
      <c r="CR225" s="202">
        <f t="shared" si="158"/>
        <v>8769.2995857433561</v>
      </c>
      <c r="CS225" s="202">
        <f t="shared" si="159"/>
        <v>8769.2995857433561</v>
      </c>
      <c r="CT225" s="202">
        <f t="shared" si="160"/>
        <v>8769.2995857433561</v>
      </c>
      <c r="CU225" s="203">
        <f t="shared" si="161"/>
        <v>0.18248575292967284</v>
      </c>
      <c r="CV225" s="203">
        <f t="shared" si="162"/>
        <v>0.18248575292967284</v>
      </c>
      <c r="CW225" s="203">
        <f t="shared" si="163"/>
        <v>0.18248575292967284</v>
      </c>
      <c r="CX225" s="19">
        <f t="shared" si="164"/>
        <v>0.15743456040289644</v>
      </c>
      <c r="CY225" s="19">
        <f t="shared" si="165"/>
        <v>0.19450721300871593</v>
      </c>
      <c r="CZ225" s="19">
        <f t="shared" si="166"/>
        <v>0.11339238046721192</v>
      </c>
      <c r="DA225" s="203">
        <f t="shared" si="167"/>
        <v>0.18248575292967284</v>
      </c>
      <c r="DB225" s="203">
        <f t="shared" si="168"/>
        <v>0.18248575292967284</v>
      </c>
      <c r="DC225" s="203">
        <f t="shared" si="169"/>
        <v>0.18248575292967284</v>
      </c>
      <c r="DD225" s="65"/>
      <c r="DE225" s="66"/>
      <c r="DF225" s="66"/>
      <c r="DG225" s="66"/>
      <c r="DH225" s="66"/>
      <c r="DI225" s="66"/>
      <c r="DJ225" s="65"/>
      <c r="DK225" s="66"/>
      <c r="DL225" s="66"/>
      <c r="DM225" s="8">
        <f t="shared" si="170"/>
        <v>0</v>
      </c>
      <c r="DN225" s="8">
        <f t="shared" si="171"/>
        <v>39285.408493976749</v>
      </c>
      <c r="DO225" s="202">
        <f t="shared" si="177"/>
        <v>8769.2995857433561</v>
      </c>
      <c r="DP225" s="202">
        <f t="shared" si="178"/>
        <v>8769.2995857433561</v>
      </c>
      <c r="DQ225" s="202">
        <f t="shared" si="179"/>
        <v>8769.2995857433561</v>
      </c>
      <c r="DR225" s="9">
        <f t="shared" si="180"/>
        <v>7340.5349019002242</v>
      </c>
      <c r="DS225" s="9">
        <f t="shared" si="173"/>
        <v>9486.4850951856351</v>
      </c>
      <c r="DT225" s="9">
        <f t="shared" si="181"/>
        <v>5024.393980627312</v>
      </c>
      <c r="DU225" s="202">
        <f t="shared" si="182"/>
        <v>8769.2995857433561</v>
      </c>
      <c r="DV225" s="202">
        <f t="shared" si="183"/>
        <v>8769.2995857433561</v>
      </c>
      <c r="DW225" s="202">
        <f t="shared" si="184"/>
        <v>8769.2995857433561</v>
      </c>
      <c r="DX225" s="203">
        <f t="shared" si="185"/>
        <v>0.18248575292967284</v>
      </c>
      <c r="DY225" s="203">
        <f t="shared" si="186"/>
        <v>0.18248575292967284</v>
      </c>
      <c r="DZ225" s="203">
        <f t="shared" si="187"/>
        <v>0.18248575292967284</v>
      </c>
      <c r="EA225" s="19">
        <f t="shared" si="188"/>
        <v>0.15743456040289644</v>
      </c>
      <c r="EB225" s="19">
        <f t="shared" si="174"/>
        <v>0.19450721300871593</v>
      </c>
      <c r="EC225" s="19">
        <f t="shared" si="189"/>
        <v>0.11339238046721192</v>
      </c>
      <c r="ED225" s="203">
        <f t="shared" si="190"/>
        <v>0.18248575292967284</v>
      </c>
      <c r="EE225" s="203">
        <f t="shared" si="191"/>
        <v>0.18248575292967284</v>
      </c>
      <c r="EF225" s="203">
        <f t="shared" si="192"/>
        <v>0.18248575292967284</v>
      </c>
      <c r="EH225" s="58">
        <f t="shared" si="234"/>
        <v>35280.876535765397</v>
      </c>
      <c r="EI225" s="68">
        <f t="shared" si="210"/>
        <v>0.72338541605456896</v>
      </c>
      <c r="EJ225" s="58">
        <f t="shared" si="211"/>
        <v>32004.876535765397</v>
      </c>
      <c r="EK225" s="68">
        <f t="shared" si="210"/>
        <v>0.65621558197767438</v>
      </c>
      <c r="EL225" s="58">
        <f t="shared" si="212"/>
        <v>3308.3999532827893</v>
      </c>
      <c r="EM225" s="58">
        <f t="shared" si="213"/>
        <v>3374.8010439787317</v>
      </c>
      <c r="EN225" s="68">
        <f t="shared" si="214"/>
        <v>6.9195612382961638E-2</v>
      </c>
      <c r="EO225" s="139">
        <f t="shared" si="233"/>
        <v>0.3126447604730192</v>
      </c>
      <c r="EP225">
        <f>+(SUM(M225:O225)*EO225*(1-'[1]Tier 3 Data'!$A$2))</f>
        <v>725.00759931156449</v>
      </c>
    </row>
    <row r="226" spans="1:146" x14ac:dyDescent="0.2">
      <c r="A226" s="43">
        <v>0</v>
      </c>
      <c r="B226" s="43">
        <v>0</v>
      </c>
      <c r="C226" s="43">
        <v>0</v>
      </c>
      <c r="D226" s="70">
        <v>2026</v>
      </c>
      <c r="E226" s="70">
        <v>3</v>
      </c>
      <c r="F226" s="2">
        <v>743</v>
      </c>
      <c r="G226" s="133">
        <f t="shared" si="226"/>
        <v>46169.060736235078</v>
      </c>
      <c r="H226" s="65">
        <v>46169.060736235078</v>
      </c>
      <c r="I226" s="133">
        <f t="shared" si="227"/>
        <v>46169.060736235078</v>
      </c>
      <c r="J226" s="133">
        <f t="shared" si="203"/>
        <v>575.765625</v>
      </c>
      <c r="K226" s="65">
        <v>575.765625</v>
      </c>
      <c r="L226" s="133">
        <f t="shared" si="204"/>
        <v>575.765625</v>
      </c>
      <c r="M226" s="65">
        <v>1050.2026341606518</v>
      </c>
      <c r="N226" s="65">
        <v>2261.4216180208796</v>
      </c>
      <c r="O226" s="65">
        <v>134.51761873499225</v>
      </c>
      <c r="P226" s="200">
        <f t="shared" si="194"/>
        <v>44559.452549960122</v>
      </c>
      <c r="Q226" s="200">
        <f t="shared" si="195"/>
        <v>44559.452549960122</v>
      </c>
      <c r="R226" s="200">
        <f t="shared" si="196"/>
        <v>44559.452549960122</v>
      </c>
      <c r="S226" s="133">
        <f t="shared" si="228"/>
        <v>45552.93982561458</v>
      </c>
      <c r="T226" s="133">
        <f t="shared" si="229"/>
        <v>45552.93982561458</v>
      </c>
      <c r="U226" s="133">
        <f t="shared" si="230"/>
        <v>45552.93982561458</v>
      </c>
      <c r="V226" s="200">
        <f t="shared" si="200"/>
        <v>44559.452549960122</v>
      </c>
      <c r="W226" s="200">
        <f t="shared" si="201"/>
        <v>44559.452549960122</v>
      </c>
      <c r="X226" s="200">
        <f t="shared" si="202"/>
        <v>44559.452549960122</v>
      </c>
      <c r="Y226" s="65">
        <v>2940.3754905759229</v>
      </c>
      <c r="Z226" s="65">
        <v>4676.9377383094807</v>
      </c>
      <c r="AA226" s="65">
        <v>783.13671662557988</v>
      </c>
      <c r="AB226" s="200">
        <f t="shared" si="218"/>
        <v>49236.390288269606</v>
      </c>
      <c r="AC226" s="200">
        <f t="shared" si="219"/>
        <v>49236.390288269606</v>
      </c>
      <c r="AD226" s="200">
        <f t="shared" si="220"/>
        <v>49236.390288269606</v>
      </c>
      <c r="AE226" s="199">
        <f t="shared" si="175"/>
        <v>48493.315316190499</v>
      </c>
      <c r="AF226" s="199">
        <f t="shared" si="221"/>
        <v>50229.877563924063</v>
      </c>
      <c r="AG226" s="199">
        <f t="shared" si="176"/>
        <v>46336.07654224016</v>
      </c>
      <c r="AH226" s="199">
        <f t="shared" si="231"/>
        <v>48282.977053082112</v>
      </c>
      <c r="AI226" s="200">
        <f t="shared" si="222"/>
        <v>49236.390288269606</v>
      </c>
      <c r="AJ226" s="200">
        <f t="shared" si="223"/>
        <v>49236.390288269606</v>
      </c>
      <c r="AK226" s="200">
        <f t="shared" si="224"/>
        <v>49236.390288269606</v>
      </c>
      <c r="AL226" s="4"/>
      <c r="AM226" s="4"/>
      <c r="AN226" s="4"/>
      <c r="AO226" s="4"/>
      <c r="AP226" s="63"/>
      <c r="AQ226" s="18"/>
      <c r="AR226" s="10">
        <v>9920</v>
      </c>
      <c r="AS226" s="18"/>
      <c r="AT226" s="62"/>
      <c r="AU226" s="133">
        <f t="shared" si="235"/>
        <v>87.516000000000005</v>
      </c>
      <c r="AV226" s="133">
        <f t="shared" si="235"/>
        <v>3232.7139999999999</v>
      </c>
      <c r="AW226" s="63"/>
      <c r="AX226" s="63"/>
      <c r="AY226" s="65">
        <v>1280.8105891600001</v>
      </c>
      <c r="AZ226" s="63"/>
      <c r="BA226" s="65">
        <v>2416.2429999999999</v>
      </c>
      <c r="BB226" s="133">
        <f t="shared" si="236"/>
        <v>2064.8780000000002</v>
      </c>
      <c r="BC226" s="65">
        <v>449.53123898462314</v>
      </c>
      <c r="BD226" s="65">
        <v>17.737549502477364</v>
      </c>
      <c r="BE226" s="65">
        <v>0</v>
      </c>
      <c r="BF226" s="65">
        <v>213.19694193955203</v>
      </c>
      <c r="BG226" s="65">
        <v>0</v>
      </c>
      <c r="BH226" s="65">
        <v>44.202923232317495</v>
      </c>
      <c r="BI226" s="65">
        <v>1140.4601857510293</v>
      </c>
      <c r="BJ226" s="65">
        <v>0</v>
      </c>
      <c r="BK226" s="65">
        <v>19.397174608663349</v>
      </c>
      <c r="BL226" s="65">
        <v>0</v>
      </c>
      <c r="BM226" s="65">
        <v>0</v>
      </c>
      <c r="BN226" s="65">
        <v>33.291643770364956</v>
      </c>
      <c r="BO226" s="65">
        <v>212.18019192</v>
      </c>
      <c r="BP226" s="260">
        <f t="shared" si="225"/>
        <v>992</v>
      </c>
      <c r="BQ226" s="65">
        <v>141.19612242595724</v>
      </c>
      <c r="BR226" s="65">
        <v>184.47729162033477</v>
      </c>
      <c r="BS226" s="65">
        <v>667.52398558285449</v>
      </c>
      <c r="BT226" s="65">
        <v>223.73869486656588</v>
      </c>
      <c r="BU226" s="65">
        <v>260.00489516325473</v>
      </c>
      <c r="BV226" s="144">
        <f t="shared" si="215"/>
        <v>735.14184391245624</v>
      </c>
      <c r="BW226" s="144">
        <f t="shared" si="216"/>
        <v>1582.9951326146156</v>
      </c>
      <c r="BX226" s="144">
        <f t="shared" si="217"/>
        <v>94.162333114494572</v>
      </c>
      <c r="BY226" s="5"/>
      <c r="BZ226" s="66">
        <v>7244.25</v>
      </c>
      <c r="CA226" s="4"/>
      <c r="CB226" s="5"/>
      <c r="CC226" s="5"/>
      <c r="CD226" s="188">
        <v>13.157281760074044</v>
      </c>
      <c r="CE226" s="5"/>
      <c r="CF226" s="133">
        <f t="shared" si="232"/>
        <v>1476.3333333333333</v>
      </c>
      <c r="CG226" s="133">
        <f t="shared" si="208"/>
        <v>5605</v>
      </c>
      <c r="CH226" s="70">
        <v>5942</v>
      </c>
      <c r="CI226" s="70"/>
      <c r="CJ226" s="133">
        <f t="shared" si="237"/>
        <v>2064.8780000000002</v>
      </c>
      <c r="CK226" s="8">
        <f t="shared" si="172"/>
        <v>46294.140353262977</v>
      </c>
      <c r="CL226" s="202">
        <f t="shared" si="152"/>
        <v>2942.2499350066282</v>
      </c>
      <c r="CM226" s="202">
        <f t="shared" si="153"/>
        <v>2942.2499350066282</v>
      </c>
      <c r="CN226" s="202">
        <f t="shared" si="154"/>
        <v>2942.2499350066282</v>
      </c>
      <c r="CO226" s="9">
        <f t="shared" si="155"/>
        <v>2199.1749629275218</v>
      </c>
      <c r="CP226" s="9">
        <f t="shared" si="156"/>
        <v>3935.7372106610856</v>
      </c>
      <c r="CQ226" s="9">
        <f t="shared" si="157"/>
        <v>41.93618897718261</v>
      </c>
      <c r="CR226" s="202">
        <f t="shared" si="158"/>
        <v>2942.2499350066282</v>
      </c>
      <c r="CS226" s="202">
        <f t="shared" si="159"/>
        <v>2942.2499350066282</v>
      </c>
      <c r="CT226" s="202">
        <f t="shared" si="160"/>
        <v>2942.2499350066282</v>
      </c>
      <c r="CU226" s="203">
        <f t="shared" si="161"/>
        <v>5.9757628814385462E-2</v>
      </c>
      <c r="CV226" s="203">
        <f t="shared" si="162"/>
        <v>5.9757628814385462E-2</v>
      </c>
      <c r="CW226" s="203">
        <f t="shared" si="163"/>
        <v>5.9757628814385462E-2</v>
      </c>
      <c r="CX226" s="19">
        <f t="shared" si="164"/>
        <v>4.5350064201390698E-2</v>
      </c>
      <c r="CY226" s="19">
        <f t="shared" si="165"/>
        <v>7.8354505356943133E-2</v>
      </c>
      <c r="CZ226" s="19">
        <f t="shared" si="166"/>
        <v>9.0504401983524448E-4</v>
      </c>
      <c r="DA226" s="203">
        <f t="shared" si="167"/>
        <v>5.9757628814385462E-2</v>
      </c>
      <c r="DB226" s="203">
        <f t="shared" si="168"/>
        <v>5.9757628814385462E-2</v>
      </c>
      <c r="DC226" s="203">
        <f t="shared" si="169"/>
        <v>5.9757628814385462E-2</v>
      </c>
      <c r="DD226" s="65"/>
      <c r="DE226" s="66"/>
      <c r="DF226" s="66"/>
      <c r="DG226" s="66"/>
      <c r="DH226" s="66"/>
      <c r="DI226" s="66"/>
      <c r="DJ226" s="65"/>
      <c r="DK226" s="66"/>
      <c r="DL226" s="66"/>
      <c r="DM226" s="8">
        <f t="shared" si="170"/>
        <v>0</v>
      </c>
      <c r="DN226" s="8">
        <f t="shared" si="171"/>
        <v>46294.140353262977</v>
      </c>
      <c r="DO226" s="202">
        <f t="shared" si="177"/>
        <v>2942.2499350066282</v>
      </c>
      <c r="DP226" s="202">
        <f t="shared" si="178"/>
        <v>2942.2499350066282</v>
      </c>
      <c r="DQ226" s="202">
        <f t="shared" si="179"/>
        <v>2942.2499350066282</v>
      </c>
      <c r="DR226" s="9">
        <f t="shared" si="180"/>
        <v>2199.1749629275218</v>
      </c>
      <c r="DS226" s="9">
        <f t="shared" si="173"/>
        <v>3935.7372106610856</v>
      </c>
      <c r="DT226" s="9">
        <f t="shared" si="181"/>
        <v>41.93618897718261</v>
      </c>
      <c r="DU226" s="202">
        <f t="shared" si="182"/>
        <v>2942.2499350066282</v>
      </c>
      <c r="DV226" s="202">
        <f t="shared" si="183"/>
        <v>2942.2499350066282</v>
      </c>
      <c r="DW226" s="202">
        <f t="shared" si="184"/>
        <v>2942.2499350066282</v>
      </c>
      <c r="DX226" s="203">
        <f t="shared" si="185"/>
        <v>5.9757628814385462E-2</v>
      </c>
      <c r="DY226" s="203">
        <f t="shared" si="186"/>
        <v>5.9757628814385462E-2</v>
      </c>
      <c r="DZ226" s="203">
        <f t="shared" si="187"/>
        <v>5.9757628814385462E-2</v>
      </c>
      <c r="EA226" s="19">
        <f t="shared" si="188"/>
        <v>4.5350064201390698E-2</v>
      </c>
      <c r="EB226" s="19">
        <f t="shared" si="174"/>
        <v>7.8354505356943133E-2</v>
      </c>
      <c r="EC226" s="19">
        <f t="shared" si="189"/>
        <v>9.0504401983524448E-4</v>
      </c>
      <c r="ED226" s="203">
        <f t="shared" si="190"/>
        <v>5.9757628814385462E-2</v>
      </c>
      <c r="EE226" s="203">
        <f t="shared" si="191"/>
        <v>5.9757628814385462E-2</v>
      </c>
      <c r="EF226" s="203">
        <f t="shared" si="192"/>
        <v>5.9757628814385462E-2</v>
      </c>
      <c r="EH226" s="58">
        <f t="shared" si="234"/>
        <v>41710.519285650895</v>
      </c>
      <c r="EI226" s="68">
        <f t="shared" si="210"/>
        <v>0.83039261309305057</v>
      </c>
      <c r="EJ226" s="58">
        <f t="shared" si="211"/>
        <v>38088.394285650895</v>
      </c>
      <c r="EK226" s="68">
        <f t="shared" si="210"/>
        <v>0.75828164695759914</v>
      </c>
      <c r="EL226" s="58">
        <f t="shared" si="212"/>
        <v>4976.7370300430575</v>
      </c>
      <c r="EM226" s="58">
        <f t="shared" si="213"/>
        <v>5070.8993631575522</v>
      </c>
      <c r="EN226" s="68">
        <f t="shared" si="214"/>
        <v>0.10095384677583918</v>
      </c>
      <c r="EO226" s="139">
        <f t="shared" si="233"/>
        <v>0.32861286969700848</v>
      </c>
      <c r="EP226">
        <f>+(SUM(M226:O226)*EO226*(1-'[1]Tier 3 Data'!$A$2))</f>
        <v>1056.5726494227085</v>
      </c>
    </row>
    <row r="227" spans="1:146" x14ac:dyDescent="0.2">
      <c r="A227" s="43">
        <v>0</v>
      </c>
      <c r="B227" s="43">
        <v>0</v>
      </c>
      <c r="C227" s="43">
        <v>0</v>
      </c>
      <c r="D227" s="70">
        <v>2026</v>
      </c>
      <c r="E227" s="70">
        <v>4</v>
      </c>
      <c r="F227" s="2">
        <v>720</v>
      </c>
      <c r="G227" s="133">
        <f t="shared" si="226"/>
        <v>38786.268458387007</v>
      </c>
      <c r="H227" s="65">
        <v>38786.268458387007</v>
      </c>
      <c r="I227" s="133">
        <f t="shared" si="227"/>
        <v>38786.268458387007</v>
      </c>
      <c r="J227" s="133">
        <f t="shared" si="203"/>
        <v>614.19000000000005</v>
      </c>
      <c r="K227" s="65">
        <v>614.19000000000005</v>
      </c>
      <c r="L227" s="133">
        <f t="shared" si="204"/>
        <v>614.19000000000005</v>
      </c>
      <c r="M227" s="65">
        <v>1418.2286880453187</v>
      </c>
      <c r="N227" s="65">
        <v>3053.8992287010965</v>
      </c>
      <c r="O227" s="65">
        <v>188.42390842121807</v>
      </c>
      <c r="P227" s="200">
        <f t="shared" si="194"/>
        <v>36773.912910836712</v>
      </c>
      <c r="Q227" s="200">
        <f t="shared" si="195"/>
        <v>36773.912910836712</v>
      </c>
      <c r="R227" s="200">
        <f t="shared" si="196"/>
        <v>36773.912910836712</v>
      </c>
      <c r="S227" s="133">
        <f t="shared" si="228"/>
        <v>38115.551285860638</v>
      </c>
      <c r="T227" s="133">
        <f t="shared" si="229"/>
        <v>38115.551285860638</v>
      </c>
      <c r="U227" s="133">
        <f t="shared" si="230"/>
        <v>38115.551285860638</v>
      </c>
      <c r="V227" s="200">
        <f t="shared" si="200"/>
        <v>36773.912910836712</v>
      </c>
      <c r="W227" s="200">
        <f t="shared" si="201"/>
        <v>36773.912910836712</v>
      </c>
      <c r="X227" s="200">
        <f t="shared" si="202"/>
        <v>36773.912910836712</v>
      </c>
      <c r="Y227" s="65">
        <v>2520.6841620374785</v>
      </c>
      <c r="Z227" s="65">
        <v>3511.3687131343727</v>
      </c>
      <c r="AA227" s="65">
        <v>639.86842342751402</v>
      </c>
      <c r="AB227" s="200">
        <f t="shared" si="218"/>
        <v>40285.281623971088</v>
      </c>
      <c r="AC227" s="200">
        <f t="shared" si="219"/>
        <v>40285.281623971088</v>
      </c>
      <c r="AD227" s="200">
        <f t="shared" si="220"/>
        <v>40285.281623971088</v>
      </c>
      <c r="AE227" s="199">
        <f t="shared" si="175"/>
        <v>40636.235447898114</v>
      </c>
      <c r="AF227" s="199">
        <f t="shared" si="221"/>
        <v>41626.919998995014</v>
      </c>
      <c r="AG227" s="199">
        <f t="shared" si="176"/>
        <v>38755.419709288151</v>
      </c>
      <c r="AH227" s="199">
        <f t="shared" si="231"/>
        <v>40191.169854141583</v>
      </c>
      <c r="AI227" s="200">
        <f t="shared" si="222"/>
        <v>40285.281623971088</v>
      </c>
      <c r="AJ227" s="200">
        <f t="shared" si="223"/>
        <v>40285.281623971088</v>
      </c>
      <c r="AK227" s="200">
        <f t="shared" si="224"/>
        <v>40285.281623971088</v>
      </c>
      <c r="AL227" s="4"/>
      <c r="AM227" s="4"/>
      <c r="AN227" s="4"/>
      <c r="AO227" s="4"/>
      <c r="AP227" s="63"/>
      <c r="AQ227" s="18"/>
      <c r="AR227" s="10">
        <v>9600</v>
      </c>
      <c r="AS227" s="18"/>
      <c r="AT227" s="62"/>
      <c r="AU227" s="133">
        <f t="shared" si="235"/>
        <v>96.057000000000002</v>
      </c>
      <c r="AV227" s="133">
        <f t="shared" si="235"/>
        <v>3017.9659999999999</v>
      </c>
      <c r="AW227" s="63"/>
      <c r="AX227" s="63"/>
      <c r="AY227" s="65">
        <v>1122.6138126000001</v>
      </c>
      <c r="AZ227" s="63"/>
      <c r="BA227" s="65">
        <v>1366.578</v>
      </c>
      <c r="BB227" s="133">
        <f t="shared" si="236"/>
        <v>1440.9</v>
      </c>
      <c r="BC227" s="65">
        <v>567.6650303146555</v>
      </c>
      <c r="BD227" s="65">
        <v>15.751376692709027</v>
      </c>
      <c r="BE227" s="65">
        <v>0</v>
      </c>
      <c r="BF227" s="65">
        <v>201.0078173079965</v>
      </c>
      <c r="BG227" s="65">
        <v>0</v>
      </c>
      <c r="BH227" s="65">
        <v>138.923473015855</v>
      </c>
      <c r="BI227" s="65">
        <v>1440.1654652062136</v>
      </c>
      <c r="BJ227" s="65">
        <v>0</v>
      </c>
      <c r="BK227" s="65">
        <v>19.984033847071771</v>
      </c>
      <c r="BL227" s="65">
        <v>0</v>
      </c>
      <c r="BM227" s="65">
        <v>0</v>
      </c>
      <c r="BN227" s="65">
        <v>104.630880421147</v>
      </c>
      <c r="BO227" s="65">
        <v>205.33566960000002</v>
      </c>
      <c r="BP227" s="260">
        <f t="shared" si="225"/>
        <v>960</v>
      </c>
      <c r="BQ227" s="65">
        <v>150.77858686194921</v>
      </c>
      <c r="BR227" s="65">
        <v>196.99713189591634</v>
      </c>
      <c r="BS227" s="65">
        <v>712.82654473225307</v>
      </c>
      <c r="BT227" s="65">
        <v>247.74278849024523</v>
      </c>
      <c r="BU227" s="65">
        <v>266.01893021671668</v>
      </c>
      <c r="BV227" s="144">
        <f t="shared" si="215"/>
        <v>992.76008163172298</v>
      </c>
      <c r="BW227" s="144">
        <f t="shared" si="216"/>
        <v>2137.7294600907676</v>
      </c>
      <c r="BX227" s="144">
        <f t="shared" si="217"/>
        <v>131.89673589485264</v>
      </c>
      <c r="BY227" s="5"/>
      <c r="BZ227" s="66">
        <v>0</v>
      </c>
      <c r="CA227" s="4"/>
      <c r="CB227" s="5"/>
      <c r="CC227" s="5"/>
      <c r="CD227" s="188">
        <v>2.3725527527096357</v>
      </c>
      <c r="CE227" s="5"/>
      <c r="CF227" s="133">
        <f t="shared" si="232"/>
        <v>2495.3333333333335</v>
      </c>
      <c r="CG227" s="133">
        <f t="shared" si="208"/>
        <v>4108</v>
      </c>
      <c r="CH227" s="70">
        <v>4768</v>
      </c>
      <c r="CI227" s="70"/>
      <c r="CJ227" s="133">
        <f t="shared" si="237"/>
        <v>1440.9</v>
      </c>
      <c r="CK227" s="8">
        <f t="shared" si="172"/>
        <v>36508.034704906117</v>
      </c>
      <c r="CL227" s="202">
        <f t="shared" si="152"/>
        <v>3777.2469190649717</v>
      </c>
      <c r="CM227" s="202">
        <f t="shared" si="153"/>
        <v>3777.2469190649717</v>
      </c>
      <c r="CN227" s="202">
        <f t="shared" si="154"/>
        <v>3777.2469190649717</v>
      </c>
      <c r="CO227" s="9">
        <f t="shared" si="155"/>
        <v>4128.2007429919977</v>
      </c>
      <c r="CP227" s="9">
        <f t="shared" si="156"/>
        <v>5118.8852940888974</v>
      </c>
      <c r="CQ227" s="9">
        <f t="shared" si="157"/>
        <v>2247.3850043820348</v>
      </c>
      <c r="CR227" s="202">
        <f t="shared" si="158"/>
        <v>3777.2469190649717</v>
      </c>
      <c r="CS227" s="202">
        <f t="shared" si="159"/>
        <v>3777.2469190649717</v>
      </c>
      <c r="CT227" s="202">
        <f t="shared" si="160"/>
        <v>3777.2469190649717</v>
      </c>
      <c r="CU227" s="203">
        <f t="shared" si="161"/>
        <v>9.3762455338462461E-2</v>
      </c>
      <c r="CV227" s="203">
        <f t="shared" si="162"/>
        <v>9.3762455338462461E-2</v>
      </c>
      <c r="CW227" s="203">
        <f t="shared" si="163"/>
        <v>9.3762455338462461E-2</v>
      </c>
      <c r="CX227" s="19">
        <f t="shared" si="164"/>
        <v>0.10158915306721716</v>
      </c>
      <c r="CY227" s="19">
        <f t="shared" si="165"/>
        <v>0.12297055112923275</v>
      </c>
      <c r="CZ227" s="19">
        <f t="shared" si="166"/>
        <v>5.7988921839580154E-2</v>
      </c>
      <c r="DA227" s="203">
        <f t="shared" si="167"/>
        <v>9.3762455338462461E-2</v>
      </c>
      <c r="DB227" s="203">
        <f t="shared" si="168"/>
        <v>9.3762455338462461E-2</v>
      </c>
      <c r="DC227" s="203">
        <f t="shared" si="169"/>
        <v>9.3762455338462461E-2</v>
      </c>
      <c r="DD227" s="65"/>
      <c r="DE227" s="66"/>
      <c r="DF227" s="66"/>
      <c r="DG227" s="66"/>
      <c r="DH227" s="66"/>
      <c r="DI227" s="66"/>
      <c r="DJ227" s="65"/>
      <c r="DK227" s="66"/>
      <c r="DL227" s="66"/>
      <c r="DM227" s="8">
        <f t="shared" si="170"/>
        <v>0</v>
      </c>
      <c r="DN227" s="8">
        <f t="shared" si="171"/>
        <v>36508.034704906117</v>
      </c>
      <c r="DO227" s="202">
        <f t="shared" si="177"/>
        <v>3777.2469190649717</v>
      </c>
      <c r="DP227" s="202">
        <f t="shared" si="178"/>
        <v>3777.2469190649717</v>
      </c>
      <c r="DQ227" s="202">
        <f t="shared" si="179"/>
        <v>3777.2469190649717</v>
      </c>
      <c r="DR227" s="9">
        <f t="shared" si="180"/>
        <v>4128.2007429919977</v>
      </c>
      <c r="DS227" s="9">
        <f t="shared" si="173"/>
        <v>5118.8852940888974</v>
      </c>
      <c r="DT227" s="9">
        <f t="shared" si="181"/>
        <v>2247.3850043820348</v>
      </c>
      <c r="DU227" s="202">
        <f t="shared" si="182"/>
        <v>3777.2469190649717</v>
      </c>
      <c r="DV227" s="202">
        <f t="shared" si="183"/>
        <v>3777.2469190649717</v>
      </c>
      <c r="DW227" s="202">
        <f t="shared" si="184"/>
        <v>3777.2469190649717</v>
      </c>
      <c r="DX227" s="203">
        <f t="shared" si="185"/>
        <v>9.3762455338462461E-2</v>
      </c>
      <c r="DY227" s="203">
        <f t="shared" si="186"/>
        <v>9.3762455338462461E-2</v>
      </c>
      <c r="DZ227" s="203">
        <f t="shared" si="187"/>
        <v>9.3762455338462461E-2</v>
      </c>
      <c r="EA227" s="19">
        <f t="shared" si="188"/>
        <v>0.10158915306721716</v>
      </c>
      <c r="EB227" s="19">
        <f t="shared" si="174"/>
        <v>0.12297055112923275</v>
      </c>
      <c r="EC227" s="19">
        <f t="shared" si="189"/>
        <v>5.7988921839580154E-2</v>
      </c>
      <c r="ED227" s="203">
        <f t="shared" si="190"/>
        <v>9.3762455338462461E-2</v>
      </c>
      <c r="EE227" s="203">
        <f t="shared" si="191"/>
        <v>9.3762455338462461E-2</v>
      </c>
      <c r="EF227" s="203">
        <f t="shared" si="192"/>
        <v>9.3762455338462461E-2</v>
      </c>
      <c r="EH227" s="58">
        <f t="shared" si="234"/>
        <v>35311.894253213686</v>
      </c>
      <c r="EI227" s="68">
        <f t="shared" si="210"/>
        <v>0.84829466734666437</v>
      </c>
      <c r="EJ227" s="58">
        <f t="shared" si="211"/>
        <v>35311.894253213686</v>
      </c>
      <c r="EK227" s="68">
        <f t="shared" si="210"/>
        <v>0.84829466734666437</v>
      </c>
      <c r="EL227" s="58">
        <f t="shared" si="212"/>
        <v>6204.5493713855012</v>
      </c>
      <c r="EM227" s="58">
        <f t="shared" si="213"/>
        <v>6336.4461072803542</v>
      </c>
      <c r="EN227" s="68">
        <f t="shared" si="214"/>
        <v>0.15221991219704301</v>
      </c>
      <c r="EO227" s="139">
        <f t="shared" si="233"/>
        <v>0.35351678044029999</v>
      </c>
      <c r="EP227">
        <f>+(SUM(M227:O227)*EO227*(1-'[1]Tier 3 Data'!$A$2))</f>
        <v>1537.1951967957611</v>
      </c>
    </row>
    <row r="228" spans="1:146" x14ac:dyDescent="0.2">
      <c r="A228" s="43">
        <v>0</v>
      </c>
      <c r="B228" s="43">
        <v>0</v>
      </c>
      <c r="C228" s="43">
        <v>0</v>
      </c>
      <c r="D228" s="70">
        <v>2026</v>
      </c>
      <c r="E228" s="70">
        <v>5</v>
      </c>
      <c r="F228" s="2">
        <v>744</v>
      </c>
      <c r="G228" s="133">
        <f t="shared" si="226"/>
        <v>36975.945896463556</v>
      </c>
      <c r="H228" s="65">
        <v>36975.945896463556</v>
      </c>
      <c r="I228" s="133">
        <f t="shared" si="227"/>
        <v>36975.945896463556</v>
      </c>
      <c r="J228" s="133">
        <f t="shared" si="203"/>
        <v>652.61437500000011</v>
      </c>
      <c r="K228" s="65">
        <v>652.61437500000011</v>
      </c>
      <c r="L228" s="133">
        <f t="shared" si="204"/>
        <v>652.61437500000011</v>
      </c>
      <c r="M228" s="65">
        <v>1750.7817988213781</v>
      </c>
      <c r="N228" s="65">
        <v>3769.9922657844818</v>
      </c>
      <c r="O228" s="65">
        <v>241.83432529945824</v>
      </c>
      <c r="P228" s="200">
        <f t="shared" si="194"/>
        <v>34594.549004491964</v>
      </c>
      <c r="Q228" s="200">
        <f t="shared" si="195"/>
        <v>34594.549004491964</v>
      </c>
      <c r="R228" s="200">
        <f t="shared" si="196"/>
        <v>34594.549004491964</v>
      </c>
      <c r="S228" s="133">
        <f t="shared" si="228"/>
        <v>36250.781223873724</v>
      </c>
      <c r="T228" s="133">
        <f t="shared" si="229"/>
        <v>36250.781223873724</v>
      </c>
      <c r="U228" s="133">
        <f t="shared" si="230"/>
        <v>36250.781223873724</v>
      </c>
      <c r="V228" s="200">
        <f t="shared" si="200"/>
        <v>34594.549004491964</v>
      </c>
      <c r="W228" s="200">
        <f t="shared" si="201"/>
        <v>34594.549004491964</v>
      </c>
      <c r="X228" s="200">
        <f t="shared" si="202"/>
        <v>34594.549004491964</v>
      </c>
      <c r="Y228" s="65">
        <v>2049.2092239442045</v>
      </c>
      <c r="Z228" s="65">
        <v>2471.1045143054657</v>
      </c>
      <c r="AA228" s="65">
        <v>501.94832860022939</v>
      </c>
      <c r="AB228" s="200">
        <f t="shared" si="218"/>
        <v>37065.65351879743</v>
      </c>
      <c r="AC228" s="200">
        <f t="shared" si="219"/>
        <v>37065.65351879743</v>
      </c>
      <c r="AD228" s="200">
        <f t="shared" si="220"/>
        <v>37065.65351879743</v>
      </c>
      <c r="AE228" s="199">
        <f t="shared" si="175"/>
        <v>38299.990447817931</v>
      </c>
      <c r="AF228" s="199">
        <f t="shared" si="221"/>
        <v>38721.88573817919</v>
      </c>
      <c r="AG228" s="199">
        <f t="shared" si="176"/>
        <v>36752.729552473953</v>
      </c>
      <c r="AH228" s="199">
        <f t="shared" si="231"/>
        <v>37737.307645326568</v>
      </c>
      <c r="AI228" s="200">
        <f t="shared" si="222"/>
        <v>37065.65351879743</v>
      </c>
      <c r="AJ228" s="200">
        <f t="shared" si="223"/>
        <v>37065.65351879743</v>
      </c>
      <c r="AK228" s="200">
        <f t="shared" si="224"/>
        <v>37065.65351879743</v>
      </c>
      <c r="AL228" s="4"/>
      <c r="AM228" s="4"/>
      <c r="AN228" s="4"/>
      <c r="AO228" s="4"/>
      <c r="AP228" s="63"/>
      <c r="AQ228" s="18"/>
      <c r="AR228" s="10">
        <v>9920</v>
      </c>
      <c r="AS228" s="18"/>
      <c r="AT228" s="62"/>
      <c r="AU228" s="133">
        <f t="shared" si="235"/>
        <v>109.161</v>
      </c>
      <c r="AV228" s="133">
        <f t="shared" si="235"/>
        <v>3327.41</v>
      </c>
      <c r="AW228" s="63"/>
      <c r="AX228" s="63"/>
      <c r="AY228" s="65">
        <v>837.33634925714296</v>
      </c>
      <c r="AZ228" s="63"/>
      <c r="BA228" s="65">
        <v>1570</v>
      </c>
      <c r="BB228" s="133">
        <f t="shared" si="236"/>
        <v>1028.67</v>
      </c>
      <c r="BC228" s="65">
        <v>570.10748354622444</v>
      </c>
      <c r="BD228" s="65">
        <v>12.098699446784533</v>
      </c>
      <c r="BE228" s="65">
        <v>0</v>
      </c>
      <c r="BF228" s="65">
        <v>204.79596502442698</v>
      </c>
      <c r="BG228" s="65">
        <v>0</v>
      </c>
      <c r="BH228" s="65">
        <v>88.40584646463499</v>
      </c>
      <c r="BI228" s="65">
        <v>1446.3619659709991</v>
      </c>
      <c r="BJ228" s="65">
        <v>0</v>
      </c>
      <c r="BK228" s="65">
        <v>12.751667915526451</v>
      </c>
      <c r="BL228" s="65">
        <v>0</v>
      </c>
      <c r="BM228" s="65">
        <v>0</v>
      </c>
      <c r="BN228" s="65">
        <v>66.583287540729913</v>
      </c>
      <c r="BO228" s="65">
        <v>212.18019192</v>
      </c>
      <c r="BP228" s="260">
        <f t="shared" si="225"/>
        <v>992</v>
      </c>
      <c r="BQ228" s="65">
        <v>173.64434678696708</v>
      </c>
      <c r="BR228" s="65">
        <v>226.87196731914108</v>
      </c>
      <c r="BS228" s="65">
        <v>820.92748951900592</v>
      </c>
      <c r="BT228" s="65">
        <v>256.04039226707687</v>
      </c>
      <c r="BU228" s="65">
        <v>304.21956330472739</v>
      </c>
      <c r="BV228" s="144">
        <f t="shared" si="215"/>
        <v>1225.5472591749647</v>
      </c>
      <c r="BW228" s="144">
        <f t="shared" si="216"/>
        <v>2638.9945860491371</v>
      </c>
      <c r="BX228" s="144">
        <f t="shared" si="217"/>
        <v>169.28402770962077</v>
      </c>
      <c r="BY228" s="5"/>
      <c r="BZ228" s="66">
        <v>7254</v>
      </c>
      <c r="CA228" s="4"/>
      <c r="CB228" s="5"/>
      <c r="CC228" s="5"/>
      <c r="CD228" s="188">
        <v>1.4538432884059718E-2</v>
      </c>
      <c r="CE228" s="5"/>
      <c r="CF228" s="133">
        <f t="shared" si="232"/>
        <v>1762.6666666666667</v>
      </c>
      <c r="CG228" s="133">
        <f t="shared" si="208"/>
        <v>2070</v>
      </c>
      <c r="CH228" s="70">
        <v>2480</v>
      </c>
      <c r="CI228" s="70"/>
      <c r="CJ228" s="133">
        <f t="shared" si="237"/>
        <v>1028.67</v>
      </c>
      <c r="CK228" s="8">
        <f t="shared" si="172"/>
        <v>39780.073294316666</v>
      </c>
      <c r="CL228" s="202">
        <f t="shared" si="152"/>
        <v>-2714.4197755192363</v>
      </c>
      <c r="CM228" s="202">
        <f t="shared" si="153"/>
        <v>-2714.4197755192363</v>
      </c>
      <c r="CN228" s="202">
        <f t="shared" si="154"/>
        <v>-2714.4197755192363</v>
      </c>
      <c r="CO228" s="9">
        <f t="shared" si="155"/>
        <v>-1480.0828464987353</v>
      </c>
      <c r="CP228" s="9">
        <f t="shared" si="156"/>
        <v>-1058.1875561374763</v>
      </c>
      <c r="CQ228" s="9">
        <f t="shared" si="157"/>
        <v>-3027.3437418427129</v>
      </c>
      <c r="CR228" s="202">
        <f t="shared" si="158"/>
        <v>-2714.4197755192363</v>
      </c>
      <c r="CS228" s="202">
        <f t="shared" si="159"/>
        <v>-2714.4197755192363</v>
      </c>
      <c r="CT228" s="202">
        <f t="shared" si="160"/>
        <v>-2714.4197755192363</v>
      </c>
      <c r="CU228" s="203">
        <f t="shared" si="161"/>
        <v>-7.3232751019556383E-2</v>
      </c>
      <c r="CV228" s="203">
        <f t="shared" si="162"/>
        <v>-7.3232751019556383E-2</v>
      </c>
      <c r="CW228" s="203">
        <f t="shared" si="163"/>
        <v>-7.3232751019556383E-2</v>
      </c>
      <c r="CX228" s="19">
        <f t="shared" si="164"/>
        <v>-3.8644470382186748E-2</v>
      </c>
      <c r="CY228" s="19">
        <f t="shared" si="165"/>
        <v>-2.7327893153047542E-2</v>
      </c>
      <c r="CZ228" s="19">
        <f t="shared" si="166"/>
        <v>-8.237058250382201E-2</v>
      </c>
      <c r="DA228" s="203">
        <f t="shared" si="167"/>
        <v>-7.3232751019556383E-2</v>
      </c>
      <c r="DB228" s="203">
        <f t="shared" si="168"/>
        <v>-7.3232751019556383E-2</v>
      </c>
      <c r="DC228" s="203">
        <f t="shared" si="169"/>
        <v>-7.3232751019556383E-2</v>
      </c>
      <c r="DD228" s="65"/>
      <c r="DE228" s="66"/>
      <c r="DF228" s="66"/>
      <c r="DG228" s="66"/>
      <c r="DH228" s="66"/>
      <c r="DI228" s="66"/>
      <c r="DJ228" s="65"/>
      <c r="DK228" s="66"/>
      <c r="DL228" s="66"/>
      <c r="DM228" s="8">
        <f t="shared" si="170"/>
        <v>0</v>
      </c>
      <c r="DN228" s="8">
        <f t="shared" si="171"/>
        <v>39780.073294316666</v>
      </c>
      <c r="DO228" s="202">
        <f t="shared" si="177"/>
        <v>-2714.4197755192363</v>
      </c>
      <c r="DP228" s="202">
        <f t="shared" si="178"/>
        <v>-2714.4197755192363</v>
      </c>
      <c r="DQ228" s="202">
        <f t="shared" si="179"/>
        <v>-2714.4197755192363</v>
      </c>
      <c r="DR228" s="9">
        <f t="shared" si="180"/>
        <v>-1480.0828464987353</v>
      </c>
      <c r="DS228" s="9">
        <f t="shared" si="173"/>
        <v>-1058.1875561374763</v>
      </c>
      <c r="DT228" s="9">
        <f t="shared" si="181"/>
        <v>-3027.3437418427129</v>
      </c>
      <c r="DU228" s="202">
        <f t="shared" si="182"/>
        <v>-2714.4197755192363</v>
      </c>
      <c r="DV228" s="202">
        <f t="shared" si="183"/>
        <v>-2714.4197755192363</v>
      </c>
      <c r="DW228" s="202">
        <f t="shared" si="184"/>
        <v>-2714.4197755192363</v>
      </c>
      <c r="DX228" s="203">
        <f t="shared" si="185"/>
        <v>-7.3232751019556383E-2</v>
      </c>
      <c r="DY228" s="203">
        <f t="shared" si="186"/>
        <v>-7.3232751019556383E-2</v>
      </c>
      <c r="DZ228" s="203">
        <f t="shared" si="187"/>
        <v>-7.3232751019556383E-2</v>
      </c>
      <c r="EA228" s="19">
        <f t="shared" si="188"/>
        <v>-3.8644470382186748E-2</v>
      </c>
      <c r="EB228" s="19">
        <f t="shared" si="174"/>
        <v>-2.7327893153047542E-2</v>
      </c>
      <c r="EC228" s="19">
        <f t="shared" si="189"/>
        <v>-8.237058250382201E-2</v>
      </c>
      <c r="ED228" s="203">
        <f t="shared" si="190"/>
        <v>-7.3232751019556383E-2</v>
      </c>
      <c r="EE228" s="203">
        <f t="shared" si="191"/>
        <v>-7.3232751019556383E-2</v>
      </c>
      <c r="EF228" s="203">
        <f t="shared" si="192"/>
        <v>-7.3232751019556383E-2</v>
      </c>
      <c r="EH228" s="58">
        <f t="shared" si="234"/>
        <v>34722.715531684385</v>
      </c>
      <c r="EI228" s="68">
        <f t="shared" si="210"/>
        <v>0.8967206753943886</v>
      </c>
      <c r="EJ228" s="58">
        <f t="shared" si="211"/>
        <v>31095.715531684385</v>
      </c>
      <c r="EK228" s="68">
        <f t="shared" si="210"/>
        <v>0.80305271654227528</v>
      </c>
      <c r="EL228" s="58">
        <f t="shared" si="212"/>
        <v>6829.1874880509558</v>
      </c>
      <c r="EM228" s="58">
        <f t="shared" si="213"/>
        <v>6998.4715157605769</v>
      </c>
      <c r="EN228" s="68">
        <f t="shared" si="214"/>
        <v>0.18073684642016777</v>
      </c>
      <c r="EO228" s="139">
        <f t="shared" si="233"/>
        <v>0.28868615856523006</v>
      </c>
      <c r="EP228">
        <f>+(SUM(M228:O228)*EO228*(1-'[1]Tier 3 Data'!$A$2))</f>
        <v>1552.1250656778973</v>
      </c>
    </row>
    <row r="229" spans="1:146" x14ac:dyDescent="0.2">
      <c r="A229" s="43">
        <v>0</v>
      </c>
      <c r="B229" s="43">
        <v>0</v>
      </c>
      <c r="C229" s="43">
        <v>0</v>
      </c>
      <c r="D229" s="70">
        <v>2026</v>
      </c>
      <c r="E229" s="70">
        <v>6</v>
      </c>
      <c r="F229" s="2">
        <v>720</v>
      </c>
      <c r="G229" s="133">
        <f t="shared" si="226"/>
        <v>39310.70788601684</v>
      </c>
      <c r="H229" s="65">
        <v>39310.70788601684</v>
      </c>
      <c r="I229" s="133">
        <f t="shared" si="227"/>
        <v>39310.70788601684</v>
      </c>
      <c r="J229" s="133">
        <f t="shared" si="203"/>
        <v>691.03875000000016</v>
      </c>
      <c r="K229" s="65">
        <v>691.03875000000016</v>
      </c>
      <c r="L229" s="133">
        <f t="shared" si="204"/>
        <v>691.03875000000016</v>
      </c>
      <c r="M229" s="65">
        <v>1630.7561929849653</v>
      </c>
      <c r="N229" s="65">
        <v>3511.538810303055</v>
      </c>
      <c r="O229" s="65">
        <v>264.41761452306559</v>
      </c>
      <c r="P229" s="200">
        <f t="shared" si="194"/>
        <v>36997.655350673514</v>
      </c>
      <c r="Q229" s="200">
        <f t="shared" si="195"/>
        <v>36997.655350673514</v>
      </c>
      <c r="R229" s="200">
        <f t="shared" si="196"/>
        <v>36997.655350673514</v>
      </c>
      <c r="S229" s="133">
        <f t="shared" si="228"/>
        <v>38540.34385165992</v>
      </c>
      <c r="T229" s="133">
        <f t="shared" si="229"/>
        <v>38540.34385165992</v>
      </c>
      <c r="U229" s="133">
        <f t="shared" si="230"/>
        <v>38540.34385165992</v>
      </c>
      <c r="V229" s="200">
        <f t="shared" si="200"/>
        <v>36997.655350673514</v>
      </c>
      <c r="W229" s="200">
        <f t="shared" si="201"/>
        <v>36997.655350673514</v>
      </c>
      <c r="X229" s="200">
        <f t="shared" si="202"/>
        <v>36997.655350673514</v>
      </c>
      <c r="Y229" s="65">
        <v>2248.7354896935717</v>
      </c>
      <c r="Z229" s="65">
        <v>2785.0267808858266</v>
      </c>
      <c r="AA229" s="65">
        <v>610.09544609571594</v>
      </c>
      <c r="AB229" s="200">
        <f t="shared" si="218"/>
        <v>39782.682131559341</v>
      </c>
      <c r="AC229" s="200">
        <f t="shared" si="219"/>
        <v>39782.682131559341</v>
      </c>
      <c r="AD229" s="200">
        <f t="shared" si="220"/>
        <v>39782.682131559341</v>
      </c>
      <c r="AE229" s="199">
        <f t="shared" si="175"/>
        <v>40789.079341353492</v>
      </c>
      <c r="AF229" s="199">
        <f t="shared" si="221"/>
        <v>41325.370632545746</v>
      </c>
      <c r="AG229" s="199">
        <f t="shared" si="176"/>
        <v>39150.439297755634</v>
      </c>
      <c r="AH229" s="199">
        <f t="shared" si="231"/>
        <v>40237.904965150694</v>
      </c>
      <c r="AI229" s="200">
        <f t="shared" si="222"/>
        <v>39782.682131559341</v>
      </c>
      <c r="AJ229" s="200">
        <f t="shared" si="223"/>
        <v>39782.682131559341</v>
      </c>
      <c r="AK229" s="200">
        <f t="shared" si="224"/>
        <v>39782.682131559341</v>
      </c>
      <c r="AL229" s="4"/>
      <c r="AM229" s="4"/>
      <c r="AN229" s="4"/>
      <c r="AO229" s="4"/>
      <c r="AP229" s="63"/>
      <c r="AQ229" s="18"/>
      <c r="AR229" s="10">
        <v>9600</v>
      </c>
      <c r="AS229" s="18"/>
      <c r="AT229" s="62"/>
      <c r="AU229" s="133">
        <f t="shared" si="235"/>
        <v>128.934</v>
      </c>
      <c r="AV229" s="133">
        <f t="shared" si="235"/>
        <v>3110.2840000000001</v>
      </c>
      <c r="AW229" s="63"/>
      <c r="AX229" s="63"/>
      <c r="AY229" s="65">
        <v>1170.1048746057143</v>
      </c>
      <c r="AZ229" s="63"/>
      <c r="BA229" s="65">
        <v>2058.0909999999999</v>
      </c>
      <c r="BB229" s="133">
        <f t="shared" si="236"/>
        <v>1047.68</v>
      </c>
      <c r="BC229" s="65">
        <v>605.91554170888298</v>
      </c>
      <c r="BD229" s="65">
        <v>8.3809700100652513</v>
      </c>
      <c r="BE229" s="65">
        <v>0</v>
      </c>
      <c r="BF229" s="65">
        <v>179.82494093729514</v>
      </c>
      <c r="BG229" s="65">
        <v>0</v>
      </c>
      <c r="BH229" s="65">
        <v>37.888219913415</v>
      </c>
      <c r="BI229" s="65">
        <v>1537.2069643204168</v>
      </c>
      <c r="BJ229" s="65">
        <v>0</v>
      </c>
      <c r="BK229" s="65">
        <v>11.763509963764358</v>
      </c>
      <c r="BL229" s="65">
        <v>0</v>
      </c>
      <c r="BM229" s="65">
        <v>0</v>
      </c>
      <c r="BN229" s="65">
        <v>28.535694660312817</v>
      </c>
      <c r="BO229" s="65">
        <v>205.33566960000002</v>
      </c>
      <c r="BP229" s="260">
        <f t="shared" si="225"/>
        <v>960</v>
      </c>
      <c r="BQ229" s="65">
        <v>168.82723087148221</v>
      </c>
      <c r="BR229" s="65">
        <v>220.57828981696102</v>
      </c>
      <c r="BS229" s="65">
        <v>798.15405498688938</v>
      </c>
      <c r="BT229" s="65">
        <v>268.0051076825718</v>
      </c>
      <c r="BU229" s="65">
        <v>296.26473652425841</v>
      </c>
      <c r="BV229" s="144">
        <f t="shared" si="215"/>
        <v>1141.5293350894756</v>
      </c>
      <c r="BW229" s="144">
        <f t="shared" si="216"/>
        <v>2458.0771672121382</v>
      </c>
      <c r="BX229" s="144">
        <f t="shared" si="217"/>
        <v>185.0923301661459</v>
      </c>
      <c r="BY229" s="5"/>
      <c r="BZ229" s="66">
        <v>7020</v>
      </c>
      <c r="CA229" s="4"/>
      <c r="CB229" s="5"/>
      <c r="CC229" s="5"/>
      <c r="CD229" s="188">
        <v>2.1777775833862054</v>
      </c>
      <c r="CE229" s="5"/>
      <c r="CF229" s="133">
        <f t="shared" si="232"/>
        <v>680.66666666666663</v>
      </c>
      <c r="CG229" s="133">
        <f t="shared" si="208"/>
        <v>1853</v>
      </c>
      <c r="CH229" s="70">
        <v>4416</v>
      </c>
      <c r="CI229" s="70"/>
      <c r="CJ229" s="133">
        <f t="shared" si="237"/>
        <v>1047.68</v>
      </c>
      <c r="CK229" s="8">
        <f t="shared" si="172"/>
        <v>40198.318082319835</v>
      </c>
      <c r="CL229" s="202">
        <f t="shared" si="152"/>
        <v>-415.63595076049387</v>
      </c>
      <c r="CM229" s="202">
        <f t="shared" si="153"/>
        <v>-415.63595076049387</v>
      </c>
      <c r="CN229" s="202">
        <f t="shared" si="154"/>
        <v>-415.63595076049387</v>
      </c>
      <c r="CO229" s="9">
        <f t="shared" si="155"/>
        <v>590.76125903365755</v>
      </c>
      <c r="CP229" s="9">
        <f t="shared" si="156"/>
        <v>1127.0525502259115</v>
      </c>
      <c r="CQ229" s="9">
        <f t="shared" si="157"/>
        <v>-1047.8787845642</v>
      </c>
      <c r="CR229" s="202">
        <f t="shared" si="158"/>
        <v>-415.63595076049387</v>
      </c>
      <c r="CS229" s="202">
        <f t="shared" si="159"/>
        <v>-415.63595076049387</v>
      </c>
      <c r="CT229" s="202">
        <f t="shared" si="160"/>
        <v>-415.63595076049387</v>
      </c>
      <c r="CU229" s="203">
        <f t="shared" si="161"/>
        <v>-1.044766035095388E-2</v>
      </c>
      <c r="CV229" s="203">
        <f t="shared" si="162"/>
        <v>-1.044766035095388E-2</v>
      </c>
      <c r="CW229" s="203">
        <f t="shared" si="163"/>
        <v>-1.044766035095388E-2</v>
      </c>
      <c r="CX229" s="19">
        <f t="shared" si="164"/>
        <v>1.4483319274988433E-2</v>
      </c>
      <c r="CY229" s="19">
        <f t="shared" si="165"/>
        <v>2.7272654376106251E-2</v>
      </c>
      <c r="CZ229" s="19">
        <f t="shared" si="166"/>
        <v>-2.6765441291594177E-2</v>
      </c>
      <c r="DA229" s="203">
        <f t="shared" si="167"/>
        <v>-1.044766035095388E-2</v>
      </c>
      <c r="DB229" s="203">
        <f t="shared" si="168"/>
        <v>-1.044766035095388E-2</v>
      </c>
      <c r="DC229" s="203">
        <f t="shared" si="169"/>
        <v>-1.044766035095388E-2</v>
      </c>
      <c r="DD229" s="65"/>
      <c r="DE229" s="66"/>
      <c r="DF229" s="66"/>
      <c r="DG229" s="66"/>
      <c r="DH229" s="66"/>
      <c r="DI229" s="66"/>
      <c r="DJ229" s="65"/>
      <c r="DK229" s="66"/>
      <c r="DL229" s="66"/>
      <c r="DM229" s="8">
        <f t="shared" si="170"/>
        <v>0</v>
      </c>
      <c r="DN229" s="8">
        <f t="shared" si="171"/>
        <v>40198.318082319835</v>
      </c>
      <c r="DO229" s="202">
        <f t="shared" si="177"/>
        <v>-415.63595076049387</v>
      </c>
      <c r="DP229" s="202">
        <f t="shared" si="178"/>
        <v>-415.63595076049387</v>
      </c>
      <c r="DQ229" s="202">
        <f t="shared" si="179"/>
        <v>-415.63595076049387</v>
      </c>
      <c r="DR229" s="9">
        <f t="shared" si="180"/>
        <v>590.76125903365755</v>
      </c>
      <c r="DS229" s="9">
        <f t="shared" si="173"/>
        <v>1127.0525502259115</v>
      </c>
      <c r="DT229" s="9">
        <f t="shared" si="181"/>
        <v>-1047.8787845642</v>
      </c>
      <c r="DU229" s="202">
        <f t="shared" si="182"/>
        <v>-415.63595076049387</v>
      </c>
      <c r="DV229" s="202">
        <f t="shared" si="183"/>
        <v>-415.63595076049387</v>
      </c>
      <c r="DW229" s="202">
        <f t="shared" si="184"/>
        <v>-415.63595076049387</v>
      </c>
      <c r="DX229" s="203">
        <f t="shared" si="185"/>
        <v>-1.044766035095388E-2</v>
      </c>
      <c r="DY229" s="203">
        <f t="shared" si="186"/>
        <v>-1.044766035095388E-2</v>
      </c>
      <c r="DZ229" s="203">
        <f t="shared" si="187"/>
        <v>-1.044766035095388E-2</v>
      </c>
      <c r="EA229" s="19">
        <f t="shared" si="188"/>
        <v>1.4483319274988433E-2</v>
      </c>
      <c r="EB229" s="19">
        <f t="shared" si="174"/>
        <v>2.7272654376106251E-2</v>
      </c>
      <c r="EC229" s="19">
        <f t="shared" si="189"/>
        <v>-2.6765441291594177E-2</v>
      </c>
      <c r="ED229" s="203">
        <f t="shared" si="190"/>
        <v>-1.044766035095388E-2</v>
      </c>
      <c r="EE229" s="203">
        <f t="shared" si="191"/>
        <v>-1.044766035095388E-2</v>
      </c>
      <c r="EF229" s="203">
        <f t="shared" si="192"/>
        <v>-1.044766035095388E-2</v>
      </c>
      <c r="EH229" s="58">
        <f t="shared" si="234"/>
        <v>35364.786028709685</v>
      </c>
      <c r="EI229" s="68">
        <f t="shared" si="210"/>
        <v>0.85576452158563798</v>
      </c>
      <c r="EJ229" s="58">
        <f t="shared" si="211"/>
        <v>31854.786028709681</v>
      </c>
      <c r="EK229" s="68">
        <f t="shared" si="210"/>
        <v>0.77082880422184241</v>
      </c>
      <c r="EL229" s="58">
        <f t="shared" si="212"/>
        <v>6644.9331572711581</v>
      </c>
      <c r="EM229" s="58">
        <f t="shared" si="213"/>
        <v>6830.025487437304</v>
      </c>
      <c r="EN229" s="68">
        <f t="shared" si="214"/>
        <v>0.16527439156367363</v>
      </c>
      <c r="EO229" s="139">
        <f t="shared" si="233"/>
        <v>0.24029016665052916</v>
      </c>
      <c r="EP229">
        <f>+(SUM(M229:O229)*EO229*(1-'[1]Tier 3 Data'!$A$2))</f>
        <v>1212.1348242756665</v>
      </c>
    </row>
    <row r="230" spans="1:146" x14ac:dyDescent="0.2">
      <c r="A230" s="43">
        <v>0</v>
      </c>
      <c r="B230" s="43">
        <v>0</v>
      </c>
      <c r="C230" s="43">
        <v>0</v>
      </c>
      <c r="D230" s="70">
        <v>2026</v>
      </c>
      <c r="E230" s="70">
        <v>7</v>
      </c>
      <c r="F230" s="2">
        <v>744</v>
      </c>
      <c r="G230" s="133">
        <f t="shared" si="226"/>
        <v>45130.661640537706</v>
      </c>
      <c r="H230" s="65">
        <v>45130.661640537706</v>
      </c>
      <c r="I230" s="133">
        <f t="shared" si="227"/>
        <v>45130.661640537706</v>
      </c>
      <c r="J230" s="133">
        <f t="shared" si="203"/>
        <v>729.46312500000022</v>
      </c>
      <c r="K230" s="65">
        <v>729.46312500000022</v>
      </c>
      <c r="L230" s="133">
        <f t="shared" si="204"/>
        <v>729.46312500000022</v>
      </c>
      <c r="M230" s="65">
        <v>1709.2251160000674</v>
      </c>
      <c r="N230" s="65">
        <v>3680.5074579497937</v>
      </c>
      <c r="O230" s="65">
        <v>293.84630829874845</v>
      </c>
      <c r="P230" s="200">
        <f t="shared" si="194"/>
        <v>42696.124850863125</v>
      </c>
      <c r="Q230" s="200">
        <f t="shared" si="195"/>
        <v>42696.124850863125</v>
      </c>
      <c r="R230" s="200">
        <f t="shared" si="196"/>
        <v>42696.124850863125</v>
      </c>
      <c r="S230" s="133">
        <f t="shared" si="228"/>
        <v>44313.044623048081</v>
      </c>
      <c r="T230" s="133">
        <f t="shared" si="229"/>
        <v>44313.044623048081</v>
      </c>
      <c r="U230" s="133">
        <f t="shared" si="230"/>
        <v>44313.044623048081</v>
      </c>
      <c r="V230" s="200">
        <f t="shared" si="200"/>
        <v>42696.124850863125</v>
      </c>
      <c r="W230" s="200">
        <f t="shared" si="201"/>
        <v>42696.124850863125</v>
      </c>
      <c r="X230" s="200">
        <f t="shared" si="202"/>
        <v>42696.124850863125</v>
      </c>
      <c r="Y230" s="65">
        <v>2627.8277210665856</v>
      </c>
      <c r="Z230" s="65">
        <v>3652.5738602410261</v>
      </c>
      <c r="AA230" s="65">
        <v>775.95912336103584</v>
      </c>
      <c r="AB230" s="200">
        <f t="shared" si="218"/>
        <v>46348.698711104153</v>
      </c>
      <c r="AC230" s="200">
        <f t="shared" si="219"/>
        <v>46348.698711104153</v>
      </c>
      <c r="AD230" s="200">
        <f t="shared" si="220"/>
        <v>46348.698711104153</v>
      </c>
      <c r="AE230" s="199">
        <f t="shared" si="175"/>
        <v>46940.872344114665</v>
      </c>
      <c r="AF230" s="199">
        <f t="shared" si="221"/>
        <v>47965.618483289109</v>
      </c>
      <c r="AG230" s="199">
        <f t="shared" si="176"/>
        <v>45089.003746409115</v>
      </c>
      <c r="AH230" s="199">
        <f t="shared" si="231"/>
        <v>46527.311114849115</v>
      </c>
      <c r="AI230" s="200">
        <f t="shared" si="222"/>
        <v>46348.698711104153</v>
      </c>
      <c r="AJ230" s="200">
        <f t="shared" si="223"/>
        <v>46348.698711104153</v>
      </c>
      <c r="AK230" s="200">
        <f t="shared" si="224"/>
        <v>46348.698711104153</v>
      </c>
      <c r="AL230" s="4"/>
      <c r="AM230" s="4"/>
      <c r="AN230" s="4"/>
      <c r="AO230" s="4"/>
      <c r="AP230" s="63"/>
      <c r="AQ230" s="18"/>
      <c r="AR230" s="10">
        <v>9920</v>
      </c>
      <c r="AS230" s="18"/>
      <c r="AT230" s="62"/>
      <c r="AU230" s="133">
        <f t="shared" si="235"/>
        <v>118.521</v>
      </c>
      <c r="AV230" s="133">
        <f t="shared" si="235"/>
        <v>3084.53</v>
      </c>
      <c r="AW230" s="63"/>
      <c r="AX230" s="63"/>
      <c r="AY230" s="65">
        <v>1237.5528587885699</v>
      </c>
      <c r="AZ230" s="63"/>
      <c r="BA230" s="65">
        <v>1516.482</v>
      </c>
      <c r="BB230" s="133">
        <f t="shared" si="236"/>
        <v>874.91</v>
      </c>
      <c r="BC230" s="65">
        <v>586.79739986786444</v>
      </c>
      <c r="BD230" s="65">
        <v>7.5724679441334652</v>
      </c>
      <c r="BE230" s="65">
        <v>0</v>
      </c>
      <c r="BF230" s="65">
        <v>144.12352207184469</v>
      </c>
      <c r="BG230" s="65">
        <v>0</v>
      </c>
      <c r="BH230" s="65">
        <v>37.888219913415</v>
      </c>
      <c r="BI230" s="65">
        <v>1488.7042626072459</v>
      </c>
      <c r="BJ230" s="65">
        <v>0</v>
      </c>
      <c r="BK230" s="65">
        <v>9.5733821057653241</v>
      </c>
      <c r="BL230" s="65">
        <v>0</v>
      </c>
      <c r="BM230" s="65">
        <v>0</v>
      </c>
      <c r="BN230" s="65">
        <v>28.535694660312817</v>
      </c>
      <c r="BO230" s="65">
        <v>212.18019192</v>
      </c>
      <c r="BP230" s="260">
        <f t="shared" si="225"/>
        <v>992</v>
      </c>
      <c r="BQ230" s="65">
        <v>170.77830605133258</v>
      </c>
      <c r="BR230" s="65">
        <v>223.12735646493596</v>
      </c>
      <c r="BS230" s="65">
        <v>807.37775455941346</v>
      </c>
      <c r="BT230" s="65">
        <v>276.9179678476433</v>
      </c>
      <c r="BU230" s="65">
        <v>304.60928097895129</v>
      </c>
      <c r="BV230" s="144">
        <f t="shared" si="215"/>
        <v>1196.4575812000471</v>
      </c>
      <c r="BW230" s="144">
        <f t="shared" si="216"/>
        <v>2576.3552205648552</v>
      </c>
      <c r="BX230" s="144">
        <f t="shared" si="217"/>
        <v>205.6924158091239</v>
      </c>
      <c r="BY230" s="5"/>
      <c r="BZ230" s="66">
        <v>7254</v>
      </c>
      <c r="CA230" s="4"/>
      <c r="CB230" s="5"/>
      <c r="CC230" s="5"/>
      <c r="CD230" s="188">
        <v>2.1042112926473342</v>
      </c>
      <c r="CE230" s="5"/>
      <c r="CF230" s="133">
        <f t="shared" si="232"/>
        <v>971.33333333333337</v>
      </c>
      <c r="CG230" s="133">
        <f t="shared" si="208"/>
        <v>1568</v>
      </c>
      <c r="CH230" s="70">
        <v>6800</v>
      </c>
      <c r="CI230" s="70"/>
      <c r="CJ230" s="133">
        <f t="shared" si="237"/>
        <v>874.91</v>
      </c>
      <c r="CK230" s="8">
        <f t="shared" si="172"/>
        <v>42616.124427981435</v>
      </c>
      <c r="CL230" s="202">
        <f t="shared" si="152"/>
        <v>3732.574283122718</v>
      </c>
      <c r="CM230" s="202">
        <f t="shared" si="153"/>
        <v>3732.574283122718</v>
      </c>
      <c r="CN230" s="202">
        <f t="shared" si="154"/>
        <v>3732.574283122718</v>
      </c>
      <c r="CO230" s="9">
        <f t="shared" si="155"/>
        <v>4324.7479161332303</v>
      </c>
      <c r="CP230" s="9">
        <f t="shared" si="156"/>
        <v>5349.494055307674</v>
      </c>
      <c r="CQ230" s="9">
        <f t="shared" si="157"/>
        <v>2472.8793184276801</v>
      </c>
      <c r="CR230" s="202">
        <f t="shared" si="158"/>
        <v>3732.574283122718</v>
      </c>
      <c r="CS230" s="202">
        <f t="shared" si="159"/>
        <v>3732.574283122718</v>
      </c>
      <c r="CT230" s="202">
        <f t="shared" si="160"/>
        <v>3732.574283122718</v>
      </c>
      <c r="CU230" s="203">
        <f t="shared" si="161"/>
        <v>8.0532450466154579E-2</v>
      </c>
      <c r="CV230" s="203">
        <f t="shared" si="162"/>
        <v>8.0532450466154579E-2</v>
      </c>
      <c r="CW230" s="203">
        <f t="shared" si="163"/>
        <v>8.0532450466154579E-2</v>
      </c>
      <c r="CX230" s="19">
        <f t="shared" si="164"/>
        <v>9.2131818182442815E-2</v>
      </c>
      <c r="CY230" s="19">
        <f t="shared" si="165"/>
        <v>0.1115276780423753</v>
      </c>
      <c r="CZ230" s="19">
        <f t="shared" si="166"/>
        <v>5.4844399142986611E-2</v>
      </c>
      <c r="DA230" s="203">
        <f t="shared" si="167"/>
        <v>8.0532450466154579E-2</v>
      </c>
      <c r="DB230" s="203">
        <f t="shared" si="168"/>
        <v>8.0532450466154579E-2</v>
      </c>
      <c r="DC230" s="203">
        <f t="shared" si="169"/>
        <v>8.0532450466154579E-2</v>
      </c>
      <c r="DD230" s="65"/>
      <c r="DE230" s="66"/>
      <c r="DF230" s="66"/>
      <c r="DG230" s="66"/>
      <c r="DH230" s="66"/>
      <c r="DI230" s="66"/>
      <c r="DJ230" s="65"/>
      <c r="DK230" s="66"/>
      <c r="DL230" s="66"/>
      <c r="DM230" s="8">
        <f t="shared" si="170"/>
        <v>0</v>
      </c>
      <c r="DN230" s="8">
        <f t="shared" si="171"/>
        <v>42616.124427981435</v>
      </c>
      <c r="DO230" s="202">
        <f t="shared" si="177"/>
        <v>3732.574283122718</v>
      </c>
      <c r="DP230" s="202">
        <f t="shared" si="178"/>
        <v>3732.574283122718</v>
      </c>
      <c r="DQ230" s="202">
        <f t="shared" si="179"/>
        <v>3732.574283122718</v>
      </c>
      <c r="DR230" s="9">
        <f t="shared" si="180"/>
        <v>4324.7479161332303</v>
      </c>
      <c r="DS230" s="9">
        <f t="shared" si="173"/>
        <v>5349.494055307674</v>
      </c>
      <c r="DT230" s="9">
        <f t="shared" si="181"/>
        <v>2472.8793184276801</v>
      </c>
      <c r="DU230" s="202">
        <f t="shared" si="182"/>
        <v>3732.574283122718</v>
      </c>
      <c r="DV230" s="202">
        <f t="shared" si="183"/>
        <v>3732.574283122718</v>
      </c>
      <c r="DW230" s="202">
        <f t="shared" si="184"/>
        <v>3732.574283122718</v>
      </c>
      <c r="DX230" s="203">
        <f t="shared" si="185"/>
        <v>8.0532450466154579E-2</v>
      </c>
      <c r="DY230" s="203">
        <f t="shared" si="186"/>
        <v>8.0532450466154579E-2</v>
      </c>
      <c r="DZ230" s="203">
        <f t="shared" si="187"/>
        <v>8.0532450466154579E-2</v>
      </c>
      <c r="EA230" s="19">
        <f t="shared" si="188"/>
        <v>9.2131818182442815E-2</v>
      </c>
      <c r="EB230" s="19">
        <f t="shared" si="174"/>
        <v>0.1115276780423753</v>
      </c>
      <c r="EC230" s="19">
        <f t="shared" si="189"/>
        <v>5.4844399142986611E-2</v>
      </c>
      <c r="ED230" s="203">
        <f t="shared" si="190"/>
        <v>8.0532450466154579E-2</v>
      </c>
      <c r="EE230" s="203">
        <f t="shared" si="191"/>
        <v>8.0532450466154579E-2</v>
      </c>
      <c r="EF230" s="203">
        <f t="shared" si="192"/>
        <v>8.0532450466154579E-2</v>
      </c>
      <c r="EH230" s="58">
        <f t="shared" si="234"/>
        <v>37646.439113416898</v>
      </c>
      <c r="EI230" s="68">
        <f t="shared" si="210"/>
        <v>0.78486299778522939</v>
      </c>
      <c r="EJ230" s="58">
        <f t="shared" si="211"/>
        <v>34019.439113416898</v>
      </c>
      <c r="EK230" s="68">
        <f t="shared" si="210"/>
        <v>0.70924633496113543</v>
      </c>
      <c r="EL230" s="58">
        <f t="shared" si="212"/>
        <v>6730.4175054858697</v>
      </c>
      <c r="EM230" s="58">
        <f t="shared" si="213"/>
        <v>6936.1099212949939</v>
      </c>
      <c r="EN230" s="68">
        <f t="shared" si="214"/>
        <v>0.14460586854960469</v>
      </c>
      <c r="EO230" s="139">
        <f t="shared" si="233"/>
        <v>0.25197746931178833</v>
      </c>
      <c r="EP230">
        <f>+(SUM(M230:O230)*EO230*(1-'[1]Tier 3 Data'!$A$2))</f>
        <v>1336.1808572162711</v>
      </c>
    </row>
    <row r="231" spans="1:146" x14ac:dyDescent="0.2">
      <c r="A231" s="43">
        <v>0</v>
      </c>
      <c r="B231" s="43">
        <v>0</v>
      </c>
      <c r="C231" s="43">
        <v>0</v>
      </c>
      <c r="D231" s="70">
        <v>2026</v>
      </c>
      <c r="E231" s="70">
        <v>8</v>
      </c>
      <c r="F231" s="2">
        <v>744</v>
      </c>
      <c r="G231" s="133">
        <f t="shared" si="226"/>
        <v>43103.892897316931</v>
      </c>
      <c r="H231" s="65">
        <v>43103.892897316931</v>
      </c>
      <c r="I231" s="133">
        <f t="shared" si="227"/>
        <v>43103.892897316931</v>
      </c>
      <c r="J231" s="133">
        <f t="shared" si="203"/>
        <v>767.88750000000027</v>
      </c>
      <c r="K231" s="65">
        <v>767.88750000000027</v>
      </c>
      <c r="L231" s="133">
        <f t="shared" si="204"/>
        <v>767.88750000000027</v>
      </c>
      <c r="M231" s="65">
        <v>1523.4196774399222</v>
      </c>
      <c r="N231" s="65">
        <v>3280.4090180505418</v>
      </c>
      <c r="O231" s="65">
        <v>304.10092637689593</v>
      </c>
      <c r="P231" s="200">
        <f t="shared" si="194"/>
        <v>40803.626510756723</v>
      </c>
      <c r="Q231" s="200">
        <f t="shared" si="195"/>
        <v>40803.626510756723</v>
      </c>
      <c r="R231" s="200">
        <f t="shared" si="196"/>
        <v>40803.626510756723</v>
      </c>
      <c r="S231" s="133">
        <f t="shared" si="228"/>
        <v>42244.775119403865</v>
      </c>
      <c r="T231" s="133">
        <f t="shared" si="229"/>
        <v>42244.775119403865</v>
      </c>
      <c r="U231" s="133">
        <f t="shared" si="230"/>
        <v>42244.775119403865</v>
      </c>
      <c r="V231" s="200">
        <f t="shared" si="200"/>
        <v>40803.626510756723</v>
      </c>
      <c r="W231" s="200">
        <f t="shared" si="201"/>
        <v>40803.626510756723</v>
      </c>
      <c r="X231" s="200">
        <f t="shared" si="202"/>
        <v>40803.626510756723</v>
      </c>
      <c r="Y231" s="65">
        <v>2558.6103410599226</v>
      </c>
      <c r="Z231" s="65">
        <v>3294.753117140875</v>
      </c>
      <c r="AA231" s="65">
        <v>746.28001433487202</v>
      </c>
      <c r="AB231" s="200">
        <f t="shared" si="218"/>
        <v>44098.379627897601</v>
      </c>
      <c r="AC231" s="200">
        <f t="shared" si="219"/>
        <v>44098.379627897601</v>
      </c>
      <c r="AD231" s="200">
        <f t="shared" si="220"/>
        <v>44098.379627897601</v>
      </c>
      <c r="AE231" s="199">
        <f t="shared" si="175"/>
        <v>44803.385460463789</v>
      </c>
      <c r="AF231" s="199">
        <f t="shared" si="221"/>
        <v>45539.528236544742</v>
      </c>
      <c r="AG231" s="199">
        <f t="shared" si="176"/>
        <v>42991.055133738737</v>
      </c>
      <c r="AH231" s="199">
        <f t="shared" si="231"/>
        <v>44265.291685141739</v>
      </c>
      <c r="AI231" s="200">
        <f t="shared" si="222"/>
        <v>44098.379627897601</v>
      </c>
      <c r="AJ231" s="200">
        <f t="shared" si="223"/>
        <v>44098.379627897601</v>
      </c>
      <c r="AK231" s="200">
        <f t="shared" si="224"/>
        <v>44098.379627897601</v>
      </c>
      <c r="AL231" s="4"/>
      <c r="AM231" s="4"/>
      <c r="AN231" s="4"/>
      <c r="AO231" s="4"/>
      <c r="AP231" s="63"/>
      <c r="AQ231" s="18"/>
      <c r="AR231" s="10">
        <v>9920</v>
      </c>
      <c r="AS231" s="18"/>
      <c r="AT231" s="62"/>
      <c r="AU231" s="133">
        <f t="shared" si="235"/>
        <v>107.64</v>
      </c>
      <c r="AV231" s="133">
        <f t="shared" si="235"/>
        <v>3021.9279999999999</v>
      </c>
      <c r="AW231" s="63"/>
      <c r="AX231" s="63"/>
      <c r="AY231" s="65">
        <v>1159.3158527085716</v>
      </c>
      <c r="AZ231" s="63"/>
      <c r="BA231" s="65">
        <v>1498.2090000000001</v>
      </c>
      <c r="BB231" s="133">
        <f t="shared" si="236"/>
        <v>875.755</v>
      </c>
      <c r="BC231" s="65">
        <v>569.06141954142743</v>
      </c>
      <c r="BD231" s="65">
        <v>7.9692213995478474</v>
      </c>
      <c r="BE231" s="65">
        <v>0</v>
      </c>
      <c r="BF231" s="65">
        <v>158.69842331487976</v>
      </c>
      <c r="BG231" s="65">
        <v>0</v>
      </c>
      <c r="BH231" s="65">
        <v>31.573516594512498</v>
      </c>
      <c r="BI231" s="65">
        <v>1443.7081029115327</v>
      </c>
      <c r="BJ231" s="65">
        <v>0</v>
      </c>
      <c r="BK231" s="65">
        <v>11.152893841525399</v>
      </c>
      <c r="BL231" s="65">
        <v>0</v>
      </c>
      <c r="BM231" s="65">
        <v>0</v>
      </c>
      <c r="BN231" s="65">
        <v>23.779745550260685</v>
      </c>
      <c r="BO231" s="65">
        <v>212.18019192</v>
      </c>
      <c r="BP231" s="260">
        <f t="shared" si="225"/>
        <v>992</v>
      </c>
      <c r="BQ231" s="65">
        <v>162.08189151137941</v>
      </c>
      <c r="BR231" s="65">
        <v>211.76527680123451</v>
      </c>
      <c r="BS231" s="65">
        <v>766.26450802004717</v>
      </c>
      <c r="BT231" s="65">
        <v>262.82337652063751</v>
      </c>
      <c r="BU231" s="65">
        <v>283.43347258983658</v>
      </c>
      <c r="BV231" s="144">
        <f t="shared" si="215"/>
        <v>1066.3937742079454</v>
      </c>
      <c r="BW231" s="144">
        <f t="shared" si="216"/>
        <v>2296.2863126353791</v>
      </c>
      <c r="BX231" s="144">
        <f t="shared" si="217"/>
        <v>212.87064846382714</v>
      </c>
      <c r="BY231" s="5"/>
      <c r="BZ231" s="66">
        <v>7254</v>
      </c>
      <c r="CA231" s="4"/>
      <c r="CB231" s="5"/>
      <c r="CC231" s="5"/>
      <c r="CD231" s="188">
        <v>16.868963591035975</v>
      </c>
      <c r="CE231" s="5"/>
      <c r="CF231" s="133">
        <f t="shared" si="232"/>
        <v>598.33333333333337</v>
      </c>
      <c r="CG231" s="133">
        <f t="shared" si="208"/>
        <v>2629</v>
      </c>
      <c r="CH231" s="70">
        <v>7280</v>
      </c>
      <c r="CI231" s="70"/>
      <c r="CJ231" s="133">
        <f t="shared" si="237"/>
        <v>875.755</v>
      </c>
      <c r="CK231" s="8">
        <f t="shared" si="172"/>
        <v>43073.09292545692</v>
      </c>
      <c r="CL231" s="202">
        <f t="shared" si="152"/>
        <v>1025.2867024406805</v>
      </c>
      <c r="CM231" s="202">
        <f t="shared" si="153"/>
        <v>1025.2867024406805</v>
      </c>
      <c r="CN231" s="202">
        <f t="shared" si="154"/>
        <v>1025.2867024406805</v>
      </c>
      <c r="CO231" s="9">
        <f t="shared" si="155"/>
        <v>1730.292535006869</v>
      </c>
      <c r="CP231" s="9">
        <f t="shared" si="156"/>
        <v>2466.4353110878219</v>
      </c>
      <c r="CQ231" s="9">
        <f t="shared" si="157"/>
        <v>-82.037791718183144</v>
      </c>
      <c r="CR231" s="202">
        <f t="shared" si="158"/>
        <v>1025.2867024406805</v>
      </c>
      <c r="CS231" s="202">
        <f t="shared" si="159"/>
        <v>1025.2867024406805</v>
      </c>
      <c r="CT231" s="202">
        <f t="shared" si="160"/>
        <v>1025.2867024406805</v>
      </c>
      <c r="CU231" s="203">
        <f t="shared" si="161"/>
        <v>2.3249985851907851E-2</v>
      </c>
      <c r="CV231" s="203">
        <f t="shared" si="162"/>
        <v>2.3249985851907851E-2</v>
      </c>
      <c r="CW231" s="203">
        <f t="shared" si="163"/>
        <v>2.3249985851907851E-2</v>
      </c>
      <c r="CX231" s="19">
        <f t="shared" si="164"/>
        <v>3.8619682803518164E-2</v>
      </c>
      <c r="CY231" s="19">
        <f t="shared" si="165"/>
        <v>5.4160317565796541E-2</v>
      </c>
      <c r="CZ231" s="19">
        <f t="shared" si="166"/>
        <v>-1.908252576331887E-3</v>
      </c>
      <c r="DA231" s="203">
        <f t="shared" si="167"/>
        <v>2.3249985851907851E-2</v>
      </c>
      <c r="DB231" s="203">
        <f t="shared" si="168"/>
        <v>2.3249985851907851E-2</v>
      </c>
      <c r="DC231" s="203">
        <f t="shared" si="169"/>
        <v>2.3249985851907851E-2</v>
      </c>
      <c r="DD231" s="65"/>
      <c r="DE231" s="66"/>
      <c r="DF231" s="66"/>
      <c r="DG231" s="66"/>
      <c r="DH231" s="66"/>
      <c r="DI231" s="66"/>
      <c r="DJ231" s="65"/>
      <c r="DK231" s="66"/>
      <c r="DL231" s="66"/>
      <c r="DM231" s="8">
        <f t="shared" si="170"/>
        <v>0</v>
      </c>
      <c r="DN231" s="8">
        <f t="shared" si="171"/>
        <v>43073.09292545692</v>
      </c>
      <c r="DO231" s="202">
        <f t="shared" si="177"/>
        <v>1025.2867024406805</v>
      </c>
      <c r="DP231" s="202">
        <f t="shared" si="178"/>
        <v>1025.2867024406805</v>
      </c>
      <c r="DQ231" s="202">
        <f t="shared" si="179"/>
        <v>1025.2867024406805</v>
      </c>
      <c r="DR231" s="9">
        <f t="shared" si="180"/>
        <v>1730.292535006869</v>
      </c>
      <c r="DS231" s="9">
        <f t="shared" si="173"/>
        <v>2466.4353110878219</v>
      </c>
      <c r="DT231" s="9">
        <f t="shared" si="181"/>
        <v>-82.037791718183144</v>
      </c>
      <c r="DU231" s="202">
        <f t="shared" si="182"/>
        <v>1025.2867024406805</v>
      </c>
      <c r="DV231" s="202">
        <f t="shared" si="183"/>
        <v>1025.2867024406805</v>
      </c>
      <c r="DW231" s="202">
        <f t="shared" si="184"/>
        <v>1025.2867024406805</v>
      </c>
      <c r="DX231" s="203">
        <f t="shared" si="185"/>
        <v>2.3249985851907851E-2</v>
      </c>
      <c r="DY231" s="203">
        <f t="shared" si="186"/>
        <v>2.3249985851907851E-2</v>
      </c>
      <c r="DZ231" s="203">
        <f t="shared" si="187"/>
        <v>2.3249985851907851E-2</v>
      </c>
      <c r="EA231" s="19">
        <f t="shared" si="188"/>
        <v>3.8619682803518164E-2</v>
      </c>
      <c r="EB231" s="19">
        <f t="shared" si="174"/>
        <v>5.4160317565796541E-2</v>
      </c>
      <c r="EC231" s="19">
        <f t="shared" si="189"/>
        <v>-1.908252576331887E-3</v>
      </c>
      <c r="ED231" s="203">
        <f t="shared" si="190"/>
        <v>2.3249985851907851E-2</v>
      </c>
      <c r="EE231" s="203">
        <f t="shared" si="191"/>
        <v>2.3249985851907851E-2</v>
      </c>
      <c r="EF231" s="203">
        <f t="shared" si="192"/>
        <v>2.3249985851907851E-2</v>
      </c>
      <c r="EH231" s="58">
        <f t="shared" si="234"/>
        <v>38204.131764343052</v>
      </c>
      <c r="EI231" s="68">
        <f t="shared" si="210"/>
        <v>0.8389224316488384</v>
      </c>
      <c r="EJ231" s="58">
        <f t="shared" si="211"/>
        <v>34577.131764343052</v>
      </c>
      <c r="EK231" s="68">
        <f t="shared" si="210"/>
        <v>0.759277337805082</v>
      </c>
      <c r="EL231" s="58">
        <f t="shared" si="212"/>
        <v>6282.0799298373204</v>
      </c>
      <c r="EM231" s="58">
        <f t="shared" si="213"/>
        <v>6494.9505783011473</v>
      </c>
      <c r="EN231" s="68">
        <f t="shared" si="214"/>
        <v>0.14262226311534457</v>
      </c>
      <c r="EO231" s="139">
        <f t="shared" si="233"/>
        <v>0.28519905910129462</v>
      </c>
      <c r="EP231">
        <f>+(SUM(M231:O231)*EO231*(1-'[1]Tier 3 Data'!$A$2))</f>
        <v>1359.1726817306851</v>
      </c>
    </row>
    <row r="232" spans="1:146" x14ac:dyDescent="0.2">
      <c r="A232" s="43">
        <v>0</v>
      </c>
      <c r="B232" s="43">
        <v>0</v>
      </c>
      <c r="C232" s="43">
        <v>0</v>
      </c>
      <c r="D232" s="70">
        <v>2026</v>
      </c>
      <c r="E232" s="70">
        <v>9</v>
      </c>
      <c r="F232" s="2">
        <v>720</v>
      </c>
      <c r="G232" s="133">
        <f t="shared" si="226"/>
        <v>37444.54360833692</v>
      </c>
      <c r="H232" s="65">
        <v>37444.54360833692</v>
      </c>
      <c r="I232" s="133">
        <f t="shared" si="227"/>
        <v>37444.54360833692</v>
      </c>
      <c r="J232" s="133">
        <f t="shared" si="203"/>
        <v>806.31187500000033</v>
      </c>
      <c r="K232" s="65">
        <v>806.31187500000033</v>
      </c>
      <c r="L232" s="133">
        <f t="shared" si="204"/>
        <v>806.31187500000033</v>
      </c>
      <c r="M232" s="65">
        <v>1305.6369062084025</v>
      </c>
      <c r="N232" s="65">
        <v>2811.4531700307239</v>
      </c>
      <c r="O232" s="65">
        <v>294.72289950041591</v>
      </c>
      <c r="P232" s="200">
        <f t="shared" si="194"/>
        <v>35314.687840615057</v>
      </c>
      <c r="Q232" s="200">
        <f t="shared" si="195"/>
        <v>35314.687840615057</v>
      </c>
      <c r="R232" s="200">
        <f t="shared" si="196"/>
        <v>35314.687840615057</v>
      </c>
      <c r="S232" s="133">
        <f t="shared" si="228"/>
        <v>36549.814863486798</v>
      </c>
      <c r="T232" s="133">
        <f t="shared" si="229"/>
        <v>36549.814863486798</v>
      </c>
      <c r="U232" s="133">
        <f t="shared" si="230"/>
        <v>36549.814863486798</v>
      </c>
      <c r="V232" s="200">
        <f t="shared" si="200"/>
        <v>35314.687840615057</v>
      </c>
      <c r="W232" s="200">
        <f t="shared" si="201"/>
        <v>35314.687840615057</v>
      </c>
      <c r="X232" s="200">
        <f t="shared" si="202"/>
        <v>35314.687840615057</v>
      </c>
      <c r="Y232" s="65">
        <v>2463.7858219557743</v>
      </c>
      <c r="Z232" s="65">
        <v>2960.4745703798853</v>
      </c>
      <c r="AA232" s="65">
        <v>675.20163788189882</v>
      </c>
      <c r="AB232" s="200">
        <f t="shared" si="218"/>
        <v>38275.162410994941</v>
      </c>
      <c r="AC232" s="200">
        <f t="shared" si="219"/>
        <v>38275.162410994941</v>
      </c>
      <c r="AD232" s="200">
        <f t="shared" si="220"/>
        <v>38275.162410994941</v>
      </c>
      <c r="AE232" s="199">
        <f t="shared" si="175"/>
        <v>39013.600685442572</v>
      </c>
      <c r="AF232" s="199">
        <f t="shared" si="221"/>
        <v>39510.289433866681</v>
      </c>
      <c r="AG232" s="199">
        <f t="shared" si="176"/>
        <v>37225.016501368693</v>
      </c>
      <c r="AH232" s="199">
        <f t="shared" si="231"/>
        <v>38367.652967617687</v>
      </c>
      <c r="AI232" s="200">
        <f t="shared" si="222"/>
        <v>38275.162410994941</v>
      </c>
      <c r="AJ232" s="200">
        <f t="shared" si="223"/>
        <v>38275.162410994941</v>
      </c>
      <c r="AK232" s="200">
        <f t="shared" si="224"/>
        <v>38275.162410994941</v>
      </c>
      <c r="AL232" s="4"/>
      <c r="AM232" s="4"/>
      <c r="AN232" s="4"/>
      <c r="AO232" s="4"/>
      <c r="AP232" s="63"/>
      <c r="AQ232" s="18"/>
      <c r="AR232" s="10">
        <v>9600</v>
      </c>
      <c r="AS232" s="18"/>
      <c r="AT232" s="62"/>
      <c r="AU232" s="133">
        <f t="shared" si="235"/>
        <v>102.375</v>
      </c>
      <c r="AV232" s="133">
        <f t="shared" si="235"/>
        <v>2969.6280000000002</v>
      </c>
      <c r="AW232" s="63"/>
      <c r="AX232" s="63"/>
      <c r="AY232" s="65">
        <v>1065.150988617143</v>
      </c>
      <c r="AZ232" s="63"/>
      <c r="BA232" s="65">
        <v>2037.9549999999999</v>
      </c>
      <c r="BB232" s="133">
        <f t="shared" si="236"/>
        <v>1324.9169999999999</v>
      </c>
      <c r="BC232" s="65">
        <v>529.48077460711397</v>
      </c>
      <c r="BD232" s="65">
        <v>10.55810604601432</v>
      </c>
      <c r="BE232" s="65">
        <v>0</v>
      </c>
      <c r="BF232" s="65">
        <v>164.12369835717462</v>
      </c>
      <c r="BG232" s="65">
        <v>0</v>
      </c>
      <c r="BH232" s="65">
        <v>6.3147033189024988</v>
      </c>
      <c r="BI232" s="65">
        <v>1343.2920566854839</v>
      </c>
      <c r="BJ232" s="65">
        <v>0</v>
      </c>
      <c r="BK232" s="65">
        <v>13.355863258351745</v>
      </c>
      <c r="BL232" s="65">
        <v>0</v>
      </c>
      <c r="BM232" s="65">
        <v>0</v>
      </c>
      <c r="BN232" s="65">
        <v>4.7559491100521365</v>
      </c>
      <c r="BO232" s="65">
        <v>205.33566960000002</v>
      </c>
      <c r="BP232" s="260">
        <f t="shared" si="225"/>
        <v>960</v>
      </c>
      <c r="BQ232" s="65">
        <v>129.40934675072342</v>
      </c>
      <c r="BR232" s="65">
        <v>169.07757742918801</v>
      </c>
      <c r="BS232" s="65">
        <v>611.80071153487779</v>
      </c>
      <c r="BT232" s="65">
        <v>226.37120627414353</v>
      </c>
      <c r="BU232" s="65">
        <v>232.72139614963024</v>
      </c>
      <c r="BV232" s="144">
        <f t="shared" si="215"/>
        <v>913.94583434588162</v>
      </c>
      <c r="BW232" s="144">
        <f t="shared" si="216"/>
        <v>1968.0172190215067</v>
      </c>
      <c r="BX232" s="144">
        <f t="shared" si="217"/>
        <v>206.30602965029112</v>
      </c>
      <c r="BY232" s="5"/>
      <c r="BZ232" s="66">
        <v>7020</v>
      </c>
      <c r="CA232" s="4"/>
      <c r="CB232" s="5"/>
      <c r="CC232" s="5"/>
      <c r="CD232" s="188">
        <v>2.2241810746462862</v>
      </c>
      <c r="CE232" s="5"/>
      <c r="CF232" s="133">
        <f t="shared" si="232"/>
        <v>655.33333333333337</v>
      </c>
      <c r="CG232" s="133">
        <f t="shared" si="208"/>
        <v>1448</v>
      </c>
      <c r="CH232" s="70">
        <v>4800</v>
      </c>
      <c r="CI232" s="70"/>
      <c r="CJ232" s="133">
        <f t="shared" si="237"/>
        <v>1324.9169999999999</v>
      </c>
      <c r="CK232" s="8">
        <f t="shared" si="172"/>
        <v>38720.449645164452</v>
      </c>
      <c r="CL232" s="202">
        <f t="shared" ref="CL232:CL295" si="238">+AB232-$CK232</f>
        <v>-445.28723416951107</v>
      </c>
      <c r="CM232" s="202">
        <f t="shared" ref="CM232:CM295" si="239">+AC232-$CK232</f>
        <v>-445.28723416951107</v>
      </c>
      <c r="CN232" s="202">
        <f t="shared" ref="CN232:CN295" si="240">+AD232-$CK232</f>
        <v>-445.28723416951107</v>
      </c>
      <c r="CO232" s="9">
        <f t="shared" ref="CO232:CO295" si="241">+AE232-$CK232</f>
        <v>293.15104027812049</v>
      </c>
      <c r="CP232" s="9">
        <f t="shared" ref="CP232:CP295" si="242">+AF232-$CK232</f>
        <v>789.83978870222927</v>
      </c>
      <c r="CQ232" s="9">
        <f t="shared" ref="CQ232:CQ295" si="243">+AG232-$CK232</f>
        <v>-1495.433143795759</v>
      </c>
      <c r="CR232" s="202">
        <f t="shared" ref="CR232:CR295" si="244">+AI232-$CK232</f>
        <v>-445.28723416951107</v>
      </c>
      <c r="CS232" s="202">
        <f t="shared" ref="CS232:CS295" si="245">+AJ232-$CK232</f>
        <v>-445.28723416951107</v>
      </c>
      <c r="CT232" s="202">
        <f t="shared" ref="CT232:CT295" si="246">+AK232-$CK232</f>
        <v>-445.28723416951107</v>
      </c>
      <c r="CU232" s="203">
        <f t="shared" ref="CU232:CU295" si="247">+CL232/AB232</f>
        <v>-1.163384310138414E-2</v>
      </c>
      <c r="CV232" s="203">
        <f t="shared" ref="CV232:CV295" si="248">+CM232/AC232</f>
        <v>-1.163384310138414E-2</v>
      </c>
      <c r="CW232" s="203">
        <f t="shared" ref="CW232:CW295" si="249">+CN232/AD232</f>
        <v>-1.163384310138414E-2</v>
      </c>
      <c r="CX232" s="19">
        <f t="shared" ref="CX232:CX295" si="250">+CO232/AE232</f>
        <v>7.5140729163075187E-3</v>
      </c>
      <c r="CY232" s="19">
        <f t="shared" ref="CY232:CY295" si="251">+CP232/AF232</f>
        <v>1.9990736590889395E-2</v>
      </c>
      <c r="CZ232" s="19">
        <f t="shared" ref="CZ232:CZ295" si="252">+CQ232/AG232</f>
        <v>-4.0172800023897226E-2</v>
      </c>
      <c r="DA232" s="203">
        <f t="shared" ref="DA232:DA295" si="253">+CR232/AI232</f>
        <v>-1.163384310138414E-2</v>
      </c>
      <c r="DB232" s="203">
        <f t="shared" ref="DB232:DB295" si="254">+CS232/AJ232</f>
        <v>-1.163384310138414E-2</v>
      </c>
      <c r="DC232" s="203">
        <f t="shared" ref="DC232:DC295" si="255">+CT232/AK232</f>
        <v>-1.163384310138414E-2</v>
      </c>
      <c r="DD232" s="65"/>
      <c r="DE232" s="66"/>
      <c r="DF232" s="66"/>
      <c r="DG232" s="66"/>
      <c r="DH232" s="66"/>
      <c r="DI232" s="66"/>
      <c r="DJ232" s="65"/>
      <c r="DK232" s="66"/>
      <c r="DL232" s="66"/>
      <c r="DM232" s="8">
        <f t="shared" ref="DM232:DM295" si="256">+SUM(DD232:DL232)</f>
        <v>0</v>
      </c>
      <c r="DN232" s="8">
        <f t="shared" ref="DN232:DN295" si="257">+DM232+CK232</f>
        <v>38720.449645164452</v>
      </c>
      <c r="DO232" s="202">
        <f t="shared" si="177"/>
        <v>-445.28723416951107</v>
      </c>
      <c r="DP232" s="202">
        <f t="shared" si="178"/>
        <v>-445.28723416951107</v>
      </c>
      <c r="DQ232" s="202">
        <f t="shared" si="179"/>
        <v>-445.28723416951107</v>
      </c>
      <c r="DR232" s="9">
        <f t="shared" si="180"/>
        <v>293.15104027812049</v>
      </c>
      <c r="DS232" s="9">
        <f t="shared" si="173"/>
        <v>789.83978870222927</v>
      </c>
      <c r="DT232" s="9">
        <f t="shared" si="181"/>
        <v>-1495.433143795759</v>
      </c>
      <c r="DU232" s="202">
        <f t="shared" si="182"/>
        <v>-445.28723416951107</v>
      </c>
      <c r="DV232" s="202">
        <f t="shared" si="183"/>
        <v>-445.28723416951107</v>
      </c>
      <c r="DW232" s="202">
        <f t="shared" si="184"/>
        <v>-445.28723416951107</v>
      </c>
      <c r="DX232" s="203">
        <f t="shared" si="185"/>
        <v>-1.163384310138414E-2</v>
      </c>
      <c r="DY232" s="203">
        <f t="shared" si="186"/>
        <v>-1.163384310138414E-2</v>
      </c>
      <c r="DZ232" s="203">
        <f t="shared" si="187"/>
        <v>-1.163384310138414E-2</v>
      </c>
      <c r="EA232" s="19">
        <f t="shared" si="188"/>
        <v>7.5140729163075187E-3</v>
      </c>
      <c r="EB232" s="19">
        <f t="shared" si="174"/>
        <v>1.9990736590889395E-2</v>
      </c>
      <c r="EC232" s="19">
        <f t="shared" si="189"/>
        <v>-4.0172800023897226E-2</v>
      </c>
      <c r="ED232" s="203">
        <f t="shared" si="190"/>
        <v>-1.163384310138414E-2</v>
      </c>
      <c r="EE232" s="203">
        <f t="shared" si="191"/>
        <v>-1.163384310138414E-2</v>
      </c>
      <c r="EF232" s="203">
        <f t="shared" si="192"/>
        <v>-1.163384310138414E-2</v>
      </c>
      <c r="EH232" s="58">
        <f t="shared" si="234"/>
        <v>34130.155931386747</v>
      </c>
      <c r="EI232" s="68">
        <f t="shared" si="210"/>
        <v>0.8638295598546466</v>
      </c>
      <c r="EJ232" s="58">
        <f t="shared" si="211"/>
        <v>30620.155931386751</v>
      </c>
      <c r="EK232" s="68">
        <f t="shared" si="210"/>
        <v>0.77499194184946529</v>
      </c>
      <c r="EL232" s="58">
        <f t="shared" si="212"/>
        <v>5450.4905797859883</v>
      </c>
      <c r="EM232" s="58">
        <f t="shared" si="213"/>
        <v>5656.7966094362791</v>
      </c>
      <c r="EN232" s="68">
        <f t="shared" si="214"/>
        <v>0.14317274539091313</v>
      </c>
      <c r="EO232" s="139">
        <f t="shared" si="233"/>
        <v>0.31860645638858931</v>
      </c>
      <c r="EP232">
        <f>+(SUM(M232:O232)*EO232*(1-'[1]Tier 3 Data'!$A$2))</f>
        <v>1311.4547478534516</v>
      </c>
    </row>
    <row r="233" spans="1:146" x14ac:dyDescent="0.2">
      <c r="A233" s="43">
        <v>0</v>
      </c>
      <c r="B233" s="43">
        <v>0</v>
      </c>
      <c r="C233" s="43">
        <v>0</v>
      </c>
      <c r="D233" s="70">
        <v>2026</v>
      </c>
      <c r="E233" s="70">
        <v>10</v>
      </c>
      <c r="F233" s="2">
        <v>744</v>
      </c>
      <c r="G233" s="133">
        <f t="shared" si="226"/>
        <v>39358.473126644407</v>
      </c>
      <c r="H233" s="65">
        <v>39358.473126644407</v>
      </c>
      <c r="I233" s="133">
        <f t="shared" si="227"/>
        <v>39358.473126644407</v>
      </c>
      <c r="J233" s="133">
        <f t="shared" si="203"/>
        <v>844.73625000000038</v>
      </c>
      <c r="K233" s="65">
        <v>844.73625000000038</v>
      </c>
      <c r="L233" s="133">
        <f t="shared" si="204"/>
        <v>844.73625000000038</v>
      </c>
      <c r="M233" s="65">
        <v>957.87478015852639</v>
      </c>
      <c r="N233" s="65">
        <v>2062.6102665784465</v>
      </c>
      <c r="O233" s="65">
        <v>225.54760073490959</v>
      </c>
      <c r="P233" s="200">
        <f t="shared" si="194"/>
        <v>37539.927082402843</v>
      </c>
      <c r="Q233" s="200">
        <f t="shared" si="195"/>
        <v>37539.927082402843</v>
      </c>
      <c r="R233" s="200">
        <f t="shared" si="196"/>
        <v>37539.927082402843</v>
      </c>
      <c r="S233" s="133">
        <f t="shared" si="228"/>
        <v>38446.072596423932</v>
      </c>
      <c r="T233" s="133">
        <f t="shared" si="229"/>
        <v>38446.072596423932</v>
      </c>
      <c r="U233" s="133">
        <f t="shared" si="230"/>
        <v>38446.072596423932</v>
      </c>
      <c r="V233" s="200">
        <f t="shared" si="200"/>
        <v>37539.927082402843</v>
      </c>
      <c r="W233" s="200">
        <f t="shared" si="201"/>
        <v>37539.927082402843</v>
      </c>
      <c r="X233" s="200">
        <f t="shared" si="202"/>
        <v>37539.927082402843</v>
      </c>
      <c r="Y233" s="65">
        <v>2849.9544305168561</v>
      </c>
      <c r="Z233" s="65">
        <v>3821.0570668219393</v>
      </c>
      <c r="AA233" s="65">
        <v>852.05703329862752</v>
      </c>
      <c r="AB233" s="200">
        <f t="shared" si="218"/>
        <v>41360.98414922478</v>
      </c>
      <c r="AC233" s="200">
        <f t="shared" si="219"/>
        <v>41360.98414922478</v>
      </c>
      <c r="AD233" s="200">
        <f t="shared" si="220"/>
        <v>41360.98414922478</v>
      </c>
      <c r="AE233" s="199">
        <f t="shared" si="175"/>
        <v>41296.027026940785</v>
      </c>
      <c r="AF233" s="199">
        <f t="shared" si="221"/>
        <v>42267.129663245869</v>
      </c>
      <c r="AG233" s="199">
        <f t="shared" si="176"/>
        <v>39298.129629722556</v>
      </c>
      <c r="AH233" s="199">
        <f t="shared" si="231"/>
        <v>40782.629646484216</v>
      </c>
      <c r="AI233" s="200">
        <f t="shared" si="222"/>
        <v>41360.98414922478</v>
      </c>
      <c r="AJ233" s="200">
        <f t="shared" si="223"/>
        <v>41360.98414922478</v>
      </c>
      <c r="AK233" s="200">
        <f t="shared" si="224"/>
        <v>41360.98414922478</v>
      </c>
      <c r="AL233" s="4"/>
      <c r="AM233" s="4"/>
      <c r="AN233" s="4"/>
      <c r="AO233" s="4"/>
      <c r="AP233" s="63"/>
      <c r="AQ233" s="18"/>
      <c r="AR233" s="10">
        <v>9920</v>
      </c>
      <c r="AS233" s="18"/>
      <c r="AT233" s="62"/>
      <c r="AU233" s="133">
        <f t="shared" si="235"/>
        <v>118.17</v>
      </c>
      <c r="AV233" s="133">
        <f t="shared" si="235"/>
        <v>3225.1860000000001</v>
      </c>
      <c r="AW233" s="63"/>
      <c r="AX233" s="63"/>
      <c r="AY233" s="65">
        <v>1031.6699594133333</v>
      </c>
      <c r="AZ233" s="63"/>
      <c r="BA233" s="65">
        <v>1760</v>
      </c>
      <c r="BB233" s="133">
        <f t="shared" si="236"/>
        <v>1586.51</v>
      </c>
      <c r="BC233" s="65">
        <v>387.84712854806463</v>
      </c>
      <c r="BD233" s="65">
        <v>15.523669194184084</v>
      </c>
      <c r="BE233" s="65">
        <v>0</v>
      </c>
      <c r="BF233" s="65">
        <v>180.28804750208775</v>
      </c>
      <c r="BG233" s="65">
        <v>0</v>
      </c>
      <c r="BH233" s="65">
        <v>44.202923232317495</v>
      </c>
      <c r="BI233" s="65">
        <v>983.96767545238163</v>
      </c>
      <c r="BJ233" s="65">
        <v>0</v>
      </c>
      <c r="BK233" s="65">
        <v>16.565610887239799</v>
      </c>
      <c r="BL233" s="65">
        <v>0</v>
      </c>
      <c r="BM233" s="65">
        <v>0</v>
      </c>
      <c r="BN233" s="65">
        <v>33.291643770364956</v>
      </c>
      <c r="BO233" s="65">
        <v>212.18019192</v>
      </c>
      <c r="BP233" s="260">
        <f t="shared" si="225"/>
        <v>992</v>
      </c>
      <c r="BQ233" s="65">
        <v>102.10411450465783</v>
      </c>
      <c r="BR233" s="65">
        <v>133.40235719245072</v>
      </c>
      <c r="BS233" s="65">
        <v>482.71129793692194</v>
      </c>
      <c r="BT233" s="65">
        <v>159.34083669043562</v>
      </c>
      <c r="BU233" s="65">
        <v>158.8743401135462</v>
      </c>
      <c r="BV233" s="144">
        <f t="shared" si="215"/>
        <v>670.51234611096845</v>
      </c>
      <c r="BW233" s="144">
        <f t="shared" si="216"/>
        <v>1443.8271866049124</v>
      </c>
      <c r="BX233" s="144">
        <f t="shared" si="217"/>
        <v>157.88332051443672</v>
      </c>
      <c r="BY233" s="5"/>
      <c r="BZ233" s="66">
        <v>7254</v>
      </c>
      <c r="CA233" s="4"/>
      <c r="CB233" s="5"/>
      <c r="CC233" s="5"/>
      <c r="CD233" s="188">
        <v>0</v>
      </c>
      <c r="CE233" s="5"/>
      <c r="CF233" s="133">
        <f t="shared" si="232"/>
        <v>865.33333333333337</v>
      </c>
      <c r="CG233" s="133">
        <f t="shared" si="208"/>
        <v>3162</v>
      </c>
      <c r="CH233" s="70">
        <v>2832</v>
      </c>
      <c r="CI233" s="70"/>
      <c r="CJ233" s="133">
        <f t="shared" si="237"/>
        <v>1586.51</v>
      </c>
      <c r="CK233" s="8">
        <f t="shared" ref="CK233:CK296" si="258">+SUM(AL233:CI233)</f>
        <v>37929.391982921639</v>
      </c>
      <c r="CL233" s="202">
        <f t="shared" si="238"/>
        <v>3431.5921663031404</v>
      </c>
      <c r="CM233" s="202">
        <f t="shared" si="239"/>
        <v>3431.5921663031404</v>
      </c>
      <c r="CN233" s="202">
        <f t="shared" si="240"/>
        <v>3431.5921663031404</v>
      </c>
      <c r="CO233" s="9">
        <f t="shared" si="241"/>
        <v>3366.6350440191454</v>
      </c>
      <c r="CP233" s="9">
        <f t="shared" si="242"/>
        <v>4337.7376803242296</v>
      </c>
      <c r="CQ233" s="9">
        <f t="shared" si="243"/>
        <v>1368.737646800917</v>
      </c>
      <c r="CR233" s="202">
        <f t="shared" si="244"/>
        <v>3431.5921663031404</v>
      </c>
      <c r="CS233" s="202">
        <f t="shared" si="245"/>
        <v>3431.5921663031404</v>
      </c>
      <c r="CT233" s="202">
        <f t="shared" si="246"/>
        <v>3431.5921663031404</v>
      </c>
      <c r="CU233" s="203">
        <f t="shared" si="247"/>
        <v>8.2966888648549189E-2</v>
      </c>
      <c r="CV233" s="203">
        <f t="shared" si="248"/>
        <v>8.2966888648549189E-2</v>
      </c>
      <c r="CW233" s="203">
        <f t="shared" si="249"/>
        <v>8.2966888648549189E-2</v>
      </c>
      <c r="CX233" s="19">
        <f t="shared" si="250"/>
        <v>8.1524429500755932E-2</v>
      </c>
      <c r="CY233" s="19">
        <f t="shared" si="251"/>
        <v>0.10262673890761469</v>
      </c>
      <c r="CZ233" s="19">
        <f t="shared" si="252"/>
        <v>3.4829587557920129E-2</v>
      </c>
      <c r="DA233" s="203">
        <f t="shared" si="253"/>
        <v>8.2966888648549189E-2</v>
      </c>
      <c r="DB233" s="203">
        <f t="shared" si="254"/>
        <v>8.2966888648549189E-2</v>
      </c>
      <c r="DC233" s="203">
        <f t="shared" si="255"/>
        <v>8.2966888648549189E-2</v>
      </c>
      <c r="DD233" s="65"/>
      <c r="DE233" s="66"/>
      <c r="DF233" s="66"/>
      <c r="DG233" s="66"/>
      <c r="DH233" s="66"/>
      <c r="DI233" s="66"/>
      <c r="DJ233" s="65"/>
      <c r="DK233" s="66"/>
      <c r="DL233" s="66"/>
      <c r="DM233" s="8">
        <f t="shared" si="256"/>
        <v>0</v>
      </c>
      <c r="DN233" s="8">
        <f t="shared" si="257"/>
        <v>37929.391982921639</v>
      </c>
      <c r="DO233" s="202">
        <f t="shared" si="177"/>
        <v>3431.5921663031404</v>
      </c>
      <c r="DP233" s="202">
        <f t="shared" si="178"/>
        <v>3431.5921663031404</v>
      </c>
      <c r="DQ233" s="202">
        <f t="shared" si="179"/>
        <v>3431.5921663031404</v>
      </c>
      <c r="DR233" s="9">
        <f t="shared" si="180"/>
        <v>3366.6350440191454</v>
      </c>
      <c r="DS233" s="9">
        <f t="shared" ref="DS233:DS296" si="259">+AF233-$DN233</f>
        <v>4337.7376803242296</v>
      </c>
      <c r="DT233" s="9">
        <f t="shared" si="181"/>
        <v>1368.737646800917</v>
      </c>
      <c r="DU233" s="202">
        <f t="shared" si="182"/>
        <v>3431.5921663031404</v>
      </c>
      <c r="DV233" s="202">
        <f t="shared" si="183"/>
        <v>3431.5921663031404</v>
      </c>
      <c r="DW233" s="202">
        <f t="shared" si="184"/>
        <v>3431.5921663031404</v>
      </c>
      <c r="DX233" s="203">
        <f t="shared" si="185"/>
        <v>8.2966888648549189E-2</v>
      </c>
      <c r="DY233" s="203">
        <f t="shared" si="186"/>
        <v>8.2966888648549189E-2</v>
      </c>
      <c r="DZ233" s="203">
        <f t="shared" si="187"/>
        <v>8.2966888648549189E-2</v>
      </c>
      <c r="EA233" s="19">
        <f t="shared" si="188"/>
        <v>8.1524429500755932E-2</v>
      </c>
      <c r="EB233" s="19">
        <f t="shared" ref="EB233:EB296" si="260">+DS233/AF233</f>
        <v>0.10262673890761469</v>
      </c>
      <c r="EC233" s="19">
        <f t="shared" si="189"/>
        <v>3.4829587557920129E-2</v>
      </c>
      <c r="ED233" s="203">
        <f t="shared" si="190"/>
        <v>8.2966888648549189E-2</v>
      </c>
      <c r="EE233" s="203">
        <f t="shared" si="191"/>
        <v>8.2966888648549189E-2</v>
      </c>
      <c r="EF233" s="203">
        <f t="shared" si="192"/>
        <v>8.2966888648549189E-2</v>
      </c>
      <c r="EH233" s="58">
        <f>SUMIF($AL$1:$DL$1,1,$AL233:$DL233)-0.5*BZ233</f>
        <v>33451.591589308584</v>
      </c>
      <c r="EI233" s="68">
        <f t="shared" si="210"/>
        <v>0.79143277189217343</v>
      </c>
      <c r="EJ233" s="58">
        <f t="shared" si="211"/>
        <v>29824.591589308584</v>
      </c>
      <c r="EK233" s="68">
        <f t="shared" si="210"/>
        <v>0.70562140904597759</v>
      </c>
      <c r="EL233" s="58">
        <f t="shared" si="212"/>
        <v>4173.8389760474765</v>
      </c>
      <c r="EM233" s="58">
        <f t="shared" si="213"/>
        <v>4331.722296561913</v>
      </c>
      <c r="EN233" s="68">
        <f t="shared" si="214"/>
        <v>0.10248442066149192</v>
      </c>
      <c r="EO233" s="139">
        <f t="shared" si="233"/>
        <v>0.35739486552628164</v>
      </c>
      <c r="EP233">
        <f>+(SUM(M233:O233)*EO233*(1-'[1]Tier 3 Data'!$A$2))</f>
        <v>1082.3876696341456</v>
      </c>
    </row>
    <row r="234" spans="1:146" x14ac:dyDescent="0.2">
      <c r="A234" s="43">
        <v>0</v>
      </c>
      <c r="B234" s="43">
        <v>0</v>
      </c>
      <c r="C234" s="43">
        <v>0</v>
      </c>
      <c r="D234" s="70">
        <v>2026</v>
      </c>
      <c r="E234" s="70">
        <v>11</v>
      </c>
      <c r="F234" s="2">
        <v>721</v>
      </c>
      <c r="G234" s="133">
        <f t="shared" si="226"/>
        <v>41657.602843719549</v>
      </c>
      <c r="H234" s="65">
        <v>41657.602843719549</v>
      </c>
      <c r="I234" s="133">
        <f t="shared" si="227"/>
        <v>41657.602843719549</v>
      </c>
      <c r="J234" s="133">
        <f t="shared" si="203"/>
        <v>883.16062500000044</v>
      </c>
      <c r="K234" s="65">
        <v>883.16062500000044</v>
      </c>
      <c r="L234" s="133">
        <f t="shared" si="204"/>
        <v>883.16062500000044</v>
      </c>
      <c r="M234" s="65">
        <v>391.15101618171565</v>
      </c>
      <c r="N234" s="65">
        <v>842.27303867993726</v>
      </c>
      <c r="O234" s="65">
        <v>96.938913740878107</v>
      </c>
      <c r="P234" s="200">
        <f t="shared" si="194"/>
        <v>40375.333328138782</v>
      </c>
      <c r="Q234" s="200">
        <f t="shared" si="195"/>
        <v>40375.333328138782</v>
      </c>
      <c r="R234" s="200">
        <f t="shared" si="196"/>
        <v>40375.333328138782</v>
      </c>
      <c r="S234" s="133">
        <f t="shared" si="228"/>
        <v>40745.360544597279</v>
      </c>
      <c r="T234" s="133">
        <f t="shared" si="229"/>
        <v>40745.360544597279</v>
      </c>
      <c r="U234" s="133">
        <f t="shared" si="230"/>
        <v>40745.360544597279</v>
      </c>
      <c r="V234" s="200">
        <f t="shared" si="200"/>
        <v>40375.333328138782</v>
      </c>
      <c r="W234" s="200">
        <f t="shared" si="201"/>
        <v>40375.333328138782</v>
      </c>
      <c r="X234" s="200">
        <f t="shared" si="202"/>
        <v>40375.333328138782</v>
      </c>
      <c r="Y234" s="65">
        <v>4245.2833073543952</v>
      </c>
      <c r="Z234" s="65">
        <v>6735.2327937388245</v>
      </c>
      <c r="AA234" s="65">
        <v>1435.74906219221</v>
      </c>
      <c r="AB234" s="200">
        <f t="shared" si="218"/>
        <v>47110.566121877608</v>
      </c>
      <c r="AC234" s="200">
        <f t="shared" si="219"/>
        <v>47110.566121877608</v>
      </c>
      <c r="AD234" s="200">
        <f t="shared" si="220"/>
        <v>47110.566121877608</v>
      </c>
      <c r="AE234" s="199">
        <f t="shared" si="175"/>
        <v>44990.643851951674</v>
      </c>
      <c r="AF234" s="199">
        <f t="shared" si="221"/>
        <v>47480.593338336104</v>
      </c>
      <c r="AG234" s="199">
        <f t="shared" si="176"/>
        <v>42181.10960678949</v>
      </c>
      <c r="AH234" s="199">
        <f t="shared" si="231"/>
        <v>44830.851472562797</v>
      </c>
      <c r="AI234" s="200">
        <f t="shared" si="222"/>
        <v>47110.566121877608</v>
      </c>
      <c r="AJ234" s="200">
        <f t="shared" si="223"/>
        <v>47110.566121877608</v>
      </c>
      <c r="AK234" s="200">
        <f t="shared" si="224"/>
        <v>47110.566121877608</v>
      </c>
      <c r="AL234" s="4"/>
      <c r="AM234" s="4"/>
      <c r="AN234" s="4"/>
      <c r="AO234" s="4"/>
      <c r="AP234" s="63"/>
      <c r="AQ234" s="18"/>
      <c r="AR234" s="10">
        <v>9600</v>
      </c>
      <c r="AS234" s="18"/>
      <c r="AT234" s="62"/>
      <c r="AU234" s="133">
        <f t="shared" si="235"/>
        <v>104.364</v>
      </c>
      <c r="AV234" s="133">
        <f t="shared" si="235"/>
        <v>3268.3739999999998</v>
      </c>
      <c r="AW234" s="63"/>
      <c r="AX234" s="63"/>
      <c r="AY234" s="65">
        <v>1051.7654038000001</v>
      </c>
      <c r="AZ234" s="63"/>
      <c r="BA234" s="65">
        <v>2363</v>
      </c>
      <c r="BB234" s="133">
        <f t="shared" si="236"/>
        <v>2045.05</v>
      </c>
      <c r="BC234" s="65">
        <v>283.87477427119757</v>
      </c>
      <c r="BD234" s="65">
        <v>14.399660735694527</v>
      </c>
      <c r="BE234" s="65">
        <v>0</v>
      </c>
      <c r="BF234" s="65">
        <v>188.4392525423311</v>
      </c>
      <c r="BG234" s="65">
        <v>0</v>
      </c>
      <c r="BH234" s="65">
        <v>82.091143145732502</v>
      </c>
      <c r="BI234" s="65">
        <v>720.18994392164086</v>
      </c>
      <c r="BJ234" s="65">
        <v>0</v>
      </c>
      <c r="BK234" s="65">
        <v>19.844702933795372</v>
      </c>
      <c r="BL234" s="65">
        <v>0</v>
      </c>
      <c r="BM234" s="65">
        <v>0</v>
      </c>
      <c r="BN234" s="65">
        <v>61.827338430677763</v>
      </c>
      <c r="BO234" s="65">
        <v>205.33566960000002</v>
      </c>
      <c r="BP234" s="260">
        <f t="shared" si="225"/>
        <v>960</v>
      </c>
      <c r="BQ234" s="65">
        <v>62.934963307229985</v>
      </c>
      <c r="BR234" s="65">
        <v>82.226581879432672</v>
      </c>
      <c r="BS234" s="65">
        <v>297.53372389120636</v>
      </c>
      <c r="BT234" s="65">
        <v>109.90413401301431</v>
      </c>
      <c r="BU234" s="65">
        <v>122.23279152536287</v>
      </c>
      <c r="BV234" s="144">
        <f t="shared" si="215"/>
        <v>273.80571132720092</v>
      </c>
      <c r="BW234" s="144">
        <f t="shared" si="216"/>
        <v>589.59112707595602</v>
      </c>
      <c r="BX234" s="144">
        <f t="shared" si="217"/>
        <v>67.85723961861467</v>
      </c>
      <c r="BY234" s="5"/>
      <c r="BZ234" s="66">
        <v>7029.75</v>
      </c>
      <c r="CA234" s="4"/>
      <c r="CB234" s="5"/>
      <c r="CC234" s="5"/>
      <c r="CD234" s="188">
        <v>3.0642236760841479</v>
      </c>
      <c r="CE234" s="5"/>
      <c r="CF234" s="133">
        <f t="shared" si="232"/>
        <v>1161.3333333333333</v>
      </c>
      <c r="CG234" s="133">
        <f t="shared" si="208"/>
        <v>4663</v>
      </c>
      <c r="CH234" s="70">
        <v>4010</v>
      </c>
      <c r="CI234" s="70"/>
      <c r="CJ234" s="133">
        <f t="shared" si="237"/>
        <v>2045.05</v>
      </c>
      <c r="CK234" s="8">
        <f t="shared" si="258"/>
        <v>39441.7897190285</v>
      </c>
      <c r="CL234" s="202">
        <f t="shared" si="238"/>
        <v>7668.7764028491074</v>
      </c>
      <c r="CM234" s="202">
        <f t="shared" si="239"/>
        <v>7668.7764028491074</v>
      </c>
      <c r="CN234" s="202">
        <f t="shared" si="240"/>
        <v>7668.7764028491074</v>
      </c>
      <c r="CO234" s="9">
        <f t="shared" si="241"/>
        <v>5548.8541329231739</v>
      </c>
      <c r="CP234" s="9">
        <f t="shared" si="242"/>
        <v>8038.8036193076041</v>
      </c>
      <c r="CQ234" s="9">
        <f t="shared" si="243"/>
        <v>2739.3198877609902</v>
      </c>
      <c r="CR234" s="202">
        <f t="shared" si="244"/>
        <v>7668.7764028491074</v>
      </c>
      <c r="CS234" s="202">
        <f t="shared" si="245"/>
        <v>7668.7764028491074</v>
      </c>
      <c r="CT234" s="202">
        <f t="shared" si="246"/>
        <v>7668.7764028491074</v>
      </c>
      <c r="CU234" s="203">
        <f t="shared" si="247"/>
        <v>0.16278251428797447</v>
      </c>
      <c r="CV234" s="203">
        <f t="shared" si="248"/>
        <v>0.16278251428797447</v>
      </c>
      <c r="CW234" s="203">
        <f t="shared" si="249"/>
        <v>0.16278251428797447</v>
      </c>
      <c r="CX234" s="19">
        <f t="shared" si="250"/>
        <v>0.123333512433885</v>
      </c>
      <c r="CY234" s="19">
        <f t="shared" si="251"/>
        <v>0.16930714327904212</v>
      </c>
      <c r="CZ234" s="19">
        <f t="shared" si="252"/>
        <v>6.4941864102125657E-2</v>
      </c>
      <c r="DA234" s="203">
        <f t="shared" si="253"/>
        <v>0.16278251428797447</v>
      </c>
      <c r="DB234" s="203">
        <f t="shared" si="254"/>
        <v>0.16278251428797447</v>
      </c>
      <c r="DC234" s="203">
        <f t="shared" si="255"/>
        <v>0.16278251428797447</v>
      </c>
      <c r="DD234" s="65"/>
      <c r="DE234" s="66"/>
      <c r="DF234" s="66"/>
      <c r="DG234" s="66"/>
      <c r="DH234" s="66"/>
      <c r="DI234" s="66"/>
      <c r="DJ234" s="65"/>
      <c r="DK234" s="66"/>
      <c r="DL234" s="66"/>
      <c r="DM234" s="8">
        <f t="shared" si="256"/>
        <v>0</v>
      </c>
      <c r="DN234" s="8">
        <f t="shared" si="257"/>
        <v>39441.7897190285</v>
      </c>
      <c r="DO234" s="202">
        <f t="shared" si="177"/>
        <v>7668.7764028491074</v>
      </c>
      <c r="DP234" s="202">
        <f t="shared" si="178"/>
        <v>7668.7764028491074</v>
      </c>
      <c r="DQ234" s="202">
        <f t="shared" si="179"/>
        <v>7668.7764028491074</v>
      </c>
      <c r="DR234" s="9">
        <f t="shared" si="180"/>
        <v>5548.8541329231739</v>
      </c>
      <c r="DS234" s="9">
        <f t="shared" si="259"/>
        <v>8038.8036193076041</v>
      </c>
      <c r="DT234" s="9">
        <f t="shared" si="181"/>
        <v>2739.3198877609902</v>
      </c>
      <c r="DU234" s="202">
        <f t="shared" si="182"/>
        <v>7668.7764028491074</v>
      </c>
      <c r="DV234" s="202">
        <f t="shared" si="183"/>
        <v>7668.7764028491074</v>
      </c>
      <c r="DW234" s="202">
        <f t="shared" si="184"/>
        <v>7668.7764028491074</v>
      </c>
      <c r="DX234" s="203">
        <f t="shared" si="185"/>
        <v>0.16278251428797447</v>
      </c>
      <c r="DY234" s="203">
        <f t="shared" si="186"/>
        <v>0.16278251428797447</v>
      </c>
      <c r="DZ234" s="203">
        <f t="shared" si="187"/>
        <v>0.16278251428797447</v>
      </c>
      <c r="EA234" s="19">
        <f t="shared" si="188"/>
        <v>0.123333512433885</v>
      </c>
      <c r="EB234" s="19">
        <f t="shared" si="260"/>
        <v>0.16930714327904212</v>
      </c>
      <c r="EC234" s="19">
        <f t="shared" si="189"/>
        <v>6.4941864102125657E-2</v>
      </c>
      <c r="ED234" s="203">
        <f t="shared" si="190"/>
        <v>0.16278251428797447</v>
      </c>
      <c r="EE234" s="203">
        <f t="shared" si="191"/>
        <v>0.16278251428797447</v>
      </c>
      <c r="EF234" s="203">
        <f t="shared" si="192"/>
        <v>0.16278251428797447</v>
      </c>
      <c r="EH234" s="58">
        <f t="shared" si="234"/>
        <v>35461.605531482885</v>
      </c>
      <c r="EI234" s="68">
        <f t="shared" si="210"/>
        <v>0.74686525669111592</v>
      </c>
      <c r="EJ234" s="58">
        <f t="shared" si="211"/>
        <v>31946.730531482885</v>
      </c>
      <c r="EK234" s="68">
        <f t="shared" si="210"/>
        <v>0.6728376434522968</v>
      </c>
      <c r="EL234" s="58">
        <f t="shared" si="212"/>
        <v>2651.986554730941</v>
      </c>
      <c r="EM234" s="58">
        <f t="shared" si="213"/>
        <v>2719.8437943495555</v>
      </c>
      <c r="EN234" s="68">
        <f t="shared" si="214"/>
        <v>5.7283273083142752E-2</v>
      </c>
      <c r="EO234" s="139">
        <f t="shared" si="233"/>
        <v>0.4050825009776523</v>
      </c>
      <c r="EP234">
        <f>+(SUM(M234:O234)*EO234*(1-'[1]Tier 3 Data'!$A$2))</f>
        <v>502.80000570808625</v>
      </c>
    </row>
    <row r="235" spans="1:146" x14ac:dyDescent="0.2">
      <c r="A235" s="43">
        <v>0</v>
      </c>
      <c r="B235" s="43">
        <v>0</v>
      </c>
      <c r="C235" s="43">
        <v>0</v>
      </c>
      <c r="D235" s="70">
        <v>2026</v>
      </c>
      <c r="E235" s="70">
        <v>12</v>
      </c>
      <c r="F235" s="2">
        <v>744</v>
      </c>
      <c r="G235" s="133">
        <f t="shared" si="226"/>
        <v>47276.907655483803</v>
      </c>
      <c r="H235" s="65">
        <v>47276.907655483803</v>
      </c>
      <c r="I235" s="133">
        <f t="shared" si="227"/>
        <v>47276.907655483803</v>
      </c>
      <c r="J235" s="133">
        <f t="shared" si="203"/>
        <v>921.58500000000049</v>
      </c>
      <c r="K235" s="65">
        <v>921.58500000000049</v>
      </c>
      <c r="L235" s="133">
        <f t="shared" si="204"/>
        <v>921.58500000000049</v>
      </c>
      <c r="M235" s="65">
        <v>248.30627982623952</v>
      </c>
      <c r="N235" s="65">
        <v>534.68270867382159</v>
      </c>
      <c r="O235" s="65">
        <v>63.492271282064351</v>
      </c>
      <c r="P235" s="200">
        <f t="shared" si="194"/>
        <v>46101.378277549164</v>
      </c>
      <c r="Q235" s="200">
        <f t="shared" si="195"/>
        <v>46101.378277549164</v>
      </c>
      <c r="R235" s="200">
        <f t="shared" si="196"/>
        <v>46101.378277549164</v>
      </c>
      <c r="S235" s="133">
        <f t="shared" si="228"/>
        <v>46336.274974099186</v>
      </c>
      <c r="T235" s="133">
        <f t="shared" si="229"/>
        <v>46336.274974099186</v>
      </c>
      <c r="U235" s="133">
        <f t="shared" si="230"/>
        <v>46336.274974099186</v>
      </c>
      <c r="V235" s="200">
        <f t="shared" si="200"/>
        <v>46101.378277549164</v>
      </c>
      <c r="W235" s="200">
        <f t="shared" si="201"/>
        <v>46101.378277549164</v>
      </c>
      <c r="X235" s="200">
        <f t="shared" si="202"/>
        <v>46101.378277549164</v>
      </c>
      <c r="Y235" s="65">
        <v>4690.7913374660957</v>
      </c>
      <c r="Z235" s="65">
        <v>7122.5950510970661</v>
      </c>
      <c r="AA235" s="65">
        <v>1568.7164087007441</v>
      </c>
      <c r="AB235" s="200">
        <f t="shared" si="218"/>
        <v>53223.973328646229</v>
      </c>
      <c r="AC235" s="200">
        <f t="shared" si="219"/>
        <v>53223.973328646229</v>
      </c>
      <c r="AD235" s="200">
        <f t="shared" si="220"/>
        <v>53223.973328646229</v>
      </c>
      <c r="AE235" s="199">
        <f t="shared" si="175"/>
        <v>51027.066311565279</v>
      </c>
      <c r="AF235" s="199">
        <f t="shared" si="221"/>
        <v>53458.870025196251</v>
      </c>
      <c r="AG235" s="199">
        <f t="shared" si="176"/>
        <v>47904.991382799926</v>
      </c>
      <c r="AH235" s="199">
        <f t="shared" si="231"/>
        <v>50681.930703998092</v>
      </c>
      <c r="AI235" s="200">
        <f t="shared" si="222"/>
        <v>53223.973328646229</v>
      </c>
      <c r="AJ235" s="200">
        <f t="shared" si="223"/>
        <v>53223.973328646229</v>
      </c>
      <c r="AK235" s="200">
        <f t="shared" si="224"/>
        <v>53223.973328646229</v>
      </c>
      <c r="AL235" s="4"/>
      <c r="AM235" s="4"/>
      <c r="AN235" s="4"/>
      <c r="AO235" s="4"/>
      <c r="AP235" s="63"/>
      <c r="AQ235" s="18"/>
      <c r="AR235" s="10">
        <v>9920</v>
      </c>
      <c r="AS235" s="18"/>
      <c r="AT235" s="62"/>
      <c r="AU235" s="133">
        <f t="shared" si="235"/>
        <v>105.066</v>
      </c>
      <c r="AV235" s="133">
        <f t="shared" si="235"/>
        <v>3218.8470000000002</v>
      </c>
      <c r="AW235" s="63"/>
      <c r="AX235" s="63"/>
      <c r="AY235" s="65">
        <v>1226.60803108</v>
      </c>
      <c r="AZ235" s="63"/>
      <c r="BA235" s="65">
        <v>2225.2240000000002</v>
      </c>
      <c r="BB235" s="133">
        <f t="shared" si="236"/>
        <v>1798.1949999999999</v>
      </c>
      <c r="BC235" s="65">
        <v>133.02629953839877</v>
      </c>
      <c r="BD235" s="65">
        <v>14.892990970660508</v>
      </c>
      <c r="BE235" s="65">
        <v>0</v>
      </c>
      <c r="BF235" s="65">
        <v>193.40118982180462</v>
      </c>
      <c r="BG235" s="65">
        <v>0</v>
      </c>
      <c r="BH235" s="65">
        <v>50.51762655121999</v>
      </c>
      <c r="BI235" s="65">
        <v>337.48755397736403</v>
      </c>
      <c r="BJ235" s="65">
        <v>0</v>
      </c>
      <c r="BK235" s="65">
        <v>20.28324216774827</v>
      </c>
      <c r="BL235" s="65">
        <v>0</v>
      </c>
      <c r="BM235" s="65">
        <v>0</v>
      </c>
      <c r="BN235" s="65">
        <v>38.047592880417092</v>
      </c>
      <c r="BO235" s="65">
        <v>212.18019192</v>
      </c>
      <c r="BP235" s="260">
        <f t="shared" si="225"/>
        <v>992</v>
      </c>
      <c r="BQ235" s="65">
        <v>57.342747897781685</v>
      </c>
      <c r="BR235" s="65">
        <v>74.54554108384734</v>
      </c>
      <c r="BS235" s="65">
        <v>271.09565110044321</v>
      </c>
      <c r="BT235" s="65">
        <v>101.18891035305091</v>
      </c>
      <c r="BU235" s="65">
        <v>107.57625333533261</v>
      </c>
      <c r="BV235" s="144">
        <f t="shared" si="215"/>
        <v>173.81439587836766</v>
      </c>
      <c r="BW235" s="144">
        <f t="shared" si="216"/>
        <v>374.27789607167512</v>
      </c>
      <c r="BX235" s="144">
        <f t="shared" si="217"/>
        <v>44.444589897445042</v>
      </c>
      <c r="BY235" s="5"/>
      <c r="BZ235" s="66">
        <v>7254</v>
      </c>
      <c r="CA235" s="4"/>
      <c r="CB235" s="5"/>
      <c r="CC235" s="5"/>
      <c r="CD235" s="188">
        <v>4.9023166732340453</v>
      </c>
      <c r="CE235" s="5"/>
      <c r="CF235" s="133">
        <f t="shared" si="232"/>
        <v>1762.3333333333333</v>
      </c>
      <c r="CG235" s="133">
        <f t="shared" si="208"/>
        <v>4206</v>
      </c>
      <c r="CH235" s="70">
        <v>7440</v>
      </c>
      <c r="CI235" s="70"/>
      <c r="CJ235" s="133">
        <f t="shared" si="237"/>
        <v>1798.1949999999999</v>
      </c>
      <c r="CK235" s="8">
        <f t="shared" si="258"/>
        <v>42357.298354532133</v>
      </c>
      <c r="CL235" s="202">
        <f t="shared" si="238"/>
        <v>10866.674974114096</v>
      </c>
      <c r="CM235" s="202">
        <f t="shared" si="239"/>
        <v>10866.674974114096</v>
      </c>
      <c r="CN235" s="202">
        <f t="shared" si="240"/>
        <v>10866.674974114096</v>
      </c>
      <c r="CO235" s="9">
        <f t="shared" si="241"/>
        <v>8669.7679570331456</v>
      </c>
      <c r="CP235" s="9">
        <f t="shared" si="242"/>
        <v>11101.571670664118</v>
      </c>
      <c r="CQ235" s="9">
        <f t="shared" si="243"/>
        <v>5547.6930282677931</v>
      </c>
      <c r="CR235" s="202">
        <f t="shared" si="244"/>
        <v>10866.674974114096</v>
      </c>
      <c r="CS235" s="202">
        <f t="shared" si="245"/>
        <v>10866.674974114096</v>
      </c>
      <c r="CT235" s="202">
        <f t="shared" si="246"/>
        <v>10866.674974114096</v>
      </c>
      <c r="CU235" s="203">
        <f t="shared" si="247"/>
        <v>0.20416880391501002</v>
      </c>
      <c r="CV235" s="203">
        <f t="shared" si="248"/>
        <v>0.20416880391501002</v>
      </c>
      <c r="CW235" s="203">
        <f t="shared" si="249"/>
        <v>0.20416880391501002</v>
      </c>
      <c r="CX235" s="19">
        <f t="shared" si="250"/>
        <v>0.16990527936872873</v>
      </c>
      <c r="CY235" s="19">
        <f t="shared" si="251"/>
        <v>0.20766566269417444</v>
      </c>
      <c r="CZ235" s="19">
        <f t="shared" si="252"/>
        <v>0.11580615856784535</v>
      </c>
      <c r="DA235" s="203">
        <f t="shared" si="253"/>
        <v>0.20416880391501002</v>
      </c>
      <c r="DB235" s="203">
        <f t="shared" si="254"/>
        <v>0.20416880391501002</v>
      </c>
      <c r="DC235" s="203">
        <f t="shared" si="255"/>
        <v>0.20416880391501002</v>
      </c>
      <c r="DD235" s="65"/>
      <c r="DE235" s="66"/>
      <c r="DF235" s="66"/>
      <c r="DG235" s="66"/>
      <c r="DH235" s="66"/>
      <c r="DI235" s="66"/>
      <c r="DJ235" s="65"/>
      <c r="DK235" s="66"/>
      <c r="DL235" s="66"/>
      <c r="DM235" s="8">
        <f t="shared" si="256"/>
        <v>0</v>
      </c>
      <c r="DN235" s="8">
        <f t="shared" si="257"/>
        <v>42357.298354532133</v>
      </c>
      <c r="DO235" s="202">
        <f t="shared" si="177"/>
        <v>10866.674974114096</v>
      </c>
      <c r="DP235" s="202">
        <f t="shared" si="178"/>
        <v>10866.674974114096</v>
      </c>
      <c r="DQ235" s="202">
        <f t="shared" si="179"/>
        <v>10866.674974114096</v>
      </c>
      <c r="DR235" s="9">
        <f t="shared" si="180"/>
        <v>8669.7679570331456</v>
      </c>
      <c r="DS235" s="9">
        <f t="shared" si="259"/>
        <v>11101.571670664118</v>
      </c>
      <c r="DT235" s="9">
        <f t="shared" si="181"/>
        <v>5547.6930282677931</v>
      </c>
      <c r="DU235" s="202">
        <f t="shared" si="182"/>
        <v>10866.674974114096</v>
      </c>
      <c r="DV235" s="202">
        <f t="shared" si="183"/>
        <v>10866.674974114096</v>
      </c>
      <c r="DW235" s="202">
        <f t="shared" si="184"/>
        <v>10866.674974114096</v>
      </c>
      <c r="DX235" s="203">
        <f t="shared" si="185"/>
        <v>0.20416880391501002</v>
      </c>
      <c r="DY235" s="203">
        <f t="shared" si="186"/>
        <v>0.20416880391501002</v>
      </c>
      <c r="DZ235" s="203">
        <f t="shared" si="187"/>
        <v>0.20416880391501002</v>
      </c>
      <c r="EA235" s="19">
        <f t="shared" si="188"/>
        <v>0.16990527936872873</v>
      </c>
      <c r="EB235" s="19">
        <f t="shared" si="260"/>
        <v>0.20766566269417444</v>
      </c>
      <c r="EC235" s="19">
        <f t="shared" si="189"/>
        <v>0.11580615856784535</v>
      </c>
      <c r="ED235" s="203">
        <f t="shared" si="190"/>
        <v>0.20416880391501002</v>
      </c>
      <c r="EE235" s="203">
        <f t="shared" si="191"/>
        <v>0.20416880391501002</v>
      </c>
      <c r="EF235" s="203">
        <f t="shared" si="192"/>
        <v>0.20416880391501002</v>
      </c>
      <c r="EH235" s="58">
        <f t="shared" si="234"/>
        <v>38358.180452158718</v>
      </c>
      <c r="EI235" s="68">
        <f t="shared" si="210"/>
        <v>0.71752695921331167</v>
      </c>
      <c r="EJ235" s="58">
        <f t="shared" si="211"/>
        <v>34731.180452158718</v>
      </c>
      <c r="EK235" s="68">
        <f t="shared" si="210"/>
        <v>0.64968040730732257</v>
      </c>
      <c r="EL235" s="58">
        <f t="shared" si="212"/>
        <v>1792.4624978479396</v>
      </c>
      <c r="EM235" s="58">
        <f t="shared" si="213"/>
        <v>1836.9070877453846</v>
      </c>
      <c r="EN235" s="68">
        <f t="shared" si="214"/>
        <v>3.4361128225860613E-2</v>
      </c>
      <c r="EO235" s="139">
        <f t="shared" si="233"/>
        <v>0.32946562535829382</v>
      </c>
      <c r="EP235">
        <f>+(SUM(M235:O235)*EO235*(1-'[1]Tier 3 Data'!$A$2))</f>
        <v>260.20108360844534</v>
      </c>
    </row>
    <row r="236" spans="1:146" x14ac:dyDescent="0.2">
      <c r="A236" s="43">
        <v>0</v>
      </c>
      <c r="B236" s="43">
        <v>0</v>
      </c>
      <c r="C236" s="43">
        <v>0</v>
      </c>
      <c r="D236" s="70">
        <v>2027</v>
      </c>
      <c r="E236" s="70">
        <v>1</v>
      </c>
      <c r="F236" s="2">
        <v>744</v>
      </c>
      <c r="G236" s="133">
        <f t="shared" si="226"/>
        <v>48917.736362355477</v>
      </c>
      <c r="H236" s="65">
        <v>48917.736362355477</v>
      </c>
      <c r="I236" s="133">
        <f t="shared" si="227"/>
        <v>48917.736362355477</v>
      </c>
      <c r="J236" s="133">
        <f t="shared" si="203"/>
        <v>962.09993750000046</v>
      </c>
      <c r="K236" s="65">
        <v>962.09993750000046</v>
      </c>
      <c r="L236" s="133">
        <f t="shared" si="204"/>
        <v>962.09993750000046</v>
      </c>
      <c r="M236" s="65">
        <v>350.79787520860157</v>
      </c>
      <c r="N236" s="65">
        <v>755.37984075477868</v>
      </c>
      <c r="O236" s="65">
        <v>90.841182142288602</v>
      </c>
      <c r="P236" s="200">
        <f t="shared" si="194"/>
        <v>47596.530755423773</v>
      </c>
      <c r="Q236" s="200">
        <f t="shared" si="195"/>
        <v>47596.530755423773</v>
      </c>
      <c r="R236" s="200">
        <f t="shared" si="196"/>
        <v>47596.530755423773</v>
      </c>
      <c r="S236" s="133">
        <f t="shared" si="228"/>
        <v>47928.384070212785</v>
      </c>
      <c r="T236" s="133">
        <f t="shared" si="229"/>
        <v>47928.384070212785</v>
      </c>
      <c r="U236" s="133">
        <f t="shared" si="230"/>
        <v>47928.384070212785</v>
      </c>
      <c r="V236" s="200">
        <f t="shared" si="200"/>
        <v>47596.530755423773</v>
      </c>
      <c r="W236" s="200">
        <f t="shared" si="201"/>
        <v>47596.530755423773</v>
      </c>
      <c r="X236" s="200">
        <f t="shared" si="202"/>
        <v>47596.530755423773</v>
      </c>
      <c r="Y236" s="65">
        <v>5081.5702381006204</v>
      </c>
      <c r="Z236" s="65">
        <v>7840.4038462310864</v>
      </c>
      <c r="AA236" s="65">
        <v>1761.9510298737323</v>
      </c>
      <c r="AB236" s="200">
        <f t="shared" si="218"/>
        <v>55436.934601654859</v>
      </c>
      <c r="AC236" s="200">
        <f t="shared" si="219"/>
        <v>55436.934601654859</v>
      </c>
      <c r="AD236" s="200">
        <f t="shared" si="220"/>
        <v>55436.934601654859</v>
      </c>
      <c r="AE236" s="199">
        <f t="shared" si="175"/>
        <v>53009.954308313405</v>
      </c>
      <c r="AF236" s="199">
        <f t="shared" si="221"/>
        <v>55768.787916443871</v>
      </c>
      <c r="AG236" s="199">
        <f t="shared" si="176"/>
        <v>49690.335100086515</v>
      </c>
      <c r="AH236" s="199">
        <f t="shared" si="231"/>
        <v>52729.561508265193</v>
      </c>
      <c r="AI236" s="200">
        <f t="shared" si="222"/>
        <v>55436.934601654859</v>
      </c>
      <c r="AJ236" s="200">
        <f t="shared" si="223"/>
        <v>55436.934601654859</v>
      </c>
      <c r="AK236" s="200">
        <f t="shared" si="224"/>
        <v>55436.934601654859</v>
      </c>
      <c r="AL236" s="4"/>
      <c r="AM236" s="4"/>
      <c r="AN236" s="4"/>
      <c r="AO236" s="4"/>
      <c r="AP236" s="63"/>
      <c r="AQ236" s="18"/>
      <c r="AR236" s="10">
        <v>9920</v>
      </c>
      <c r="AS236" s="18"/>
      <c r="AT236" s="62"/>
      <c r="AU236" s="133">
        <f t="shared" si="235"/>
        <v>98.513999999999996</v>
      </c>
      <c r="AV236" s="133">
        <f t="shared" si="235"/>
        <v>3278.6750000000002</v>
      </c>
      <c r="AW236" s="63"/>
      <c r="AX236" s="63"/>
      <c r="AY236" s="65">
        <v>1258.1687644800002</v>
      </c>
      <c r="AZ236" s="63"/>
      <c r="BA236" s="65">
        <v>1660.8</v>
      </c>
      <c r="BB236" s="133">
        <f t="shared" si="206"/>
        <v>946.25</v>
      </c>
      <c r="BC236" s="65">
        <v>187.65082722949612</v>
      </c>
      <c r="BD236" s="65">
        <v>17.899913811322826</v>
      </c>
      <c r="BE236" s="65">
        <v>0</v>
      </c>
      <c r="BF236" s="65">
        <v>199.42579123871249</v>
      </c>
      <c r="BG236" s="65">
        <v>0</v>
      </c>
      <c r="BH236" s="65">
        <v>44.202923232317495</v>
      </c>
      <c r="BI236" s="65">
        <v>476.06991176380893</v>
      </c>
      <c r="BJ236" s="65">
        <v>0</v>
      </c>
      <c r="BK236" s="65">
        <v>22.517673403701547</v>
      </c>
      <c r="BL236" s="65">
        <v>0</v>
      </c>
      <c r="BM236" s="65">
        <v>0</v>
      </c>
      <c r="BN236" s="65">
        <v>33.291643770364956</v>
      </c>
      <c r="BO236" s="65">
        <v>212.18019192</v>
      </c>
      <c r="BP236" s="260">
        <f t="shared" si="225"/>
        <v>992</v>
      </c>
      <c r="BQ236" s="65">
        <v>81.139450438115503</v>
      </c>
      <c r="BR236" s="65">
        <v>106.01138232101852</v>
      </c>
      <c r="BS236" s="65">
        <v>383.59810999578298</v>
      </c>
      <c r="BT236" s="65">
        <v>131.14349155700128</v>
      </c>
      <c r="BU236" s="65">
        <v>149.89291980313996</v>
      </c>
      <c r="BV236" s="144">
        <f t="shared" si="215"/>
        <v>245.55851264602109</v>
      </c>
      <c r="BW236" s="144">
        <f t="shared" si="216"/>
        <v>528.76588852834504</v>
      </c>
      <c r="BX236" s="144">
        <f t="shared" si="217"/>
        <v>63.588827499602019</v>
      </c>
      <c r="BY236" s="5"/>
      <c r="BZ236" s="66">
        <v>7254</v>
      </c>
      <c r="CA236" s="4"/>
      <c r="CB236" s="5"/>
      <c r="CC236" s="5"/>
      <c r="CD236" s="188">
        <v>2.5304839482857915</v>
      </c>
      <c r="CE236" s="5"/>
      <c r="CF236" s="133">
        <f t="shared" si="232"/>
        <v>1154.6666666666667</v>
      </c>
      <c r="CG236" s="133">
        <f t="shared" si="208"/>
        <v>2662</v>
      </c>
      <c r="CH236" s="70">
        <v>7440</v>
      </c>
      <c r="CI236" s="70"/>
      <c r="CJ236" s="133">
        <f t="shared" si="237"/>
        <v>946.25</v>
      </c>
      <c r="CK236" s="8">
        <f t="shared" si="258"/>
        <v>39550.54237425371</v>
      </c>
      <c r="CL236" s="202">
        <f t="shared" si="238"/>
        <v>15886.392227401149</v>
      </c>
      <c r="CM236" s="202">
        <f t="shared" si="239"/>
        <v>15886.392227401149</v>
      </c>
      <c r="CN236" s="202">
        <f t="shared" si="240"/>
        <v>15886.392227401149</v>
      </c>
      <c r="CO236" s="9">
        <f t="shared" si="241"/>
        <v>13459.411934059695</v>
      </c>
      <c r="CP236" s="9">
        <f t="shared" si="242"/>
        <v>16218.245542190161</v>
      </c>
      <c r="CQ236" s="9">
        <f t="shared" si="243"/>
        <v>10139.792725832805</v>
      </c>
      <c r="CR236" s="202">
        <f t="shared" si="244"/>
        <v>15886.392227401149</v>
      </c>
      <c r="CS236" s="202">
        <f t="shared" si="245"/>
        <v>15886.392227401149</v>
      </c>
      <c r="CT236" s="202">
        <f t="shared" si="246"/>
        <v>15886.392227401149</v>
      </c>
      <c r="CU236" s="203">
        <f t="shared" si="247"/>
        <v>0.28656693126259042</v>
      </c>
      <c r="CV236" s="203">
        <f t="shared" si="248"/>
        <v>0.28656693126259042</v>
      </c>
      <c r="CW236" s="203">
        <f t="shared" si="249"/>
        <v>0.28656693126259042</v>
      </c>
      <c r="CX236" s="19">
        <f t="shared" si="250"/>
        <v>0.25390348114201061</v>
      </c>
      <c r="CY236" s="19">
        <f t="shared" si="251"/>
        <v>0.29081222935110773</v>
      </c>
      <c r="CZ236" s="19">
        <f t="shared" si="252"/>
        <v>0.20405965678052251</v>
      </c>
      <c r="DA236" s="203">
        <f t="shared" si="253"/>
        <v>0.28656693126259042</v>
      </c>
      <c r="DB236" s="203">
        <f t="shared" si="254"/>
        <v>0.28656693126259042</v>
      </c>
      <c r="DC236" s="203">
        <f t="shared" si="255"/>
        <v>0.28656693126259042</v>
      </c>
      <c r="DD236" s="65"/>
      <c r="DE236" s="66"/>
      <c r="DF236" s="66"/>
      <c r="DG236" s="66"/>
      <c r="DH236" s="66"/>
      <c r="DI236" s="66"/>
      <c r="DJ236" s="65"/>
      <c r="DK236" s="70"/>
      <c r="DL236" s="70"/>
      <c r="DM236" s="8">
        <f t="shared" si="256"/>
        <v>0</v>
      </c>
      <c r="DN236" s="8">
        <f t="shared" si="257"/>
        <v>39550.54237425371</v>
      </c>
      <c r="DO236" s="202">
        <f t="shared" si="177"/>
        <v>15886.392227401149</v>
      </c>
      <c r="DP236" s="202">
        <f t="shared" si="178"/>
        <v>15886.392227401149</v>
      </c>
      <c r="DQ236" s="202">
        <f t="shared" si="179"/>
        <v>15886.392227401149</v>
      </c>
      <c r="DR236" s="9">
        <f t="shared" si="180"/>
        <v>13459.411934059695</v>
      </c>
      <c r="DS236" s="9">
        <f t="shared" si="259"/>
        <v>16218.245542190161</v>
      </c>
      <c r="DT236" s="9">
        <f t="shared" si="181"/>
        <v>10139.792725832805</v>
      </c>
      <c r="DU236" s="202">
        <f t="shared" si="182"/>
        <v>15886.392227401149</v>
      </c>
      <c r="DV236" s="202">
        <f t="shared" si="183"/>
        <v>15886.392227401149</v>
      </c>
      <c r="DW236" s="202">
        <f t="shared" si="184"/>
        <v>15886.392227401149</v>
      </c>
      <c r="DX236" s="203">
        <f t="shared" si="185"/>
        <v>0.28656693126259042</v>
      </c>
      <c r="DY236" s="203">
        <f t="shared" si="186"/>
        <v>0.28656693126259042</v>
      </c>
      <c r="DZ236" s="203">
        <f t="shared" si="187"/>
        <v>0.28656693126259042</v>
      </c>
      <c r="EA236" s="19">
        <f t="shared" si="188"/>
        <v>0.25390348114201061</v>
      </c>
      <c r="EB236" s="19">
        <f t="shared" si="260"/>
        <v>0.29081222935110773</v>
      </c>
      <c r="EC236" s="19">
        <f t="shared" si="189"/>
        <v>0.20405965678052251</v>
      </c>
      <c r="ED236" s="203">
        <f t="shared" si="190"/>
        <v>0.28656693126259042</v>
      </c>
      <c r="EE236" s="203">
        <f t="shared" si="191"/>
        <v>0.28656693126259042</v>
      </c>
      <c r="EF236" s="203">
        <f t="shared" si="192"/>
        <v>0.28656693126259042</v>
      </c>
      <c r="EH236" s="58">
        <f t="shared" si="234"/>
        <v>35476.027586420692</v>
      </c>
      <c r="EI236" s="68">
        <f t="shared" si="210"/>
        <v>0.63612692532556014</v>
      </c>
      <c r="EJ236" s="58">
        <f t="shared" si="211"/>
        <v>31849.027586420689</v>
      </c>
      <c r="EK236" s="68">
        <f t="shared" si="210"/>
        <v>0.57109054681516125</v>
      </c>
      <c r="EL236" s="58">
        <f t="shared" si="212"/>
        <v>2374.364327774415</v>
      </c>
      <c r="EM236" s="58">
        <f t="shared" si="213"/>
        <v>2437.9531552740168</v>
      </c>
      <c r="EN236" s="68">
        <f t="shared" si="214"/>
        <v>4.3715369229948189E-2</v>
      </c>
      <c r="EO236" s="139">
        <f t="shared" si="233"/>
        <v>0.32527353469126524</v>
      </c>
      <c r="EP236">
        <f>+(SUM(M236:O236)*EO236*(1-'[1]Tier 3 Data'!$A$2))</f>
        <v>363.27154401777642</v>
      </c>
    </row>
    <row r="237" spans="1:146" x14ac:dyDescent="0.2">
      <c r="A237" s="43">
        <v>0</v>
      </c>
      <c r="B237" s="43">
        <v>0</v>
      </c>
      <c r="C237" s="43">
        <v>0</v>
      </c>
      <c r="D237" s="70">
        <v>2027</v>
      </c>
      <c r="E237" s="70">
        <v>2</v>
      </c>
      <c r="F237" s="2">
        <v>672</v>
      </c>
      <c r="G237" s="133">
        <f t="shared" si="226"/>
        <v>44254.250607460883</v>
      </c>
      <c r="H237" s="65">
        <v>44254.250607460883</v>
      </c>
      <c r="I237" s="133">
        <f t="shared" si="227"/>
        <v>44254.250607460883</v>
      </c>
      <c r="J237" s="133">
        <f t="shared" si="203"/>
        <v>1002.6148750000004</v>
      </c>
      <c r="K237" s="65">
        <v>1002.6148750000004</v>
      </c>
      <c r="L237" s="133">
        <f t="shared" si="204"/>
        <v>1002.6148750000004</v>
      </c>
      <c r="M237" s="65">
        <v>758.12758719225985</v>
      </c>
      <c r="N237" s="65">
        <v>1632.4907776153254</v>
      </c>
      <c r="O237" s="65">
        <v>197.52493554683522</v>
      </c>
      <c r="P237" s="200">
        <f t="shared" si="194"/>
        <v>42475.192742354557</v>
      </c>
      <c r="Q237" s="200">
        <f t="shared" si="195"/>
        <v>42475.192742354557</v>
      </c>
      <c r="R237" s="200">
        <f t="shared" si="196"/>
        <v>42475.192742354557</v>
      </c>
      <c r="S237" s="133">
        <f t="shared" si="228"/>
        <v>43192.378251796836</v>
      </c>
      <c r="T237" s="133">
        <f t="shared" si="229"/>
        <v>43192.378251796836</v>
      </c>
      <c r="U237" s="133">
        <f t="shared" si="230"/>
        <v>43192.378251796836</v>
      </c>
      <c r="V237" s="200">
        <f t="shared" si="200"/>
        <v>42475.192742354557</v>
      </c>
      <c r="W237" s="200">
        <f t="shared" si="201"/>
        <v>42475.192742354557</v>
      </c>
      <c r="X237" s="200">
        <f t="shared" si="202"/>
        <v>42475.192742354557</v>
      </c>
      <c r="Y237" s="65">
        <v>4792.156543574255</v>
      </c>
      <c r="Z237" s="65">
        <v>6854.6972137430657</v>
      </c>
      <c r="AA237" s="65">
        <v>1613.3245155064326</v>
      </c>
      <c r="AB237" s="200">
        <f t="shared" si="218"/>
        <v>49329.889956097621</v>
      </c>
      <c r="AC237" s="200">
        <f t="shared" si="219"/>
        <v>49329.889956097621</v>
      </c>
      <c r="AD237" s="200">
        <f t="shared" si="220"/>
        <v>49329.889956097621</v>
      </c>
      <c r="AE237" s="199">
        <f t="shared" si="175"/>
        <v>47984.534795371088</v>
      </c>
      <c r="AF237" s="199">
        <f t="shared" si="221"/>
        <v>50047.0754655399</v>
      </c>
      <c r="AG237" s="199">
        <f t="shared" si="176"/>
        <v>44805.702767303272</v>
      </c>
      <c r="AH237" s="199">
        <f t="shared" si="231"/>
        <v>47426.389116421589</v>
      </c>
      <c r="AI237" s="200">
        <f t="shared" si="222"/>
        <v>49329.889956097621</v>
      </c>
      <c r="AJ237" s="200">
        <f t="shared" si="223"/>
        <v>49329.889956097621</v>
      </c>
      <c r="AK237" s="200">
        <f t="shared" si="224"/>
        <v>49329.889956097621</v>
      </c>
      <c r="AL237" s="4"/>
      <c r="AM237" s="4"/>
      <c r="AN237" s="4"/>
      <c r="AO237" s="4"/>
      <c r="AP237" s="63"/>
      <c r="AQ237" s="18"/>
      <c r="AR237" s="10">
        <v>8960</v>
      </c>
      <c r="AS237" s="18"/>
      <c r="AT237" s="62"/>
      <c r="AU237" s="133">
        <f t="shared" si="235"/>
        <v>92.897999999999996</v>
      </c>
      <c r="AV237" s="133">
        <f t="shared" si="235"/>
        <v>3057.587</v>
      </c>
      <c r="AW237" s="63"/>
      <c r="AX237" s="63"/>
      <c r="AY237" s="65">
        <v>1185.0038251199999</v>
      </c>
      <c r="AZ237" s="63"/>
      <c r="BA237" s="65">
        <v>853.7</v>
      </c>
      <c r="BB237" s="133">
        <f t="shared" si="206"/>
        <v>611.22</v>
      </c>
      <c r="BC237" s="65">
        <v>233.87491436180096</v>
      </c>
      <c r="BD237" s="65">
        <v>18.196795404006242</v>
      </c>
      <c r="BE237" s="65">
        <v>0</v>
      </c>
      <c r="BF237" s="65">
        <v>194.72305796175525</v>
      </c>
      <c r="BG237" s="65">
        <v>0</v>
      </c>
      <c r="BH237" s="65">
        <v>25.258813275609995</v>
      </c>
      <c r="BI237" s="65">
        <v>593.34036245852292</v>
      </c>
      <c r="BJ237" s="65">
        <v>0</v>
      </c>
      <c r="BK237" s="65">
        <v>19.256201566846642</v>
      </c>
      <c r="BL237" s="65">
        <v>0</v>
      </c>
      <c r="BM237" s="65">
        <v>0</v>
      </c>
      <c r="BN237" s="65">
        <v>19.023796440208546</v>
      </c>
      <c r="BO237" s="65">
        <v>191.64662496000003</v>
      </c>
      <c r="BP237" s="260">
        <f t="shared" si="225"/>
        <v>896</v>
      </c>
      <c r="BQ237" s="65">
        <v>100.94482536493847</v>
      </c>
      <c r="BR237" s="65">
        <v>131.88769290943938</v>
      </c>
      <c r="BS237" s="65">
        <v>477.23054359741207</v>
      </c>
      <c r="BT237" s="65">
        <v>168.20852858124664</v>
      </c>
      <c r="BU237" s="65">
        <v>181.46201552960432</v>
      </c>
      <c r="BV237" s="144">
        <f t="shared" si="215"/>
        <v>530.68931103458192</v>
      </c>
      <c r="BW237" s="144">
        <f t="shared" si="216"/>
        <v>1142.7435443307277</v>
      </c>
      <c r="BX237" s="144">
        <f t="shared" si="217"/>
        <v>138.26745488278465</v>
      </c>
      <c r="BY237" s="5"/>
      <c r="BZ237" s="66">
        <v>6552</v>
      </c>
      <c r="CA237" s="4"/>
      <c r="CB237" s="5"/>
      <c r="CC237" s="5"/>
      <c r="CD237" s="188">
        <v>3.1195892150124847</v>
      </c>
      <c r="CE237" s="5"/>
      <c r="CF237" s="133">
        <f t="shared" si="232"/>
        <v>667.66666666666663</v>
      </c>
      <c r="CG237" s="133">
        <f t="shared" si="208"/>
        <v>5586</v>
      </c>
      <c r="CH237" s="70">
        <v>6720</v>
      </c>
      <c r="CI237" s="70"/>
      <c r="CJ237" s="133">
        <f t="shared" si="237"/>
        <v>611.22</v>
      </c>
      <c r="CK237" s="8">
        <f t="shared" si="258"/>
        <v>39351.949563661168</v>
      </c>
      <c r="CL237" s="202">
        <f t="shared" si="238"/>
        <v>9977.9403924364524</v>
      </c>
      <c r="CM237" s="202">
        <f t="shared" si="239"/>
        <v>9977.9403924364524</v>
      </c>
      <c r="CN237" s="202">
        <f t="shared" si="240"/>
        <v>9977.9403924364524</v>
      </c>
      <c r="CO237" s="9">
        <f t="shared" si="241"/>
        <v>8632.5852317099198</v>
      </c>
      <c r="CP237" s="9">
        <f t="shared" si="242"/>
        <v>10695.125901878731</v>
      </c>
      <c r="CQ237" s="9">
        <f t="shared" si="243"/>
        <v>5453.7532036421035</v>
      </c>
      <c r="CR237" s="202">
        <f t="shared" si="244"/>
        <v>9977.9403924364524</v>
      </c>
      <c r="CS237" s="202">
        <f t="shared" si="245"/>
        <v>9977.9403924364524</v>
      </c>
      <c r="CT237" s="202">
        <f t="shared" si="246"/>
        <v>9977.9403924364524</v>
      </c>
      <c r="CU237" s="203">
        <f t="shared" si="247"/>
        <v>0.20226966655138642</v>
      </c>
      <c r="CV237" s="203">
        <f t="shared" si="248"/>
        <v>0.20226966655138642</v>
      </c>
      <c r="CW237" s="203">
        <f t="shared" si="249"/>
        <v>0.20226966655138642</v>
      </c>
      <c r="CX237" s="19">
        <f t="shared" si="250"/>
        <v>0.17990348908295922</v>
      </c>
      <c r="CY237" s="19">
        <f t="shared" si="251"/>
        <v>0.21370131625858738</v>
      </c>
      <c r="CZ237" s="19">
        <f t="shared" si="252"/>
        <v>0.12172006835750274</v>
      </c>
      <c r="DA237" s="203">
        <f t="shared" si="253"/>
        <v>0.20226966655138642</v>
      </c>
      <c r="DB237" s="203">
        <f t="shared" si="254"/>
        <v>0.20226966655138642</v>
      </c>
      <c r="DC237" s="203">
        <f t="shared" si="255"/>
        <v>0.20226966655138642</v>
      </c>
      <c r="DD237" s="65"/>
      <c r="DE237" s="66"/>
      <c r="DF237" s="66"/>
      <c r="DG237" s="66"/>
      <c r="DH237" s="66"/>
      <c r="DI237" s="66"/>
      <c r="DJ237" s="65"/>
      <c r="DK237" s="70"/>
      <c r="DL237" s="70"/>
      <c r="DM237" s="8">
        <f t="shared" si="256"/>
        <v>0</v>
      </c>
      <c r="DN237" s="8">
        <f t="shared" si="257"/>
        <v>39351.949563661168</v>
      </c>
      <c r="DO237" s="202">
        <f t="shared" si="177"/>
        <v>9977.9403924364524</v>
      </c>
      <c r="DP237" s="202">
        <f t="shared" si="178"/>
        <v>9977.9403924364524</v>
      </c>
      <c r="DQ237" s="202">
        <f t="shared" si="179"/>
        <v>9977.9403924364524</v>
      </c>
      <c r="DR237" s="9">
        <f t="shared" si="180"/>
        <v>8632.5852317099198</v>
      </c>
      <c r="DS237" s="9">
        <f t="shared" si="259"/>
        <v>10695.125901878731</v>
      </c>
      <c r="DT237" s="9">
        <f t="shared" si="181"/>
        <v>5453.7532036421035</v>
      </c>
      <c r="DU237" s="202">
        <f t="shared" si="182"/>
        <v>9977.9403924364524</v>
      </c>
      <c r="DV237" s="202">
        <f t="shared" si="183"/>
        <v>9977.9403924364524</v>
      </c>
      <c r="DW237" s="202">
        <f t="shared" si="184"/>
        <v>9977.9403924364524</v>
      </c>
      <c r="DX237" s="203">
        <f t="shared" si="185"/>
        <v>0.20226966655138642</v>
      </c>
      <c r="DY237" s="203">
        <f t="shared" si="186"/>
        <v>0.20226966655138642</v>
      </c>
      <c r="DZ237" s="203">
        <f t="shared" si="187"/>
        <v>0.20226966655138642</v>
      </c>
      <c r="EA237" s="19">
        <f t="shared" si="188"/>
        <v>0.17990348908295922</v>
      </c>
      <c r="EB237" s="19">
        <f t="shared" si="260"/>
        <v>0.21370131625858738</v>
      </c>
      <c r="EC237" s="19">
        <f t="shared" si="189"/>
        <v>0.12172006835750274</v>
      </c>
      <c r="ED237" s="203">
        <f t="shared" si="190"/>
        <v>0.20226966655138642</v>
      </c>
      <c r="EE237" s="203">
        <f t="shared" si="191"/>
        <v>0.20226966655138642</v>
      </c>
      <c r="EF237" s="203">
        <f t="shared" si="192"/>
        <v>0.20226966655138642</v>
      </c>
      <c r="EH237" s="58">
        <f t="shared" si="234"/>
        <v>35347.417605449809</v>
      </c>
      <c r="EI237" s="68">
        <f t="shared" si="210"/>
        <v>0.7062833797309177</v>
      </c>
      <c r="EJ237" s="58">
        <f t="shared" si="211"/>
        <v>32071.417605449813</v>
      </c>
      <c r="EK237" s="68">
        <f t="shared" si="210"/>
        <v>0.64082500939605769</v>
      </c>
      <c r="EL237" s="58">
        <f t="shared" si="212"/>
        <v>3303.0746587803642</v>
      </c>
      <c r="EM237" s="58">
        <f t="shared" si="213"/>
        <v>3441.3421136631487</v>
      </c>
      <c r="EN237" s="68">
        <f t="shared" si="214"/>
        <v>6.8762102113892706E-2</v>
      </c>
      <c r="EO237" s="139">
        <f t="shared" si="233"/>
        <v>0.3126447604730192</v>
      </c>
      <c r="EP237">
        <f>+(SUM(M237:O237)*EO237*(1-'[1]Tier 3 Data'!$A$2))</f>
        <v>754.95508958114385</v>
      </c>
    </row>
    <row r="238" spans="1:146" x14ac:dyDescent="0.2">
      <c r="A238" s="43">
        <v>0</v>
      </c>
      <c r="B238" s="43">
        <v>0</v>
      </c>
      <c r="C238" s="43">
        <v>0</v>
      </c>
      <c r="D238" s="70">
        <v>2027</v>
      </c>
      <c r="E238" s="70">
        <v>3</v>
      </c>
      <c r="F238" s="2">
        <v>743</v>
      </c>
      <c r="G238" s="133">
        <f t="shared" si="226"/>
        <v>46381.824894177473</v>
      </c>
      <c r="H238" s="65">
        <v>46381.824894177473</v>
      </c>
      <c r="I238" s="133">
        <f t="shared" si="227"/>
        <v>46381.824894177473</v>
      </c>
      <c r="J238" s="133">
        <f t="shared" si="203"/>
        <v>1043.1298125000005</v>
      </c>
      <c r="K238" s="65">
        <v>1043.1298125000005</v>
      </c>
      <c r="L238" s="133">
        <f t="shared" si="204"/>
        <v>1043.1298125000005</v>
      </c>
      <c r="M238" s="65">
        <v>1050.2026341606518</v>
      </c>
      <c r="N238" s="65">
        <v>2261.4216180208796</v>
      </c>
      <c r="O238" s="65">
        <v>276.04873553369634</v>
      </c>
      <c r="P238" s="200">
        <f t="shared" si="194"/>
        <v>44262.393185362904</v>
      </c>
      <c r="Q238" s="200">
        <f t="shared" si="195"/>
        <v>44262.393185362904</v>
      </c>
      <c r="R238" s="200">
        <f t="shared" si="196"/>
        <v>44262.393185362904</v>
      </c>
      <c r="S238" s="133">
        <f t="shared" si="228"/>
        <v>45255.880461017361</v>
      </c>
      <c r="T238" s="133">
        <f t="shared" si="229"/>
        <v>45255.880461017361</v>
      </c>
      <c r="U238" s="133">
        <f t="shared" si="230"/>
        <v>45255.880461017361</v>
      </c>
      <c r="V238" s="200">
        <f t="shared" si="200"/>
        <v>44262.393185362904</v>
      </c>
      <c r="W238" s="200">
        <f t="shared" si="201"/>
        <v>44262.393185362904</v>
      </c>
      <c r="X238" s="200">
        <f t="shared" si="202"/>
        <v>44262.393185362904</v>
      </c>
      <c r="Y238" s="65">
        <v>4451.4340652839237</v>
      </c>
      <c r="Z238" s="65">
        <v>6051.4160956674814</v>
      </c>
      <c r="AA238" s="65">
        <v>1487.0069951767248</v>
      </c>
      <c r="AB238" s="200">
        <f t="shared" si="218"/>
        <v>50313.809281030386</v>
      </c>
      <c r="AC238" s="200">
        <f t="shared" si="219"/>
        <v>50313.809281030386</v>
      </c>
      <c r="AD238" s="200">
        <f t="shared" si="220"/>
        <v>50313.809281030386</v>
      </c>
      <c r="AE238" s="199">
        <f t="shared" si="175"/>
        <v>49707.314526301285</v>
      </c>
      <c r="AF238" s="199">
        <f t="shared" si="221"/>
        <v>51307.296556684843</v>
      </c>
      <c r="AG238" s="199">
        <f t="shared" si="176"/>
        <v>46742.887456194083</v>
      </c>
      <c r="AH238" s="199">
        <f t="shared" si="231"/>
        <v>49025.09200643946</v>
      </c>
      <c r="AI238" s="200">
        <f t="shared" si="222"/>
        <v>50313.809281030386</v>
      </c>
      <c r="AJ238" s="200">
        <f t="shared" si="223"/>
        <v>50313.809281030386</v>
      </c>
      <c r="AK238" s="200">
        <f t="shared" si="224"/>
        <v>50313.809281030386</v>
      </c>
      <c r="AL238" s="4"/>
      <c r="AM238" s="4"/>
      <c r="AN238" s="4"/>
      <c r="AO238" s="4"/>
      <c r="AP238" s="63"/>
      <c r="AQ238" s="18"/>
      <c r="AR238" s="10">
        <v>9920</v>
      </c>
      <c r="AS238" s="18"/>
      <c r="AT238" s="62"/>
      <c r="AU238" s="133">
        <f t="shared" si="235"/>
        <v>87.516000000000005</v>
      </c>
      <c r="AV238" s="133">
        <f t="shared" si="235"/>
        <v>3232.7139999999999</v>
      </c>
      <c r="AW238" s="63"/>
      <c r="AX238" s="63"/>
      <c r="AY238" s="65">
        <v>1280.8105891600001</v>
      </c>
      <c r="AZ238" s="63"/>
      <c r="BA238" s="65">
        <v>2416.2429999999999</v>
      </c>
      <c r="BB238" s="133">
        <f t="shared" si="206"/>
        <v>2064.8780000000002</v>
      </c>
      <c r="BC238" s="65">
        <v>449.53123898462314</v>
      </c>
      <c r="BD238" s="65">
        <v>17.737549502477364</v>
      </c>
      <c r="BE238" s="65">
        <v>0</v>
      </c>
      <c r="BF238" s="65">
        <v>213.19694193955203</v>
      </c>
      <c r="BG238" s="65">
        <v>0</v>
      </c>
      <c r="BH238" s="65">
        <v>44.202923232317495</v>
      </c>
      <c r="BI238" s="65">
        <v>1140.4601857510293</v>
      </c>
      <c r="BJ238" s="65">
        <v>0</v>
      </c>
      <c r="BK238" s="65">
        <v>19.397174608663349</v>
      </c>
      <c r="BL238" s="65">
        <v>0</v>
      </c>
      <c r="BM238" s="65">
        <v>0</v>
      </c>
      <c r="BN238" s="65">
        <v>33.291643770364956</v>
      </c>
      <c r="BO238" s="65">
        <v>212.18019192</v>
      </c>
      <c r="BP238" s="260">
        <f t="shared" si="225"/>
        <v>992</v>
      </c>
      <c r="BQ238" s="65">
        <v>140.49014181382745</v>
      </c>
      <c r="BR238" s="65">
        <v>183.5549051622331</v>
      </c>
      <c r="BS238" s="65">
        <v>664.18636565494023</v>
      </c>
      <c r="BT238" s="65">
        <v>222.62000139223304</v>
      </c>
      <c r="BU238" s="65">
        <v>258.70487068743847</v>
      </c>
      <c r="BV238" s="144">
        <f t="shared" si="215"/>
        <v>735.14184391245624</v>
      </c>
      <c r="BW238" s="144">
        <f t="shared" si="216"/>
        <v>1582.9951326146156</v>
      </c>
      <c r="BX238" s="144">
        <f t="shared" si="217"/>
        <v>193.23411487358743</v>
      </c>
      <c r="BY238" s="5"/>
      <c r="BZ238" s="66">
        <v>7244.25</v>
      </c>
      <c r="CA238" s="4"/>
      <c r="CB238" s="5"/>
      <c r="CC238" s="5"/>
      <c r="CD238" s="188">
        <v>13.157281760074044</v>
      </c>
      <c r="CE238" s="5"/>
      <c r="CF238" s="133">
        <f t="shared" si="232"/>
        <v>1476.3333333333333</v>
      </c>
      <c r="CG238" s="133">
        <f t="shared" si="208"/>
        <v>5605</v>
      </c>
      <c r="CH238" s="70">
        <v>5942</v>
      </c>
      <c r="CI238" s="70"/>
      <c r="CJ238" s="133">
        <f t="shared" si="237"/>
        <v>2064.8780000000002</v>
      </c>
      <c r="CK238" s="8">
        <f t="shared" si="258"/>
        <v>46385.827430073768</v>
      </c>
      <c r="CL238" s="202">
        <f t="shared" si="238"/>
        <v>3927.9818509566176</v>
      </c>
      <c r="CM238" s="202">
        <f t="shared" si="239"/>
        <v>3927.9818509566176</v>
      </c>
      <c r="CN238" s="202">
        <f t="shared" si="240"/>
        <v>3927.9818509566176</v>
      </c>
      <c r="CO238" s="9">
        <f t="shared" si="241"/>
        <v>3321.4870962275163</v>
      </c>
      <c r="CP238" s="9">
        <f t="shared" si="242"/>
        <v>4921.4691266110749</v>
      </c>
      <c r="CQ238" s="9">
        <f t="shared" si="243"/>
        <v>357.06002612031443</v>
      </c>
      <c r="CR238" s="202">
        <f t="shared" si="244"/>
        <v>3927.9818509566176</v>
      </c>
      <c r="CS238" s="202">
        <f t="shared" si="245"/>
        <v>3927.9818509566176</v>
      </c>
      <c r="CT238" s="202">
        <f t="shared" si="246"/>
        <v>3927.9818509566176</v>
      </c>
      <c r="CU238" s="203">
        <f t="shared" si="247"/>
        <v>7.8069657358214944E-2</v>
      </c>
      <c r="CV238" s="203">
        <f t="shared" si="248"/>
        <v>7.8069657358214944E-2</v>
      </c>
      <c r="CW238" s="203">
        <f t="shared" si="249"/>
        <v>7.8069657358214944E-2</v>
      </c>
      <c r="CX238" s="19">
        <f t="shared" si="250"/>
        <v>6.6820892013187333E-2</v>
      </c>
      <c r="CY238" s="19">
        <f t="shared" si="251"/>
        <v>9.5921427494699202E-2</v>
      </c>
      <c r="CZ238" s="19">
        <f t="shared" si="252"/>
        <v>7.6388097858725457E-3</v>
      </c>
      <c r="DA238" s="203">
        <f t="shared" si="253"/>
        <v>7.8069657358214944E-2</v>
      </c>
      <c r="DB238" s="203">
        <f t="shared" si="254"/>
        <v>7.8069657358214944E-2</v>
      </c>
      <c r="DC238" s="203">
        <f t="shared" si="255"/>
        <v>7.8069657358214944E-2</v>
      </c>
      <c r="DD238" s="65"/>
      <c r="DE238" s="66"/>
      <c r="DF238" s="66"/>
      <c r="DG238" s="66"/>
      <c r="DH238" s="66"/>
      <c r="DI238" s="66"/>
      <c r="DJ238" s="65"/>
      <c r="DK238" s="70"/>
      <c r="DL238" s="70"/>
      <c r="DM238" s="8">
        <f t="shared" si="256"/>
        <v>0</v>
      </c>
      <c r="DN238" s="8">
        <f t="shared" si="257"/>
        <v>46385.827430073768</v>
      </c>
      <c r="DO238" s="202">
        <f t="shared" si="177"/>
        <v>3927.9818509566176</v>
      </c>
      <c r="DP238" s="202">
        <f t="shared" si="178"/>
        <v>3927.9818509566176</v>
      </c>
      <c r="DQ238" s="202">
        <f t="shared" si="179"/>
        <v>3927.9818509566176</v>
      </c>
      <c r="DR238" s="9">
        <f t="shared" si="180"/>
        <v>3321.4870962275163</v>
      </c>
      <c r="DS238" s="9">
        <f t="shared" si="259"/>
        <v>4921.4691266110749</v>
      </c>
      <c r="DT238" s="9">
        <f t="shared" si="181"/>
        <v>357.06002612031443</v>
      </c>
      <c r="DU238" s="202">
        <f t="shared" si="182"/>
        <v>3927.9818509566176</v>
      </c>
      <c r="DV238" s="202">
        <f t="shared" si="183"/>
        <v>3927.9818509566176</v>
      </c>
      <c r="DW238" s="202">
        <f t="shared" si="184"/>
        <v>3927.9818509566176</v>
      </c>
      <c r="DX238" s="203">
        <f t="shared" si="185"/>
        <v>7.8069657358214944E-2</v>
      </c>
      <c r="DY238" s="203">
        <f t="shared" si="186"/>
        <v>7.8069657358214944E-2</v>
      </c>
      <c r="DZ238" s="203">
        <f t="shared" si="187"/>
        <v>7.8069657358214944E-2</v>
      </c>
      <c r="EA238" s="19">
        <f t="shared" si="188"/>
        <v>6.6820892013187333E-2</v>
      </c>
      <c r="EB238" s="19">
        <f t="shared" si="260"/>
        <v>9.5921427494699202E-2</v>
      </c>
      <c r="EC238" s="19">
        <f t="shared" si="189"/>
        <v>7.6388097858725457E-3</v>
      </c>
      <c r="ED238" s="203">
        <f t="shared" si="190"/>
        <v>7.8069657358214944E-2</v>
      </c>
      <c r="EE238" s="203">
        <f t="shared" si="191"/>
        <v>7.8069657358214944E-2</v>
      </c>
      <c r="EF238" s="203">
        <f t="shared" si="192"/>
        <v>7.8069657358214944E-2</v>
      </c>
      <c r="EH238" s="58">
        <f t="shared" si="234"/>
        <v>41802.206362461686</v>
      </c>
      <c r="EI238" s="68">
        <f t="shared" si="210"/>
        <v>0.81474194057911753</v>
      </c>
      <c r="EJ238" s="58">
        <f t="shared" si="211"/>
        <v>38180.081362461686</v>
      </c>
      <c r="EK238" s="68">
        <f t="shared" si="210"/>
        <v>0.7441452566162774</v>
      </c>
      <c r="EL238" s="58">
        <f t="shared" si="212"/>
        <v>4969.3523250947637</v>
      </c>
      <c r="EM238" s="58">
        <f t="shared" si="213"/>
        <v>5162.5864399683514</v>
      </c>
      <c r="EN238" s="68">
        <f t="shared" si="214"/>
        <v>0.10062090163461783</v>
      </c>
      <c r="EO238" s="139">
        <f t="shared" si="233"/>
        <v>0.32861286969700848</v>
      </c>
      <c r="EP238">
        <f>+(SUM(M238:O238)*EO238*(1-'[1]Tier 3 Data'!$A$2))</f>
        <v>1099.9654964536958</v>
      </c>
    </row>
    <row r="239" spans="1:146" x14ac:dyDescent="0.2">
      <c r="A239" s="43">
        <v>0</v>
      </c>
      <c r="B239" s="43">
        <v>0</v>
      </c>
      <c r="C239" s="43">
        <v>0</v>
      </c>
      <c r="D239" s="70">
        <v>2027</v>
      </c>
      <c r="E239" s="70">
        <v>4</v>
      </c>
      <c r="F239" s="2">
        <v>720</v>
      </c>
      <c r="G239" s="133">
        <f t="shared" si="226"/>
        <v>38966.752730839646</v>
      </c>
      <c r="H239" s="65">
        <v>38966.752730839646</v>
      </c>
      <c r="I239" s="133">
        <f t="shared" si="227"/>
        <v>38966.752730839646</v>
      </c>
      <c r="J239" s="133">
        <f t="shared" si="203"/>
        <v>1083.6447500000006</v>
      </c>
      <c r="K239" s="65">
        <v>1083.6447500000006</v>
      </c>
      <c r="L239" s="133">
        <f t="shared" si="204"/>
        <v>1083.6447500000006</v>
      </c>
      <c r="M239" s="65">
        <v>1418.2286880453187</v>
      </c>
      <c r="N239" s="65">
        <v>3053.8992287010965</v>
      </c>
      <c r="O239" s="65">
        <v>378.05678353735374</v>
      </c>
      <c r="P239" s="200">
        <f t="shared" si="194"/>
        <v>36428.052570754517</v>
      </c>
      <c r="Q239" s="200">
        <f t="shared" si="195"/>
        <v>36428.052570754517</v>
      </c>
      <c r="R239" s="200">
        <f t="shared" si="196"/>
        <v>36428.052570754517</v>
      </c>
      <c r="S239" s="133">
        <f t="shared" si="228"/>
        <v>37769.690945778442</v>
      </c>
      <c r="T239" s="133">
        <f t="shared" si="229"/>
        <v>37769.690945778442</v>
      </c>
      <c r="U239" s="133">
        <f t="shared" si="230"/>
        <v>37769.690945778442</v>
      </c>
      <c r="V239" s="200">
        <f t="shared" si="200"/>
        <v>36428.052570754517</v>
      </c>
      <c r="W239" s="200">
        <f t="shared" si="201"/>
        <v>36428.052570754517</v>
      </c>
      <c r="X239" s="200">
        <f t="shared" si="202"/>
        <v>36428.052570754517</v>
      </c>
      <c r="Y239" s="65">
        <v>3811.8478278833109</v>
      </c>
      <c r="Z239" s="65">
        <v>4576.778832194731</v>
      </c>
      <c r="AA239" s="65">
        <v>1198.9467822504121</v>
      </c>
      <c r="AB239" s="200">
        <f t="shared" si="218"/>
        <v>41004.831402949247</v>
      </c>
      <c r="AC239" s="200">
        <f t="shared" si="219"/>
        <v>41004.831402949247</v>
      </c>
      <c r="AD239" s="200">
        <f t="shared" si="220"/>
        <v>41004.831402949247</v>
      </c>
      <c r="AE239" s="199">
        <f t="shared" si="175"/>
        <v>41581.538773661756</v>
      </c>
      <c r="AF239" s="199">
        <f t="shared" si="221"/>
        <v>42346.469777973172</v>
      </c>
      <c r="AG239" s="199">
        <f t="shared" si="176"/>
        <v>38968.637728028858</v>
      </c>
      <c r="AH239" s="199">
        <f t="shared" si="231"/>
        <v>40657.553753001019</v>
      </c>
      <c r="AI239" s="200">
        <f t="shared" si="222"/>
        <v>41004.831402949247</v>
      </c>
      <c r="AJ239" s="200">
        <f t="shared" si="223"/>
        <v>41004.831402949247</v>
      </c>
      <c r="AK239" s="200">
        <f t="shared" si="224"/>
        <v>41004.831402949247</v>
      </c>
      <c r="AL239" s="4"/>
      <c r="AM239" s="4"/>
      <c r="AN239" s="4"/>
      <c r="AO239" s="4"/>
      <c r="AP239" s="63"/>
      <c r="AQ239" s="18"/>
      <c r="AR239" s="10">
        <v>9600</v>
      </c>
      <c r="AS239" s="18"/>
      <c r="AT239" s="62"/>
      <c r="AU239" s="133">
        <f t="shared" si="235"/>
        <v>96.057000000000002</v>
      </c>
      <c r="AV239" s="133">
        <f t="shared" si="235"/>
        <v>3017.9659999999999</v>
      </c>
      <c r="AW239" s="63"/>
      <c r="AX239" s="63"/>
      <c r="AY239" s="65">
        <v>1122.6138126000001</v>
      </c>
      <c r="AZ239" s="63"/>
      <c r="BA239" s="65">
        <v>1366.578</v>
      </c>
      <c r="BB239" s="133">
        <f t="shared" si="206"/>
        <v>1440.9</v>
      </c>
      <c r="BC239" s="65">
        <v>567.6650303146555</v>
      </c>
      <c r="BD239" s="65">
        <v>15.751376692709027</v>
      </c>
      <c r="BE239" s="65">
        <v>0</v>
      </c>
      <c r="BF239" s="65">
        <v>201.0078173079965</v>
      </c>
      <c r="BG239" s="65">
        <v>0</v>
      </c>
      <c r="BH239" s="65">
        <v>138.923473015855</v>
      </c>
      <c r="BI239" s="65">
        <v>1440.1654652062136</v>
      </c>
      <c r="BJ239" s="65">
        <v>0</v>
      </c>
      <c r="BK239" s="65">
        <v>19.984033847071771</v>
      </c>
      <c r="BL239" s="65">
        <v>0</v>
      </c>
      <c r="BM239" s="65">
        <v>0</v>
      </c>
      <c r="BN239" s="65">
        <v>104.630880421147</v>
      </c>
      <c r="BO239" s="65">
        <v>205.33566960000002</v>
      </c>
      <c r="BP239" s="260">
        <f t="shared" si="225"/>
        <v>960</v>
      </c>
      <c r="BQ239" s="65">
        <v>150.02469392763945</v>
      </c>
      <c r="BR239" s="65">
        <v>196.01214623643676</v>
      </c>
      <c r="BS239" s="65">
        <v>709.26241200859181</v>
      </c>
      <c r="BT239" s="65">
        <v>246.504074547794</v>
      </c>
      <c r="BU239" s="65">
        <v>264.6888355656331</v>
      </c>
      <c r="BV239" s="144">
        <f t="shared" si="215"/>
        <v>992.76008163172298</v>
      </c>
      <c r="BW239" s="144">
        <f t="shared" si="216"/>
        <v>2137.7294600907676</v>
      </c>
      <c r="BX239" s="144">
        <f t="shared" si="217"/>
        <v>264.63974847614759</v>
      </c>
      <c r="BY239" s="5"/>
      <c r="BZ239" s="66">
        <v>7020</v>
      </c>
      <c r="CA239" s="4"/>
      <c r="CB239" s="5"/>
      <c r="CC239" s="5"/>
      <c r="CD239" s="188">
        <v>2.3725527527096357</v>
      </c>
      <c r="CE239" s="5"/>
      <c r="CF239" s="133">
        <f t="shared" si="232"/>
        <v>2495.3333333333335</v>
      </c>
      <c r="CG239" s="133">
        <f t="shared" si="208"/>
        <v>4108</v>
      </c>
      <c r="CH239" s="70">
        <v>4768</v>
      </c>
      <c r="CI239" s="70"/>
      <c r="CJ239" s="133">
        <f t="shared" si="237"/>
        <v>1440.9</v>
      </c>
      <c r="CK239" s="8">
        <f t="shared" si="258"/>
        <v>43652.905897576427</v>
      </c>
      <c r="CL239" s="202">
        <f t="shared" si="238"/>
        <v>-2648.0744946271807</v>
      </c>
      <c r="CM239" s="202">
        <f t="shared" si="239"/>
        <v>-2648.0744946271807</v>
      </c>
      <c r="CN239" s="202">
        <f t="shared" si="240"/>
        <v>-2648.0744946271807</v>
      </c>
      <c r="CO239" s="9">
        <f t="shared" si="241"/>
        <v>-2071.3671239146715</v>
      </c>
      <c r="CP239" s="9">
        <f t="shared" si="242"/>
        <v>-1306.4361196032551</v>
      </c>
      <c r="CQ239" s="9">
        <f t="shared" si="243"/>
        <v>-4684.2681695475694</v>
      </c>
      <c r="CR239" s="202">
        <f t="shared" si="244"/>
        <v>-2648.0744946271807</v>
      </c>
      <c r="CS239" s="202">
        <f t="shared" si="245"/>
        <v>-2648.0744946271807</v>
      </c>
      <c r="CT239" s="202">
        <f t="shared" si="246"/>
        <v>-2648.0744946271807</v>
      </c>
      <c r="CU239" s="203">
        <f t="shared" si="247"/>
        <v>-6.4579572797285531E-2</v>
      </c>
      <c r="CV239" s="203">
        <f t="shared" si="248"/>
        <v>-6.4579572797285531E-2</v>
      </c>
      <c r="CW239" s="203">
        <f t="shared" si="249"/>
        <v>-6.4579572797285531E-2</v>
      </c>
      <c r="CX239" s="19">
        <f t="shared" si="250"/>
        <v>-4.9814585631128692E-2</v>
      </c>
      <c r="CY239" s="19">
        <f t="shared" si="251"/>
        <v>-3.0851122335652344E-2</v>
      </c>
      <c r="CZ239" s="19">
        <f t="shared" si="252"/>
        <v>-0.12020610528497715</v>
      </c>
      <c r="DA239" s="203">
        <f t="shared" si="253"/>
        <v>-6.4579572797285531E-2</v>
      </c>
      <c r="DB239" s="203">
        <f t="shared" si="254"/>
        <v>-6.4579572797285531E-2</v>
      </c>
      <c r="DC239" s="203">
        <f t="shared" si="255"/>
        <v>-6.4579572797285531E-2</v>
      </c>
      <c r="DD239" s="65"/>
      <c r="DE239" s="66"/>
      <c r="DF239" s="66"/>
      <c r="DG239" s="66"/>
      <c r="DH239" s="66"/>
      <c r="DI239" s="66"/>
      <c r="DJ239" s="65"/>
      <c r="DK239" s="70"/>
      <c r="DL239" s="70"/>
      <c r="DM239" s="8">
        <f t="shared" si="256"/>
        <v>0</v>
      </c>
      <c r="DN239" s="8">
        <f t="shared" si="257"/>
        <v>43652.905897576427</v>
      </c>
      <c r="DO239" s="202">
        <f t="shared" si="177"/>
        <v>-2648.0744946271807</v>
      </c>
      <c r="DP239" s="202">
        <f t="shared" si="178"/>
        <v>-2648.0744946271807</v>
      </c>
      <c r="DQ239" s="202">
        <f t="shared" si="179"/>
        <v>-2648.0744946271807</v>
      </c>
      <c r="DR239" s="9">
        <f t="shared" si="180"/>
        <v>-2071.3671239146715</v>
      </c>
      <c r="DS239" s="9">
        <f t="shared" si="259"/>
        <v>-1306.4361196032551</v>
      </c>
      <c r="DT239" s="9">
        <f t="shared" si="181"/>
        <v>-4684.2681695475694</v>
      </c>
      <c r="DU239" s="202">
        <f t="shared" si="182"/>
        <v>-2648.0744946271807</v>
      </c>
      <c r="DV239" s="202">
        <f t="shared" si="183"/>
        <v>-2648.0744946271807</v>
      </c>
      <c r="DW239" s="202">
        <f t="shared" si="184"/>
        <v>-2648.0744946271807</v>
      </c>
      <c r="DX239" s="203">
        <f t="shared" si="185"/>
        <v>-6.4579572797285531E-2</v>
      </c>
      <c r="DY239" s="203">
        <f t="shared" si="186"/>
        <v>-6.4579572797285531E-2</v>
      </c>
      <c r="DZ239" s="203">
        <f t="shared" si="187"/>
        <v>-6.4579572797285531E-2</v>
      </c>
      <c r="EA239" s="19">
        <f t="shared" si="188"/>
        <v>-4.9814585631128692E-2</v>
      </c>
      <c r="EB239" s="19">
        <f t="shared" si="260"/>
        <v>-3.0851122335652344E-2</v>
      </c>
      <c r="EC239" s="19">
        <f t="shared" si="189"/>
        <v>-0.12020610528497715</v>
      </c>
      <c r="ED239" s="203">
        <f t="shared" si="190"/>
        <v>-6.4579572797285531E-2</v>
      </c>
      <c r="EE239" s="203">
        <f t="shared" si="191"/>
        <v>-6.4579572797285531E-2</v>
      </c>
      <c r="EF239" s="203">
        <f t="shared" si="192"/>
        <v>-6.4579572797285531E-2</v>
      </c>
      <c r="EH239" s="58">
        <f t="shared" si="234"/>
        <v>38946.765445883997</v>
      </c>
      <c r="EI239" s="68">
        <f t="shared" si="210"/>
        <v>0.91971693626613582</v>
      </c>
      <c r="EJ239" s="58">
        <f t="shared" si="211"/>
        <v>35436.765445883997</v>
      </c>
      <c r="EK239" s="68">
        <f t="shared" si="210"/>
        <v>0.83682927128713547</v>
      </c>
      <c r="EL239" s="58">
        <f t="shared" si="212"/>
        <v>6196.677551474515</v>
      </c>
      <c r="EM239" s="58">
        <f t="shared" si="213"/>
        <v>6461.3172999506623</v>
      </c>
      <c r="EN239" s="68">
        <f t="shared" si="214"/>
        <v>0.15258219478100543</v>
      </c>
      <c r="EO239" s="139">
        <f t="shared" si="233"/>
        <v>0.35351678044029999</v>
      </c>
      <c r="EP239">
        <f>+(SUM(M239:O239)*EO239*(1-'[1]Tier 3 Data'!$A$2))</f>
        <v>1599.7420272395166</v>
      </c>
    </row>
    <row r="240" spans="1:146" x14ac:dyDescent="0.2">
      <c r="A240" s="43">
        <v>0</v>
      </c>
      <c r="B240" s="43">
        <v>0</v>
      </c>
      <c r="C240" s="43">
        <v>0</v>
      </c>
      <c r="D240" s="70">
        <v>2027</v>
      </c>
      <c r="E240" s="70">
        <v>5</v>
      </c>
      <c r="F240" s="2">
        <v>744</v>
      </c>
      <c r="G240" s="133">
        <f t="shared" si="226"/>
        <v>37147.96499606764</v>
      </c>
      <c r="H240" s="65">
        <v>37147.96499606764</v>
      </c>
      <c r="I240" s="133">
        <f t="shared" si="227"/>
        <v>37147.96499606764</v>
      </c>
      <c r="J240" s="133">
        <f t="shared" si="203"/>
        <v>1124.1596875000007</v>
      </c>
      <c r="K240" s="65">
        <v>1124.1596875000007</v>
      </c>
      <c r="L240" s="133">
        <f t="shared" si="204"/>
        <v>1124.1596875000007</v>
      </c>
      <c r="M240" s="65">
        <v>1750.7817988213781</v>
      </c>
      <c r="N240" s="65">
        <v>3769.9922657844818</v>
      </c>
      <c r="O240" s="65">
        <v>473.89387357426193</v>
      </c>
      <c r="P240" s="200">
        <f t="shared" si="194"/>
        <v>34225.404927113603</v>
      </c>
      <c r="Q240" s="200">
        <f t="shared" si="195"/>
        <v>34225.404927113603</v>
      </c>
      <c r="R240" s="200">
        <f t="shared" si="196"/>
        <v>34225.404927113603</v>
      </c>
      <c r="S240" s="133">
        <f t="shared" si="228"/>
        <v>35881.637146495355</v>
      </c>
      <c r="T240" s="133">
        <f t="shared" si="229"/>
        <v>35881.637146495355</v>
      </c>
      <c r="U240" s="133">
        <f t="shared" si="230"/>
        <v>35881.637146495355</v>
      </c>
      <c r="V240" s="200">
        <f t="shared" si="200"/>
        <v>34225.404927113603</v>
      </c>
      <c r="W240" s="200">
        <f t="shared" si="201"/>
        <v>34225.404927113603</v>
      </c>
      <c r="X240" s="200">
        <f t="shared" si="202"/>
        <v>34225.404927113603</v>
      </c>
      <c r="Y240" s="65">
        <v>3099.6829033480371</v>
      </c>
      <c r="Z240" s="65">
        <v>3262.4956097230388</v>
      </c>
      <c r="AA240" s="65">
        <v>931.21567280699026</v>
      </c>
      <c r="AB240" s="200">
        <f t="shared" si="218"/>
        <v>37487.900536836642</v>
      </c>
      <c r="AC240" s="200">
        <f t="shared" si="219"/>
        <v>37487.900536836642</v>
      </c>
      <c r="AD240" s="200">
        <f t="shared" si="220"/>
        <v>37487.900536836642</v>
      </c>
      <c r="AE240" s="199">
        <f t="shared" si="175"/>
        <v>38981.320049843394</v>
      </c>
      <c r="AF240" s="199">
        <f t="shared" si="221"/>
        <v>39144.132756218394</v>
      </c>
      <c r="AG240" s="199">
        <f t="shared" si="176"/>
        <v>36812.852819302345</v>
      </c>
      <c r="AH240" s="199">
        <f t="shared" si="231"/>
        <v>37978.49278776037</v>
      </c>
      <c r="AI240" s="200">
        <f t="shared" si="222"/>
        <v>37487.900536836642</v>
      </c>
      <c r="AJ240" s="200">
        <f t="shared" si="223"/>
        <v>37487.900536836642</v>
      </c>
      <c r="AK240" s="200">
        <f t="shared" si="224"/>
        <v>37487.900536836642</v>
      </c>
      <c r="AL240" s="4"/>
      <c r="AM240" s="4"/>
      <c r="AN240" s="4"/>
      <c r="AO240" s="4"/>
      <c r="AP240" s="63"/>
      <c r="AQ240" s="18"/>
      <c r="AR240" s="10">
        <v>9920</v>
      </c>
      <c r="AS240" s="18"/>
      <c r="AT240" s="62"/>
      <c r="AU240" s="133">
        <f t="shared" si="235"/>
        <v>109.161</v>
      </c>
      <c r="AV240" s="133">
        <f t="shared" si="235"/>
        <v>3327.41</v>
      </c>
      <c r="AW240" s="63"/>
      <c r="AX240" s="63"/>
      <c r="AY240" s="65">
        <v>837.33634925714296</v>
      </c>
      <c r="AZ240" s="63"/>
      <c r="BA240" s="65">
        <v>1570</v>
      </c>
      <c r="BB240" s="133">
        <f t="shared" si="206"/>
        <v>1028.67</v>
      </c>
      <c r="BC240" s="65">
        <v>570.10748354622444</v>
      </c>
      <c r="BD240" s="65">
        <v>12.098699446784533</v>
      </c>
      <c r="BE240" s="65">
        <v>0</v>
      </c>
      <c r="BF240" s="65">
        <v>204.79596502442698</v>
      </c>
      <c r="BG240" s="65">
        <v>0</v>
      </c>
      <c r="BH240" s="65">
        <v>88.40584646463499</v>
      </c>
      <c r="BI240" s="65">
        <v>1446.3619659709991</v>
      </c>
      <c r="BJ240" s="65">
        <v>0</v>
      </c>
      <c r="BK240" s="65">
        <v>12.751667915526451</v>
      </c>
      <c r="BL240" s="65">
        <v>0</v>
      </c>
      <c r="BM240" s="65">
        <v>0</v>
      </c>
      <c r="BN240" s="65">
        <v>66.583287540729913</v>
      </c>
      <c r="BO240" s="65">
        <v>212.18019192</v>
      </c>
      <c r="BP240" s="260">
        <f t="shared" si="225"/>
        <v>992</v>
      </c>
      <c r="BQ240" s="65">
        <v>172.77612505303225</v>
      </c>
      <c r="BR240" s="65">
        <v>225.73760748254537</v>
      </c>
      <c r="BS240" s="65">
        <v>816.82285207141092</v>
      </c>
      <c r="BT240" s="65">
        <v>254.76019030574147</v>
      </c>
      <c r="BU240" s="65">
        <v>302.69846548820374</v>
      </c>
      <c r="BV240" s="144">
        <f t="shared" si="215"/>
        <v>1225.5472591749647</v>
      </c>
      <c r="BW240" s="144">
        <f t="shared" si="216"/>
        <v>2638.9945860491371</v>
      </c>
      <c r="BX240" s="144">
        <f t="shared" si="217"/>
        <v>331.72571150198331</v>
      </c>
      <c r="BY240" s="5"/>
      <c r="BZ240" s="66">
        <v>7254</v>
      </c>
      <c r="CA240" s="4"/>
      <c r="CB240" s="5"/>
      <c r="CC240" s="5"/>
      <c r="CD240" s="188">
        <v>1.4538432884059718E-2</v>
      </c>
      <c r="CE240" s="5"/>
      <c r="CF240" s="133">
        <f t="shared" si="232"/>
        <v>1762.6666666666667</v>
      </c>
      <c r="CG240" s="133">
        <f t="shared" si="208"/>
        <v>2070</v>
      </c>
      <c r="CH240" s="70">
        <v>2480</v>
      </c>
      <c r="CI240" s="70"/>
      <c r="CJ240" s="133">
        <f t="shared" si="237"/>
        <v>1028.67</v>
      </c>
      <c r="CK240" s="8">
        <f t="shared" si="258"/>
        <v>39933.606459313029</v>
      </c>
      <c r="CL240" s="202">
        <f t="shared" si="238"/>
        <v>-2445.7059224763871</v>
      </c>
      <c r="CM240" s="202">
        <f t="shared" si="239"/>
        <v>-2445.7059224763871</v>
      </c>
      <c r="CN240" s="202">
        <f t="shared" si="240"/>
        <v>-2445.7059224763871</v>
      </c>
      <c r="CO240" s="9">
        <f t="shared" si="241"/>
        <v>-952.28640946963424</v>
      </c>
      <c r="CP240" s="9">
        <f t="shared" si="242"/>
        <v>-789.4737030946344</v>
      </c>
      <c r="CQ240" s="9">
        <f t="shared" si="243"/>
        <v>-3120.7536400106837</v>
      </c>
      <c r="CR240" s="202">
        <f t="shared" si="244"/>
        <v>-2445.7059224763871</v>
      </c>
      <c r="CS240" s="202">
        <f t="shared" si="245"/>
        <v>-2445.7059224763871</v>
      </c>
      <c r="CT240" s="202">
        <f t="shared" si="246"/>
        <v>-2445.7059224763871</v>
      </c>
      <c r="CU240" s="203">
        <f t="shared" si="247"/>
        <v>-6.5239874398225345E-2</v>
      </c>
      <c r="CV240" s="203">
        <f t="shared" si="248"/>
        <v>-6.5239874398225345E-2</v>
      </c>
      <c r="CW240" s="203">
        <f t="shared" si="249"/>
        <v>-6.5239874398225345E-2</v>
      </c>
      <c r="CX240" s="19">
        <f t="shared" si="250"/>
        <v>-2.4429301220481887E-2</v>
      </c>
      <c r="CY240" s="19">
        <f t="shared" si="251"/>
        <v>-2.0168378949951816E-2</v>
      </c>
      <c r="CZ240" s="19">
        <f t="shared" si="252"/>
        <v>-8.4773479939983271E-2</v>
      </c>
      <c r="DA240" s="203">
        <f t="shared" si="253"/>
        <v>-6.5239874398225345E-2</v>
      </c>
      <c r="DB240" s="203">
        <f t="shared" si="254"/>
        <v>-6.5239874398225345E-2</v>
      </c>
      <c r="DC240" s="203">
        <f t="shared" si="255"/>
        <v>-6.5239874398225345E-2</v>
      </c>
      <c r="DD240" s="65"/>
      <c r="DE240" s="66"/>
      <c r="DF240" s="66"/>
      <c r="DG240" s="66"/>
      <c r="DH240" s="66"/>
      <c r="DI240" s="66"/>
      <c r="DJ240" s="65"/>
      <c r="DK240" s="70"/>
      <c r="DL240" s="70"/>
      <c r="DM240" s="8">
        <f t="shared" si="256"/>
        <v>0</v>
      </c>
      <c r="DN240" s="8">
        <f t="shared" si="257"/>
        <v>39933.606459313029</v>
      </c>
      <c r="DO240" s="202">
        <f t="shared" si="177"/>
        <v>-2445.7059224763871</v>
      </c>
      <c r="DP240" s="202">
        <f t="shared" si="178"/>
        <v>-2445.7059224763871</v>
      </c>
      <c r="DQ240" s="202">
        <f t="shared" si="179"/>
        <v>-2445.7059224763871</v>
      </c>
      <c r="DR240" s="9">
        <f t="shared" si="180"/>
        <v>-952.28640946963424</v>
      </c>
      <c r="DS240" s="9">
        <f t="shared" si="259"/>
        <v>-789.4737030946344</v>
      </c>
      <c r="DT240" s="9">
        <f t="shared" si="181"/>
        <v>-3120.7536400106837</v>
      </c>
      <c r="DU240" s="202">
        <f t="shared" si="182"/>
        <v>-2445.7059224763871</v>
      </c>
      <c r="DV240" s="202">
        <f t="shared" si="183"/>
        <v>-2445.7059224763871</v>
      </c>
      <c r="DW240" s="202">
        <f t="shared" si="184"/>
        <v>-2445.7059224763871</v>
      </c>
      <c r="DX240" s="203">
        <f t="shared" si="185"/>
        <v>-6.5239874398225345E-2</v>
      </c>
      <c r="DY240" s="203">
        <f t="shared" si="186"/>
        <v>-6.5239874398225345E-2</v>
      </c>
      <c r="DZ240" s="203">
        <f t="shared" si="187"/>
        <v>-6.5239874398225345E-2</v>
      </c>
      <c r="EA240" s="19">
        <f t="shared" si="188"/>
        <v>-2.4429301220481887E-2</v>
      </c>
      <c r="EB240" s="19">
        <f t="shared" si="260"/>
        <v>-2.0168378949951816E-2</v>
      </c>
      <c r="EC240" s="19">
        <f t="shared" si="189"/>
        <v>-8.4773479939983271E-2</v>
      </c>
      <c r="ED240" s="203">
        <f t="shared" si="190"/>
        <v>-6.5239874398225345E-2</v>
      </c>
      <c r="EE240" s="203">
        <f t="shared" si="191"/>
        <v>-6.5239874398225345E-2</v>
      </c>
      <c r="EF240" s="203">
        <f t="shared" si="192"/>
        <v>-6.5239874398225345E-2</v>
      </c>
      <c r="EH240" s="58">
        <f t="shared" si="234"/>
        <v>34876.248696680756</v>
      </c>
      <c r="EI240" s="68">
        <f t="shared" si="210"/>
        <v>0.89097001877351223</v>
      </c>
      <c r="EJ240" s="58">
        <f t="shared" si="211"/>
        <v>31249.248696680759</v>
      </c>
      <c r="EK240" s="68">
        <f t="shared" si="210"/>
        <v>0.79831245441800058</v>
      </c>
      <c r="EL240" s="58">
        <f t="shared" si="212"/>
        <v>6820.2789692549704</v>
      </c>
      <c r="EM240" s="58">
        <f t="shared" si="213"/>
        <v>7152.0046807569533</v>
      </c>
      <c r="EN240" s="68">
        <f t="shared" si="214"/>
        <v>0.18270949379050411</v>
      </c>
      <c r="EO240" s="139">
        <f t="shared" si="233"/>
        <v>0.28868615856523006</v>
      </c>
      <c r="EP240">
        <f>+(SUM(M240:O240)*EO240*(1-'[1]Tier 3 Data'!$A$2))</f>
        <v>1614.6289557978942</v>
      </c>
    </row>
    <row r="241" spans="1:146" x14ac:dyDescent="0.2">
      <c r="A241" s="43">
        <v>0</v>
      </c>
      <c r="B241" s="43">
        <v>0</v>
      </c>
      <c r="C241" s="43">
        <v>0</v>
      </c>
      <c r="D241" s="70">
        <v>2027</v>
      </c>
      <c r="E241" s="70">
        <v>6</v>
      </c>
      <c r="F241" s="2">
        <v>720</v>
      </c>
      <c r="G241" s="133">
        <f t="shared" si="226"/>
        <v>39494.44262338015</v>
      </c>
      <c r="H241" s="65">
        <v>39494.44262338015</v>
      </c>
      <c r="I241" s="133">
        <f t="shared" si="227"/>
        <v>39494.44262338015</v>
      </c>
      <c r="J241" s="133">
        <f t="shared" si="203"/>
        <v>1164.6746250000008</v>
      </c>
      <c r="K241" s="65">
        <v>1164.6746250000008</v>
      </c>
      <c r="L241" s="133">
        <f t="shared" si="204"/>
        <v>1164.6746250000008</v>
      </c>
      <c r="M241" s="65">
        <v>1630.7561929849653</v>
      </c>
      <c r="N241" s="65">
        <v>3511.538810303055</v>
      </c>
      <c r="O241" s="65">
        <v>454.58918549349067</v>
      </c>
      <c r="P241" s="200">
        <f t="shared" si="194"/>
        <v>36650.702741745699</v>
      </c>
      <c r="Q241" s="200">
        <f t="shared" si="195"/>
        <v>36650.702741745699</v>
      </c>
      <c r="R241" s="200">
        <f t="shared" si="196"/>
        <v>36650.702741745699</v>
      </c>
      <c r="S241" s="133">
        <f t="shared" si="228"/>
        <v>38193.391242732105</v>
      </c>
      <c r="T241" s="133">
        <f t="shared" si="229"/>
        <v>38193.391242732105</v>
      </c>
      <c r="U241" s="133">
        <f t="shared" si="230"/>
        <v>38193.391242732105</v>
      </c>
      <c r="V241" s="200">
        <f t="shared" si="200"/>
        <v>36650.702741745699</v>
      </c>
      <c r="W241" s="200">
        <f t="shared" si="201"/>
        <v>36650.702741745699</v>
      </c>
      <c r="X241" s="200">
        <f t="shared" si="202"/>
        <v>36650.702741745699</v>
      </c>
      <c r="Y241" s="65">
        <v>3366.4605669743378</v>
      </c>
      <c r="Z241" s="65">
        <v>3649.2244650391781</v>
      </c>
      <c r="AA241" s="65">
        <v>1091.4542869619106</v>
      </c>
      <c r="AB241" s="200">
        <f t="shared" si="218"/>
        <v>40299.92720678488</v>
      </c>
      <c r="AC241" s="200">
        <f t="shared" si="219"/>
        <v>40299.92720678488</v>
      </c>
      <c r="AD241" s="200">
        <f t="shared" si="220"/>
        <v>40299.92720678488</v>
      </c>
      <c r="AE241" s="199">
        <f t="shared" ref="AE241:AE304" si="261">+S241+$Y241</f>
        <v>41559.851809706444</v>
      </c>
      <c r="AF241" s="199">
        <f t="shared" si="221"/>
        <v>41842.615707771285</v>
      </c>
      <c r="AG241" s="199">
        <f t="shared" ref="AG241:AG304" si="262">+U241+$AA241</f>
        <v>39284.845529694016</v>
      </c>
      <c r="AH241" s="199">
        <f t="shared" si="231"/>
        <v>40563.730618732647</v>
      </c>
      <c r="AI241" s="200">
        <f t="shared" si="222"/>
        <v>40299.92720678488</v>
      </c>
      <c r="AJ241" s="200">
        <f t="shared" si="223"/>
        <v>40299.92720678488</v>
      </c>
      <c r="AK241" s="200">
        <f t="shared" si="224"/>
        <v>40299.92720678488</v>
      </c>
      <c r="AL241" s="4"/>
      <c r="AM241" s="4"/>
      <c r="AN241" s="4"/>
      <c r="AO241" s="4"/>
      <c r="AP241" s="63"/>
      <c r="AQ241" s="18"/>
      <c r="AR241" s="10">
        <v>9600</v>
      </c>
      <c r="AS241" s="18"/>
      <c r="AT241" s="62"/>
      <c r="AU241" s="133">
        <f t="shared" si="235"/>
        <v>128.934</v>
      </c>
      <c r="AV241" s="133">
        <f t="shared" si="235"/>
        <v>3110.2840000000001</v>
      </c>
      <c r="AW241" s="63"/>
      <c r="AX241" s="63"/>
      <c r="AY241" s="65">
        <v>1170.1048746057143</v>
      </c>
      <c r="AZ241" s="63"/>
      <c r="BA241" s="65">
        <v>2058.0909999999999</v>
      </c>
      <c r="BB241" s="133">
        <f t="shared" si="206"/>
        <v>1047.68</v>
      </c>
      <c r="BC241" s="65">
        <v>605.91554170888298</v>
      </c>
      <c r="BD241" s="65">
        <v>8.3809700100652513</v>
      </c>
      <c r="BE241" s="65">
        <v>0</v>
      </c>
      <c r="BF241" s="65">
        <v>179.82494093729514</v>
      </c>
      <c r="BG241" s="65">
        <v>0</v>
      </c>
      <c r="BH241" s="65">
        <v>37.888219913415</v>
      </c>
      <c r="BI241" s="65">
        <v>1537.2069643204168</v>
      </c>
      <c r="BJ241" s="65">
        <v>0</v>
      </c>
      <c r="BK241" s="65">
        <v>11.763509963764358</v>
      </c>
      <c r="BL241" s="65">
        <v>0</v>
      </c>
      <c r="BM241" s="65">
        <v>0</v>
      </c>
      <c r="BN241" s="65">
        <v>28.535694660312817</v>
      </c>
      <c r="BO241" s="65">
        <v>205.33566960000002</v>
      </c>
      <c r="BP241" s="260">
        <f t="shared" si="225"/>
        <v>960</v>
      </c>
      <c r="BQ241" s="65">
        <v>167.9830947171248</v>
      </c>
      <c r="BR241" s="65">
        <v>219.47539836787621</v>
      </c>
      <c r="BS241" s="65">
        <v>794.16328471195493</v>
      </c>
      <c r="BT241" s="65">
        <v>266.66508214415893</v>
      </c>
      <c r="BU241" s="65">
        <v>294.78341284163713</v>
      </c>
      <c r="BV241" s="144">
        <f t="shared" si="215"/>
        <v>1141.5293350894756</v>
      </c>
      <c r="BW241" s="144">
        <f t="shared" si="216"/>
        <v>2458.0771672121382</v>
      </c>
      <c r="BX241" s="144">
        <f t="shared" si="217"/>
        <v>318.21242984544347</v>
      </c>
      <c r="BY241" s="5"/>
      <c r="BZ241" s="66">
        <v>7020</v>
      </c>
      <c r="CA241" s="4"/>
      <c r="CB241" s="5"/>
      <c r="CC241" s="5"/>
      <c r="CD241" s="188">
        <v>2.1777775833862054</v>
      </c>
      <c r="CE241" s="5"/>
      <c r="CF241" s="133">
        <f t="shared" si="232"/>
        <v>680.66666666666663</v>
      </c>
      <c r="CG241" s="133">
        <f t="shared" si="208"/>
        <v>1853</v>
      </c>
      <c r="CH241" s="70">
        <v>4416</v>
      </c>
      <c r="CI241" s="70"/>
      <c r="CJ241" s="133">
        <f t="shared" si="237"/>
        <v>1047.68</v>
      </c>
      <c r="CK241" s="8">
        <f t="shared" si="258"/>
        <v>40322.679034899716</v>
      </c>
      <c r="CL241" s="202">
        <f t="shared" si="238"/>
        <v>-22.751828114836826</v>
      </c>
      <c r="CM241" s="202">
        <f t="shared" si="239"/>
        <v>-22.751828114836826</v>
      </c>
      <c r="CN241" s="202">
        <f t="shared" si="240"/>
        <v>-22.751828114836826</v>
      </c>
      <c r="CO241" s="9">
        <f t="shared" si="241"/>
        <v>1237.1727748067278</v>
      </c>
      <c r="CP241" s="9">
        <f t="shared" si="242"/>
        <v>1519.9366728715686</v>
      </c>
      <c r="CQ241" s="9">
        <f t="shared" si="243"/>
        <v>-1037.8335052057009</v>
      </c>
      <c r="CR241" s="202">
        <f t="shared" si="244"/>
        <v>-22.751828114836826</v>
      </c>
      <c r="CS241" s="202">
        <f t="shared" si="245"/>
        <v>-22.751828114836826</v>
      </c>
      <c r="CT241" s="202">
        <f t="shared" si="246"/>
        <v>-22.751828114836826</v>
      </c>
      <c r="CU241" s="203">
        <f t="shared" si="247"/>
        <v>-5.6456251144310597E-4</v>
      </c>
      <c r="CV241" s="203">
        <f t="shared" si="248"/>
        <v>-5.6456251144310597E-4</v>
      </c>
      <c r="CW241" s="203">
        <f t="shared" si="249"/>
        <v>-5.6456251144310597E-4</v>
      </c>
      <c r="CX241" s="19">
        <f t="shared" si="250"/>
        <v>2.976845972578232E-2</v>
      </c>
      <c r="CY241" s="19">
        <f t="shared" si="251"/>
        <v>3.6325087405787493E-2</v>
      </c>
      <c r="CZ241" s="19">
        <f t="shared" si="252"/>
        <v>-2.6418164338236728E-2</v>
      </c>
      <c r="DA241" s="203">
        <f t="shared" si="253"/>
        <v>-5.6456251144310597E-4</v>
      </c>
      <c r="DB241" s="203">
        <f t="shared" si="254"/>
        <v>-5.6456251144310597E-4</v>
      </c>
      <c r="DC241" s="203">
        <f t="shared" si="255"/>
        <v>-5.6456251144310597E-4</v>
      </c>
      <c r="DD241" s="65"/>
      <c r="DE241" s="66"/>
      <c r="DF241" s="66"/>
      <c r="DG241" s="66"/>
      <c r="DH241" s="66"/>
      <c r="DI241" s="66"/>
      <c r="DJ241" s="65"/>
      <c r="DK241" s="70"/>
      <c r="DL241" s="70"/>
      <c r="DM241" s="8">
        <f t="shared" si="256"/>
        <v>0</v>
      </c>
      <c r="DN241" s="8">
        <f t="shared" si="257"/>
        <v>40322.679034899716</v>
      </c>
      <c r="DO241" s="202">
        <f t="shared" si="177"/>
        <v>-22.751828114836826</v>
      </c>
      <c r="DP241" s="202">
        <f t="shared" si="178"/>
        <v>-22.751828114836826</v>
      </c>
      <c r="DQ241" s="202">
        <f t="shared" si="179"/>
        <v>-22.751828114836826</v>
      </c>
      <c r="DR241" s="9">
        <f t="shared" si="180"/>
        <v>1237.1727748067278</v>
      </c>
      <c r="DS241" s="9">
        <f t="shared" si="259"/>
        <v>1519.9366728715686</v>
      </c>
      <c r="DT241" s="9">
        <f t="shared" si="181"/>
        <v>-1037.8335052057009</v>
      </c>
      <c r="DU241" s="202">
        <f t="shared" si="182"/>
        <v>-22.751828114836826</v>
      </c>
      <c r="DV241" s="202">
        <f t="shared" si="183"/>
        <v>-22.751828114836826</v>
      </c>
      <c r="DW241" s="202">
        <f t="shared" si="184"/>
        <v>-22.751828114836826</v>
      </c>
      <c r="DX241" s="203">
        <f t="shared" si="185"/>
        <v>-5.6456251144310597E-4</v>
      </c>
      <c r="DY241" s="203">
        <f t="shared" si="186"/>
        <v>-5.6456251144310597E-4</v>
      </c>
      <c r="DZ241" s="203">
        <f t="shared" si="187"/>
        <v>-5.6456251144310597E-4</v>
      </c>
      <c r="EA241" s="19">
        <f t="shared" si="188"/>
        <v>2.976845972578232E-2</v>
      </c>
      <c r="EB241" s="19">
        <f t="shared" si="260"/>
        <v>3.6325087405787493E-2</v>
      </c>
      <c r="EC241" s="19">
        <f t="shared" si="189"/>
        <v>-2.6418164338236728E-2</v>
      </c>
      <c r="ED241" s="203">
        <f t="shared" si="190"/>
        <v>-5.6456251144310597E-4</v>
      </c>
      <c r="EE241" s="203">
        <f t="shared" si="191"/>
        <v>-5.6456251144310597E-4</v>
      </c>
      <c r="EF241" s="203">
        <f t="shared" si="192"/>
        <v>-5.6456251144310597E-4</v>
      </c>
      <c r="EH241" s="58">
        <f t="shared" si="234"/>
        <v>35489.146981289567</v>
      </c>
      <c r="EI241" s="68">
        <f t="shared" si="210"/>
        <v>0.84815794569693426</v>
      </c>
      <c r="EJ241" s="58">
        <f t="shared" si="211"/>
        <v>31979.146981289567</v>
      </c>
      <c r="EK241" s="68">
        <f t="shared" si="210"/>
        <v>0.76427217659220548</v>
      </c>
      <c r="EL241" s="58">
        <f t="shared" si="212"/>
        <v>6636.1740101717478</v>
      </c>
      <c r="EM241" s="58">
        <f t="shared" si="213"/>
        <v>6954.3864400171915</v>
      </c>
      <c r="EN241" s="68">
        <f t="shared" si="214"/>
        <v>0.1662034345220339</v>
      </c>
      <c r="EO241" s="139">
        <f t="shared" si="233"/>
        <v>0.24029016665052916</v>
      </c>
      <c r="EP241">
        <f>+(SUM(M241:O241)*EO241*(1-'[1]Tier 3 Data'!$A$2))</f>
        <v>1254.7695267381375</v>
      </c>
    </row>
    <row r="242" spans="1:146" x14ac:dyDescent="0.2">
      <c r="A242" s="43">
        <v>0</v>
      </c>
      <c r="B242" s="43">
        <v>0</v>
      </c>
      <c r="C242" s="43">
        <v>0</v>
      </c>
      <c r="D242" s="70">
        <v>2027</v>
      </c>
      <c r="E242" s="70">
        <v>7</v>
      </c>
      <c r="F242" s="2">
        <v>744</v>
      </c>
      <c r="G242" s="133">
        <f t="shared" si="226"/>
        <v>45342.418038343552</v>
      </c>
      <c r="H242" s="65">
        <v>45342.418038343552</v>
      </c>
      <c r="I242" s="133">
        <f t="shared" si="227"/>
        <v>45342.418038343552</v>
      </c>
      <c r="J242" s="133">
        <f t="shared" si="203"/>
        <v>1205.1895625000009</v>
      </c>
      <c r="K242" s="65">
        <v>1205.1895625000009</v>
      </c>
      <c r="L242" s="133">
        <f t="shared" si="204"/>
        <v>1205.1895625000009</v>
      </c>
      <c r="M242" s="65">
        <v>1709.2251160000674</v>
      </c>
      <c r="N242" s="65">
        <v>3680.5074579497937</v>
      </c>
      <c r="O242" s="65">
        <v>489.47668109363849</v>
      </c>
      <c r="P242" s="200">
        <f t="shared" si="194"/>
        <v>42373.465699330496</v>
      </c>
      <c r="Q242" s="200">
        <f t="shared" si="195"/>
        <v>42373.465699330496</v>
      </c>
      <c r="R242" s="200">
        <f t="shared" si="196"/>
        <v>42373.465699330496</v>
      </c>
      <c r="S242" s="133">
        <f t="shared" si="228"/>
        <v>43990.385471515459</v>
      </c>
      <c r="T242" s="133">
        <f t="shared" si="229"/>
        <v>43990.385471515459</v>
      </c>
      <c r="U242" s="133">
        <f t="shared" si="230"/>
        <v>43990.385471515459</v>
      </c>
      <c r="V242" s="200">
        <f t="shared" si="200"/>
        <v>42373.465699330496</v>
      </c>
      <c r="W242" s="200">
        <f t="shared" si="201"/>
        <v>42373.465699330496</v>
      </c>
      <c r="X242" s="200">
        <f t="shared" si="202"/>
        <v>42373.465699330496</v>
      </c>
      <c r="Y242" s="65">
        <v>3867.4907567323776</v>
      </c>
      <c r="Z242" s="65">
        <v>4681.7798558078484</v>
      </c>
      <c r="AA242" s="65">
        <v>1344.0480917263408</v>
      </c>
      <c r="AB242" s="200">
        <f t="shared" si="218"/>
        <v>47055.245555138346</v>
      </c>
      <c r="AC242" s="200">
        <f t="shared" si="219"/>
        <v>47055.245555138346</v>
      </c>
      <c r="AD242" s="200">
        <f t="shared" si="220"/>
        <v>47055.245555138346</v>
      </c>
      <c r="AE242" s="199">
        <f t="shared" si="261"/>
        <v>47857.876228247835</v>
      </c>
      <c r="AF242" s="199">
        <f t="shared" si="221"/>
        <v>48672.16532732331</v>
      </c>
      <c r="AG242" s="199">
        <f t="shared" si="262"/>
        <v>45334.433563241801</v>
      </c>
      <c r="AH242" s="199">
        <f t="shared" si="231"/>
        <v>47003.299445282551</v>
      </c>
      <c r="AI242" s="200">
        <f t="shared" si="222"/>
        <v>47055.245555138346</v>
      </c>
      <c r="AJ242" s="200">
        <f t="shared" si="223"/>
        <v>47055.245555138346</v>
      </c>
      <c r="AK242" s="200">
        <f t="shared" si="224"/>
        <v>47055.245555138346</v>
      </c>
      <c r="AL242" s="4"/>
      <c r="AM242" s="4"/>
      <c r="AN242" s="4"/>
      <c r="AO242" s="4"/>
      <c r="AP242" s="63"/>
      <c r="AQ242" s="18"/>
      <c r="AR242" s="10">
        <v>9920</v>
      </c>
      <c r="AS242" s="18"/>
      <c r="AT242" s="62"/>
      <c r="AU242" s="133">
        <f t="shared" si="235"/>
        <v>118.521</v>
      </c>
      <c r="AV242" s="133">
        <f t="shared" si="235"/>
        <v>3084.53</v>
      </c>
      <c r="AW242" s="63"/>
      <c r="AX242" s="63"/>
      <c r="AY242" s="65">
        <v>1237.5528587885699</v>
      </c>
      <c r="AZ242" s="63"/>
      <c r="BA242" s="65">
        <v>1516.482</v>
      </c>
      <c r="BB242" s="133">
        <f t="shared" si="206"/>
        <v>874.91</v>
      </c>
      <c r="BC242" s="65">
        <v>586.79739986786444</v>
      </c>
      <c r="BD242" s="65">
        <v>7.5724679441334652</v>
      </c>
      <c r="BE242" s="65">
        <v>0</v>
      </c>
      <c r="BF242" s="65">
        <v>144.12352207184469</v>
      </c>
      <c r="BG242" s="65">
        <v>0</v>
      </c>
      <c r="BH242" s="65">
        <v>37.888219913415</v>
      </c>
      <c r="BI242" s="65">
        <v>1488.7042626072459</v>
      </c>
      <c r="BJ242" s="65">
        <v>0</v>
      </c>
      <c r="BK242" s="65">
        <v>9.5733821057653241</v>
      </c>
      <c r="BL242" s="65">
        <v>0</v>
      </c>
      <c r="BM242" s="65">
        <v>0</v>
      </c>
      <c r="BN242" s="65">
        <v>28.535694660312817</v>
      </c>
      <c r="BO242" s="65">
        <v>212.18019192</v>
      </c>
      <c r="BP242" s="260">
        <f t="shared" si="225"/>
        <v>992</v>
      </c>
      <c r="BQ242" s="65">
        <v>169.9244145210759</v>
      </c>
      <c r="BR242" s="65">
        <v>222.01171968261127</v>
      </c>
      <c r="BS242" s="65">
        <v>803.3408657866164</v>
      </c>
      <c r="BT242" s="65">
        <v>275.53337800840507</v>
      </c>
      <c r="BU242" s="65">
        <v>303.0862345740565</v>
      </c>
      <c r="BV242" s="144">
        <f t="shared" si="215"/>
        <v>1196.4575812000471</v>
      </c>
      <c r="BW242" s="144">
        <f t="shared" si="216"/>
        <v>2576.3552205648552</v>
      </c>
      <c r="BX242" s="144">
        <f t="shared" si="217"/>
        <v>342.63367676554691</v>
      </c>
      <c r="BY242" s="5"/>
      <c r="BZ242" s="66">
        <v>7254</v>
      </c>
      <c r="CA242" s="4"/>
      <c r="CB242" s="5"/>
      <c r="CC242" s="5"/>
      <c r="CD242" s="188">
        <v>2.1042112926473342</v>
      </c>
      <c r="CE242" s="5"/>
      <c r="CF242" s="133">
        <f t="shared" si="232"/>
        <v>971.33333333333337</v>
      </c>
      <c r="CG242" s="133">
        <f t="shared" si="208"/>
        <v>1568</v>
      </c>
      <c r="CH242" s="70">
        <v>6640</v>
      </c>
      <c r="CI242" s="70"/>
      <c r="CJ242" s="133">
        <f t="shared" si="237"/>
        <v>874.91</v>
      </c>
      <c r="CK242" s="8">
        <f t="shared" si="258"/>
        <v>42584.151635608345</v>
      </c>
      <c r="CL242" s="202">
        <f t="shared" si="238"/>
        <v>4471.0939195300016</v>
      </c>
      <c r="CM242" s="202">
        <f t="shared" si="239"/>
        <v>4471.0939195300016</v>
      </c>
      <c r="CN242" s="202">
        <f t="shared" si="240"/>
        <v>4471.0939195300016</v>
      </c>
      <c r="CO242" s="9">
        <f t="shared" si="241"/>
        <v>5273.7245926394899</v>
      </c>
      <c r="CP242" s="9">
        <f t="shared" si="242"/>
        <v>6088.0136917149648</v>
      </c>
      <c r="CQ242" s="9">
        <f t="shared" si="243"/>
        <v>2750.2819276334558</v>
      </c>
      <c r="CR242" s="202">
        <f t="shared" si="244"/>
        <v>4471.0939195300016</v>
      </c>
      <c r="CS242" s="202">
        <f t="shared" si="245"/>
        <v>4471.0939195300016</v>
      </c>
      <c r="CT242" s="202">
        <f t="shared" si="246"/>
        <v>4471.0939195300016</v>
      </c>
      <c r="CU242" s="203">
        <f t="shared" si="247"/>
        <v>9.5017970191885792E-2</v>
      </c>
      <c r="CV242" s="203">
        <f t="shared" si="248"/>
        <v>9.5017970191885792E-2</v>
      </c>
      <c r="CW242" s="203">
        <f t="shared" si="249"/>
        <v>9.5017970191885792E-2</v>
      </c>
      <c r="CX242" s="19">
        <f t="shared" si="250"/>
        <v>0.11019554163848801</v>
      </c>
      <c r="CY242" s="19">
        <f t="shared" si="251"/>
        <v>0.12508203920603692</v>
      </c>
      <c r="CZ242" s="19">
        <f t="shared" si="252"/>
        <v>6.0666511335071525E-2</v>
      </c>
      <c r="DA242" s="203">
        <f t="shared" si="253"/>
        <v>9.5017970191885792E-2</v>
      </c>
      <c r="DB242" s="203">
        <f t="shared" si="254"/>
        <v>9.5017970191885792E-2</v>
      </c>
      <c r="DC242" s="203">
        <f t="shared" si="255"/>
        <v>9.5017970191885792E-2</v>
      </c>
      <c r="DD242" s="65"/>
      <c r="DE242" s="66"/>
      <c r="DF242" s="66"/>
      <c r="DG242" s="66"/>
      <c r="DH242" s="66"/>
      <c r="DI242" s="66"/>
      <c r="DJ242" s="65"/>
      <c r="DK242" s="70"/>
      <c r="DL242" s="70"/>
      <c r="DM242" s="8">
        <f t="shared" si="256"/>
        <v>0</v>
      </c>
      <c r="DN242" s="8">
        <f t="shared" si="257"/>
        <v>42584.151635608345</v>
      </c>
      <c r="DO242" s="202">
        <f t="shared" si="177"/>
        <v>4471.0939195300016</v>
      </c>
      <c r="DP242" s="202">
        <f t="shared" si="178"/>
        <v>4471.0939195300016</v>
      </c>
      <c r="DQ242" s="202">
        <f t="shared" si="179"/>
        <v>4471.0939195300016</v>
      </c>
      <c r="DR242" s="9">
        <f t="shared" si="180"/>
        <v>5273.7245926394899</v>
      </c>
      <c r="DS242" s="9">
        <f t="shared" si="259"/>
        <v>6088.0136917149648</v>
      </c>
      <c r="DT242" s="9">
        <f t="shared" si="181"/>
        <v>2750.2819276334558</v>
      </c>
      <c r="DU242" s="202">
        <f t="shared" si="182"/>
        <v>4471.0939195300016</v>
      </c>
      <c r="DV242" s="202">
        <f t="shared" si="183"/>
        <v>4471.0939195300016</v>
      </c>
      <c r="DW242" s="202">
        <f t="shared" si="184"/>
        <v>4471.0939195300016</v>
      </c>
      <c r="DX242" s="203">
        <f t="shared" si="185"/>
        <v>9.5017970191885792E-2</v>
      </c>
      <c r="DY242" s="203">
        <f t="shared" si="186"/>
        <v>9.5017970191885792E-2</v>
      </c>
      <c r="DZ242" s="203">
        <f t="shared" si="187"/>
        <v>9.5017970191885792E-2</v>
      </c>
      <c r="EA242" s="19">
        <f t="shared" si="188"/>
        <v>0.11019554163848801</v>
      </c>
      <c r="EB242" s="19">
        <f t="shared" si="260"/>
        <v>0.12508203920603692</v>
      </c>
      <c r="EC242" s="19">
        <f t="shared" si="189"/>
        <v>6.0666511335071525E-2</v>
      </c>
      <c r="ED242" s="203">
        <f t="shared" si="190"/>
        <v>9.5017970191885792E-2</v>
      </c>
      <c r="EE242" s="203">
        <f t="shared" si="191"/>
        <v>9.5017970191885792E-2</v>
      </c>
      <c r="EF242" s="203">
        <f t="shared" si="192"/>
        <v>9.5017970191885792E-2</v>
      </c>
      <c r="EH242" s="58">
        <f t="shared" si="234"/>
        <v>37614.466321043808</v>
      </c>
      <c r="EI242" s="68">
        <f t="shared" si="210"/>
        <v>0.7728126757477134</v>
      </c>
      <c r="EJ242" s="58">
        <f t="shared" si="211"/>
        <v>33987.466321043808</v>
      </c>
      <c r="EK242" s="68">
        <f t="shared" si="210"/>
        <v>0.69829369810190289</v>
      </c>
      <c r="EL242" s="58">
        <f t="shared" si="212"/>
        <v>6721.5034521563575</v>
      </c>
      <c r="EM242" s="58">
        <f t="shared" si="213"/>
        <v>7064.1371289219042</v>
      </c>
      <c r="EN242" s="68">
        <f t="shared" si="214"/>
        <v>0.14513710416241288</v>
      </c>
      <c r="EO242" s="139">
        <f t="shared" si="233"/>
        <v>0.25197746931178833</v>
      </c>
      <c r="EP242">
        <f>+(SUM(M242:O242)*EO242*(1-'[1]Tier 3 Data'!$A$2))</f>
        <v>1382.1725755744048</v>
      </c>
    </row>
    <row r="243" spans="1:146" x14ac:dyDescent="0.2">
      <c r="A243" s="43">
        <v>0</v>
      </c>
      <c r="B243" s="43">
        <v>0</v>
      </c>
      <c r="C243" s="43">
        <v>0</v>
      </c>
      <c r="D243" s="70">
        <v>2027</v>
      </c>
      <c r="E243" s="70">
        <v>8</v>
      </c>
      <c r="F243" s="2">
        <v>744</v>
      </c>
      <c r="G243" s="133">
        <f t="shared" si="226"/>
        <v>43305.89319876003</v>
      </c>
      <c r="H243" s="65">
        <v>43305.89319876003</v>
      </c>
      <c r="I243" s="133">
        <f t="shared" si="227"/>
        <v>43305.89319876003</v>
      </c>
      <c r="J243" s="133">
        <f t="shared" si="203"/>
        <v>1245.704500000001</v>
      </c>
      <c r="K243" s="65">
        <v>1245.704500000001</v>
      </c>
      <c r="L243" s="133">
        <f t="shared" si="204"/>
        <v>1245.704500000001</v>
      </c>
      <c r="M243" s="65">
        <v>1523.4196774399222</v>
      </c>
      <c r="N243" s="65">
        <v>3280.4090180505418</v>
      </c>
      <c r="O243" s="65">
        <v>452.39715097485714</v>
      </c>
      <c r="P243" s="200">
        <f t="shared" si="194"/>
        <v>40483.320944820436</v>
      </c>
      <c r="Q243" s="200">
        <f t="shared" si="195"/>
        <v>40483.320944820436</v>
      </c>
      <c r="R243" s="200">
        <f t="shared" si="196"/>
        <v>40483.320944820436</v>
      </c>
      <c r="S243" s="133">
        <f t="shared" si="228"/>
        <v>41924.46955346757</v>
      </c>
      <c r="T243" s="133">
        <f t="shared" si="229"/>
        <v>41924.46955346757</v>
      </c>
      <c r="U243" s="133">
        <f t="shared" si="230"/>
        <v>41924.46955346757</v>
      </c>
      <c r="V243" s="200">
        <f t="shared" si="200"/>
        <v>40483.320944820436</v>
      </c>
      <c r="W243" s="200">
        <f t="shared" si="201"/>
        <v>40483.320944820436</v>
      </c>
      <c r="X243" s="200">
        <f t="shared" si="202"/>
        <v>40483.320944820436</v>
      </c>
      <c r="Y243" s="65">
        <v>3749.1325232359445</v>
      </c>
      <c r="Z243" s="65">
        <v>4234.515985753359</v>
      </c>
      <c r="AA243" s="65">
        <v>1272.033250674808</v>
      </c>
      <c r="AB243" s="200">
        <f t="shared" si="218"/>
        <v>44717.836930573794</v>
      </c>
      <c r="AC243" s="200">
        <f t="shared" si="219"/>
        <v>44717.836930573794</v>
      </c>
      <c r="AD243" s="200">
        <f t="shared" si="220"/>
        <v>44717.836930573794</v>
      </c>
      <c r="AE243" s="199">
        <f t="shared" si="261"/>
        <v>45673.602076703515</v>
      </c>
      <c r="AF243" s="199">
        <f t="shared" si="221"/>
        <v>46158.985539220928</v>
      </c>
      <c r="AG243" s="199">
        <f t="shared" si="262"/>
        <v>43196.502804142379</v>
      </c>
      <c r="AH243" s="199">
        <f t="shared" si="231"/>
        <v>44677.744171681654</v>
      </c>
      <c r="AI243" s="200">
        <f t="shared" si="222"/>
        <v>44717.836930573794</v>
      </c>
      <c r="AJ243" s="200">
        <f t="shared" si="223"/>
        <v>44717.836930573794</v>
      </c>
      <c r="AK243" s="200">
        <f t="shared" si="224"/>
        <v>44717.836930573794</v>
      </c>
      <c r="AL243" s="4"/>
      <c r="AM243" s="4"/>
      <c r="AN243" s="4"/>
      <c r="AO243" s="4"/>
      <c r="AP243" s="63"/>
      <c r="AQ243" s="18"/>
      <c r="AR243" s="10">
        <v>9920</v>
      </c>
      <c r="AS243" s="18"/>
      <c r="AT243" s="62"/>
      <c r="AU243" s="133">
        <f t="shared" si="235"/>
        <v>107.64</v>
      </c>
      <c r="AV243" s="133">
        <f t="shared" si="235"/>
        <v>3021.9279999999999</v>
      </c>
      <c r="AW243" s="63"/>
      <c r="AX243" s="63"/>
      <c r="AY243" s="65">
        <v>1159.3158527085716</v>
      </c>
      <c r="AZ243" s="63"/>
      <c r="BA243" s="65">
        <v>1498.2090000000001</v>
      </c>
      <c r="BB243" s="133">
        <f t="shared" si="206"/>
        <v>875.755</v>
      </c>
      <c r="BC243" s="65">
        <v>569.06141954142743</v>
      </c>
      <c r="BD243" s="65">
        <v>7.9692213995478474</v>
      </c>
      <c r="BE243" s="65">
        <v>0</v>
      </c>
      <c r="BF243" s="65">
        <v>158.69842331487976</v>
      </c>
      <c r="BG243" s="65">
        <v>0</v>
      </c>
      <c r="BH243" s="65">
        <v>31.573516594512498</v>
      </c>
      <c r="BI243" s="65">
        <v>1443.7081029115327</v>
      </c>
      <c r="BJ243" s="65">
        <v>0</v>
      </c>
      <c r="BK243" s="65">
        <v>11.152893841525399</v>
      </c>
      <c r="BL243" s="65">
        <v>0</v>
      </c>
      <c r="BM243" s="65">
        <v>0</v>
      </c>
      <c r="BN243" s="65">
        <v>23.779745550260685</v>
      </c>
      <c r="BO243" s="65">
        <v>212.18019192</v>
      </c>
      <c r="BP243" s="260">
        <f t="shared" si="225"/>
        <v>992</v>
      </c>
      <c r="BQ243" s="65">
        <v>161.27148205382252</v>
      </c>
      <c r="BR243" s="65">
        <v>210.70645041722833</v>
      </c>
      <c r="BS243" s="65">
        <v>762.43318547994693</v>
      </c>
      <c r="BT243" s="65">
        <v>261.50925963803434</v>
      </c>
      <c r="BU243" s="65">
        <v>282.01630522688743</v>
      </c>
      <c r="BV243" s="144">
        <f t="shared" si="215"/>
        <v>1066.3937742079454</v>
      </c>
      <c r="BW243" s="144">
        <f t="shared" si="216"/>
        <v>2296.2863126353791</v>
      </c>
      <c r="BX243" s="144">
        <f t="shared" si="217"/>
        <v>316.6780056824</v>
      </c>
      <c r="BY243" s="5"/>
      <c r="BZ243" s="66">
        <v>7254</v>
      </c>
      <c r="CA243" s="4"/>
      <c r="CB243" s="5"/>
      <c r="CC243" s="5"/>
      <c r="CD243" s="188">
        <v>16.868963591035975</v>
      </c>
      <c r="CE243" s="5"/>
      <c r="CF243" s="133">
        <f t="shared" si="232"/>
        <v>598.33333333333337</v>
      </c>
      <c r="CG243" s="133">
        <f t="shared" si="208"/>
        <v>2629</v>
      </c>
      <c r="CH243" s="70">
        <v>7296</v>
      </c>
      <c r="CI243" s="70"/>
      <c r="CJ243" s="133">
        <f t="shared" si="237"/>
        <v>875.755</v>
      </c>
      <c r="CK243" s="8">
        <f t="shared" si="258"/>
        <v>43184.468440048273</v>
      </c>
      <c r="CL243" s="202">
        <f t="shared" si="238"/>
        <v>1533.3684905255213</v>
      </c>
      <c r="CM243" s="202">
        <f t="shared" si="239"/>
        <v>1533.3684905255213</v>
      </c>
      <c r="CN243" s="202">
        <f t="shared" si="240"/>
        <v>1533.3684905255213</v>
      </c>
      <c r="CO243" s="9">
        <f t="shared" si="241"/>
        <v>2489.1336366552423</v>
      </c>
      <c r="CP243" s="9">
        <f t="shared" si="242"/>
        <v>2974.5170991726554</v>
      </c>
      <c r="CQ243" s="9">
        <f t="shared" si="243"/>
        <v>12.034364094106422</v>
      </c>
      <c r="CR243" s="202">
        <f t="shared" si="244"/>
        <v>1533.3684905255213</v>
      </c>
      <c r="CS243" s="202">
        <f t="shared" si="245"/>
        <v>1533.3684905255213</v>
      </c>
      <c r="CT243" s="202">
        <f t="shared" si="246"/>
        <v>1533.3684905255213</v>
      </c>
      <c r="CU243" s="203">
        <f t="shared" si="247"/>
        <v>3.4289862743274821E-2</v>
      </c>
      <c r="CV243" s="203">
        <f t="shared" si="248"/>
        <v>3.4289862743274821E-2</v>
      </c>
      <c r="CW243" s="203">
        <f t="shared" si="249"/>
        <v>3.4289862743274821E-2</v>
      </c>
      <c r="CX243" s="19">
        <f t="shared" si="250"/>
        <v>5.4498299312478821E-2</v>
      </c>
      <c r="CY243" s="19">
        <f t="shared" si="251"/>
        <v>6.4440694794846209E-2</v>
      </c>
      <c r="CZ243" s="19">
        <f t="shared" si="252"/>
        <v>2.7859579625395906E-4</v>
      </c>
      <c r="DA243" s="203">
        <f t="shared" si="253"/>
        <v>3.4289862743274821E-2</v>
      </c>
      <c r="DB243" s="203">
        <f t="shared" si="254"/>
        <v>3.4289862743274821E-2</v>
      </c>
      <c r="DC243" s="203">
        <f t="shared" si="255"/>
        <v>3.4289862743274821E-2</v>
      </c>
      <c r="DD243" s="65"/>
      <c r="DE243" s="66"/>
      <c r="DF243" s="66"/>
      <c r="DG243" s="66"/>
      <c r="DH243" s="66"/>
      <c r="DI243" s="66"/>
      <c r="DJ243" s="65"/>
      <c r="DK243" s="70"/>
      <c r="DL243" s="70"/>
      <c r="DM243" s="8">
        <f t="shared" si="256"/>
        <v>0</v>
      </c>
      <c r="DN243" s="8">
        <f t="shared" si="257"/>
        <v>43184.468440048273</v>
      </c>
      <c r="DO243" s="202">
        <f t="shared" si="177"/>
        <v>1533.3684905255213</v>
      </c>
      <c r="DP243" s="202">
        <f t="shared" si="178"/>
        <v>1533.3684905255213</v>
      </c>
      <c r="DQ243" s="202">
        <f t="shared" si="179"/>
        <v>1533.3684905255213</v>
      </c>
      <c r="DR243" s="9">
        <f t="shared" si="180"/>
        <v>2489.1336366552423</v>
      </c>
      <c r="DS243" s="9">
        <f t="shared" si="259"/>
        <v>2974.5170991726554</v>
      </c>
      <c r="DT243" s="9">
        <f t="shared" si="181"/>
        <v>12.034364094106422</v>
      </c>
      <c r="DU243" s="202">
        <f t="shared" si="182"/>
        <v>1533.3684905255213</v>
      </c>
      <c r="DV243" s="202">
        <f t="shared" si="183"/>
        <v>1533.3684905255213</v>
      </c>
      <c r="DW243" s="202">
        <f t="shared" si="184"/>
        <v>1533.3684905255213</v>
      </c>
      <c r="DX243" s="203">
        <f t="shared" si="185"/>
        <v>3.4289862743274821E-2</v>
      </c>
      <c r="DY243" s="203">
        <f t="shared" si="186"/>
        <v>3.4289862743274821E-2</v>
      </c>
      <c r="DZ243" s="203">
        <f t="shared" si="187"/>
        <v>3.4289862743274821E-2</v>
      </c>
      <c r="EA243" s="19">
        <f t="shared" si="188"/>
        <v>5.4498299312478821E-2</v>
      </c>
      <c r="EB243" s="19">
        <f t="shared" si="260"/>
        <v>6.4440694794846209E-2</v>
      </c>
      <c r="EC243" s="19">
        <f t="shared" si="189"/>
        <v>2.7859579625395906E-4</v>
      </c>
      <c r="ED243" s="203">
        <f t="shared" si="190"/>
        <v>3.4289862743274821E-2</v>
      </c>
      <c r="EE243" s="203">
        <f t="shared" si="191"/>
        <v>3.4289862743274821E-2</v>
      </c>
      <c r="EF243" s="203">
        <f t="shared" si="192"/>
        <v>3.4289862743274821E-2</v>
      </c>
      <c r="EH243" s="58">
        <f t="shared" si="234"/>
        <v>38315.507278934412</v>
      </c>
      <c r="EI243" s="68">
        <f t="shared" si="210"/>
        <v>0.83007689253434791</v>
      </c>
      <c r="EJ243" s="58">
        <f t="shared" si="211"/>
        <v>34688.507278934412</v>
      </c>
      <c r="EK243" s="68">
        <f t="shared" si="210"/>
        <v>0.75150064226302937</v>
      </c>
      <c r="EL243" s="58">
        <f t="shared" si="212"/>
        <v>6273.6480872101056</v>
      </c>
      <c r="EM243" s="58">
        <f t="shared" si="213"/>
        <v>6590.3260928925056</v>
      </c>
      <c r="EN243" s="68">
        <f t="shared" si="214"/>
        <v>0.14277450026046948</v>
      </c>
      <c r="EO243" s="139">
        <f t="shared" si="233"/>
        <v>0.28519905910129462</v>
      </c>
      <c r="EP243">
        <f>+(SUM(M243:O243)*EO243*(1-'[1]Tier 3 Data'!$A$2))</f>
        <v>1398.632931224816</v>
      </c>
    </row>
    <row r="244" spans="1:146" x14ac:dyDescent="0.2">
      <c r="A244" s="43">
        <v>0</v>
      </c>
      <c r="B244" s="43">
        <v>0</v>
      </c>
      <c r="C244" s="43">
        <v>0</v>
      </c>
      <c r="D244" s="70">
        <v>2027</v>
      </c>
      <c r="E244" s="70">
        <v>9</v>
      </c>
      <c r="F244" s="2">
        <v>720</v>
      </c>
      <c r="G244" s="133">
        <f t="shared" si="226"/>
        <v>37619.994359140408</v>
      </c>
      <c r="H244" s="65">
        <v>37619.994359140408</v>
      </c>
      <c r="I244" s="133">
        <f t="shared" si="227"/>
        <v>37619.994359140408</v>
      </c>
      <c r="J244" s="133">
        <f t="shared" si="203"/>
        <v>1286.219437500001</v>
      </c>
      <c r="K244" s="65">
        <v>1286.219437500001</v>
      </c>
      <c r="L244" s="133">
        <f t="shared" si="204"/>
        <v>1286.219437500001</v>
      </c>
      <c r="M244" s="65">
        <v>1305.6369062084025</v>
      </c>
      <c r="N244" s="65">
        <v>2811.4531700307239</v>
      </c>
      <c r="O244" s="65">
        <v>397.58243780692595</v>
      </c>
      <c r="P244" s="200">
        <f t="shared" si="194"/>
        <v>34979.373167426587</v>
      </c>
      <c r="Q244" s="200">
        <f t="shared" si="195"/>
        <v>34979.373167426587</v>
      </c>
      <c r="R244" s="200">
        <f t="shared" si="196"/>
        <v>34979.373167426587</v>
      </c>
      <c r="S244" s="133">
        <f t="shared" si="228"/>
        <v>36214.500190298328</v>
      </c>
      <c r="T244" s="133">
        <f t="shared" si="229"/>
        <v>36214.500190298328</v>
      </c>
      <c r="U244" s="133">
        <f t="shared" si="230"/>
        <v>36214.500190298328</v>
      </c>
      <c r="V244" s="200">
        <f t="shared" si="200"/>
        <v>34979.373167426587</v>
      </c>
      <c r="W244" s="200">
        <f t="shared" si="201"/>
        <v>34979.373167426587</v>
      </c>
      <c r="X244" s="200">
        <f t="shared" si="202"/>
        <v>34979.373167426587</v>
      </c>
      <c r="Y244" s="65">
        <v>3587.3906941892219</v>
      </c>
      <c r="Z244" s="65">
        <v>3801.250828480353</v>
      </c>
      <c r="AA244" s="65">
        <v>1137.9862125172033</v>
      </c>
      <c r="AB244" s="200">
        <f t="shared" si="218"/>
        <v>38780.623995906943</v>
      </c>
      <c r="AC244" s="200">
        <f t="shared" si="219"/>
        <v>38780.623995906943</v>
      </c>
      <c r="AD244" s="200">
        <f t="shared" si="220"/>
        <v>38780.623995906943</v>
      </c>
      <c r="AE244" s="199">
        <f t="shared" si="261"/>
        <v>39801.890884487548</v>
      </c>
      <c r="AF244" s="199">
        <f t="shared" si="221"/>
        <v>40015.751018778683</v>
      </c>
      <c r="AG244" s="199">
        <f t="shared" si="262"/>
        <v>37352.486402815528</v>
      </c>
      <c r="AH244" s="199">
        <f t="shared" si="231"/>
        <v>38684.118710797105</v>
      </c>
      <c r="AI244" s="200">
        <f t="shared" si="222"/>
        <v>38780.623995906943</v>
      </c>
      <c r="AJ244" s="200">
        <f t="shared" si="223"/>
        <v>38780.623995906943</v>
      </c>
      <c r="AK244" s="200">
        <f t="shared" si="224"/>
        <v>38780.623995906943</v>
      </c>
      <c r="AL244" s="4"/>
      <c r="AM244" s="4"/>
      <c r="AN244" s="4"/>
      <c r="AO244" s="4"/>
      <c r="AP244" s="63"/>
      <c r="AQ244" s="18"/>
      <c r="AR244" s="10">
        <v>9600</v>
      </c>
      <c r="AS244" s="18"/>
      <c r="AT244" s="62"/>
      <c r="AU244" s="133">
        <f t="shared" si="235"/>
        <v>102.375</v>
      </c>
      <c r="AV244" s="133">
        <f t="shared" si="235"/>
        <v>2969.6280000000002</v>
      </c>
      <c r="AW244" s="63"/>
      <c r="AX244" s="63"/>
      <c r="AY244" s="65">
        <v>1065.150988617143</v>
      </c>
      <c r="AZ244" s="63"/>
      <c r="BA244" s="65">
        <v>2037.9549999999999</v>
      </c>
      <c r="BB244" s="133">
        <f t="shared" si="206"/>
        <v>1324.9169999999999</v>
      </c>
      <c r="BC244" s="65">
        <v>529.48077460711397</v>
      </c>
      <c r="BD244" s="65">
        <v>10.55810604601432</v>
      </c>
      <c r="BE244" s="65">
        <v>0</v>
      </c>
      <c r="BF244" s="65">
        <v>164.12369835717462</v>
      </c>
      <c r="BG244" s="65">
        <v>0</v>
      </c>
      <c r="BH244" s="65">
        <v>6.3147033189024988</v>
      </c>
      <c r="BI244" s="65">
        <v>1343.2920566854839</v>
      </c>
      <c r="BJ244" s="65">
        <v>0</v>
      </c>
      <c r="BK244" s="65">
        <v>13.355863258351745</v>
      </c>
      <c r="BL244" s="65">
        <v>0</v>
      </c>
      <c r="BM244" s="65">
        <v>0</v>
      </c>
      <c r="BN244" s="65">
        <v>4.7559491100521365</v>
      </c>
      <c r="BO244" s="65">
        <v>205.33566960000002</v>
      </c>
      <c r="BP244" s="260">
        <f t="shared" si="225"/>
        <v>960</v>
      </c>
      <c r="BQ244" s="65">
        <v>128.76230001696979</v>
      </c>
      <c r="BR244" s="65">
        <v>168.23218954204208</v>
      </c>
      <c r="BS244" s="65">
        <v>608.74170797720342</v>
      </c>
      <c r="BT244" s="65">
        <v>225.23935024277282</v>
      </c>
      <c r="BU244" s="65">
        <v>231.5577891688821</v>
      </c>
      <c r="BV244" s="144">
        <f t="shared" si="215"/>
        <v>913.94583434588162</v>
      </c>
      <c r="BW244" s="144">
        <f t="shared" si="216"/>
        <v>1968.0172190215067</v>
      </c>
      <c r="BX244" s="144">
        <f t="shared" si="217"/>
        <v>278.30770646484814</v>
      </c>
      <c r="BY244" s="5"/>
      <c r="BZ244" s="66">
        <v>7020</v>
      </c>
      <c r="CA244" s="4"/>
      <c r="CB244" s="5"/>
      <c r="CC244" s="5"/>
      <c r="CD244" s="188">
        <v>2.2241810746462862</v>
      </c>
      <c r="CE244" s="5"/>
      <c r="CF244" s="133">
        <f t="shared" si="232"/>
        <v>655.33333333333337</v>
      </c>
      <c r="CG244" s="133">
        <f t="shared" si="208"/>
        <v>1448</v>
      </c>
      <c r="CH244" s="70">
        <v>4800</v>
      </c>
      <c r="CI244" s="70"/>
      <c r="CJ244" s="133">
        <f t="shared" si="237"/>
        <v>1324.9169999999999</v>
      </c>
      <c r="CK244" s="8">
        <f t="shared" si="258"/>
        <v>38785.604420788324</v>
      </c>
      <c r="CL244" s="202">
        <f t="shared" si="238"/>
        <v>-4.980424881381623</v>
      </c>
      <c r="CM244" s="202">
        <f t="shared" si="239"/>
        <v>-4.980424881381623</v>
      </c>
      <c r="CN244" s="202">
        <f t="shared" si="240"/>
        <v>-4.980424881381623</v>
      </c>
      <c r="CO244" s="9">
        <f t="shared" si="241"/>
        <v>1016.2864636992235</v>
      </c>
      <c r="CP244" s="9">
        <f t="shared" si="242"/>
        <v>1230.1465979903587</v>
      </c>
      <c r="CQ244" s="9">
        <f t="shared" si="243"/>
        <v>-1433.1180179727962</v>
      </c>
      <c r="CR244" s="202">
        <f t="shared" si="244"/>
        <v>-4.980424881381623</v>
      </c>
      <c r="CS244" s="202">
        <f t="shared" si="245"/>
        <v>-4.980424881381623</v>
      </c>
      <c r="CT244" s="202">
        <f t="shared" si="246"/>
        <v>-4.980424881381623</v>
      </c>
      <c r="CU244" s="203">
        <f t="shared" si="247"/>
        <v>-1.2842559938971781E-4</v>
      </c>
      <c r="CV244" s="203">
        <f t="shared" si="248"/>
        <v>-1.2842559938971781E-4</v>
      </c>
      <c r="CW244" s="203">
        <f t="shared" si="249"/>
        <v>-1.2842559938971781E-4</v>
      </c>
      <c r="CX244" s="19">
        <f t="shared" si="250"/>
        <v>2.5533622677592752E-2</v>
      </c>
      <c r="CY244" s="19">
        <f t="shared" si="251"/>
        <v>3.0741559677664745E-2</v>
      </c>
      <c r="CZ244" s="19">
        <f t="shared" si="252"/>
        <v>-3.8367406188648576E-2</v>
      </c>
      <c r="DA244" s="203">
        <f t="shared" si="253"/>
        <v>-1.2842559938971781E-4</v>
      </c>
      <c r="DB244" s="203">
        <f t="shared" si="254"/>
        <v>-1.2842559938971781E-4</v>
      </c>
      <c r="DC244" s="203">
        <f t="shared" si="255"/>
        <v>-1.2842559938971781E-4</v>
      </c>
      <c r="DD244" s="65"/>
      <c r="DE244" s="66"/>
      <c r="DF244" s="66"/>
      <c r="DG244" s="66"/>
      <c r="DH244" s="66"/>
      <c r="DI244" s="66"/>
      <c r="DJ244" s="65"/>
      <c r="DK244" s="70"/>
      <c r="DL244" s="70"/>
      <c r="DM244" s="8">
        <f t="shared" si="256"/>
        <v>0</v>
      </c>
      <c r="DN244" s="8">
        <f t="shared" si="257"/>
        <v>38785.604420788324</v>
      </c>
      <c r="DO244" s="202">
        <f t="shared" si="177"/>
        <v>-4.980424881381623</v>
      </c>
      <c r="DP244" s="202">
        <f t="shared" si="178"/>
        <v>-4.980424881381623</v>
      </c>
      <c r="DQ244" s="202">
        <f t="shared" si="179"/>
        <v>-4.980424881381623</v>
      </c>
      <c r="DR244" s="9">
        <f t="shared" si="180"/>
        <v>1016.2864636992235</v>
      </c>
      <c r="DS244" s="9">
        <f t="shared" si="259"/>
        <v>1230.1465979903587</v>
      </c>
      <c r="DT244" s="9">
        <f t="shared" si="181"/>
        <v>-1433.1180179727962</v>
      </c>
      <c r="DU244" s="202">
        <f t="shared" si="182"/>
        <v>-4.980424881381623</v>
      </c>
      <c r="DV244" s="202">
        <f t="shared" si="183"/>
        <v>-4.980424881381623</v>
      </c>
      <c r="DW244" s="202">
        <f t="shared" si="184"/>
        <v>-4.980424881381623</v>
      </c>
      <c r="DX244" s="203">
        <f t="shared" si="185"/>
        <v>-1.2842559938971781E-4</v>
      </c>
      <c r="DY244" s="203">
        <f t="shared" si="186"/>
        <v>-1.2842559938971781E-4</v>
      </c>
      <c r="DZ244" s="203">
        <f t="shared" si="187"/>
        <v>-1.2842559938971781E-4</v>
      </c>
      <c r="EA244" s="19">
        <f t="shared" si="188"/>
        <v>2.5533622677592752E-2</v>
      </c>
      <c r="EB244" s="19">
        <f t="shared" si="260"/>
        <v>3.0741559677664745E-2</v>
      </c>
      <c r="EC244" s="19">
        <f t="shared" si="189"/>
        <v>-3.8367406188648576E-2</v>
      </c>
      <c r="ED244" s="203">
        <f t="shared" si="190"/>
        <v>-1.2842559938971781E-4</v>
      </c>
      <c r="EE244" s="203">
        <f t="shared" si="191"/>
        <v>-1.2842559938971781E-4</v>
      </c>
      <c r="EF244" s="203">
        <f t="shared" si="192"/>
        <v>-1.2842559938971781E-4</v>
      </c>
      <c r="EH244" s="58">
        <f t="shared" si="234"/>
        <v>34195.31070701062</v>
      </c>
      <c r="EI244" s="68">
        <f t="shared" si="210"/>
        <v>0.85454626831727754</v>
      </c>
      <c r="EJ244" s="58">
        <f t="shared" si="211"/>
        <v>30685.310707010616</v>
      </c>
      <c r="EK244" s="68">
        <f t="shared" si="210"/>
        <v>0.76683080851364116</v>
      </c>
      <c r="EL244" s="58">
        <f t="shared" si="212"/>
        <v>5443.6436785952956</v>
      </c>
      <c r="EM244" s="58">
        <f t="shared" si="213"/>
        <v>5721.9513850601434</v>
      </c>
      <c r="EN244" s="68">
        <f t="shared" si="214"/>
        <v>0.14299247769646839</v>
      </c>
      <c r="EO244" s="139">
        <f t="shared" si="233"/>
        <v>0.31860645638858931</v>
      </c>
      <c r="EP244">
        <f>+(SUM(M244:O244)*EO244*(1-'[1]Tier 3 Data'!$A$2))</f>
        <v>1342.0307560876795</v>
      </c>
    </row>
    <row r="245" spans="1:146" x14ac:dyDescent="0.2">
      <c r="A245" s="43">
        <v>0</v>
      </c>
      <c r="B245" s="43">
        <v>0</v>
      </c>
      <c r="C245" s="43">
        <v>0</v>
      </c>
      <c r="D245" s="70">
        <v>2027</v>
      </c>
      <c r="E245" s="70">
        <v>10</v>
      </c>
      <c r="F245" s="2">
        <v>744</v>
      </c>
      <c r="G245" s="133">
        <f t="shared" si="226"/>
        <v>39541.971641723008</v>
      </c>
      <c r="H245" s="65">
        <v>39541.971641723008</v>
      </c>
      <c r="I245" s="133">
        <f t="shared" si="227"/>
        <v>39541.971641723008</v>
      </c>
      <c r="J245" s="133">
        <f t="shared" si="203"/>
        <v>1326.7343750000011</v>
      </c>
      <c r="K245" s="65">
        <v>1326.7343750000011</v>
      </c>
      <c r="L245" s="133">
        <f t="shared" si="204"/>
        <v>1326.7343750000011</v>
      </c>
      <c r="M245" s="65">
        <v>957.87478015852639</v>
      </c>
      <c r="N245" s="65">
        <v>2062.6102665784465</v>
      </c>
      <c r="O245" s="65">
        <v>298.94912680596008</v>
      </c>
      <c r="P245" s="200">
        <f t="shared" si="194"/>
        <v>37219.40701466013</v>
      </c>
      <c r="Q245" s="200">
        <f t="shared" si="195"/>
        <v>37219.40701466013</v>
      </c>
      <c r="R245" s="200">
        <f t="shared" si="196"/>
        <v>37219.40701466013</v>
      </c>
      <c r="S245" s="133">
        <f t="shared" si="228"/>
        <v>38125.552528681219</v>
      </c>
      <c r="T245" s="133">
        <f t="shared" si="229"/>
        <v>38125.552528681219</v>
      </c>
      <c r="U245" s="133">
        <f t="shared" si="230"/>
        <v>38125.552528681219</v>
      </c>
      <c r="V245" s="200">
        <f t="shared" si="200"/>
        <v>37219.40701466013</v>
      </c>
      <c r="W245" s="200">
        <f t="shared" si="201"/>
        <v>37219.40701466013</v>
      </c>
      <c r="X245" s="200">
        <f t="shared" si="202"/>
        <v>37219.40701466013</v>
      </c>
      <c r="Y245" s="65">
        <v>4092.4680663684826</v>
      </c>
      <c r="Z245" s="65">
        <v>4812.4357853632364</v>
      </c>
      <c r="AA245" s="65">
        <v>1399.9657851655361</v>
      </c>
      <c r="AB245" s="200">
        <f t="shared" si="218"/>
        <v>42031.842800023369</v>
      </c>
      <c r="AC245" s="200">
        <f t="shared" si="219"/>
        <v>42031.842800023369</v>
      </c>
      <c r="AD245" s="200">
        <f t="shared" si="220"/>
        <v>42031.842800023369</v>
      </c>
      <c r="AE245" s="199">
        <f t="shared" si="261"/>
        <v>42218.020595049704</v>
      </c>
      <c r="AF245" s="199">
        <f t="shared" si="221"/>
        <v>42937.988314044458</v>
      </c>
      <c r="AG245" s="199">
        <f t="shared" si="262"/>
        <v>39525.518313846755</v>
      </c>
      <c r="AH245" s="199">
        <f t="shared" si="231"/>
        <v>41231.753313945606</v>
      </c>
      <c r="AI245" s="200">
        <f t="shared" si="222"/>
        <v>42031.842800023369</v>
      </c>
      <c r="AJ245" s="200">
        <f t="shared" si="223"/>
        <v>42031.842800023369</v>
      </c>
      <c r="AK245" s="200">
        <f t="shared" si="224"/>
        <v>42031.842800023369</v>
      </c>
      <c r="AL245" s="4"/>
      <c r="AM245" s="4"/>
      <c r="AN245" s="4"/>
      <c r="AO245" s="4"/>
      <c r="AP245" s="63"/>
      <c r="AQ245" s="18"/>
      <c r="AR245" s="10">
        <v>9920</v>
      </c>
      <c r="AS245" s="18"/>
      <c r="AT245" s="62"/>
      <c r="AU245" s="133">
        <f t="shared" si="235"/>
        <v>118.17</v>
      </c>
      <c r="AV245" s="133">
        <f t="shared" si="235"/>
        <v>3225.1860000000001</v>
      </c>
      <c r="AW245" s="63"/>
      <c r="AX245" s="63"/>
      <c r="AY245" s="65">
        <v>1031.6699594133333</v>
      </c>
      <c r="AZ245" s="63"/>
      <c r="BA245" s="65">
        <v>1760</v>
      </c>
      <c r="BB245" s="133">
        <f t="shared" si="206"/>
        <v>1586.51</v>
      </c>
      <c r="BC245" s="65">
        <v>387.84712854806463</v>
      </c>
      <c r="BD245" s="65">
        <v>15.523669194184084</v>
      </c>
      <c r="BE245" s="65">
        <v>0</v>
      </c>
      <c r="BF245" s="65">
        <v>180.28804750208775</v>
      </c>
      <c r="BG245" s="65">
        <v>0</v>
      </c>
      <c r="BH245" s="65">
        <v>44.202923232317495</v>
      </c>
      <c r="BI245" s="65">
        <v>983.96767545238163</v>
      </c>
      <c r="BJ245" s="65">
        <v>0</v>
      </c>
      <c r="BK245" s="65">
        <v>16.565610887239799</v>
      </c>
      <c r="BL245" s="65">
        <v>0</v>
      </c>
      <c r="BM245" s="65">
        <v>0</v>
      </c>
      <c r="BN245" s="65">
        <v>33.291643770364956</v>
      </c>
      <c r="BO245" s="65">
        <v>212.18019192</v>
      </c>
      <c r="BP245" s="260">
        <f t="shared" si="225"/>
        <v>992</v>
      </c>
      <c r="BQ245" s="65">
        <v>101.59359393213454</v>
      </c>
      <c r="BR245" s="65">
        <v>132.73534540648848</v>
      </c>
      <c r="BS245" s="65">
        <v>480.29774144723734</v>
      </c>
      <c r="BT245" s="65">
        <v>158.54413250698343</v>
      </c>
      <c r="BU245" s="65">
        <v>158.07996841297847</v>
      </c>
      <c r="BV245" s="144">
        <f t="shared" si="215"/>
        <v>670.51234611096845</v>
      </c>
      <c r="BW245" s="144">
        <f t="shared" si="216"/>
        <v>1443.8271866049124</v>
      </c>
      <c r="BX245" s="144">
        <f t="shared" si="217"/>
        <v>209.26438876417205</v>
      </c>
      <c r="BY245" s="5"/>
      <c r="BZ245" s="66">
        <v>0</v>
      </c>
      <c r="CA245" s="4"/>
      <c r="CB245" s="5"/>
      <c r="CC245" s="5"/>
      <c r="CD245" s="188">
        <v>0</v>
      </c>
      <c r="CE245" s="5"/>
      <c r="CF245" s="133">
        <f t="shared" si="232"/>
        <v>865.33333333333337</v>
      </c>
      <c r="CG245" s="133">
        <f t="shared" si="208"/>
        <v>3162</v>
      </c>
      <c r="CH245" s="70">
        <v>2816</v>
      </c>
      <c r="CI245" s="70"/>
      <c r="CJ245" s="133">
        <f t="shared" si="237"/>
        <v>1586.51</v>
      </c>
      <c r="CK245" s="8">
        <f t="shared" si="258"/>
        <v>30705.590886439179</v>
      </c>
      <c r="CL245" s="202">
        <f t="shared" si="238"/>
        <v>11326.25191358419</v>
      </c>
      <c r="CM245" s="202">
        <f t="shared" si="239"/>
        <v>11326.25191358419</v>
      </c>
      <c r="CN245" s="202">
        <f t="shared" si="240"/>
        <v>11326.25191358419</v>
      </c>
      <c r="CO245" s="9">
        <f t="shared" si="241"/>
        <v>11512.429708610525</v>
      </c>
      <c r="CP245" s="9">
        <f t="shared" si="242"/>
        <v>12232.39742760528</v>
      </c>
      <c r="CQ245" s="9">
        <f t="shared" si="243"/>
        <v>8819.927427407576</v>
      </c>
      <c r="CR245" s="202">
        <f t="shared" si="244"/>
        <v>11326.25191358419</v>
      </c>
      <c r="CS245" s="202">
        <f t="shared" si="245"/>
        <v>11326.25191358419</v>
      </c>
      <c r="CT245" s="202">
        <f t="shared" si="246"/>
        <v>11326.25191358419</v>
      </c>
      <c r="CU245" s="203">
        <f t="shared" si="247"/>
        <v>0.26946836396090379</v>
      </c>
      <c r="CV245" s="203">
        <f t="shared" si="248"/>
        <v>0.26946836396090379</v>
      </c>
      <c r="CW245" s="203">
        <f t="shared" si="249"/>
        <v>0.26946836396090379</v>
      </c>
      <c r="CX245" s="19">
        <f t="shared" si="250"/>
        <v>0.27268994487061343</v>
      </c>
      <c r="CY245" s="19">
        <f t="shared" si="251"/>
        <v>0.28488520091203762</v>
      </c>
      <c r="CZ245" s="19">
        <f t="shared" si="252"/>
        <v>0.22314514277521164</v>
      </c>
      <c r="DA245" s="203">
        <f t="shared" si="253"/>
        <v>0.26946836396090379</v>
      </c>
      <c r="DB245" s="203">
        <f t="shared" si="254"/>
        <v>0.26946836396090379</v>
      </c>
      <c r="DC245" s="203">
        <f t="shared" si="255"/>
        <v>0.26946836396090379</v>
      </c>
      <c r="DD245" s="65"/>
      <c r="DE245" s="66"/>
      <c r="DF245" s="66"/>
      <c r="DG245" s="66"/>
      <c r="DH245" s="66"/>
      <c r="DI245" s="66"/>
      <c r="DJ245" s="65"/>
      <c r="DK245" s="70"/>
      <c r="DL245" s="70"/>
      <c r="DM245" s="8">
        <f t="shared" si="256"/>
        <v>0</v>
      </c>
      <c r="DN245" s="8">
        <f t="shared" si="257"/>
        <v>30705.590886439179</v>
      </c>
      <c r="DO245" s="202">
        <f t="shared" si="177"/>
        <v>11326.25191358419</v>
      </c>
      <c r="DP245" s="202">
        <f t="shared" si="178"/>
        <v>11326.25191358419</v>
      </c>
      <c r="DQ245" s="202">
        <f t="shared" si="179"/>
        <v>11326.25191358419</v>
      </c>
      <c r="DR245" s="9">
        <f t="shared" si="180"/>
        <v>11512.429708610525</v>
      </c>
      <c r="DS245" s="9">
        <f t="shared" si="259"/>
        <v>12232.39742760528</v>
      </c>
      <c r="DT245" s="9">
        <f t="shared" si="181"/>
        <v>8819.927427407576</v>
      </c>
      <c r="DU245" s="202">
        <f t="shared" si="182"/>
        <v>11326.25191358419</v>
      </c>
      <c r="DV245" s="202">
        <f t="shared" si="183"/>
        <v>11326.25191358419</v>
      </c>
      <c r="DW245" s="202">
        <f t="shared" si="184"/>
        <v>11326.25191358419</v>
      </c>
      <c r="DX245" s="203">
        <f t="shared" si="185"/>
        <v>0.26946836396090379</v>
      </c>
      <c r="DY245" s="203">
        <f t="shared" si="186"/>
        <v>0.26946836396090379</v>
      </c>
      <c r="DZ245" s="203">
        <f t="shared" si="187"/>
        <v>0.26946836396090379</v>
      </c>
      <c r="EA245" s="19">
        <f t="shared" si="188"/>
        <v>0.27268994487061343</v>
      </c>
      <c r="EB245" s="19">
        <f t="shared" si="260"/>
        <v>0.28488520091203762</v>
      </c>
      <c r="EC245" s="19">
        <f t="shared" si="189"/>
        <v>0.22314514277521164</v>
      </c>
      <c r="ED245" s="203">
        <f t="shared" si="190"/>
        <v>0.26946836396090379</v>
      </c>
      <c r="EE245" s="203">
        <f t="shared" si="191"/>
        <v>0.26946836396090379</v>
      </c>
      <c r="EF245" s="203">
        <f t="shared" si="192"/>
        <v>0.26946836396090379</v>
      </c>
      <c r="EH245" s="58">
        <f t="shared" si="234"/>
        <v>29854.790492826123</v>
      </c>
      <c r="EI245" s="68">
        <f t="shared" si="210"/>
        <v>0.69530016810454554</v>
      </c>
      <c r="EJ245" s="58">
        <f t="shared" si="211"/>
        <v>29854.790492826123</v>
      </c>
      <c r="EK245" s="68">
        <f t="shared" si="210"/>
        <v>0.69530016810454554</v>
      </c>
      <c r="EL245" s="58">
        <f t="shared" si="212"/>
        <v>4168.656811315288</v>
      </c>
      <c r="EM245" s="58">
        <f t="shared" si="213"/>
        <v>4377.9212000794596</v>
      </c>
      <c r="EN245" s="68">
        <f t="shared" si="214"/>
        <v>0.10195915952232672</v>
      </c>
      <c r="EO245" s="139">
        <f t="shared" si="233"/>
        <v>0.35739486552628164</v>
      </c>
      <c r="EP245">
        <f>+(SUM(M245:O245)*EO245*(1-'[1]Tier 3 Data'!$A$2))</f>
        <v>1106.8633651615801</v>
      </c>
    </row>
    <row r="246" spans="1:146" x14ac:dyDescent="0.2">
      <c r="A246" s="43">
        <v>0</v>
      </c>
      <c r="B246" s="43">
        <v>0</v>
      </c>
      <c r="C246" s="43">
        <v>0</v>
      </c>
      <c r="D246" s="70">
        <v>2027</v>
      </c>
      <c r="E246" s="70">
        <v>11</v>
      </c>
      <c r="F246" s="2">
        <v>721</v>
      </c>
      <c r="G246" s="133">
        <f t="shared" si="226"/>
        <v>41850.86823289442</v>
      </c>
      <c r="H246" s="65">
        <v>41850.86823289442</v>
      </c>
      <c r="I246" s="133">
        <f t="shared" si="227"/>
        <v>41850.86823289442</v>
      </c>
      <c r="J246" s="133">
        <f t="shared" si="203"/>
        <v>1367.2493125000012</v>
      </c>
      <c r="K246" s="65">
        <v>1367.2493125000012</v>
      </c>
      <c r="L246" s="133">
        <f t="shared" si="204"/>
        <v>1367.2493125000012</v>
      </c>
      <c r="M246" s="65">
        <v>391.15101618171565</v>
      </c>
      <c r="N246" s="65">
        <v>842.27303867993726</v>
      </c>
      <c r="O246" s="65">
        <v>125.84391581009957</v>
      </c>
      <c r="P246" s="200">
        <f t="shared" si="194"/>
        <v>40075.838529192893</v>
      </c>
      <c r="Q246" s="200">
        <f t="shared" si="195"/>
        <v>40075.838529192893</v>
      </c>
      <c r="R246" s="200">
        <f t="shared" si="196"/>
        <v>40075.838529192893</v>
      </c>
      <c r="S246" s="133">
        <f t="shared" si="228"/>
        <v>40445.865745651383</v>
      </c>
      <c r="T246" s="133">
        <f t="shared" si="229"/>
        <v>40445.865745651383</v>
      </c>
      <c r="U246" s="133">
        <f t="shared" si="230"/>
        <v>40445.865745651383</v>
      </c>
      <c r="V246" s="200">
        <f t="shared" si="200"/>
        <v>40075.838529192893</v>
      </c>
      <c r="W246" s="200">
        <f t="shared" si="201"/>
        <v>40075.838529192893</v>
      </c>
      <c r="X246" s="200">
        <f t="shared" si="202"/>
        <v>40075.838529192893</v>
      </c>
      <c r="Y246" s="65">
        <v>5991.7454637759947</v>
      </c>
      <c r="Z246" s="65">
        <v>8287.3595278990088</v>
      </c>
      <c r="AA246" s="65">
        <v>2301.8880261262011</v>
      </c>
      <c r="AB246" s="200">
        <f t="shared" si="218"/>
        <v>48363.198057091904</v>
      </c>
      <c r="AC246" s="200">
        <f t="shared" si="219"/>
        <v>48363.198057091904</v>
      </c>
      <c r="AD246" s="200">
        <f t="shared" si="220"/>
        <v>48363.198057091904</v>
      </c>
      <c r="AE246" s="199">
        <f t="shared" si="261"/>
        <v>46437.611209427378</v>
      </c>
      <c r="AF246" s="199">
        <f t="shared" si="221"/>
        <v>48733.225273550393</v>
      </c>
      <c r="AG246" s="199">
        <f t="shared" si="262"/>
        <v>42747.753771777585</v>
      </c>
      <c r="AH246" s="199">
        <f t="shared" si="231"/>
        <v>45740.489522663993</v>
      </c>
      <c r="AI246" s="200">
        <f t="shared" si="222"/>
        <v>48363.198057091904</v>
      </c>
      <c r="AJ246" s="200">
        <f t="shared" si="223"/>
        <v>48363.198057091904</v>
      </c>
      <c r="AK246" s="200">
        <f t="shared" si="224"/>
        <v>48363.198057091904</v>
      </c>
      <c r="AL246" s="4"/>
      <c r="AM246" s="4"/>
      <c r="AN246" s="4"/>
      <c r="AO246" s="4"/>
      <c r="AP246" s="63"/>
      <c r="AQ246" s="18"/>
      <c r="AR246" s="10">
        <v>9600</v>
      </c>
      <c r="AS246" s="18"/>
      <c r="AT246" s="62"/>
      <c r="AU246" s="133">
        <f t="shared" si="235"/>
        <v>104.364</v>
      </c>
      <c r="AV246" s="133">
        <f t="shared" si="235"/>
        <v>3268.3739999999998</v>
      </c>
      <c r="AW246" s="63"/>
      <c r="AX246" s="63"/>
      <c r="AY246" s="65">
        <v>1051.7654038000001</v>
      </c>
      <c r="AZ246" s="63"/>
      <c r="BA246" s="65">
        <v>2363</v>
      </c>
      <c r="BB246" s="133">
        <f t="shared" si="206"/>
        <v>2045.05</v>
      </c>
      <c r="BC246" s="65">
        <v>283.87477427119757</v>
      </c>
      <c r="BD246" s="65">
        <v>14.399660735694527</v>
      </c>
      <c r="BE246" s="65">
        <v>0</v>
      </c>
      <c r="BF246" s="65">
        <v>188.4392525423311</v>
      </c>
      <c r="BG246" s="65">
        <v>0</v>
      </c>
      <c r="BH246" s="65">
        <v>82.091143145732502</v>
      </c>
      <c r="BI246" s="65">
        <v>720.18994392164086</v>
      </c>
      <c r="BJ246" s="65">
        <v>0</v>
      </c>
      <c r="BK246" s="65">
        <v>19.844702933795372</v>
      </c>
      <c r="BL246" s="65">
        <v>0</v>
      </c>
      <c r="BM246" s="65">
        <v>0</v>
      </c>
      <c r="BN246" s="65">
        <v>61.827338430677763</v>
      </c>
      <c r="BO246" s="65">
        <v>205.33566960000002</v>
      </c>
      <c r="BP246" s="260">
        <f t="shared" si="225"/>
        <v>960</v>
      </c>
      <c r="BQ246" s="65">
        <v>62.620288490693838</v>
      </c>
      <c r="BR246" s="65">
        <v>81.815448970035504</v>
      </c>
      <c r="BS246" s="65">
        <v>296.04605527175033</v>
      </c>
      <c r="BT246" s="65">
        <v>109.35461334294924</v>
      </c>
      <c r="BU246" s="65">
        <v>121.62162756773606</v>
      </c>
      <c r="BV246" s="144">
        <f t="shared" si="215"/>
        <v>273.80571132720092</v>
      </c>
      <c r="BW246" s="144">
        <f t="shared" si="216"/>
        <v>589.59112707595602</v>
      </c>
      <c r="BX246" s="144">
        <f t="shared" si="217"/>
        <v>88.0907410670697</v>
      </c>
      <c r="BY246" s="5"/>
      <c r="BZ246" s="66">
        <v>7029.75</v>
      </c>
      <c r="CA246" s="4"/>
      <c r="CB246" s="5"/>
      <c r="CC246" s="5"/>
      <c r="CD246" s="188">
        <v>3.0642236760841479</v>
      </c>
      <c r="CE246" s="5"/>
      <c r="CF246" s="133">
        <f t="shared" si="232"/>
        <v>1161.3333333333333</v>
      </c>
      <c r="CG246" s="133">
        <f t="shared" si="208"/>
        <v>4663</v>
      </c>
      <c r="CH246" s="70">
        <v>4042</v>
      </c>
      <c r="CI246" s="70"/>
      <c r="CJ246" s="133">
        <f t="shared" si="237"/>
        <v>2045.05</v>
      </c>
      <c r="CK246" s="8">
        <f t="shared" si="258"/>
        <v>39490.64905950387</v>
      </c>
      <c r="CL246" s="202">
        <f t="shared" si="238"/>
        <v>8872.5489975880337</v>
      </c>
      <c r="CM246" s="202">
        <f t="shared" si="239"/>
        <v>8872.5489975880337</v>
      </c>
      <c r="CN246" s="202">
        <f t="shared" si="240"/>
        <v>8872.5489975880337</v>
      </c>
      <c r="CO246" s="9">
        <f t="shared" si="241"/>
        <v>6946.9621499235072</v>
      </c>
      <c r="CP246" s="9">
        <f t="shared" si="242"/>
        <v>9242.5762140465231</v>
      </c>
      <c r="CQ246" s="9">
        <f t="shared" si="243"/>
        <v>3257.1047122737145</v>
      </c>
      <c r="CR246" s="202">
        <f t="shared" si="244"/>
        <v>8872.5489975880337</v>
      </c>
      <c r="CS246" s="202">
        <f t="shared" si="245"/>
        <v>8872.5489975880337</v>
      </c>
      <c r="CT246" s="202">
        <f t="shared" si="246"/>
        <v>8872.5489975880337</v>
      </c>
      <c r="CU246" s="203">
        <f t="shared" si="247"/>
        <v>0.18345662309415819</v>
      </c>
      <c r="CV246" s="203">
        <f t="shared" si="248"/>
        <v>0.18345662309415819</v>
      </c>
      <c r="CW246" s="203">
        <f t="shared" si="249"/>
        <v>0.18345662309415819</v>
      </c>
      <c r="CX246" s="19">
        <f t="shared" si="250"/>
        <v>0.14959774994871383</v>
      </c>
      <c r="CY246" s="19">
        <f t="shared" si="251"/>
        <v>0.18965656720165544</v>
      </c>
      <c r="CZ246" s="19">
        <f t="shared" si="252"/>
        <v>7.6193587379182526E-2</v>
      </c>
      <c r="DA246" s="203">
        <f t="shared" si="253"/>
        <v>0.18345662309415819</v>
      </c>
      <c r="DB246" s="203">
        <f t="shared" si="254"/>
        <v>0.18345662309415819</v>
      </c>
      <c r="DC246" s="203">
        <f t="shared" si="255"/>
        <v>0.18345662309415819</v>
      </c>
      <c r="DD246" s="65"/>
      <c r="DE246" s="66"/>
      <c r="DF246" s="66"/>
      <c r="DG246" s="66"/>
      <c r="DH246" s="66"/>
      <c r="DI246" s="66"/>
      <c r="DJ246" s="65"/>
      <c r="DK246" s="70"/>
      <c r="DL246" s="70"/>
      <c r="DM246" s="8">
        <f t="shared" si="256"/>
        <v>0</v>
      </c>
      <c r="DN246" s="8">
        <f t="shared" si="257"/>
        <v>39490.64905950387</v>
      </c>
      <c r="DO246" s="202">
        <f t="shared" si="177"/>
        <v>8872.5489975880337</v>
      </c>
      <c r="DP246" s="202">
        <f t="shared" si="178"/>
        <v>8872.5489975880337</v>
      </c>
      <c r="DQ246" s="202">
        <f t="shared" si="179"/>
        <v>8872.5489975880337</v>
      </c>
      <c r="DR246" s="9">
        <f t="shared" si="180"/>
        <v>6946.9621499235072</v>
      </c>
      <c r="DS246" s="9">
        <f t="shared" si="259"/>
        <v>9242.5762140465231</v>
      </c>
      <c r="DT246" s="9">
        <f t="shared" si="181"/>
        <v>3257.1047122737145</v>
      </c>
      <c r="DU246" s="202">
        <f t="shared" si="182"/>
        <v>8872.5489975880337</v>
      </c>
      <c r="DV246" s="202">
        <f t="shared" si="183"/>
        <v>8872.5489975880337</v>
      </c>
      <c r="DW246" s="202">
        <f t="shared" si="184"/>
        <v>8872.5489975880337</v>
      </c>
      <c r="DX246" s="203">
        <f t="shared" si="185"/>
        <v>0.18345662309415819</v>
      </c>
      <c r="DY246" s="203">
        <f t="shared" si="186"/>
        <v>0.18345662309415819</v>
      </c>
      <c r="DZ246" s="203">
        <f t="shared" si="187"/>
        <v>0.18345662309415819</v>
      </c>
      <c r="EA246" s="19">
        <f t="shared" si="188"/>
        <v>0.14959774994871383</v>
      </c>
      <c r="EB246" s="19">
        <f t="shared" si="260"/>
        <v>0.18965656720165544</v>
      </c>
      <c r="EC246" s="19">
        <f t="shared" si="189"/>
        <v>7.6193587379182526E-2</v>
      </c>
      <c r="ED246" s="203">
        <f t="shared" si="190"/>
        <v>0.18345662309415819</v>
      </c>
      <c r="EE246" s="203">
        <f t="shared" si="191"/>
        <v>0.18345662309415819</v>
      </c>
      <c r="EF246" s="203">
        <f t="shared" si="192"/>
        <v>0.18345662309415819</v>
      </c>
      <c r="EH246" s="58">
        <f t="shared" si="234"/>
        <v>35510.464871958255</v>
      </c>
      <c r="EI246" s="68">
        <f t="shared" si="210"/>
        <v>0.72867052555274447</v>
      </c>
      <c r="EJ246" s="58">
        <f t="shared" si="211"/>
        <v>31995.589871958255</v>
      </c>
      <c r="EK246" s="68">
        <f t="shared" si="210"/>
        <v>0.65654570762267261</v>
      </c>
      <c r="EL246" s="58">
        <f t="shared" si="212"/>
        <v>2648.6123937578595</v>
      </c>
      <c r="EM246" s="58">
        <f t="shared" si="213"/>
        <v>2736.7031348249293</v>
      </c>
      <c r="EN246" s="68">
        <f t="shared" si="214"/>
        <v>5.6156823593415131E-2</v>
      </c>
      <c r="EO246" s="139">
        <f t="shared" si="233"/>
        <v>0.4050825009776523</v>
      </c>
      <c r="EP246">
        <f>+(SUM(M246:O246)*EO246*(1-'[1]Tier 3 Data'!$A$2))</f>
        <v>513.72441923161</v>
      </c>
    </row>
    <row r="247" spans="1:146" x14ac:dyDescent="0.2">
      <c r="A247" s="43">
        <v>0</v>
      </c>
      <c r="B247" s="43">
        <v>0</v>
      </c>
      <c r="C247" s="43">
        <v>0</v>
      </c>
      <c r="D247" s="70">
        <v>2027</v>
      </c>
      <c r="E247" s="70">
        <v>12</v>
      </c>
      <c r="F247" s="2">
        <v>744</v>
      </c>
      <c r="G247" s="133">
        <f t="shared" si="226"/>
        <v>47498.548611648766</v>
      </c>
      <c r="H247" s="65">
        <v>47498.548611648766</v>
      </c>
      <c r="I247" s="133">
        <f t="shared" si="227"/>
        <v>47498.548611648766</v>
      </c>
      <c r="J247" s="133">
        <f t="shared" si="203"/>
        <v>1407.7642500000013</v>
      </c>
      <c r="K247" s="65">
        <v>1407.7642500000013</v>
      </c>
      <c r="L247" s="133">
        <f t="shared" si="204"/>
        <v>1407.7642500000013</v>
      </c>
      <c r="M247" s="65">
        <v>248.30627982623952</v>
      </c>
      <c r="N247" s="65">
        <v>534.68270867382159</v>
      </c>
      <c r="O247" s="65">
        <v>81.409477504206762</v>
      </c>
      <c r="P247" s="200">
        <f t="shared" si="194"/>
        <v>45831.464821847483</v>
      </c>
      <c r="Q247" s="200">
        <f t="shared" si="195"/>
        <v>45831.464821847483</v>
      </c>
      <c r="R247" s="200">
        <f t="shared" si="196"/>
        <v>45831.464821847483</v>
      </c>
      <c r="S247" s="133">
        <f t="shared" si="228"/>
        <v>46066.361518397505</v>
      </c>
      <c r="T247" s="133">
        <f t="shared" si="229"/>
        <v>46066.361518397505</v>
      </c>
      <c r="U247" s="133">
        <f t="shared" si="230"/>
        <v>46066.361518397505</v>
      </c>
      <c r="V247" s="200">
        <f t="shared" si="200"/>
        <v>45831.464821847483</v>
      </c>
      <c r="W247" s="200">
        <f t="shared" si="201"/>
        <v>45831.464821847483</v>
      </c>
      <c r="X247" s="200">
        <f t="shared" si="202"/>
        <v>45831.464821847483</v>
      </c>
      <c r="Y247" s="65">
        <v>6601.3922460470212</v>
      </c>
      <c r="Z247" s="65">
        <v>8760.344893024605</v>
      </c>
      <c r="AA247" s="65">
        <v>2493.4306155921895</v>
      </c>
      <c r="AB247" s="200">
        <f t="shared" si="218"/>
        <v>54591.809714872084</v>
      </c>
      <c r="AC247" s="200">
        <f t="shared" si="219"/>
        <v>54591.809714872084</v>
      </c>
      <c r="AD247" s="200">
        <f t="shared" si="220"/>
        <v>54591.809714872084</v>
      </c>
      <c r="AE247" s="199">
        <f t="shared" si="261"/>
        <v>52667.753764444526</v>
      </c>
      <c r="AF247" s="199">
        <f t="shared" si="221"/>
        <v>54826.706411422114</v>
      </c>
      <c r="AG247" s="199">
        <f t="shared" si="262"/>
        <v>48559.792133989693</v>
      </c>
      <c r="AH247" s="199">
        <f t="shared" si="231"/>
        <v>51693.2492727059</v>
      </c>
      <c r="AI247" s="200">
        <f t="shared" si="222"/>
        <v>54591.809714872084</v>
      </c>
      <c r="AJ247" s="200">
        <f t="shared" si="223"/>
        <v>54591.809714872084</v>
      </c>
      <c r="AK247" s="200">
        <f t="shared" si="224"/>
        <v>54591.809714872084</v>
      </c>
      <c r="AL247" s="4"/>
      <c r="AM247" s="4"/>
      <c r="AN247" s="4"/>
      <c r="AO247" s="4"/>
      <c r="AP247" s="63"/>
      <c r="AQ247" s="18"/>
      <c r="AR247" s="10">
        <v>9920</v>
      </c>
      <c r="AS247" s="18"/>
      <c r="AT247" s="62"/>
      <c r="AU247" s="133">
        <f t="shared" si="235"/>
        <v>105.066</v>
      </c>
      <c r="AV247" s="133">
        <f t="shared" si="235"/>
        <v>3218.8470000000002</v>
      </c>
      <c r="AW247" s="63"/>
      <c r="AX247" s="63"/>
      <c r="AY247" s="65">
        <v>1226.60803108</v>
      </c>
      <c r="AZ247" s="63"/>
      <c r="BA247" s="65">
        <v>2225.2240000000002</v>
      </c>
      <c r="BB247" s="133">
        <f t="shared" si="206"/>
        <v>1798.1949999999999</v>
      </c>
      <c r="BC247" s="65">
        <v>133.02629953839877</v>
      </c>
      <c r="BD247" s="65">
        <v>14.892990970660508</v>
      </c>
      <c r="BE247" s="65">
        <v>0</v>
      </c>
      <c r="BF247" s="65">
        <v>193.40118982180462</v>
      </c>
      <c r="BG247" s="65">
        <v>0</v>
      </c>
      <c r="BH247" s="65">
        <v>50.51762655121999</v>
      </c>
      <c r="BI247" s="65">
        <v>337.48755397736403</v>
      </c>
      <c r="BJ247" s="65">
        <v>0</v>
      </c>
      <c r="BK247" s="65">
        <v>20.28324216774827</v>
      </c>
      <c r="BL247" s="65">
        <v>0</v>
      </c>
      <c r="BM247" s="65">
        <v>0</v>
      </c>
      <c r="BN247" s="65">
        <v>38.047592880417092</v>
      </c>
      <c r="BO247" s="65">
        <v>212.18019192</v>
      </c>
      <c r="BP247" s="260">
        <f t="shared" si="225"/>
        <v>992</v>
      </c>
      <c r="BQ247" s="65">
        <v>57.056034158292775</v>
      </c>
      <c r="BR247" s="65">
        <v>74.172813378428103</v>
      </c>
      <c r="BS247" s="65">
        <v>269.74017284494101</v>
      </c>
      <c r="BT247" s="65">
        <v>100.68296580128566</v>
      </c>
      <c r="BU247" s="65">
        <v>107.03837206865595</v>
      </c>
      <c r="BV247" s="144">
        <f t="shared" si="215"/>
        <v>173.81439587836766</v>
      </c>
      <c r="BW247" s="144">
        <f t="shared" si="216"/>
        <v>374.27789607167512</v>
      </c>
      <c r="BX247" s="144">
        <f t="shared" si="217"/>
        <v>56.986634252944732</v>
      </c>
      <c r="BY247" s="5"/>
      <c r="BZ247" s="66">
        <v>7254</v>
      </c>
      <c r="CA247" s="4"/>
      <c r="CB247" s="5"/>
      <c r="CC247" s="5"/>
      <c r="CD247" s="188">
        <v>4.9023166732340453</v>
      </c>
      <c r="CE247" s="5"/>
      <c r="CF247" s="133">
        <f t="shared" si="232"/>
        <v>1762.3333333333333</v>
      </c>
      <c r="CG247" s="133">
        <f t="shared" si="208"/>
        <v>4206</v>
      </c>
      <c r="CH247" s="70">
        <v>7440</v>
      </c>
      <c r="CI247" s="70"/>
      <c r="CJ247" s="133">
        <f t="shared" si="237"/>
        <v>1798.1949999999999</v>
      </c>
      <c r="CK247" s="8">
        <f t="shared" si="258"/>
        <v>42366.781653368773</v>
      </c>
      <c r="CL247" s="202">
        <f t="shared" si="238"/>
        <v>12225.028061503312</v>
      </c>
      <c r="CM247" s="202">
        <f t="shared" si="239"/>
        <v>12225.028061503312</v>
      </c>
      <c r="CN247" s="202">
        <f t="shared" si="240"/>
        <v>12225.028061503312</v>
      </c>
      <c r="CO247" s="9">
        <f t="shared" si="241"/>
        <v>10300.972111075753</v>
      </c>
      <c r="CP247" s="9">
        <f t="shared" si="242"/>
        <v>12459.924758053341</v>
      </c>
      <c r="CQ247" s="9">
        <f t="shared" si="243"/>
        <v>6193.0104806209201</v>
      </c>
      <c r="CR247" s="202">
        <f t="shared" si="244"/>
        <v>12225.028061503312</v>
      </c>
      <c r="CS247" s="202">
        <f t="shared" si="245"/>
        <v>12225.028061503312</v>
      </c>
      <c r="CT247" s="202">
        <f t="shared" si="246"/>
        <v>12225.028061503312</v>
      </c>
      <c r="CU247" s="203">
        <f t="shared" si="247"/>
        <v>0.2239352042981079</v>
      </c>
      <c r="CV247" s="203">
        <f t="shared" si="248"/>
        <v>0.2239352042981079</v>
      </c>
      <c r="CW247" s="203">
        <f t="shared" si="249"/>
        <v>0.2239352042981079</v>
      </c>
      <c r="CX247" s="19">
        <f t="shared" si="250"/>
        <v>0.19558404098922927</v>
      </c>
      <c r="CY247" s="19">
        <f t="shared" si="251"/>
        <v>0.22726013604671955</v>
      </c>
      <c r="CZ247" s="19">
        <f t="shared" si="252"/>
        <v>0.12753371067842953</v>
      </c>
      <c r="DA247" s="203">
        <f t="shared" si="253"/>
        <v>0.2239352042981079</v>
      </c>
      <c r="DB247" s="203">
        <f t="shared" si="254"/>
        <v>0.2239352042981079</v>
      </c>
      <c r="DC247" s="203">
        <f t="shared" si="255"/>
        <v>0.2239352042981079</v>
      </c>
      <c r="DD247" s="65"/>
      <c r="DE247" s="66"/>
      <c r="DF247" s="66"/>
      <c r="DG247" s="66"/>
      <c r="DH247" s="66"/>
      <c r="DI247" s="66"/>
      <c r="DJ247" s="65"/>
      <c r="DK247" s="70"/>
      <c r="DL247" s="70"/>
      <c r="DM247" s="8">
        <f t="shared" si="256"/>
        <v>0</v>
      </c>
      <c r="DN247" s="8">
        <f t="shared" si="257"/>
        <v>42366.781653368773</v>
      </c>
      <c r="DO247" s="202">
        <f t="shared" si="177"/>
        <v>12225.028061503312</v>
      </c>
      <c r="DP247" s="202">
        <f t="shared" si="178"/>
        <v>12225.028061503312</v>
      </c>
      <c r="DQ247" s="202">
        <f t="shared" si="179"/>
        <v>12225.028061503312</v>
      </c>
      <c r="DR247" s="9">
        <f t="shared" si="180"/>
        <v>10300.972111075753</v>
      </c>
      <c r="DS247" s="9">
        <f t="shared" si="259"/>
        <v>12459.924758053341</v>
      </c>
      <c r="DT247" s="9">
        <f t="shared" si="181"/>
        <v>6193.0104806209201</v>
      </c>
      <c r="DU247" s="202">
        <f t="shared" si="182"/>
        <v>12225.028061503312</v>
      </c>
      <c r="DV247" s="202">
        <f t="shared" si="183"/>
        <v>12225.028061503312</v>
      </c>
      <c r="DW247" s="202">
        <f t="shared" si="184"/>
        <v>12225.028061503312</v>
      </c>
      <c r="DX247" s="203">
        <f t="shared" si="185"/>
        <v>0.2239352042981079</v>
      </c>
      <c r="DY247" s="203">
        <f t="shared" si="186"/>
        <v>0.2239352042981079</v>
      </c>
      <c r="DZ247" s="203">
        <f t="shared" si="187"/>
        <v>0.2239352042981079</v>
      </c>
      <c r="EA247" s="19">
        <f t="shared" si="188"/>
        <v>0.19558404098922927</v>
      </c>
      <c r="EB247" s="19">
        <f t="shared" si="260"/>
        <v>0.22726013604671955</v>
      </c>
      <c r="EC247" s="19">
        <f t="shared" si="189"/>
        <v>0.12753371067842953</v>
      </c>
      <c r="ED247" s="203">
        <f t="shared" si="190"/>
        <v>0.2239352042981079</v>
      </c>
      <c r="EE247" s="203">
        <f t="shared" si="191"/>
        <v>0.2239352042981079</v>
      </c>
      <c r="EF247" s="203">
        <f t="shared" si="192"/>
        <v>0.2239352042981079</v>
      </c>
      <c r="EH247" s="58">
        <f t="shared" si="234"/>
        <v>38367.663750995365</v>
      </c>
      <c r="EI247" s="68">
        <f t="shared" si="210"/>
        <v>0.69979880722877386</v>
      </c>
      <c r="EJ247" s="58">
        <f t="shared" si="211"/>
        <v>34740.663750995365</v>
      </c>
      <c r="EK247" s="68">
        <f t="shared" si="210"/>
        <v>0.6336449154961058</v>
      </c>
      <c r="EL247" s="58">
        <f t="shared" si="212"/>
        <v>1789.4037523290874</v>
      </c>
      <c r="EM247" s="58">
        <f t="shared" si="213"/>
        <v>1846.3903865820321</v>
      </c>
      <c r="EN247" s="68">
        <f t="shared" si="214"/>
        <v>3.3676843046646539E-2</v>
      </c>
      <c r="EO247" s="139">
        <f t="shared" si="233"/>
        <v>0.32946562535829382</v>
      </c>
      <c r="EP247">
        <f>+(SUM(M247:O247)*EO247*(1-'[1]Tier 3 Data'!$A$2))</f>
        <v>265.70867922306934</v>
      </c>
    </row>
    <row r="248" spans="1:146" x14ac:dyDescent="0.2">
      <c r="A248" s="43">
        <v>0</v>
      </c>
      <c r="B248" s="43">
        <v>0</v>
      </c>
      <c r="C248" s="43">
        <v>0</v>
      </c>
      <c r="D248" s="70">
        <v>2028</v>
      </c>
      <c r="E248" s="70">
        <v>1</v>
      </c>
      <c r="F248" s="2">
        <v>744</v>
      </c>
      <c r="G248" s="133">
        <f t="shared" si="226"/>
        <v>49146.175516290328</v>
      </c>
      <c r="H248" s="65">
        <v>49146.175516290328</v>
      </c>
      <c r="I248" s="133">
        <f t="shared" si="227"/>
        <v>49146.175516290328</v>
      </c>
      <c r="J248" s="133">
        <f t="shared" si="203"/>
        <v>1447.6891875000013</v>
      </c>
      <c r="K248" s="65">
        <v>1447.6891875000013</v>
      </c>
      <c r="L248" s="133">
        <f t="shared" si="204"/>
        <v>1447.6891875000013</v>
      </c>
      <c r="M248" s="65">
        <v>350.79787520860157</v>
      </c>
      <c r="N248" s="65">
        <v>755.37984075477868</v>
      </c>
      <c r="O248" s="65">
        <v>115.90163701662306</v>
      </c>
      <c r="P248" s="200">
        <f t="shared" si="194"/>
        <v>47331.862522896328</v>
      </c>
      <c r="Q248" s="200">
        <f t="shared" si="195"/>
        <v>47331.862522896328</v>
      </c>
      <c r="R248" s="200">
        <f t="shared" si="196"/>
        <v>47331.862522896328</v>
      </c>
      <c r="S248" s="133">
        <f t="shared" si="228"/>
        <v>47663.71583768534</v>
      </c>
      <c r="T248" s="133">
        <f t="shared" si="229"/>
        <v>47663.71583768534</v>
      </c>
      <c r="U248" s="133">
        <f t="shared" si="230"/>
        <v>47663.71583768534</v>
      </c>
      <c r="V248" s="200">
        <f t="shared" si="200"/>
        <v>47331.862522896328</v>
      </c>
      <c r="W248" s="200">
        <f t="shared" si="201"/>
        <v>47331.862522896328</v>
      </c>
      <c r="X248" s="200">
        <f t="shared" si="202"/>
        <v>47331.862522896328</v>
      </c>
      <c r="Y248" s="65">
        <v>7080.3374282140139</v>
      </c>
      <c r="Z248" s="65">
        <v>9611.6029000414546</v>
      </c>
      <c r="AA248" s="65">
        <v>2759.5311125732178</v>
      </c>
      <c r="AB248" s="200">
        <f t="shared" si="218"/>
        <v>56943.465422937785</v>
      </c>
      <c r="AC248" s="200">
        <f t="shared" si="219"/>
        <v>56943.465422937785</v>
      </c>
      <c r="AD248" s="200">
        <f t="shared" si="220"/>
        <v>56943.465422937785</v>
      </c>
      <c r="AE248" s="199">
        <f t="shared" si="261"/>
        <v>54744.053265899354</v>
      </c>
      <c r="AF248" s="199">
        <f t="shared" si="221"/>
        <v>57275.318737726797</v>
      </c>
      <c r="AG248" s="199">
        <f t="shared" si="262"/>
        <v>50423.246950258559</v>
      </c>
      <c r="AH248" s="199">
        <f t="shared" si="231"/>
        <v>53849.282843992682</v>
      </c>
      <c r="AI248" s="200">
        <f t="shared" si="222"/>
        <v>56943.465422937785</v>
      </c>
      <c r="AJ248" s="200">
        <f t="shared" si="223"/>
        <v>56943.465422937785</v>
      </c>
      <c r="AK248" s="200">
        <f t="shared" si="224"/>
        <v>56943.465422937785</v>
      </c>
      <c r="AL248" s="4"/>
      <c r="AM248" s="4"/>
      <c r="AN248" s="4"/>
      <c r="AO248" s="4"/>
      <c r="AP248" s="63"/>
      <c r="AQ248" s="18"/>
      <c r="AR248" s="10">
        <v>9920</v>
      </c>
      <c r="AS248" s="18"/>
      <c r="AT248" s="62"/>
      <c r="AU248" s="133">
        <f t="shared" si="235"/>
        <v>98.513999999999996</v>
      </c>
      <c r="AV248" s="133">
        <f t="shared" si="235"/>
        <v>3278.6750000000002</v>
      </c>
      <c r="AW248" s="63"/>
      <c r="AX248" s="63"/>
      <c r="AY248" s="65">
        <v>1258.1687644800002</v>
      </c>
      <c r="AZ248" s="63"/>
      <c r="BA248" s="65">
        <v>1660.8</v>
      </c>
      <c r="BB248" s="133">
        <f t="shared" si="206"/>
        <v>946.25</v>
      </c>
      <c r="BC248" s="65">
        <v>187.65082722949612</v>
      </c>
      <c r="BD248" s="65">
        <v>17.899913811322826</v>
      </c>
      <c r="BE248" s="65">
        <v>0</v>
      </c>
      <c r="BF248" s="65">
        <v>199.42579123871249</v>
      </c>
      <c r="BG248" s="65">
        <v>0</v>
      </c>
      <c r="BH248" s="65">
        <v>44.202923232317495</v>
      </c>
      <c r="BI248" s="65">
        <v>476.06991176380893</v>
      </c>
      <c r="BJ248" s="65">
        <v>0</v>
      </c>
      <c r="BK248" s="65">
        <v>22.517673403701547</v>
      </c>
      <c r="BL248" s="65">
        <v>0</v>
      </c>
      <c r="BM248" s="65">
        <v>0</v>
      </c>
      <c r="BN248" s="65">
        <v>33.291643770364956</v>
      </c>
      <c r="BO248" s="65">
        <v>212.18019192</v>
      </c>
      <c r="BP248" s="260">
        <f t="shared" si="225"/>
        <v>992</v>
      </c>
      <c r="BQ248" s="65">
        <v>80.733753185924925</v>
      </c>
      <c r="BR248" s="65">
        <v>105.48132540941343</v>
      </c>
      <c r="BS248" s="65">
        <v>381.68011944580405</v>
      </c>
      <c r="BT248" s="65">
        <v>130.48777409921627</v>
      </c>
      <c r="BU248" s="65">
        <v>149.14345520412425</v>
      </c>
      <c r="BV248" s="144">
        <f t="shared" si="215"/>
        <v>245.55851264602109</v>
      </c>
      <c r="BW248" s="144">
        <f t="shared" si="216"/>
        <v>528.76588852834504</v>
      </c>
      <c r="BX248" s="144">
        <f t="shared" si="217"/>
        <v>81.131145911636139</v>
      </c>
      <c r="BY248" s="5"/>
      <c r="BZ248" s="66">
        <v>7254</v>
      </c>
      <c r="CA248" s="4"/>
      <c r="CB248" s="5"/>
      <c r="CC248" s="5"/>
      <c r="CD248" s="188">
        <v>2.5304839482857915</v>
      </c>
      <c r="CE248" s="5"/>
      <c r="CF248" s="133">
        <f t="shared" si="232"/>
        <v>1154.6666666666667</v>
      </c>
      <c r="CG248" s="70"/>
      <c r="CH248" s="70">
        <v>7440</v>
      </c>
      <c r="CI248" s="70"/>
      <c r="CJ248" s="133">
        <f t="shared" si="237"/>
        <v>946.25</v>
      </c>
      <c r="CK248" s="8">
        <f t="shared" si="258"/>
        <v>36901.825765895162</v>
      </c>
      <c r="CL248" s="202">
        <f t="shared" si="238"/>
        <v>20041.639657042622</v>
      </c>
      <c r="CM248" s="202">
        <f t="shared" si="239"/>
        <v>20041.639657042622</v>
      </c>
      <c r="CN248" s="202">
        <f t="shared" si="240"/>
        <v>20041.639657042622</v>
      </c>
      <c r="CO248" s="9">
        <f t="shared" si="241"/>
        <v>17842.227500004192</v>
      </c>
      <c r="CP248" s="9">
        <f t="shared" si="242"/>
        <v>20373.492971831634</v>
      </c>
      <c r="CQ248" s="9">
        <f t="shared" si="243"/>
        <v>13521.421184363397</v>
      </c>
      <c r="CR248" s="202">
        <f t="shared" si="244"/>
        <v>20041.639657042622</v>
      </c>
      <c r="CS248" s="202">
        <f t="shared" si="245"/>
        <v>20041.639657042622</v>
      </c>
      <c r="CT248" s="202">
        <f t="shared" si="246"/>
        <v>20041.639657042622</v>
      </c>
      <c r="CU248" s="203">
        <f t="shared" si="247"/>
        <v>0.35195679623968779</v>
      </c>
      <c r="CV248" s="203">
        <f t="shared" si="248"/>
        <v>0.35195679623968779</v>
      </c>
      <c r="CW248" s="203">
        <f t="shared" si="249"/>
        <v>0.35195679623968779</v>
      </c>
      <c r="CX248" s="19">
        <f t="shared" si="250"/>
        <v>0.32592083405556493</v>
      </c>
      <c r="CY248" s="19">
        <f t="shared" si="251"/>
        <v>0.35571155989764536</v>
      </c>
      <c r="CZ248" s="19">
        <f t="shared" si="252"/>
        <v>0.26815847852285246</v>
      </c>
      <c r="DA248" s="203">
        <f t="shared" si="253"/>
        <v>0.35195679623968779</v>
      </c>
      <c r="DB248" s="203">
        <f t="shared" si="254"/>
        <v>0.35195679623968779</v>
      </c>
      <c r="DC248" s="203">
        <f t="shared" si="255"/>
        <v>0.35195679623968779</v>
      </c>
      <c r="DD248" s="65"/>
      <c r="DE248" s="66"/>
      <c r="DF248" s="66"/>
      <c r="DG248" s="66"/>
      <c r="DH248" s="66"/>
      <c r="DI248" s="66"/>
      <c r="DJ248" s="65"/>
      <c r="DK248" s="70"/>
      <c r="DL248" s="70"/>
      <c r="DM248" s="8">
        <f t="shared" si="256"/>
        <v>0</v>
      </c>
      <c r="DN248" s="8">
        <f t="shared" si="257"/>
        <v>36901.825765895162</v>
      </c>
      <c r="DO248" s="202">
        <f t="shared" ref="DO248:DO311" si="263">+AB248-$DN248</f>
        <v>20041.639657042622</v>
      </c>
      <c r="DP248" s="202">
        <f t="shared" ref="DP248:DP311" si="264">+AC248-$DN248</f>
        <v>20041.639657042622</v>
      </c>
      <c r="DQ248" s="202">
        <f t="shared" ref="DQ248:DQ311" si="265">+AD248-$DN248</f>
        <v>20041.639657042622</v>
      </c>
      <c r="DR248" s="9">
        <f t="shared" ref="DR248:DR311" si="266">+AE248-$DN248</f>
        <v>17842.227500004192</v>
      </c>
      <c r="DS248" s="9">
        <f t="shared" si="259"/>
        <v>20373.492971831634</v>
      </c>
      <c r="DT248" s="9">
        <f t="shared" ref="DT248:DT311" si="267">+AG248-$DN248</f>
        <v>13521.421184363397</v>
      </c>
      <c r="DU248" s="202">
        <f t="shared" ref="DU248:DU311" si="268">+AI248-$DN248</f>
        <v>20041.639657042622</v>
      </c>
      <c r="DV248" s="202">
        <f t="shared" ref="DV248:DV311" si="269">+AJ248-$DN248</f>
        <v>20041.639657042622</v>
      </c>
      <c r="DW248" s="202">
        <f t="shared" ref="DW248:DW311" si="270">+AK248-$DN248</f>
        <v>20041.639657042622</v>
      </c>
      <c r="DX248" s="203">
        <f t="shared" ref="DX248:DX311" si="271">+DO248/AB248</f>
        <v>0.35195679623968779</v>
      </c>
      <c r="DY248" s="203">
        <f t="shared" ref="DY248:DY311" si="272">+DP248/AC248</f>
        <v>0.35195679623968779</v>
      </c>
      <c r="DZ248" s="203">
        <f t="shared" ref="DZ248:DZ311" si="273">+DQ248/AD248</f>
        <v>0.35195679623968779</v>
      </c>
      <c r="EA248" s="19">
        <f t="shared" ref="EA248:EA311" si="274">+DR248/AE248</f>
        <v>0.32592083405556493</v>
      </c>
      <c r="EB248" s="19">
        <f t="shared" si="260"/>
        <v>0.35571155989764536</v>
      </c>
      <c r="EC248" s="19">
        <f t="shared" ref="EC248:EC311" si="275">+DT248/AG248</f>
        <v>0.26815847852285246</v>
      </c>
      <c r="ED248" s="203">
        <f t="shared" ref="ED248:ED311" si="276">+DU248/AI248</f>
        <v>0.35195679623968779</v>
      </c>
      <c r="EE248" s="203">
        <f t="shared" ref="EE248:EE311" si="277">+DV248/AJ248</f>
        <v>0.35195679623968779</v>
      </c>
      <c r="EF248" s="203">
        <f t="shared" ref="EF248:EF311" si="278">+DW248/AK248</f>
        <v>0.35195679623968779</v>
      </c>
      <c r="EH248" s="58">
        <f t="shared" si="234"/>
        <v>32827.310978062145</v>
      </c>
      <c r="EI248" s="68">
        <f t="shared" si="210"/>
        <v>0.5731493372980403</v>
      </c>
      <c r="EJ248" s="58">
        <f t="shared" si="211"/>
        <v>29200.310978062149</v>
      </c>
      <c r="EK248" s="68">
        <f t="shared" si="210"/>
        <v>0.50982363121845253</v>
      </c>
      <c r="EL248" s="58">
        <f t="shared" si="212"/>
        <v>2370.1054010038397</v>
      </c>
      <c r="EM248" s="58">
        <f t="shared" si="213"/>
        <v>2451.2365469154756</v>
      </c>
      <c r="EN248" s="68">
        <f t="shared" si="214"/>
        <v>4.2797431789774847E-2</v>
      </c>
      <c r="EO248" s="139">
        <f t="shared" si="233"/>
        <v>0.32527353469126524</v>
      </c>
      <c r="EP248">
        <f>+(SUM(M248:O248)*EO248*(1-'[1]Tier 3 Data'!$A$2))</f>
        <v>370.87689607227975</v>
      </c>
    </row>
    <row r="249" spans="1:146" x14ac:dyDescent="0.2">
      <c r="A249" s="43">
        <v>0</v>
      </c>
      <c r="B249" s="43">
        <v>0</v>
      </c>
      <c r="C249" s="43">
        <v>0</v>
      </c>
      <c r="D249" s="70">
        <v>2028</v>
      </c>
      <c r="E249" s="70">
        <v>2</v>
      </c>
      <c r="F249" s="2">
        <f>29*24</f>
        <v>696</v>
      </c>
      <c r="G249" s="133">
        <f t="shared" si="226"/>
        <v>44458.39687569275</v>
      </c>
      <c r="H249" s="65">
        <v>44458.39687569275</v>
      </c>
      <c r="I249" s="133">
        <f t="shared" si="227"/>
        <v>44458.39687569275</v>
      </c>
      <c r="J249" s="133">
        <f t="shared" si="203"/>
        <v>1487.6141250000012</v>
      </c>
      <c r="K249" s="65">
        <v>1487.6141250000012</v>
      </c>
      <c r="L249" s="133">
        <f t="shared" si="204"/>
        <v>1487.6141250000012</v>
      </c>
      <c r="M249" s="65">
        <v>785.20357244912623</v>
      </c>
      <c r="N249" s="65">
        <v>1690.7940196730158</v>
      </c>
      <c r="O249" s="65">
        <v>260.39768918054818</v>
      </c>
      <c r="P249" s="200">
        <f t="shared" si="194"/>
        <v>42149.864166301944</v>
      </c>
      <c r="Q249" s="200">
        <f t="shared" si="195"/>
        <v>42149.864166301944</v>
      </c>
      <c r="R249" s="200">
        <f t="shared" si="196"/>
        <v>42149.864166301944</v>
      </c>
      <c r="S249" s="133">
        <f t="shared" si="228"/>
        <v>42892.663443938582</v>
      </c>
      <c r="T249" s="133">
        <f t="shared" si="229"/>
        <v>42892.663443938582</v>
      </c>
      <c r="U249" s="133">
        <f t="shared" si="230"/>
        <v>42892.663443938582</v>
      </c>
      <c r="V249" s="200">
        <f t="shared" si="200"/>
        <v>42149.864166301944</v>
      </c>
      <c r="W249" s="200">
        <f t="shared" si="201"/>
        <v>42149.864166301944</v>
      </c>
      <c r="X249" s="200">
        <f t="shared" si="202"/>
        <v>42149.864166301944</v>
      </c>
      <c r="Y249" s="65">
        <v>6652.2147162488382</v>
      </c>
      <c r="Z249" s="65">
        <v>8454.3747128533687</v>
      </c>
      <c r="AA249" s="65">
        <v>2509.6619799750279</v>
      </c>
      <c r="AB249" s="200">
        <f t="shared" si="218"/>
        <v>50604.238879155309</v>
      </c>
      <c r="AC249" s="200">
        <f t="shared" si="219"/>
        <v>50604.238879155309</v>
      </c>
      <c r="AD249" s="200">
        <f t="shared" si="220"/>
        <v>50604.238879155309</v>
      </c>
      <c r="AE249" s="199">
        <f t="shared" si="261"/>
        <v>49544.878160187422</v>
      </c>
      <c r="AF249" s="199">
        <f t="shared" si="221"/>
        <v>51347.038156791954</v>
      </c>
      <c r="AG249" s="199">
        <f t="shared" si="262"/>
        <v>45402.325423913608</v>
      </c>
      <c r="AH249" s="199">
        <f t="shared" si="231"/>
        <v>48374.681790352784</v>
      </c>
      <c r="AI249" s="200">
        <f t="shared" si="222"/>
        <v>50604.238879155309</v>
      </c>
      <c r="AJ249" s="200">
        <f t="shared" si="223"/>
        <v>50604.238879155309</v>
      </c>
      <c r="AK249" s="200">
        <f t="shared" si="224"/>
        <v>50604.238879155309</v>
      </c>
      <c r="AL249" s="4"/>
      <c r="AM249" s="4"/>
      <c r="AN249" s="4"/>
      <c r="AO249" s="4"/>
      <c r="AP249" s="63"/>
      <c r="AQ249" s="18"/>
      <c r="AR249" s="10">
        <v>9280</v>
      </c>
      <c r="AS249" s="18"/>
      <c r="AT249" s="62"/>
      <c r="AU249" s="133">
        <f t="shared" si="235"/>
        <v>92.897999999999996</v>
      </c>
      <c r="AV249" s="133">
        <f t="shared" si="235"/>
        <v>3057.587</v>
      </c>
      <c r="AW249" s="63"/>
      <c r="AX249" s="63"/>
      <c r="AY249" s="65">
        <v>1185.0038251199999</v>
      </c>
      <c r="AZ249" s="63"/>
      <c r="BA249" s="65">
        <v>853.7</v>
      </c>
      <c r="BB249" s="133">
        <f t="shared" si="206"/>
        <v>611.22</v>
      </c>
      <c r="BC249" s="65">
        <v>233.87491436180096</v>
      </c>
      <c r="BD249" s="65">
        <v>18.196795404006242</v>
      </c>
      <c r="BE249" s="65">
        <v>0</v>
      </c>
      <c r="BF249" s="65">
        <v>194.72305796175525</v>
      </c>
      <c r="BG249" s="65">
        <v>0</v>
      </c>
      <c r="BH249" s="65">
        <v>25.258813275609995</v>
      </c>
      <c r="BI249" s="65">
        <v>593.34036245852292</v>
      </c>
      <c r="BJ249" s="65">
        <v>0</v>
      </c>
      <c r="BK249" s="65">
        <v>19.256201566846642</v>
      </c>
      <c r="BL249" s="65">
        <v>0</v>
      </c>
      <c r="BM249" s="65">
        <v>0</v>
      </c>
      <c r="BN249" s="65">
        <v>19.023796440208546</v>
      </c>
      <c r="BO249" s="65">
        <v>191.64662496000003</v>
      </c>
      <c r="BP249" s="260">
        <f>2*16*29</f>
        <v>928</v>
      </c>
      <c r="BQ249" s="65">
        <v>100.44010123811377</v>
      </c>
      <c r="BR249" s="65">
        <v>131.22825444489217</v>
      </c>
      <c r="BS249" s="65">
        <v>474.84439087942502</v>
      </c>
      <c r="BT249" s="65">
        <v>167.36748593834039</v>
      </c>
      <c r="BU249" s="65">
        <v>180.55470545195629</v>
      </c>
      <c r="BV249" s="144">
        <f t="shared" si="215"/>
        <v>549.64250071438835</v>
      </c>
      <c r="BW249" s="144">
        <f t="shared" si="216"/>
        <v>1183.5558137711109</v>
      </c>
      <c r="BX249" s="144">
        <f t="shared" si="217"/>
        <v>182.27838242638373</v>
      </c>
      <c r="BY249" s="5"/>
      <c r="BZ249" s="66">
        <v>6786</v>
      </c>
      <c r="CA249" s="4"/>
      <c r="CB249" s="5"/>
      <c r="CC249" s="5"/>
      <c r="CD249" s="188">
        <v>3.1195892150124847</v>
      </c>
      <c r="CE249" s="5"/>
      <c r="CF249" s="133">
        <f t="shared" si="232"/>
        <v>667.66666666666663</v>
      </c>
      <c r="CG249" s="70"/>
      <c r="CH249" s="70">
        <v>6960</v>
      </c>
      <c r="CI249" s="70"/>
      <c r="CJ249" s="133">
        <f t="shared" si="237"/>
        <v>611.22</v>
      </c>
      <c r="CK249" s="8">
        <f t="shared" si="258"/>
        <v>34690.427282295037</v>
      </c>
      <c r="CL249" s="202">
        <f t="shared" si="238"/>
        <v>15913.811596860272</v>
      </c>
      <c r="CM249" s="202">
        <f t="shared" si="239"/>
        <v>15913.811596860272</v>
      </c>
      <c r="CN249" s="202">
        <f t="shared" si="240"/>
        <v>15913.811596860272</v>
      </c>
      <c r="CO249" s="9">
        <f t="shared" si="241"/>
        <v>14854.450877892385</v>
      </c>
      <c r="CP249" s="9">
        <f t="shared" si="242"/>
        <v>16656.610874496917</v>
      </c>
      <c r="CQ249" s="9">
        <f t="shared" si="243"/>
        <v>10711.898141618571</v>
      </c>
      <c r="CR249" s="202">
        <f t="shared" si="244"/>
        <v>15913.811596860272</v>
      </c>
      <c r="CS249" s="202">
        <f t="shared" si="245"/>
        <v>15913.811596860272</v>
      </c>
      <c r="CT249" s="202">
        <f t="shared" si="246"/>
        <v>15913.811596860272</v>
      </c>
      <c r="CU249" s="203">
        <f t="shared" si="247"/>
        <v>0.31447586110054954</v>
      </c>
      <c r="CV249" s="203">
        <f t="shared" si="248"/>
        <v>0.31447586110054954</v>
      </c>
      <c r="CW249" s="203">
        <f t="shared" si="249"/>
        <v>0.31447586110054954</v>
      </c>
      <c r="CX249" s="19">
        <f t="shared" si="250"/>
        <v>0.29981809279791338</v>
      </c>
      <c r="CY249" s="19">
        <f t="shared" si="251"/>
        <v>0.32439282717018131</v>
      </c>
      <c r="CZ249" s="19">
        <f t="shared" si="252"/>
        <v>0.23593280832211661</v>
      </c>
      <c r="DA249" s="203">
        <f t="shared" si="253"/>
        <v>0.31447586110054954</v>
      </c>
      <c r="DB249" s="203">
        <f t="shared" si="254"/>
        <v>0.31447586110054954</v>
      </c>
      <c r="DC249" s="203">
        <f t="shared" si="255"/>
        <v>0.31447586110054954</v>
      </c>
      <c r="DD249" s="65"/>
      <c r="DE249" s="66"/>
      <c r="DF249" s="66"/>
      <c r="DG249" s="66"/>
      <c r="DH249" s="66"/>
      <c r="DI249" s="66"/>
      <c r="DJ249" s="65"/>
      <c r="DK249" s="70"/>
      <c r="DL249" s="70"/>
      <c r="DM249" s="8">
        <f t="shared" si="256"/>
        <v>0</v>
      </c>
      <c r="DN249" s="8">
        <f t="shared" si="257"/>
        <v>34690.427282295037</v>
      </c>
      <c r="DO249" s="202">
        <f t="shared" si="263"/>
        <v>15913.811596860272</v>
      </c>
      <c r="DP249" s="202">
        <f t="shared" si="264"/>
        <v>15913.811596860272</v>
      </c>
      <c r="DQ249" s="202">
        <f t="shared" si="265"/>
        <v>15913.811596860272</v>
      </c>
      <c r="DR249" s="9">
        <f t="shared" si="266"/>
        <v>14854.450877892385</v>
      </c>
      <c r="DS249" s="9">
        <f t="shared" si="259"/>
        <v>16656.610874496917</v>
      </c>
      <c r="DT249" s="9">
        <f t="shared" si="267"/>
        <v>10711.898141618571</v>
      </c>
      <c r="DU249" s="202">
        <f t="shared" si="268"/>
        <v>15913.811596860272</v>
      </c>
      <c r="DV249" s="202">
        <f t="shared" si="269"/>
        <v>15913.811596860272</v>
      </c>
      <c r="DW249" s="202">
        <f t="shared" si="270"/>
        <v>15913.811596860272</v>
      </c>
      <c r="DX249" s="203">
        <f t="shared" si="271"/>
        <v>0.31447586110054954</v>
      </c>
      <c r="DY249" s="203">
        <f t="shared" si="272"/>
        <v>0.31447586110054954</v>
      </c>
      <c r="DZ249" s="203">
        <f t="shared" si="273"/>
        <v>0.31447586110054954</v>
      </c>
      <c r="EA249" s="19">
        <f t="shared" si="274"/>
        <v>0.29981809279791338</v>
      </c>
      <c r="EB249" s="19">
        <f t="shared" si="260"/>
        <v>0.32439282717018131</v>
      </c>
      <c r="EC249" s="19">
        <f t="shared" si="275"/>
        <v>0.23593280832211661</v>
      </c>
      <c r="ED249" s="203">
        <f t="shared" si="276"/>
        <v>0.31447586110054954</v>
      </c>
      <c r="EE249" s="203">
        <f t="shared" si="277"/>
        <v>0.31447586110054954</v>
      </c>
      <c r="EF249" s="203">
        <f t="shared" si="278"/>
        <v>0.31447586110054954</v>
      </c>
      <c r="EH249" s="58">
        <f t="shared" si="234"/>
        <v>30549.942134403886</v>
      </c>
      <c r="EI249" s="68">
        <f t="shared" si="210"/>
        <v>0.59496989955131185</v>
      </c>
      <c r="EJ249" s="58">
        <f t="shared" si="211"/>
        <v>27156.942134403882</v>
      </c>
      <c r="EK249" s="68">
        <f t="shared" si="210"/>
        <v>0.52889013873552282</v>
      </c>
      <c r="EL249" s="58">
        <f t="shared" si="212"/>
        <v>3338.5882601908338</v>
      </c>
      <c r="EM249" s="58">
        <f t="shared" si="213"/>
        <v>3520.8666426172176</v>
      </c>
      <c r="EN249" s="68">
        <f t="shared" si="214"/>
        <v>6.8570004600187306E-2</v>
      </c>
      <c r="EO249" s="139">
        <f t="shared" si="233"/>
        <v>0.3126447604730192</v>
      </c>
      <c r="EP249">
        <f>+(SUM(M249:O249)*EO249*(1-'[1]Tier 3 Data'!$A$2))</f>
        <v>798.19983091446022</v>
      </c>
    </row>
    <row r="250" spans="1:146" x14ac:dyDescent="0.2">
      <c r="A250" s="43">
        <v>0</v>
      </c>
      <c r="B250" s="43">
        <v>0</v>
      </c>
      <c r="C250" s="43">
        <v>0</v>
      </c>
      <c r="D250" s="70">
        <v>2028</v>
      </c>
      <c r="E250" s="70">
        <v>3</v>
      </c>
      <c r="F250" s="2">
        <v>743</v>
      </c>
      <c r="G250" s="133">
        <f t="shared" si="226"/>
        <v>46594.589052119867</v>
      </c>
      <c r="H250" s="65">
        <v>46594.589052119867</v>
      </c>
      <c r="I250" s="133">
        <f t="shared" si="227"/>
        <v>46594.589052119867</v>
      </c>
      <c r="J250" s="133">
        <f t="shared" si="203"/>
        <v>1527.5390625000011</v>
      </c>
      <c r="K250" s="65">
        <v>1527.5390625000011</v>
      </c>
      <c r="L250" s="133">
        <f t="shared" si="204"/>
        <v>1527.5390625000011</v>
      </c>
      <c r="M250" s="65">
        <v>1050.2026341606518</v>
      </c>
      <c r="N250" s="65">
        <v>2261.4216180208796</v>
      </c>
      <c r="O250" s="65">
        <v>350.16912352930206</v>
      </c>
      <c r="P250" s="200">
        <f t="shared" si="194"/>
        <v>43968.511976906615</v>
      </c>
      <c r="Q250" s="200">
        <f t="shared" si="195"/>
        <v>43968.511976906615</v>
      </c>
      <c r="R250" s="200">
        <f t="shared" si="196"/>
        <v>43968.511976906615</v>
      </c>
      <c r="S250" s="133">
        <f t="shared" si="228"/>
        <v>44961.99925256108</v>
      </c>
      <c r="T250" s="133">
        <f t="shared" si="229"/>
        <v>44961.99925256108</v>
      </c>
      <c r="U250" s="133">
        <f t="shared" si="230"/>
        <v>44961.99925256108</v>
      </c>
      <c r="V250" s="200">
        <f t="shared" si="200"/>
        <v>43968.511976906615</v>
      </c>
      <c r="W250" s="200">
        <f t="shared" si="201"/>
        <v>43968.511976906615</v>
      </c>
      <c r="X250" s="200">
        <f t="shared" si="202"/>
        <v>43968.511976906615</v>
      </c>
      <c r="Y250" s="65">
        <v>6148.3955309619596</v>
      </c>
      <c r="Z250" s="65">
        <v>7493.8774065591451</v>
      </c>
      <c r="AA250" s="65">
        <v>2294.9431649730286</v>
      </c>
      <c r="AB250" s="200">
        <f t="shared" si="218"/>
        <v>51462.389383465757</v>
      </c>
      <c r="AC250" s="200">
        <f t="shared" si="219"/>
        <v>51462.389383465757</v>
      </c>
      <c r="AD250" s="200">
        <f t="shared" si="220"/>
        <v>51462.389383465757</v>
      </c>
      <c r="AE250" s="199">
        <f t="shared" si="261"/>
        <v>51110.394783523036</v>
      </c>
      <c r="AF250" s="199">
        <f t="shared" si="221"/>
        <v>52455.876659120222</v>
      </c>
      <c r="AG250" s="199">
        <f t="shared" si="262"/>
        <v>47256.942417534112</v>
      </c>
      <c r="AH250" s="199">
        <f t="shared" si="231"/>
        <v>49856.409538327163</v>
      </c>
      <c r="AI250" s="200">
        <f t="shared" si="222"/>
        <v>51462.389383465757</v>
      </c>
      <c r="AJ250" s="200">
        <f t="shared" si="223"/>
        <v>51462.389383465757</v>
      </c>
      <c r="AK250" s="200">
        <f t="shared" si="224"/>
        <v>51462.389383465757</v>
      </c>
      <c r="AL250" s="4"/>
      <c r="AM250" s="4"/>
      <c r="AN250" s="4"/>
      <c r="AO250" s="4"/>
      <c r="AP250" s="63"/>
      <c r="AQ250" s="18"/>
      <c r="AR250" s="10">
        <v>9920</v>
      </c>
      <c r="AS250" s="18"/>
      <c r="AT250" s="62"/>
      <c r="AU250" s="133">
        <f t="shared" si="235"/>
        <v>87.516000000000005</v>
      </c>
      <c r="AV250" s="133">
        <f t="shared" si="235"/>
        <v>3232.7139999999999</v>
      </c>
      <c r="AW250" s="63"/>
      <c r="AX250" s="63"/>
      <c r="AY250" s="65">
        <v>1280.8105891600001</v>
      </c>
      <c r="AZ250" s="63"/>
      <c r="BA250" s="65">
        <v>2416.2429999999999</v>
      </c>
      <c r="BB250" s="133">
        <f t="shared" si="206"/>
        <v>2064.8780000000002</v>
      </c>
      <c r="BC250" s="65">
        <v>449.53123898462314</v>
      </c>
      <c r="BD250" s="65">
        <v>17.737549502477364</v>
      </c>
      <c r="BE250" s="65">
        <v>0</v>
      </c>
      <c r="BF250" s="65">
        <v>213.19694193955203</v>
      </c>
      <c r="BG250" s="65">
        <v>0</v>
      </c>
      <c r="BH250" s="65">
        <v>44.202923232317495</v>
      </c>
      <c r="BI250" s="65">
        <v>1140.4601857510293</v>
      </c>
      <c r="BJ250" s="65">
        <v>0</v>
      </c>
      <c r="BK250" s="65">
        <v>19.397174608663349</v>
      </c>
      <c r="BL250" s="65">
        <v>0</v>
      </c>
      <c r="BM250" s="65">
        <v>0</v>
      </c>
      <c r="BN250" s="65">
        <v>33.291643770364956</v>
      </c>
      <c r="BO250" s="65">
        <v>212.18019192</v>
      </c>
      <c r="BP250" s="260">
        <f t="shared" si="225"/>
        <v>992</v>
      </c>
      <c r="BQ250" s="65">
        <v>139.78769110475832</v>
      </c>
      <c r="BR250" s="65">
        <v>182.63713063642194</v>
      </c>
      <c r="BS250" s="65">
        <v>660.86543382666548</v>
      </c>
      <c r="BT250" s="65">
        <v>221.50690138527187</v>
      </c>
      <c r="BU250" s="65">
        <v>257.41134633400128</v>
      </c>
      <c r="BV250" s="144">
        <f t="shared" si="215"/>
        <v>735.14184391245624</v>
      </c>
      <c r="BW250" s="144">
        <f t="shared" si="216"/>
        <v>1582.9951326146156</v>
      </c>
      <c r="BX250" s="144">
        <f t="shared" si="217"/>
        <v>245.11838647051141</v>
      </c>
      <c r="BY250" s="5"/>
      <c r="BZ250" s="66">
        <v>7244.25</v>
      </c>
      <c r="CA250" s="4"/>
      <c r="CB250" s="5"/>
      <c r="CC250" s="5"/>
      <c r="CD250" s="188">
        <v>13.157281760074044</v>
      </c>
      <c r="CE250" s="5"/>
      <c r="CF250" s="133">
        <f t="shared" si="232"/>
        <v>1476.3333333333333</v>
      </c>
      <c r="CG250" s="70"/>
      <c r="CH250" s="70">
        <v>5942</v>
      </c>
      <c r="CI250" s="70"/>
      <c r="CJ250" s="133">
        <f t="shared" si="237"/>
        <v>2064.8780000000002</v>
      </c>
      <c r="CK250" s="8">
        <f t="shared" si="258"/>
        <v>40825.363920247146</v>
      </c>
      <c r="CL250" s="202">
        <f t="shared" si="238"/>
        <v>10637.025463218612</v>
      </c>
      <c r="CM250" s="202">
        <f t="shared" si="239"/>
        <v>10637.025463218612</v>
      </c>
      <c r="CN250" s="202">
        <f t="shared" si="240"/>
        <v>10637.025463218612</v>
      </c>
      <c r="CO250" s="9">
        <f t="shared" si="241"/>
        <v>10285.03086327589</v>
      </c>
      <c r="CP250" s="9">
        <f t="shared" si="242"/>
        <v>11630.512738873076</v>
      </c>
      <c r="CQ250" s="9">
        <f t="shared" si="243"/>
        <v>6431.578497286966</v>
      </c>
      <c r="CR250" s="202">
        <f t="shared" si="244"/>
        <v>10637.025463218612</v>
      </c>
      <c r="CS250" s="202">
        <f t="shared" si="245"/>
        <v>10637.025463218612</v>
      </c>
      <c r="CT250" s="202">
        <f t="shared" si="246"/>
        <v>10637.025463218612</v>
      </c>
      <c r="CU250" s="203">
        <f t="shared" si="247"/>
        <v>0.20669513387647251</v>
      </c>
      <c r="CV250" s="203">
        <f t="shared" si="248"/>
        <v>0.20669513387647251</v>
      </c>
      <c r="CW250" s="203">
        <f t="shared" si="249"/>
        <v>0.20669513387647251</v>
      </c>
      <c r="CX250" s="19">
        <f t="shared" si="250"/>
        <v>0.20123168499945879</v>
      </c>
      <c r="CY250" s="19">
        <f t="shared" si="251"/>
        <v>0.22171991928479079</v>
      </c>
      <c r="CZ250" s="19">
        <f t="shared" si="252"/>
        <v>0.13609806661762797</v>
      </c>
      <c r="DA250" s="203">
        <f t="shared" si="253"/>
        <v>0.20669513387647251</v>
      </c>
      <c r="DB250" s="203">
        <f t="shared" si="254"/>
        <v>0.20669513387647251</v>
      </c>
      <c r="DC250" s="203">
        <f t="shared" si="255"/>
        <v>0.20669513387647251</v>
      </c>
      <c r="DD250" s="65"/>
      <c r="DE250" s="66"/>
      <c r="DF250" s="66"/>
      <c r="DG250" s="66"/>
      <c r="DH250" s="66"/>
      <c r="DI250" s="66"/>
      <c r="DJ250" s="65"/>
      <c r="DK250" s="70"/>
      <c r="DL250" s="70"/>
      <c r="DM250" s="8">
        <f t="shared" si="256"/>
        <v>0</v>
      </c>
      <c r="DN250" s="8">
        <f t="shared" si="257"/>
        <v>40825.363920247146</v>
      </c>
      <c r="DO250" s="202">
        <f t="shared" si="263"/>
        <v>10637.025463218612</v>
      </c>
      <c r="DP250" s="202">
        <f t="shared" si="264"/>
        <v>10637.025463218612</v>
      </c>
      <c r="DQ250" s="202">
        <f t="shared" si="265"/>
        <v>10637.025463218612</v>
      </c>
      <c r="DR250" s="9">
        <f t="shared" si="266"/>
        <v>10285.03086327589</v>
      </c>
      <c r="DS250" s="9">
        <f t="shared" si="259"/>
        <v>11630.512738873076</v>
      </c>
      <c r="DT250" s="9">
        <f t="shared" si="267"/>
        <v>6431.578497286966</v>
      </c>
      <c r="DU250" s="202">
        <f t="shared" si="268"/>
        <v>10637.025463218612</v>
      </c>
      <c r="DV250" s="202">
        <f t="shared" si="269"/>
        <v>10637.025463218612</v>
      </c>
      <c r="DW250" s="202">
        <f t="shared" si="270"/>
        <v>10637.025463218612</v>
      </c>
      <c r="DX250" s="203">
        <f t="shared" si="271"/>
        <v>0.20669513387647251</v>
      </c>
      <c r="DY250" s="203">
        <f t="shared" si="272"/>
        <v>0.20669513387647251</v>
      </c>
      <c r="DZ250" s="203">
        <f t="shared" si="273"/>
        <v>0.20669513387647251</v>
      </c>
      <c r="EA250" s="19">
        <f t="shared" si="274"/>
        <v>0.20123168499945879</v>
      </c>
      <c r="EB250" s="19">
        <f t="shared" si="260"/>
        <v>0.22171991928479079</v>
      </c>
      <c r="EC250" s="19">
        <f t="shared" si="275"/>
        <v>0.13609806661762797</v>
      </c>
      <c r="ED250" s="203">
        <f t="shared" si="276"/>
        <v>0.20669513387647251</v>
      </c>
      <c r="EE250" s="203">
        <f t="shared" si="277"/>
        <v>0.20669513387647251</v>
      </c>
      <c r="EF250" s="203">
        <f t="shared" si="278"/>
        <v>0.20669513387647251</v>
      </c>
      <c r="EH250" s="58">
        <f t="shared" si="234"/>
        <v>36241.742852635056</v>
      </c>
      <c r="EI250" s="68">
        <f t="shared" si="210"/>
        <v>0.69089957428695259</v>
      </c>
      <c r="EJ250" s="58">
        <f t="shared" si="211"/>
        <v>32619.617852635056</v>
      </c>
      <c r="EK250" s="68">
        <f t="shared" si="210"/>
        <v>0.62184868369678958</v>
      </c>
      <c r="EL250" s="58">
        <f t="shared" si="212"/>
        <v>4962.0045436712098</v>
      </c>
      <c r="EM250" s="58">
        <f t="shared" si="213"/>
        <v>5207.1229301417216</v>
      </c>
      <c r="EN250" s="68">
        <f t="shared" si="214"/>
        <v>9.9266722086826228E-2</v>
      </c>
      <c r="EO250" s="139">
        <f t="shared" si="233"/>
        <v>0.32861286969700848</v>
      </c>
      <c r="EP250">
        <f>+(SUM(M250:O250)*EO250*(1-'[1]Tier 3 Data'!$A$2))</f>
        <v>1122.6904966580339</v>
      </c>
    </row>
    <row r="251" spans="1:146" x14ac:dyDescent="0.2">
      <c r="A251" s="43">
        <v>0</v>
      </c>
      <c r="B251" s="43">
        <v>0</v>
      </c>
      <c r="C251" s="43">
        <v>0</v>
      </c>
      <c r="D251" s="70">
        <v>2028</v>
      </c>
      <c r="E251" s="70">
        <v>4</v>
      </c>
      <c r="F251" s="2">
        <v>720</v>
      </c>
      <c r="G251" s="133">
        <f t="shared" si="226"/>
        <v>39147.237003292292</v>
      </c>
      <c r="H251" s="65">
        <v>39147.237003292292</v>
      </c>
      <c r="I251" s="133">
        <f t="shared" si="227"/>
        <v>39147.237003292292</v>
      </c>
      <c r="J251" s="133">
        <f t="shared" si="203"/>
        <v>1567.4640000000011</v>
      </c>
      <c r="K251" s="65">
        <v>1567.4640000000011</v>
      </c>
      <c r="L251" s="133">
        <f t="shared" si="204"/>
        <v>1567.4640000000011</v>
      </c>
      <c r="M251" s="65">
        <v>1418.2286880453187</v>
      </c>
      <c r="N251" s="65">
        <v>3053.8992287010965</v>
      </c>
      <c r="O251" s="65">
        <v>476.9864591950402</v>
      </c>
      <c r="P251" s="200">
        <f t="shared" si="194"/>
        <v>36095.038690509857</v>
      </c>
      <c r="Q251" s="200">
        <f t="shared" si="195"/>
        <v>36095.038690509857</v>
      </c>
      <c r="R251" s="200">
        <f t="shared" si="196"/>
        <v>36095.038690509857</v>
      </c>
      <c r="S251" s="133">
        <f t="shared" si="228"/>
        <v>37436.677065533782</v>
      </c>
      <c r="T251" s="133">
        <f t="shared" si="229"/>
        <v>37436.677065533782</v>
      </c>
      <c r="U251" s="133">
        <f t="shared" si="230"/>
        <v>37436.677065533782</v>
      </c>
      <c r="V251" s="200">
        <f t="shared" si="200"/>
        <v>36095.038690509857</v>
      </c>
      <c r="W251" s="200">
        <f t="shared" si="201"/>
        <v>36095.038690509857</v>
      </c>
      <c r="X251" s="200">
        <f t="shared" si="202"/>
        <v>36095.038690509857</v>
      </c>
      <c r="Y251" s="65">
        <v>5256.1274587244015</v>
      </c>
      <c r="Z251" s="65">
        <v>5737.1685164513392</v>
      </c>
      <c r="AA251" s="65">
        <v>1847.7239866852926</v>
      </c>
      <c r="AB251" s="200">
        <f t="shared" si="218"/>
        <v>41832.207206961197</v>
      </c>
      <c r="AC251" s="200">
        <f t="shared" si="219"/>
        <v>41832.207206961197</v>
      </c>
      <c r="AD251" s="200">
        <f t="shared" si="220"/>
        <v>41832.207206961197</v>
      </c>
      <c r="AE251" s="199">
        <f t="shared" si="261"/>
        <v>42692.804524258187</v>
      </c>
      <c r="AF251" s="199">
        <f t="shared" si="221"/>
        <v>43173.845581985122</v>
      </c>
      <c r="AG251" s="199">
        <f t="shared" si="262"/>
        <v>39284.401052219073</v>
      </c>
      <c r="AH251" s="199">
        <f t="shared" si="231"/>
        <v>41229.123317102101</v>
      </c>
      <c r="AI251" s="200">
        <f t="shared" si="222"/>
        <v>41832.207206961197</v>
      </c>
      <c r="AJ251" s="200">
        <f t="shared" si="223"/>
        <v>41832.207206961197</v>
      </c>
      <c r="AK251" s="200">
        <f t="shared" si="224"/>
        <v>41832.207206961197</v>
      </c>
      <c r="AL251" s="4"/>
      <c r="AM251" s="4"/>
      <c r="AN251" s="4"/>
      <c r="AO251" s="4"/>
      <c r="AP251" s="63"/>
      <c r="AQ251" s="18"/>
      <c r="AR251" s="10">
        <v>9600</v>
      </c>
      <c r="AS251" s="18"/>
      <c r="AT251" s="62"/>
      <c r="AU251" s="133">
        <f t="shared" si="235"/>
        <v>96.057000000000002</v>
      </c>
      <c r="AV251" s="133">
        <f t="shared" si="235"/>
        <v>3017.9659999999999</v>
      </c>
      <c r="AW251" s="63"/>
      <c r="AX251" s="63"/>
      <c r="AY251" s="65">
        <v>1122.6138126000001</v>
      </c>
      <c r="AZ251" s="63"/>
      <c r="BA251" s="65">
        <v>1366.578</v>
      </c>
      <c r="BB251" s="133">
        <f t="shared" si="206"/>
        <v>1440.9</v>
      </c>
      <c r="BC251" s="65">
        <v>567.6650303146555</v>
      </c>
      <c r="BD251" s="65">
        <v>15.751376692709027</v>
      </c>
      <c r="BE251" s="65">
        <v>0</v>
      </c>
      <c r="BF251" s="65">
        <v>201.0078173079965</v>
      </c>
      <c r="BG251" s="65">
        <v>0</v>
      </c>
      <c r="BH251" s="65">
        <v>138.923473015855</v>
      </c>
      <c r="BI251" s="65">
        <v>1440.1654652062136</v>
      </c>
      <c r="BJ251" s="65">
        <v>0</v>
      </c>
      <c r="BK251" s="65">
        <v>19.984033847071771</v>
      </c>
      <c r="BL251" s="65">
        <v>0</v>
      </c>
      <c r="BM251" s="65">
        <v>0</v>
      </c>
      <c r="BN251" s="65">
        <v>104.630880421147</v>
      </c>
      <c r="BO251" s="65">
        <v>205.33566960000002</v>
      </c>
      <c r="BP251" s="260">
        <f t="shared" si="225"/>
        <v>960</v>
      </c>
      <c r="BQ251" s="65">
        <v>149.27457045800125</v>
      </c>
      <c r="BR251" s="65">
        <v>195.03208550525457</v>
      </c>
      <c r="BS251" s="65">
        <v>705.71609994854884</v>
      </c>
      <c r="BT251" s="65">
        <v>245.27155417505503</v>
      </c>
      <c r="BU251" s="65">
        <v>263.36539138780495</v>
      </c>
      <c r="BV251" s="144">
        <f t="shared" si="215"/>
        <v>992.76008163172298</v>
      </c>
      <c r="BW251" s="144">
        <f t="shared" si="216"/>
        <v>2137.7294600907676</v>
      </c>
      <c r="BX251" s="144">
        <f t="shared" si="217"/>
        <v>333.8905214365281</v>
      </c>
      <c r="BY251" s="5"/>
      <c r="BZ251" s="66">
        <v>7020</v>
      </c>
      <c r="CA251" s="4"/>
      <c r="CB251" s="5"/>
      <c r="CC251" s="5"/>
      <c r="CD251" s="188">
        <v>2.3725527527096357</v>
      </c>
      <c r="CE251" s="5"/>
      <c r="CF251" s="133">
        <f t="shared" si="232"/>
        <v>2495.3333333333335</v>
      </c>
      <c r="CG251" s="70"/>
      <c r="CH251" s="70">
        <v>4640</v>
      </c>
      <c r="CI251" s="70"/>
      <c r="CJ251" s="133">
        <f t="shared" si="237"/>
        <v>1440.9</v>
      </c>
      <c r="CK251" s="8">
        <f t="shared" si="258"/>
        <v>39478.324209725375</v>
      </c>
      <c r="CL251" s="202">
        <f t="shared" si="238"/>
        <v>2353.8829972358217</v>
      </c>
      <c r="CM251" s="202">
        <f t="shared" si="239"/>
        <v>2353.8829972358217</v>
      </c>
      <c r="CN251" s="202">
        <f t="shared" si="240"/>
        <v>2353.8829972358217</v>
      </c>
      <c r="CO251" s="9">
        <f t="shared" si="241"/>
        <v>3214.4803145328115</v>
      </c>
      <c r="CP251" s="9">
        <f t="shared" si="242"/>
        <v>3695.5213722597473</v>
      </c>
      <c r="CQ251" s="9">
        <f t="shared" si="243"/>
        <v>-193.92315750630223</v>
      </c>
      <c r="CR251" s="202">
        <f t="shared" si="244"/>
        <v>2353.8829972358217</v>
      </c>
      <c r="CS251" s="202">
        <f t="shared" si="245"/>
        <v>2353.8829972358217</v>
      </c>
      <c r="CT251" s="202">
        <f t="shared" si="246"/>
        <v>2353.8829972358217</v>
      </c>
      <c r="CU251" s="203">
        <f t="shared" si="247"/>
        <v>5.6269634198123732E-2</v>
      </c>
      <c r="CV251" s="203">
        <f t="shared" si="248"/>
        <v>5.6269634198123732E-2</v>
      </c>
      <c r="CW251" s="203">
        <f t="shared" si="249"/>
        <v>5.6269634198123732E-2</v>
      </c>
      <c r="CX251" s="19">
        <f t="shared" si="250"/>
        <v>7.5293257267892377E-2</v>
      </c>
      <c r="CY251" s="19">
        <f t="shared" si="251"/>
        <v>8.5596298463664178E-2</v>
      </c>
      <c r="CZ251" s="19">
        <f t="shared" si="252"/>
        <v>-4.9363908399297851E-3</v>
      </c>
      <c r="DA251" s="203">
        <f t="shared" si="253"/>
        <v>5.6269634198123732E-2</v>
      </c>
      <c r="DB251" s="203">
        <f t="shared" si="254"/>
        <v>5.6269634198123732E-2</v>
      </c>
      <c r="DC251" s="203">
        <f t="shared" si="255"/>
        <v>5.6269634198123732E-2</v>
      </c>
      <c r="DD251" s="65"/>
      <c r="DE251" s="66"/>
      <c r="DF251" s="66"/>
      <c r="DG251" s="66"/>
      <c r="DH251" s="66"/>
      <c r="DI251" s="66"/>
      <c r="DJ251" s="65"/>
      <c r="DK251" s="70"/>
      <c r="DL251" s="70"/>
      <c r="DM251" s="8">
        <f t="shared" si="256"/>
        <v>0</v>
      </c>
      <c r="DN251" s="8">
        <f t="shared" si="257"/>
        <v>39478.324209725375</v>
      </c>
      <c r="DO251" s="202">
        <f t="shared" si="263"/>
        <v>2353.8829972358217</v>
      </c>
      <c r="DP251" s="202">
        <f t="shared" si="264"/>
        <v>2353.8829972358217</v>
      </c>
      <c r="DQ251" s="202">
        <f t="shared" si="265"/>
        <v>2353.8829972358217</v>
      </c>
      <c r="DR251" s="9">
        <f t="shared" si="266"/>
        <v>3214.4803145328115</v>
      </c>
      <c r="DS251" s="9">
        <f t="shared" si="259"/>
        <v>3695.5213722597473</v>
      </c>
      <c r="DT251" s="9">
        <f t="shared" si="267"/>
        <v>-193.92315750630223</v>
      </c>
      <c r="DU251" s="202">
        <f t="shared" si="268"/>
        <v>2353.8829972358217</v>
      </c>
      <c r="DV251" s="202">
        <f t="shared" si="269"/>
        <v>2353.8829972358217</v>
      </c>
      <c r="DW251" s="202">
        <f t="shared" si="270"/>
        <v>2353.8829972358217</v>
      </c>
      <c r="DX251" s="203">
        <f t="shared" si="271"/>
        <v>5.6269634198123732E-2</v>
      </c>
      <c r="DY251" s="203">
        <f t="shared" si="272"/>
        <v>5.6269634198123732E-2</v>
      </c>
      <c r="DZ251" s="203">
        <f t="shared" si="273"/>
        <v>5.6269634198123732E-2</v>
      </c>
      <c r="EA251" s="19">
        <f t="shared" si="274"/>
        <v>7.5293257267892377E-2</v>
      </c>
      <c r="EB251" s="19">
        <f t="shared" si="260"/>
        <v>8.5596298463664178E-2</v>
      </c>
      <c r="EC251" s="19">
        <f t="shared" si="275"/>
        <v>-4.9363908399297851E-3</v>
      </c>
      <c r="ED251" s="203">
        <f t="shared" si="276"/>
        <v>5.6269634198123732E-2</v>
      </c>
      <c r="EE251" s="203">
        <f t="shared" si="277"/>
        <v>5.6269634198123732E-2</v>
      </c>
      <c r="EF251" s="203">
        <f t="shared" si="278"/>
        <v>5.6269634198123732E-2</v>
      </c>
      <c r="EH251" s="58">
        <f t="shared" si="234"/>
        <v>34772.183758032945</v>
      </c>
      <c r="EI251" s="68">
        <f t="shared" si="210"/>
        <v>0.80539927100082354</v>
      </c>
      <c r="EJ251" s="58">
        <f t="shared" si="211"/>
        <v>31262.183758032945</v>
      </c>
      <c r="EK251" s="68">
        <f t="shared" si="210"/>
        <v>0.7241000503109577</v>
      </c>
      <c r="EL251" s="58">
        <f t="shared" si="212"/>
        <v>6188.8450906630842</v>
      </c>
      <c r="EM251" s="58">
        <f t="shared" si="213"/>
        <v>6522.7356120996119</v>
      </c>
      <c r="EN251" s="68">
        <f t="shared" si="214"/>
        <v>0.1510807185269897</v>
      </c>
      <c r="EO251" s="139">
        <f t="shared" si="233"/>
        <v>0.35351678044029999</v>
      </c>
      <c r="EP251">
        <f>+(SUM(M251:O251)*EO251*(1-'[1]Tier 3 Data'!$A$2))</f>
        <v>1632.3721165393149</v>
      </c>
    </row>
    <row r="252" spans="1:146" x14ac:dyDescent="0.2">
      <c r="A252" s="43">
        <v>0</v>
      </c>
      <c r="B252" s="43">
        <v>0</v>
      </c>
      <c r="C252" s="43">
        <v>0</v>
      </c>
      <c r="D252" s="70">
        <v>2028</v>
      </c>
      <c r="E252" s="70">
        <v>5</v>
      </c>
      <c r="F252" s="2">
        <v>744</v>
      </c>
      <c r="G252" s="133">
        <f t="shared" si="226"/>
        <v>37319.984095671723</v>
      </c>
      <c r="H252" s="65">
        <v>37319.984095671723</v>
      </c>
      <c r="I252" s="133">
        <f t="shared" si="227"/>
        <v>37319.984095671723</v>
      </c>
      <c r="J252" s="133">
        <f t="shared" si="203"/>
        <v>1607.388937500001</v>
      </c>
      <c r="K252" s="65">
        <v>1607.388937500001</v>
      </c>
      <c r="L252" s="133">
        <f t="shared" si="204"/>
        <v>1607.388937500001</v>
      </c>
      <c r="M252" s="65">
        <v>1750.7817988213781</v>
      </c>
      <c r="N252" s="65">
        <v>3769.9922657844818</v>
      </c>
      <c r="O252" s="65">
        <v>594.4323965662818</v>
      </c>
      <c r="P252" s="200">
        <f t="shared" si="194"/>
        <v>33878.033219820078</v>
      </c>
      <c r="Q252" s="200">
        <f t="shared" si="195"/>
        <v>33878.033219820078</v>
      </c>
      <c r="R252" s="200">
        <f t="shared" si="196"/>
        <v>33878.033219820078</v>
      </c>
      <c r="S252" s="133">
        <f t="shared" si="228"/>
        <v>35534.265439201838</v>
      </c>
      <c r="T252" s="133">
        <f t="shared" si="229"/>
        <v>35534.265439201838</v>
      </c>
      <c r="U252" s="133">
        <f t="shared" si="230"/>
        <v>35534.265439201838</v>
      </c>
      <c r="V252" s="200">
        <f t="shared" si="200"/>
        <v>33878.033219820078</v>
      </c>
      <c r="W252" s="200">
        <f t="shared" si="201"/>
        <v>33878.033219820078</v>
      </c>
      <c r="X252" s="200">
        <f t="shared" si="202"/>
        <v>33878.033219820078</v>
      </c>
      <c r="Y252" s="65">
        <v>4268.0064462446462</v>
      </c>
      <c r="Z252" s="65">
        <v>4153.4660239085479</v>
      </c>
      <c r="AA252" s="65">
        <v>1434.557449695337</v>
      </c>
      <c r="AB252" s="200">
        <f t="shared" si="218"/>
        <v>38031.499243728627</v>
      </c>
      <c r="AC252" s="200">
        <f t="shared" si="219"/>
        <v>38031.499243728627</v>
      </c>
      <c r="AD252" s="200">
        <f t="shared" si="220"/>
        <v>38031.499243728627</v>
      </c>
      <c r="AE252" s="199">
        <f t="shared" si="261"/>
        <v>39802.271885446484</v>
      </c>
      <c r="AF252" s="199">
        <f t="shared" si="221"/>
        <v>39687.731463110387</v>
      </c>
      <c r="AG252" s="199">
        <f t="shared" si="262"/>
        <v>36968.822888897172</v>
      </c>
      <c r="AH252" s="199">
        <f t="shared" si="231"/>
        <v>38385.547387171828</v>
      </c>
      <c r="AI252" s="200">
        <f t="shared" si="222"/>
        <v>38031.499243728627</v>
      </c>
      <c r="AJ252" s="200">
        <f t="shared" si="223"/>
        <v>38031.499243728627</v>
      </c>
      <c r="AK252" s="200">
        <f t="shared" si="224"/>
        <v>38031.499243728627</v>
      </c>
      <c r="AL252" s="4"/>
      <c r="AM252" s="4"/>
      <c r="AN252" s="4"/>
      <c r="AO252" s="4"/>
      <c r="AP252" s="63"/>
      <c r="AQ252" s="18"/>
      <c r="AR252" s="10">
        <v>9920</v>
      </c>
      <c r="AS252" s="18"/>
      <c r="AT252" s="62"/>
      <c r="AU252" s="133">
        <f t="shared" si="235"/>
        <v>109.161</v>
      </c>
      <c r="AV252" s="133">
        <f t="shared" si="235"/>
        <v>3327.41</v>
      </c>
      <c r="AW252" s="63"/>
      <c r="AX252" s="63"/>
      <c r="AY252" s="65">
        <v>837.33634925714296</v>
      </c>
      <c r="AZ252" s="63"/>
      <c r="BA252" s="65">
        <v>1570</v>
      </c>
      <c r="BB252" s="133">
        <f t="shared" si="206"/>
        <v>1028.67</v>
      </c>
      <c r="BC252" s="65">
        <v>570.10748354622444</v>
      </c>
      <c r="BD252" s="65">
        <v>12.098699446784533</v>
      </c>
      <c r="BE252" s="65">
        <v>0</v>
      </c>
      <c r="BF252" s="65">
        <v>204.79596502442698</v>
      </c>
      <c r="BG252" s="65">
        <v>0</v>
      </c>
      <c r="BH252" s="65">
        <v>88.40584646463499</v>
      </c>
      <c r="BI252" s="65">
        <v>1446.3619659709991</v>
      </c>
      <c r="BJ252" s="65">
        <v>0</v>
      </c>
      <c r="BK252" s="65">
        <v>12.751667915526451</v>
      </c>
      <c r="BL252" s="65">
        <v>0</v>
      </c>
      <c r="BM252" s="65">
        <v>0</v>
      </c>
      <c r="BN252" s="65">
        <v>66.583287540729913</v>
      </c>
      <c r="BO252" s="65">
        <v>212.18019192</v>
      </c>
      <c r="BP252" s="260">
        <f t="shared" si="225"/>
        <v>992</v>
      </c>
      <c r="BQ252" s="65">
        <v>171.91224442776709</v>
      </c>
      <c r="BR252" s="65">
        <v>224.60891944513264</v>
      </c>
      <c r="BS252" s="65">
        <v>812.73873781105385</v>
      </c>
      <c r="BT252" s="65">
        <v>253.48638935421278</v>
      </c>
      <c r="BU252" s="65">
        <v>301.18497316076269</v>
      </c>
      <c r="BV252" s="144">
        <f t="shared" si="215"/>
        <v>1225.5472591749647</v>
      </c>
      <c r="BW252" s="144">
        <f t="shared" si="216"/>
        <v>2638.9945860491371</v>
      </c>
      <c r="BX252" s="144">
        <f t="shared" si="217"/>
        <v>416.10267759639726</v>
      </c>
      <c r="BY252" s="5"/>
      <c r="BZ252" s="66">
        <v>7254</v>
      </c>
      <c r="CA252" s="4"/>
      <c r="CB252" s="5"/>
      <c r="CC252" s="5"/>
      <c r="CD252" s="188">
        <v>1.4538432884059718E-2</v>
      </c>
      <c r="CE252" s="5"/>
      <c r="CF252" s="133">
        <f t="shared" si="232"/>
        <v>1762.6666666666667</v>
      </c>
      <c r="CG252" s="70"/>
      <c r="CH252" s="70">
        <v>2480</v>
      </c>
      <c r="CI252" s="70"/>
      <c r="CJ252" s="133">
        <f t="shared" si="237"/>
        <v>1028.67</v>
      </c>
      <c r="CK252" s="8">
        <f t="shared" si="258"/>
        <v>37939.119449205449</v>
      </c>
      <c r="CL252" s="202">
        <f t="shared" si="238"/>
        <v>92.379794523178134</v>
      </c>
      <c r="CM252" s="202">
        <f t="shared" si="239"/>
        <v>92.379794523178134</v>
      </c>
      <c r="CN252" s="202">
        <f t="shared" si="240"/>
        <v>92.379794523178134</v>
      </c>
      <c r="CO252" s="9">
        <f t="shared" si="241"/>
        <v>1863.1524362410346</v>
      </c>
      <c r="CP252" s="9">
        <f t="shared" si="242"/>
        <v>1748.6120139049381</v>
      </c>
      <c r="CQ252" s="9">
        <f t="shared" si="243"/>
        <v>-970.29656030827755</v>
      </c>
      <c r="CR252" s="202">
        <f t="shared" si="244"/>
        <v>92.379794523178134</v>
      </c>
      <c r="CS252" s="202">
        <f t="shared" si="245"/>
        <v>92.379794523178134</v>
      </c>
      <c r="CT252" s="202">
        <f t="shared" si="246"/>
        <v>92.379794523178134</v>
      </c>
      <c r="CU252" s="203">
        <f t="shared" si="247"/>
        <v>2.4290337315169479E-3</v>
      </c>
      <c r="CV252" s="203">
        <f t="shared" si="248"/>
        <v>2.4290337315169479E-3</v>
      </c>
      <c r="CW252" s="203">
        <f t="shared" si="249"/>
        <v>2.4290337315169479E-3</v>
      </c>
      <c r="CX252" s="19">
        <f t="shared" si="250"/>
        <v>4.6810203236722463E-2</v>
      </c>
      <c r="CY252" s="19">
        <f t="shared" si="251"/>
        <v>4.4059258351167467E-2</v>
      </c>
      <c r="CZ252" s="19">
        <f t="shared" si="252"/>
        <v>-2.6246347178116029E-2</v>
      </c>
      <c r="DA252" s="203">
        <f t="shared" si="253"/>
        <v>2.4290337315169479E-3</v>
      </c>
      <c r="DB252" s="203">
        <f t="shared" si="254"/>
        <v>2.4290337315169479E-3</v>
      </c>
      <c r="DC252" s="203">
        <f t="shared" si="255"/>
        <v>2.4290337315169479E-3</v>
      </c>
      <c r="DD252" s="65"/>
      <c r="DE252" s="66"/>
      <c r="DF252" s="66"/>
      <c r="DG252" s="66"/>
      <c r="DH252" s="66"/>
      <c r="DI252" s="66"/>
      <c r="DJ252" s="65"/>
      <c r="DK252" s="70"/>
      <c r="DL252" s="70"/>
      <c r="DM252" s="8">
        <f t="shared" si="256"/>
        <v>0</v>
      </c>
      <c r="DN252" s="8">
        <f t="shared" si="257"/>
        <v>37939.119449205449</v>
      </c>
      <c r="DO252" s="202">
        <f t="shared" si="263"/>
        <v>92.379794523178134</v>
      </c>
      <c r="DP252" s="202">
        <f t="shared" si="264"/>
        <v>92.379794523178134</v>
      </c>
      <c r="DQ252" s="202">
        <f t="shared" si="265"/>
        <v>92.379794523178134</v>
      </c>
      <c r="DR252" s="9">
        <f t="shared" si="266"/>
        <v>1863.1524362410346</v>
      </c>
      <c r="DS252" s="9">
        <f t="shared" si="259"/>
        <v>1748.6120139049381</v>
      </c>
      <c r="DT252" s="9">
        <f t="shared" si="267"/>
        <v>-970.29656030827755</v>
      </c>
      <c r="DU252" s="202">
        <f t="shared" si="268"/>
        <v>92.379794523178134</v>
      </c>
      <c r="DV252" s="202">
        <f t="shared" si="269"/>
        <v>92.379794523178134</v>
      </c>
      <c r="DW252" s="202">
        <f t="shared" si="270"/>
        <v>92.379794523178134</v>
      </c>
      <c r="DX252" s="203">
        <f t="shared" si="271"/>
        <v>2.4290337315169479E-3</v>
      </c>
      <c r="DY252" s="203">
        <f t="shared" si="272"/>
        <v>2.4290337315169479E-3</v>
      </c>
      <c r="DZ252" s="203">
        <f t="shared" si="273"/>
        <v>2.4290337315169479E-3</v>
      </c>
      <c r="EA252" s="19">
        <f t="shared" si="274"/>
        <v>4.6810203236722463E-2</v>
      </c>
      <c r="EB252" s="19">
        <f t="shared" si="260"/>
        <v>4.4059258351167467E-2</v>
      </c>
      <c r="EC252" s="19">
        <f t="shared" si="275"/>
        <v>-2.6246347178116029E-2</v>
      </c>
      <c r="ED252" s="203">
        <f t="shared" si="276"/>
        <v>2.4290337315169479E-3</v>
      </c>
      <c r="EE252" s="203">
        <f t="shared" si="277"/>
        <v>2.4290337315169479E-3</v>
      </c>
      <c r="EF252" s="203">
        <f t="shared" si="278"/>
        <v>2.4290337315169479E-3</v>
      </c>
      <c r="EH252" s="58">
        <f t="shared" si="234"/>
        <v>32881.761686573169</v>
      </c>
      <c r="EI252" s="68">
        <f t="shared" si="210"/>
        <v>0.82851199789881302</v>
      </c>
      <c r="EJ252" s="58">
        <f t="shared" si="211"/>
        <v>29254.761686573172</v>
      </c>
      <c r="EK252" s="68">
        <f t="shared" si="210"/>
        <v>0.73712355451118128</v>
      </c>
      <c r="EL252" s="58">
        <f t="shared" si="212"/>
        <v>6811.4149930529666</v>
      </c>
      <c r="EM252" s="58">
        <f t="shared" si="213"/>
        <v>7227.5176706493639</v>
      </c>
      <c r="EN252" s="68">
        <f t="shared" si="214"/>
        <v>0.18210961937613687</v>
      </c>
      <c r="EO252" s="139">
        <f t="shared" si="233"/>
        <v>0.28868615856523006</v>
      </c>
      <c r="EP252">
        <f>+(SUM(M252:O252)*EO252*(1-'[1]Tier 3 Data'!$A$2))</f>
        <v>1647.0953061477533</v>
      </c>
    </row>
    <row r="253" spans="1:146" x14ac:dyDescent="0.2">
      <c r="A253" s="43">
        <v>0</v>
      </c>
      <c r="B253" s="43">
        <v>0</v>
      </c>
      <c r="C253" s="43">
        <v>0</v>
      </c>
      <c r="D253" s="70">
        <v>2028</v>
      </c>
      <c r="E253" s="70">
        <v>6</v>
      </c>
      <c r="F253" s="2">
        <v>720</v>
      </c>
      <c r="G253" s="133">
        <f t="shared" si="226"/>
        <v>39678.177360743459</v>
      </c>
      <c r="H253" s="65">
        <v>39678.177360743459</v>
      </c>
      <c r="I253" s="133">
        <f t="shared" si="227"/>
        <v>39678.177360743459</v>
      </c>
      <c r="J253" s="133">
        <f t="shared" si="203"/>
        <v>1647.313875000001</v>
      </c>
      <c r="K253" s="65">
        <v>1647.313875000001</v>
      </c>
      <c r="L253" s="133">
        <f t="shared" si="204"/>
        <v>1647.313875000001</v>
      </c>
      <c r="M253" s="65">
        <v>1630.7561929849653</v>
      </c>
      <c r="N253" s="65">
        <v>3511.538810303055</v>
      </c>
      <c r="O253" s="65">
        <v>563.95062578417674</v>
      </c>
      <c r="P253" s="200">
        <f t="shared" si="194"/>
        <v>36318.989797021801</v>
      </c>
      <c r="Q253" s="200">
        <f t="shared" si="195"/>
        <v>36318.989797021801</v>
      </c>
      <c r="R253" s="200">
        <f t="shared" si="196"/>
        <v>36318.989797021801</v>
      </c>
      <c r="S253" s="133">
        <f t="shared" si="228"/>
        <v>37861.678298008206</v>
      </c>
      <c r="T253" s="133">
        <f t="shared" si="229"/>
        <v>37861.678298008206</v>
      </c>
      <c r="U253" s="133">
        <f t="shared" si="230"/>
        <v>37861.678298008206</v>
      </c>
      <c r="V253" s="200">
        <f t="shared" si="200"/>
        <v>36318.989797021801</v>
      </c>
      <c r="W253" s="200">
        <f t="shared" si="201"/>
        <v>36318.989797021801</v>
      </c>
      <c r="X253" s="200">
        <f t="shared" si="202"/>
        <v>36318.989797021801</v>
      </c>
      <c r="Y253" s="65">
        <v>4601.106908990987</v>
      </c>
      <c r="Z253" s="65">
        <v>4628.9588414999862</v>
      </c>
      <c r="AA253" s="65">
        <v>1656.0315565886838</v>
      </c>
      <c r="AB253" s="200">
        <f t="shared" si="218"/>
        <v>40947.94863852179</v>
      </c>
      <c r="AC253" s="200">
        <f t="shared" si="219"/>
        <v>40947.94863852179</v>
      </c>
      <c r="AD253" s="200">
        <f t="shared" si="220"/>
        <v>40947.94863852179</v>
      </c>
      <c r="AE253" s="199">
        <f t="shared" si="261"/>
        <v>42462.785206999193</v>
      </c>
      <c r="AF253" s="199">
        <f t="shared" si="221"/>
        <v>42490.637139508195</v>
      </c>
      <c r="AG253" s="199">
        <f t="shared" si="262"/>
        <v>39517.709854596891</v>
      </c>
      <c r="AH253" s="199">
        <f t="shared" si="231"/>
        <v>41004.173497052543</v>
      </c>
      <c r="AI253" s="200">
        <f t="shared" si="222"/>
        <v>40947.94863852179</v>
      </c>
      <c r="AJ253" s="200">
        <f t="shared" si="223"/>
        <v>40947.94863852179</v>
      </c>
      <c r="AK253" s="200">
        <f t="shared" si="224"/>
        <v>40947.94863852179</v>
      </c>
      <c r="AL253" s="4"/>
      <c r="AM253" s="4"/>
      <c r="AN253" s="4"/>
      <c r="AO253" s="4"/>
      <c r="AP253" s="63"/>
      <c r="AQ253" s="18"/>
      <c r="AR253" s="10">
        <v>9600</v>
      </c>
      <c r="AS253" s="18"/>
      <c r="AT253" s="62"/>
      <c r="AU253" s="133">
        <f t="shared" si="235"/>
        <v>128.934</v>
      </c>
      <c r="AV253" s="133">
        <f t="shared" si="235"/>
        <v>3110.2840000000001</v>
      </c>
      <c r="AW253" s="63"/>
      <c r="AX253" s="63"/>
      <c r="AY253" s="65">
        <v>1170.1048746057143</v>
      </c>
      <c r="AZ253" s="63"/>
      <c r="BA253" s="65">
        <v>2058.0909999999999</v>
      </c>
      <c r="BB253" s="133">
        <f t="shared" si="206"/>
        <v>1047.68</v>
      </c>
      <c r="BC253" s="65">
        <v>605.91554170888298</v>
      </c>
      <c r="BD253" s="65">
        <v>8.3809700100652513</v>
      </c>
      <c r="BE253" s="65">
        <v>0</v>
      </c>
      <c r="BF253" s="65">
        <v>179.82494093729514</v>
      </c>
      <c r="BG253" s="65">
        <v>0</v>
      </c>
      <c r="BH253" s="65">
        <v>37.888219913415</v>
      </c>
      <c r="BI253" s="65">
        <v>1537.2069643204168</v>
      </c>
      <c r="BJ253" s="65">
        <v>0</v>
      </c>
      <c r="BK253" s="65">
        <v>11.763509963764358</v>
      </c>
      <c r="BL253" s="65">
        <v>0</v>
      </c>
      <c r="BM253" s="65">
        <v>0</v>
      </c>
      <c r="BN253" s="65">
        <v>28.535694660312817</v>
      </c>
      <c r="BO253" s="65">
        <v>205.33566960000002</v>
      </c>
      <c r="BP253" s="260">
        <f t="shared" si="225"/>
        <v>960</v>
      </c>
      <c r="BQ253" s="65">
        <v>167.14317924353918</v>
      </c>
      <c r="BR253" s="65">
        <v>218.37802137603683</v>
      </c>
      <c r="BS253" s="65">
        <v>790.19246828839516</v>
      </c>
      <c r="BT253" s="65">
        <v>265.33175673343811</v>
      </c>
      <c r="BU253" s="65">
        <v>293.30949577742894</v>
      </c>
      <c r="BV253" s="144">
        <f t="shared" si="215"/>
        <v>1141.5293350894756</v>
      </c>
      <c r="BW253" s="144">
        <f t="shared" si="216"/>
        <v>2458.0771672121382</v>
      </c>
      <c r="BX253" s="144">
        <f t="shared" si="217"/>
        <v>394.76543804892367</v>
      </c>
      <c r="BY253" s="5"/>
      <c r="BZ253" s="66">
        <v>7020</v>
      </c>
      <c r="CA253" s="4"/>
      <c r="CB253" s="5"/>
      <c r="CC253" s="5"/>
      <c r="CD253" s="188">
        <v>2.1777775833862054</v>
      </c>
      <c r="CE253" s="5"/>
      <c r="CF253" s="133">
        <f t="shared" si="232"/>
        <v>680.66666666666663</v>
      </c>
      <c r="CG253" s="70"/>
      <c r="CH253" s="70">
        <v>4416</v>
      </c>
      <c r="CI253" s="70"/>
      <c r="CJ253" s="133">
        <f t="shared" si="237"/>
        <v>1047.68</v>
      </c>
      <c r="CK253" s="8">
        <f t="shared" si="258"/>
        <v>38537.516691739285</v>
      </c>
      <c r="CL253" s="202">
        <f t="shared" si="238"/>
        <v>2410.4319467825044</v>
      </c>
      <c r="CM253" s="202">
        <f t="shared" si="239"/>
        <v>2410.4319467825044</v>
      </c>
      <c r="CN253" s="202">
        <f t="shared" si="240"/>
        <v>2410.4319467825044</v>
      </c>
      <c r="CO253" s="9">
        <f t="shared" si="241"/>
        <v>3925.2685152599079</v>
      </c>
      <c r="CP253" s="9">
        <f t="shared" si="242"/>
        <v>3953.1204477689098</v>
      </c>
      <c r="CQ253" s="9">
        <f t="shared" si="243"/>
        <v>980.19316285760578</v>
      </c>
      <c r="CR253" s="202">
        <f t="shared" si="244"/>
        <v>2410.4319467825044</v>
      </c>
      <c r="CS253" s="202">
        <f t="shared" si="245"/>
        <v>2410.4319467825044</v>
      </c>
      <c r="CT253" s="202">
        <f t="shared" si="246"/>
        <v>2410.4319467825044</v>
      </c>
      <c r="CU253" s="203">
        <f t="shared" si="247"/>
        <v>5.886575584191512E-2</v>
      </c>
      <c r="CV253" s="203">
        <f t="shared" si="248"/>
        <v>5.886575584191512E-2</v>
      </c>
      <c r="CW253" s="203">
        <f t="shared" si="249"/>
        <v>5.886575584191512E-2</v>
      </c>
      <c r="CX253" s="19">
        <f t="shared" si="250"/>
        <v>9.244020372485838E-2</v>
      </c>
      <c r="CY253" s="19">
        <f t="shared" si="251"/>
        <v>9.3035094644256605E-2</v>
      </c>
      <c r="CZ253" s="19">
        <f t="shared" si="252"/>
        <v>2.4803895935877087E-2</v>
      </c>
      <c r="DA253" s="203">
        <f t="shared" si="253"/>
        <v>5.886575584191512E-2</v>
      </c>
      <c r="DB253" s="203">
        <f t="shared" si="254"/>
        <v>5.886575584191512E-2</v>
      </c>
      <c r="DC253" s="203">
        <f t="shared" si="255"/>
        <v>5.886575584191512E-2</v>
      </c>
      <c r="DD253" s="65"/>
      <c r="DE253" s="66"/>
      <c r="DF253" s="66"/>
      <c r="DG253" s="66"/>
      <c r="DH253" s="66"/>
      <c r="DI253" s="66"/>
      <c r="DJ253" s="65"/>
      <c r="DK253" s="70"/>
      <c r="DL253" s="70"/>
      <c r="DM253" s="8">
        <f t="shared" si="256"/>
        <v>0</v>
      </c>
      <c r="DN253" s="8">
        <f t="shared" si="257"/>
        <v>38537.516691739285</v>
      </c>
      <c r="DO253" s="202">
        <f t="shared" si="263"/>
        <v>2410.4319467825044</v>
      </c>
      <c r="DP253" s="202">
        <f t="shared" si="264"/>
        <v>2410.4319467825044</v>
      </c>
      <c r="DQ253" s="202">
        <f t="shared" si="265"/>
        <v>2410.4319467825044</v>
      </c>
      <c r="DR253" s="9">
        <f t="shared" si="266"/>
        <v>3925.2685152599079</v>
      </c>
      <c r="DS253" s="9">
        <f t="shared" si="259"/>
        <v>3953.1204477689098</v>
      </c>
      <c r="DT253" s="9">
        <f t="shared" si="267"/>
        <v>980.19316285760578</v>
      </c>
      <c r="DU253" s="202">
        <f t="shared" si="268"/>
        <v>2410.4319467825044</v>
      </c>
      <c r="DV253" s="202">
        <f t="shared" si="269"/>
        <v>2410.4319467825044</v>
      </c>
      <c r="DW253" s="202">
        <f t="shared" si="270"/>
        <v>2410.4319467825044</v>
      </c>
      <c r="DX253" s="203">
        <f t="shared" si="271"/>
        <v>5.886575584191512E-2</v>
      </c>
      <c r="DY253" s="203">
        <f t="shared" si="272"/>
        <v>5.886575584191512E-2</v>
      </c>
      <c r="DZ253" s="203">
        <f t="shared" si="273"/>
        <v>5.886575584191512E-2</v>
      </c>
      <c r="EA253" s="19">
        <f t="shared" si="274"/>
        <v>9.244020372485838E-2</v>
      </c>
      <c r="EB253" s="19">
        <f t="shared" si="260"/>
        <v>9.3035094644256605E-2</v>
      </c>
      <c r="EC253" s="19">
        <f t="shared" si="275"/>
        <v>2.4803895935877087E-2</v>
      </c>
      <c r="ED253" s="203">
        <f t="shared" si="276"/>
        <v>5.886575584191512E-2</v>
      </c>
      <c r="EE253" s="203">
        <f t="shared" si="277"/>
        <v>5.886575584191512E-2</v>
      </c>
      <c r="EF253" s="203">
        <f t="shared" si="278"/>
        <v>5.886575584191512E-2</v>
      </c>
      <c r="EH253" s="58">
        <f t="shared" si="234"/>
        <v>33703.984638129135</v>
      </c>
      <c r="EI253" s="68">
        <f t="shared" si="210"/>
        <v>0.79320967881629745</v>
      </c>
      <c r="EJ253" s="58">
        <f t="shared" si="211"/>
        <v>30193.984638129135</v>
      </c>
      <c r="EK253" s="68">
        <f t="shared" si="210"/>
        <v>0.71060324511007356</v>
      </c>
      <c r="EL253" s="58">
        <f t="shared" si="212"/>
        <v>6627.4586588078337</v>
      </c>
      <c r="EM253" s="58">
        <f t="shared" si="213"/>
        <v>7022.2240968567576</v>
      </c>
      <c r="EN253" s="68">
        <f t="shared" si="214"/>
        <v>0.165265210634543</v>
      </c>
      <c r="EO253" s="139">
        <f t="shared" si="233"/>
        <v>0.24029016665052916</v>
      </c>
      <c r="EP253">
        <f>+(SUM(M253:O253)*EO253*(1-'[1]Tier 3 Data'!$A$2))</f>
        <v>1279.2873473769848</v>
      </c>
    </row>
    <row r="254" spans="1:146" x14ac:dyDescent="0.2">
      <c r="A254" s="43">
        <v>0</v>
      </c>
      <c r="B254" s="43">
        <v>0</v>
      </c>
      <c r="C254" s="43">
        <v>0</v>
      </c>
      <c r="D254" s="70">
        <v>2028</v>
      </c>
      <c r="E254" s="70">
        <v>7</v>
      </c>
      <c r="F254" s="2">
        <v>744</v>
      </c>
      <c r="G254" s="133">
        <f t="shared" si="226"/>
        <v>45554.174436149398</v>
      </c>
      <c r="H254" s="65">
        <v>45554.174436149398</v>
      </c>
      <c r="I254" s="133">
        <f t="shared" si="227"/>
        <v>45554.174436149398</v>
      </c>
      <c r="J254" s="133">
        <f t="shared" si="203"/>
        <v>1687.2388125000009</v>
      </c>
      <c r="K254" s="65">
        <v>1687.2388125000009</v>
      </c>
      <c r="L254" s="133">
        <f t="shared" si="204"/>
        <v>1687.2388125000009</v>
      </c>
      <c r="M254" s="65">
        <v>1709.2251160000674</v>
      </c>
      <c r="N254" s="65">
        <v>3680.5074579497937</v>
      </c>
      <c r="O254" s="65">
        <v>601.22440078300519</v>
      </c>
      <c r="P254" s="200">
        <f t="shared" si="194"/>
        <v>42069.648531229541</v>
      </c>
      <c r="Q254" s="200">
        <f t="shared" si="195"/>
        <v>42069.648531229541</v>
      </c>
      <c r="R254" s="200">
        <f t="shared" si="196"/>
        <v>42069.648531229541</v>
      </c>
      <c r="S254" s="133">
        <f t="shared" si="228"/>
        <v>43686.568303414497</v>
      </c>
      <c r="T254" s="133">
        <f t="shared" si="229"/>
        <v>43686.568303414497</v>
      </c>
      <c r="U254" s="133">
        <f t="shared" si="230"/>
        <v>43686.568303414497</v>
      </c>
      <c r="V254" s="200">
        <f t="shared" si="200"/>
        <v>42069.648531229541</v>
      </c>
      <c r="W254" s="200">
        <f t="shared" si="201"/>
        <v>42069.648531229541</v>
      </c>
      <c r="X254" s="200">
        <f t="shared" si="202"/>
        <v>42069.648531229541</v>
      </c>
      <c r="Y254" s="65">
        <v>5226.3141770175953</v>
      </c>
      <c r="Z254" s="65">
        <v>5846.7182178374451</v>
      </c>
      <c r="AA254" s="65">
        <v>2006.8109459205625</v>
      </c>
      <c r="AB254" s="200">
        <f t="shared" si="218"/>
        <v>47916.366749066983</v>
      </c>
      <c r="AC254" s="200">
        <f t="shared" si="219"/>
        <v>47916.366749066983</v>
      </c>
      <c r="AD254" s="200">
        <f t="shared" si="220"/>
        <v>47916.366749066983</v>
      </c>
      <c r="AE254" s="199">
        <f t="shared" si="261"/>
        <v>48912.88248043209</v>
      </c>
      <c r="AF254" s="199">
        <f t="shared" si="221"/>
        <v>49533.286521251939</v>
      </c>
      <c r="AG254" s="199">
        <f t="shared" si="262"/>
        <v>45693.379249335063</v>
      </c>
      <c r="AH254" s="199">
        <f t="shared" si="231"/>
        <v>47613.332885293501</v>
      </c>
      <c r="AI254" s="200">
        <f t="shared" si="222"/>
        <v>47916.366749066983</v>
      </c>
      <c r="AJ254" s="200">
        <f t="shared" si="223"/>
        <v>47916.366749066983</v>
      </c>
      <c r="AK254" s="200">
        <f t="shared" si="224"/>
        <v>47916.366749066983</v>
      </c>
      <c r="AL254" s="4"/>
      <c r="AM254" s="4"/>
      <c r="AN254" s="4"/>
      <c r="AO254" s="4"/>
      <c r="AP254" s="63"/>
      <c r="AQ254" s="18"/>
      <c r="AR254" s="10">
        <v>9920</v>
      </c>
      <c r="AS254" s="18"/>
      <c r="AT254" s="62"/>
      <c r="AU254" s="133">
        <f t="shared" si="235"/>
        <v>118.521</v>
      </c>
      <c r="AV254" s="133">
        <f t="shared" si="235"/>
        <v>3084.53</v>
      </c>
      <c r="AW254" s="63"/>
      <c r="AX254" s="63"/>
      <c r="AY254" s="65">
        <v>1237.5528587885699</v>
      </c>
      <c r="AZ254" s="63"/>
      <c r="BA254" s="65">
        <v>1516.482</v>
      </c>
      <c r="BB254" s="133">
        <f t="shared" si="206"/>
        <v>874.91</v>
      </c>
      <c r="BC254" s="65">
        <v>586.79739986786444</v>
      </c>
      <c r="BD254" s="65">
        <v>7.5724679441334652</v>
      </c>
      <c r="BE254" s="65">
        <v>0</v>
      </c>
      <c r="BF254" s="65">
        <v>144.12352207184469</v>
      </c>
      <c r="BG254" s="65">
        <v>0</v>
      </c>
      <c r="BH254" s="65">
        <v>37.888219913415</v>
      </c>
      <c r="BI254" s="65">
        <v>1488.7042626072459</v>
      </c>
      <c r="BJ254" s="65">
        <v>0</v>
      </c>
      <c r="BK254" s="65">
        <v>9.5733821057653241</v>
      </c>
      <c r="BL254" s="65">
        <v>0</v>
      </c>
      <c r="BM254" s="65">
        <v>0</v>
      </c>
      <c r="BN254" s="65">
        <v>28.535694660312817</v>
      </c>
      <c r="BO254" s="65">
        <v>212.18019192</v>
      </c>
      <c r="BP254" s="260">
        <f t="shared" si="225"/>
        <v>992</v>
      </c>
      <c r="BQ254" s="65">
        <v>169.07479244847053</v>
      </c>
      <c r="BR254" s="65">
        <v>220.90166108419822</v>
      </c>
      <c r="BS254" s="65">
        <v>799.32416145768332</v>
      </c>
      <c r="BT254" s="65">
        <v>274.15571111836306</v>
      </c>
      <c r="BU254" s="65">
        <v>301.5708034011862</v>
      </c>
      <c r="BV254" s="144">
        <f t="shared" si="215"/>
        <v>1196.4575812000471</v>
      </c>
      <c r="BW254" s="144">
        <f t="shared" si="216"/>
        <v>2576.3552205648552</v>
      </c>
      <c r="BX254" s="144">
        <f t="shared" si="217"/>
        <v>420.85708054810362</v>
      </c>
      <c r="BY254" s="5"/>
      <c r="BZ254" s="66">
        <v>7254</v>
      </c>
      <c r="CA254" s="4"/>
      <c r="CB254" s="5"/>
      <c r="CC254" s="5"/>
      <c r="CD254" s="188">
        <v>2.1042112926473342</v>
      </c>
      <c r="CE254" s="5"/>
      <c r="CF254" s="133">
        <f t="shared" si="232"/>
        <v>971.33333333333337</v>
      </c>
      <c r="CG254" s="70"/>
      <c r="CH254" s="70">
        <v>6560</v>
      </c>
      <c r="CI254" s="70"/>
      <c r="CJ254" s="133">
        <f t="shared" si="237"/>
        <v>874.91</v>
      </c>
      <c r="CK254" s="8">
        <f t="shared" si="258"/>
        <v>41005.505556328048</v>
      </c>
      <c r="CL254" s="202">
        <f t="shared" si="238"/>
        <v>6910.8611927389356</v>
      </c>
      <c r="CM254" s="202">
        <f t="shared" si="239"/>
        <v>6910.8611927389356</v>
      </c>
      <c r="CN254" s="202">
        <f t="shared" si="240"/>
        <v>6910.8611927389356</v>
      </c>
      <c r="CO254" s="9">
        <f t="shared" si="241"/>
        <v>7907.3769241040427</v>
      </c>
      <c r="CP254" s="9">
        <f t="shared" si="242"/>
        <v>8527.7809649238916</v>
      </c>
      <c r="CQ254" s="9">
        <f t="shared" si="243"/>
        <v>4687.8736930070154</v>
      </c>
      <c r="CR254" s="202">
        <f t="shared" si="244"/>
        <v>6910.8611927389356</v>
      </c>
      <c r="CS254" s="202">
        <f t="shared" si="245"/>
        <v>6910.8611927389356</v>
      </c>
      <c r="CT254" s="202">
        <f t="shared" si="246"/>
        <v>6910.8611927389356</v>
      </c>
      <c r="CU254" s="203">
        <f t="shared" si="247"/>
        <v>0.14422757111219212</v>
      </c>
      <c r="CV254" s="203">
        <f t="shared" si="248"/>
        <v>0.14422757111219212</v>
      </c>
      <c r="CW254" s="203">
        <f t="shared" si="249"/>
        <v>0.14422757111219212</v>
      </c>
      <c r="CX254" s="19">
        <f t="shared" si="250"/>
        <v>0.16166246033992046</v>
      </c>
      <c r="CY254" s="19">
        <f t="shared" si="251"/>
        <v>0.17216263171362761</v>
      </c>
      <c r="CZ254" s="19">
        <f t="shared" si="252"/>
        <v>0.10259415630931333</v>
      </c>
      <c r="DA254" s="203">
        <f t="shared" si="253"/>
        <v>0.14422757111219212</v>
      </c>
      <c r="DB254" s="203">
        <f t="shared" si="254"/>
        <v>0.14422757111219212</v>
      </c>
      <c r="DC254" s="203">
        <f t="shared" si="255"/>
        <v>0.14422757111219212</v>
      </c>
      <c r="DD254" s="65"/>
      <c r="DE254" s="66"/>
      <c r="DF254" s="66"/>
      <c r="DG254" s="66"/>
      <c r="DH254" s="66"/>
      <c r="DI254" s="66"/>
      <c r="DJ254" s="65"/>
      <c r="DK254" s="70"/>
      <c r="DL254" s="70"/>
      <c r="DM254" s="8">
        <f t="shared" si="256"/>
        <v>0</v>
      </c>
      <c r="DN254" s="8">
        <f t="shared" si="257"/>
        <v>41005.505556328048</v>
      </c>
      <c r="DO254" s="202">
        <f t="shared" si="263"/>
        <v>6910.8611927389356</v>
      </c>
      <c r="DP254" s="202">
        <f t="shared" si="264"/>
        <v>6910.8611927389356</v>
      </c>
      <c r="DQ254" s="202">
        <f t="shared" si="265"/>
        <v>6910.8611927389356</v>
      </c>
      <c r="DR254" s="9">
        <f t="shared" si="266"/>
        <v>7907.3769241040427</v>
      </c>
      <c r="DS254" s="9">
        <f t="shared" si="259"/>
        <v>8527.7809649238916</v>
      </c>
      <c r="DT254" s="9">
        <f t="shared" si="267"/>
        <v>4687.8736930070154</v>
      </c>
      <c r="DU254" s="202">
        <f t="shared" si="268"/>
        <v>6910.8611927389356</v>
      </c>
      <c r="DV254" s="202">
        <f t="shared" si="269"/>
        <v>6910.8611927389356</v>
      </c>
      <c r="DW254" s="202">
        <f t="shared" si="270"/>
        <v>6910.8611927389356</v>
      </c>
      <c r="DX254" s="203">
        <f t="shared" si="271"/>
        <v>0.14422757111219212</v>
      </c>
      <c r="DY254" s="203">
        <f t="shared" si="272"/>
        <v>0.14422757111219212</v>
      </c>
      <c r="DZ254" s="203">
        <f t="shared" si="273"/>
        <v>0.14422757111219212</v>
      </c>
      <c r="EA254" s="19">
        <f t="shared" si="274"/>
        <v>0.16166246033992046</v>
      </c>
      <c r="EB254" s="19">
        <f t="shared" si="260"/>
        <v>0.17216263171362761</v>
      </c>
      <c r="EC254" s="19">
        <f t="shared" si="275"/>
        <v>0.10259415630931333</v>
      </c>
      <c r="ED254" s="203">
        <f t="shared" si="276"/>
        <v>0.14422757111219212</v>
      </c>
      <c r="EE254" s="203">
        <f t="shared" si="277"/>
        <v>0.14422757111219212</v>
      </c>
      <c r="EF254" s="203">
        <f t="shared" si="278"/>
        <v>0.14422757111219212</v>
      </c>
      <c r="EH254" s="58">
        <f t="shared" si="234"/>
        <v>36035.820241763504</v>
      </c>
      <c r="EI254" s="68">
        <f t="shared" si="210"/>
        <v>0.72750715271643773</v>
      </c>
      <c r="EJ254" s="58">
        <f t="shared" si="211"/>
        <v>32408.820241763504</v>
      </c>
      <c r="EK254" s="68">
        <f t="shared" si="210"/>
        <v>0.65428366494233547</v>
      </c>
      <c r="EL254" s="58">
        <f t="shared" si="212"/>
        <v>6712.6339690934929</v>
      </c>
      <c r="EM254" s="58">
        <f t="shared" si="213"/>
        <v>7133.4910496415969</v>
      </c>
      <c r="EN254" s="68">
        <f t="shared" si="214"/>
        <v>0.14401408730634133</v>
      </c>
      <c r="EO254" s="139">
        <f t="shared" si="233"/>
        <v>0.25197746931178833</v>
      </c>
      <c r="EP254">
        <f>+(SUM(M254:O254)*EO254*(1-'[1]Tier 3 Data'!$A$2))</f>
        <v>1408.4439033733124</v>
      </c>
    </row>
    <row r="255" spans="1:146" x14ac:dyDescent="0.2">
      <c r="A255" s="43">
        <v>0</v>
      </c>
      <c r="B255" s="43">
        <v>0</v>
      </c>
      <c r="C255" s="43">
        <v>0</v>
      </c>
      <c r="D255" s="70">
        <v>2028</v>
      </c>
      <c r="E255" s="70">
        <v>8</v>
      </c>
      <c r="F255" s="2">
        <v>744</v>
      </c>
      <c r="G255" s="133">
        <f t="shared" si="226"/>
        <v>43507.893500203128</v>
      </c>
      <c r="H255" s="65">
        <v>43507.893500203128</v>
      </c>
      <c r="I255" s="133">
        <f t="shared" si="227"/>
        <v>43507.893500203128</v>
      </c>
      <c r="J255" s="133">
        <f t="shared" si="203"/>
        <v>1727.1637500000008</v>
      </c>
      <c r="K255" s="65">
        <v>1727.1637500000008</v>
      </c>
      <c r="L255" s="133">
        <f t="shared" si="204"/>
        <v>1727.1637500000008</v>
      </c>
      <c r="M255" s="65">
        <v>1523.4196774399222</v>
      </c>
      <c r="N255" s="65">
        <v>3280.4090180505418</v>
      </c>
      <c r="O255" s="65">
        <v>569.92387109153958</v>
      </c>
      <c r="P255" s="200">
        <f t="shared" si="194"/>
        <v>40168.60398022853</v>
      </c>
      <c r="Q255" s="200">
        <f t="shared" si="195"/>
        <v>40168.60398022853</v>
      </c>
      <c r="R255" s="200">
        <f t="shared" si="196"/>
        <v>40168.60398022853</v>
      </c>
      <c r="S255" s="133">
        <f t="shared" si="228"/>
        <v>41609.752588875665</v>
      </c>
      <c r="T255" s="133">
        <f t="shared" si="229"/>
        <v>41609.752588875665</v>
      </c>
      <c r="U255" s="133">
        <f t="shared" si="230"/>
        <v>41609.752588875665</v>
      </c>
      <c r="V255" s="200">
        <f t="shared" si="200"/>
        <v>40168.60398022853</v>
      </c>
      <c r="W255" s="200">
        <f t="shared" si="201"/>
        <v>40168.60398022853</v>
      </c>
      <c r="X255" s="200">
        <f t="shared" si="202"/>
        <v>40168.60398022853</v>
      </c>
      <c r="Y255" s="65">
        <v>5051.5354498676661</v>
      </c>
      <c r="Z255" s="65">
        <v>5325.6972223873263</v>
      </c>
      <c r="AA255" s="65">
        <v>1896.1882754963358</v>
      </c>
      <c r="AB255" s="200">
        <f t="shared" si="218"/>
        <v>45494.301202615854</v>
      </c>
      <c r="AC255" s="200">
        <f t="shared" si="219"/>
        <v>45494.301202615854</v>
      </c>
      <c r="AD255" s="200">
        <f t="shared" si="220"/>
        <v>45494.301202615854</v>
      </c>
      <c r="AE255" s="199">
        <f t="shared" si="261"/>
        <v>46661.288038743332</v>
      </c>
      <c r="AF255" s="199">
        <f t="shared" si="221"/>
        <v>46935.449811262988</v>
      </c>
      <c r="AG255" s="199">
        <f t="shared" si="262"/>
        <v>43505.940864372002</v>
      </c>
      <c r="AH255" s="199">
        <f t="shared" si="231"/>
        <v>45220.695337817495</v>
      </c>
      <c r="AI255" s="200">
        <f t="shared" si="222"/>
        <v>45494.301202615854</v>
      </c>
      <c r="AJ255" s="200">
        <f t="shared" si="223"/>
        <v>45494.301202615854</v>
      </c>
      <c r="AK255" s="200">
        <f t="shared" si="224"/>
        <v>45494.301202615854</v>
      </c>
      <c r="AL255" s="4"/>
      <c r="AM255" s="4"/>
      <c r="AN255" s="4"/>
      <c r="AO255" s="4"/>
      <c r="AP255" s="63"/>
      <c r="AQ255" s="18"/>
      <c r="AR255" s="10">
        <v>9920</v>
      </c>
      <c r="AS255" s="18"/>
      <c r="AT255" s="62"/>
      <c r="AU255" s="133">
        <f t="shared" si="235"/>
        <v>107.64</v>
      </c>
      <c r="AV255" s="133">
        <f t="shared" si="235"/>
        <v>3021.9279999999999</v>
      </c>
      <c r="AW255" s="63"/>
      <c r="AX255" s="63"/>
      <c r="AY255" s="65">
        <v>1159.3158527085716</v>
      </c>
      <c r="AZ255" s="63"/>
      <c r="BA255" s="65">
        <v>1498.2090000000001</v>
      </c>
      <c r="BB255" s="133">
        <f t="shared" si="206"/>
        <v>875.755</v>
      </c>
      <c r="BC255" s="65">
        <v>569.06141954142743</v>
      </c>
      <c r="BD255" s="65">
        <v>7.9692213995478474</v>
      </c>
      <c r="BE255" s="65">
        <v>0</v>
      </c>
      <c r="BF255" s="65">
        <v>158.69842331487976</v>
      </c>
      <c r="BG255" s="65">
        <v>0</v>
      </c>
      <c r="BH255" s="65">
        <v>31.573516594512498</v>
      </c>
      <c r="BI255" s="65">
        <v>1443.7081029115327</v>
      </c>
      <c r="BJ255" s="65">
        <v>0</v>
      </c>
      <c r="BK255" s="65">
        <v>11.152893841525399</v>
      </c>
      <c r="BL255" s="65">
        <v>0</v>
      </c>
      <c r="BM255" s="65">
        <v>0</v>
      </c>
      <c r="BN255" s="65">
        <v>23.779745550260685</v>
      </c>
      <c r="BO255" s="65">
        <v>212.18019192</v>
      </c>
      <c r="BP255" s="260">
        <f t="shared" si="225"/>
        <v>992</v>
      </c>
      <c r="BQ255" s="65">
        <v>160.46512464355342</v>
      </c>
      <c r="BR255" s="65">
        <v>209.65291816514218</v>
      </c>
      <c r="BS255" s="65">
        <v>758.62101955254718</v>
      </c>
      <c r="BT255" s="65">
        <v>260.20171333984416</v>
      </c>
      <c r="BU255" s="65">
        <v>280.60622370075299</v>
      </c>
      <c r="BV255" s="144">
        <f t="shared" si="215"/>
        <v>1066.3937742079454</v>
      </c>
      <c r="BW255" s="144">
        <f t="shared" si="216"/>
        <v>2296.2863126353791</v>
      </c>
      <c r="BX255" s="144">
        <f t="shared" si="217"/>
        <v>398.9467097640777</v>
      </c>
      <c r="BY255" s="5"/>
      <c r="BZ255" s="66">
        <v>7254</v>
      </c>
      <c r="CA255" s="4"/>
      <c r="CB255" s="5"/>
      <c r="CC255" s="5"/>
      <c r="CD255" s="188">
        <v>16.868963591035975</v>
      </c>
      <c r="CE255" s="5"/>
      <c r="CF255" s="133">
        <f t="shared" si="232"/>
        <v>598.33333333333337</v>
      </c>
      <c r="CG255" s="70"/>
      <c r="CH255" s="70">
        <v>7312</v>
      </c>
      <c r="CI255" s="70"/>
      <c r="CJ255" s="133">
        <f t="shared" si="237"/>
        <v>875.755</v>
      </c>
      <c r="CK255" s="8">
        <f t="shared" si="258"/>
        <v>40645.347460715871</v>
      </c>
      <c r="CL255" s="202">
        <f t="shared" si="238"/>
        <v>4848.9537418999826</v>
      </c>
      <c r="CM255" s="202">
        <f t="shared" si="239"/>
        <v>4848.9537418999826</v>
      </c>
      <c r="CN255" s="202">
        <f t="shared" si="240"/>
        <v>4848.9537418999826</v>
      </c>
      <c r="CO255" s="9">
        <f t="shared" si="241"/>
        <v>6015.940578027461</v>
      </c>
      <c r="CP255" s="9">
        <f t="shared" si="242"/>
        <v>6290.1023505471167</v>
      </c>
      <c r="CQ255" s="9">
        <f t="shared" si="243"/>
        <v>2860.5934036561302</v>
      </c>
      <c r="CR255" s="202">
        <f t="shared" si="244"/>
        <v>4848.9537418999826</v>
      </c>
      <c r="CS255" s="202">
        <f t="shared" si="245"/>
        <v>4848.9537418999826</v>
      </c>
      <c r="CT255" s="202">
        <f t="shared" si="246"/>
        <v>4848.9537418999826</v>
      </c>
      <c r="CU255" s="203">
        <f t="shared" si="247"/>
        <v>0.10658376134418293</v>
      </c>
      <c r="CV255" s="203">
        <f t="shared" si="248"/>
        <v>0.10658376134418293</v>
      </c>
      <c r="CW255" s="203">
        <f t="shared" si="249"/>
        <v>0.10658376134418293</v>
      </c>
      <c r="CX255" s="19">
        <f t="shared" si="250"/>
        <v>0.1289278721374422</v>
      </c>
      <c r="CY255" s="19">
        <f t="shared" si="251"/>
        <v>0.13401602362054482</v>
      </c>
      <c r="CZ255" s="19">
        <f t="shared" si="252"/>
        <v>6.5751788073585477E-2</v>
      </c>
      <c r="DA255" s="203">
        <f t="shared" si="253"/>
        <v>0.10658376134418293</v>
      </c>
      <c r="DB255" s="203">
        <f t="shared" si="254"/>
        <v>0.10658376134418293</v>
      </c>
      <c r="DC255" s="203">
        <f t="shared" si="255"/>
        <v>0.10658376134418293</v>
      </c>
      <c r="DD255" s="65"/>
      <c r="DE255" s="66"/>
      <c r="DF255" s="66"/>
      <c r="DG255" s="66"/>
      <c r="DH255" s="66"/>
      <c r="DI255" s="66"/>
      <c r="DJ255" s="65"/>
      <c r="DK255" s="70"/>
      <c r="DL255" s="70"/>
      <c r="DM255" s="8">
        <f t="shared" si="256"/>
        <v>0</v>
      </c>
      <c r="DN255" s="8">
        <f t="shared" si="257"/>
        <v>40645.347460715871</v>
      </c>
      <c r="DO255" s="202">
        <f t="shared" si="263"/>
        <v>4848.9537418999826</v>
      </c>
      <c r="DP255" s="202">
        <f t="shared" si="264"/>
        <v>4848.9537418999826</v>
      </c>
      <c r="DQ255" s="202">
        <f t="shared" si="265"/>
        <v>4848.9537418999826</v>
      </c>
      <c r="DR255" s="9">
        <f t="shared" si="266"/>
        <v>6015.940578027461</v>
      </c>
      <c r="DS255" s="9">
        <f t="shared" si="259"/>
        <v>6290.1023505471167</v>
      </c>
      <c r="DT255" s="9">
        <f t="shared" si="267"/>
        <v>2860.5934036561302</v>
      </c>
      <c r="DU255" s="202">
        <f t="shared" si="268"/>
        <v>4848.9537418999826</v>
      </c>
      <c r="DV255" s="202">
        <f t="shared" si="269"/>
        <v>4848.9537418999826</v>
      </c>
      <c r="DW255" s="202">
        <f t="shared" si="270"/>
        <v>4848.9537418999826</v>
      </c>
      <c r="DX255" s="203">
        <f t="shared" si="271"/>
        <v>0.10658376134418293</v>
      </c>
      <c r="DY255" s="203">
        <f t="shared" si="272"/>
        <v>0.10658376134418293</v>
      </c>
      <c r="DZ255" s="203">
        <f t="shared" si="273"/>
        <v>0.10658376134418293</v>
      </c>
      <c r="EA255" s="19">
        <f t="shared" si="274"/>
        <v>0.1289278721374422</v>
      </c>
      <c r="EB255" s="19">
        <f t="shared" si="260"/>
        <v>0.13401602362054482</v>
      </c>
      <c r="EC255" s="19">
        <f t="shared" si="275"/>
        <v>6.5751788073585477E-2</v>
      </c>
      <c r="ED255" s="203">
        <f t="shared" si="276"/>
        <v>0.10658376134418293</v>
      </c>
      <c r="EE255" s="203">
        <f t="shared" si="277"/>
        <v>0.10658376134418293</v>
      </c>
      <c r="EF255" s="203">
        <f t="shared" si="278"/>
        <v>0.10658376134418293</v>
      </c>
      <c r="EH255" s="58">
        <f t="shared" si="234"/>
        <v>35776.386299602003</v>
      </c>
      <c r="EI255" s="68">
        <f t="shared" si="210"/>
        <v>0.76224658426554226</v>
      </c>
      <c r="EJ255" s="58">
        <f t="shared" si="211"/>
        <v>32149.386299602007</v>
      </c>
      <c r="EK255" s="68">
        <f t="shared" si="210"/>
        <v>0.6849702395285705</v>
      </c>
      <c r="EL255" s="58">
        <f t="shared" si="212"/>
        <v>6265.258403796026</v>
      </c>
      <c r="EM255" s="58">
        <f t="shared" si="213"/>
        <v>6664.2051135601032</v>
      </c>
      <c r="EN255" s="68">
        <f t="shared" si="214"/>
        <v>0.14198660373679661</v>
      </c>
      <c r="EO255" s="139">
        <f t="shared" si="233"/>
        <v>0.28519905910129462</v>
      </c>
      <c r="EP255">
        <f>+(SUM(M255:O255)*EO255*(1-'[1]Tier 3 Data'!$A$2))</f>
        <v>1429.9057010515869</v>
      </c>
    </row>
    <row r="256" spans="1:146" x14ac:dyDescent="0.2">
      <c r="A256" s="43">
        <v>0</v>
      </c>
      <c r="B256" s="43">
        <v>0</v>
      </c>
      <c r="C256" s="43">
        <v>0</v>
      </c>
      <c r="D256" s="70">
        <v>2028</v>
      </c>
      <c r="E256" s="70">
        <v>9</v>
      </c>
      <c r="F256" s="2">
        <v>720</v>
      </c>
      <c r="G256" s="133">
        <f t="shared" si="226"/>
        <v>37795.445109943896</v>
      </c>
      <c r="H256" s="65">
        <v>37795.445109943896</v>
      </c>
      <c r="I256" s="133">
        <f t="shared" si="227"/>
        <v>37795.445109943896</v>
      </c>
      <c r="J256" s="133">
        <f t="shared" si="203"/>
        <v>1767.0886875000008</v>
      </c>
      <c r="K256" s="65">
        <v>1767.0886875000008</v>
      </c>
      <c r="L256" s="133">
        <f t="shared" si="204"/>
        <v>1767.0886875000008</v>
      </c>
      <c r="M256" s="65">
        <v>1305.6369062084025</v>
      </c>
      <c r="N256" s="65">
        <v>2811.4531700307239</v>
      </c>
      <c r="O256" s="65">
        <v>496.12923919874271</v>
      </c>
      <c r="P256" s="200">
        <f t="shared" ref="P256:P319" si="279">+$G256-J256-(30%*SUM($M256:$O256))</f>
        <v>34644.390627812536</v>
      </c>
      <c r="Q256" s="200">
        <f t="shared" ref="Q256:Q319" si="280">+$G256-K256-(30%*SUM($M256:$O256))</f>
        <v>34644.390627812536</v>
      </c>
      <c r="R256" s="200">
        <f t="shared" ref="R256:R319" si="281">+$G256-L256-(30%*SUM($M256:$O256))</f>
        <v>34644.390627812536</v>
      </c>
      <c r="S256" s="133">
        <f t="shared" si="228"/>
        <v>35879.517650684276</v>
      </c>
      <c r="T256" s="133">
        <f t="shared" si="229"/>
        <v>35879.517650684276</v>
      </c>
      <c r="U256" s="133">
        <f t="shared" si="230"/>
        <v>35879.517650684276</v>
      </c>
      <c r="V256" s="200">
        <f t="shared" ref="V256:V319" si="282">+$I256-J256-(30%*SUM($M256:$O256))</f>
        <v>34644.390627812536</v>
      </c>
      <c r="W256" s="200">
        <f t="shared" ref="W256:W319" si="283">+$I256-K256-(30%*SUM($M256:$O256))</f>
        <v>34644.390627812536</v>
      </c>
      <c r="X256" s="200">
        <f t="shared" ref="X256:X319" si="284">+$I256-L256-(30%*SUM($M256:$O256))</f>
        <v>34644.390627812536</v>
      </c>
      <c r="Y256" s="65">
        <v>4818.69217508168</v>
      </c>
      <c r="Z256" s="65">
        <v>4807.9748556006252</v>
      </c>
      <c r="AA256" s="65">
        <v>1705.8759183496618</v>
      </c>
      <c r="AB256" s="200">
        <f t="shared" si="218"/>
        <v>39452.365483413159</v>
      </c>
      <c r="AC256" s="200">
        <f t="shared" si="219"/>
        <v>39452.365483413159</v>
      </c>
      <c r="AD256" s="200">
        <f t="shared" si="220"/>
        <v>39452.365483413159</v>
      </c>
      <c r="AE256" s="199">
        <f t="shared" si="261"/>
        <v>40698.209825765953</v>
      </c>
      <c r="AF256" s="199">
        <f t="shared" si="221"/>
        <v>40687.4925062849</v>
      </c>
      <c r="AG256" s="199">
        <f t="shared" si="262"/>
        <v>37585.393569033935</v>
      </c>
      <c r="AH256" s="199">
        <f t="shared" si="231"/>
        <v>39141.801697399947</v>
      </c>
      <c r="AI256" s="200">
        <f t="shared" si="222"/>
        <v>39452.365483413159</v>
      </c>
      <c r="AJ256" s="200">
        <f t="shared" si="223"/>
        <v>39452.365483413159</v>
      </c>
      <c r="AK256" s="200">
        <f t="shared" si="224"/>
        <v>39452.365483413159</v>
      </c>
      <c r="AL256" s="4"/>
      <c r="AM256" s="4"/>
      <c r="AN256" s="4"/>
      <c r="AO256" s="4"/>
      <c r="AP256" s="63"/>
      <c r="AQ256" s="18"/>
      <c r="AR256" s="10">
        <v>9600</v>
      </c>
      <c r="AS256" s="18"/>
      <c r="AT256" s="62"/>
      <c r="AU256" s="133">
        <f t="shared" si="235"/>
        <v>102.375</v>
      </c>
      <c r="AV256" s="133">
        <f t="shared" si="235"/>
        <v>2969.6280000000002</v>
      </c>
      <c r="AW256" s="63"/>
      <c r="AX256" s="63"/>
      <c r="AY256" s="65">
        <v>1065.150988617143</v>
      </c>
      <c r="AZ256" s="63"/>
      <c r="BA256" s="65">
        <v>2037.9549999999999</v>
      </c>
      <c r="BB256" s="133">
        <f t="shared" si="206"/>
        <v>1324.9169999999999</v>
      </c>
      <c r="BC256" s="65">
        <v>529.48077460711397</v>
      </c>
      <c r="BD256" s="65">
        <v>10.55810604601432</v>
      </c>
      <c r="BE256" s="65">
        <v>0</v>
      </c>
      <c r="BF256" s="65">
        <v>164.12369835717462</v>
      </c>
      <c r="BG256" s="65">
        <v>0</v>
      </c>
      <c r="BH256" s="65">
        <v>6.3147033189024988</v>
      </c>
      <c r="BI256" s="65">
        <v>1343.2920566854839</v>
      </c>
      <c r="BJ256" s="65">
        <v>0</v>
      </c>
      <c r="BK256" s="65">
        <v>13.355863258351745</v>
      </c>
      <c r="BL256" s="65">
        <v>0</v>
      </c>
      <c r="BM256" s="65">
        <v>0</v>
      </c>
      <c r="BN256" s="65">
        <v>4.7559491100521365</v>
      </c>
      <c r="BO256" s="65">
        <v>205.33566960000002</v>
      </c>
      <c r="BP256" s="260">
        <f t="shared" si="225"/>
        <v>960</v>
      </c>
      <c r="BQ256" s="65">
        <v>128.11848851688495</v>
      </c>
      <c r="BR256" s="65">
        <v>167.39102859433186</v>
      </c>
      <c r="BS256" s="65">
        <v>605.69799943731743</v>
      </c>
      <c r="BT256" s="65">
        <v>224.11315349155896</v>
      </c>
      <c r="BU256" s="65">
        <v>230.40000022303769</v>
      </c>
      <c r="BV256" s="144">
        <f t="shared" si="215"/>
        <v>913.94583434588162</v>
      </c>
      <c r="BW256" s="144">
        <f t="shared" si="216"/>
        <v>1968.0172190215067</v>
      </c>
      <c r="BX256" s="144">
        <f t="shared" si="217"/>
        <v>347.29046743911988</v>
      </c>
      <c r="BY256" s="5"/>
      <c r="BZ256" s="66">
        <v>7020</v>
      </c>
      <c r="CA256" s="4"/>
      <c r="CB256" s="5"/>
      <c r="CC256" s="5"/>
      <c r="CD256" s="188">
        <v>2.2241810746462862</v>
      </c>
      <c r="CE256" s="5"/>
      <c r="CF256" s="133">
        <f t="shared" si="232"/>
        <v>655.33333333333337</v>
      </c>
      <c r="CG256" s="70"/>
      <c r="CH256" s="70">
        <v>4800</v>
      </c>
      <c r="CI256" s="70"/>
      <c r="CJ256" s="133">
        <f t="shared" si="237"/>
        <v>1324.9169999999999</v>
      </c>
      <c r="CK256" s="8">
        <f t="shared" si="258"/>
        <v>37399.77451507785</v>
      </c>
      <c r="CL256" s="202">
        <f t="shared" si="238"/>
        <v>2052.5909683353093</v>
      </c>
      <c r="CM256" s="202">
        <f t="shared" si="239"/>
        <v>2052.5909683353093</v>
      </c>
      <c r="CN256" s="202">
        <f t="shared" si="240"/>
        <v>2052.5909683353093</v>
      </c>
      <c r="CO256" s="9">
        <f t="shared" si="241"/>
        <v>3298.4353106881026</v>
      </c>
      <c r="CP256" s="9">
        <f t="shared" si="242"/>
        <v>3287.7179912070496</v>
      </c>
      <c r="CQ256" s="9">
        <f t="shared" si="243"/>
        <v>185.61905395608483</v>
      </c>
      <c r="CR256" s="202">
        <f t="shared" si="244"/>
        <v>2052.5909683353093</v>
      </c>
      <c r="CS256" s="202">
        <f t="shared" si="245"/>
        <v>2052.5909683353093</v>
      </c>
      <c r="CT256" s="202">
        <f t="shared" si="246"/>
        <v>2052.5909683353093</v>
      </c>
      <c r="CU256" s="203">
        <f t="shared" si="247"/>
        <v>5.2027069687323922E-2</v>
      </c>
      <c r="CV256" s="203">
        <f t="shared" si="248"/>
        <v>5.2027069687323922E-2</v>
      </c>
      <c r="CW256" s="203">
        <f t="shared" si="249"/>
        <v>5.2027069687323922E-2</v>
      </c>
      <c r="CX256" s="19">
        <f t="shared" si="250"/>
        <v>8.1046201413013261E-2</v>
      </c>
      <c r="CY256" s="19">
        <f t="shared" si="251"/>
        <v>8.0804143698440092E-2</v>
      </c>
      <c r="CZ256" s="19">
        <f t="shared" si="252"/>
        <v>4.9385954577049768E-3</v>
      </c>
      <c r="DA256" s="203">
        <f t="shared" si="253"/>
        <v>5.2027069687323922E-2</v>
      </c>
      <c r="DB256" s="203">
        <f t="shared" si="254"/>
        <v>5.2027069687323922E-2</v>
      </c>
      <c r="DC256" s="203">
        <f t="shared" si="255"/>
        <v>5.2027069687323922E-2</v>
      </c>
      <c r="DD256" s="65"/>
      <c r="DE256" s="66"/>
      <c r="DF256" s="66"/>
      <c r="DG256" s="66"/>
      <c r="DH256" s="66"/>
      <c r="DI256" s="66"/>
      <c r="DJ256" s="65"/>
      <c r="DK256" s="70"/>
      <c r="DL256" s="70"/>
      <c r="DM256" s="8">
        <f t="shared" si="256"/>
        <v>0</v>
      </c>
      <c r="DN256" s="8">
        <f t="shared" si="257"/>
        <v>37399.77451507785</v>
      </c>
      <c r="DO256" s="202">
        <f t="shared" si="263"/>
        <v>2052.5909683353093</v>
      </c>
      <c r="DP256" s="202">
        <f t="shared" si="264"/>
        <v>2052.5909683353093</v>
      </c>
      <c r="DQ256" s="202">
        <f t="shared" si="265"/>
        <v>2052.5909683353093</v>
      </c>
      <c r="DR256" s="9">
        <f t="shared" si="266"/>
        <v>3298.4353106881026</v>
      </c>
      <c r="DS256" s="9">
        <f t="shared" si="259"/>
        <v>3287.7179912070496</v>
      </c>
      <c r="DT256" s="9">
        <f t="shared" si="267"/>
        <v>185.61905395608483</v>
      </c>
      <c r="DU256" s="202">
        <f t="shared" si="268"/>
        <v>2052.5909683353093</v>
      </c>
      <c r="DV256" s="202">
        <f t="shared" si="269"/>
        <v>2052.5909683353093</v>
      </c>
      <c r="DW256" s="202">
        <f t="shared" si="270"/>
        <v>2052.5909683353093</v>
      </c>
      <c r="DX256" s="203">
        <f t="shared" si="271"/>
        <v>5.2027069687323922E-2</v>
      </c>
      <c r="DY256" s="203">
        <f t="shared" si="272"/>
        <v>5.2027069687323922E-2</v>
      </c>
      <c r="DZ256" s="203">
        <f t="shared" si="273"/>
        <v>5.2027069687323922E-2</v>
      </c>
      <c r="EA256" s="19">
        <f t="shared" si="274"/>
        <v>8.1046201413013261E-2</v>
      </c>
      <c r="EB256" s="19">
        <f t="shared" si="260"/>
        <v>8.0804143698440092E-2</v>
      </c>
      <c r="EC256" s="19">
        <f t="shared" si="275"/>
        <v>4.9385954577049768E-3</v>
      </c>
      <c r="ED256" s="203">
        <f t="shared" si="276"/>
        <v>5.2027069687323922E-2</v>
      </c>
      <c r="EE256" s="203">
        <f t="shared" si="277"/>
        <v>5.2027069687323922E-2</v>
      </c>
      <c r="EF256" s="203">
        <f t="shared" si="278"/>
        <v>5.2027069687323922E-2</v>
      </c>
      <c r="EH256" s="58">
        <f t="shared" si="234"/>
        <v>32809.480801300146</v>
      </c>
      <c r="EI256" s="68">
        <f t="shared" si="210"/>
        <v>0.80637755684335044</v>
      </c>
      <c r="EJ256" s="58">
        <f t="shared" si="211"/>
        <v>29299.480801300149</v>
      </c>
      <c r="EK256" s="68">
        <f t="shared" si="210"/>
        <v>0.72011025984887933</v>
      </c>
      <c r="EL256" s="58">
        <f t="shared" si="212"/>
        <v>5436.8310119105563</v>
      </c>
      <c r="EM256" s="58">
        <f t="shared" si="213"/>
        <v>5784.1214793496765</v>
      </c>
      <c r="EN256" s="68">
        <f t="shared" si="214"/>
        <v>0.14215969387782296</v>
      </c>
      <c r="EO256" s="139">
        <f t="shared" si="233"/>
        <v>0.31860645638858931</v>
      </c>
      <c r="EP256">
        <f>+(SUM(M256:O256)*EO256*(1-'[1]Tier 3 Data'!$A$2))</f>
        <v>1371.3247609065047</v>
      </c>
    </row>
    <row r="257" spans="1:146" x14ac:dyDescent="0.2">
      <c r="A257" s="43">
        <v>0</v>
      </c>
      <c r="B257" s="43">
        <v>0</v>
      </c>
      <c r="C257" s="43">
        <v>0</v>
      </c>
      <c r="D257" s="70">
        <v>2028</v>
      </c>
      <c r="E257" s="70">
        <v>10</v>
      </c>
      <c r="F257" s="2">
        <v>744</v>
      </c>
      <c r="G257" s="133">
        <f t="shared" si="226"/>
        <v>39725.470156801603</v>
      </c>
      <c r="H257" s="65">
        <v>39725.470156801603</v>
      </c>
      <c r="I257" s="133">
        <f t="shared" si="227"/>
        <v>39725.470156801603</v>
      </c>
      <c r="J257" s="133">
        <f t="shared" ref="J257:J320" si="285">+K257</f>
        <v>1807.0136250000007</v>
      </c>
      <c r="K257" s="65">
        <v>1807.0136250000007</v>
      </c>
      <c r="L257" s="133">
        <f t="shared" ref="L257:L320" si="286">+K257</f>
        <v>1807.0136250000007</v>
      </c>
      <c r="M257" s="65">
        <v>957.87478015852639</v>
      </c>
      <c r="N257" s="65">
        <v>2062.6102665784465</v>
      </c>
      <c r="O257" s="65">
        <v>369.64209621786813</v>
      </c>
      <c r="P257" s="200">
        <f t="shared" si="279"/>
        <v>36901.418388915154</v>
      </c>
      <c r="Q257" s="200">
        <f t="shared" si="280"/>
        <v>36901.418388915154</v>
      </c>
      <c r="R257" s="200">
        <f t="shared" si="281"/>
        <v>36901.418388915154</v>
      </c>
      <c r="S257" s="133">
        <f t="shared" si="228"/>
        <v>37807.563902936243</v>
      </c>
      <c r="T257" s="133">
        <f t="shared" si="229"/>
        <v>37807.563902936243</v>
      </c>
      <c r="U257" s="133">
        <f t="shared" si="230"/>
        <v>37807.563902936243</v>
      </c>
      <c r="V257" s="200">
        <f t="shared" si="282"/>
        <v>36901.418388915154</v>
      </c>
      <c r="W257" s="200">
        <f t="shared" si="283"/>
        <v>36901.418388915154</v>
      </c>
      <c r="X257" s="200">
        <f t="shared" si="284"/>
        <v>36901.418388915154</v>
      </c>
      <c r="Y257" s="65">
        <v>5444.52120189367</v>
      </c>
      <c r="Z257" s="65">
        <v>6002.7761963783851</v>
      </c>
      <c r="AA257" s="65">
        <v>2064.0938387632273</v>
      </c>
      <c r="AB257" s="200">
        <f t="shared" si="218"/>
        <v>42904.194585293539</v>
      </c>
      <c r="AC257" s="200">
        <f t="shared" si="219"/>
        <v>42904.194585293539</v>
      </c>
      <c r="AD257" s="200">
        <f t="shared" si="220"/>
        <v>42904.194585293539</v>
      </c>
      <c r="AE257" s="199">
        <f t="shared" si="261"/>
        <v>43252.085104829916</v>
      </c>
      <c r="AF257" s="199">
        <f t="shared" si="221"/>
        <v>43810.340099314628</v>
      </c>
      <c r="AG257" s="199">
        <f t="shared" si="262"/>
        <v>39871.65774169947</v>
      </c>
      <c r="AH257" s="199">
        <f t="shared" si="231"/>
        <v>41840.998920507045</v>
      </c>
      <c r="AI257" s="200">
        <f t="shared" si="222"/>
        <v>42904.194585293539</v>
      </c>
      <c r="AJ257" s="200">
        <f t="shared" si="223"/>
        <v>42904.194585293539</v>
      </c>
      <c r="AK257" s="200">
        <f t="shared" si="224"/>
        <v>42904.194585293539</v>
      </c>
      <c r="AL257" s="4"/>
      <c r="AM257" s="4"/>
      <c r="AN257" s="4"/>
      <c r="AO257" s="4"/>
      <c r="AP257" s="63"/>
      <c r="AQ257" s="18"/>
      <c r="AR257" s="10">
        <v>9920</v>
      </c>
      <c r="AS257" s="18"/>
      <c r="AT257" s="62"/>
      <c r="AU257" s="133">
        <f t="shared" si="235"/>
        <v>118.17</v>
      </c>
      <c r="AV257" s="133">
        <f t="shared" si="235"/>
        <v>3225.1860000000001</v>
      </c>
      <c r="AW257" s="63"/>
      <c r="AX257" s="63"/>
      <c r="AY257" s="65">
        <v>1031.6699594133333</v>
      </c>
      <c r="AZ257" s="63"/>
      <c r="BA257" s="65">
        <v>1760</v>
      </c>
      <c r="BB257" s="133">
        <f t="shared" si="206"/>
        <v>1586.51</v>
      </c>
      <c r="BC257" s="65">
        <v>387.84712854806463</v>
      </c>
      <c r="BD257" s="65">
        <v>15.523669194184084</v>
      </c>
      <c r="BE257" s="65">
        <v>0</v>
      </c>
      <c r="BF257" s="65">
        <v>180.28804750208775</v>
      </c>
      <c r="BG257" s="65">
        <v>0</v>
      </c>
      <c r="BH257" s="65">
        <v>44.202923232317495</v>
      </c>
      <c r="BI257" s="65">
        <v>983.96767545238163</v>
      </c>
      <c r="BJ257" s="65">
        <v>0</v>
      </c>
      <c r="BK257" s="65">
        <v>16.565610887239799</v>
      </c>
      <c r="BL257" s="65">
        <v>0</v>
      </c>
      <c r="BM257" s="65">
        <v>0</v>
      </c>
      <c r="BN257" s="65">
        <v>33.291643770364956</v>
      </c>
      <c r="BO257" s="65">
        <v>212.18019192</v>
      </c>
      <c r="BP257" s="260">
        <f t="shared" si="225"/>
        <v>992</v>
      </c>
      <c r="BQ257" s="65">
        <v>101.08562596247387</v>
      </c>
      <c r="BR257" s="65">
        <v>132.07166867945602</v>
      </c>
      <c r="BS257" s="65">
        <v>477.89625274000116</v>
      </c>
      <c r="BT257" s="65">
        <v>157.75141184444851</v>
      </c>
      <c r="BU257" s="65">
        <v>157.28956857091359</v>
      </c>
      <c r="BV257" s="144">
        <f t="shared" si="215"/>
        <v>670.51234611096845</v>
      </c>
      <c r="BW257" s="144">
        <f t="shared" si="216"/>
        <v>1443.8271866049124</v>
      </c>
      <c r="BX257" s="144">
        <f t="shared" si="217"/>
        <v>258.74946735250768</v>
      </c>
      <c r="BY257" s="5"/>
      <c r="BZ257" s="66">
        <v>7254</v>
      </c>
      <c r="CA257" s="4"/>
      <c r="CB257" s="5"/>
      <c r="CC257" s="5"/>
      <c r="CD257" s="188">
        <v>0</v>
      </c>
      <c r="CE257" s="5"/>
      <c r="CF257" s="133">
        <f t="shared" si="232"/>
        <v>865.33333333333337</v>
      </c>
      <c r="CG257" s="70"/>
      <c r="CH257" s="70">
        <v>2832</v>
      </c>
      <c r="CI257" s="70"/>
      <c r="CJ257" s="133">
        <f t="shared" si="237"/>
        <v>1586.51</v>
      </c>
      <c r="CK257" s="8">
        <f t="shared" si="258"/>
        <v>34857.919711118986</v>
      </c>
      <c r="CL257" s="202">
        <f t="shared" si="238"/>
        <v>8046.2748741745527</v>
      </c>
      <c r="CM257" s="202">
        <f t="shared" si="239"/>
        <v>8046.2748741745527</v>
      </c>
      <c r="CN257" s="202">
        <f t="shared" si="240"/>
        <v>8046.2748741745527</v>
      </c>
      <c r="CO257" s="9">
        <f t="shared" si="241"/>
        <v>8394.1653937109295</v>
      </c>
      <c r="CP257" s="9">
        <f t="shared" si="242"/>
        <v>8952.4203881956419</v>
      </c>
      <c r="CQ257" s="9">
        <f t="shared" si="243"/>
        <v>5013.7380305804836</v>
      </c>
      <c r="CR257" s="202">
        <f t="shared" si="244"/>
        <v>8046.2748741745527</v>
      </c>
      <c r="CS257" s="202">
        <f t="shared" si="245"/>
        <v>8046.2748741745527</v>
      </c>
      <c r="CT257" s="202">
        <f t="shared" si="246"/>
        <v>8046.2748741745527</v>
      </c>
      <c r="CU257" s="203">
        <f t="shared" si="247"/>
        <v>0.18754051793650522</v>
      </c>
      <c r="CV257" s="203">
        <f t="shared" si="248"/>
        <v>0.18754051793650522</v>
      </c>
      <c r="CW257" s="203">
        <f t="shared" si="249"/>
        <v>0.18754051793650522</v>
      </c>
      <c r="CX257" s="19">
        <f t="shared" si="250"/>
        <v>0.19407539251266204</v>
      </c>
      <c r="CY257" s="19">
        <f t="shared" si="251"/>
        <v>0.20434491875436717</v>
      </c>
      <c r="CZ257" s="19">
        <f t="shared" si="252"/>
        <v>0.12574691684657255</v>
      </c>
      <c r="DA257" s="203">
        <f t="shared" si="253"/>
        <v>0.18754051793650522</v>
      </c>
      <c r="DB257" s="203">
        <f t="shared" si="254"/>
        <v>0.18754051793650522</v>
      </c>
      <c r="DC257" s="203">
        <f t="shared" si="255"/>
        <v>0.18754051793650522</v>
      </c>
      <c r="DD257" s="65"/>
      <c r="DE257" s="66"/>
      <c r="DF257" s="66"/>
      <c r="DG257" s="66"/>
      <c r="DH257" s="66"/>
      <c r="DI257" s="66"/>
      <c r="DJ257" s="65"/>
      <c r="DK257" s="70"/>
      <c r="DL257" s="70"/>
      <c r="DM257" s="8">
        <f t="shared" si="256"/>
        <v>0</v>
      </c>
      <c r="DN257" s="8">
        <f t="shared" si="257"/>
        <v>34857.919711118986</v>
      </c>
      <c r="DO257" s="202">
        <f t="shared" si="263"/>
        <v>8046.2748741745527</v>
      </c>
      <c r="DP257" s="202">
        <f t="shared" si="264"/>
        <v>8046.2748741745527</v>
      </c>
      <c r="DQ257" s="202">
        <f t="shared" si="265"/>
        <v>8046.2748741745527</v>
      </c>
      <c r="DR257" s="9">
        <f t="shared" si="266"/>
        <v>8394.1653937109295</v>
      </c>
      <c r="DS257" s="9">
        <f t="shared" si="259"/>
        <v>8952.4203881956419</v>
      </c>
      <c r="DT257" s="9">
        <f t="shared" si="267"/>
        <v>5013.7380305804836</v>
      </c>
      <c r="DU257" s="202">
        <f t="shared" si="268"/>
        <v>8046.2748741745527</v>
      </c>
      <c r="DV257" s="202">
        <f t="shared" si="269"/>
        <v>8046.2748741745527</v>
      </c>
      <c r="DW257" s="202">
        <f t="shared" si="270"/>
        <v>8046.2748741745527</v>
      </c>
      <c r="DX257" s="203">
        <f t="shared" si="271"/>
        <v>0.18754051793650522</v>
      </c>
      <c r="DY257" s="203">
        <f t="shared" si="272"/>
        <v>0.18754051793650522</v>
      </c>
      <c r="DZ257" s="203">
        <f t="shared" si="273"/>
        <v>0.18754051793650522</v>
      </c>
      <c r="EA257" s="19">
        <f t="shared" si="274"/>
        <v>0.19407539251266204</v>
      </c>
      <c r="EB257" s="19">
        <f t="shared" si="260"/>
        <v>0.20434491875436717</v>
      </c>
      <c r="EC257" s="19">
        <f t="shared" si="275"/>
        <v>0.12574691684657255</v>
      </c>
      <c r="ED257" s="203">
        <f t="shared" si="276"/>
        <v>0.18754051793650522</v>
      </c>
      <c r="EE257" s="203">
        <f t="shared" si="277"/>
        <v>0.18754051793650522</v>
      </c>
      <c r="EF257" s="203">
        <f t="shared" si="278"/>
        <v>0.18754051793650522</v>
      </c>
      <c r="EH257" s="58">
        <f>SUMIF($AL$1:$DL$1,1,$AL257:$DL257)-0.5*BZ257</f>
        <v>30380.119317505931</v>
      </c>
      <c r="EI257" s="68">
        <f t="shared" si="210"/>
        <v>0.69344632451235411</v>
      </c>
      <c r="EJ257" s="58">
        <f t="shared" si="211"/>
        <v>26753.119317505927</v>
      </c>
      <c r="EK257" s="68">
        <f t="shared" si="210"/>
        <v>0.61065764969773551</v>
      </c>
      <c r="EL257" s="58">
        <f t="shared" si="212"/>
        <v>4163.5005574067582</v>
      </c>
      <c r="EM257" s="58">
        <f t="shared" si="213"/>
        <v>4422.2500247592661</v>
      </c>
      <c r="EN257" s="68">
        <f t="shared" si="214"/>
        <v>0.10094078280913524</v>
      </c>
      <c r="EO257" s="139">
        <f t="shared" si="233"/>
        <v>0.35739486552628164</v>
      </c>
      <c r="EP257">
        <f>+(SUM(M257:O257)*EO257*(1-'[1]Tier 3 Data'!$A$2))</f>
        <v>1130.4358940703289</v>
      </c>
    </row>
    <row r="258" spans="1:146" x14ac:dyDescent="0.2">
      <c r="A258" s="43">
        <v>0</v>
      </c>
      <c r="B258" s="43">
        <v>0</v>
      </c>
      <c r="C258" s="43">
        <v>0</v>
      </c>
      <c r="D258" s="70">
        <v>2028</v>
      </c>
      <c r="E258" s="70">
        <v>11</v>
      </c>
      <c r="F258" s="2">
        <v>721</v>
      </c>
      <c r="G258" s="133">
        <f t="shared" si="226"/>
        <v>42044.133622069283</v>
      </c>
      <c r="H258" s="65">
        <v>42044.133622069283</v>
      </c>
      <c r="I258" s="133">
        <f t="shared" si="227"/>
        <v>42044.133622069283</v>
      </c>
      <c r="J258" s="133">
        <f t="shared" si="285"/>
        <v>1846.9385625000007</v>
      </c>
      <c r="K258" s="65">
        <v>1846.9385625000007</v>
      </c>
      <c r="L258" s="133">
        <f t="shared" si="286"/>
        <v>1846.9385625000007</v>
      </c>
      <c r="M258" s="65">
        <v>391.15101618171565</v>
      </c>
      <c r="N258" s="65">
        <v>842.27303867993726</v>
      </c>
      <c r="O258" s="65">
        <v>153.87905992316468</v>
      </c>
      <c r="P258" s="200">
        <f t="shared" si="279"/>
        <v>39781.004125133841</v>
      </c>
      <c r="Q258" s="200">
        <f t="shared" si="280"/>
        <v>39781.004125133841</v>
      </c>
      <c r="R258" s="200">
        <f t="shared" si="281"/>
        <v>39781.004125133841</v>
      </c>
      <c r="S258" s="133">
        <f t="shared" si="228"/>
        <v>40151.031341592337</v>
      </c>
      <c r="T258" s="133">
        <f t="shared" si="229"/>
        <v>40151.031341592337</v>
      </c>
      <c r="U258" s="133">
        <f t="shared" si="230"/>
        <v>40151.031341592337</v>
      </c>
      <c r="V258" s="200">
        <f t="shared" si="282"/>
        <v>39781.004125133841</v>
      </c>
      <c r="W258" s="200">
        <f t="shared" si="283"/>
        <v>39781.004125133841</v>
      </c>
      <c r="X258" s="200">
        <f t="shared" si="284"/>
        <v>39781.004125133841</v>
      </c>
      <c r="Y258" s="65">
        <v>7865.9259254624521</v>
      </c>
      <c r="Z258" s="65">
        <v>10141.470813676107</v>
      </c>
      <c r="AA258" s="65">
        <v>3312.251706813357</v>
      </c>
      <c r="AB258" s="200">
        <f t="shared" si="218"/>
        <v>49922.474938809944</v>
      </c>
      <c r="AC258" s="200">
        <f t="shared" si="219"/>
        <v>49922.474938809944</v>
      </c>
      <c r="AD258" s="200">
        <f t="shared" si="220"/>
        <v>49922.474938809944</v>
      </c>
      <c r="AE258" s="199">
        <f t="shared" si="261"/>
        <v>48016.957267054793</v>
      </c>
      <c r="AF258" s="199">
        <f t="shared" si="221"/>
        <v>50292.502155268448</v>
      </c>
      <c r="AG258" s="199">
        <f t="shared" si="262"/>
        <v>43463.283048405698</v>
      </c>
      <c r="AH258" s="199">
        <f t="shared" si="231"/>
        <v>46877.892601837069</v>
      </c>
      <c r="AI258" s="200">
        <f t="shared" si="222"/>
        <v>49922.474938809944</v>
      </c>
      <c r="AJ258" s="200">
        <f t="shared" si="223"/>
        <v>49922.474938809944</v>
      </c>
      <c r="AK258" s="200">
        <f t="shared" si="224"/>
        <v>49922.474938809944</v>
      </c>
      <c r="AL258" s="4"/>
      <c r="AM258" s="4"/>
      <c r="AN258" s="4"/>
      <c r="AO258" s="4"/>
      <c r="AP258" s="63"/>
      <c r="AQ258" s="18"/>
      <c r="AR258" s="10">
        <v>9600</v>
      </c>
      <c r="AS258" s="18"/>
      <c r="AT258" s="62"/>
      <c r="AU258" s="133">
        <f t="shared" si="235"/>
        <v>104.364</v>
      </c>
      <c r="AV258" s="133">
        <f t="shared" si="235"/>
        <v>3268.3739999999998</v>
      </c>
      <c r="AW258" s="63"/>
      <c r="AX258" s="63"/>
      <c r="AY258" s="65">
        <v>1051.7654038000001</v>
      </c>
      <c r="AZ258" s="63"/>
      <c r="BA258" s="65">
        <v>2363</v>
      </c>
      <c r="BB258" s="133">
        <f t="shared" si="206"/>
        <v>2045.05</v>
      </c>
      <c r="BC258" s="65">
        <v>283.87477427119757</v>
      </c>
      <c r="BD258" s="65">
        <v>14.399660735694527</v>
      </c>
      <c r="BE258" s="65">
        <v>0</v>
      </c>
      <c r="BF258" s="65">
        <v>188.4392525423311</v>
      </c>
      <c r="BG258" s="65">
        <v>0</v>
      </c>
      <c r="BH258" s="65">
        <v>82.091143145732502</v>
      </c>
      <c r="BI258" s="65">
        <v>720.18994392164086</v>
      </c>
      <c r="BJ258" s="65">
        <v>0</v>
      </c>
      <c r="BK258" s="65">
        <v>19.844702933795372</v>
      </c>
      <c r="BL258" s="65">
        <v>0</v>
      </c>
      <c r="BM258" s="65">
        <v>0</v>
      </c>
      <c r="BN258" s="65">
        <v>61.827338430677763</v>
      </c>
      <c r="BO258" s="65">
        <v>205.33566960000002</v>
      </c>
      <c r="BP258" s="260">
        <f t="shared" si="225"/>
        <v>960</v>
      </c>
      <c r="BQ258" s="65">
        <v>62.307187048240365</v>
      </c>
      <c r="BR258" s="65">
        <v>81.406371725185323</v>
      </c>
      <c r="BS258" s="65">
        <v>294.56582499539161</v>
      </c>
      <c r="BT258" s="65">
        <v>108.80784027623449</v>
      </c>
      <c r="BU258" s="65">
        <v>121.01351942989737</v>
      </c>
      <c r="BV258" s="144">
        <f t="shared" si="215"/>
        <v>273.80571132720092</v>
      </c>
      <c r="BW258" s="144">
        <f t="shared" si="216"/>
        <v>589.59112707595602</v>
      </c>
      <c r="BX258" s="144">
        <f t="shared" si="217"/>
        <v>107.71534194621526</v>
      </c>
      <c r="BY258" s="5"/>
      <c r="BZ258" s="66">
        <v>7029.75</v>
      </c>
      <c r="CA258" s="4"/>
      <c r="CB258" s="5"/>
      <c r="CC258" s="5"/>
      <c r="CD258" s="188">
        <v>3.0642236760841479</v>
      </c>
      <c r="CE258" s="5"/>
      <c r="CF258" s="133">
        <f t="shared" si="232"/>
        <v>1161.3333333333333</v>
      </c>
      <c r="CG258" s="70"/>
      <c r="CH258" s="70">
        <v>4042</v>
      </c>
      <c r="CI258" s="70"/>
      <c r="CJ258" s="133">
        <f t="shared" si="237"/>
        <v>2045.05</v>
      </c>
      <c r="CK258" s="8">
        <f t="shared" si="258"/>
        <v>34843.916370214807</v>
      </c>
      <c r="CL258" s="202">
        <f t="shared" si="238"/>
        <v>15078.558568595137</v>
      </c>
      <c r="CM258" s="202">
        <f t="shared" si="239"/>
        <v>15078.558568595137</v>
      </c>
      <c r="CN258" s="202">
        <f t="shared" si="240"/>
        <v>15078.558568595137</v>
      </c>
      <c r="CO258" s="9">
        <f t="shared" si="241"/>
        <v>13173.040896839986</v>
      </c>
      <c r="CP258" s="9">
        <f t="shared" si="242"/>
        <v>15448.585785053641</v>
      </c>
      <c r="CQ258" s="9">
        <f t="shared" si="243"/>
        <v>8619.3666781908905</v>
      </c>
      <c r="CR258" s="202">
        <f t="shared" si="244"/>
        <v>15078.558568595137</v>
      </c>
      <c r="CS258" s="202">
        <f t="shared" si="245"/>
        <v>15078.558568595137</v>
      </c>
      <c r="CT258" s="202">
        <f t="shared" si="246"/>
        <v>15078.558568595137</v>
      </c>
      <c r="CU258" s="203">
        <f t="shared" si="247"/>
        <v>0.30203948396142116</v>
      </c>
      <c r="CV258" s="203">
        <f t="shared" si="248"/>
        <v>0.30203948396142116</v>
      </c>
      <c r="CW258" s="203">
        <f t="shared" si="249"/>
        <v>0.30203948396142116</v>
      </c>
      <c r="CX258" s="19">
        <f t="shared" si="250"/>
        <v>0.27434143366427388</v>
      </c>
      <c r="CY258" s="19">
        <f t="shared" si="251"/>
        <v>0.3071747302880079</v>
      </c>
      <c r="CZ258" s="19">
        <f t="shared" si="252"/>
        <v>0.1983137506798871</v>
      </c>
      <c r="DA258" s="203">
        <f t="shared" si="253"/>
        <v>0.30203948396142116</v>
      </c>
      <c r="DB258" s="203">
        <f t="shared" si="254"/>
        <v>0.30203948396142116</v>
      </c>
      <c r="DC258" s="203">
        <f t="shared" si="255"/>
        <v>0.30203948396142116</v>
      </c>
      <c r="DD258" s="65"/>
      <c r="DE258" s="66"/>
      <c r="DF258" s="66"/>
      <c r="DG258" s="66"/>
      <c r="DH258" s="66"/>
      <c r="DI258" s="66"/>
      <c r="DJ258" s="65"/>
      <c r="DK258" s="70"/>
      <c r="DL258" s="70"/>
      <c r="DM258" s="8">
        <f t="shared" si="256"/>
        <v>0</v>
      </c>
      <c r="DN258" s="8">
        <f t="shared" si="257"/>
        <v>34843.916370214807</v>
      </c>
      <c r="DO258" s="202">
        <f t="shared" si="263"/>
        <v>15078.558568595137</v>
      </c>
      <c r="DP258" s="202">
        <f t="shared" si="264"/>
        <v>15078.558568595137</v>
      </c>
      <c r="DQ258" s="202">
        <f t="shared" si="265"/>
        <v>15078.558568595137</v>
      </c>
      <c r="DR258" s="9">
        <f t="shared" si="266"/>
        <v>13173.040896839986</v>
      </c>
      <c r="DS258" s="9">
        <f t="shared" si="259"/>
        <v>15448.585785053641</v>
      </c>
      <c r="DT258" s="9">
        <f t="shared" si="267"/>
        <v>8619.3666781908905</v>
      </c>
      <c r="DU258" s="202">
        <f t="shared" si="268"/>
        <v>15078.558568595137</v>
      </c>
      <c r="DV258" s="202">
        <f t="shared" si="269"/>
        <v>15078.558568595137</v>
      </c>
      <c r="DW258" s="202">
        <f t="shared" si="270"/>
        <v>15078.558568595137</v>
      </c>
      <c r="DX258" s="203">
        <f t="shared" si="271"/>
        <v>0.30203948396142116</v>
      </c>
      <c r="DY258" s="203">
        <f t="shared" si="272"/>
        <v>0.30203948396142116</v>
      </c>
      <c r="DZ258" s="203">
        <f t="shared" si="273"/>
        <v>0.30203948396142116</v>
      </c>
      <c r="EA258" s="19">
        <f t="shared" si="274"/>
        <v>0.27434143366427388</v>
      </c>
      <c r="EB258" s="19">
        <f t="shared" si="260"/>
        <v>0.3071747302880079</v>
      </c>
      <c r="EC258" s="19">
        <f t="shared" si="275"/>
        <v>0.1983137506798871</v>
      </c>
      <c r="ED258" s="203">
        <f t="shared" si="276"/>
        <v>0.30203948396142116</v>
      </c>
      <c r="EE258" s="203">
        <f t="shared" si="277"/>
        <v>0.30203948396142116</v>
      </c>
      <c r="EF258" s="203">
        <f t="shared" si="278"/>
        <v>0.30203948396142116</v>
      </c>
      <c r="EH258" s="58">
        <f t="shared" si="234"/>
        <v>30863.732182669191</v>
      </c>
      <c r="EI258" s="68">
        <f t="shared" si="210"/>
        <v>0.61368456250960313</v>
      </c>
      <c r="EJ258" s="58">
        <f t="shared" si="211"/>
        <v>27348.857182669188</v>
      </c>
      <c r="EK258" s="68">
        <f t="shared" si="210"/>
        <v>0.54379591411528583</v>
      </c>
      <c r="EL258" s="58">
        <f t="shared" si="212"/>
        <v>2645.255103589644</v>
      </c>
      <c r="EM258" s="58">
        <f t="shared" si="213"/>
        <v>2752.9704455358592</v>
      </c>
      <c r="EN258" s="68">
        <f t="shared" si="214"/>
        <v>5.4739182334507662E-2</v>
      </c>
      <c r="EO258" s="139">
        <f t="shared" si="233"/>
        <v>0.4050825009776523</v>
      </c>
      <c r="EP258">
        <f>+(SUM(M258:O258)*EO258*(1-'[1]Tier 3 Data'!$A$2))</f>
        <v>524.32007692259594</v>
      </c>
    </row>
    <row r="259" spans="1:146" x14ac:dyDescent="0.2">
      <c r="A259" s="43">
        <v>0</v>
      </c>
      <c r="B259" s="43">
        <v>0</v>
      </c>
      <c r="C259" s="43">
        <v>0</v>
      </c>
      <c r="D259" s="70">
        <v>2028</v>
      </c>
      <c r="E259" s="70">
        <v>12</v>
      </c>
      <c r="F259" s="2">
        <v>744</v>
      </c>
      <c r="G259" s="133">
        <f t="shared" si="226"/>
        <v>47720.18956781373</v>
      </c>
      <c r="H259" s="65">
        <v>47720.18956781373</v>
      </c>
      <c r="I259" s="133">
        <f t="shared" si="227"/>
        <v>47720.18956781373</v>
      </c>
      <c r="J259" s="133">
        <f t="shared" si="285"/>
        <v>1886.8635000000006</v>
      </c>
      <c r="K259" s="65">
        <v>1886.8635000000006</v>
      </c>
      <c r="L259" s="133">
        <f t="shared" si="286"/>
        <v>1886.8635000000006</v>
      </c>
      <c r="M259" s="65">
        <v>248.30627982623952</v>
      </c>
      <c r="N259" s="65">
        <v>534.68270867382159</v>
      </c>
      <c r="O259" s="65">
        <v>98.869952179980785</v>
      </c>
      <c r="P259" s="200">
        <f t="shared" si="279"/>
        <v>45568.768385609721</v>
      </c>
      <c r="Q259" s="200">
        <f t="shared" si="280"/>
        <v>45568.768385609721</v>
      </c>
      <c r="R259" s="200">
        <f t="shared" si="281"/>
        <v>45568.768385609721</v>
      </c>
      <c r="S259" s="133">
        <f t="shared" si="228"/>
        <v>45803.665082159736</v>
      </c>
      <c r="T259" s="133">
        <f t="shared" si="229"/>
        <v>45803.665082159736</v>
      </c>
      <c r="U259" s="133">
        <f t="shared" si="230"/>
        <v>45803.665082159736</v>
      </c>
      <c r="V259" s="200">
        <f t="shared" si="282"/>
        <v>45568.768385609721</v>
      </c>
      <c r="W259" s="200">
        <f t="shared" si="283"/>
        <v>45568.768385609721</v>
      </c>
      <c r="X259" s="200">
        <f t="shared" si="284"/>
        <v>45568.768385609721</v>
      </c>
      <c r="Y259" s="65">
        <v>8631.9808210206374</v>
      </c>
      <c r="Z259" s="65">
        <v>10744.910339194566</v>
      </c>
      <c r="AA259" s="65">
        <v>3571.1194247103026</v>
      </c>
      <c r="AB259" s="200">
        <f t="shared" si="218"/>
        <v>56313.678724804289</v>
      </c>
      <c r="AC259" s="200">
        <f t="shared" si="219"/>
        <v>56313.678724804289</v>
      </c>
      <c r="AD259" s="200">
        <f t="shared" si="220"/>
        <v>56313.678724804289</v>
      </c>
      <c r="AE259" s="199">
        <f t="shared" si="261"/>
        <v>54435.645903180375</v>
      </c>
      <c r="AF259" s="199">
        <f t="shared" si="221"/>
        <v>56548.575421354304</v>
      </c>
      <c r="AG259" s="199">
        <f t="shared" si="262"/>
        <v>49374.784506870041</v>
      </c>
      <c r="AH259" s="199">
        <f t="shared" si="231"/>
        <v>52961.679964112176</v>
      </c>
      <c r="AI259" s="200">
        <f t="shared" si="222"/>
        <v>56313.678724804289</v>
      </c>
      <c r="AJ259" s="200">
        <f t="shared" si="223"/>
        <v>56313.678724804289</v>
      </c>
      <c r="AK259" s="200">
        <f t="shared" si="224"/>
        <v>56313.678724804289</v>
      </c>
      <c r="AL259" s="4"/>
      <c r="AM259" s="4"/>
      <c r="AN259" s="4"/>
      <c r="AO259" s="4"/>
      <c r="AP259" s="63"/>
      <c r="AQ259" s="18"/>
      <c r="AR259" s="10">
        <v>9920</v>
      </c>
      <c r="AS259" s="18"/>
      <c r="AT259" s="62"/>
      <c r="AU259" s="133">
        <f t="shared" si="235"/>
        <v>105.066</v>
      </c>
      <c r="AV259" s="133">
        <f t="shared" si="235"/>
        <v>3218.8470000000002</v>
      </c>
      <c r="AW259" s="63"/>
      <c r="AX259" s="63"/>
      <c r="AY259" s="65">
        <v>1226.60803108</v>
      </c>
      <c r="AZ259" s="63"/>
      <c r="BA259" s="65">
        <v>2225.2240000000002</v>
      </c>
      <c r="BB259" s="133">
        <f t="shared" si="206"/>
        <v>1798.1949999999999</v>
      </c>
      <c r="BC259" s="65">
        <v>133.02629953839877</v>
      </c>
      <c r="BD259" s="65">
        <v>14.892990970660508</v>
      </c>
      <c r="BE259" s="65">
        <v>0</v>
      </c>
      <c r="BF259" s="65">
        <v>193.40118982180462</v>
      </c>
      <c r="BG259" s="65">
        <v>0</v>
      </c>
      <c r="BH259" s="65">
        <v>50.51762655121999</v>
      </c>
      <c r="BI259" s="65">
        <v>337.48755397736403</v>
      </c>
      <c r="BJ259" s="65">
        <v>0</v>
      </c>
      <c r="BK259" s="65">
        <v>20.28324216774827</v>
      </c>
      <c r="BL259" s="65">
        <v>0</v>
      </c>
      <c r="BM259" s="65">
        <v>0</v>
      </c>
      <c r="BN259" s="65">
        <v>38.047592880417092</v>
      </c>
      <c r="BO259" s="65">
        <v>212.18019192</v>
      </c>
      <c r="BP259" s="260">
        <f t="shared" si="225"/>
        <v>992</v>
      </c>
      <c r="BQ259" s="65">
        <v>56.770753987501308</v>
      </c>
      <c r="BR259" s="65">
        <v>73.801949311535964</v>
      </c>
      <c r="BS259" s="65">
        <v>268.39147198071629</v>
      </c>
      <c r="BT259" s="65">
        <v>100.17955097227923</v>
      </c>
      <c r="BU259" s="65">
        <v>106.50318020831267</v>
      </c>
      <c r="BV259" s="144">
        <f t="shared" si="215"/>
        <v>173.81439587836766</v>
      </c>
      <c r="BW259" s="144">
        <f t="shared" si="216"/>
        <v>374.27789607167512</v>
      </c>
      <c r="BX259" s="144">
        <f t="shared" si="217"/>
        <v>69.20896652598654</v>
      </c>
      <c r="BY259" s="5"/>
      <c r="BZ259" s="66">
        <v>7254</v>
      </c>
      <c r="CA259" s="4"/>
      <c r="CB259" s="5"/>
      <c r="CC259" s="5"/>
      <c r="CD259" s="188">
        <v>4.9023166732340453</v>
      </c>
      <c r="CE259" s="5"/>
      <c r="CF259" s="133">
        <f t="shared" si="232"/>
        <v>1762.3333333333333</v>
      </c>
      <c r="CG259" s="70"/>
      <c r="CH259" s="70">
        <v>7440</v>
      </c>
      <c r="CI259" s="70"/>
      <c r="CJ259" s="133">
        <f t="shared" si="237"/>
        <v>1798.1949999999999</v>
      </c>
      <c r="CK259" s="8">
        <f t="shared" si="258"/>
        <v>38169.960533850564</v>
      </c>
      <c r="CL259" s="202">
        <f t="shared" si="238"/>
        <v>18143.718190953725</v>
      </c>
      <c r="CM259" s="202">
        <f t="shared" si="239"/>
        <v>18143.718190953725</v>
      </c>
      <c r="CN259" s="202">
        <f t="shared" si="240"/>
        <v>18143.718190953725</v>
      </c>
      <c r="CO259" s="9">
        <f t="shared" si="241"/>
        <v>16265.685369329811</v>
      </c>
      <c r="CP259" s="9">
        <f t="shared" si="242"/>
        <v>18378.61488750374</v>
      </c>
      <c r="CQ259" s="9">
        <f t="shared" si="243"/>
        <v>11204.823973019476</v>
      </c>
      <c r="CR259" s="202">
        <f t="shared" si="244"/>
        <v>18143.718190953725</v>
      </c>
      <c r="CS259" s="202">
        <f t="shared" si="245"/>
        <v>18143.718190953725</v>
      </c>
      <c r="CT259" s="202">
        <f t="shared" si="246"/>
        <v>18143.718190953725</v>
      </c>
      <c r="CU259" s="203">
        <f t="shared" si="247"/>
        <v>0.32219024936408613</v>
      </c>
      <c r="CV259" s="203">
        <f t="shared" si="248"/>
        <v>0.32219024936408613</v>
      </c>
      <c r="CW259" s="203">
        <f t="shared" si="249"/>
        <v>0.32219024936408613</v>
      </c>
      <c r="CX259" s="19">
        <f t="shared" si="250"/>
        <v>0.29880577513969564</v>
      </c>
      <c r="CY259" s="19">
        <f t="shared" si="251"/>
        <v>0.32500579812243097</v>
      </c>
      <c r="CZ259" s="19">
        <f t="shared" si="252"/>
        <v>0.22693413419273617</v>
      </c>
      <c r="DA259" s="203">
        <f t="shared" si="253"/>
        <v>0.32219024936408613</v>
      </c>
      <c r="DB259" s="203">
        <f t="shared" si="254"/>
        <v>0.32219024936408613</v>
      </c>
      <c r="DC259" s="203">
        <f t="shared" si="255"/>
        <v>0.32219024936408613</v>
      </c>
      <c r="DD259" s="65"/>
      <c r="DE259" s="66"/>
      <c r="DF259" s="66"/>
      <c r="DG259" s="66"/>
      <c r="DH259" s="66"/>
      <c r="DI259" s="66"/>
      <c r="DJ259" s="65"/>
      <c r="DK259" s="70"/>
      <c r="DL259" s="70"/>
      <c r="DM259" s="8">
        <f t="shared" si="256"/>
        <v>0</v>
      </c>
      <c r="DN259" s="8">
        <f t="shared" si="257"/>
        <v>38169.960533850564</v>
      </c>
      <c r="DO259" s="202">
        <f t="shared" si="263"/>
        <v>18143.718190953725</v>
      </c>
      <c r="DP259" s="202">
        <f t="shared" si="264"/>
        <v>18143.718190953725</v>
      </c>
      <c r="DQ259" s="202">
        <f t="shared" si="265"/>
        <v>18143.718190953725</v>
      </c>
      <c r="DR259" s="9">
        <f t="shared" si="266"/>
        <v>16265.685369329811</v>
      </c>
      <c r="DS259" s="9">
        <f t="shared" si="259"/>
        <v>18378.61488750374</v>
      </c>
      <c r="DT259" s="9">
        <f t="shared" si="267"/>
        <v>11204.823973019476</v>
      </c>
      <c r="DU259" s="202">
        <f t="shared" si="268"/>
        <v>18143.718190953725</v>
      </c>
      <c r="DV259" s="202">
        <f t="shared" si="269"/>
        <v>18143.718190953725</v>
      </c>
      <c r="DW259" s="202">
        <f t="shared" si="270"/>
        <v>18143.718190953725</v>
      </c>
      <c r="DX259" s="203">
        <f t="shared" si="271"/>
        <v>0.32219024936408613</v>
      </c>
      <c r="DY259" s="203">
        <f t="shared" si="272"/>
        <v>0.32219024936408613</v>
      </c>
      <c r="DZ259" s="203">
        <f t="shared" si="273"/>
        <v>0.32219024936408613</v>
      </c>
      <c r="EA259" s="19">
        <f t="shared" si="274"/>
        <v>0.29880577513969564</v>
      </c>
      <c r="EB259" s="19">
        <f t="shared" si="260"/>
        <v>0.32500579812243097</v>
      </c>
      <c r="EC259" s="19">
        <f t="shared" si="275"/>
        <v>0.22693413419273617</v>
      </c>
      <c r="ED259" s="203">
        <f t="shared" si="276"/>
        <v>0.32219024936408613</v>
      </c>
      <c r="EE259" s="203">
        <f t="shared" si="277"/>
        <v>0.32219024936408613</v>
      </c>
      <c r="EF259" s="203">
        <f t="shared" si="278"/>
        <v>0.32219024936408613</v>
      </c>
      <c r="EH259" s="58">
        <f t="shared" si="234"/>
        <v>34170.84263147715</v>
      </c>
      <c r="EI259" s="68">
        <f t="shared" si="210"/>
        <v>0.60427415504039905</v>
      </c>
      <c r="EJ259" s="58">
        <f t="shared" si="211"/>
        <v>30543.842631477153</v>
      </c>
      <c r="EK259" s="68">
        <f t="shared" si="210"/>
        <v>0.54013460823529347</v>
      </c>
      <c r="EL259" s="58">
        <f t="shared" si="212"/>
        <v>1786.3603005378293</v>
      </c>
      <c r="EM259" s="58">
        <f t="shared" si="213"/>
        <v>1855.5692670638159</v>
      </c>
      <c r="EN259" s="68">
        <f t="shared" si="214"/>
        <v>3.2813722595796846E-2</v>
      </c>
      <c r="EO259" s="139">
        <f t="shared" si="233"/>
        <v>0.32946562535829382</v>
      </c>
      <c r="EP259">
        <f>+(SUM(M259:O259)*EO259*(1-'[1]Tier 3 Data'!$A$2))</f>
        <v>271.07587947523274</v>
      </c>
    </row>
    <row r="260" spans="1:146" x14ac:dyDescent="0.2">
      <c r="A260" s="43">
        <v>0</v>
      </c>
      <c r="B260" s="43">
        <v>0</v>
      </c>
      <c r="C260" s="43">
        <v>0</v>
      </c>
      <c r="D260" s="70">
        <v>2029</v>
      </c>
      <c r="E260" s="70">
        <v>1</v>
      </c>
      <c r="F260" s="2">
        <v>744</v>
      </c>
      <c r="G260" s="133">
        <f t="shared" si="226"/>
        <v>49374.614670225172</v>
      </c>
      <c r="H260" s="65">
        <v>49374.614670225172</v>
      </c>
      <c r="I260" s="133">
        <f t="shared" si="227"/>
        <v>49374.614670225172</v>
      </c>
      <c r="J260" s="133">
        <f t="shared" si="285"/>
        <v>1927.1584375000007</v>
      </c>
      <c r="K260" s="65">
        <v>1927.1584375000007</v>
      </c>
      <c r="L260" s="133">
        <f t="shared" si="286"/>
        <v>1927.1584375000007</v>
      </c>
      <c r="M260" s="65">
        <v>350.79787520860157</v>
      </c>
      <c r="N260" s="65">
        <v>755.37984075477868</v>
      </c>
      <c r="O260" s="65">
        <v>140.3725985234887</v>
      </c>
      <c r="P260" s="200">
        <f t="shared" si="279"/>
        <v>47073.491138379111</v>
      </c>
      <c r="Q260" s="200">
        <f t="shared" si="280"/>
        <v>47073.491138379111</v>
      </c>
      <c r="R260" s="200">
        <f t="shared" si="281"/>
        <v>47073.491138379111</v>
      </c>
      <c r="S260" s="133">
        <f t="shared" si="228"/>
        <v>47405.344453168123</v>
      </c>
      <c r="T260" s="133">
        <f t="shared" si="229"/>
        <v>47405.344453168123</v>
      </c>
      <c r="U260" s="133">
        <f t="shared" si="230"/>
        <v>47405.344453168123</v>
      </c>
      <c r="V260" s="200">
        <f t="shared" si="282"/>
        <v>47073.491138379111</v>
      </c>
      <c r="W260" s="200">
        <f t="shared" si="283"/>
        <v>47073.491138379111</v>
      </c>
      <c r="X260" s="200">
        <f t="shared" si="284"/>
        <v>47073.491138379111</v>
      </c>
      <c r="Y260" s="65">
        <v>9214.8298004411772</v>
      </c>
      <c r="Z260" s="65">
        <v>11728.15783536116</v>
      </c>
      <c r="AA260" s="65">
        <v>3911.2237992543328</v>
      </c>
      <c r="AB260" s="200">
        <f t="shared" si="218"/>
        <v>58801.648973740274</v>
      </c>
      <c r="AC260" s="200">
        <f t="shared" si="219"/>
        <v>58801.648973740274</v>
      </c>
      <c r="AD260" s="200">
        <f t="shared" si="220"/>
        <v>58801.648973740274</v>
      </c>
      <c r="AE260" s="199">
        <f t="shared" si="261"/>
        <v>56620.174253609301</v>
      </c>
      <c r="AF260" s="199">
        <f t="shared" si="221"/>
        <v>59133.502288529286</v>
      </c>
      <c r="AG260" s="199">
        <f t="shared" si="262"/>
        <v>51316.568252422454</v>
      </c>
      <c r="AH260" s="199">
        <f t="shared" si="231"/>
        <v>55225.03527047587</v>
      </c>
      <c r="AI260" s="200">
        <f t="shared" si="222"/>
        <v>58801.648973740274</v>
      </c>
      <c r="AJ260" s="200">
        <f t="shared" si="223"/>
        <v>58801.648973740274</v>
      </c>
      <c r="AK260" s="200">
        <f t="shared" si="224"/>
        <v>58801.648973740274</v>
      </c>
      <c r="AL260" s="4"/>
      <c r="AM260" s="4"/>
      <c r="AN260" s="4"/>
      <c r="AO260" s="4"/>
      <c r="AP260" s="63"/>
      <c r="AQ260" s="18"/>
      <c r="AR260" s="10">
        <v>9920</v>
      </c>
      <c r="AS260" s="18"/>
      <c r="AT260" s="62"/>
      <c r="AU260" s="133">
        <f t="shared" si="235"/>
        <v>98.513999999999996</v>
      </c>
      <c r="AV260" s="133">
        <f t="shared" si="235"/>
        <v>3278.6750000000002</v>
      </c>
      <c r="AW260" s="63"/>
      <c r="AX260" s="63"/>
      <c r="AY260" s="65">
        <v>1258.1687644800002</v>
      </c>
      <c r="AZ260" s="63"/>
      <c r="BA260" s="65">
        <v>1660.8</v>
      </c>
      <c r="BB260" s="133">
        <f t="shared" si="206"/>
        <v>946.25</v>
      </c>
      <c r="BC260" s="65">
        <v>187.65082722949612</v>
      </c>
      <c r="BD260" s="65">
        <v>17.899913811322826</v>
      </c>
      <c r="BE260" s="65">
        <v>0</v>
      </c>
      <c r="BF260" s="65">
        <v>199.42579123871249</v>
      </c>
      <c r="BG260" s="65">
        <v>0</v>
      </c>
      <c r="BH260" s="65">
        <v>44.202923232317495</v>
      </c>
      <c r="BI260" s="65">
        <v>476.06991176380893</v>
      </c>
      <c r="BJ260" s="65">
        <v>0</v>
      </c>
      <c r="BK260" s="65">
        <v>22.517673403701547</v>
      </c>
      <c r="BL260" s="65">
        <v>0</v>
      </c>
      <c r="BM260" s="65">
        <v>0</v>
      </c>
      <c r="BN260" s="65">
        <v>33.291643770364956</v>
      </c>
      <c r="BO260" s="65">
        <v>212.18019192</v>
      </c>
      <c r="BP260" s="260">
        <f t="shared" si="225"/>
        <v>992</v>
      </c>
      <c r="BQ260" s="65">
        <v>80.330084419995302</v>
      </c>
      <c r="BR260" s="65">
        <v>104.95391878236636</v>
      </c>
      <c r="BS260" s="65">
        <v>379.77171884857501</v>
      </c>
      <c r="BT260" s="65">
        <v>129.8353352287202</v>
      </c>
      <c r="BU260" s="65">
        <v>148.39773792810362</v>
      </c>
      <c r="BV260" s="144">
        <f t="shared" si="215"/>
        <v>245.55851264602109</v>
      </c>
      <c r="BW260" s="144">
        <f t="shared" si="216"/>
        <v>528.76588852834504</v>
      </c>
      <c r="BX260" s="144">
        <f t="shared" si="217"/>
        <v>98.260818966442088</v>
      </c>
      <c r="BY260" s="5"/>
      <c r="BZ260" s="66">
        <v>7254</v>
      </c>
      <c r="CA260" s="4"/>
      <c r="CB260" s="5"/>
      <c r="CC260" s="5"/>
      <c r="CD260" s="188">
        <v>2.5304839482857915</v>
      </c>
      <c r="CE260" s="5"/>
      <c r="CF260" s="133">
        <f t="shared" si="232"/>
        <v>1154.6666666666667</v>
      </c>
      <c r="CG260" s="70"/>
      <c r="CH260" s="70">
        <v>7440</v>
      </c>
      <c r="CI260" s="70"/>
      <c r="CJ260" s="133">
        <f t="shared" si="237"/>
        <v>946.25</v>
      </c>
      <c r="CK260" s="8">
        <f t="shared" si="258"/>
        <v>36914.717806813242</v>
      </c>
      <c r="CL260" s="202">
        <f t="shared" si="238"/>
        <v>21886.931166927032</v>
      </c>
      <c r="CM260" s="202">
        <f t="shared" si="239"/>
        <v>21886.931166927032</v>
      </c>
      <c r="CN260" s="202">
        <f t="shared" si="240"/>
        <v>21886.931166927032</v>
      </c>
      <c r="CO260" s="9">
        <f t="shared" si="241"/>
        <v>19705.456446796059</v>
      </c>
      <c r="CP260" s="9">
        <f t="shared" si="242"/>
        <v>22218.784481716044</v>
      </c>
      <c r="CQ260" s="9">
        <f t="shared" si="243"/>
        <v>14401.850445609212</v>
      </c>
      <c r="CR260" s="202">
        <f t="shared" si="244"/>
        <v>21886.931166927032</v>
      </c>
      <c r="CS260" s="202">
        <f t="shared" si="245"/>
        <v>21886.931166927032</v>
      </c>
      <c r="CT260" s="202">
        <f t="shared" si="246"/>
        <v>21886.931166927032</v>
      </c>
      <c r="CU260" s="203">
        <f t="shared" si="247"/>
        <v>0.37221628217775543</v>
      </c>
      <c r="CV260" s="203">
        <f t="shared" si="248"/>
        <v>0.37221628217775543</v>
      </c>
      <c r="CW260" s="203">
        <f t="shared" si="249"/>
        <v>0.37221628217775543</v>
      </c>
      <c r="CX260" s="19">
        <f t="shared" si="250"/>
        <v>0.34802889087788208</v>
      </c>
      <c r="CY260" s="19">
        <f t="shared" si="251"/>
        <v>0.37573936299771715</v>
      </c>
      <c r="CZ260" s="19">
        <f t="shared" si="252"/>
        <v>0.28064718542299166</v>
      </c>
      <c r="DA260" s="203">
        <f t="shared" si="253"/>
        <v>0.37221628217775543</v>
      </c>
      <c r="DB260" s="203">
        <f t="shared" si="254"/>
        <v>0.37221628217775543</v>
      </c>
      <c r="DC260" s="203">
        <f t="shared" si="255"/>
        <v>0.37221628217775543</v>
      </c>
      <c r="DD260" s="65"/>
      <c r="DE260" s="66"/>
      <c r="DF260" s="66"/>
      <c r="DG260" s="66"/>
      <c r="DH260" s="66"/>
      <c r="DI260" s="66"/>
      <c r="DJ260" s="65"/>
      <c r="DK260" s="70"/>
      <c r="DL260" s="70"/>
      <c r="DM260" s="8">
        <f t="shared" si="256"/>
        <v>0</v>
      </c>
      <c r="DN260" s="8">
        <f t="shared" si="257"/>
        <v>36914.717806813242</v>
      </c>
      <c r="DO260" s="202">
        <f t="shared" si="263"/>
        <v>21886.931166927032</v>
      </c>
      <c r="DP260" s="202">
        <f t="shared" si="264"/>
        <v>21886.931166927032</v>
      </c>
      <c r="DQ260" s="202">
        <f t="shared" si="265"/>
        <v>21886.931166927032</v>
      </c>
      <c r="DR260" s="9">
        <f t="shared" si="266"/>
        <v>19705.456446796059</v>
      </c>
      <c r="DS260" s="9">
        <f t="shared" si="259"/>
        <v>22218.784481716044</v>
      </c>
      <c r="DT260" s="9">
        <f t="shared" si="267"/>
        <v>14401.850445609212</v>
      </c>
      <c r="DU260" s="202">
        <f t="shared" si="268"/>
        <v>21886.931166927032</v>
      </c>
      <c r="DV260" s="202">
        <f t="shared" si="269"/>
        <v>21886.931166927032</v>
      </c>
      <c r="DW260" s="202">
        <f t="shared" si="270"/>
        <v>21886.931166927032</v>
      </c>
      <c r="DX260" s="203">
        <f t="shared" si="271"/>
        <v>0.37221628217775543</v>
      </c>
      <c r="DY260" s="203">
        <f t="shared" si="272"/>
        <v>0.37221628217775543</v>
      </c>
      <c r="DZ260" s="203">
        <f t="shared" si="273"/>
        <v>0.37221628217775543</v>
      </c>
      <c r="EA260" s="19">
        <f t="shared" si="274"/>
        <v>0.34802889087788208</v>
      </c>
      <c r="EB260" s="19">
        <f t="shared" si="260"/>
        <v>0.37573936299771715</v>
      </c>
      <c r="EC260" s="19">
        <f t="shared" si="275"/>
        <v>0.28064718542299166</v>
      </c>
      <c r="ED260" s="203">
        <f t="shared" si="276"/>
        <v>0.37221628217775543</v>
      </c>
      <c r="EE260" s="203">
        <f t="shared" si="277"/>
        <v>0.37221628217775543</v>
      </c>
      <c r="EF260" s="203">
        <f t="shared" si="278"/>
        <v>0.37221628217775543</v>
      </c>
      <c r="EH260" s="58">
        <f t="shared" si="234"/>
        <v>32840.203018980224</v>
      </c>
      <c r="EI260" s="68">
        <f t="shared" si="210"/>
        <v>0.55535697613078072</v>
      </c>
      <c r="EJ260" s="58">
        <f t="shared" si="211"/>
        <v>29213.203018980224</v>
      </c>
      <c r="EK260" s="68">
        <f t="shared" si="210"/>
        <v>0.49402118745547396</v>
      </c>
      <c r="EL260" s="58">
        <f t="shared" si="212"/>
        <v>2365.8677688671178</v>
      </c>
      <c r="EM260" s="58">
        <f t="shared" si="213"/>
        <v>2464.1285878335598</v>
      </c>
      <c r="EN260" s="68">
        <f t="shared" si="214"/>
        <v>4.167060113927247E-2</v>
      </c>
      <c r="EO260" s="139">
        <f t="shared" si="233"/>
        <v>0.32527353469126524</v>
      </c>
      <c r="EP260">
        <f>+(SUM(M260:O260)*EO260*(1-'[1]Tier 3 Data'!$A$2))</f>
        <v>378.30334855708747</v>
      </c>
    </row>
    <row r="261" spans="1:146" x14ac:dyDescent="0.2">
      <c r="A261" s="43">
        <v>0</v>
      </c>
      <c r="B261" s="43">
        <v>0</v>
      </c>
      <c r="C261" s="43">
        <v>0</v>
      </c>
      <c r="D261" s="70">
        <v>2029</v>
      </c>
      <c r="E261" s="70">
        <v>2</v>
      </c>
      <c r="F261" s="2">
        <v>672</v>
      </c>
      <c r="G261" s="133">
        <f t="shared" si="226"/>
        <v>44662.543143924624</v>
      </c>
      <c r="H261" s="65">
        <v>44662.543143924624</v>
      </c>
      <c r="I261" s="133">
        <f t="shared" si="227"/>
        <v>44662.543143924624</v>
      </c>
      <c r="J261" s="133">
        <f t="shared" si="285"/>
        <v>1967.4533750000007</v>
      </c>
      <c r="K261" s="65">
        <v>1967.4533750000007</v>
      </c>
      <c r="L261" s="133">
        <f t="shared" si="286"/>
        <v>1967.4533750000007</v>
      </c>
      <c r="M261" s="65">
        <v>758.12758719225985</v>
      </c>
      <c r="N261" s="65">
        <v>1632.4907776153254</v>
      </c>
      <c r="O261" s="65">
        <v>304.09676788707174</v>
      </c>
      <c r="P261" s="200">
        <f t="shared" si="279"/>
        <v>41886.675229116227</v>
      </c>
      <c r="Q261" s="200">
        <f t="shared" si="280"/>
        <v>41886.675229116227</v>
      </c>
      <c r="R261" s="200">
        <f t="shared" si="281"/>
        <v>41886.675229116227</v>
      </c>
      <c r="S261" s="133">
        <f t="shared" si="228"/>
        <v>42603.860738558506</v>
      </c>
      <c r="T261" s="133">
        <f t="shared" si="229"/>
        <v>42603.860738558506</v>
      </c>
      <c r="U261" s="133">
        <f t="shared" si="230"/>
        <v>42603.860738558506</v>
      </c>
      <c r="V261" s="200">
        <f t="shared" si="282"/>
        <v>41886.675229116227</v>
      </c>
      <c r="W261" s="200">
        <f t="shared" si="283"/>
        <v>41886.675229116227</v>
      </c>
      <c r="X261" s="200">
        <f t="shared" si="284"/>
        <v>41886.675229116227</v>
      </c>
      <c r="Y261" s="65">
        <v>8652.1624697427415</v>
      </c>
      <c r="Z261" s="65">
        <v>10351.822733191115</v>
      </c>
      <c r="AA261" s="65">
        <v>3551.9215499105749</v>
      </c>
      <c r="AB261" s="200">
        <f t="shared" si="218"/>
        <v>52238.497962307345</v>
      </c>
      <c r="AC261" s="200">
        <f t="shared" si="219"/>
        <v>52238.497962307345</v>
      </c>
      <c r="AD261" s="200">
        <f t="shared" si="220"/>
        <v>52238.497962307345</v>
      </c>
      <c r="AE261" s="199">
        <f t="shared" si="261"/>
        <v>51256.023208301245</v>
      </c>
      <c r="AF261" s="199">
        <f t="shared" si="221"/>
        <v>52955.683471749624</v>
      </c>
      <c r="AG261" s="199">
        <f t="shared" si="262"/>
        <v>46155.782288469083</v>
      </c>
      <c r="AH261" s="199">
        <f t="shared" si="231"/>
        <v>49555.732880109354</v>
      </c>
      <c r="AI261" s="200">
        <f t="shared" si="222"/>
        <v>52238.497962307345</v>
      </c>
      <c r="AJ261" s="200">
        <f t="shared" si="223"/>
        <v>52238.497962307345</v>
      </c>
      <c r="AK261" s="200">
        <f t="shared" si="224"/>
        <v>52238.497962307345</v>
      </c>
      <c r="AL261" s="4"/>
      <c r="AM261" s="4"/>
      <c r="AN261" s="4"/>
      <c r="AO261" s="4"/>
      <c r="AP261" s="63"/>
      <c r="AQ261" s="18"/>
      <c r="AR261" s="10">
        <v>8960</v>
      </c>
      <c r="AS261" s="18"/>
      <c r="AT261" s="62"/>
      <c r="AU261" s="133">
        <f t="shared" si="235"/>
        <v>92.897999999999996</v>
      </c>
      <c r="AV261" s="133">
        <f t="shared" si="235"/>
        <v>3057.587</v>
      </c>
      <c r="AW261" s="63"/>
      <c r="AX261" s="63"/>
      <c r="AY261" s="65">
        <v>1185.0038251199999</v>
      </c>
      <c r="AZ261" s="63"/>
      <c r="BA261" s="65">
        <v>853.7</v>
      </c>
      <c r="BB261" s="133">
        <f t="shared" si="206"/>
        <v>611.22</v>
      </c>
      <c r="BC261" s="65">
        <v>233.87491436180096</v>
      </c>
      <c r="BD261" s="65">
        <v>18.196795404006242</v>
      </c>
      <c r="BE261" s="65">
        <v>0</v>
      </c>
      <c r="BF261" s="65">
        <v>194.72305796175525</v>
      </c>
      <c r="BG261" s="65">
        <v>0</v>
      </c>
      <c r="BH261" s="65">
        <v>25.258813275609995</v>
      </c>
      <c r="BI261" s="65">
        <v>593.34036245852292</v>
      </c>
      <c r="BJ261" s="65">
        <v>0</v>
      </c>
      <c r="BK261" s="65">
        <v>19.256201566846642</v>
      </c>
      <c r="BL261" s="65">
        <v>0</v>
      </c>
      <c r="BM261" s="65">
        <v>0</v>
      </c>
      <c r="BN261" s="65">
        <v>19.023796440208546</v>
      </c>
      <c r="BO261" s="65">
        <v>191.64662496000003</v>
      </c>
      <c r="BP261" s="260">
        <f>2*16*28</f>
        <v>896</v>
      </c>
      <c r="BQ261" s="65">
        <v>99.937900731923193</v>
      </c>
      <c r="BR261" s="65">
        <v>130.57211317266771</v>
      </c>
      <c r="BS261" s="65">
        <v>472.47016892502791</v>
      </c>
      <c r="BT261" s="65">
        <v>166.53064850864868</v>
      </c>
      <c r="BU261" s="65">
        <v>179.65193192469653</v>
      </c>
      <c r="BV261" s="144">
        <f t="shared" si="215"/>
        <v>530.68931103458192</v>
      </c>
      <c r="BW261" s="144">
        <f t="shared" si="216"/>
        <v>1142.7435443307277</v>
      </c>
      <c r="BX261" s="144">
        <f t="shared" si="217"/>
        <v>212.86773752095021</v>
      </c>
      <c r="BY261" s="5"/>
      <c r="BZ261" s="66">
        <v>6552</v>
      </c>
      <c r="CA261" s="4"/>
      <c r="CB261" s="5"/>
      <c r="CC261" s="5"/>
      <c r="CD261" s="188">
        <v>3.1195892150124847</v>
      </c>
      <c r="CE261" s="5"/>
      <c r="CF261" s="133">
        <f t="shared" si="232"/>
        <v>667.66666666666663</v>
      </c>
      <c r="CG261" s="70"/>
      <c r="CH261" s="70">
        <v>6720</v>
      </c>
      <c r="CI261" s="70"/>
      <c r="CJ261" s="133">
        <f t="shared" si="237"/>
        <v>611.22</v>
      </c>
      <c r="CK261" s="8">
        <f t="shared" si="258"/>
        <v>33829.979003579647</v>
      </c>
      <c r="CL261" s="202">
        <f t="shared" si="238"/>
        <v>18408.518958727698</v>
      </c>
      <c r="CM261" s="202">
        <f t="shared" si="239"/>
        <v>18408.518958727698</v>
      </c>
      <c r="CN261" s="202">
        <f t="shared" si="240"/>
        <v>18408.518958727698</v>
      </c>
      <c r="CO261" s="9">
        <f t="shared" si="241"/>
        <v>17426.044204721598</v>
      </c>
      <c r="CP261" s="9">
        <f t="shared" si="242"/>
        <v>19125.704468169977</v>
      </c>
      <c r="CQ261" s="9">
        <f t="shared" si="243"/>
        <v>12325.803284889436</v>
      </c>
      <c r="CR261" s="202">
        <f t="shared" si="244"/>
        <v>18408.518958727698</v>
      </c>
      <c r="CS261" s="202">
        <f t="shared" si="245"/>
        <v>18408.518958727698</v>
      </c>
      <c r="CT261" s="202">
        <f t="shared" si="246"/>
        <v>18408.518958727698</v>
      </c>
      <c r="CU261" s="203">
        <f t="shared" si="247"/>
        <v>0.35239372640481265</v>
      </c>
      <c r="CV261" s="203">
        <f t="shared" si="248"/>
        <v>0.35239372640481265</v>
      </c>
      <c r="CW261" s="203">
        <f t="shared" si="249"/>
        <v>0.35239372640481265</v>
      </c>
      <c r="CX261" s="19">
        <f t="shared" si="250"/>
        <v>0.33998041818233254</v>
      </c>
      <c r="CY261" s="19">
        <f t="shared" si="251"/>
        <v>0.36116433995933611</v>
      </c>
      <c r="CZ261" s="19">
        <f t="shared" si="252"/>
        <v>0.26704786862574187</v>
      </c>
      <c r="DA261" s="203">
        <f t="shared" si="253"/>
        <v>0.35239372640481265</v>
      </c>
      <c r="DB261" s="203">
        <f t="shared" si="254"/>
        <v>0.35239372640481265</v>
      </c>
      <c r="DC261" s="203">
        <f t="shared" si="255"/>
        <v>0.35239372640481265</v>
      </c>
      <c r="DD261" s="65"/>
      <c r="DE261" s="66"/>
      <c r="DF261" s="66"/>
      <c r="DG261" s="66"/>
      <c r="DH261" s="66"/>
      <c r="DI261" s="66"/>
      <c r="DJ261" s="65"/>
      <c r="DK261" s="70"/>
      <c r="DL261" s="70"/>
      <c r="DM261" s="8">
        <f t="shared" si="256"/>
        <v>0</v>
      </c>
      <c r="DN261" s="8">
        <f t="shared" si="257"/>
        <v>33829.979003579647</v>
      </c>
      <c r="DO261" s="202">
        <f t="shared" si="263"/>
        <v>18408.518958727698</v>
      </c>
      <c r="DP261" s="202">
        <f t="shared" si="264"/>
        <v>18408.518958727698</v>
      </c>
      <c r="DQ261" s="202">
        <f t="shared" si="265"/>
        <v>18408.518958727698</v>
      </c>
      <c r="DR261" s="9">
        <f t="shared" si="266"/>
        <v>17426.044204721598</v>
      </c>
      <c r="DS261" s="9">
        <f t="shared" si="259"/>
        <v>19125.704468169977</v>
      </c>
      <c r="DT261" s="9">
        <f t="shared" si="267"/>
        <v>12325.803284889436</v>
      </c>
      <c r="DU261" s="202">
        <f t="shared" si="268"/>
        <v>18408.518958727698</v>
      </c>
      <c r="DV261" s="202">
        <f t="shared" si="269"/>
        <v>18408.518958727698</v>
      </c>
      <c r="DW261" s="202">
        <f t="shared" si="270"/>
        <v>18408.518958727698</v>
      </c>
      <c r="DX261" s="203">
        <f t="shared" si="271"/>
        <v>0.35239372640481265</v>
      </c>
      <c r="DY261" s="203">
        <f t="shared" si="272"/>
        <v>0.35239372640481265</v>
      </c>
      <c r="DZ261" s="203">
        <f t="shared" si="273"/>
        <v>0.35239372640481265</v>
      </c>
      <c r="EA261" s="19">
        <f t="shared" si="274"/>
        <v>0.33998041818233254</v>
      </c>
      <c r="EB261" s="19">
        <f t="shared" si="260"/>
        <v>0.36116433995933611</v>
      </c>
      <c r="EC261" s="19">
        <f t="shared" si="275"/>
        <v>0.26704786862574187</v>
      </c>
      <c r="ED261" s="203">
        <f t="shared" si="276"/>
        <v>0.35239372640481265</v>
      </c>
      <c r="EE261" s="203">
        <f t="shared" si="277"/>
        <v>0.35239372640481265</v>
      </c>
      <c r="EF261" s="203">
        <f t="shared" si="278"/>
        <v>0.35239372640481265</v>
      </c>
      <c r="EH261" s="58">
        <f t="shared" si="234"/>
        <v>29825.447045368302</v>
      </c>
      <c r="EI261" s="68">
        <f t="shared" si="210"/>
        <v>0.56321522242800137</v>
      </c>
      <c r="EJ261" s="58">
        <f t="shared" si="211"/>
        <v>26549.447045368306</v>
      </c>
      <c r="EK261" s="68">
        <f t="shared" si="210"/>
        <v>0.50135217421056788</v>
      </c>
      <c r="EL261" s="58">
        <f t="shared" si="212"/>
        <v>3292.5038160606873</v>
      </c>
      <c r="EM261" s="58">
        <f t="shared" si="213"/>
        <v>3505.3715535816377</v>
      </c>
      <c r="EN261" s="68">
        <f t="shared" si="214"/>
        <v>6.619443511576345E-2</v>
      </c>
      <c r="EO261" s="139">
        <f t="shared" si="233"/>
        <v>0.3126447604730192</v>
      </c>
      <c r="EP261">
        <f>+(SUM(M261:O261)*EO261*(1-'[1]Tier 3 Data'!$A$2))</f>
        <v>786.04183320165032</v>
      </c>
    </row>
    <row r="262" spans="1:146" x14ac:dyDescent="0.2">
      <c r="A262" s="43">
        <v>0</v>
      </c>
      <c r="B262" s="43">
        <v>0</v>
      </c>
      <c r="C262" s="43">
        <v>0</v>
      </c>
      <c r="D262" s="70">
        <v>2029</v>
      </c>
      <c r="E262" s="70">
        <v>3</v>
      </c>
      <c r="F262" s="2">
        <v>743</v>
      </c>
      <c r="G262" s="133">
        <f t="shared" si="226"/>
        <v>46807.353210062261</v>
      </c>
      <c r="H262" s="65">
        <v>46807.353210062261</v>
      </c>
      <c r="I262" s="133">
        <f t="shared" si="227"/>
        <v>46807.353210062261</v>
      </c>
      <c r="J262" s="133">
        <f t="shared" si="285"/>
        <v>2007.7483125000008</v>
      </c>
      <c r="K262" s="65">
        <v>2007.7483125000008</v>
      </c>
      <c r="L262" s="133">
        <f t="shared" si="286"/>
        <v>2007.7483125000008</v>
      </c>
      <c r="M262" s="65">
        <v>1050.2026341606518</v>
      </c>
      <c r="N262" s="65">
        <v>2261.4216180208796</v>
      </c>
      <c r="O262" s="65">
        <v>422.72459793165729</v>
      </c>
      <c r="P262" s="200">
        <f t="shared" si="279"/>
        <v>43679.300242528305</v>
      </c>
      <c r="Q262" s="200">
        <f t="shared" si="280"/>
        <v>43679.300242528305</v>
      </c>
      <c r="R262" s="200">
        <f t="shared" si="281"/>
        <v>43679.300242528305</v>
      </c>
      <c r="S262" s="133">
        <f t="shared" si="228"/>
        <v>44672.787518182762</v>
      </c>
      <c r="T262" s="133">
        <f t="shared" si="229"/>
        <v>44672.787518182762</v>
      </c>
      <c r="U262" s="133">
        <f t="shared" si="230"/>
        <v>44672.787518182762</v>
      </c>
      <c r="V262" s="200">
        <f t="shared" si="282"/>
        <v>43679.300242528305</v>
      </c>
      <c r="W262" s="200">
        <f t="shared" si="283"/>
        <v>43679.300242528305</v>
      </c>
      <c r="X262" s="200">
        <f t="shared" si="284"/>
        <v>43679.300242528305</v>
      </c>
      <c r="Y262" s="65">
        <v>7983.5097910753339</v>
      </c>
      <c r="Z262" s="65">
        <v>9188.3535248664757</v>
      </c>
      <c r="AA262" s="65">
        <v>3234.3710818282707</v>
      </c>
      <c r="AB262" s="200">
        <f t="shared" si="218"/>
        <v>52867.653767394782</v>
      </c>
      <c r="AC262" s="200">
        <f t="shared" si="219"/>
        <v>52867.653767394782</v>
      </c>
      <c r="AD262" s="200">
        <f t="shared" si="220"/>
        <v>52867.653767394782</v>
      </c>
      <c r="AE262" s="199">
        <f t="shared" si="261"/>
        <v>52656.297309258094</v>
      </c>
      <c r="AF262" s="199">
        <f t="shared" si="221"/>
        <v>53861.14104304924</v>
      </c>
      <c r="AG262" s="199">
        <f t="shared" si="262"/>
        <v>47907.158600011033</v>
      </c>
      <c r="AH262" s="199">
        <f t="shared" si="231"/>
        <v>50884.14982153014</v>
      </c>
      <c r="AI262" s="200">
        <f t="shared" si="222"/>
        <v>52867.653767394782</v>
      </c>
      <c r="AJ262" s="200">
        <f t="shared" si="223"/>
        <v>52867.653767394782</v>
      </c>
      <c r="AK262" s="200">
        <f t="shared" si="224"/>
        <v>52867.653767394782</v>
      </c>
      <c r="AL262" s="4"/>
      <c r="AM262" s="4"/>
      <c r="AN262" s="4"/>
      <c r="AO262" s="4"/>
      <c r="AP262" s="63"/>
      <c r="AQ262" s="18"/>
      <c r="AR262" s="10">
        <v>9920</v>
      </c>
      <c r="AS262" s="18"/>
      <c r="AT262" s="62"/>
      <c r="AU262" s="133">
        <f t="shared" si="235"/>
        <v>87.516000000000005</v>
      </c>
      <c r="AV262" s="133">
        <f t="shared" si="235"/>
        <v>3232.7139999999999</v>
      </c>
      <c r="AW262" s="63"/>
      <c r="AX262" s="63"/>
      <c r="AY262" s="65">
        <v>1280.8105891600001</v>
      </c>
      <c r="AZ262" s="63"/>
      <c r="BA262" s="65">
        <v>2416.2429999999999</v>
      </c>
      <c r="BB262" s="133">
        <f t="shared" si="206"/>
        <v>2064.8780000000002</v>
      </c>
      <c r="BC262" s="65">
        <v>449.53123898462314</v>
      </c>
      <c r="BD262" s="65">
        <v>17.737549502477364</v>
      </c>
      <c r="BE262" s="65">
        <v>0</v>
      </c>
      <c r="BF262" s="65">
        <v>213.19694193955203</v>
      </c>
      <c r="BG262" s="65">
        <v>0</v>
      </c>
      <c r="BH262" s="65">
        <v>44.202923232317495</v>
      </c>
      <c r="BI262" s="65">
        <v>1140.4601857510293</v>
      </c>
      <c r="BJ262" s="65">
        <v>0</v>
      </c>
      <c r="BK262" s="65">
        <v>19.397174608663349</v>
      </c>
      <c r="BL262" s="65">
        <v>0</v>
      </c>
      <c r="BM262" s="65">
        <v>0</v>
      </c>
      <c r="BN262" s="65">
        <v>33.291643770364956</v>
      </c>
      <c r="BO262" s="65">
        <v>212.18019192</v>
      </c>
      <c r="BP262" s="260">
        <f t="shared" si="225"/>
        <v>992</v>
      </c>
      <c r="BQ262" s="65">
        <v>139.08875264923452</v>
      </c>
      <c r="BR262" s="65">
        <v>181.72394498323985</v>
      </c>
      <c r="BS262" s="65">
        <v>657.56110665753215</v>
      </c>
      <c r="BT262" s="65">
        <v>220.39936687834552</v>
      </c>
      <c r="BU262" s="65">
        <v>256.12428960233126</v>
      </c>
      <c r="BV262" s="144">
        <f t="shared" si="215"/>
        <v>735.14184391245624</v>
      </c>
      <c r="BW262" s="144">
        <f t="shared" si="216"/>
        <v>1582.9951326146156</v>
      </c>
      <c r="BX262" s="144">
        <f t="shared" si="217"/>
        <v>295.90721855216009</v>
      </c>
      <c r="BY262" s="5"/>
      <c r="BZ262" s="66">
        <v>7244.25</v>
      </c>
      <c r="CA262" s="4"/>
      <c r="CB262" s="5"/>
      <c r="CC262" s="5"/>
      <c r="CD262" s="188">
        <v>13.157281760074044</v>
      </c>
      <c r="CE262" s="5"/>
      <c r="CF262" s="133">
        <f t="shared" si="232"/>
        <v>1476.3333333333333</v>
      </c>
      <c r="CG262" s="70"/>
      <c r="CH262" s="70">
        <v>5942</v>
      </c>
      <c r="CI262" s="70"/>
      <c r="CJ262" s="133">
        <f t="shared" si="237"/>
        <v>2064.8780000000002</v>
      </c>
      <c r="CK262" s="8">
        <f t="shared" si="258"/>
        <v>40868.841709812361</v>
      </c>
      <c r="CL262" s="202">
        <f t="shared" si="238"/>
        <v>11998.812057582421</v>
      </c>
      <c r="CM262" s="202">
        <f t="shared" si="239"/>
        <v>11998.812057582421</v>
      </c>
      <c r="CN262" s="202">
        <f t="shared" si="240"/>
        <v>11998.812057582421</v>
      </c>
      <c r="CO262" s="9">
        <f t="shared" si="241"/>
        <v>11787.455599445733</v>
      </c>
      <c r="CP262" s="9">
        <f t="shared" si="242"/>
        <v>12992.299333236879</v>
      </c>
      <c r="CQ262" s="9">
        <f t="shared" si="243"/>
        <v>7038.3168901986719</v>
      </c>
      <c r="CR262" s="202">
        <f t="shared" si="244"/>
        <v>11998.812057582421</v>
      </c>
      <c r="CS262" s="202">
        <f t="shared" si="245"/>
        <v>11998.812057582421</v>
      </c>
      <c r="CT262" s="202">
        <f t="shared" si="246"/>
        <v>11998.812057582421</v>
      </c>
      <c r="CU262" s="203">
        <f t="shared" si="247"/>
        <v>0.22695942041185271</v>
      </c>
      <c r="CV262" s="203">
        <f t="shared" si="248"/>
        <v>0.22695942041185271</v>
      </c>
      <c r="CW262" s="203">
        <f t="shared" si="249"/>
        <v>0.22695942041185271</v>
      </c>
      <c r="CX262" s="19">
        <f t="shared" si="250"/>
        <v>0.22385652242534815</v>
      </c>
      <c r="CY262" s="19">
        <f t="shared" si="251"/>
        <v>0.24121841984098721</v>
      </c>
      <c r="CZ262" s="19">
        <f t="shared" si="252"/>
        <v>0.14691576574105256</v>
      </c>
      <c r="DA262" s="203">
        <f t="shared" si="253"/>
        <v>0.22695942041185271</v>
      </c>
      <c r="DB262" s="203">
        <f t="shared" si="254"/>
        <v>0.22695942041185271</v>
      </c>
      <c r="DC262" s="203">
        <f t="shared" si="255"/>
        <v>0.22695942041185271</v>
      </c>
      <c r="DD262" s="65"/>
      <c r="DE262" s="66"/>
      <c r="DF262" s="66"/>
      <c r="DG262" s="66"/>
      <c r="DH262" s="66"/>
      <c r="DI262" s="66"/>
      <c r="DJ262" s="65"/>
      <c r="DK262" s="70"/>
      <c r="DL262" s="70"/>
      <c r="DM262" s="8">
        <f t="shared" si="256"/>
        <v>0</v>
      </c>
      <c r="DN262" s="8">
        <f t="shared" si="257"/>
        <v>40868.841709812361</v>
      </c>
      <c r="DO262" s="202">
        <f t="shared" si="263"/>
        <v>11998.812057582421</v>
      </c>
      <c r="DP262" s="202">
        <f t="shared" si="264"/>
        <v>11998.812057582421</v>
      </c>
      <c r="DQ262" s="202">
        <f t="shared" si="265"/>
        <v>11998.812057582421</v>
      </c>
      <c r="DR262" s="9">
        <f t="shared" si="266"/>
        <v>11787.455599445733</v>
      </c>
      <c r="DS262" s="9">
        <f t="shared" si="259"/>
        <v>12992.299333236879</v>
      </c>
      <c r="DT262" s="9">
        <f t="shared" si="267"/>
        <v>7038.3168901986719</v>
      </c>
      <c r="DU262" s="202">
        <f t="shared" si="268"/>
        <v>11998.812057582421</v>
      </c>
      <c r="DV262" s="202">
        <f t="shared" si="269"/>
        <v>11998.812057582421</v>
      </c>
      <c r="DW262" s="202">
        <f t="shared" si="270"/>
        <v>11998.812057582421</v>
      </c>
      <c r="DX262" s="203">
        <f t="shared" si="271"/>
        <v>0.22695942041185271</v>
      </c>
      <c r="DY262" s="203">
        <f t="shared" si="272"/>
        <v>0.22695942041185271</v>
      </c>
      <c r="DZ262" s="203">
        <f t="shared" si="273"/>
        <v>0.22695942041185271</v>
      </c>
      <c r="EA262" s="19">
        <f t="shared" si="274"/>
        <v>0.22385652242534815</v>
      </c>
      <c r="EB262" s="19">
        <f t="shared" si="260"/>
        <v>0.24121841984098721</v>
      </c>
      <c r="EC262" s="19">
        <f t="shared" si="275"/>
        <v>0.14691576574105256</v>
      </c>
      <c r="ED262" s="203">
        <f t="shared" si="276"/>
        <v>0.22695942041185271</v>
      </c>
      <c r="EE262" s="203">
        <f t="shared" si="277"/>
        <v>0.22695942041185271</v>
      </c>
      <c r="EF262" s="203">
        <f t="shared" si="278"/>
        <v>0.22695942041185271</v>
      </c>
      <c r="EH262" s="58">
        <f t="shared" si="234"/>
        <v>36285.220642200271</v>
      </c>
      <c r="EI262" s="68">
        <f t="shared" si="210"/>
        <v>0.67368087529372656</v>
      </c>
      <c r="EJ262" s="58">
        <f t="shared" si="211"/>
        <v>32663.095642200271</v>
      </c>
      <c r="EK262" s="68">
        <f t="shared" si="210"/>
        <v>0.60643155732801601</v>
      </c>
      <c r="EL262" s="58">
        <f t="shared" si="212"/>
        <v>4954.6935011547748</v>
      </c>
      <c r="EM262" s="58">
        <f t="shared" si="213"/>
        <v>5250.6007197069348</v>
      </c>
      <c r="EN262" s="68">
        <f t="shared" si="214"/>
        <v>9.7484023138505765E-2</v>
      </c>
      <c r="EO262" s="139">
        <f t="shared" si="233"/>
        <v>0.32861286969700848</v>
      </c>
      <c r="EP262">
        <f>+(SUM(M262:O262)*EO262*(1-'[1]Tier 3 Data'!$A$2))</f>
        <v>1144.9357009156956</v>
      </c>
    </row>
    <row r="263" spans="1:146" x14ac:dyDescent="0.2">
      <c r="A263" s="43">
        <v>0</v>
      </c>
      <c r="B263" s="43">
        <v>0</v>
      </c>
      <c r="C263" s="43">
        <v>0</v>
      </c>
      <c r="D263" s="70">
        <v>2029</v>
      </c>
      <c r="E263" s="70">
        <v>4</v>
      </c>
      <c r="F263" s="2">
        <v>720</v>
      </c>
      <c r="G263" s="133">
        <f t="shared" si="226"/>
        <v>39327.721275744931</v>
      </c>
      <c r="H263" s="65">
        <v>39327.721275744931</v>
      </c>
      <c r="I263" s="133">
        <f t="shared" si="227"/>
        <v>39327.721275744931</v>
      </c>
      <c r="J263" s="133">
        <f t="shared" si="285"/>
        <v>2048.0432500000006</v>
      </c>
      <c r="K263" s="65">
        <v>2048.0432500000006</v>
      </c>
      <c r="L263" s="133">
        <f t="shared" si="286"/>
        <v>2048.0432500000006</v>
      </c>
      <c r="M263" s="65">
        <v>1418.2286880453187</v>
      </c>
      <c r="N263" s="65">
        <v>3053.8992287010965</v>
      </c>
      <c r="O263" s="65">
        <v>574.06028169567071</v>
      </c>
      <c r="P263" s="200">
        <f t="shared" si="279"/>
        <v>35765.821566212304</v>
      </c>
      <c r="Q263" s="200">
        <f t="shared" si="280"/>
        <v>35765.821566212304</v>
      </c>
      <c r="R263" s="200">
        <f t="shared" si="281"/>
        <v>35765.821566212304</v>
      </c>
      <c r="S263" s="133">
        <f t="shared" si="228"/>
        <v>37107.459941236229</v>
      </c>
      <c r="T263" s="133">
        <f t="shared" si="229"/>
        <v>37107.459941236229</v>
      </c>
      <c r="U263" s="133">
        <f t="shared" si="230"/>
        <v>37107.459941236229</v>
      </c>
      <c r="V263" s="200">
        <f t="shared" si="282"/>
        <v>35765.821566212304</v>
      </c>
      <c r="W263" s="200">
        <f t="shared" si="283"/>
        <v>35765.821566212304</v>
      </c>
      <c r="X263" s="200">
        <f t="shared" si="284"/>
        <v>35765.821566212304</v>
      </c>
      <c r="Y263" s="65">
        <v>6836.6020477423062</v>
      </c>
      <c r="Z263" s="65">
        <v>7101.4322244131454</v>
      </c>
      <c r="AA263" s="65">
        <v>2615.7216753328348</v>
      </c>
      <c r="AB263" s="200">
        <f t="shared" si="218"/>
        <v>42867.253790625451</v>
      </c>
      <c r="AC263" s="200">
        <f t="shared" si="219"/>
        <v>42867.253790625451</v>
      </c>
      <c r="AD263" s="200">
        <f t="shared" si="220"/>
        <v>42867.253790625451</v>
      </c>
      <c r="AE263" s="199">
        <f t="shared" si="261"/>
        <v>43944.061988978538</v>
      </c>
      <c r="AF263" s="199">
        <f t="shared" si="221"/>
        <v>44208.892165649377</v>
      </c>
      <c r="AG263" s="199">
        <f t="shared" si="262"/>
        <v>39723.181616569062</v>
      </c>
      <c r="AH263" s="199">
        <f t="shared" si="231"/>
        <v>41966.036891109223</v>
      </c>
      <c r="AI263" s="200">
        <f t="shared" si="222"/>
        <v>42867.253790625451</v>
      </c>
      <c r="AJ263" s="200">
        <f t="shared" si="223"/>
        <v>42867.253790625451</v>
      </c>
      <c r="AK263" s="200">
        <f t="shared" si="224"/>
        <v>42867.253790625451</v>
      </c>
      <c r="AL263" s="4"/>
      <c r="AM263" s="4"/>
      <c r="AN263" s="4"/>
      <c r="AO263" s="4"/>
      <c r="AP263" s="63"/>
      <c r="AQ263" s="18"/>
      <c r="AR263" s="10">
        <v>9600</v>
      </c>
      <c r="AS263" s="18"/>
      <c r="AT263" s="62"/>
      <c r="AU263" s="133">
        <f t="shared" si="235"/>
        <v>96.057000000000002</v>
      </c>
      <c r="AV263" s="133">
        <f t="shared" si="235"/>
        <v>3017.9659999999999</v>
      </c>
      <c r="AW263" s="63"/>
      <c r="AX263" s="63"/>
      <c r="AY263" s="65">
        <v>1122.6138126000001</v>
      </c>
      <c r="AZ263" s="63"/>
      <c r="BA263" s="65">
        <v>1366.578</v>
      </c>
      <c r="BB263" s="133">
        <f t="shared" si="206"/>
        <v>1440.9</v>
      </c>
      <c r="BC263" s="65">
        <v>567.6650303146555</v>
      </c>
      <c r="BD263" s="65">
        <v>15.751376692709027</v>
      </c>
      <c r="BE263" s="65">
        <v>0</v>
      </c>
      <c r="BF263" s="65">
        <v>201.0078173079965</v>
      </c>
      <c r="BG263" s="65">
        <v>0</v>
      </c>
      <c r="BH263" s="65">
        <v>138.923473015855</v>
      </c>
      <c r="BI263" s="65">
        <v>1440.1654652062136</v>
      </c>
      <c r="BJ263" s="65">
        <v>0</v>
      </c>
      <c r="BK263" s="65">
        <v>19.984033847071771</v>
      </c>
      <c r="BL263" s="65">
        <v>0</v>
      </c>
      <c r="BM263" s="65">
        <v>0</v>
      </c>
      <c r="BN263" s="65">
        <v>104.630880421147</v>
      </c>
      <c r="BO263" s="65">
        <v>205.33566960000002</v>
      </c>
      <c r="BP263" s="260">
        <f t="shared" si="225"/>
        <v>960</v>
      </c>
      <c r="BQ263" s="65">
        <v>148.52819760571126</v>
      </c>
      <c r="BR263" s="65">
        <v>194.05692507772829</v>
      </c>
      <c r="BS263" s="65">
        <v>702.18751944880614</v>
      </c>
      <c r="BT263" s="65">
        <v>244.04519640417976</v>
      </c>
      <c r="BU263" s="65">
        <v>262.04856443086589</v>
      </c>
      <c r="BV263" s="144">
        <f t="shared" si="215"/>
        <v>992.76008163172298</v>
      </c>
      <c r="BW263" s="144">
        <f t="shared" si="216"/>
        <v>2137.7294600907676</v>
      </c>
      <c r="BX263" s="144">
        <f t="shared" si="217"/>
        <v>401.84219718696949</v>
      </c>
      <c r="BY263" s="5"/>
      <c r="BZ263" s="66">
        <v>0</v>
      </c>
      <c r="CA263" s="4"/>
      <c r="CB263" s="5"/>
      <c r="CC263" s="5"/>
      <c r="CD263" s="188">
        <v>2.3725527527096357</v>
      </c>
      <c r="CE263" s="5"/>
      <c r="CF263" s="133">
        <f t="shared" si="232"/>
        <v>2495.3333333333335</v>
      </c>
      <c r="CG263" s="70"/>
      <c r="CH263" s="70">
        <v>4704</v>
      </c>
      <c r="CI263" s="70"/>
      <c r="CJ263" s="133">
        <f t="shared" si="237"/>
        <v>1440.9</v>
      </c>
      <c r="CK263" s="8">
        <f t="shared" si="258"/>
        <v>32582.482586968439</v>
      </c>
      <c r="CL263" s="202">
        <f t="shared" si="238"/>
        <v>10284.771203657012</v>
      </c>
      <c r="CM263" s="202">
        <f t="shared" si="239"/>
        <v>10284.771203657012</v>
      </c>
      <c r="CN263" s="202">
        <f t="shared" si="240"/>
        <v>10284.771203657012</v>
      </c>
      <c r="CO263" s="9">
        <f t="shared" si="241"/>
        <v>11361.579402010098</v>
      </c>
      <c r="CP263" s="9">
        <f t="shared" si="242"/>
        <v>11626.409578680938</v>
      </c>
      <c r="CQ263" s="9">
        <f t="shared" si="243"/>
        <v>7140.6990296006225</v>
      </c>
      <c r="CR263" s="202">
        <f t="shared" si="244"/>
        <v>10284.771203657012</v>
      </c>
      <c r="CS263" s="202">
        <f t="shared" si="245"/>
        <v>10284.771203657012</v>
      </c>
      <c r="CT263" s="202">
        <f t="shared" si="246"/>
        <v>10284.771203657012</v>
      </c>
      <c r="CU263" s="203">
        <f t="shared" si="247"/>
        <v>0.23992139206981733</v>
      </c>
      <c r="CV263" s="203">
        <f t="shared" si="248"/>
        <v>0.23992139206981733</v>
      </c>
      <c r="CW263" s="203">
        <f t="shared" si="249"/>
        <v>0.23992139206981733</v>
      </c>
      <c r="CX263" s="19">
        <f t="shared" si="250"/>
        <v>0.25854640849677613</v>
      </c>
      <c r="CY263" s="19">
        <f t="shared" si="251"/>
        <v>0.26298803270430604</v>
      </c>
      <c r="CZ263" s="19">
        <f t="shared" si="252"/>
        <v>0.17976150799114599</v>
      </c>
      <c r="DA263" s="203">
        <f t="shared" si="253"/>
        <v>0.23992139206981733</v>
      </c>
      <c r="DB263" s="203">
        <f t="shared" si="254"/>
        <v>0.23992139206981733</v>
      </c>
      <c r="DC263" s="203">
        <f t="shared" si="255"/>
        <v>0.23992139206981733</v>
      </c>
      <c r="DD263" s="65"/>
      <c r="DE263" s="66"/>
      <c r="DF263" s="66"/>
      <c r="DG263" s="66"/>
      <c r="DH263" s="66"/>
      <c r="DI263" s="66"/>
      <c r="DJ263" s="65"/>
      <c r="DK263" s="70"/>
      <c r="DL263" s="70"/>
      <c r="DM263" s="8">
        <f t="shared" si="256"/>
        <v>0</v>
      </c>
      <c r="DN263" s="8">
        <f t="shared" si="257"/>
        <v>32582.482586968439</v>
      </c>
      <c r="DO263" s="202">
        <f t="shared" si="263"/>
        <v>10284.771203657012</v>
      </c>
      <c r="DP263" s="202">
        <f t="shared" si="264"/>
        <v>10284.771203657012</v>
      </c>
      <c r="DQ263" s="202">
        <f t="shared" si="265"/>
        <v>10284.771203657012</v>
      </c>
      <c r="DR263" s="9">
        <f t="shared" si="266"/>
        <v>11361.579402010098</v>
      </c>
      <c r="DS263" s="9">
        <f t="shared" si="259"/>
        <v>11626.409578680938</v>
      </c>
      <c r="DT263" s="9">
        <f t="shared" si="267"/>
        <v>7140.6990296006225</v>
      </c>
      <c r="DU263" s="202">
        <f t="shared" si="268"/>
        <v>10284.771203657012</v>
      </c>
      <c r="DV263" s="202">
        <f t="shared" si="269"/>
        <v>10284.771203657012</v>
      </c>
      <c r="DW263" s="202">
        <f t="shared" si="270"/>
        <v>10284.771203657012</v>
      </c>
      <c r="DX263" s="203">
        <f t="shared" si="271"/>
        <v>0.23992139206981733</v>
      </c>
      <c r="DY263" s="203">
        <f t="shared" si="272"/>
        <v>0.23992139206981733</v>
      </c>
      <c r="DZ263" s="203">
        <f t="shared" si="273"/>
        <v>0.23992139206981733</v>
      </c>
      <c r="EA263" s="19">
        <f t="shared" si="274"/>
        <v>0.25854640849677613</v>
      </c>
      <c r="EB263" s="19">
        <f t="shared" si="260"/>
        <v>0.26298803270430604</v>
      </c>
      <c r="EC263" s="19">
        <f t="shared" si="275"/>
        <v>0.17976150799114599</v>
      </c>
      <c r="ED263" s="203">
        <f t="shared" si="276"/>
        <v>0.23992139206981733</v>
      </c>
      <c r="EE263" s="203">
        <f t="shared" si="277"/>
        <v>0.23992139206981733</v>
      </c>
      <c r="EF263" s="203">
        <f t="shared" si="278"/>
        <v>0.23992139206981733</v>
      </c>
      <c r="EH263" s="58">
        <f t="shared" si="234"/>
        <v>31386.342135276009</v>
      </c>
      <c r="EI263" s="68">
        <f t="shared" si="210"/>
        <v>0.70995540937041213</v>
      </c>
      <c r="EJ263" s="58">
        <f t="shared" si="211"/>
        <v>31386.342135276009</v>
      </c>
      <c r="EK263" s="68">
        <f t="shared" si="210"/>
        <v>0.70995540937041213</v>
      </c>
      <c r="EL263" s="58">
        <f t="shared" si="212"/>
        <v>6181.0517921557112</v>
      </c>
      <c r="EM263" s="58">
        <f t="shared" si="213"/>
        <v>6582.8939893426805</v>
      </c>
      <c r="EN263" s="68">
        <f t="shared" si="214"/>
        <v>0.14890429655366111</v>
      </c>
      <c r="EO263" s="139">
        <f t="shared" si="233"/>
        <v>0.35351678044029999</v>
      </c>
      <c r="EP263">
        <f>+(SUM(M263:O263)*EO263*(1-'[1]Tier 3 Data'!$A$2))</f>
        <v>1664.3900876466755</v>
      </c>
    </row>
    <row r="264" spans="1:146" x14ac:dyDescent="0.2">
      <c r="A264" s="43">
        <v>0</v>
      </c>
      <c r="B264" s="43">
        <v>0</v>
      </c>
      <c r="C264" s="43">
        <v>0</v>
      </c>
      <c r="D264" s="70">
        <v>2029</v>
      </c>
      <c r="E264" s="70">
        <v>5</v>
      </c>
      <c r="F264" s="2">
        <v>744</v>
      </c>
      <c r="G264" s="133">
        <f t="shared" si="226"/>
        <v>37492.003195275807</v>
      </c>
      <c r="H264" s="65">
        <v>37492.003195275807</v>
      </c>
      <c r="I264" s="133">
        <f t="shared" si="227"/>
        <v>37492.003195275807</v>
      </c>
      <c r="J264" s="133">
        <f t="shared" si="285"/>
        <v>2088.3381875000005</v>
      </c>
      <c r="K264" s="65">
        <v>2088.3381875000005</v>
      </c>
      <c r="L264" s="133">
        <f t="shared" si="286"/>
        <v>2088.3381875000005</v>
      </c>
      <c r="M264" s="65">
        <v>1750.7817988213781</v>
      </c>
      <c r="N264" s="65">
        <v>3769.9922657844818</v>
      </c>
      <c r="O264" s="65">
        <v>713.03099100698137</v>
      </c>
      <c r="P264" s="200">
        <f t="shared" si="279"/>
        <v>33533.523491091953</v>
      </c>
      <c r="Q264" s="200">
        <f t="shared" si="280"/>
        <v>33533.523491091953</v>
      </c>
      <c r="R264" s="200">
        <f t="shared" si="281"/>
        <v>33533.523491091953</v>
      </c>
      <c r="S264" s="133">
        <f t="shared" si="228"/>
        <v>35189.755710473713</v>
      </c>
      <c r="T264" s="133">
        <f t="shared" si="229"/>
        <v>35189.755710473713</v>
      </c>
      <c r="U264" s="133">
        <f t="shared" si="230"/>
        <v>35189.755710473713</v>
      </c>
      <c r="V264" s="200">
        <f t="shared" si="282"/>
        <v>33533.523491091953</v>
      </c>
      <c r="W264" s="200">
        <f t="shared" si="283"/>
        <v>33533.523491091953</v>
      </c>
      <c r="X264" s="200">
        <f t="shared" si="284"/>
        <v>33533.523491091953</v>
      </c>
      <c r="Y264" s="65">
        <v>5560.7277379957623</v>
      </c>
      <c r="Z264" s="65">
        <v>5201.3931170072647</v>
      </c>
      <c r="AA264" s="65">
        <v>2037.8928166174849</v>
      </c>
      <c r="AB264" s="200">
        <f t="shared" si="218"/>
        <v>38734.916608099214</v>
      </c>
      <c r="AC264" s="200">
        <f t="shared" si="219"/>
        <v>38734.916608099214</v>
      </c>
      <c r="AD264" s="200">
        <f t="shared" si="220"/>
        <v>38734.916608099214</v>
      </c>
      <c r="AE264" s="199">
        <f t="shared" si="261"/>
        <v>40750.483448469473</v>
      </c>
      <c r="AF264" s="199">
        <f t="shared" si="221"/>
        <v>40391.148827480982</v>
      </c>
      <c r="AG264" s="199">
        <f t="shared" si="262"/>
        <v>37227.648527091202</v>
      </c>
      <c r="AH264" s="199">
        <f t="shared" si="231"/>
        <v>38989.065987780341</v>
      </c>
      <c r="AI264" s="200">
        <f t="shared" si="222"/>
        <v>38734.916608099214</v>
      </c>
      <c r="AJ264" s="200">
        <f t="shared" si="223"/>
        <v>38734.916608099214</v>
      </c>
      <c r="AK264" s="200">
        <f t="shared" si="224"/>
        <v>38734.916608099214</v>
      </c>
      <c r="AL264" s="4"/>
      <c r="AM264" s="4"/>
      <c r="AN264" s="4"/>
      <c r="AO264" s="4"/>
      <c r="AP264" s="63"/>
      <c r="AQ264" s="18"/>
      <c r="AR264" s="10">
        <v>9920</v>
      </c>
      <c r="AS264" s="18"/>
      <c r="AT264" s="62"/>
      <c r="AU264" s="133">
        <f t="shared" si="235"/>
        <v>109.161</v>
      </c>
      <c r="AV264" s="133">
        <f t="shared" si="235"/>
        <v>3327.41</v>
      </c>
      <c r="AW264" s="63"/>
      <c r="AX264" s="63"/>
      <c r="AY264" s="65">
        <v>837.33634925714296</v>
      </c>
      <c r="AZ264" s="63"/>
      <c r="BA264" s="65">
        <v>1570</v>
      </c>
      <c r="BB264" s="133">
        <f t="shared" si="206"/>
        <v>1028.67</v>
      </c>
      <c r="BC264" s="65">
        <v>570.10748354622444</v>
      </c>
      <c r="BD264" s="65">
        <v>12.098699446784533</v>
      </c>
      <c r="BE264" s="65">
        <v>0</v>
      </c>
      <c r="BF264" s="65">
        <v>204.79596502442698</v>
      </c>
      <c r="BG264" s="65">
        <v>0</v>
      </c>
      <c r="BH264" s="65">
        <v>88.40584646463499</v>
      </c>
      <c r="BI264" s="65">
        <v>1446.3619659709991</v>
      </c>
      <c r="BJ264" s="65">
        <v>0</v>
      </c>
      <c r="BK264" s="65">
        <v>12.751667915526451</v>
      </c>
      <c r="BL264" s="65">
        <v>0</v>
      </c>
      <c r="BM264" s="65">
        <v>0</v>
      </c>
      <c r="BN264" s="65">
        <v>66.583287540729913</v>
      </c>
      <c r="BO264" s="65">
        <v>212.18019192</v>
      </c>
      <c r="BP264" s="260">
        <f t="shared" si="225"/>
        <v>992</v>
      </c>
      <c r="BQ264" s="65">
        <v>171.05268320562826</v>
      </c>
      <c r="BR264" s="65">
        <v>223.48587484790698</v>
      </c>
      <c r="BS264" s="65">
        <v>808.67504412199855</v>
      </c>
      <c r="BT264" s="65">
        <v>252.21895740744171</v>
      </c>
      <c r="BU264" s="65">
        <v>299.67904829495887</v>
      </c>
      <c r="BV264" s="144">
        <f t="shared" si="215"/>
        <v>1225.5472591749647</v>
      </c>
      <c r="BW264" s="144">
        <f t="shared" si="216"/>
        <v>2638.9945860491371</v>
      </c>
      <c r="BX264" s="144">
        <f t="shared" si="217"/>
        <v>499.12169370488692</v>
      </c>
      <c r="BY264" s="5"/>
      <c r="BZ264" s="66">
        <v>7254</v>
      </c>
      <c r="CA264" s="4"/>
      <c r="CB264" s="5"/>
      <c r="CC264" s="5"/>
      <c r="CD264" s="188">
        <v>1.4538432884059718E-2</v>
      </c>
      <c r="CE264" s="5"/>
      <c r="CF264" s="133">
        <f t="shared" si="232"/>
        <v>1762.6666666666667</v>
      </c>
      <c r="CG264" s="70"/>
      <c r="CH264" s="70">
        <v>2480</v>
      </c>
      <c r="CI264" s="70"/>
      <c r="CJ264" s="133">
        <f t="shared" si="237"/>
        <v>1028.67</v>
      </c>
      <c r="CK264" s="8">
        <f t="shared" si="258"/>
        <v>38013.318808992939</v>
      </c>
      <c r="CL264" s="202">
        <f t="shared" si="238"/>
        <v>721.59779910627549</v>
      </c>
      <c r="CM264" s="202">
        <f t="shared" si="239"/>
        <v>721.59779910627549</v>
      </c>
      <c r="CN264" s="202">
        <f t="shared" si="240"/>
        <v>721.59779910627549</v>
      </c>
      <c r="CO264" s="9">
        <f t="shared" si="241"/>
        <v>2737.1646394765339</v>
      </c>
      <c r="CP264" s="9">
        <f t="shared" si="242"/>
        <v>2377.8300184880427</v>
      </c>
      <c r="CQ264" s="9">
        <f t="shared" si="243"/>
        <v>-785.67028190173733</v>
      </c>
      <c r="CR264" s="202">
        <f t="shared" si="244"/>
        <v>721.59779910627549</v>
      </c>
      <c r="CS264" s="202">
        <f t="shared" si="245"/>
        <v>721.59779910627549</v>
      </c>
      <c r="CT264" s="202">
        <f t="shared" si="246"/>
        <v>721.59779910627549</v>
      </c>
      <c r="CU264" s="203">
        <f t="shared" si="247"/>
        <v>1.8629130053565011E-2</v>
      </c>
      <c r="CV264" s="203">
        <f t="shared" si="248"/>
        <v>1.8629130053565011E-2</v>
      </c>
      <c r="CW264" s="203">
        <f t="shared" si="249"/>
        <v>1.8629130053565011E-2</v>
      </c>
      <c r="CX264" s="19">
        <f t="shared" si="250"/>
        <v>6.7168887528359811E-2</v>
      </c>
      <c r="CY264" s="19">
        <f t="shared" si="251"/>
        <v>5.8870076427987986E-2</v>
      </c>
      <c r="CZ264" s="19">
        <f t="shared" si="252"/>
        <v>-2.1104483172768529E-2</v>
      </c>
      <c r="DA264" s="203">
        <f t="shared" si="253"/>
        <v>1.8629130053565011E-2</v>
      </c>
      <c r="DB264" s="203">
        <f t="shared" si="254"/>
        <v>1.8629130053565011E-2</v>
      </c>
      <c r="DC264" s="203">
        <f t="shared" si="255"/>
        <v>1.8629130053565011E-2</v>
      </c>
      <c r="DD264" s="65"/>
      <c r="DE264" s="66"/>
      <c r="DF264" s="66"/>
      <c r="DG264" s="66"/>
      <c r="DH264" s="66"/>
      <c r="DI264" s="66"/>
      <c r="DJ264" s="65"/>
      <c r="DK264" s="70"/>
      <c r="DL264" s="70"/>
      <c r="DM264" s="8">
        <f t="shared" si="256"/>
        <v>0</v>
      </c>
      <c r="DN264" s="8">
        <f t="shared" si="257"/>
        <v>38013.318808992939</v>
      </c>
      <c r="DO264" s="202">
        <f t="shared" si="263"/>
        <v>721.59779910627549</v>
      </c>
      <c r="DP264" s="202">
        <f t="shared" si="264"/>
        <v>721.59779910627549</v>
      </c>
      <c r="DQ264" s="202">
        <f t="shared" si="265"/>
        <v>721.59779910627549</v>
      </c>
      <c r="DR264" s="9">
        <f t="shared" si="266"/>
        <v>2737.1646394765339</v>
      </c>
      <c r="DS264" s="9">
        <f t="shared" si="259"/>
        <v>2377.8300184880427</v>
      </c>
      <c r="DT264" s="9">
        <f t="shared" si="267"/>
        <v>-785.67028190173733</v>
      </c>
      <c r="DU264" s="202">
        <f t="shared" si="268"/>
        <v>721.59779910627549</v>
      </c>
      <c r="DV264" s="202">
        <f t="shared" si="269"/>
        <v>721.59779910627549</v>
      </c>
      <c r="DW264" s="202">
        <f t="shared" si="270"/>
        <v>721.59779910627549</v>
      </c>
      <c r="DX264" s="203">
        <f t="shared" si="271"/>
        <v>1.8629130053565011E-2</v>
      </c>
      <c r="DY264" s="203">
        <f t="shared" si="272"/>
        <v>1.8629130053565011E-2</v>
      </c>
      <c r="DZ264" s="203">
        <f t="shared" si="273"/>
        <v>1.8629130053565011E-2</v>
      </c>
      <c r="EA264" s="19">
        <f t="shared" si="274"/>
        <v>6.7168887528359811E-2</v>
      </c>
      <c r="EB264" s="19">
        <f t="shared" si="260"/>
        <v>5.8870076427987986E-2</v>
      </c>
      <c r="EC264" s="19">
        <f t="shared" si="275"/>
        <v>-2.1104483172768529E-2</v>
      </c>
      <c r="ED264" s="203">
        <f t="shared" si="276"/>
        <v>1.8629130053565011E-2</v>
      </c>
      <c r="EE264" s="203">
        <f t="shared" si="277"/>
        <v>1.8629130053565011E-2</v>
      </c>
      <c r="EF264" s="203">
        <f t="shared" si="278"/>
        <v>1.8629130053565011E-2</v>
      </c>
      <c r="EH264" s="58">
        <f t="shared" si="234"/>
        <v>32955.961046360659</v>
      </c>
      <c r="EI264" s="68">
        <f t="shared" si="210"/>
        <v>0.81592036876996099</v>
      </c>
      <c r="EJ264" s="58">
        <f t="shared" si="211"/>
        <v>29328.961046360662</v>
      </c>
      <c r="EK264" s="68">
        <f t="shared" si="210"/>
        <v>0.72612346758520707</v>
      </c>
      <c r="EL264" s="58">
        <f t="shared" si="212"/>
        <v>6802.5953367319717</v>
      </c>
      <c r="EM264" s="58">
        <f t="shared" si="213"/>
        <v>7301.7170304368583</v>
      </c>
      <c r="EN264" s="68">
        <f t="shared" si="214"/>
        <v>0.18077517580953228</v>
      </c>
      <c r="EO264" s="139">
        <f t="shared" si="233"/>
        <v>0.28868615856523006</v>
      </c>
      <c r="EP264">
        <f>+(SUM(M264:O264)*EO264*(1-'[1]Tier 3 Data'!$A$2))</f>
        <v>1679.0391480211733</v>
      </c>
    </row>
    <row r="265" spans="1:146" x14ac:dyDescent="0.2">
      <c r="A265" s="43">
        <v>0</v>
      </c>
      <c r="B265" s="43">
        <v>0</v>
      </c>
      <c r="C265" s="43">
        <v>0</v>
      </c>
      <c r="D265" s="70">
        <v>2029</v>
      </c>
      <c r="E265" s="70">
        <v>6</v>
      </c>
      <c r="F265" s="2">
        <v>720</v>
      </c>
      <c r="G265" s="133">
        <f t="shared" si="226"/>
        <v>39861.912098106768</v>
      </c>
      <c r="H265" s="65">
        <v>39861.912098106768</v>
      </c>
      <c r="I265" s="133">
        <f t="shared" si="227"/>
        <v>39861.912098106768</v>
      </c>
      <c r="J265" s="133">
        <f t="shared" si="285"/>
        <v>2128.6331250000003</v>
      </c>
      <c r="K265" s="65">
        <v>2128.6331250000003</v>
      </c>
      <c r="L265" s="133">
        <f t="shared" si="286"/>
        <v>2128.6331250000003</v>
      </c>
      <c r="M265" s="65">
        <v>1630.7561929849653</v>
      </c>
      <c r="N265" s="65">
        <v>3511.538810303055</v>
      </c>
      <c r="O265" s="65">
        <v>672.14901631002726</v>
      </c>
      <c r="P265" s="200">
        <f t="shared" si="279"/>
        <v>35988.945767227357</v>
      </c>
      <c r="Q265" s="200">
        <f t="shared" si="280"/>
        <v>35988.945767227357</v>
      </c>
      <c r="R265" s="200">
        <f t="shared" si="281"/>
        <v>35988.945767227357</v>
      </c>
      <c r="S265" s="133">
        <f t="shared" si="228"/>
        <v>37531.634268213762</v>
      </c>
      <c r="T265" s="133">
        <f t="shared" si="229"/>
        <v>37531.634268213762</v>
      </c>
      <c r="U265" s="133">
        <f t="shared" si="230"/>
        <v>37531.634268213762</v>
      </c>
      <c r="V265" s="200">
        <f t="shared" si="282"/>
        <v>35988.945767227357</v>
      </c>
      <c r="W265" s="200">
        <f t="shared" si="283"/>
        <v>35988.945767227357</v>
      </c>
      <c r="X265" s="200">
        <f t="shared" si="284"/>
        <v>35988.945767227357</v>
      </c>
      <c r="Y265" s="65">
        <v>5967.0075035050231</v>
      </c>
      <c r="Z265" s="65">
        <v>5758.5686445672036</v>
      </c>
      <c r="AA265" s="65">
        <v>2316.497009436885</v>
      </c>
      <c r="AB265" s="200">
        <f t="shared" si="218"/>
        <v>41747.51441179456</v>
      </c>
      <c r="AC265" s="200">
        <f t="shared" si="219"/>
        <v>41747.51441179456</v>
      </c>
      <c r="AD265" s="200">
        <f t="shared" si="220"/>
        <v>41747.51441179456</v>
      </c>
      <c r="AE265" s="199">
        <f t="shared" si="261"/>
        <v>43498.641771718787</v>
      </c>
      <c r="AF265" s="199">
        <f t="shared" si="221"/>
        <v>43290.202912780966</v>
      </c>
      <c r="AG265" s="199">
        <f t="shared" si="262"/>
        <v>39848.131277650646</v>
      </c>
      <c r="AH265" s="199">
        <f t="shared" si="231"/>
        <v>41673.386524684713</v>
      </c>
      <c r="AI265" s="200">
        <f t="shared" si="222"/>
        <v>41747.51441179456</v>
      </c>
      <c r="AJ265" s="200">
        <f t="shared" si="223"/>
        <v>41747.51441179456</v>
      </c>
      <c r="AK265" s="200">
        <f t="shared" si="224"/>
        <v>41747.51441179456</v>
      </c>
      <c r="AL265" s="4"/>
      <c r="AM265" s="4"/>
      <c r="AN265" s="4"/>
      <c r="AO265" s="4"/>
      <c r="AP265" s="63"/>
      <c r="AQ265" s="18"/>
      <c r="AR265" s="10">
        <v>9600</v>
      </c>
      <c r="AS265" s="18"/>
      <c r="AT265" s="62"/>
      <c r="AU265" s="133">
        <f t="shared" si="235"/>
        <v>128.934</v>
      </c>
      <c r="AV265" s="133">
        <f t="shared" si="235"/>
        <v>3110.2840000000001</v>
      </c>
      <c r="AW265" s="63"/>
      <c r="AX265" s="63"/>
      <c r="AY265" s="65">
        <v>1170.1048746057143</v>
      </c>
      <c r="AZ265" s="63"/>
      <c r="BA265" s="65">
        <v>2058.0909999999999</v>
      </c>
      <c r="BB265" s="133">
        <f t="shared" ref="BB265:BB292" si="287">+BB253</f>
        <v>1047.68</v>
      </c>
      <c r="BC265" s="65">
        <v>605.91554170888298</v>
      </c>
      <c r="BD265" s="65">
        <v>8.3809700100652513</v>
      </c>
      <c r="BE265" s="65">
        <v>0</v>
      </c>
      <c r="BF265" s="65">
        <v>179.82494093729514</v>
      </c>
      <c r="BG265" s="65">
        <v>0</v>
      </c>
      <c r="BH265" s="65">
        <v>37.888219913415</v>
      </c>
      <c r="BI265" s="65">
        <v>1537.2069643204168</v>
      </c>
      <c r="BJ265" s="65">
        <v>0</v>
      </c>
      <c r="BK265" s="65">
        <v>11.763509963764358</v>
      </c>
      <c r="BL265" s="65">
        <v>0</v>
      </c>
      <c r="BM265" s="65">
        <v>0</v>
      </c>
      <c r="BN265" s="65">
        <v>28.535694660312817</v>
      </c>
      <c r="BO265" s="65">
        <v>205.33566960000002</v>
      </c>
      <c r="BP265" s="260">
        <f t="shared" si="225"/>
        <v>960</v>
      </c>
      <c r="BQ265" s="65">
        <v>166.30746334732149</v>
      </c>
      <c r="BR265" s="65">
        <v>217.28613126915664</v>
      </c>
      <c r="BS265" s="65">
        <v>786.24150594695323</v>
      </c>
      <c r="BT265" s="65">
        <v>264.00509794977091</v>
      </c>
      <c r="BU265" s="65">
        <v>291.84294829854178</v>
      </c>
      <c r="BV265" s="144">
        <f t="shared" si="215"/>
        <v>1141.5293350894756</v>
      </c>
      <c r="BW265" s="144">
        <f t="shared" si="216"/>
        <v>2458.0771672121382</v>
      </c>
      <c r="BX265" s="144">
        <f t="shared" si="217"/>
        <v>470.50431141701904</v>
      </c>
      <c r="BY265" s="5"/>
      <c r="BZ265" s="66">
        <v>7020</v>
      </c>
      <c r="CA265" s="4"/>
      <c r="CB265" s="5"/>
      <c r="CC265" s="5"/>
      <c r="CD265" s="188">
        <v>2.1777775833862054</v>
      </c>
      <c r="CE265" s="5"/>
      <c r="CF265" s="133">
        <f t="shared" si="232"/>
        <v>680.66666666666663</v>
      </c>
      <c r="CG265" s="70"/>
      <c r="CH265" s="70">
        <v>4368</v>
      </c>
      <c r="CI265" s="70"/>
      <c r="CJ265" s="133">
        <f t="shared" si="237"/>
        <v>1047.68</v>
      </c>
      <c r="CK265" s="8">
        <f t="shared" si="258"/>
        <v>38556.583790500285</v>
      </c>
      <c r="CL265" s="202">
        <f t="shared" si="238"/>
        <v>3190.9306212942756</v>
      </c>
      <c r="CM265" s="202">
        <f t="shared" si="239"/>
        <v>3190.9306212942756</v>
      </c>
      <c r="CN265" s="202">
        <f t="shared" si="240"/>
        <v>3190.9306212942756</v>
      </c>
      <c r="CO265" s="9">
        <f t="shared" si="241"/>
        <v>4942.0579812185024</v>
      </c>
      <c r="CP265" s="9">
        <f t="shared" si="242"/>
        <v>4733.619122280681</v>
      </c>
      <c r="CQ265" s="9">
        <f t="shared" si="243"/>
        <v>1291.5474871503611</v>
      </c>
      <c r="CR265" s="202">
        <f t="shared" si="244"/>
        <v>3190.9306212942756</v>
      </c>
      <c r="CS265" s="202">
        <f t="shared" si="245"/>
        <v>3190.9306212942756</v>
      </c>
      <c r="CT265" s="202">
        <f t="shared" si="246"/>
        <v>3190.9306212942756</v>
      </c>
      <c r="CU265" s="203">
        <f t="shared" si="247"/>
        <v>7.6434026462489701E-2</v>
      </c>
      <c r="CV265" s="203">
        <f t="shared" si="248"/>
        <v>7.6434026462489701E-2</v>
      </c>
      <c r="CW265" s="203">
        <f t="shared" si="249"/>
        <v>7.6434026462489701E-2</v>
      </c>
      <c r="CX265" s="19">
        <f t="shared" si="250"/>
        <v>0.11361407574872019</v>
      </c>
      <c r="CY265" s="19">
        <f t="shared" si="251"/>
        <v>0.10934619853405979</v>
      </c>
      <c r="CZ265" s="19">
        <f t="shared" si="252"/>
        <v>3.2411745437978486E-2</v>
      </c>
      <c r="DA265" s="203">
        <f t="shared" si="253"/>
        <v>7.6434026462489701E-2</v>
      </c>
      <c r="DB265" s="203">
        <f t="shared" si="254"/>
        <v>7.6434026462489701E-2</v>
      </c>
      <c r="DC265" s="203">
        <f t="shared" si="255"/>
        <v>7.6434026462489701E-2</v>
      </c>
      <c r="DD265" s="65"/>
      <c r="DE265" s="66"/>
      <c r="DF265" s="66"/>
      <c r="DG265" s="66"/>
      <c r="DH265" s="66"/>
      <c r="DI265" s="66"/>
      <c r="DJ265" s="65"/>
      <c r="DK265" s="70"/>
      <c r="DL265" s="70"/>
      <c r="DM265" s="8">
        <f t="shared" si="256"/>
        <v>0</v>
      </c>
      <c r="DN265" s="8">
        <f t="shared" si="257"/>
        <v>38556.583790500285</v>
      </c>
      <c r="DO265" s="202">
        <f t="shared" si="263"/>
        <v>3190.9306212942756</v>
      </c>
      <c r="DP265" s="202">
        <f t="shared" si="264"/>
        <v>3190.9306212942756</v>
      </c>
      <c r="DQ265" s="202">
        <f t="shared" si="265"/>
        <v>3190.9306212942756</v>
      </c>
      <c r="DR265" s="9">
        <f t="shared" si="266"/>
        <v>4942.0579812185024</v>
      </c>
      <c r="DS265" s="9">
        <f t="shared" si="259"/>
        <v>4733.619122280681</v>
      </c>
      <c r="DT265" s="9">
        <f t="shared" si="267"/>
        <v>1291.5474871503611</v>
      </c>
      <c r="DU265" s="202">
        <f t="shared" si="268"/>
        <v>3190.9306212942756</v>
      </c>
      <c r="DV265" s="202">
        <f t="shared" si="269"/>
        <v>3190.9306212942756</v>
      </c>
      <c r="DW265" s="202">
        <f t="shared" si="270"/>
        <v>3190.9306212942756</v>
      </c>
      <c r="DX265" s="203">
        <f t="shared" si="271"/>
        <v>7.6434026462489701E-2</v>
      </c>
      <c r="DY265" s="203">
        <f t="shared" si="272"/>
        <v>7.6434026462489701E-2</v>
      </c>
      <c r="DZ265" s="203">
        <f t="shared" si="273"/>
        <v>7.6434026462489701E-2</v>
      </c>
      <c r="EA265" s="19">
        <f t="shared" si="274"/>
        <v>0.11361407574872019</v>
      </c>
      <c r="EB265" s="19">
        <f t="shared" si="260"/>
        <v>0.10934619853405979</v>
      </c>
      <c r="EC265" s="19">
        <f t="shared" si="275"/>
        <v>3.2411745437978486E-2</v>
      </c>
      <c r="ED265" s="203">
        <f t="shared" si="276"/>
        <v>7.6434026462489701E-2</v>
      </c>
      <c r="EE265" s="203">
        <f t="shared" si="277"/>
        <v>7.6434026462489701E-2</v>
      </c>
      <c r="EF265" s="203">
        <f t="shared" si="278"/>
        <v>7.6434026462489701E-2</v>
      </c>
      <c r="EH265" s="58">
        <f t="shared" ref="EH265:EH328" si="288">SUMIF($AL$1:$DL$1,1,$AL265:$DL265)-0.5*BZ265</f>
        <v>33723.051736890135</v>
      </c>
      <c r="EI265" s="68">
        <f t="shared" ref="EI265:EK328" si="289">+EH265/$AF265</f>
        <v>0.77899962272835099</v>
      </c>
      <c r="EJ265" s="58">
        <f t="shared" ref="EJ265:EJ328" si="290">SUMIF($AL$2:$DL$2,1,$AL265:$DL265)</f>
        <v>30213.051736890138</v>
      </c>
      <c r="EK265" s="68">
        <f t="shared" si="289"/>
        <v>0.69791892169602332</v>
      </c>
      <c r="EL265" s="58">
        <f t="shared" ref="EL265:EL328" si="291">+EM265-BX265</f>
        <v>6618.7868842007392</v>
      </c>
      <c r="EM265" s="58">
        <f t="shared" ref="EM265:EM328" si="292">SUMIF($AL$3:$DL$3,1,$AL265:$DL265)</f>
        <v>7089.2911956177586</v>
      </c>
      <c r="EN265" s="68">
        <f t="shared" ref="EN265:EN328" si="293">+EM265/$AF265</f>
        <v>0.16376202278148069</v>
      </c>
      <c r="EO265" s="139">
        <f t="shared" si="233"/>
        <v>0.24029016665052916</v>
      </c>
      <c r="EP265">
        <f>+(SUM(M265:O265)*EO265*(1-'[1]Tier 3 Data'!$A$2))</f>
        <v>1303.5444230452783</v>
      </c>
    </row>
    <row r="266" spans="1:146" x14ac:dyDescent="0.2">
      <c r="A266" s="43">
        <v>0</v>
      </c>
      <c r="B266" s="43">
        <v>0</v>
      </c>
      <c r="C266" s="43">
        <v>0</v>
      </c>
      <c r="D266" s="70">
        <v>2029</v>
      </c>
      <c r="E266" s="70">
        <v>7</v>
      </c>
      <c r="F266" s="2">
        <v>744</v>
      </c>
      <c r="G266" s="133">
        <f t="shared" si="226"/>
        <v>45765.930833955244</v>
      </c>
      <c r="H266" s="65">
        <v>45765.930833955244</v>
      </c>
      <c r="I266" s="133">
        <f t="shared" si="227"/>
        <v>45765.930833955244</v>
      </c>
      <c r="J266" s="133">
        <f t="shared" si="285"/>
        <v>2168.9280625000001</v>
      </c>
      <c r="K266" s="65">
        <v>2168.9280625000001</v>
      </c>
      <c r="L266" s="133">
        <f t="shared" si="286"/>
        <v>2168.9280625000001</v>
      </c>
      <c r="M266" s="65">
        <v>1709.2251160000674</v>
      </c>
      <c r="N266" s="65">
        <v>3680.5074579497937</v>
      </c>
      <c r="O266" s="65">
        <v>712.38870019050034</v>
      </c>
      <c r="P266" s="200">
        <f t="shared" si="279"/>
        <v>41766.36638921313</v>
      </c>
      <c r="Q266" s="200">
        <f t="shared" si="280"/>
        <v>41766.36638921313</v>
      </c>
      <c r="R266" s="200">
        <f t="shared" si="281"/>
        <v>41766.36638921313</v>
      </c>
      <c r="S266" s="133">
        <f t="shared" si="228"/>
        <v>43383.286161398093</v>
      </c>
      <c r="T266" s="133">
        <f t="shared" si="229"/>
        <v>43383.286161398093</v>
      </c>
      <c r="U266" s="133">
        <f t="shared" si="230"/>
        <v>43383.286161398093</v>
      </c>
      <c r="V266" s="200">
        <f t="shared" si="282"/>
        <v>41766.36638921313</v>
      </c>
      <c r="W266" s="200">
        <f t="shared" si="283"/>
        <v>41766.36638921313</v>
      </c>
      <c r="X266" s="200">
        <f t="shared" si="284"/>
        <v>41766.36638921313</v>
      </c>
      <c r="Y266" s="65">
        <v>6730.1481111853382</v>
      </c>
      <c r="Z266" s="65">
        <v>7163.8325873811236</v>
      </c>
      <c r="AA266" s="65">
        <v>2767.4152928608223</v>
      </c>
      <c r="AB266" s="200">
        <f t="shared" si="218"/>
        <v>48930.198976594256</v>
      </c>
      <c r="AC266" s="200">
        <f t="shared" si="219"/>
        <v>48930.198976594256</v>
      </c>
      <c r="AD266" s="200">
        <f t="shared" si="220"/>
        <v>48930.198976594256</v>
      </c>
      <c r="AE266" s="199">
        <f t="shared" si="261"/>
        <v>50113.434272583429</v>
      </c>
      <c r="AF266" s="199">
        <f t="shared" si="221"/>
        <v>50547.118748779219</v>
      </c>
      <c r="AG266" s="199">
        <f t="shared" si="262"/>
        <v>46150.701454258917</v>
      </c>
      <c r="AH266" s="199">
        <f t="shared" si="231"/>
        <v>48348.910101519068</v>
      </c>
      <c r="AI266" s="200">
        <f t="shared" si="222"/>
        <v>48930.198976594256</v>
      </c>
      <c r="AJ266" s="200">
        <f t="shared" si="223"/>
        <v>48930.198976594256</v>
      </c>
      <c r="AK266" s="200">
        <f t="shared" si="224"/>
        <v>48930.198976594256</v>
      </c>
      <c r="AL266" s="4"/>
      <c r="AM266" s="4"/>
      <c r="AN266" s="4"/>
      <c r="AO266" s="4"/>
      <c r="AP266" s="63"/>
      <c r="AQ266" s="18"/>
      <c r="AR266" s="10">
        <v>9920</v>
      </c>
      <c r="AS266" s="18"/>
      <c r="AT266" s="62"/>
      <c r="AU266" s="133">
        <f t="shared" si="235"/>
        <v>118.521</v>
      </c>
      <c r="AV266" s="133">
        <f t="shared" si="235"/>
        <v>3084.53</v>
      </c>
      <c r="AW266" s="63"/>
      <c r="AX266" s="63"/>
      <c r="AY266" s="65">
        <v>1237.5528587885699</v>
      </c>
      <c r="AZ266" s="63"/>
      <c r="BA266" s="65">
        <v>1516.482</v>
      </c>
      <c r="BB266" s="133">
        <f t="shared" si="287"/>
        <v>874.91</v>
      </c>
      <c r="BC266" s="65">
        <v>586.79739986786444</v>
      </c>
      <c r="BD266" s="65">
        <v>7.5724679441334652</v>
      </c>
      <c r="BE266" s="65">
        <v>0</v>
      </c>
      <c r="BF266" s="65">
        <v>144.12352207184469</v>
      </c>
      <c r="BG266" s="65">
        <v>0</v>
      </c>
      <c r="BH266" s="65">
        <v>37.888219913415</v>
      </c>
      <c r="BI266" s="65">
        <v>1488.7042626072459</v>
      </c>
      <c r="BJ266" s="65">
        <v>0</v>
      </c>
      <c r="BK266" s="65">
        <v>9.5733821057653241</v>
      </c>
      <c r="BL266" s="65">
        <v>0</v>
      </c>
      <c r="BM266" s="65">
        <v>0</v>
      </c>
      <c r="BN266" s="65">
        <v>28.535694660312817</v>
      </c>
      <c r="BO266" s="65">
        <v>212.18019192</v>
      </c>
      <c r="BP266" s="260">
        <f t="shared" si="225"/>
        <v>992</v>
      </c>
      <c r="BQ266" s="65">
        <v>168.22941848622818</v>
      </c>
      <c r="BR266" s="65">
        <v>219.79715277877725</v>
      </c>
      <c r="BS266" s="65">
        <v>795.32754065039489</v>
      </c>
      <c r="BT266" s="65">
        <v>272.78493256277125</v>
      </c>
      <c r="BU266" s="65">
        <v>300.06294938418029</v>
      </c>
      <c r="BV266" s="144">
        <f t="shared" si="215"/>
        <v>1196.4575812000471</v>
      </c>
      <c r="BW266" s="144">
        <f t="shared" si="216"/>
        <v>2576.3552205648552</v>
      </c>
      <c r="BX266" s="144">
        <f t="shared" si="217"/>
        <v>498.6720901333502</v>
      </c>
      <c r="BY266" s="5"/>
      <c r="BZ266" s="66">
        <v>7254</v>
      </c>
      <c r="CA266" s="4"/>
      <c r="CB266" s="5"/>
      <c r="CC266" s="5"/>
      <c r="CD266" s="188">
        <v>2.1042112926473342</v>
      </c>
      <c r="CE266" s="5"/>
      <c r="CF266" s="133">
        <f t="shared" si="232"/>
        <v>971.33333333333337</v>
      </c>
      <c r="CG266" s="70"/>
      <c r="CH266" s="70">
        <v>6640</v>
      </c>
      <c r="CI266" s="70"/>
      <c r="CJ266" s="133">
        <f t="shared" si="237"/>
        <v>874.91</v>
      </c>
      <c r="CK266" s="8">
        <f t="shared" si="258"/>
        <v>41154.495430265742</v>
      </c>
      <c r="CL266" s="202">
        <f t="shared" si="238"/>
        <v>7775.7035463285138</v>
      </c>
      <c r="CM266" s="202">
        <f t="shared" si="239"/>
        <v>7775.7035463285138</v>
      </c>
      <c r="CN266" s="202">
        <f t="shared" si="240"/>
        <v>7775.7035463285138</v>
      </c>
      <c r="CO266" s="9">
        <f t="shared" si="241"/>
        <v>8958.9388423176861</v>
      </c>
      <c r="CP266" s="9">
        <f t="shared" si="242"/>
        <v>9392.623318513477</v>
      </c>
      <c r="CQ266" s="9">
        <f t="shared" si="243"/>
        <v>4996.2060239931743</v>
      </c>
      <c r="CR266" s="202">
        <f t="shared" si="244"/>
        <v>7775.7035463285138</v>
      </c>
      <c r="CS266" s="202">
        <f t="shared" si="245"/>
        <v>7775.7035463285138</v>
      </c>
      <c r="CT266" s="202">
        <f t="shared" si="246"/>
        <v>7775.7035463285138</v>
      </c>
      <c r="CU266" s="203">
        <f t="shared" si="247"/>
        <v>0.15891420245497098</v>
      </c>
      <c r="CV266" s="203">
        <f t="shared" si="248"/>
        <v>0.15891420245497098</v>
      </c>
      <c r="CW266" s="203">
        <f t="shared" si="249"/>
        <v>0.15891420245497098</v>
      </c>
      <c r="CX266" s="19">
        <f t="shared" si="250"/>
        <v>0.17877319669586153</v>
      </c>
      <c r="CY266" s="19">
        <f t="shared" si="251"/>
        <v>0.18581916340662485</v>
      </c>
      <c r="CZ266" s="19">
        <f t="shared" si="252"/>
        <v>0.10825850673028309</v>
      </c>
      <c r="DA266" s="203">
        <f t="shared" si="253"/>
        <v>0.15891420245497098</v>
      </c>
      <c r="DB266" s="203">
        <f t="shared" si="254"/>
        <v>0.15891420245497098</v>
      </c>
      <c r="DC266" s="203">
        <f t="shared" si="255"/>
        <v>0.15891420245497098</v>
      </c>
      <c r="DD266" s="65"/>
      <c r="DE266" s="66"/>
      <c r="DF266" s="66"/>
      <c r="DG266" s="66"/>
      <c r="DH266" s="66"/>
      <c r="DI266" s="66"/>
      <c r="DJ266" s="65"/>
      <c r="DK266" s="70"/>
      <c r="DL266" s="70"/>
      <c r="DM266" s="8">
        <f t="shared" si="256"/>
        <v>0</v>
      </c>
      <c r="DN266" s="8">
        <f t="shared" si="257"/>
        <v>41154.495430265742</v>
      </c>
      <c r="DO266" s="202">
        <f t="shared" si="263"/>
        <v>7775.7035463285138</v>
      </c>
      <c r="DP266" s="202">
        <f t="shared" si="264"/>
        <v>7775.7035463285138</v>
      </c>
      <c r="DQ266" s="202">
        <f t="shared" si="265"/>
        <v>7775.7035463285138</v>
      </c>
      <c r="DR266" s="9">
        <f t="shared" si="266"/>
        <v>8958.9388423176861</v>
      </c>
      <c r="DS266" s="9">
        <f t="shared" si="259"/>
        <v>9392.623318513477</v>
      </c>
      <c r="DT266" s="9">
        <f t="shared" si="267"/>
        <v>4996.2060239931743</v>
      </c>
      <c r="DU266" s="202">
        <f t="shared" si="268"/>
        <v>7775.7035463285138</v>
      </c>
      <c r="DV266" s="202">
        <f t="shared" si="269"/>
        <v>7775.7035463285138</v>
      </c>
      <c r="DW266" s="202">
        <f t="shared" si="270"/>
        <v>7775.7035463285138</v>
      </c>
      <c r="DX266" s="203">
        <f t="shared" si="271"/>
        <v>0.15891420245497098</v>
      </c>
      <c r="DY266" s="203">
        <f t="shared" si="272"/>
        <v>0.15891420245497098</v>
      </c>
      <c r="DZ266" s="203">
        <f t="shared" si="273"/>
        <v>0.15891420245497098</v>
      </c>
      <c r="EA266" s="19">
        <f t="shared" si="274"/>
        <v>0.17877319669586153</v>
      </c>
      <c r="EB266" s="19">
        <f t="shared" si="260"/>
        <v>0.18581916340662485</v>
      </c>
      <c r="EC266" s="19">
        <f t="shared" si="275"/>
        <v>0.10825850673028309</v>
      </c>
      <c r="ED266" s="203">
        <f t="shared" si="276"/>
        <v>0.15891420245497098</v>
      </c>
      <c r="EE266" s="203">
        <f t="shared" si="277"/>
        <v>0.15891420245497098</v>
      </c>
      <c r="EF266" s="203">
        <f t="shared" si="278"/>
        <v>0.15891420245497098</v>
      </c>
      <c r="EH266" s="58">
        <f t="shared" si="288"/>
        <v>36184.810115701206</v>
      </c>
      <c r="EI266" s="68">
        <f t="shared" si="289"/>
        <v>0.71586296135969407</v>
      </c>
      <c r="EJ266" s="58">
        <f t="shared" si="290"/>
        <v>32557.810115701202</v>
      </c>
      <c r="EK266" s="68">
        <f t="shared" si="289"/>
        <v>0.6441081296347384</v>
      </c>
      <c r="EL266" s="58">
        <f t="shared" si="291"/>
        <v>6703.8088334459444</v>
      </c>
      <c r="EM266" s="58">
        <f t="shared" si="292"/>
        <v>7202.4809235792945</v>
      </c>
      <c r="EN266" s="68">
        <f t="shared" si="293"/>
        <v>0.14249043470461398</v>
      </c>
      <c r="EO266" s="139">
        <f t="shared" si="233"/>
        <v>0.25197746931178833</v>
      </c>
      <c r="EP266">
        <f>+(SUM(M266:O266)*EO266*(1-'[1]Tier 3 Data'!$A$2))</f>
        <v>1434.5780719933823</v>
      </c>
    </row>
    <row r="267" spans="1:146" x14ac:dyDescent="0.2">
      <c r="A267" s="43">
        <v>0</v>
      </c>
      <c r="B267" s="43">
        <v>0</v>
      </c>
      <c r="C267" s="43">
        <v>0</v>
      </c>
      <c r="D267" s="70">
        <v>2029</v>
      </c>
      <c r="E267" s="70">
        <v>8</v>
      </c>
      <c r="F267" s="2">
        <v>744</v>
      </c>
      <c r="G267" s="133">
        <f t="shared" si="226"/>
        <v>43709.893801646234</v>
      </c>
      <c r="H267" s="65">
        <v>43709.893801646234</v>
      </c>
      <c r="I267" s="133">
        <f t="shared" si="227"/>
        <v>43709.893801646234</v>
      </c>
      <c r="J267" s="133">
        <f t="shared" si="285"/>
        <v>2209.223</v>
      </c>
      <c r="K267" s="65">
        <v>2209.223</v>
      </c>
      <c r="L267" s="133">
        <f t="shared" si="286"/>
        <v>2209.223</v>
      </c>
      <c r="M267" s="65">
        <v>1523.4196774399222</v>
      </c>
      <c r="N267" s="65">
        <v>3280.4090180505418</v>
      </c>
      <c r="O267" s="65">
        <v>644.73524299216524</v>
      </c>
      <c r="P267" s="200">
        <f t="shared" si="279"/>
        <v>39866.10162010145</v>
      </c>
      <c r="Q267" s="200">
        <f t="shared" si="280"/>
        <v>39866.10162010145</v>
      </c>
      <c r="R267" s="200">
        <f t="shared" si="281"/>
        <v>39866.10162010145</v>
      </c>
      <c r="S267" s="133">
        <f t="shared" si="228"/>
        <v>41307.250228748584</v>
      </c>
      <c r="T267" s="133">
        <f t="shared" si="229"/>
        <v>41307.250228748584</v>
      </c>
      <c r="U267" s="133">
        <f t="shared" si="230"/>
        <v>41307.250228748584</v>
      </c>
      <c r="V267" s="200">
        <f t="shared" si="282"/>
        <v>39866.10162010145</v>
      </c>
      <c r="W267" s="200">
        <f t="shared" si="283"/>
        <v>39866.10162010145</v>
      </c>
      <c r="X267" s="200">
        <f t="shared" si="284"/>
        <v>39866.10162010145</v>
      </c>
      <c r="Y267" s="65">
        <v>6501.1937397318097</v>
      </c>
      <c r="Z267" s="65">
        <v>6550.9909874424047</v>
      </c>
      <c r="AA267" s="65">
        <v>2610.4047724514912</v>
      </c>
      <c r="AB267" s="200">
        <f t="shared" si="218"/>
        <v>46417.092607543855</v>
      </c>
      <c r="AC267" s="200">
        <f t="shared" si="219"/>
        <v>46417.092607543855</v>
      </c>
      <c r="AD267" s="200">
        <f t="shared" si="220"/>
        <v>46417.092607543855</v>
      </c>
      <c r="AE267" s="199">
        <f t="shared" si="261"/>
        <v>47808.443968480395</v>
      </c>
      <c r="AF267" s="199">
        <f t="shared" si="221"/>
        <v>47858.241216190989</v>
      </c>
      <c r="AG267" s="199">
        <f t="shared" si="262"/>
        <v>43917.655001200073</v>
      </c>
      <c r="AH267" s="199">
        <f t="shared" si="231"/>
        <v>45887.948108695535</v>
      </c>
      <c r="AI267" s="200">
        <f t="shared" si="222"/>
        <v>46417.092607543855</v>
      </c>
      <c r="AJ267" s="200">
        <f t="shared" si="223"/>
        <v>46417.092607543855</v>
      </c>
      <c r="AK267" s="200">
        <f t="shared" si="224"/>
        <v>46417.092607543855</v>
      </c>
      <c r="AL267" s="4"/>
      <c r="AM267" s="4"/>
      <c r="AN267" s="4"/>
      <c r="AO267" s="4"/>
      <c r="AP267" s="63"/>
      <c r="AQ267" s="18"/>
      <c r="AR267" s="10">
        <v>9920</v>
      </c>
      <c r="AS267" s="18"/>
      <c r="AT267" s="62"/>
      <c r="AU267" s="133">
        <f t="shared" si="235"/>
        <v>107.64</v>
      </c>
      <c r="AV267" s="133">
        <f t="shared" si="235"/>
        <v>3021.9279999999999</v>
      </c>
      <c r="AW267" s="63"/>
      <c r="AX267" s="63"/>
      <c r="AY267" s="65">
        <v>1159.3158527085716</v>
      </c>
      <c r="AZ267" s="63"/>
      <c r="BA267" s="65">
        <v>1498.2090000000001</v>
      </c>
      <c r="BB267" s="133">
        <f t="shared" si="287"/>
        <v>875.755</v>
      </c>
      <c r="BC267" s="65">
        <v>569.06141954142743</v>
      </c>
      <c r="BD267" s="65">
        <v>7.9692213995478474</v>
      </c>
      <c r="BE267" s="65">
        <v>0</v>
      </c>
      <c r="BF267" s="65">
        <v>158.69842331487976</v>
      </c>
      <c r="BG267" s="65">
        <v>0</v>
      </c>
      <c r="BH267" s="65">
        <v>31.573516594512498</v>
      </c>
      <c r="BI267" s="65">
        <v>1443.7081029115327</v>
      </c>
      <c r="BJ267" s="65">
        <v>0</v>
      </c>
      <c r="BK267" s="65">
        <v>11.152893841525399</v>
      </c>
      <c r="BL267" s="65">
        <v>0</v>
      </c>
      <c r="BM267" s="65">
        <v>0</v>
      </c>
      <c r="BN267" s="65">
        <v>23.779745550260685</v>
      </c>
      <c r="BO267" s="65">
        <v>212.18019192</v>
      </c>
      <c r="BP267" s="260">
        <f t="shared" si="225"/>
        <v>992</v>
      </c>
      <c r="BQ267" s="65">
        <v>159.66279902033565</v>
      </c>
      <c r="BR267" s="65">
        <v>208.60465357431647</v>
      </c>
      <c r="BS267" s="65">
        <v>754.82791445478449</v>
      </c>
      <c r="BT267" s="65">
        <v>258.90070477314492</v>
      </c>
      <c r="BU267" s="65">
        <v>279.20319258224924</v>
      </c>
      <c r="BV267" s="144">
        <f t="shared" si="215"/>
        <v>1066.3937742079454</v>
      </c>
      <c r="BW267" s="144">
        <f t="shared" si="216"/>
        <v>2296.2863126353791</v>
      </c>
      <c r="BX267" s="144">
        <f t="shared" si="217"/>
        <v>451.31467009451563</v>
      </c>
      <c r="BY267" s="5"/>
      <c r="BZ267" s="66">
        <v>7254</v>
      </c>
      <c r="CA267" s="4"/>
      <c r="CB267" s="5"/>
      <c r="CC267" s="5"/>
      <c r="CD267" s="188">
        <v>16.868963591035975</v>
      </c>
      <c r="CE267" s="5"/>
      <c r="CF267" s="133">
        <f t="shared" si="232"/>
        <v>598.33333333333337</v>
      </c>
      <c r="CG267" s="70"/>
      <c r="CH267" s="70">
        <v>7312</v>
      </c>
      <c r="CI267" s="70"/>
      <c r="CJ267" s="133">
        <f t="shared" si="237"/>
        <v>875.755</v>
      </c>
      <c r="CK267" s="8">
        <f t="shared" si="258"/>
        <v>40689.3676860493</v>
      </c>
      <c r="CL267" s="202">
        <f t="shared" si="238"/>
        <v>5727.724921494555</v>
      </c>
      <c r="CM267" s="202">
        <f t="shared" si="239"/>
        <v>5727.724921494555</v>
      </c>
      <c r="CN267" s="202">
        <f t="shared" si="240"/>
        <v>5727.724921494555</v>
      </c>
      <c r="CO267" s="9">
        <f t="shared" si="241"/>
        <v>7119.076282431095</v>
      </c>
      <c r="CP267" s="9">
        <f t="shared" si="242"/>
        <v>7168.8735301416891</v>
      </c>
      <c r="CQ267" s="9">
        <f t="shared" si="243"/>
        <v>3228.2873151507738</v>
      </c>
      <c r="CR267" s="202">
        <f t="shared" si="244"/>
        <v>5727.724921494555</v>
      </c>
      <c r="CS267" s="202">
        <f t="shared" si="245"/>
        <v>5727.724921494555</v>
      </c>
      <c r="CT267" s="202">
        <f t="shared" si="246"/>
        <v>5727.724921494555</v>
      </c>
      <c r="CU267" s="203">
        <f t="shared" si="247"/>
        <v>0.12339689109618354</v>
      </c>
      <c r="CV267" s="203">
        <f t="shared" si="248"/>
        <v>0.12339689109618354</v>
      </c>
      <c r="CW267" s="203">
        <f t="shared" si="249"/>
        <v>0.12339689109618354</v>
      </c>
      <c r="CX267" s="19">
        <f t="shared" si="250"/>
        <v>0.14890834529407876</v>
      </c>
      <c r="CY267" s="19">
        <f t="shared" si="251"/>
        <v>0.14979391945804263</v>
      </c>
      <c r="CZ267" s="19">
        <f t="shared" si="252"/>
        <v>7.3507734305544303E-2</v>
      </c>
      <c r="DA267" s="203">
        <f t="shared" si="253"/>
        <v>0.12339689109618354</v>
      </c>
      <c r="DB267" s="203">
        <f t="shared" si="254"/>
        <v>0.12339689109618354</v>
      </c>
      <c r="DC267" s="203">
        <f t="shared" si="255"/>
        <v>0.12339689109618354</v>
      </c>
      <c r="DD267" s="65"/>
      <c r="DE267" s="66"/>
      <c r="DF267" s="66"/>
      <c r="DG267" s="66"/>
      <c r="DH267" s="66"/>
      <c r="DI267" s="66"/>
      <c r="DJ267" s="65"/>
      <c r="DK267" s="70"/>
      <c r="DL267" s="70"/>
      <c r="DM267" s="8">
        <f t="shared" si="256"/>
        <v>0</v>
      </c>
      <c r="DN267" s="8">
        <f t="shared" si="257"/>
        <v>40689.3676860493</v>
      </c>
      <c r="DO267" s="202">
        <f t="shared" si="263"/>
        <v>5727.724921494555</v>
      </c>
      <c r="DP267" s="202">
        <f t="shared" si="264"/>
        <v>5727.724921494555</v>
      </c>
      <c r="DQ267" s="202">
        <f t="shared" si="265"/>
        <v>5727.724921494555</v>
      </c>
      <c r="DR267" s="9">
        <f t="shared" si="266"/>
        <v>7119.076282431095</v>
      </c>
      <c r="DS267" s="9">
        <f t="shared" si="259"/>
        <v>7168.8735301416891</v>
      </c>
      <c r="DT267" s="9">
        <f t="shared" si="267"/>
        <v>3228.2873151507738</v>
      </c>
      <c r="DU267" s="202">
        <f t="shared" si="268"/>
        <v>5727.724921494555</v>
      </c>
      <c r="DV267" s="202">
        <f t="shared" si="269"/>
        <v>5727.724921494555</v>
      </c>
      <c r="DW267" s="202">
        <f t="shared" si="270"/>
        <v>5727.724921494555</v>
      </c>
      <c r="DX267" s="203">
        <f t="shared" si="271"/>
        <v>0.12339689109618354</v>
      </c>
      <c r="DY267" s="203">
        <f t="shared" si="272"/>
        <v>0.12339689109618354</v>
      </c>
      <c r="DZ267" s="203">
        <f t="shared" si="273"/>
        <v>0.12339689109618354</v>
      </c>
      <c r="EA267" s="19">
        <f t="shared" si="274"/>
        <v>0.14890834529407876</v>
      </c>
      <c r="EB267" s="19">
        <f t="shared" si="260"/>
        <v>0.14979391945804263</v>
      </c>
      <c r="EC267" s="19">
        <f t="shared" si="275"/>
        <v>7.3507734305544303E-2</v>
      </c>
      <c r="ED267" s="203">
        <f t="shared" si="276"/>
        <v>0.12339689109618354</v>
      </c>
      <c r="EE267" s="203">
        <f t="shared" si="277"/>
        <v>0.12339689109618354</v>
      </c>
      <c r="EF267" s="203">
        <f t="shared" si="278"/>
        <v>0.12339689109618354</v>
      </c>
      <c r="EH267" s="58">
        <f t="shared" si="288"/>
        <v>35820.406524935432</v>
      </c>
      <c r="EI267" s="68">
        <f t="shared" si="289"/>
        <v>0.7484689285409214</v>
      </c>
      <c r="EJ267" s="58">
        <f t="shared" si="290"/>
        <v>32193.406524935435</v>
      </c>
      <c r="EK267" s="68">
        <f t="shared" si="289"/>
        <v>0.67268260819505499</v>
      </c>
      <c r="EL267" s="58">
        <f t="shared" si="291"/>
        <v>6256.910668799017</v>
      </c>
      <c r="EM267" s="58">
        <f t="shared" si="292"/>
        <v>6708.2253388935324</v>
      </c>
      <c r="EN267" s="68">
        <f t="shared" si="293"/>
        <v>0.14016865577216539</v>
      </c>
      <c r="EO267" s="139">
        <f t="shared" si="233"/>
        <v>0.28519905910129462</v>
      </c>
      <c r="EP267">
        <f>+(SUM(M267:O267)*EO267*(1-'[1]Tier 3 Data'!$A$2))</f>
        <v>1449.8123130250212</v>
      </c>
    </row>
    <row r="268" spans="1:146" x14ac:dyDescent="0.2">
      <c r="A268" s="43">
        <v>0</v>
      </c>
      <c r="B268" s="43">
        <v>0</v>
      </c>
      <c r="C268" s="43">
        <v>0</v>
      </c>
      <c r="D268" s="70">
        <v>2029</v>
      </c>
      <c r="E268" s="70">
        <v>9</v>
      </c>
      <c r="F268" s="2">
        <v>720</v>
      </c>
      <c r="G268" s="133">
        <f t="shared" si="226"/>
        <v>37970.895860747383</v>
      </c>
      <c r="H268" s="65">
        <v>37970.895860747383</v>
      </c>
      <c r="I268" s="133">
        <f t="shared" si="227"/>
        <v>37970.895860747383</v>
      </c>
      <c r="J268" s="133">
        <f t="shared" si="285"/>
        <v>2249.5179374999998</v>
      </c>
      <c r="K268" s="65">
        <v>2249.5179374999998</v>
      </c>
      <c r="L268" s="133">
        <f t="shared" si="286"/>
        <v>2249.5179374999998</v>
      </c>
      <c r="M268" s="65">
        <v>1305.6369062084025</v>
      </c>
      <c r="N268" s="65">
        <v>2811.4531700307239</v>
      </c>
      <c r="O268" s="65">
        <v>558.54862428420358</v>
      </c>
      <c r="P268" s="200">
        <f t="shared" si="279"/>
        <v>34318.68631309038</v>
      </c>
      <c r="Q268" s="200">
        <f t="shared" si="280"/>
        <v>34318.68631309038</v>
      </c>
      <c r="R268" s="200">
        <f t="shared" si="281"/>
        <v>34318.68631309038</v>
      </c>
      <c r="S268" s="133">
        <f t="shared" si="228"/>
        <v>35553.813335962121</v>
      </c>
      <c r="T268" s="133">
        <f t="shared" si="229"/>
        <v>35553.813335962121</v>
      </c>
      <c r="U268" s="133">
        <f t="shared" si="230"/>
        <v>35553.813335962121</v>
      </c>
      <c r="V268" s="200">
        <f t="shared" si="282"/>
        <v>34318.68631309038</v>
      </c>
      <c r="W268" s="200">
        <f t="shared" si="283"/>
        <v>34318.68631309038</v>
      </c>
      <c r="X268" s="200">
        <f t="shared" si="284"/>
        <v>34318.68631309038</v>
      </c>
      <c r="Y268" s="65">
        <v>6197.8754215368263</v>
      </c>
      <c r="Z268" s="65">
        <v>5931.7005407455472</v>
      </c>
      <c r="AA268" s="65">
        <v>2354.2993368360685</v>
      </c>
      <c r="AB268" s="200">
        <f t="shared" si="218"/>
        <v>40250.386853835924</v>
      </c>
      <c r="AC268" s="200">
        <f t="shared" si="219"/>
        <v>40250.386853835924</v>
      </c>
      <c r="AD268" s="200">
        <f t="shared" si="220"/>
        <v>40250.386853835924</v>
      </c>
      <c r="AE268" s="199">
        <f t="shared" si="261"/>
        <v>41751.688757498945</v>
      </c>
      <c r="AF268" s="199">
        <f t="shared" si="221"/>
        <v>41485.513876707671</v>
      </c>
      <c r="AG268" s="199">
        <f t="shared" si="262"/>
        <v>37908.11267279819</v>
      </c>
      <c r="AH268" s="199">
        <f t="shared" si="231"/>
        <v>39829.900715148571</v>
      </c>
      <c r="AI268" s="200">
        <f t="shared" si="222"/>
        <v>40250.386853835924</v>
      </c>
      <c r="AJ268" s="200">
        <f t="shared" si="223"/>
        <v>40250.386853835924</v>
      </c>
      <c r="AK268" s="200">
        <f t="shared" si="224"/>
        <v>40250.386853835924</v>
      </c>
      <c r="AL268" s="4"/>
      <c r="AM268" s="4"/>
      <c r="AN268" s="4"/>
      <c r="AO268" s="4"/>
      <c r="AP268" s="63"/>
      <c r="AQ268" s="18"/>
      <c r="AR268" s="10">
        <v>9600</v>
      </c>
      <c r="AS268" s="18"/>
      <c r="AT268" s="62"/>
      <c r="AU268" s="133">
        <f t="shared" si="235"/>
        <v>102.375</v>
      </c>
      <c r="AV268" s="133">
        <f t="shared" si="235"/>
        <v>2969.6280000000002</v>
      </c>
      <c r="AW268" s="63"/>
      <c r="AX268" s="63"/>
      <c r="AY268" s="65">
        <v>1065.150988617143</v>
      </c>
      <c r="AZ268" s="63"/>
      <c r="BA268" s="65">
        <v>2037.9549999999999</v>
      </c>
      <c r="BB268" s="133">
        <f t="shared" si="287"/>
        <v>1324.9169999999999</v>
      </c>
      <c r="BC268" s="65">
        <v>529.48077460711397</v>
      </c>
      <c r="BD268" s="65">
        <v>10.55810604601432</v>
      </c>
      <c r="BE268" s="65">
        <v>0</v>
      </c>
      <c r="BF268" s="65">
        <v>164.12369835717462</v>
      </c>
      <c r="BG268" s="65">
        <v>0</v>
      </c>
      <c r="BH268" s="65">
        <v>6.3147033189024988</v>
      </c>
      <c r="BI268" s="65">
        <v>1343.2920566854839</v>
      </c>
      <c r="BJ268" s="65">
        <v>0</v>
      </c>
      <c r="BK268" s="65">
        <v>13.355863258351745</v>
      </c>
      <c r="BL268" s="65">
        <v>0</v>
      </c>
      <c r="BM268" s="65">
        <v>0</v>
      </c>
      <c r="BN268" s="65">
        <v>4.7559491100521365</v>
      </c>
      <c r="BO268" s="65">
        <v>205.33566960000002</v>
      </c>
      <c r="BP268" s="260">
        <f t="shared" si="225"/>
        <v>960</v>
      </c>
      <c r="BQ268" s="65">
        <v>127.47789607430053</v>
      </c>
      <c r="BR268" s="65">
        <v>166.55407345136021</v>
      </c>
      <c r="BS268" s="65">
        <v>602.66950944013081</v>
      </c>
      <c r="BT268" s="65">
        <v>222.99258772410116</v>
      </c>
      <c r="BU268" s="65">
        <v>229.2480002219225</v>
      </c>
      <c r="BV268" s="144">
        <f t="shared" ref="BV268:BV331" si="294">+M268*0.7</f>
        <v>913.94583434588162</v>
      </c>
      <c r="BW268" s="144">
        <f t="shared" ref="BW268:BW331" si="295">+N268*0.7</f>
        <v>1968.0172190215067</v>
      </c>
      <c r="BX268" s="144">
        <f t="shared" ref="BX268:BX331" si="296">+O268*0.7</f>
        <v>390.98403699894249</v>
      </c>
      <c r="BY268" s="5"/>
      <c r="BZ268" s="66">
        <v>7020</v>
      </c>
      <c r="CA268" s="4"/>
      <c r="CB268" s="5"/>
      <c r="CC268" s="5"/>
      <c r="CD268" s="188">
        <v>2.2241810746462862</v>
      </c>
      <c r="CE268" s="5"/>
      <c r="CF268" s="133">
        <f t="shared" si="232"/>
        <v>655.33333333333337</v>
      </c>
      <c r="CG268" s="70"/>
      <c r="CH268" s="70">
        <v>4800</v>
      </c>
      <c r="CI268" s="70"/>
      <c r="CJ268" s="133">
        <f t="shared" si="237"/>
        <v>1324.9169999999999</v>
      </c>
      <c r="CK268" s="8">
        <f t="shared" si="258"/>
        <v>37436.689481286361</v>
      </c>
      <c r="CL268" s="202">
        <f t="shared" si="238"/>
        <v>2813.6973725495627</v>
      </c>
      <c r="CM268" s="202">
        <f t="shared" si="239"/>
        <v>2813.6973725495627</v>
      </c>
      <c r="CN268" s="202">
        <f t="shared" si="240"/>
        <v>2813.6973725495627</v>
      </c>
      <c r="CO268" s="9">
        <f t="shared" si="241"/>
        <v>4314.9992762125839</v>
      </c>
      <c r="CP268" s="9">
        <f t="shared" si="242"/>
        <v>4048.8243954213103</v>
      </c>
      <c r="CQ268" s="9">
        <f t="shared" si="243"/>
        <v>471.42319151182892</v>
      </c>
      <c r="CR268" s="202">
        <f t="shared" si="244"/>
        <v>2813.6973725495627</v>
      </c>
      <c r="CS268" s="202">
        <f t="shared" si="245"/>
        <v>2813.6973725495627</v>
      </c>
      <c r="CT268" s="202">
        <f t="shared" si="246"/>
        <v>2813.6973725495627</v>
      </c>
      <c r="CU268" s="203">
        <f t="shared" si="247"/>
        <v>6.9904852909045093E-2</v>
      </c>
      <c r="CV268" s="203">
        <f t="shared" si="248"/>
        <v>6.9904852909045093E-2</v>
      </c>
      <c r="CW268" s="203">
        <f t="shared" si="249"/>
        <v>6.9904852909045093E-2</v>
      </c>
      <c r="CX268" s="19">
        <f t="shared" si="250"/>
        <v>0.10334909568029328</v>
      </c>
      <c r="CY268" s="19">
        <f t="shared" si="251"/>
        <v>9.759610083303201E-2</v>
      </c>
      <c r="CZ268" s="19">
        <f t="shared" si="252"/>
        <v>1.243594466390064E-2</v>
      </c>
      <c r="DA268" s="203">
        <f t="shared" si="253"/>
        <v>6.9904852909045093E-2</v>
      </c>
      <c r="DB268" s="203">
        <f t="shared" si="254"/>
        <v>6.9904852909045093E-2</v>
      </c>
      <c r="DC268" s="203">
        <f t="shared" si="255"/>
        <v>6.9904852909045093E-2</v>
      </c>
      <c r="DD268" s="65"/>
      <c r="DE268" s="66"/>
      <c r="DF268" s="66"/>
      <c r="DG268" s="66"/>
      <c r="DH268" s="66"/>
      <c r="DI268" s="66"/>
      <c r="DJ268" s="65"/>
      <c r="DK268" s="70"/>
      <c r="DL268" s="70"/>
      <c r="DM268" s="8">
        <f t="shared" si="256"/>
        <v>0</v>
      </c>
      <c r="DN268" s="8">
        <f t="shared" si="257"/>
        <v>37436.689481286361</v>
      </c>
      <c r="DO268" s="202">
        <f t="shared" si="263"/>
        <v>2813.6973725495627</v>
      </c>
      <c r="DP268" s="202">
        <f t="shared" si="264"/>
        <v>2813.6973725495627</v>
      </c>
      <c r="DQ268" s="202">
        <f t="shared" si="265"/>
        <v>2813.6973725495627</v>
      </c>
      <c r="DR268" s="9">
        <f t="shared" si="266"/>
        <v>4314.9992762125839</v>
      </c>
      <c r="DS268" s="9">
        <f t="shared" si="259"/>
        <v>4048.8243954213103</v>
      </c>
      <c r="DT268" s="9">
        <f t="shared" si="267"/>
        <v>471.42319151182892</v>
      </c>
      <c r="DU268" s="202">
        <f t="shared" si="268"/>
        <v>2813.6973725495627</v>
      </c>
      <c r="DV268" s="202">
        <f t="shared" si="269"/>
        <v>2813.6973725495627</v>
      </c>
      <c r="DW268" s="202">
        <f t="shared" si="270"/>
        <v>2813.6973725495627</v>
      </c>
      <c r="DX268" s="203">
        <f t="shared" si="271"/>
        <v>6.9904852909045093E-2</v>
      </c>
      <c r="DY268" s="203">
        <f t="shared" si="272"/>
        <v>6.9904852909045093E-2</v>
      </c>
      <c r="DZ268" s="203">
        <f t="shared" si="273"/>
        <v>6.9904852909045093E-2</v>
      </c>
      <c r="EA268" s="19">
        <f t="shared" si="274"/>
        <v>0.10334909568029328</v>
      </c>
      <c r="EB268" s="19">
        <f t="shared" si="260"/>
        <v>9.759610083303201E-2</v>
      </c>
      <c r="EC268" s="19">
        <f t="shared" si="275"/>
        <v>1.243594466390064E-2</v>
      </c>
      <c r="ED268" s="203">
        <f t="shared" si="276"/>
        <v>6.9904852909045093E-2</v>
      </c>
      <c r="EE268" s="203">
        <f t="shared" si="277"/>
        <v>6.9904852909045093E-2</v>
      </c>
      <c r="EF268" s="203">
        <f t="shared" si="278"/>
        <v>6.9904852909045093E-2</v>
      </c>
      <c r="EH268" s="58">
        <f t="shared" si="288"/>
        <v>32846.395767508657</v>
      </c>
      <c r="EI268" s="68">
        <f t="shared" si="289"/>
        <v>0.79175578890323195</v>
      </c>
      <c r="EJ268" s="58">
        <f t="shared" si="290"/>
        <v>29336.395767508653</v>
      </c>
      <c r="EK268" s="68">
        <f t="shared" si="289"/>
        <v>0.70714794216348797</v>
      </c>
      <c r="EL268" s="58">
        <f t="shared" si="291"/>
        <v>5430.0524085592406</v>
      </c>
      <c r="EM268" s="58">
        <f t="shared" si="292"/>
        <v>5821.036445558183</v>
      </c>
      <c r="EN268" s="68">
        <f t="shared" si="293"/>
        <v>0.14031491722286329</v>
      </c>
      <c r="EO268" s="139">
        <f t="shared" si="233"/>
        <v>0.31860645638858931</v>
      </c>
      <c r="EP268">
        <f>+(SUM(M268:O268)*EO268*(1-'[1]Tier 3 Data'!$A$2))</f>
        <v>1389.8795363193719</v>
      </c>
    </row>
    <row r="269" spans="1:146" x14ac:dyDescent="0.2">
      <c r="A269" s="43">
        <v>0</v>
      </c>
      <c r="B269" s="43">
        <v>0</v>
      </c>
      <c r="C269" s="43">
        <v>0</v>
      </c>
      <c r="D269" s="70">
        <v>2029</v>
      </c>
      <c r="E269" s="70">
        <v>10</v>
      </c>
      <c r="F269" s="2">
        <v>744</v>
      </c>
      <c r="G269" s="133">
        <f t="shared" si="226"/>
        <v>39908.968671880204</v>
      </c>
      <c r="H269" s="65">
        <v>39908.968671880204</v>
      </c>
      <c r="I269" s="133">
        <f t="shared" si="227"/>
        <v>39908.968671880204</v>
      </c>
      <c r="J269" s="133">
        <f t="shared" si="285"/>
        <v>2289.8128749999996</v>
      </c>
      <c r="K269" s="65">
        <v>2289.8128749999996</v>
      </c>
      <c r="L269" s="133">
        <f t="shared" si="286"/>
        <v>2289.8128749999996</v>
      </c>
      <c r="M269" s="65">
        <v>957.87478015852639</v>
      </c>
      <c r="N269" s="65">
        <v>2062.6102665784465</v>
      </c>
      <c r="O269" s="65">
        <v>414.18515170035062</v>
      </c>
      <c r="P269" s="200">
        <f t="shared" si="279"/>
        <v>36588.754737349009</v>
      </c>
      <c r="Q269" s="200">
        <f t="shared" si="280"/>
        <v>36588.754737349009</v>
      </c>
      <c r="R269" s="200">
        <f t="shared" si="281"/>
        <v>36588.754737349009</v>
      </c>
      <c r="S269" s="133">
        <f t="shared" si="228"/>
        <v>37494.900251370105</v>
      </c>
      <c r="T269" s="133">
        <f t="shared" si="229"/>
        <v>37494.900251370105</v>
      </c>
      <c r="U269" s="133">
        <f t="shared" si="230"/>
        <v>37494.900251370105</v>
      </c>
      <c r="V269" s="200">
        <f t="shared" si="282"/>
        <v>36588.754737349009</v>
      </c>
      <c r="W269" s="200">
        <f t="shared" si="283"/>
        <v>36588.754737349009</v>
      </c>
      <c r="X269" s="200">
        <f t="shared" si="284"/>
        <v>36588.754737349009</v>
      </c>
      <c r="Y269" s="65">
        <v>6957.8445193734151</v>
      </c>
      <c r="Z269" s="65">
        <v>7305.1840442911116</v>
      </c>
      <c r="AA269" s="65">
        <v>2810.4293164579044</v>
      </c>
      <c r="AB269" s="200">
        <f t="shared" ref="AB269:AB332" si="297">+P269+$Z269</f>
        <v>43893.938781640121</v>
      </c>
      <c r="AC269" s="200">
        <f t="shared" ref="AC269:AC332" si="298">+Q269+$Z269</f>
        <v>43893.938781640121</v>
      </c>
      <c r="AD269" s="200">
        <f t="shared" ref="AD269:AD332" si="299">+R269+$Z269</f>
        <v>43893.938781640121</v>
      </c>
      <c r="AE269" s="199">
        <f t="shared" si="261"/>
        <v>44452.74477074352</v>
      </c>
      <c r="AF269" s="199">
        <f t="shared" ref="AF269:AF332" si="300">+T269+$Z269</f>
        <v>44800.084295661218</v>
      </c>
      <c r="AG269" s="199">
        <f t="shared" si="262"/>
        <v>40305.329567828012</v>
      </c>
      <c r="AH269" s="199">
        <f t="shared" si="231"/>
        <v>42552.706931744615</v>
      </c>
      <c r="AI269" s="200">
        <f t="shared" ref="AI269:AI332" si="301">+V269+$Z269</f>
        <v>43893.938781640121</v>
      </c>
      <c r="AJ269" s="200">
        <f t="shared" ref="AJ269:AJ332" si="302">+W269+$Z269</f>
        <v>43893.938781640121</v>
      </c>
      <c r="AK269" s="200">
        <f t="shared" ref="AK269:AK332" si="303">+X269+$Z269</f>
        <v>43893.938781640121</v>
      </c>
      <c r="AL269" s="4"/>
      <c r="AM269" s="4"/>
      <c r="AN269" s="4"/>
      <c r="AO269" s="4"/>
      <c r="AP269" s="63"/>
      <c r="AQ269" s="18"/>
      <c r="AR269" s="10">
        <v>9920</v>
      </c>
      <c r="AS269" s="18"/>
      <c r="AT269" s="62"/>
      <c r="AU269" s="133">
        <f t="shared" si="235"/>
        <v>118.17</v>
      </c>
      <c r="AV269" s="133">
        <f t="shared" si="235"/>
        <v>3225.1860000000001</v>
      </c>
      <c r="AW269" s="63"/>
      <c r="AX269" s="63"/>
      <c r="AY269" s="65">
        <v>1031.6699594133333</v>
      </c>
      <c r="AZ269" s="63"/>
      <c r="BA269" s="65">
        <v>1760</v>
      </c>
      <c r="BB269" s="133">
        <f t="shared" si="287"/>
        <v>1586.51</v>
      </c>
      <c r="BC269" s="65">
        <v>387.84712854806463</v>
      </c>
      <c r="BD269" s="65">
        <v>15.523669194184084</v>
      </c>
      <c r="BE269" s="65">
        <v>0</v>
      </c>
      <c r="BF269" s="65">
        <v>180.28804750208775</v>
      </c>
      <c r="BG269" s="65">
        <v>0</v>
      </c>
      <c r="BH269" s="65">
        <v>44.202923232317495</v>
      </c>
      <c r="BI269" s="65">
        <v>983.96767545238163</v>
      </c>
      <c r="BJ269" s="65">
        <v>0</v>
      </c>
      <c r="BK269" s="65">
        <v>16.565610887239799</v>
      </c>
      <c r="BL269" s="65">
        <v>0</v>
      </c>
      <c r="BM269" s="65">
        <v>0</v>
      </c>
      <c r="BN269" s="65">
        <v>33.291643770364956</v>
      </c>
      <c r="BO269" s="65">
        <v>212.18019192</v>
      </c>
      <c r="BP269" s="260">
        <f t="shared" si="225"/>
        <v>992</v>
      </c>
      <c r="BQ269" s="65">
        <v>100.5801978326615</v>
      </c>
      <c r="BR269" s="65">
        <v>131.41131033605873</v>
      </c>
      <c r="BS269" s="65">
        <v>475.50677147630114</v>
      </c>
      <c r="BT269" s="65">
        <v>156.96265478522628</v>
      </c>
      <c r="BU269" s="65">
        <v>156.50312072805903</v>
      </c>
      <c r="BV269" s="144">
        <f t="shared" si="294"/>
        <v>670.51234611096845</v>
      </c>
      <c r="BW269" s="144">
        <f t="shared" si="295"/>
        <v>1443.8271866049124</v>
      </c>
      <c r="BX269" s="144">
        <f t="shared" si="296"/>
        <v>289.92960619024541</v>
      </c>
      <c r="BY269" s="5"/>
      <c r="BZ269" s="66">
        <v>7254</v>
      </c>
      <c r="CA269" s="4"/>
      <c r="CB269" s="5"/>
      <c r="CC269" s="5"/>
      <c r="CD269" s="188">
        <v>0</v>
      </c>
      <c r="CE269" s="5"/>
      <c r="CF269" s="133">
        <f t="shared" si="232"/>
        <v>865.33333333333337</v>
      </c>
      <c r="CG269" s="70"/>
      <c r="CH269" s="70">
        <v>2848</v>
      </c>
      <c r="CI269" s="70"/>
      <c r="CJ269" s="133">
        <f t="shared" si="237"/>
        <v>1586.51</v>
      </c>
      <c r="CK269" s="8">
        <f t="shared" si="258"/>
        <v>34899.969377317742</v>
      </c>
      <c r="CL269" s="202">
        <f t="shared" si="238"/>
        <v>8993.969404322379</v>
      </c>
      <c r="CM269" s="202">
        <f t="shared" si="239"/>
        <v>8993.969404322379</v>
      </c>
      <c r="CN269" s="202">
        <f t="shared" si="240"/>
        <v>8993.969404322379</v>
      </c>
      <c r="CO269" s="9">
        <f t="shared" si="241"/>
        <v>9552.775393425778</v>
      </c>
      <c r="CP269" s="9">
        <f t="shared" si="242"/>
        <v>9900.1149183434754</v>
      </c>
      <c r="CQ269" s="9">
        <f t="shared" si="243"/>
        <v>5405.3601905102696</v>
      </c>
      <c r="CR269" s="202">
        <f t="shared" si="244"/>
        <v>8993.969404322379</v>
      </c>
      <c r="CS269" s="202">
        <f t="shared" si="245"/>
        <v>8993.969404322379</v>
      </c>
      <c r="CT269" s="202">
        <f t="shared" si="246"/>
        <v>8993.969404322379</v>
      </c>
      <c r="CU269" s="203">
        <f t="shared" si="247"/>
        <v>0.20490230892845643</v>
      </c>
      <c r="CV269" s="203">
        <f t="shared" si="248"/>
        <v>0.20490230892845643</v>
      </c>
      <c r="CW269" s="203">
        <f t="shared" si="249"/>
        <v>0.20490230892845643</v>
      </c>
      <c r="CX269" s="19">
        <f t="shared" si="250"/>
        <v>0.21489731270121518</v>
      </c>
      <c r="CY269" s="19">
        <f t="shared" si="251"/>
        <v>0.22098429219478674</v>
      </c>
      <c r="CZ269" s="19">
        <f t="shared" si="252"/>
        <v>0.13411030869785678</v>
      </c>
      <c r="DA269" s="203">
        <f t="shared" si="253"/>
        <v>0.20490230892845643</v>
      </c>
      <c r="DB269" s="203">
        <f t="shared" si="254"/>
        <v>0.20490230892845643</v>
      </c>
      <c r="DC269" s="203">
        <f t="shared" si="255"/>
        <v>0.20490230892845643</v>
      </c>
      <c r="DD269" s="65"/>
      <c r="DE269" s="66"/>
      <c r="DF269" s="66"/>
      <c r="DG269" s="66"/>
      <c r="DH269" s="66"/>
      <c r="DI269" s="66"/>
      <c r="DJ269" s="65"/>
      <c r="DK269" s="70"/>
      <c r="DL269" s="70"/>
      <c r="DM269" s="8">
        <f t="shared" si="256"/>
        <v>0</v>
      </c>
      <c r="DN269" s="8">
        <f t="shared" si="257"/>
        <v>34899.969377317742</v>
      </c>
      <c r="DO269" s="202">
        <f t="shared" si="263"/>
        <v>8993.969404322379</v>
      </c>
      <c r="DP269" s="202">
        <f t="shared" si="264"/>
        <v>8993.969404322379</v>
      </c>
      <c r="DQ269" s="202">
        <f t="shared" si="265"/>
        <v>8993.969404322379</v>
      </c>
      <c r="DR269" s="9">
        <f t="shared" si="266"/>
        <v>9552.775393425778</v>
      </c>
      <c r="DS269" s="9">
        <f t="shared" si="259"/>
        <v>9900.1149183434754</v>
      </c>
      <c r="DT269" s="9">
        <f t="shared" si="267"/>
        <v>5405.3601905102696</v>
      </c>
      <c r="DU269" s="202">
        <f t="shared" si="268"/>
        <v>8993.969404322379</v>
      </c>
      <c r="DV269" s="202">
        <f t="shared" si="269"/>
        <v>8993.969404322379</v>
      </c>
      <c r="DW269" s="202">
        <f t="shared" si="270"/>
        <v>8993.969404322379</v>
      </c>
      <c r="DX269" s="203">
        <f t="shared" si="271"/>
        <v>0.20490230892845643</v>
      </c>
      <c r="DY269" s="203">
        <f t="shared" si="272"/>
        <v>0.20490230892845643</v>
      </c>
      <c r="DZ269" s="203">
        <f t="shared" si="273"/>
        <v>0.20490230892845643</v>
      </c>
      <c r="EA269" s="19">
        <f t="shared" si="274"/>
        <v>0.21489731270121518</v>
      </c>
      <c r="EB269" s="19">
        <f t="shared" si="260"/>
        <v>0.22098429219478674</v>
      </c>
      <c r="EC269" s="19">
        <f t="shared" si="275"/>
        <v>0.13411030869785678</v>
      </c>
      <c r="ED269" s="203">
        <f t="shared" si="276"/>
        <v>0.20490230892845643</v>
      </c>
      <c r="EE269" s="203">
        <f t="shared" si="277"/>
        <v>0.20490230892845643</v>
      </c>
      <c r="EF269" s="203">
        <f t="shared" si="278"/>
        <v>0.20490230892845643</v>
      </c>
      <c r="EH269" s="58">
        <f t="shared" si="288"/>
        <v>30422.168983704687</v>
      </c>
      <c r="EI269" s="68">
        <f t="shared" si="289"/>
        <v>0.67906499422928546</v>
      </c>
      <c r="EJ269" s="58">
        <f t="shared" si="290"/>
        <v>26795.168983704683</v>
      </c>
      <c r="EK269" s="68">
        <f t="shared" si="289"/>
        <v>0.59810532513439341</v>
      </c>
      <c r="EL269" s="58">
        <f t="shared" si="291"/>
        <v>4158.3700847677719</v>
      </c>
      <c r="EM269" s="58">
        <f t="shared" si="292"/>
        <v>4448.299690958017</v>
      </c>
      <c r="EN269" s="68">
        <f t="shared" si="293"/>
        <v>9.9292216987833304E-2</v>
      </c>
      <c r="EO269" s="139">
        <f t="shared" si="233"/>
        <v>0.35739486552628164</v>
      </c>
      <c r="EP269">
        <f>+(SUM(M269:O269)*EO269*(1-'[1]Tier 3 Data'!$A$2))</f>
        <v>1145.2887496198928</v>
      </c>
    </row>
    <row r="270" spans="1:146" x14ac:dyDescent="0.2">
      <c r="A270" s="43">
        <v>0</v>
      </c>
      <c r="B270" s="43">
        <v>0</v>
      </c>
      <c r="C270" s="43">
        <v>0</v>
      </c>
      <c r="D270" s="70">
        <v>2029</v>
      </c>
      <c r="E270" s="70">
        <v>11</v>
      </c>
      <c r="F270" s="2">
        <v>721</v>
      </c>
      <c r="G270" s="133">
        <f t="shared" si="226"/>
        <v>42237.399011244153</v>
      </c>
      <c r="H270" s="65">
        <v>42237.399011244153</v>
      </c>
      <c r="I270" s="133">
        <f t="shared" si="227"/>
        <v>42237.399011244153</v>
      </c>
      <c r="J270" s="133">
        <f t="shared" si="285"/>
        <v>2330.1078124999995</v>
      </c>
      <c r="K270" s="65">
        <v>2330.1078124999995</v>
      </c>
      <c r="L270" s="133">
        <f t="shared" si="286"/>
        <v>2330.1078124999995</v>
      </c>
      <c r="M270" s="65">
        <v>391.15101618171565</v>
      </c>
      <c r="N270" s="65">
        <v>842.27303867993726</v>
      </c>
      <c r="O270" s="65">
        <v>171.41980028385311</v>
      </c>
      <c r="P270" s="200">
        <f t="shared" si="279"/>
        <v>39485.838042200507</v>
      </c>
      <c r="Q270" s="200">
        <f t="shared" si="280"/>
        <v>39485.838042200507</v>
      </c>
      <c r="R270" s="200">
        <f t="shared" si="281"/>
        <v>39485.838042200507</v>
      </c>
      <c r="S270" s="133">
        <f t="shared" si="228"/>
        <v>39855.865258658996</v>
      </c>
      <c r="T270" s="133">
        <f t="shared" si="229"/>
        <v>39855.865258658996</v>
      </c>
      <c r="U270" s="133">
        <f t="shared" si="230"/>
        <v>39855.865258658996</v>
      </c>
      <c r="V270" s="200">
        <f t="shared" si="282"/>
        <v>39485.838042200507</v>
      </c>
      <c r="W270" s="200">
        <f t="shared" si="283"/>
        <v>39485.838042200507</v>
      </c>
      <c r="X270" s="200">
        <f t="shared" si="284"/>
        <v>39485.838042200507</v>
      </c>
      <c r="Y270" s="65">
        <v>9962.2673942820074</v>
      </c>
      <c r="Z270" s="65">
        <v>12128.605814383287</v>
      </c>
      <c r="AA270" s="65">
        <v>4438.6635365740149</v>
      </c>
      <c r="AB270" s="200">
        <f t="shared" si="297"/>
        <v>51614.443856583792</v>
      </c>
      <c r="AC270" s="200">
        <f t="shared" si="298"/>
        <v>51614.443856583792</v>
      </c>
      <c r="AD270" s="200">
        <f t="shared" si="299"/>
        <v>51614.443856583792</v>
      </c>
      <c r="AE270" s="199">
        <f t="shared" si="261"/>
        <v>49818.132652941</v>
      </c>
      <c r="AF270" s="199">
        <f t="shared" si="300"/>
        <v>51984.471073042281</v>
      </c>
      <c r="AG270" s="199">
        <f t="shared" si="262"/>
        <v>44294.528795233011</v>
      </c>
      <c r="AH270" s="199">
        <f t="shared" si="231"/>
        <v>48139.499934137646</v>
      </c>
      <c r="AI270" s="200">
        <f t="shared" si="301"/>
        <v>51614.443856583792</v>
      </c>
      <c r="AJ270" s="200">
        <f t="shared" si="302"/>
        <v>51614.443856583792</v>
      </c>
      <c r="AK270" s="200">
        <f t="shared" si="303"/>
        <v>51614.443856583792</v>
      </c>
      <c r="AL270" s="4"/>
      <c r="AM270" s="4"/>
      <c r="AN270" s="4"/>
      <c r="AO270" s="4"/>
      <c r="AP270" s="63"/>
      <c r="AQ270" s="18"/>
      <c r="AR270" s="10">
        <v>9600</v>
      </c>
      <c r="AS270" s="18"/>
      <c r="AT270" s="62"/>
      <c r="AU270" s="133">
        <f t="shared" si="235"/>
        <v>104.364</v>
      </c>
      <c r="AV270" s="133">
        <f t="shared" si="235"/>
        <v>3268.3739999999998</v>
      </c>
      <c r="AW270" s="63"/>
      <c r="AX270" s="63"/>
      <c r="AY270" s="65">
        <v>1051.7654038000001</v>
      </c>
      <c r="AZ270" s="63"/>
      <c r="BA270" s="65">
        <v>2363</v>
      </c>
      <c r="BB270" s="133">
        <f t="shared" si="287"/>
        <v>2045.05</v>
      </c>
      <c r="BC270" s="65">
        <v>283.87477427119757</v>
      </c>
      <c r="BD270" s="65">
        <v>14.399660735694527</v>
      </c>
      <c r="BE270" s="65">
        <v>0</v>
      </c>
      <c r="BF270" s="65">
        <v>188.4392525423311</v>
      </c>
      <c r="BG270" s="65">
        <v>0</v>
      </c>
      <c r="BH270" s="65">
        <v>82.091143145732502</v>
      </c>
      <c r="BI270" s="65">
        <v>720.18994392164086</v>
      </c>
      <c r="BJ270" s="65">
        <v>0</v>
      </c>
      <c r="BK270" s="65">
        <v>19.844702933795372</v>
      </c>
      <c r="BL270" s="65">
        <v>0</v>
      </c>
      <c r="BM270" s="65">
        <v>0</v>
      </c>
      <c r="BN270" s="65">
        <v>61.827338430677763</v>
      </c>
      <c r="BO270" s="65">
        <v>205.33566960000002</v>
      </c>
      <c r="BP270" s="260">
        <f t="shared" ref="BP270:BP307" si="304">+BP258</f>
        <v>960</v>
      </c>
      <c r="BQ270" s="65">
        <v>61.995651112999163</v>
      </c>
      <c r="BR270" s="65">
        <v>80.999339866559396</v>
      </c>
      <c r="BS270" s="65">
        <v>293.09299587041465</v>
      </c>
      <c r="BT270" s="65">
        <v>108.26380107485332</v>
      </c>
      <c r="BU270" s="65">
        <v>120.40845183274789</v>
      </c>
      <c r="BV270" s="144">
        <f t="shared" si="294"/>
        <v>273.80571132720092</v>
      </c>
      <c r="BW270" s="144">
        <f t="shared" si="295"/>
        <v>589.59112707595602</v>
      </c>
      <c r="BX270" s="144">
        <f t="shared" si="296"/>
        <v>119.99386019869716</v>
      </c>
      <c r="BY270" s="5"/>
      <c r="BZ270" s="66">
        <v>7029.75</v>
      </c>
      <c r="CA270" s="4"/>
      <c r="CB270" s="5"/>
      <c r="CC270" s="5"/>
      <c r="CD270" s="188">
        <v>3.0642236760841479</v>
      </c>
      <c r="CE270" s="5"/>
      <c r="CF270" s="133">
        <f t="shared" si="232"/>
        <v>1161.3333333333333</v>
      </c>
      <c r="CG270" s="70"/>
      <c r="CH270" s="70">
        <v>4042</v>
      </c>
      <c r="CI270" s="70"/>
      <c r="CJ270" s="133">
        <f t="shared" si="237"/>
        <v>2045.05</v>
      </c>
      <c r="CK270" s="8">
        <f t="shared" si="258"/>
        <v>34852.85438474991</v>
      </c>
      <c r="CL270" s="202">
        <f t="shared" si="238"/>
        <v>16761.589471833882</v>
      </c>
      <c r="CM270" s="202">
        <f t="shared" si="239"/>
        <v>16761.589471833882</v>
      </c>
      <c r="CN270" s="202">
        <f t="shared" si="240"/>
        <v>16761.589471833882</v>
      </c>
      <c r="CO270" s="9">
        <f t="shared" si="241"/>
        <v>14965.27826819109</v>
      </c>
      <c r="CP270" s="9">
        <f t="shared" si="242"/>
        <v>17131.616688292372</v>
      </c>
      <c r="CQ270" s="9">
        <f t="shared" si="243"/>
        <v>9441.6744104831014</v>
      </c>
      <c r="CR270" s="202">
        <f t="shared" si="244"/>
        <v>16761.589471833882</v>
      </c>
      <c r="CS270" s="202">
        <f t="shared" si="245"/>
        <v>16761.589471833882</v>
      </c>
      <c r="CT270" s="202">
        <f t="shared" si="246"/>
        <v>16761.589471833882</v>
      </c>
      <c r="CU270" s="203">
        <f t="shared" si="247"/>
        <v>0.32474610243612695</v>
      </c>
      <c r="CV270" s="203">
        <f t="shared" si="248"/>
        <v>0.32474610243612695</v>
      </c>
      <c r="CW270" s="203">
        <f t="shared" si="249"/>
        <v>0.32474610243612695</v>
      </c>
      <c r="CX270" s="19">
        <f t="shared" si="250"/>
        <v>0.30039821790284665</v>
      </c>
      <c r="CY270" s="19">
        <f t="shared" si="251"/>
        <v>0.32955258242833901</v>
      </c>
      <c r="CZ270" s="19">
        <f t="shared" si="252"/>
        <v>0.21315667346029465</v>
      </c>
      <c r="DA270" s="203">
        <f t="shared" si="253"/>
        <v>0.32474610243612695</v>
      </c>
      <c r="DB270" s="203">
        <f t="shared" si="254"/>
        <v>0.32474610243612695</v>
      </c>
      <c r="DC270" s="203">
        <f t="shared" si="255"/>
        <v>0.32474610243612695</v>
      </c>
      <c r="DD270" s="65"/>
      <c r="DE270" s="66"/>
      <c r="DF270" s="66"/>
      <c r="DG270" s="66"/>
      <c r="DH270" s="66"/>
      <c r="DI270" s="66"/>
      <c r="DJ270" s="65"/>
      <c r="DK270" s="70"/>
      <c r="DL270" s="70"/>
      <c r="DM270" s="8">
        <f t="shared" si="256"/>
        <v>0</v>
      </c>
      <c r="DN270" s="8">
        <f t="shared" si="257"/>
        <v>34852.85438474991</v>
      </c>
      <c r="DO270" s="202">
        <f t="shared" si="263"/>
        <v>16761.589471833882</v>
      </c>
      <c r="DP270" s="202">
        <f t="shared" si="264"/>
        <v>16761.589471833882</v>
      </c>
      <c r="DQ270" s="202">
        <f t="shared" si="265"/>
        <v>16761.589471833882</v>
      </c>
      <c r="DR270" s="9">
        <f t="shared" si="266"/>
        <v>14965.27826819109</v>
      </c>
      <c r="DS270" s="9">
        <f t="shared" si="259"/>
        <v>17131.616688292372</v>
      </c>
      <c r="DT270" s="9">
        <f t="shared" si="267"/>
        <v>9441.6744104831014</v>
      </c>
      <c r="DU270" s="202">
        <f t="shared" si="268"/>
        <v>16761.589471833882</v>
      </c>
      <c r="DV270" s="202">
        <f t="shared" si="269"/>
        <v>16761.589471833882</v>
      </c>
      <c r="DW270" s="202">
        <f t="shared" si="270"/>
        <v>16761.589471833882</v>
      </c>
      <c r="DX270" s="203">
        <f t="shared" si="271"/>
        <v>0.32474610243612695</v>
      </c>
      <c r="DY270" s="203">
        <f t="shared" si="272"/>
        <v>0.32474610243612695</v>
      </c>
      <c r="DZ270" s="203">
        <f t="shared" si="273"/>
        <v>0.32474610243612695</v>
      </c>
      <c r="EA270" s="19">
        <f t="shared" si="274"/>
        <v>0.30039821790284665</v>
      </c>
      <c r="EB270" s="19">
        <f t="shared" si="260"/>
        <v>0.32955258242833901</v>
      </c>
      <c r="EC270" s="19">
        <f t="shared" si="275"/>
        <v>0.21315667346029465</v>
      </c>
      <c r="ED270" s="203">
        <f t="shared" si="276"/>
        <v>0.32474610243612695</v>
      </c>
      <c r="EE270" s="203">
        <f t="shared" si="277"/>
        <v>0.32474610243612695</v>
      </c>
      <c r="EF270" s="203">
        <f t="shared" si="278"/>
        <v>0.32474610243612695</v>
      </c>
      <c r="EH270" s="58">
        <f t="shared" si="288"/>
        <v>30872.670197204294</v>
      </c>
      <c r="EI270" s="68">
        <f t="shared" si="289"/>
        <v>0.5938825491525298</v>
      </c>
      <c r="EJ270" s="58">
        <f t="shared" si="290"/>
        <v>27357.795197204297</v>
      </c>
      <c r="EK270" s="68">
        <f t="shared" si="289"/>
        <v>0.52626860738400971</v>
      </c>
      <c r="EL270" s="58">
        <f t="shared" si="291"/>
        <v>2641.9145998722693</v>
      </c>
      <c r="EM270" s="58">
        <f t="shared" si="292"/>
        <v>2761.9084600709666</v>
      </c>
      <c r="EN270" s="68">
        <f t="shared" si="293"/>
        <v>5.3129490462454979E-2</v>
      </c>
      <c r="EO270" s="139">
        <f t="shared" si="233"/>
        <v>0.4050825009776523</v>
      </c>
      <c r="EP270">
        <f>+(SUM(M270:O270)*EO270*(1-'[1]Tier 3 Data'!$A$2))</f>
        <v>530.94945894962461</v>
      </c>
    </row>
    <row r="271" spans="1:146" x14ac:dyDescent="0.2">
      <c r="A271" s="43">
        <v>0</v>
      </c>
      <c r="B271" s="43">
        <v>0</v>
      </c>
      <c r="C271" s="43">
        <v>0</v>
      </c>
      <c r="D271" s="70">
        <v>2029</v>
      </c>
      <c r="E271" s="70">
        <v>12</v>
      </c>
      <c r="F271" s="2">
        <v>744</v>
      </c>
      <c r="G271" s="133">
        <f t="shared" si="226"/>
        <v>47941.830523978701</v>
      </c>
      <c r="H271" s="65">
        <v>47941.830523978701</v>
      </c>
      <c r="I271" s="133">
        <f t="shared" si="227"/>
        <v>47941.830523978701</v>
      </c>
      <c r="J271" s="133">
        <f t="shared" si="285"/>
        <v>2370.4027499999993</v>
      </c>
      <c r="K271" s="65">
        <v>2370.4027499999993</v>
      </c>
      <c r="L271" s="133">
        <f t="shared" si="286"/>
        <v>2370.4027499999993</v>
      </c>
      <c r="M271" s="65">
        <v>248.30627982623952</v>
      </c>
      <c r="N271" s="65">
        <v>534.68270867382159</v>
      </c>
      <c r="O271" s="65">
        <v>109.7428475210319</v>
      </c>
      <c r="P271" s="200">
        <f t="shared" si="279"/>
        <v>45303.60822317237</v>
      </c>
      <c r="Q271" s="200">
        <f t="shared" si="280"/>
        <v>45303.60822317237</v>
      </c>
      <c r="R271" s="200">
        <f t="shared" si="281"/>
        <v>45303.60822317237</v>
      </c>
      <c r="S271" s="133">
        <f t="shared" si="228"/>
        <v>45538.504919722393</v>
      </c>
      <c r="T271" s="133">
        <f t="shared" si="229"/>
        <v>45538.504919722393</v>
      </c>
      <c r="U271" s="133">
        <f t="shared" si="230"/>
        <v>45538.504919722393</v>
      </c>
      <c r="V271" s="200">
        <f t="shared" si="282"/>
        <v>45303.60822317237</v>
      </c>
      <c r="W271" s="200">
        <f t="shared" si="283"/>
        <v>45303.60822317237</v>
      </c>
      <c r="X271" s="200">
        <f t="shared" si="284"/>
        <v>45303.60822317237</v>
      </c>
      <c r="Y271" s="65">
        <v>10931.226799905267</v>
      </c>
      <c r="Z271" s="65">
        <v>12870.918084529665</v>
      </c>
      <c r="AA271" s="65">
        <v>4784.4970300986151</v>
      </c>
      <c r="AB271" s="200">
        <f t="shared" si="297"/>
        <v>58174.526307702035</v>
      </c>
      <c r="AC271" s="200">
        <f t="shared" si="298"/>
        <v>58174.526307702035</v>
      </c>
      <c r="AD271" s="200">
        <f t="shared" si="299"/>
        <v>58174.526307702035</v>
      </c>
      <c r="AE271" s="199">
        <f t="shared" si="261"/>
        <v>56469.731719627656</v>
      </c>
      <c r="AF271" s="199">
        <f t="shared" si="300"/>
        <v>58409.423004252058</v>
      </c>
      <c r="AG271" s="199">
        <f t="shared" si="262"/>
        <v>50323.001949821009</v>
      </c>
      <c r="AH271" s="199">
        <f t="shared" si="231"/>
        <v>54366.212477036534</v>
      </c>
      <c r="AI271" s="200">
        <f t="shared" si="301"/>
        <v>58174.526307702035</v>
      </c>
      <c r="AJ271" s="200">
        <f t="shared" si="302"/>
        <v>58174.526307702035</v>
      </c>
      <c r="AK271" s="200">
        <f t="shared" si="303"/>
        <v>58174.526307702035</v>
      </c>
      <c r="AL271" s="4"/>
      <c r="AM271" s="4"/>
      <c r="AN271" s="4"/>
      <c r="AO271" s="4"/>
      <c r="AP271" s="63"/>
      <c r="AQ271" s="18"/>
      <c r="AR271" s="10">
        <v>9920</v>
      </c>
      <c r="AS271" s="18"/>
      <c r="AT271" s="62"/>
      <c r="AU271" s="133">
        <f t="shared" si="235"/>
        <v>105.066</v>
      </c>
      <c r="AV271" s="133">
        <f t="shared" si="235"/>
        <v>3218.8470000000002</v>
      </c>
      <c r="AW271" s="63"/>
      <c r="AX271" s="63"/>
      <c r="AY271" s="65">
        <v>1226.60803108</v>
      </c>
      <c r="AZ271" s="63"/>
      <c r="BA271" s="65">
        <v>2225.2240000000002</v>
      </c>
      <c r="BB271" s="133">
        <f t="shared" si="287"/>
        <v>1798.1949999999999</v>
      </c>
      <c r="BC271" s="65">
        <v>133.02629953839877</v>
      </c>
      <c r="BD271" s="65">
        <v>14.892990970660508</v>
      </c>
      <c r="BE271" s="65">
        <v>0</v>
      </c>
      <c r="BF271" s="65">
        <v>193.40118982180462</v>
      </c>
      <c r="BG271" s="65">
        <v>0</v>
      </c>
      <c r="BH271" s="65">
        <v>50.51762655121999</v>
      </c>
      <c r="BI271" s="65">
        <v>337.48755397736403</v>
      </c>
      <c r="BJ271" s="65">
        <v>0</v>
      </c>
      <c r="BK271" s="65">
        <v>20.28324216774827</v>
      </c>
      <c r="BL271" s="65">
        <v>0</v>
      </c>
      <c r="BM271" s="65">
        <v>0</v>
      </c>
      <c r="BN271" s="65">
        <v>38.047592880417092</v>
      </c>
      <c r="BO271" s="65">
        <v>212.18019192</v>
      </c>
      <c r="BP271" s="260">
        <f t="shared" si="304"/>
        <v>992</v>
      </c>
      <c r="BQ271" s="65">
        <v>56.4869002175638</v>
      </c>
      <c r="BR271" s="65">
        <v>73.432939564978284</v>
      </c>
      <c r="BS271" s="65">
        <v>267.04951462081272</v>
      </c>
      <c r="BT271" s="65">
        <v>99.678653217417832</v>
      </c>
      <c r="BU271" s="65">
        <v>105.97066430727111</v>
      </c>
      <c r="BV271" s="144">
        <f t="shared" si="294"/>
        <v>173.81439587836766</v>
      </c>
      <c r="BW271" s="144">
        <f t="shared" si="295"/>
        <v>374.27789607167512</v>
      </c>
      <c r="BX271" s="144">
        <f t="shared" si="296"/>
        <v>76.819993264722328</v>
      </c>
      <c r="BY271" s="5"/>
      <c r="BZ271" s="66">
        <v>7254</v>
      </c>
      <c r="CA271" s="4"/>
      <c r="CB271" s="5"/>
      <c r="CC271" s="5"/>
      <c r="CD271" s="188">
        <v>4.9023166732340453</v>
      </c>
      <c r="CE271" s="5"/>
      <c r="CF271" s="133">
        <f t="shared" si="232"/>
        <v>1762.3333333333333</v>
      </c>
      <c r="CG271" s="70"/>
      <c r="CH271" s="70">
        <v>7440</v>
      </c>
      <c r="CI271" s="70"/>
      <c r="CJ271" s="133">
        <f t="shared" si="237"/>
        <v>1798.1949999999999</v>
      </c>
      <c r="CK271" s="8">
        <f t="shared" si="258"/>
        <v>38174.543326056992</v>
      </c>
      <c r="CL271" s="202">
        <f t="shared" si="238"/>
        <v>19999.982981645044</v>
      </c>
      <c r="CM271" s="202">
        <f t="shared" si="239"/>
        <v>19999.982981645044</v>
      </c>
      <c r="CN271" s="202">
        <f t="shared" si="240"/>
        <v>19999.982981645044</v>
      </c>
      <c r="CO271" s="9">
        <f t="shared" si="241"/>
        <v>18295.188393570665</v>
      </c>
      <c r="CP271" s="9">
        <f t="shared" si="242"/>
        <v>20234.879678195066</v>
      </c>
      <c r="CQ271" s="9">
        <f t="shared" si="243"/>
        <v>12148.458623764018</v>
      </c>
      <c r="CR271" s="202">
        <f t="shared" si="244"/>
        <v>19999.982981645044</v>
      </c>
      <c r="CS271" s="202">
        <f t="shared" si="245"/>
        <v>19999.982981645044</v>
      </c>
      <c r="CT271" s="202">
        <f t="shared" si="246"/>
        <v>19999.982981645044</v>
      </c>
      <c r="CU271" s="203">
        <f t="shared" si="247"/>
        <v>0.34379279473388924</v>
      </c>
      <c r="CV271" s="203">
        <f t="shared" si="248"/>
        <v>0.34379279473388924</v>
      </c>
      <c r="CW271" s="203">
        <f t="shared" si="249"/>
        <v>0.34379279473388924</v>
      </c>
      <c r="CX271" s="19">
        <f t="shared" si="250"/>
        <v>0.32398220845826425</v>
      </c>
      <c r="CY271" s="19">
        <f t="shared" si="251"/>
        <v>0.34643176798240272</v>
      </c>
      <c r="CZ271" s="19">
        <f t="shared" si="252"/>
        <v>0.24140965667902148</v>
      </c>
      <c r="DA271" s="203">
        <f t="shared" si="253"/>
        <v>0.34379279473388924</v>
      </c>
      <c r="DB271" s="203">
        <f t="shared" si="254"/>
        <v>0.34379279473388924</v>
      </c>
      <c r="DC271" s="203">
        <f t="shared" si="255"/>
        <v>0.34379279473388924</v>
      </c>
      <c r="DD271" s="65"/>
      <c r="DE271" s="66"/>
      <c r="DF271" s="66"/>
      <c r="DG271" s="66"/>
      <c r="DH271" s="66"/>
      <c r="DI271" s="66"/>
      <c r="DJ271" s="65"/>
      <c r="DK271" s="70"/>
      <c r="DL271" s="70"/>
      <c r="DM271" s="8">
        <f t="shared" si="256"/>
        <v>0</v>
      </c>
      <c r="DN271" s="8">
        <f t="shared" si="257"/>
        <v>38174.543326056992</v>
      </c>
      <c r="DO271" s="202">
        <f t="shared" si="263"/>
        <v>19999.982981645044</v>
      </c>
      <c r="DP271" s="202">
        <f t="shared" si="264"/>
        <v>19999.982981645044</v>
      </c>
      <c r="DQ271" s="202">
        <f t="shared" si="265"/>
        <v>19999.982981645044</v>
      </c>
      <c r="DR271" s="9">
        <f t="shared" si="266"/>
        <v>18295.188393570665</v>
      </c>
      <c r="DS271" s="9">
        <f t="shared" si="259"/>
        <v>20234.879678195066</v>
      </c>
      <c r="DT271" s="9">
        <f t="shared" si="267"/>
        <v>12148.458623764018</v>
      </c>
      <c r="DU271" s="202">
        <f t="shared" si="268"/>
        <v>19999.982981645044</v>
      </c>
      <c r="DV271" s="202">
        <f t="shared" si="269"/>
        <v>19999.982981645044</v>
      </c>
      <c r="DW271" s="202">
        <f t="shared" si="270"/>
        <v>19999.982981645044</v>
      </c>
      <c r="DX271" s="203">
        <f t="shared" si="271"/>
        <v>0.34379279473388924</v>
      </c>
      <c r="DY271" s="203">
        <f t="shared" si="272"/>
        <v>0.34379279473388924</v>
      </c>
      <c r="DZ271" s="203">
        <f t="shared" si="273"/>
        <v>0.34379279473388924</v>
      </c>
      <c r="EA271" s="19">
        <f t="shared" si="274"/>
        <v>0.32398220845826425</v>
      </c>
      <c r="EB271" s="19">
        <f t="shared" si="260"/>
        <v>0.34643176798240272</v>
      </c>
      <c r="EC271" s="19">
        <f t="shared" si="275"/>
        <v>0.24140965667902148</v>
      </c>
      <c r="ED271" s="203">
        <f t="shared" si="276"/>
        <v>0.34379279473388924</v>
      </c>
      <c r="EE271" s="203">
        <f t="shared" si="277"/>
        <v>0.34379279473388924</v>
      </c>
      <c r="EF271" s="203">
        <f t="shared" si="278"/>
        <v>0.34379279473388924</v>
      </c>
      <c r="EH271" s="58">
        <f t="shared" si="288"/>
        <v>34175.425423683584</v>
      </c>
      <c r="EI271" s="68">
        <f t="shared" si="289"/>
        <v>0.5851012330869233</v>
      </c>
      <c r="EJ271" s="58">
        <f t="shared" si="290"/>
        <v>30548.425423683584</v>
      </c>
      <c r="EK271" s="68">
        <f t="shared" si="289"/>
        <v>0.52300508809100432</v>
      </c>
      <c r="EL271" s="58">
        <f t="shared" si="291"/>
        <v>1783.3320660055276</v>
      </c>
      <c r="EM271" s="58">
        <f t="shared" si="292"/>
        <v>1860.15205927025</v>
      </c>
      <c r="EN271" s="68">
        <f t="shared" si="293"/>
        <v>3.1846780255556296E-2</v>
      </c>
      <c r="EO271" s="139">
        <f t="shared" si="233"/>
        <v>0.32946562535829382</v>
      </c>
      <c r="EP271">
        <f>+(SUM(M271:O271)*EO271*(1-'[1]Tier 3 Data'!$A$2))</f>
        <v>274.41811430560676</v>
      </c>
    </row>
    <row r="272" spans="1:146" x14ac:dyDescent="0.2">
      <c r="A272" s="43">
        <v>0</v>
      </c>
      <c r="B272" s="43">
        <v>0</v>
      </c>
      <c r="C272" s="43">
        <v>0</v>
      </c>
      <c r="D272" s="70">
        <v>2030</v>
      </c>
      <c r="E272" s="70">
        <v>1</v>
      </c>
      <c r="F272" s="2">
        <v>744</v>
      </c>
      <c r="G272" s="133">
        <f t="shared" si="226"/>
        <v>49603.053824160015</v>
      </c>
      <c r="H272" s="65">
        <v>49603.053824160015</v>
      </c>
      <c r="I272" s="133">
        <f t="shared" si="227"/>
        <v>49603.053824160015</v>
      </c>
      <c r="J272" s="133">
        <f t="shared" si="285"/>
        <v>2410.0781874999993</v>
      </c>
      <c r="K272" s="65">
        <v>2410.0781874999993</v>
      </c>
      <c r="L272" s="133">
        <f t="shared" si="286"/>
        <v>2410.0781874999993</v>
      </c>
      <c r="M272" s="65">
        <v>350.79787520860157</v>
      </c>
      <c r="N272" s="65">
        <v>755.37984075477868</v>
      </c>
      <c r="O272" s="65">
        <v>155.58031001988473</v>
      </c>
      <c r="P272" s="200">
        <f t="shared" si="279"/>
        <v>46814.44822886504</v>
      </c>
      <c r="Q272" s="200">
        <f t="shared" si="280"/>
        <v>46814.44822886504</v>
      </c>
      <c r="R272" s="200">
        <f t="shared" si="281"/>
        <v>46814.44822886504</v>
      </c>
      <c r="S272" s="133">
        <f t="shared" si="228"/>
        <v>47146.301543654052</v>
      </c>
      <c r="T272" s="133">
        <f t="shared" si="229"/>
        <v>47146.301543654052</v>
      </c>
      <c r="U272" s="133">
        <f t="shared" si="230"/>
        <v>47146.301543654052</v>
      </c>
      <c r="V272" s="200">
        <f t="shared" si="282"/>
        <v>46814.44822886504</v>
      </c>
      <c r="W272" s="200">
        <f t="shared" si="283"/>
        <v>46814.44822886504</v>
      </c>
      <c r="X272" s="200">
        <f t="shared" si="284"/>
        <v>46814.44822886504</v>
      </c>
      <c r="Y272" s="65">
        <v>11603.569640002725</v>
      </c>
      <c r="Z272" s="65">
        <v>13969.231390902265</v>
      </c>
      <c r="AA272" s="65">
        <v>5202.4415644872688</v>
      </c>
      <c r="AB272" s="200">
        <f t="shared" si="297"/>
        <v>60783.679619767303</v>
      </c>
      <c r="AC272" s="200">
        <f t="shared" si="298"/>
        <v>60783.679619767303</v>
      </c>
      <c r="AD272" s="200">
        <f t="shared" si="299"/>
        <v>60783.679619767303</v>
      </c>
      <c r="AE272" s="199">
        <f t="shared" si="261"/>
        <v>58749.871183656775</v>
      </c>
      <c r="AF272" s="199">
        <f t="shared" si="300"/>
        <v>61115.532934556315</v>
      </c>
      <c r="AG272" s="199">
        <f t="shared" si="262"/>
        <v>52348.743108141323</v>
      </c>
      <c r="AH272" s="199">
        <f t="shared" si="231"/>
        <v>56732.138021348816</v>
      </c>
      <c r="AI272" s="200">
        <f t="shared" si="301"/>
        <v>60783.679619767303</v>
      </c>
      <c r="AJ272" s="200">
        <f t="shared" si="302"/>
        <v>60783.679619767303</v>
      </c>
      <c r="AK272" s="200">
        <f t="shared" si="303"/>
        <v>60783.679619767303</v>
      </c>
      <c r="AL272" s="4"/>
      <c r="AM272" s="4"/>
      <c r="AN272" s="4"/>
      <c r="AO272" s="4"/>
      <c r="AP272" s="63"/>
      <c r="AQ272" s="18"/>
      <c r="AR272" s="10">
        <v>9920</v>
      </c>
      <c r="AS272" s="18"/>
      <c r="AT272" s="62"/>
      <c r="AU272" s="133">
        <f t="shared" si="235"/>
        <v>98.513999999999996</v>
      </c>
      <c r="AV272" s="133">
        <f t="shared" si="235"/>
        <v>3278.6750000000002</v>
      </c>
      <c r="AW272" s="63"/>
      <c r="AX272" s="63"/>
      <c r="AY272" s="65">
        <v>1258.1687644800002</v>
      </c>
      <c r="AZ272" s="63"/>
      <c r="BA272" s="65">
        <v>1660.8</v>
      </c>
      <c r="BB272" s="133">
        <f t="shared" si="287"/>
        <v>946.25</v>
      </c>
      <c r="BC272" s="65">
        <v>187.65082722949612</v>
      </c>
      <c r="BD272" s="65">
        <v>17.899913811322826</v>
      </c>
      <c r="BE272" s="65">
        <v>0</v>
      </c>
      <c r="BF272" s="65">
        <v>199.42579123871249</v>
      </c>
      <c r="BG272" s="65">
        <v>0</v>
      </c>
      <c r="BH272" s="65">
        <v>44.202923232317495</v>
      </c>
      <c r="BI272" s="65">
        <v>476.06991176380893</v>
      </c>
      <c r="BJ272" s="65">
        <v>0</v>
      </c>
      <c r="BK272" s="65">
        <v>22.517673403701547</v>
      </c>
      <c r="BL272" s="65">
        <v>0</v>
      </c>
      <c r="BM272" s="65">
        <v>0</v>
      </c>
      <c r="BN272" s="65">
        <v>33.291643770364956</v>
      </c>
      <c r="BO272" s="65">
        <v>212.18019192</v>
      </c>
      <c r="BP272" s="260">
        <f t="shared" si="304"/>
        <v>992</v>
      </c>
      <c r="BQ272" s="65">
        <v>79.928433997895326</v>
      </c>
      <c r="BR272" s="65">
        <v>104.42914918845453</v>
      </c>
      <c r="BS272" s="65">
        <v>377.87286025433212</v>
      </c>
      <c r="BT272" s="65">
        <v>129.18615855257659</v>
      </c>
      <c r="BU272" s="65">
        <v>147.6557492384631</v>
      </c>
      <c r="BV272" s="144">
        <f t="shared" si="294"/>
        <v>245.55851264602109</v>
      </c>
      <c r="BW272" s="144">
        <f t="shared" si="295"/>
        <v>528.76588852834504</v>
      </c>
      <c r="BX272" s="144">
        <f t="shared" si="296"/>
        <v>108.9062170139193</v>
      </c>
      <c r="BY272" s="5"/>
      <c r="BZ272" s="66">
        <v>7254</v>
      </c>
      <c r="CA272" s="4"/>
      <c r="CB272" s="5"/>
      <c r="CC272" s="5"/>
      <c r="CD272" s="188">
        <v>2.5304839482857915</v>
      </c>
      <c r="CE272" s="5"/>
      <c r="CF272" s="133">
        <f t="shared" si="232"/>
        <v>1154.6666666666667</v>
      </c>
      <c r="CG272" s="70"/>
      <c r="CH272" s="70">
        <v>7440</v>
      </c>
      <c r="CI272" s="70"/>
      <c r="CJ272" s="133">
        <f t="shared" si="237"/>
        <v>946.25</v>
      </c>
      <c r="CK272" s="8">
        <f t="shared" si="258"/>
        <v>36921.14676088468</v>
      </c>
      <c r="CL272" s="202">
        <f t="shared" si="238"/>
        <v>23862.532858882623</v>
      </c>
      <c r="CM272" s="202">
        <f t="shared" si="239"/>
        <v>23862.532858882623</v>
      </c>
      <c r="CN272" s="202">
        <f t="shared" si="240"/>
        <v>23862.532858882623</v>
      </c>
      <c r="CO272" s="9">
        <f t="shared" si="241"/>
        <v>21828.724422772095</v>
      </c>
      <c r="CP272" s="9">
        <f t="shared" si="242"/>
        <v>24194.386173671635</v>
      </c>
      <c r="CQ272" s="9">
        <f t="shared" si="243"/>
        <v>15427.596347256644</v>
      </c>
      <c r="CR272" s="202">
        <f t="shared" si="244"/>
        <v>23862.532858882623</v>
      </c>
      <c r="CS272" s="202">
        <f t="shared" si="245"/>
        <v>23862.532858882623</v>
      </c>
      <c r="CT272" s="202">
        <f t="shared" si="246"/>
        <v>23862.532858882623</v>
      </c>
      <c r="CU272" s="203">
        <f t="shared" si="247"/>
        <v>0.3925812489167298</v>
      </c>
      <c r="CV272" s="203">
        <f t="shared" si="248"/>
        <v>0.3925812489167298</v>
      </c>
      <c r="CW272" s="203">
        <f t="shared" si="249"/>
        <v>0.3925812489167298</v>
      </c>
      <c r="CX272" s="19">
        <f t="shared" si="250"/>
        <v>0.37155357080756424</v>
      </c>
      <c r="CY272" s="19">
        <f t="shared" si="251"/>
        <v>0.39587949269098982</v>
      </c>
      <c r="CZ272" s="19">
        <f t="shared" si="252"/>
        <v>0.29470805660771116</v>
      </c>
      <c r="DA272" s="203">
        <f t="shared" si="253"/>
        <v>0.3925812489167298</v>
      </c>
      <c r="DB272" s="203">
        <f t="shared" si="254"/>
        <v>0.3925812489167298</v>
      </c>
      <c r="DC272" s="203">
        <f t="shared" si="255"/>
        <v>0.3925812489167298</v>
      </c>
      <c r="DD272" s="65"/>
      <c r="DE272" s="66"/>
      <c r="DF272" s="66"/>
      <c r="DG272" s="66"/>
      <c r="DH272" s="66"/>
      <c r="DI272" s="66"/>
      <c r="DJ272" s="65"/>
      <c r="DK272" s="70"/>
      <c r="DL272" s="70"/>
      <c r="DM272" s="8">
        <f t="shared" si="256"/>
        <v>0</v>
      </c>
      <c r="DN272" s="8">
        <f t="shared" si="257"/>
        <v>36921.14676088468</v>
      </c>
      <c r="DO272" s="202">
        <f t="shared" si="263"/>
        <v>23862.532858882623</v>
      </c>
      <c r="DP272" s="202">
        <f t="shared" si="264"/>
        <v>23862.532858882623</v>
      </c>
      <c r="DQ272" s="202">
        <f t="shared" si="265"/>
        <v>23862.532858882623</v>
      </c>
      <c r="DR272" s="9">
        <f t="shared" si="266"/>
        <v>21828.724422772095</v>
      </c>
      <c r="DS272" s="9">
        <f t="shared" si="259"/>
        <v>24194.386173671635</v>
      </c>
      <c r="DT272" s="9">
        <f t="shared" si="267"/>
        <v>15427.596347256644</v>
      </c>
      <c r="DU272" s="202">
        <f t="shared" si="268"/>
        <v>23862.532858882623</v>
      </c>
      <c r="DV272" s="202">
        <f t="shared" si="269"/>
        <v>23862.532858882623</v>
      </c>
      <c r="DW272" s="202">
        <f t="shared" si="270"/>
        <v>23862.532858882623</v>
      </c>
      <c r="DX272" s="203">
        <f t="shared" si="271"/>
        <v>0.3925812489167298</v>
      </c>
      <c r="DY272" s="203">
        <f t="shared" si="272"/>
        <v>0.3925812489167298</v>
      </c>
      <c r="DZ272" s="203">
        <f t="shared" si="273"/>
        <v>0.3925812489167298</v>
      </c>
      <c r="EA272" s="19">
        <f t="shared" si="274"/>
        <v>0.37155357080756424</v>
      </c>
      <c r="EB272" s="19">
        <f t="shared" si="260"/>
        <v>0.39587949269098982</v>
      </c>
      <c r="EC272" s="19">
        <f t="shared" si="275"/>
        <v>0.29470805660771116</v>
      </c>
      <c r="ED272" s="203">
        <f t="shared" si="276"/>
        <v>0.3925812489167298</v>
      </c>
      <c r="EE272" s="203">
        <f t="shared" si="277"/>
        <v>0.3925812489167298</v>
      </c>
      <c r="EF272" s="203">
        <f t="shared" si="278"/>
        <v>0.3925812489167298</v>
      </c>
      <c r="EH272" s="58">
        <f t="shared" si="288"/>
        <v>32846.631973051662</v>
      </c>
      <c r="EI272" s="68">
        <f t="shared" si="289"/>
        <v>0.53745145294281349</v>
      </c>
      <c r="EJ272" s="58">
        <f t="shared" si="290"/>
        <v>29219.631973051662</v>
      </c>
      <c r="EK272" s="68">
        <f t="shared" si="289"/>
        <v>0.47810483800150455</v>
      </c>
      <c r="EL272" s="58">
        <f t="shared" si="291"/>
        <v>2361.6513248910787</v>
      </c>
      <c r="EM272" s="58">
        <f t="shared" si="292"/>
        <v>2470.5575419049978</v>
      </c>
      <c r="EN272" s="68">
        <f t="shared" si="293"/>
        <v>4.0424380239807746E-2</v>
      </c>
      <c r="EO272" s="139">
        <f t="shared" si="233"/>
        <v>0.32527353469126524</v>
      </c>
      <c r="EP272">
        <f>+(SUM(M272:O272)*EO272*(1-'[1]Tier 3 Data'!$A$2))</f>
        <v>382.91858800319437</v>
      </c>
    </row>
    <row r="273" spans="1:146" x14ac:dyDescent="0.2">
      <c r="A273" s="43">
        <v>0</v>
      </c>
      <c r="B273" s="43">
        <v>0</v>
      </c>
      <c r="C273" s="43">
        <v>0</v>
      </c>
      <c r="D273" s="70">
        <v>2030</v>
      </c>
      <c r="E273" s="70">
        <v>2</v>
      </c>
      <c r="F273" s="2">
        <v>672</v>
      </c>
      <c r="G273" s="133">
        <f t="shared" si="226"/>
        <v>44866.689412156491</v>
      </c>
      <c r="H273" s="65">
        <v>44866.689412156491</v>
      </c>
      <c r="I273" s="133">
        <f t="shared" si="227"/>
        <v>44866.689412156491</v>
      </c>
      <c r="J273" s="133">
        <f t="shared" si="285"/>
        <v>2449.7536249999994</v>
      </c>
      <c r="K273" s="65">
        <v>2449.7536249999994</v>
      </c>
      <c r="L273" s="133">
        <f t="shared" si="286"/>
        <v>2449.7536249999994</v>
      </c>
      <c r="M273" s="65">
        <v>758.12758719225985</v>
      </c>
      <c r="N273" s="65">
        <v>1632.4907776153254</v>
      </c>
      <c r="O273" s="65">
        <v>336.8015672611142</v>
      </c>
      <c r="P273" s="200">
        <f t="shared" si="279"/>
        <v>41598.709807535881</v>
      </c>
      <c r="Q273" s="200">
        <f t="shared" si="280"/>
        <v>41598.709807535881</v>
      </c>
      <c r="R273" s="200">
        <f t="shared" si="281"/>
        <v>41598.709807535881</v>
      </c>
      <c r="S273" s="133">
        <f t="shared" si="228"/>
        <v>42315.89531697816</v>
      </c>
      <c r="T273" s="133">
        <f t="shared" si="229"/>
        <v>42315.89531697816</v>
      </c>
      <c r="U273" s="133">
        <f t="shared" si="230"/>
        <v>42315.89531697816</v>
      </c>
      <c r="V273" s="200">
        <f t="shared" si="282"/>
        <v>41598.709807535881</v>
      </c>
      <c r="W273" s="200">
        <f t="shared" si="283"/>
        <v>41598.709807535881</v>
      </c>
      <c r="X273" s="200">
        <f t="shared" si="284"/>
        <v>41598.709807535881</v>
      </c>
      <c r="Y273" s="65">
        <v>10879.425041383944</v>
      </c>
      <c r="Z273" s="65">
        <v>12361.004030310631</v>
      </c>
      <c r="AA273" s="65">
        <v>4726.510915211853</v>
      </c>
      <c r="AB273" s="200">
        <f t="shared" si="297"/>
        <v>53959.71383784651</v>
      </c>
      <c r="AC273" s="200">
        <f t="shared" si="298"/>
        <v>53959.71383784651</v>
      </c>
      <c r="AD273" s="200">
        <f t="shared" si="299"/>
        <v>53959.71383784651</v>
      </c>
      <c r="AE273" s="199">
        <f t="shared" si="261"/>
        <v>53195.320358362107</v>
      </c>
      <c r="AF273" s="199">
        <f t="shared" si="300"/>
        <v>54676.899347288789</v>
      </c>
      <c r="AG273" s="199">
        <f t="shared" si="262"/>
        <v>47042.406232190013</v>
      </c>
      <c r="AH273" s="199">
        <f t="shared" si="231"/>
        <v>50859.652789739397</v>
      </c>
      <c r="AI273" s="200">
        <f t="shared" si="301"/>
        <v>53959.71383784651</v>
      </c>
      <c r="AJ273" s="200">
        <f t="shared" si="302"/>
        <v>53959.71383784651</v>
      </c>
      <c r="AK273" s="200">
        <f t="shared" si="303"/>
        <v>53959.71383784651</v>
      </c>
      <c r="AL273" s="4"/>
      <c r="AM273" s="4"/>
      <c r="AN273" s="4"/>
      <c r="AO273" s="4"/>
      <c r="AP273" s="63"/>
      <c r="AQ273" s="18"/>
      <c r="AR273" s="10">
        <v>8960</v>
      </c>
      <c r="AS273" s="18"/>
      <c r="AT273" s="62"/>
      <c r="AU273" s="133">
        <f t="shared" si="235"/>
        <v>92.897999999999996</v>
      </c>
      <c r="AV273" s="133">
        <f t="shared" si="235"/>
        <v>3057.587</v>
      </c>
      <c r="AW273" s="63"/>
      <c r="AX273" s="63"/>
      <c r="AY273" s="65">
        <v>1185.0038251199999</v>
      </c>
      <c r="AZ273" s="63"/>
      <c r="BA273" s="65">
        <v>853.7</v>
      </c>
      <c r="BB273" s="133">
        <f t="shared" si="287"/>
        <v>611.22</v>
      </c>
      <c r="BC273" s="65">
        <v>233.87491436180096</v>
      </c>
      <c r="BD273" s="65">
        <v>18.196795404006242</v>
      </c>
      <c r="BE273" s="65">
        <v>0</v>
      </c>
      <c r="BF273" s="65">
        <v>194.72305796175525</v>
      </c>
      <c r="BG273" s="65">
        <v>0</v>
      </c>
      <c r="BH273" s="65">
        <v>25.258813275609995</v>
      </c>
      <c r="BI273" s="65">
        <v>593.34036245852292</v>
      </c>
      <c r="BJ273" s="65">
        <v>0</v>
      </c>
      <c r="BK273" s="65">
        <v>19.256201566846642</v>
      </c>
      <c r="BL273" s="65">
        <v>0</v>
      </c>
      <c r="BM273" s="65">
        <v>0</v>
      </c>
      <c r="BN273" s="65">
        <v>19.023796440208546</v>
      </c>
      <c r="BO273" s="65">
        <v>191.64662496000003</v>
      </c>
      <c r="BP273" s="260">
        <f t="shared" si="304"/>
        <v>896</v>
      </c>
      <c r="BQ273" s="65">
        <v>99.438211228263583</v>
      </c>
      <c r="BR273" s="65">
        <v>129.91925260680438</v>
      </c>
      <c r="BS273" s="65">
        <v>470.10781808040275</v>
      </c>
      <c r="BT273" s="65">
        <v>165.69799526610544</v>
      </c>
      <c r="BU273" s="65">
        <v>178.75367226507305</v>
      </c>
      <c r="BV273" s="144">
        <f t="shared" si="294"/>
        <v>530.68931103458192</v>
      </c>
      <c r="BW273" s="144">
        <f t="shared" si="295"/>
        <v>1142.7435443307277</v>
      </c>
      <c r="BX273" s="144">
        <f t="shared" si="296"/>
        <v>235.76109708277991</v>
      </c>
      <c r="BY273" s="5"/>
      <c r="BZ273" s="66">
        <v>6552</v>
      </c>
      <c r="CA273" s="4"/>
      <c r="CB273" s="5"/>
      <c r="CC273" s="5"/>
      <c r="CD273" s="188">
        <v>3.1195892150124847</v>
      </c>
      <c r="CE273" s="5"/>
      <c r="CF273" s="133">
        <f t="shared" si="232"/>
        <v>667.66666666666663</v>
      </c>
      <c r="CG273" s="70"/>
      <c r="CH273" s="70">
        <v>6720</v>
      </c>
      <c r="CI273" s="70"/>
      <c r="CJ273" s="133">
        <f t="shared" si="237"/>
        <v>611.22</v>
      </c>
      <c r="CK273" s="8">
        <f t="shared" si="258"/>
        <v>33847.62654932517</v>
      </c>
      <c r="CL273" s="202">
        <f t="shared" si="238"/>
        <v>20112.087288521339</v>
      </c>
      <c r="CM273" s="202">
        <f t="shared" si="239"/>
        <v>20112.087288521339</v>
      </c>
      <c r="CN273" s="202">
        <f t="shared" si="240"/>
        <v>20112.087288521339</v>
      </c>
      <c r="CO273" s="9">
        <f t="shared" si="241"/>
        <v>19347.693809036937</v>
      </c>
      <c r="CP273" s="9">
        <f t="shared" si="242"/>
        <v>20829.272797963618</v>
      </c>
      <c r="CQ273" s="9">
        <f t="shared" si="243"/>
        <v>13194.779682864842</v>
      </c>
      <c r="CR273" s="202">
        <f t="shared" si="244"/>
        <v>20112.087288521339</v>
      </c>
      <c r="CS273" s="202">
        <f t="shared" si="245"/>
        <v>20112.087288521339</v>
      </c>
      <c r="CT273" s="202">
        <f t="shared" si="246"/>
        <v>20112.087288521339</v>
      </c>
      <c r="CU273" s="203">
        <f t="shared" si="247"/>
        <v>0.37272412802187682</v>
      </c>
      <c r="CV273" s="203">
        <f t="shared" si="248"/>
        <v>0.37272412802187682</v>
      </c>
      <c r="CW273" s="203">
        <f t="shared" si="249"/>
        <v>0.37272412802187682</v>
      </c>
      <c r="CX273" s="19">
        <f t="shared" si="250"/>
        <v>0.36371044818786491</v>
      </c>
      <c r="CY273" s="19">
        <f t="shared" si="251"/>
        <v>0.3809519750866498</v>
      </c>
      <c r="CZ273" s="19">
        <f t="shared" si="252"/>
        <v>0.28048692105030898</v>
      </c>
      <c r="DA273" s="203">
        <f t="shared" si="253"/>
        <v>0.37272412802187682</v>
      </c>
      <c r="DB273" s="203">
        <f t="shared" si="254"/>
        <v>0.37272412802187682</v>
      </c>
      <c r="DC273" s="203">
        <f t="shared" si="255"/>
        <v>0.37272412802187682</v>
      </c>
      <c r="DD273" s="65"/>
      <c r="DE273" s="66"/>
      <c r="DF273" s="66"/>
      <c r="DG273" s="66"/>
      <c r="DH273" s="66"/>
      <c r="DI273" s="66"/>
      <c r="DJ273" s="65"/>
      <c r="DK273" s="70"/>
      <c r="DL273" s="70"/>
      <c r="DM273" s="8">
        <f t="shared" si="256"/>
        <v>0</v>
      </c>
      <c r="DN273" s="8">
        <f t="shared" si="257"/>
        <v>33847.62654932517</v>
      </c>
      <c r="DO273" s="202">
        <f t="shared" si="263"/>
        <v>20112.087288521339</v>
      </c>
      <c r="DP273" s="202">
        <f t="shared" si="264"/>
        <v>20112.087288521339</v>
      </c>
      <c r="DQ273" s="202">
        <f t="shared" si="265"/>
        <v>20112.087288521339</v>
      </c>
      <c r="DR273" s="9">
        <f t="shared" si="266"/>
        <v>19347.693809036937</v>
      </c>
      <c r="DS273" s="9">
        <f t="shared" si="259"/>
        <v>20829.272797963618</v>
      </c>
      <c r="DT273" s="9">
        <f t="shared" si="267"/>
        <v>13194.779682864842</v>
      </c>
      <c r="DU273" s="202">
        <f t="shared" si="268"/>
        <v>20112.087288521339</v>
      </c>
      <c r="DV273" s="202">
        <f t="shared" si="269"/>
        <v>20112.087288521339</v>
      </c>
      <c r="DW273" s="202">
        <f t="shared" si="270"/>
        <v>20112.087288521339</v>
      </c>
      <c r="DX273" s="203">
        <f t="shared" si="271"/>
        <v>0.37272412802187682</v>
      </c>
      <c r="DY273" s="203">
        <f t="shared" si="272"/>
        <v>0.37272412802187682</v>
      </c>
      <c r="DZ273" s="203">
        <f t="shared" si="273"/>
        <v>0.37272412802187682</v>
      </c>
      <c r="EA273" s="19">
        <f t="shared" si="274"/>
        <v>0.36371044818786491</v>
      </c>
      <c r="EB273" s="19">
        <f t="shared" si="260"/>
        <v>0.3809519750866498</v>
      </c>
      <c r="EC273" s="19">
        <f t="shared" si="275"/>
        <v>0.28048692105030898</v>
      </c>
      <c r="ED273" s="203">
        <f t="shared" si="276"/>
        <v>0.37272412802187682</v>
      </c>
      <c r="EE273" s="203">
        <f t="shared" si="277"/>
        <v>0.37272412802187682</v>
      </c>
      <c r="EF273" s="203">
        <f t="shared" si="278"/>
        <v>0.37272412802187682</v>
      </c>
      <c r="EH273" s="58">
        <f t="shared" si="288"/>
        <v>29843.094591113811</v>
      </c>
      <c r="EI273" s="68">
        <f t="shared" si="289"/>
        <v>0.54580810081348574</v>
      </c>
      <c r="EJ273" s="58">
        <f t="shared" si="290"/>
        <v>26567.094591113815</v>
      </c>
      <c r="EK273" s="68">
        <f t="shared" si="289"/>
        <v>0.48589248674049351</v>
      </c>
      <c r="EL273" s="58">
        <f t="shared" si="291"/>
        <v>3287.2580022443722</v>
      </c>
      <c r="EM273" s="58">
        <f t="shared" si="292"/>
        <v>3523.0190993271522</v>
      </c>
      <c r="EN273" s="68">
        <f t="shared" si="293"/>
        <v>6.4433410478347553E-2</v>
      </c>
      <c r="EO273" s="139">
        <f t="shared" si="233"/>
        <v>0.3126447604730192</v>
      </c>
      <c r="EP273">
        <f>+(SUM(M273:O273)*EO273*(1-'[1]Tier 3 Data'!$A$2))</f>
        <v>795.58174342910274</v>
      </c>
    </row>
    <row r="274" spans="1:146" x14ac:dyDescent="0.2">
      <c r="A274" s="43">
        <v>0</v>
      </c>
      <c r="B274" s="43">
        <v>0</v>
      </c>
      <c r="C274" s="43">
        <v>0</v>
      </c>
      <c r="D274" s="70">
        <v>2030</v>
      </c>
      <c r="E274" s="70">
        <v>3</v>
      </c>
      <c r="F274" s="2">
        <v>743</v>
      </c>
      <c r="G274" s="133">
        <f t="shared" si="226"/>
        <v>47020.117368004649</v>
      </c>
      <c r="H274" s="65">
        <v>47020.117368004649</v>
      </c>
      <c r="I274" s="133">
        <f t="shared" si="227"/>
        <v>47020.117368004649</v>
      </c>
      <c r="J274" s="133">
        <f t="shared" si="285"/>
        <v>2489.4290624999994</v>
      </c>
      <c r="K274" s="65">
        <v>2489.4290624999994</v>
      </c>
      <c r="L274" s="133">
        <f t="shared" si="286"/>
        <v>2489.4290624999994</v>
      </c>
      <c r="M274" s="65">
        <v>1050.2026341606518</v>
      </c>
      <c r="N274" s="65">
        <v>2261.4216180208796</v>
      </c>
      <c r="O274" s="65">
        <v>467.70388830329864</v>
      </c>
      <c r="P274" s="200">
        <f t="shared" si="279"/>
        <v>43396.889863359203</v>
      </c>
      <c r="Q274" s="200">
        <f t="shared" si="280"/>
        <v>43396.889863359203</v>
      </c>
      <c r="R274" s="200">
        <f t="shared" si="281"/>
        <v>43396.889863359203</v>
      </c>
      <c r="S274" s="133">
        <f t="shared" si="228"/>
        <v>44390.377139013661</v>
      </c>
      <c r="T274" s="133">
        <f t="shared" si="229"/>
        <v>44390.377139013661</v>
      </c>
      <c r="U274" s="133">
        <f t="shared" si="230"/>
        <v>44390.377139013661</v>
      </c>
      <c r="V274" s="200">
        <f t="shared" si="282"/>
        <v>43396.889863359203</v>
      </c>
      <c r="W274" s="200">
        <f t="shared" si="283"/>
        <v>43396.889863359203</v>
      </c>
      <c r="X274" s="200">
        <f t="shared" si="284"/>
        <v>43396.889863359203</v>
      </c>
      <c r="Y274" s="65">
        <v>10013.042621853216</v>
      </c>
      <c r="Z274" s="65">
        <v>10978.83571629626</v>
      </c>
      <c r="AA274" s="65">
        <v>4296.5047718860997</v>
      </c>
      <c r="AB274" s="200">
        <f t="shared" si="297"/>
        <v>54375.725579655467</v>
      </c>
      <c r="AC274" s="200">
        <f t="shared" si="298"/>
        <v>54375.725579655467</v>
      </c>
      <c r="AD274" s="200">
        <f t="shared" si="299"/>
        <v>54375.725579655467</v>
      </c>
      <c r="AE274" s="199">
        <f t="shared" si="261"/>
        <v>54403.419760866876</v>
      </c>
      <c r="AF274" s="199">
        <f t="shared" si="300"/>
        <v>55369.212855309917</v>
      </c>
      <c r="AG274" s="199">
        <f t="shared" si="262"/>
        <v>48686.881910899763</v>
      </c>
      <c r="AH274" s="199">
        <f t="shared" si="231"/>
        <v>52028.047383104844</v>
      </c>
      <c r="AI274" s="200">
        <f t="shared" si="301"/>
        <v>54375.725579655467</v>
      </c>
      <c r="AJ274" s="200">
        <f t="shared" si="302"/>
        <v>54375.725579655467</v>
      </c>
      <c r="AK274" s="200">
        <f t="shared" si="303"/>
        <v>54375.725579655467</v>
      </c>
      <c r="AL274" s="4"/>
      <c r="AM274" s="4"/>
      <c r="AN274" s="4"/>
      <c r="AO274" s="4"/>
      <c r="AP274" s="63"/>
      <c r="AQ274" s="18"/>
      <c r="AR274" s="10">
        <v>9920</v>
      </c>
      <c r="AS274" s="18"/>
      <c r="AT274" s="62"/>
      <c r="AU274" s="133">
        <f t="shared" si="235"/>
        <v>87.516000000000005</v>
      </c>
      <c r="AV274" s="133">
        <f t="shared" si="235"/>
        <v>3232.7139999999999</v>
      </c>
      <c r="AW274" s="63"/>
      <c r="AX274" s="63"/>
      <c r="AY274" s="65">
        <v>1280.8105891600001</v>
      </c>
      <c r="AZ274" s="63"/>
      <c r="BA274" s="65">
        <v>2416.2429999999999</v>
      </c>
      <c r="BB274" s="133">
        <f t="shared" si="287"/>
        <v>2064.8780000000002</v>
      </c>
      <c r="BC274" s="65">
        <v>449.53123898462314</v>
      </c>
      <c r="BD274" s="65">
        <v>17.737549502477364</v>
      </c>
      <c r="BE274" s="65">
        <v>0</v>
      </c>
      <c r="BF274" s="65">
        <v>213.19694193955203</v>
      </c>
      <c r="BG274" s="65">
        <v>0</v>
      </c>
      <c r="BH274" s="65">
        <v>44.202923232317495</v>
      </c>
      <c r="BI274" s="65">
        <v>1140.4601857510293</v>
      </c>
      <c r="BJ274" s="65">
        <v>0</v>
      </c>
      <c r="BK274" s="65">
        <v>19.397174608663349</v>
      </c>
      <c r="BL274" s="65">
        <v>0</v>
      </c>
      <c r="BM274" s="65">
        <v>0</v>
      </c>
      <c r="BN274" s="65">
        <v>33.291643770364956</v>
      </c>
      <c r="BO274" s="65">
        <v>212.18019192</v>
      </c>
      <c r="BP274" s="260">
        <f t="shared" si="304"/>
        <v>992</v>
      </c>
      <c r="BQ274" s="65">
        <v>138.39330888598835</v>
      </c>
      <c r="BR274" s="65">
        <v>180.81532525832364</v>
      </c>
      <c r="BS274" s="65">
        <v>654.27330112424454</v>
      </c>
      <c r="BT274" s="65">
        <v>219.29737004395378</v>
      </c>
      <c r="BU274" s="65">
        <v>254.8436681543196</v>
      </c>
      <c r="BV274" s="144">
        <f t="shared" si="294"/>
        <v>735.14184391245624</v>
      </c>
      <c r="BW274" s="144">
        <f t="shared" si="295"/>
        <v>1582.9951326146156</v>
      </c>
      <c r="BX274" s="144">
        <f t="shared" si="296"/>
        <v>327.39272181230905</v>
      </c>
      <c r="BY274" s="5"/>
      <c r="BZ274" s="66">
        <v>7244.25</v>
      </c>
      <c r="CA274" s="4"/>
      <c r="CB274" s="5"/>
      <c r="CC274" s="5"/>
      <c r="CD274" s="188">
        <v>13.157281760074044</v>
      </c>
      <c r="CE274" s="5"/>
      <c r="CF274" s="133">
        <f t="shared" si="232"/>
        <v>1476.3333333333333</v>
      </c>
      <c r="CG274" s="70"/>
      <c r="CH274" s="70">
        <v>5942</v>
      </c>
      <c r="CI274" s="70"/>
      <c r="CJ274" s="133">
        <f t="shared" si="237"/>
        <v>2064.8780000000002</v>
      </c>
      <c r="CK274" s="8">
        <f t="shared" si="258"/>
        <v>40893.052725768663</v>
      </c>
      <c r="CL274" s="202">
        <f t="shared" si="238"/>
        <v>13482.672853886805</v>
      </c>
      <c r="CM274" s="202">
        <f t="shared" si="239"/>
        <v>13482.672853886805</v>
      </c>
      <c r="CN274" s="202">
        <f t="shared" si="240"/>
        <v>13482.672853886805</v>
      </c>
      <c r="CO274" s="9">
        <f t="shared" si="241"/>
        <v>13510.367035098214</v>
      </c>
      <c r="CP274" s="9">
        <f t="shared" si="242"/>
        <v>14476.160129541255</v>
      </c>
      <c r="CQ274" s="9">
        <f t="shared" si="243"/>
        <v>7793.8291851311005</v>
      </c>
      <c r="CR274" s="202">
        <f t="shared" si="244"/>
        <v>13482.672853886805</v>
      </c>
      <c r="CS274" s="202">
        <f t="shared" si="245"/>
        <v>13482.672853886805</v>
      </c>
      <c r="CT274" s="202">
        <f t="shared" si="246"/>
        <v>13482.672853886805</v>
      </c>
      <c r="CU274" s="203">
        <f t="shared" si="247"/>
        <v>0.24795389321538194</v>
      </c>
      <c r="CV274" s="203">
        <f t="shared" si="248"/>
        <v>0.24795389321538194</v>
      </c>
      <c r="CW274" s="203">
        <f t="shared" si="249"/>
        <v>0.24795389321538194</v>
      </c>
      <c r="CX274" s="19">
        <f t="shared" si="250"/>
        <v>0.24833672395014414</v>
      </c>
      <c r="CY274" s="19">
        <f t="shared" si="251"/>
        <v>0.26144782240936243</v>
      </c>
      <c r="CZ274" s="19">
        <f t="shared" si="252"/>
        <v>0.16008068044682605</v>
      </c>
      <c r="DA274" s="203">
        <f t="shared" si="253"/>
        <v>0.24795389321538194</v>
      </c>
      <c r="DB274" s="203">
        <f t="shared" si="254"/>
        <v>0.24795389321538194</v>
      </c>
      <c r="DC274" s="203">
        <f t="shared" si="255"/>
        <v>0.24795389321538194</v>
      </c>
      <c r="DD274" s="65"/>
      <c r="DE274" s="66"/>
      <c r="DF274" s="66"/>
      <c r="DG274" s="66"/>
      <c r="DH274" s="66"/>
      <c r="DI274" s="66"/>
      <c r="DJ274" s="65"/>
      <c r="DK274" s="70"/>
      <c r="DL274" s="70"/>
      <c r="DM274" s="8">
        <f t="shared" si="256"/>
        <v>0</v>
      </c>
      <c r="DN274" s="8">
        <f t="shared" si="257"/>
        <v>40893.052725768663</v>
      </c>
      <c r="DO274" s="202">
        <f t="shared" si="263"/>
        <v>13482.672853886805</v>
      </c>
      <c r="DP274" s="202">
        <f t="shared" si="264"/>
        <v>13482.672853886805</v>
      </c>
      <c r="DQ274" s="202">
        <f t="shared" si="265"/>
        <v>13482.672853886805</v>
      </c>
      <c r="DR274" s="9">
        <f t="shared" si="266"/>
        <v>13510.367035098214</v>
      </c>
      <c r="DS274" s="9">
        <f t="shared" si="259"/>
        <v>14476.160129541255</v>
      </c>
      <c r="DT274" s="9">
        <f t="shared" si="267"/>
        <v>7793.8291851311005</v>
      </c>
      <c r="DU274" s="202">
        <f t="shared" si="268"/>
        <v>13482.672853886805</v>
      </c>
      <c r="DV274" s="202">
        <f t="shared" si="269"/>
        <v>13482.672853886805</v>
      </c>
      <c r="DW274" s="202">
        <f t="shared" si="270"/>
        <v>13482.672853886805</v>
      </c>
      <c r="DX274" s="203">
        <f t="shared" si="271"/>
        <v>0.24795389321538194</v>
      </c>
      <c r="DY274" s="203">
        <f t="shared" si="272"/>
        <v>0.24795389321538194</v>
      </c>
      <c r="DZ274" s="203">
        <f t="shared" si="273"/>
        <v>0.24795389321538194</v>
      </c>
      <c r="EA274" s="19">
        <f t="shared" si="274"/>
        <v>0.24833672395014414</v>
      </c>
      <c r="EB274" s="19">
        <f t="shared" si="260"/>
        <v>0.26144782240936243</v>
      </c>
      <c r="EC274" s="19">
        <f t="shared" si="275"/>
        <v>0.16008068044682605</v>
      </c>
      <c r="ED274" s="203">
        <f t="shared" si="276"/>
        <v>0.24795389321538194</v>
      </c>
      <c r="EE274" s="203">
        <f t="shared" si="277"/>
        <v>0.24795389321538194</v>
      </c>
      <c r="EF274" s="203">
        <f t="shared" si="278"/>
        <v>0.24795389321538194</v>
      </c>
      <c r="EH274" s="58">
        <f t="shared" si="288"/>
        <v>36309.431658156573</v>
      </c>
      <c r="EI274" s="68">
        <f t="shared" si="289"/>
        <v>0.6557693307477549</v>
      </c>
      <c r="EJ274" s="58">
        <f t="shared" si="290"/>
        <v>32687.306658156569</v>
      </c>
      <c r="EK274" s="68">
        <f t="shared" si="289"/>
        <v>0.59035165884648932</v>
      </c>
      <c r="EL274" s="58">
        <f t="shared" si="291"/>
        <v>4947.4190138509211</v>
      </c>
      <c r="EM274" s="58">
        <f t="shared" si="292"/>
        <v>5274.8117356632301</v>
      </c>
      <c r="EN274" s="68">
        <f t="shared" si="293"/>
        <v>9.5266149971235767E-2</v>
      </c>
      <c r="EO274" s="139">
        <f t="shared" si="233"/>
        <v>0.32861286969700848</v>
      </c>
      <c r="EP274">
        <f>+(SUM(M274:O274)*EO274*(1-'[1]Tier 3 Data'!$A$2))</f>
        <v>1158.7261627646965</v>
      </c>
    </row>
    <row r="275" spans="1:146" x14ac:dyDescent="0.2">
      <c r="A275" s="43">
        <v>0</v>
      </c>
      <c r="B275" s="43">
        <v>0</v>
      </c>
      <c r="C275" s="43">
        <v>0</v>
      </c>
      <c r="D275" s="70">
        <v>2030</v>
      </c>
      <c r="E275" s="70">
        <v>4</v>
      </c>
      <c r="F275" s="2">
        <v>720</v>
      </c>
      <c r="G275" s="133">
        <f t="shared" si="226"/>
        <v>39508.205548197569</v>
      </c>
      <c r="H275" s="65">
        <v>39508.205548197569</v>
      </c>
      <c r="I275" s="133">
        <f t="shared" si="227"/>
        <v>39508.205548197569</v>
      </c>
      <c r="J275" s="133">
        <f t="shared" si="285"/>
        <v>2529.1044999999995</v>
      </c>
      <c r="K275" s="65">
        <v>2529.1044999999995</v>
      </c>
      <c r="L275" s="133">
        <f t="shared" si="286"/>
        <v>2529.1044999999995</v>
      </c>
      <c r="M275" s="65">
        <v>1418.2286880453187</v>
      </c>
      <c r="N275" s="65">
        <v>3053.8992287010965</v>
      </c>
      <c r="O275" s="65">
        <v>634.09486500145681</v>
      </c>
      <c r="P275" s="200">
        <f t="shared" si="279"/>
        <v>35447.234213673204</v>
      </c>
      <c r="Q275" s="200">
        <f t="shared" si="280"/>
        <v>35447.234213673204</v>
      </c>
      <c r="R275" s="200">
        <f t="shared" si="281"/>
        <v>35447.234213673204</v>
      </c>
      <c r="S275" s="133">
        <f t="shared" si="228"/>
        <v>36788.87258869713</v>
      </c>
      <c r="T275" s="133">
        <f t="shared" si="229"/>
        <v>36788.87258869713</v>
      </c>
      <c r="U275" s="133">
        <f t="shared" si="230"/>
        <v>36788.87258869713</v>
      </c>
      <c r="V275" s="200">
        <f t="shared" si="282"/>
        <v>35447.234213673204</v>
      </c>
      <c r="W275" s="200">
        <f t="shared" si="283"/>
        <v>35447.234213673204</v>
      </c>
      <c r="X275" s="200">
        <f t="shared" si="284"/>
        <v>35447.234213673204</v>
      </c>
      <c r="Y275" s="65">
        <v>8574.4111859938293</v>
      </c>
      <c r="Z275" s="65">
        <v>8552.4238174142392</v>
      </c>
      <c r="AA275" s="65">
        <v>3490.2350693860317</v>
      </c>
      <c r="AB275" s="200">
        <f t="shared" si="297"/>
        <v>43999.658031087441</v>
      </c>
      <c r="AC275" s="200">
        <f t="shared" si="298"/>
        <v>43999.658031087441</v>
      </c>
      <c r="AD275" s="200">
        <f t="shared" si="299"/>
        <v>43999.658031087441</v>
      </c>
      <c r="AE275" s="199">
        <f t="shared" si="261"/>
        <v>45363.283774690957</v>
      </c>
      <c r="AF275" s="199">
        <f t="shared" si="300"/>
        <v>45341.296406111367</v>
      </c>
      <c r="AG275" s="199">
        <f t="shared" si="262"/>
        <v>40279.107658083158</v>
      </c>
      <c r="AH275" s="199">
        <f t="shared" si="231"/>
        <v>42821.195716387054</v>
      </c>
      <c r="AI275" s="200">
        <f t="shared" si="301"/>
        <v>43999.658031087441</v>
      </c>
      <c r="AJ275" s="200">
        <f t="shared" si="302"/>
        <v>43999.658031087441</v>
      </c>
      <c r="AK275" s="200">
        <f t="shared" si="303"/>
        <v>43999.658031087441</v>
      </c>
      <c r="AL275" s="4"/>
      <c r="AM275" s="4"/>
      <c r="AN275" s="4"/>
      <c r="AO275" s="4"/>
      <c r="AP275" s="63"/>
      <c r="AQ275" s="18"/>
      <c r="AR275" s="10">
        <v>9600</v>
      </c>
      <c r="AS275" s="18"/>
      <c r="AT275" s="62"/>
      <c r="AU275" s="133">
        <f t="shared" si="235"/>
        <v>96.057000000000002</v>
      </c>
      <c r="AV275" s="133">
        <f t="shared" si="235"/>
        <v>3017.9659999999999</v>
      </c>
      <c r="AW275" s="63"/>
      <c r="AX275" s="63"/>
      <c r="AY275" s="65">
        <v>1122.6138126000001</v>
      </c>
      <c r="AZ275" s="63"/>
      <c r="BA275" s="65">
        <v>1366.578</v>
      </c>
      <c r="BB275" s="133">
        <f t="shared" si="287"/>
        <v>1440.9</v>
      </c>
      <c r="BC275" s="65">
        <v>567.6650303146555</v>
      </c>
      <c r="BD275" s="65">
        <v>15.751376692709027</v>
      </c>
      <c r="BE275" s="65">
        <v>0</v>
      </c>
      <c r="BF275" s="65">
        <v>201.0078173079965</v>
      </c>
      <c r="BG275" s="65">
        <v>0</v>
      </c>
      <c r="BH275" s="65">
        <v>138.923473015855</v>
      </c>
      <c r="BI275" s="65">
        <v>1440.1654652062136</v>
      </c>
      <c r="BJ275" s="65">
        <v>0</v>
      </c>
      <c r="BK275" s="65">
        <v>19.984033847071771</v>
      </c>
      <c r="BL275" s="65">
        <v>0</v>
      </c>
      <c r="BM275" s="65">
        <v>0</v>
      </c>
      <c r="BN275" s="65">
        <v>104.630880421147</v>
      </c>
      <c r="BO275" s="65">
        <v>205.33566960000002</v>
      </c>
      <c r="BP275" s="260">
        <f t="shared" si="304"/>
        <v>960</v>
      </c>
      <c r="BQ275" s="65">
        <v>147.78555661768269</v>
      </c>
      <c r="BR275" s="65">
        <v>193.08664045233965</v>
      </c>
      <c r="BS275" s="65">
        <v>698.6765818515621</v>
      </c>
      <c r="BT275" s="65">
        <v>242.82497042215886</v>
      </c>
      <c r="BU275" s="65">
        <v>260.73832160871154</v>
      </c>
      <c r="BV275" s="144">
        <f t="shared" si="294"/>
        <v>992.76008163172298</v>
      </c>
      <c r="BW275" s="144">
        <f t="shared" si="295"/>
        <v>2137.7294600907676</v>
      </c>
      <c r="BX275" s="144">
        <f t="shared" si="296"/>
        <v>443.86640550101976</v>
      </c>
      <c r="BY275" s="5"/>
      <c r="BZ275" s="66">
        <v>7020</v>
      </c>
      <c r="CA275" s="4"/>
      <c r="CB275" s="5"/>
      <c r="CC275" s="5"/>
      <c r="CD275" s="188">
        <v>2.3725527527096357</v>
      </c>
      <c r="CE275" s="5"/>
      <c r="CF275" s="133">
        <f t="shared" si="232"/>
        <v>2495.3333333333335</v>
      </c>
      <c r="CG275" s="70"/>
      <c r="CH275" s="70">
        <v>4768</v>
      </c>
      <c r="CI275" s="70"/>
      <c r="CJ275" s="133">
        <f t="shared" si="237"/>
        <v>1440.9</v>
      </c>
      <c r="CK275" s="8">
        <f t="shared" si="258"/>
        <v>39700.752463267658</v>
      </c>
      <c r="CL275" s="202">
        <f t="shared" si="238"/>
        <v>4298.9055678197838</v>
      </c>
      <c r="CM275" s="202">
        <f t="shared" si="239"/>
        <v>4298.9055678197838</v>
      </c>
      <c r="CN275" s="202">
        <f t="shared" si="240"/>
        <v>4298.9055678197838</v>
      </c>
      <c r="CO275" s="9">
        <f t="shared" si="241"/>
        <v>5662.5313114232995</v>
      </c>
      <c r="CP275" s="9">
        <f t="shared" si="242"/>
        <v>5640.5439428437094</v>
      </c>
      <c r="CQ275" s="9">
        <f t="shared" si="243"/>
        <v>578.3551948155</v>
      </c>
      <c r="CR275" s="202">
        <f t="shared" si="244"/>
        <v>4298.9055678197838</v>
      </c>
      <c r="CS275" s="202">
        <f t="shared" si="245"/>
        <v>4298.9055678197838</v>
      </c>
      <c r="CT275" s="202">
        <f t="shared" si="246"/>
        <v>4298.9055678197838</v>
      </c>
      <c r="CU275" s="203">
        <f t="shared" si="247"/>
        <v>9.77031586196066E-2</v>
      </c>
      <c r="CV275" s="203">
        <f t="shared" si="248"/>
        <v>9.77031586196066E-2</v>
      </c>
      <c r="CW275" s="203">
        <f t="shared" si="249"/>
        <v>9.77031586196066E-2</v>
      </c>
      <c r="CX275" s="19">
        <f t="shared" si="250"/>
        <v>0.12482630974309082</v>
      </c>
      <c r="CY275" s="19">
        <f t="shared" si="251"/>
        <v>0.1244019115007802</v>
      </c>
      <c r="CZ275" s="19">
        <f t="shared" si="252"/>
        <v>1.4358689366332982E-2</v>
      </c>
      <c r="DA275" s="203">
        <f t="shared" si="253"/>
        <v>9.77031586196066E-2</v>
      </c>
      <c r="DB275" s="203">
        <f t="shared" si="254"/>
        <v>9.77031586196066E-2</v>
      </c>
      <c r="DC275" s="203">
        <f t="shared" si="255"/>
        <v>9.77031586196066E-2</v>
      </c>
      <c r="DD275" s="65"/>
      <c r="DE275" s="66"/>
      <c r="DF275" s="66"/>
      <c r="DG275" s="66"/>
      <c r="DH275" s="66"/>
      <c r="DI275" s="66"/>
      <c r="DJ275" s="65"/>
      <c r="DK275" s="70"/>
      <c r="DL275" s="70"/>
      <c r="DM275" s="8">
        <f t="shared" si="256"/>
        <v>0</v>
      </c>
      <c r="DN275" s="8">
        <f t="shared" si="257"/>
        <v>39700.752463267658</v>
      </c>
      <c r="DO275" s="202">
        <f t="shared" si="263"/>
        <v>4298.9055678197838</v>
      </c>
      <c r="DP275" s="202">
        <f t="shared" si="264"/>
        <v>4298.9055678197838</v>
      </c>
      <c r="DQ275" s="202">
        <f t="shared" si="265"/>
        <v>4298.9055678197838</v>
      </c>
      <c r="DR275" s="9">
        <f t="shared" si="266"/>
        <v>5662.5313114232995</v>
      </c>
      <c r="DS275" s="9">
        <f t="shared" si="259"/>
        <v>5640.5439428437094</v>
      </c>
      <c r="DT275" s="9">
        <f t="shared" si="267"/>
        <v>578.3551948155</v>
      </c>
      <c r="DU275" s="202">
        <f t="shared" si="268"/>
        <v>4298.9055678197838</v>
      </c>
      <c r="DV275" s="202">
        <f t="shared" si="269"/>
        <v>4298.9055678197838</v>
      </c>
      <c r="DW275" s="202">
        <f t="shared" si="270"/>
        <v>4298.9055678197838</v>
      </c>
      <c r="DX275" s="203">
        <f t="shared" si="271"/>
        <v>9.77031586196066E-2</v>
      </c>
      <c r="DY275" s="203">
        <f t="shared" si="272"/>
        <v>9.77031586196066E-2</v>
      </c>
      <c r="DZ275" s="203">
        <f t="shared" si="273"/>
        <v>9.77031586196066E-2</v>
      </c>
      <c r="EA275" s="19">
        <f t="shared" si="274"/>
        <v>0.12482630974309082</v>
      </c>
      <c r="EB275" s="19">
        <f t="shared" si="260"/>
        <v>0.1244019115007802</v>
      </c>
      <c r="EC275" s="19">
        <f t="shared" si="275"/>
        <v>1.4358689366332982E-2</v>
      </c>
      <c r="ED275" s="203">
        <f t="shared" si="276"/>
        <v>9.77031586196066E-2</v>
      </c>
      <c r="EE275" s="203">
        <f t="shared" si="277"/>
        <v>9.77031586196066E-2</v>
      </c>
      <c r="EF275" s="203">
        <f t="shared" si="278"/>
        <v>9.77031586196066E-2</v>
      </c>
      <c r="EH275" s="58">
        <f t="shared" si="288"/>
        <v>34994.612011575227</v>
      </c>
      <c r="EI275" s="68">
        <f t="shared" si="289"/>
        <v>0.77180439875685702</v>
      </c>
      <c r="EJ275" s="58">
        <f t="shared" si="290"/>
        <v>31484.612011575227</v>
      </c>
      <c r="EK275" s="68">
        <f t="shared" si="289"/>
        <v>0.69439152620549127</v>
      </c>
      <c r="EL275" s="58">
        <f t="shared" si="291"/>
        <v>6173.2974601408741</v>
      </c>
      <c r="EM275" s="58">
        <f t="shared" si="292"/>
        <v>6617.1638656418936</v>
      </c>
      <c r="EN275" s="68">
        <f t="shared" si="293"/>
        <v>0.14594121452491141</v>
      </c>
      <c r="EO275" s="139">
        <f t="shared" si="233"/>
        <v>0.35351678044029999</v>
      </c>
      <c r="EP275">
        <f>+(SUM(M275:O275)*EO275*(1-'[1]Tier 3 Data'!$A$2))</f>
        <v>1684.1913636674544</v>
      </c>
    </row>
    <row r="276" spans="1:146" x14ac:dyDescent="0.2">
      <c r="A276" s="43">
        <v>0</v>
      </c>
      <c r="B276" s="43">
        <v>0</v>
      </c>
      <c r="C276" s="43">
        <v>0</v>
      </c>
      <c r="D276" s="70">
        <v>2030</v>
      </c>
      <c r="E276" s="70">
        <v>5</v>
      </c>
      <c r="F276" s="2">
        <v>744</v>
      </c>
      <c r="G276" s="133">
        <f t="shared" si="226"/>
        <v>37664.022294879898</v>
      </c>
      <c r="H276" s="65">
        <v>37664.022294879898</v>
      </c>
      <c r="I276" s="133">
        <f t="shared" si="227"/>
        <v>37664.022294879898</v>
      </c>
      <c r="J276" s="133">
        <f t="shared" si="285"/>
        <v>2568.7799374999995</v>
      </c>
      <c r="K276" s="65">
        <v>2568.7799374999995</v>
      </c>
      <c r="L276" s="133">
        <f t="shared" si="286"/>
        <v>2568.7799374999995</v>
      </c>
      <c r="M276" s="65">
        <v>1750.7817988213781</v>
      </c>
      <c r="N276" s="65">
        <v>3769.9922657844818</v>
      </c>
      <c r="O276" s="65">
        <v>786.17870883798184</v>
      </c>
      <c r="P276" s="200">
        <f t="shared" si="279"/>
        <v>33203.156525346749</v>
      </c>
      <c r="Q276" s="200">
        <f t="shared" si="280"/>
        <v>33203.156525346749</v>
      </c>
      <c r="R276" s="200">
        <f t="shared" si="281"/>
        <v>33203.156525346749</v>
      </c>
      <c r="S276" s="133">
        <f t="shared" si="228"/>
        <v>34859.388744728509</v>
      </c>
      <c r="T276" s="133">
        <f t="shared" si="229"/>
        <v>34859.388744728509</v>
      </c>
      <c r="U276" s="133">
        <f t="shared" si="230"/>
        <v>34859.388744728509</v>
      </c>
      <c r="V276" s="200">
        <f t="shared" si="282"/>
        <v>33203.156525346749</v>
      </c>
      <c r="W276" s="200">
        <f t="shared" si="283"/>
        <v>33203.156525346749</v>
      </c>
      <c r="X276" s="200">
        <f t="shared" si="284"/>
        <v>33203.156525346749</v>
      </c>
      <c r="Y276" s="65">
        <v>6972.1616277936637</v>
      </c>
      <c r="Z276" s="65">
        <v>6325.4571124060185</v>
      </c>
      <c r="AA276" s="65">
        <v>2729.5670306033221</v>
      </c>
      <c r="AB276" s="200">
        <f t="shared" si="297"/>
        <v>39528.613637752765</v>
      </c>
      <c r="AC276" s="200">
        <f t="shared" si="298"/>
        <v>39528.613637752765</v>
      </c>
      <c r="AD276" s="200">
        <f t="shared" si="299"/>
        <v>39528.613637752765</v>
      </c>
      <c r="AE276" s="199">
        <f t="shared" si="261"/>
        <v>41831.550372522172</v>
      </c>
      <c r="AF276" s="199">
        <f t="shared" si="300"/>
        <v>41184.845857134525</v>
      </c>
      <c r="AG276" s="199">
        <f t="shared" si="262"/>
        <v>37588.955775331829</v>
      </c>
      <c r="AH276" s="199">
        <f t="shared" si="231"/>
        <v>39710.253073927001</v>
      </c>
      <c r="AI276" s="200">
        <f t="shared" si="301"/>
        <v>39528.613637752765</v>
      </c>
      <c r="AJ276" s="200">
        <f t="shared" si="302"/>
        <v>39528.613637752765</v>
      </c>
      <c r="AK276" s="200">
        <f t="shared" si="303"/>
        <v>39528.613637752765</v>
      </c>
      <c r="AL276" s="4"/>
      <c r="AM276" s="4"/>
      <c r="AN276" s="4"/>
      <c r="AO276" s="4"/>
      <c r="AP276" s="63"/>
      <c r="AQ276" s="18"/>
      <c r="AR276" s="10">
        <v>9920</v>
      </c>
      <c r="AS276" s="18"/>
      <c r="AT276" s="62"/>
      <c r="AU276" s="133">
        <f t="shared" si="235"/>
        <v>109.161</v>
      </c>
      <c r="AV276" s="133">
        <f t="shared" si="235"/>
        <v>3327.41</v>
      </c>
      <c r="AW276" s="63"/>
      <c r="AX276" s="63"/>
      <c r="AY276" s="65">
        <v>837.33634925714296</v>
      </c>
      <c r="AZ276" s="63"/>
      <c r="BA276" s="65">
        <v>1570</v>
      </c>
      <c r="BB276" s="133">
        <f t="shared" si="287"/>
        <v>1028.67</v>
      </c>
      <c r="BC276" s="65">
        <v>570.10748354622444</v>
      </c>
      <c r="BD276" s="65">
        <v>12.098699446784533</v>
      </c>
      <c r="BE276" s="65">
        <v>0</v>
      </c>
      <c r="BF276" s="65">
        <v>204.79596502442698</v>
      </c>
      <c r="BG276" s="65">
        <v>0</v>
      </c>
      <c r="BH276" s="65">
        <v>88.40584646463499</v>
      </c>
      <c r="BI276" s="65">
        <v>1446.3619659709991</v>
      </c>
      <c r="BJ276" s="65">
        <v>0</v>
      </c>
      <c r="BK276" s="65">
        <v>12.751667915526451</v>
      </c>
      <c r="BL276" s="65">
        <v>0</v>
      </c>
      <c r="BM276" s="65">
        <v>0</v>
      </c>
      <c r="BN276" s="65">
        <v>66.583287540729913</v>
      </c>
      <c r="BO276" s="65">
        <v>212.18019192</v>
      </c>
      <c r="BP276" s="260">
        <f t="shared" si="304"/>
        <v>992</v>
      </c>
      <c r="BQ276" s="65">
        <v>170.1974197896001</v>
      </c>
      <c r="BR276" s="65">
        <v>222.36844547366744</v>
      </c>
      <c r="BS276" s="65">
        <v>804.63166890138859</v>
      </c>
      <c r="BT276" s="65">
        <v>250.95786262040448</v>
      </c>
      <c r="BU276" s="65">
        <v>298.18065305348409</v>
      </c>
      <c r="BV276" s="144">
        <f t="shared" si="294"/>
        <v>1225.5472591749647</v>
      </c>
      <c r="BW276" s="144">
        <f t="shared" si="295"/>
        <v>2638.9945860491371</v>
      </c>
      <c r="BX276" s="144">
        <f t="shared" si="296"/>
        <v>550.3250961865873</v>
      </c>
      <c r="BY276" s="5"/>
      <c r="BZ276" s="66">
        <v>7254</v>
      </c>
      <c r="CA276" s="4"/>
      <c r="CB276" s="5"/>
      <c r="CC276" s="5"/>
      <c r="CD276" s="188">
        <v>1.4538432884059718E-2</v>
      </c>
      <c r="CE276" s="5"/>
      <c r="CF276" s="133">
        <f t="shared" si="232"/>
        <v>1762.6666666666667</v>
      </c>
      <c r="CG276" s="70"/>
      <c r="CH276" s="70">
        <v>2480</v>
      </c>
      <c r="CI276" s="70"/>
      <c r="CJ276" s="133">
        <f t="shared" si="237"/>
        <v>1028.67</v>
      </c>
      <c r="CK276" s="8">
        <f t="shared" si="258"/>
        <v>38055.746653435257</v>
      </c>
      <c r="CL276" s="202">
        <f t="shared" si="238"/>
        <v>1472.8669843175085</v>
      </c>
      <c r="CM276" s="202">
        <f t="shared" si="239"/>
        <v>1472.8669843175085</v>
      </c>
      <c r="CN276" s="202">
        <f t="shared" si="240"/>
        <v>1472.8669843175085</v>
      </c>
      <c r="CO276" s="9">
        <f t="shared" si="241"/>
        <v>3775.8037190869145</v>
      </c>
      <c r="CP276" s="9">
        <f t="shared" si="242"/>
        <v>3129.0992036992684</v>
      </c>
      <c r="CQ276" s="9">
        <f t="shared" si="243"/>
        <v>-466.79087810342753</v>
      </c>
      <c r="CR276" s="202">
        <f t="shared" si="244"/>
        <v>1472.8669843175085</v>
      </c>
      <c r="CS276" s="202">
        <f t="shared" si="245"/>
        <v>1472.8669843175085</v>
      </c>
      <c r="CT276" s="202">
        <f t="shared" si="246"/>
        <v>1472.8669843175085</v>
      </c>
      <c r="CU276" s="203">
        <f t="shared" si="247"/>
        <v>3.7260780198747241E-2</v>
      </c>
      <c r="CV276" s="203">
        <f t="shared" si="248"/>
        <v>3.7260780198747241E-2</v>
      </c>
      <c r="CW276" s="203">
        <f t="shared" si="249"/>
        <v>3.7260780198747241E-2</v>
      </c>
      <c r="CX276" s="19">
        <f t="shared" si="250"/>
        <v>9.0262103256089715E-2</v>
      </c>
      <c r="CY276" s="19">
        <f t="shared" si="251"/>
        <v>7.5976955566466178E-2</v>
      </c>
      <c r="CZ276" s="19">
        <f t="shared" si="252"/>
        <v>-1.2418298632540473E-2</v>
      </c>
      <c r="DA276" s="203">
        <f t="shared" si="253"/>
        <v>3.7260780198747241E-2</v>
      </c>
      <c r="DB276" s="203">
        <f t="shared" si="254"/>
        <v>3.7260780198747241E-2</v>
      </c>
      <c r="DC276" s="203">
        <f t="shared" si="255"/>
        <v>3.7260780198747241E-2</v>
      </c>
      <c r="DD276" s="65"/>
      <c r="DE276" s="66"/>
      <c r="DF276" s="66"/>
      <c r="DG276" s="66"/>
      <c r="DH276" s="66"/>
      <c r="DI276" s="66"/>
      <c r="DJ276" s="65"/>
      <c r="DK276" s="70"/>
      <c r="DL276" s="70"/>
      <c r="DM276" s="8">
        <f t="shared" si="256"/>
        <v>0</v>
      </c>
      <c r="DN276" s="8">
        <f t="shared" si="257"/>
        <v>38055.746653435257</v>
      </c>
      <c r="DO276" s="202">
        <f t="shared" si="263"/>
        <v>1472.8669843175085</v>
      </c>
      <c r="DP276" s="202">
        <f t="shared" si="264"/>
        <v>1472.8669843175085</v>
      </c>
      <c r="DQ276" s="202">
        <f t="shared" si="265"/>
        <v>1472.8669843175085</v>
      </c>
      <c r="DR276" s="9">
        <f t="shared" si="266"/>
        <v>3775.8037190869145</v>
      </c>
      <c r="DS276" s="9">
        <f t="shared" si="259"/>
        <v>3129.0992036992684</v>
      </c>
      <c r="DT276" s="9">
        <f t="shared" si="267"/>
        <v>-466.79087810342753</v>
      </c>
      <c r="DU276" s="202">
        <f t="shared" si="268"/>
        <v>1472.8669843175085</v>
      </c>
      <c r="DV276" s="202">
        <f t="shared" si="269"/>
        <v>1472.8669843175085</v>
      </c>
      <c r="DW276" s="202">
        <f t="shared" si="270"/>
        <v>1472.8669843175085</v>
      </c>
      <c r="DX276" s="203">
        <f t="shared" si="271"/>
        <v>3.7260780198747241E-2</v>
      </c>
      <c r="DY276" s="203">
        <f t="shared" si="272"/>
        <v>3.7260780198747241E-2</v>
      </c>
      <c r="DZ276" s="203">
        <f t="shared" si="273"/>
        <v>3.7260780198747241E-2</v>
      </c>
      <c r="EA276" s="19">
        <f t="shared" si="274"/>
        <v>9.0262103256089715E-2</v>
      </c>
      <c r="EB276" s="19">
        <f t="shared" si="260"/>
        <v>7.5976955566466178E-2</v>
      </c>
      <c r="EC276" s="19">
        <f t="shared" si="275"/>
        <v>-1.2418298632540473E-2</v>
      </c>
      <c r="ED276" s="203">
        <f t="shared" si="276"/>
        <v>3.7260780198747241E-2</v>
      </c>
      <c r="EE276" s="203">
        <f t="shared" si="277"/>
        <v>3.7260780198747241E-2</v>
      </c>
      <c r="EF276" s="203">
        <f t="shared" si="278"/>
        <v>3.7260780198747241E-2</v>
      </c>
      <c r="EH276" s="58">
        <f t="shared" si="288"/>
        <v>32998.388890802984</v>
      </c>
      <c r="EI276" s="68">
        <f t="shared" si="289"/>
        <v>0.80122647551651849</v>
      </c>
      <c r="EJ276" s="58">
        <f t="shared" si="290"/>
        <v>29371.388890802984</v>
      </c>
      <c r="EK276" s="68">
        <f t="shared" si="289"/>
        <v>0.71316010244857875</v>
      </c>
      <c r="EL276" s="58">
        <f t="shared" si="291"/>
        <v>6793.8197786925812</v>
      </c>
      <c r="EM276" s="58">
        <f t="shared" si="292"/>
        <v>7344.1448748791681</v>
      </c>
      <c r="EN276" s="68">
        <f t="shared" si="293"/>
        <v>0.17832153361348391</v>
      </c>
      <c r="EO276" s="139">
        <f t="shared" si="233"/>
        <v>0.28868615856523006</v>
      </c>
      <c r="EP276">
        <f>+(SUM(M276:O276)*EO276*(1-'[1]Tier 3 Data'!$A$2))</f>
        <v>1698.7410605338321</v>
      </c>
    </row>
    <row r="277" spans="1:146" x14ac:dyDescent="0.2">
      <c r="A277" s="43">
        <v>0</v>
      </c>
      <c r="B277" s="43">
        <v>0</v>
      </c>
      <c r="C277" s="43">
        <v>0</v>
      </c>
      <c r="D277" s="70">
        <v>2030</v>
      </c>
      <c r="E277" s="70">
        <v>6</v>
      </c>
      <c r="F277" s="2">
        <v>720</v>
      </c>
      <c r="G277" s="133">
        <f t="shared" ref="G277:G340" si="305">+H277</f>
        <v>40045.646835470077</v>
      </c>
      <c r="H277" s="65">
        <v>40045.646835470077</v>
      </c>
      <c r="I277" s="133">
        <f t="shared" ref="I277:I340" si="306">+H277</f>
        <v>40045.646835470077</v>
      </c>
      <c r="J277" s="133">
        <f t="shared" si="285"/>
        <v>2608.4553749999995</v>
      </c>
      <c r="K277" s="65">
        <v>2608.4553749999995</v>
      </c>
      <c r="L277" s="133">
        <f t="shared" si="286"/>
        <v>2608.4553749999995</v>
      </c>
      <c r="M277" s="65">
        <v>1630.7561929849653</v>
      </c>
      <c r="N277" s="65">
        <v>3511.538810303055</v>
      </c>
      <c r="O277" s="65">
        <v>738.51402209746755</v>
      </c>
      <c r="P277" s="200">
        <f t="shared" si="279"/>
        <v>35672.948752854434</v>
      </c>
      <c r="Q277" s="200">
        <f t="shared" si="280"/>
        <v>35672.948752854434</v>
      </c>
      <c r="R277" s="200">
        <f t="shared" si="281"/>
        <v>35672.948752854434</v>
      </c>
      <c r="S277" s="133">
        <f t="shared" ref="S277:S340" si="307">+$H277-J277-(30%*SUM($O277:$O277))</f>
        <v>37215.63725384084</v>
      </c>
      <c r="T277" s="133">
        <f t="shared" ref="T277:T340" si="308">+$H277-K277-(30%*SUM($O277:$O277))</f>
        <v>37215.63725384084</v>
      </c>
      <c r="U277" s="133">
        <f t="shared" ref="U277:U340" si="309">+$H277-L277-(30%*SUM($O277:$O277))</f>
        <v>37215.63725384084</v>
      </c>
      <c r="V277" s="200">
        <f t="shared" si="282"/>
        <v>35672.948752854434</v>
      </c>
      <c r="W277" s="200">
        <f t="shared" si="283"/>
        <v>35672.948752854434</v>
      </c>
      <c r="X277" s="200">
        <f t="shared" si="284"/>
        <v>35672.948752854434</v>
      </c>
      <c r="Y277" s="65">
        <v>7443.8837899958116</v>
      </c>
      <c r="Z277" s="65">
        <v>6959.3434612206283</v>
      </c>
      <c r="AA277" s="65">
        <v>3071.3946396445472</v>
      </c>
      <c r="AB277" s="200">
        <f t="shared" si="297"/>
        <v>42632.29221407506</v>
      </c>
      <c r="AC277" s="200">
        <f t="shared" si="298"/>
        <v>42632.29221407506</v>
      </c>
      <c r="AD277" s="200">
        <f t="shared" si="299"/>
        <v>42632.29221407506</v>
      </c>
      <c r="AE277" s="199">
        <f t="shared" si="261"/>
        <v>44659.521043836648</v>
      </c>
      <c r="AF277" s="199">
        <f t="shared" si="300"/>
        <v>44174.980715061465</v>
      </c>
      <c r="AG277" s="199">
        <f t="shared" si="262"/>
        <v>40287.031893485386</v>
      </c>
      <c r="AH277" s="199">
        <f t="shared" ref="AH277:AH340" si="310">+(MIN(AE277:AG277)+MAX(AE277:AG277))/2</f>
        <v>42473.276468661017</v>
      </c>
      <c r="AI277" s="200">
        <f t="shared" si="301"/>
        <v>42632.29221407506</v>
      </c>
      <c r="AJ277" s="200">
        <f t="shared" si="302"/>
        <v>42632.29221407506</v>
      </c>
      <c r="AK277" s="200">
        <f t="shared" si="303"/>
        <v>42632.29221407506</v>
      </c>
      <c r="AL277" s="4"/>
      <c r="AM277" s="4"/>
      <c r="AN277" s="4"/>
      <c r="AO277" s="4"/>
      <c r="AP277" s="63"/>
      <c r="AQ277" s="18"/>
      <c r="AR277" s="10">
        <v>9600</v>
      </c>
      <c r="AS277" s="18"/>
      <c r="AT277" s="62"/>
      <c r="AU277" s="133">
        <f t="shared" si="235"/>
        <v>128.934</v>
      </c>
      <c r="AV277" s="133">
        <f t="shared" si="235"/>
        <v>3110.2840000000001</v>
      </c>
      <c r="AW277" s="63"/>
      <c r="AX277" s="63"/>
      <c r="AY277" s="65">
        <v>1170.1048746057143</v>
      </c>
      <c r="AZ277" s="63"/>
      <c r="BA277" s="65">
        <v>2058.0909999999999</v>
      </c>
      <c r="BB277" s="133">
        <f t="shared" si="287"/>
        <v>1047.68</v>
      </c>
      <c r="BC277" s="65">
        <v>605.91554170888298</v>
      </c>
      <c r="BD277" s="65">
        <v>8.3809700100652513</v>
      </c>
      <c r="BE277" s="65">
        <v>0</v>
      </c>
      <c r="BF277" s="65">
        <v>179.82494093729514</v>
      </c>
      <c r="BG277" s="65">
        <v>0</v>
      </c>
      <c r="BH277" s="65">
        <v>37.888219913415</v>
      </c>
      <c r="BI277" s="65">
        <v>1537.2069643204168</v>
      </c>
      <c r="BJ277" s="65">
        <v>0</v>
      </c>
      <c r="BK277" s="65">
        <v>11.763509963764358</v>
      </c>
      <c r="BL277" s="65">
        <v>0</v>
      </c>
      <c r="BM277" s="65">
        <v>0</v>
      </c>
      <c r="BN277" s="65">
        <v>28.535694660312817</v>
      </c>
      <c r="BO277" s="65">
        <v>205.33566960000002</v>
      </c>
      <c r="BP277" s="260">
        <f t="shared" si="304"/>
        <v>960</v>
      </c>
      <c r="BQ277" s="65">
        <v>165.47592603058487</v>
      </c>
      <c r="BR277" s="65">
        <v>216.19970061281086</v>
      </c>
      <c r="BS277" s="65">
        <v>782.31029841721841</v>
      </c>
      <c r="BT277" s="65">
        <v>262.68507246002207</v>
      </c>
      <c r="BU277" s="65">
        <v>290.38373355704908</v>
      </c>
      <c r="BV277" s="144">
        <f t="shared" si="294"/>
        <v>1141.5293350894756</v>
      </c>
      <c r="BW277" s="144">
        <f t="shared" si="295"/>
        <v>2458.0771672121382</v>
      </c>
      <c r="BX277" s="144">
        <f t="shared" si="296"/>
        <v>516.95981546822725</v>
      </c>
      <c r="BY277" s="5"/>
      <c r="BZ277" s="66">
        <v>7020</v>
      </c>
      <c r="CA277" s="4"/>
      <c r="CB277" s="5"/>
      <c r="CC277" s="5"/>
      <c r="CD277" s="188">
        <v>2.1777775833862054</v>
      </c>
      <c r="CE277" s="5"/>
      <c r="CF277" s="133">
        <f t="shared" ref="CF277:CF327" si="311">+CF265</f>
        <v>680.66666666666663</v>
      </c>
      <c r="CG277" s="70"/>
      <c r="CH277" s="70">
        <v>4320</v>
      </c>
      <c r="CI277" s="70"/>
      <c r="CJ277" s="133">
        <f t="shared" si="237"/>
        <v>1047.68</v>
      </c>
      <c r="CK277" s="8">
        <f t="shared" si="258"/>
        <v>38546.410878817434</v>
      </c>
      <c r="CL277" s="202">
        <f t="shared" si="238"/>
        <v>4085.8813352576253</v>
      </c>
      <c r="CM277" s="202">
        <f t="shared" si="239"/>
        <v>4085.8813352576253</v>
      </c>
      <c r="CN277" s="202">
        <f t="shared" si="240"/>
        <v>4085.8813352576253</v>
      </c>
      <c r="CO277" s="9">
        <f t="shared" si="241"/>
        <v>6113.110165019214</v>
      </c>
      <c r="CP277" s="9">
        <f t="shared" si="242"/>
        <v>5628.5698362440307</v>
      </c>
      <c r="CQ277" s="9">
        <f t="shared" si="243"/>
        <v>1740.6210146679514</v>
      </c>
      <c r="CR277" s="202">
        <f t="shared" si="244"/>
        <v>4085.8813352576253</v>
      </c>
      <c r="CS277" s="202">
        <f t="shared" si="245"/>
        <v>4085.8813352576253</v>
      </c>
      <c r="CT277" s="202">
        <f t="shared" si="246"/>
        <v>4085.8813352576253</v>
      </c>
      <c r="CU277" s="203">
        <f t="shared" si="247"/>
        <v>9.5840057455523597E-2</v>
      </c>
      <c r="CV277" s="203">
        <f t="shared" si="248"/>
        <v>9.5840057455523597E-2</v>
      </c>
      <c r="CW277" s="203">
        <f t="shared" si="249"/>
        <v>9.5840057455523597E-2</v>
      </c>
      <c r="CX277" s="19">
        <f t="shared" si="250"/>
        <v>0.13688257334911275</v>
      </c>
      <c r="CY277" s="19">
        <f t="shared" si="251"/>
        <v>0.12741533205299102</v>
      </c>
      <c r="CZ277" s="19">
        <f t="shared" si="252"/>
        <v>4.320549151573061E-2</v>
      </c>
      <c r="DA277" s="203">
        <f t="shared" si="253"/>
        <v>9.5840057455523597E-2</v>
      </c>
      <c r="DB277" s="203">
        <f t="shared" si="254"/>
        <v>9.5840057455523597E-2</v>
      </c>
      <c r="DC277" s="203">
        <f t="shared" si="255"/>
        <v>9.5840057455523597E-2</v>
      </c>
      <c r="DD277" s="65"/>
      <c r="DE277" s="66"/>
      <c r="DF277" s="66"/>
      <c r="DG277" s="66"/>
      <c r="DH277" s="66"/>
      <c r="DI277" s="66"/>
      <c r="DJ277" s="65"/>
      <c r="DK277" s="70"/>
      <c r="DL277" s="70"/>
      <c r="DM277" s="8">
        <f t="shared" si="256"/>
        <v>0</v>
      </c>
      <c r="DN277" s="8">
        <f t="shared" si="257"/>
        <v>38546.410878817434</v>
      </c>
      <c r="DO277" s="202">
        <f t="shared" si="263"/>
        <v>4085.8813352576253</v>
      </c>
      <c r="DP277" s="202">
        <f t="shared" si="264"/>
        <v>4085.8813352576253</v>
      </c>
      <c r="DQ277" s="202">
        <f t="shared" si="265"/>
        <v>4085.8813352576253</v>
      </c>
      <c r="DR277" s="9">
        <f t="shared" si="266"/>
        <v>6113.110165019214</v>
      </c>
      <c r="DS277" s="9">
        <f t="shared" si="259"/>
        <v>5628.5698362440307</v>
      </c>
      <c r="DT277" s="9">
        <f t="shared" si="267"/>
        <v>1740.6210146679514</v>
      </c>
      <c r="DU277" s="202">
        <f t="shared" si="268"/>
        <v>4085.8813352576253</v>
      </c>
      <c r="DV277" s="202">
        <f t="shared" si="269"/>
        <v>4085.8813352576253</v>
      </c>
      <c r="DW277" s="202">
        <f t="shared" si="270"/>
        <v>4085.8813352576253</v>
      </c>
      <c r="DX277" s="203">
        <f t="shared" si="271"/>
        <v>9.5840057455523597E-2</v>
      </c>
      <c r="DY277" s="203">
        <f t="shared" si="272"/>
        <v>9.5840057455523597E-2</v>
      </c>
      <c r="DZ277" s="203">
        <f t="shared" si="273"/>
        <v>9.5840057455523597E-2</v>
      </c>
      <c r="EA277" s="19">
        <f t="shared" si="274"/>
        <v>0.13688257334911275</v>
      </c>
      <c r="EB277" s="19">
        <f t="shared" si="260"/>
        <v>0.12741533205299102</v>
      </c>
      <c r="EC277" s="19">
        <f t="shared" si="275"/>
        <v>4.320549151573061E-2</v>
      </c>
      <c r="ED277" s="203">
        <f t="shared" si="276"/>
        <v>9.5840057455523597E-2</v>
      </c>
      <c r="EE277" s="203">
        <f t="shared" si="277"/>
        <v>9.5840057455523597E-2</v>
      </c>
      <c r="EF277" s="203">
        <f t="shared" si="278"/>
        <v>9.5840057455523597E-2</v>
      </c>
      <c r="EH277" s="58">
        <f t="shared" si="288"/>
        <v>33712.878825207285</v>
      </c>
      <c r="EI277" s="68">
        <f t="shared" si="289"/>
        <v>0.76316680345969845</v>
      </c>
      <c r="EJ277" s="58">
        <f t="shared" si="290"/>
        <v>30202.878825207288</v>
      </c>
      <c r="EK277" s="68">
        <f t="shared" si="289"/>
        <v>0.683710062490409</v>
      </c>
      <c r="EL277" s="58">
        <f t="shared" si="291"/>
        <v>6610.1584684666805</v>
      </c>
      <c r="EM277" s="58">
        <f t="shared" si="292"/>
        <v>7127.1182839349076</v>
      </c>
      <c r="EN277" s="68">
        <f t="shared" si="293"/>
        <v>0.16133834511228018</v>
      </c>
      <c r="EO277" s="139">
        <f t="shared" si="233"/>
        <v>0.24029016665052916</v>
      </c>
      <c r="EP277">
        <f>+(SUM(M277:O277)*EO277*(1-'[1]Tier 3 Data'!$A$2))</f>
        <v>1318.4228418395771</v>
      </c>
    </row>
    <row r="278" spans="1:146" x14ac:dyDescent="0.2">
      <c r="A278" s="43">
        <v>0</v>
      </c>
      <c r="B278" s="43">
        <v>0</v>
      </c>
      <c r="C278" s="43">
        <v>0</v>
      </c>
      <c r="D278" s="70">
        <v>2030</v>
      </c>
      <c r="E278" s="70">
        <v>7</v>
      </c>
      <c r="F278" s="2">
        <v>744</v>
      </c>
      <c r="G278" s="133">
        <f t="shared" si="305"/>
        <v>45977.687231761091</v>
      </c>
      <c r="H278" s="65">
        <v>45977.687231761091</v>
      </c>
      <c r="I278" s="133">
        <f t="shared" si="306"/>
        <v>45977.687231761091</v>
      </c>
      <c r="J278" s="133">
        <f t="shared" si="285"/>
        <v>2648.1308124999996</v>
      </c>
      <c r="K278" s="65">
        <v>2648.1308124999996</v>
      </c>
      <c r="L278" s="133">
        <f t="shared" si="286"/>
        <v>2648.1308124999996</v>
      </c>
      <c r="M278" s="65">
        <v>1709.2251160000674</v>
      </c>
      <c r="N278" s="65">
        <v>3680.5074579497937</v>
      </c>
      <c r="O278" s="65">
        <v>780.20179815451525</v>
      </c>
      <c r="P278" s="200">
        <f t="shared" si="279"/>
        <v>41478.576107629779</v>
      </c>
      <c r="Q278" s="200">
        <f t="shared" si="280"/>
        <v>41478.576107629779</v>
      </c>
      <c r="R278" s="200">
        <f t="shared" si="281"/>
        <v>41478.576107629779</v>
      </c>
      <c r="S278" s="133">
        <f t="shared" si="307"/>
        <v>43095.495879814735</v>
      </c>
      <c r="T278" s="133">
        <f t="shared" si="308"/>
        <v>43095.495879814735</v>
      </c>
      <c r="U278" s="133">
        <f t="shared" si="309"/>
        <v>43095.495879814735</v>
      </c>
      <c r="V278" s="200">
        <f t="shared" si="282"/>
        <v>41478.576107629779</v>
      </c>
      <c r="W278" s="200">
        <f t="shared" si="283"/>
        <v>41478.576107629779</v>
      </c>
      <c r="X278" s="200">
        <f t="shared" si="284"/>
        <v>41478.576107629779</v>
      </c>
      <c r="Y278" s="65">
        <v>8336.1821057732141</v>
      </c>
      <c r="Z278" s="65">
        <v>8531.5886383005018</v>
      </c>
      <c r="AA278" s="65">
        <v>3628.1203654879946</v>
      </c>
      <c r="AB278" s="200">
        <f t="shared" si="297"/>
        <v>50010.164745930277</v>
      </c>
      <c r="AC278" s="200">
        <f t="shared" si="298"/>
        <v>50010.164745930277</v>
      </c>
      <c r="AD278" s="200">
        <f t="shared" si="299"/>
        <v>50010.164745930277</v>
      </c>
      <c r="AE278" s="199">
        <f t="shared" si="261"/>
        <v>51431.67798558795</v>
      </c>
      <c r="AF278" s="199">
        <f t="shared" si="300"/>
        <v>51627.08451811524</v>
      </c>
      <c r="AG278" s="199">
        <f t="shared" si="262"/>
        <v>46723.616245302728</v>
      </c>
      <c r="AH278" s="199">
        <f t="shared" si="310"/>
        <v>49175.35038170898</v>
      </c>
      <c r="AI278" s="200">
        <f t="shared" si="301"/>
        <v>50010.164745930277</v>
      </c>
      <c r="AJ278" s="200">
        <f t="shared" si="302"/>
        <v>50010.164745930277</v>
      </c>
      <c r="AK278" s="200">
        <f t="shared" si="303"/>
        <v>50010.164745930277</v>
      </c>
      <c r="AL278" s="4"/>
      <c r="AM278" s="4"/>
      <c r="AN278" s="4"/>
      <c r="AO278" s="4"/>
      <c r="AP278" s="63"/>
      <c r="AQ278" s="18"/>
      <c r="AR278" s="10">
        <v>9920</v>
      </c>
      <c r="AS278" s="18"/>
      <c r="AT278" s="62"/>
      <c r="AU278" s="133">
        <f t="shared" si="235"/>
        <v>118.521</v>
      </c>
      <c r="AV278" s="133">
        <f t="shared" si="235"/>
        <v>3084.53</v>
      </c>
      <c r="AW278" s="63"/>
      <c r="AX278" s="63"/>
      <c r="AY278" s="65">
        <v>1237.5528587885699</v>
      </c>
      <c r="AZ278" s="63"/>
      <c r="BA278" s="65">
        <v>1516.482</v>
      </c>
      <c r="BB278" s="133">
        <f t="shared" si="287"/>
        <v>874.91</v>
      </c>
      <c r="BC278" s="65">
        <v>586.79739986786444</v>
      </c>
      <c r="BD278" s="65">
        <v>7.5724679441334652</v>
      </c>
      <c r="BE278" s="65">
        <v>0</v>
      </c>
      <c r="BF278" s="65">
        <v>92.753392253997234</v>
      </c>
      <c r="BG278" s="65">
        <v>0</v>
      </c>
      <c r="BH278" s="65">
        <v>37.888219913415</v>
      </c>
      <c r="BI278" s="65">
        <v>1488.7042626072459</v>
      </c>
      <c r="BJ278" s="65">
        <v>0</v>
      </c>
      <c r="BK278" s="65">
        <v>9.5733821057653241</v>
      </c>
      <c r="BL278" s="65">
        <v>0</v>
      </c>
      <c r="BM278" s="65">
        <v>0</v>
      </c>
      <c r="BN278" s="65">
        <v>28.535694660312817</v>
      </c>
      <c r="BO278" s="65">
        <v>212.18019192</v>
      </c>
      <c r="BP278" s="260">
        <f t="shared" si="304"/>
        <v>992</v>
      </c>
      <c r="BQ278" s="65">
        <v>167.38827139379705</v>
      </c>
      <c r="BR278" s="65">
        <v>218.69816701488335</v>
      </c>
      <c r="BS278" s="65">
        <v>791.35090294714291</v>
      </c>
      <c r="BT278" s="65">
        <v>271.42100789995737</v>
      </c>
      <c r="BU278" s="65">
        <v>298.56263463725941</v>
      </c>
      <c r="BV278" s="144">
        <f t="shared" si="294"/>
        <v>1196.4575812000471</v>
      </c>
      <c r="BW278" s="144">
        <f t="shared" si="295"/>
        <v>2576.3552205648552</v>
      </c>
      <c r="BX278" s="144">
        <f t="shared" si="296"/>
        <v>546.14125870816065</v>
      </c>
      <c r="BY278" s="5"/>
      <c r="BZ278" s="66">
        <v>7254</v>
      </c>
      <c r="CA278" s="4"/>
      <c r="CB278" s="5"/>
      <c r="CC278" s="5"/>
      <c r="CD278" s="188">
        <v>2.1042112926473342</v>
      </c>
      <c r="CE278" s="5"/>
      <c r="CF278" s="133">
        <f t="shared" si="311"/>
        <v>971.33333333333337</v>
      </c>
      <c r="CG278" s="70"/>
      <c r="CH278" s="70">
        <v>6720</v>
      </c>
      <c r="CI278" s="70"/>
      <c r="CJ278" s="133">
        <f t="shared" si="237"/>
        <v>874.91</v>
      </c>
      <c r="CK278" s="8">
        <f t="shared" si="258"/>
        <v>41221.813459053388</v>
      </c>
      <c r="CL278" s="202">
        <f t="shared" si="238"/>
        <v>8788.3512868768885</v>
      </c>
      <c r="CM278" s="202">
        <f t="shared" si="239"/>
        <v>8788.3512868768885</v>
      </c>
      <c r="CN278" s="202">
        <f t="shared" si="240"/>
        <v>8788.3512868768885</v>
      </c>
      <c r="CO278" s="9">
        <f t="shared" si="241"/>
        <v>10209.864526534562</v>
      </c>
      <c r="CP278" s="9">
        <f t="shared" si="242"/>
        <v>10405.271059061852</v>
      </c>
      <c r="CQ278" s="9">
        <f t="shared" si="243"/>
        <v>5501.80278624934</v>
      </c>
      <c r="CR278" s="202">
        <f t="shared" si="244"/>
        <v>8788.3512868768885</v>
      </c>
      <c r="CS278" s="202">
        <f t="shared" si="245"/>
        <v>8788.3512868768885</v>
      </c>
      <c r="CT278" s="202">
        <f t="shared" si="246"/>
        <v>8788.3512868768885</v>
      </c>
      <c r="CU278" s="203">
        <f t="shared" si="247"/>
        <v>0.17573130045711491</v>
      </c>
      <c r="CV278" s="203">
        <f t="shared" si="248"/>
        <v>0.17573130045711491</v>
      </c>
      <c r="CW278" s="203">
        <f t="shared" si="249"/>
        <v>0.17573130045711491</v>
      </c>
      <c r="CX278" s="19">
        <f t="shared" si="250"/>
        <v>0.19851315232988401</v>
      </c>
      <c r="CY278" s="19">
        <f t="shared" si="251"/>
        <v>0.20154674927287022</v>
      </c>
      <c r="CZ278" s="19">
        <f t="shared" si="252"/>
        <v>0.11775207546788405</v>
      </c>
      <c r="DA278" s="203">
        <f t="shared" si="253"/>
        <v>0.17573130045711491</v>
      </c>
      <c r="DB278" s="203">
        <f t="shared" si="254"/>
        <v>0.17573130045711491</v>
      </c>
      <c r="DC278" s="203">
        <f t="shared" si="255"/>
        <v>0.17573130045711491</v>
      </c>
      <c r="DD278" s="65"/>
      <c r="DE278" s="66"/>
      <c r="DF278" s="66"/>
      <c r="DG278" s="66"/>
      <c r="DH278" s="66"/>
      <c r="DI278" s="66"/>
      <c r="DJ278" s="65"/>
      <c r="DK278" s="70"/>
      <c r="DL278" s="70"/>
      <c r="DM278" s="8">
        <f t="shared" si="256"/>
        <v>0</v>
      </c>
      <c r="DN278" s="8">
        <f t="shared" si="257"/>
        <v>41221.813459053388</v>
      </c>
      <c r="DO278" s="202">
        <f t="shared" si="263"/>
        <v>8788.3512868768885</v>
      </c>
      <c r="DP278" s="202">
        <f t="shared" si="264"/>
        <v>8788.3512868768885</v>
      </c>
      <c r="DQ278" s="202">
        <f t="shared" si="265"/>
        <v>8788.3512868768885</v>
      </c>
      <c r="DR278" s="9">
        <f t="shared" si="266"/>
        <v>10209.864526534562</v>
      </c>
      <c r="DS278" s="9">
        <f t="shared" si="259"/>
        <v>10405.271059061852</v>
      </c>
      <c r="DT278" s="9">
        <f t="shared" si="267"/>
        <v>5501.80278624934</v>
      </c>
      <c r="DU278" s="202">
        <f t="shared" si="268"/>
        <v>8788.3512868768885</v>
      </c>
      <c r="DV278" s="202">
        <f t="shared" si="269"/>
        <v>8788.3512868768885</v>
      </c>
      <c r="DW278" s="202">
        <f t="shared" si="270"/>
        <v>8788.3512868768885</v>
      </c>
      <c r="DX278" s="203">
        <f t="shared" si="271"/>
        <v>0.17573130045711491</v>
      </c>
      <c r="DY278" s="203">
        <f t="shared" si="272"/>
        <v>0.17573130045711491</v>
      </c>
      <c r="DZ278" s="203">
        <f t="shared" si="273"/>
        <v>0.17573130045711491</v>
      </c>
      <c r="EA278" s="19">
        <f t="shared" si="274"/>
        <v>0.19851315232988401</v>
      </c>
      <c r="EB278" s="19">
        <f t="shared" si="260"/>
        <v>0.20154674927287022</v>
      </c>
      <c r="EC278" s="19">
        <f t="shared" si="275"/>
        <v>0.11775207546788405</v>
      </c>
      <c r="ED278" s="203">
        <f t="shared" si="276"/>
        <v>0.17573130045711491</v>
      </c>
      <c r="EE278" s="203">
        <f t="shared" si="277"/>
        <v>0.17573130045711491</v>
      </c>
      <c r="EF278" s="203">
        <f t="shared" si="278"/>
        <v>0.17573130045711491</v>
      </c>
      <c r="EH278" s="58">
        <f t="shared" si="288"/>
        <v>36303.498274306694</v>
      </c>
      <c r="EI278" s="68">
        <f t="shared" si="289"/>
        <v>0.70318706960042054</v>
      </c>
      <c r="EJ278" s="58">
        <f t="shared" si="290"/>
        <v>32676.498274306694</v>
      </c>
      <c r="EK278" s="68">
        <f t="shared" si="289"/>
        <v>0.63293324771885884</v>
      </c>
      <c r="EL278" s="58">
        <f t="shared" si="291"/>
        <v>6695.027823476632</v>
      </c>
      <c r="EM278" s="58">
        <f t="shared" si="292"/>
        <v>7241.1690821847924</v>
      </c>
      <c r="EN278" s="68">
        <f t="shared" si="293"/>
        <v>0.14025911301739236</v>
      </c>
      <c r="EO278" s="139">
        <f t="shared" si="233"/>
        <v>0.25197746931178833</v>
      </c>
      <c r="EP278">
        <f>+(SUM(M278:O278)*EO278*(1-'[1]Tier 3 Data'!$A$2))</f>
        <v>1450.5205908261992</v>
      </c>
    </row>
    <row r="279" spans="1:146" x14ac:dyDescent="0.2">
      <c r="A279" s="43">
        <v>0</v>
      </c>
      <c r="B279" s="43">
        <v>0</v>
      </c>
      <c r="C279" s="43">
        <v>0</v>
      </c>
      <c r="D279" s="70">
        <v>2030</v>
      </c>
      <c r="E279" s="70">
        <v>8</v>
      </c>
      <c r="F279" s="2">
        <v>744</v>
      </c>
      <c r="G279" s="133">
        <f t="shared" si="305"/>
        <v>43911.894103089333</v>
      </c>
      <c r="H279" s="65">
        <v>43911.894103089333</v>
      </c>
      <c r="I279" s="133">
        <f t="shared" si="306"/>
        <v>43911.894103089333</v>
      </c>
      <c r="J279" s="133">
        <f t="shared" si="285"/>
        <v>2687.8062499999996</v>
      </c>
      <c r="K279" s="65">
        <v>2687.8062499999996</v>
      </c>
      <c r="L279" s="133">
        <f t="shared" si="286"/>
        <v>2687.8062499999996</v>
      </c>
      <c r="M279" s="65">
        <v>1523.4196774399222</v>
      </c>
      <c r="N279" s="65">
        <v>3280.4090180505418</v>
      </c>
      <c r="O279" s="65">
        <v>724.50488459141764</v>
      </c>
      <c r="P279" s="200">
        <f t="shared" si="279"/>
        <v>39565.587779064765</v>
      </c>
      <c r="Q279" s="200">
        <f t="shared" si="280"/>
        <v>39565.587779064765</v>
      </c>
      <c r="R279" s="200">
        <f t="shared" si="281"/>
        <v>39565.587779064765</v>
      </c>
      <c r="S279" s="133">
        <f t="shared" si="307"/>
        <v>41006.736387711906</v>
      </c>
      <c r="T279" s="133">
        <f t="shared" si="308"/>
        <v>41006.736387711906</v>
      </c>
      <c r="U279" s="133">
        <f t="shared" si="309"/>
        <v>41006.736387711906</v>
      </c>
      <c r="V279" s="200">
        <f t="shared" si="282"/>
        <v>39565.587779064765</v>
      </c>
      <c r="W279" s="200">
        <f t="shared" si="283"/>
        <v>39565.587779064765</v>
      </c>
      <c r="X279" s="200">
        <f t="shared" si="284"/>
        <v>39565.587779064765</v>
      </c>
      <c r="Y279" s="65">
        <v>8042.5267491736604</v>
      </c>
      <c r="Z279" s="65">
        <v>7832.4862286728712</v>
      </c>
      <c r="AA279" s="65">
        <v>3427.7468713793346</v>
      </c>
      <c r="AB279" s="200">
        <f t="shared" si="297"/>
        <v>47398.074007737639</v>
      </c>
      <c r="AC279" s="200">
        <f t="shared" si="298"/>
        <v>47398.074007737639</v>
      </c>
      <c r="AD279" s="200">
        <f t="shared" si="299"/>
        <v>47398.074007737639</v>
      </c>
      <c r="AE279" s="199">
        <f t="shared" si="261"/>
        <v>49049.263136885565</v>
      </c>
      <c r="AF279" s="199">
        <f t="shared" si="300"/>
        <v>48839.222616384781</v>
      </c>
      <c r="AG279" s="199">
        <f t="shared" si="262"/>
        <v>44434.483259091241</v>
      </c>
      <c r="AH279" s="199">
        <f t="shared" si="310"/>
        <v>46741.873197988403</v>
      </c>
      <c r="AI279" s="200">
        <f t="shared" si="301"/>
        <v>47398.074007737639</v>
      </c>
      <c r="AJ279" s="200">
        <f t="shared" si="302"/>
        <v>47398.074007737639</v>
      </c>
      <c r="AK279" s="200">
        <f t="shared" si="303"/>
        <v>47398.074007737639</v>
      </c>
      <c r="AL279" s="4"/>
      <c r="AM279" s="4"/>
      <c r="AN279" s="4"/>
      <c r="AO279" s="4"/>
      <c r="AP279" s="63"/>
      <c r="AQ279" s="18"/>
      <c r="AR279" s="10">
        <v>9920</v>
      </c>
      <c r="AS279" s="18"/>
      <c r="AT279" s="18"/>
      <c r="AU279" s="133">
        <f t="shared" si="235"/>
        <v>107.64</v>
      </c>
      <c r="AV279" s="133">
        <f t="shared" si="235"/>
        <v>3021.9279999999999</v>
      </c>
      <c r="AW279" s="63"/>
      <c r="AX279" s="63"/>
      <c r="AY279" s="65">
        <v>1159.3158527085716</v>
      </c>
      <c r="AZ279" s="63"/>
      <c r="BA279" s="65">
        <v>1498.2090000000001</v>
      </c>
      <c r="BB279" s="133">
        <f t="shared" si="287"/>
        <v>875.755</v>
      </c>
      <c r="BC279" s="65">
        <v>569.06141954142743</v>
      </c>
      <c r="BD279" s="65">
        <v>7.9692213995478474</v>
      </c>
      <c r="BE279" s="65">
        <v>0</v>
      </c>
      <c r="BF279" s="65">
        <v>84.505526358185193</v>
      </c>
      <c r="BG279" s="65">
        <v>0</v>
      </c>
      <c r="BH279" s="65">
        <v>31.573516594512498</v>
      </c>
      <c r="BI279" s="65">
        <v>1443.7081029115327</v>
      </c>
      <c r="BJ279" s="65">
        <v>0</v>
      </c>
      <c r="BK279" s="65">
        <v>11.152893841525399</v>
      </c>
      <c r="BL279" s="65">
        <v>0</v>
      </c>
      <c r="BM279" s="65">
        <v>0</v>
      </c>
      <c r="BN279" s="65">
        <v>23.779745550260685</v>
      </c>
      <c r="BO279" s="65">
        <v>212.18019192</v>
      </c>
      <c r="BP279" s="260">
        <f t="shared" si="304"/>
        <v>992</v>
      </c>
      <c r="BQ279" s="65">
        <v>158.86448502523399</v>
      </c>
      <c r="BR279" s="65">
        <v>207.5616303064449</v>
      </c>
      <c r="BS279" s="65">
        <v>751.05377488251054</v>
      </c>
      <c r="BT279" s="65">
        <v>257.6062012492792</v>
      </c>
      <c r="BU279" s="65">
        <v>277.80717661933801</v>
      </c>
      <c r="BV279" s="144">
        <f t="shared" si="294"/>
        <v>1066.3937742079454</v>
      </c>
      <c r="BW279" s="144">
        <f t="shared" si="295"/>
        <v>2296.2863126353791</v>
      </c>
      <c r="BX279" s="144">
        <f t="shared" si="296"/>
        <v>507.15341921399232</v>
      </c>
      <c r="BY279" s="5"/>
      <c r="BZ279" s="66">
        <v>7254</v>
      </c>
      <c r="CA279" s="4"/>
      <c r="CB279" s="5"/>
      <c r="CC279" s="5"/>
      <c r="CD279" s="188">
        <v>16.868963591035975</v>
      </c>
      <c r="CE279" s="5"/>
      <c r="CF279" s="133">
        <f t="shared" si="311"/>
        <v>598.33333333333337</v>
      </c>
      <c r="CG279" s="70"/>
      <c r="CH279" s="70">
        <v>7296</v>
      </c>
      <c r="CI279" s="70"/>
      <c r="CJ279" s="133">
        <f t="shared" si="237"/>
        <v>875.755</v>
      </c>
      <c r="CK279" s="8">
        <f t="shared" si="258"/>
        <v>40646.707541890064</v>
      </c>
      <c r="CL279" s="202">
        <f t="shared" si="238"/>
        <v>6751.3664658475755</v>
      </c>
      <c r="CM279" s="202">
        <f t="shared" si="239"/>
        <v>6751.3664658475755</v>
      </c>
      <c r="CN279" s="202">
        <f t="shared" si="240"/>
        <v>6751.3664658475755</v>
      </c>
      <c r="CO279" s="9">
        <f t="shared" si="241"/>
        <v>8402.5555949955015</v>
      </c>
      <c r="CP279" s="9">
        <f t="shared" si="242"/>
        <v>8192.5150744947168</v>
      </c>
      <c r="CQ279" s="9">
        <f t="shared" si="243"/>
        <v>3787.775717201177</v>
      </c>
      <c r="CR279" s="202">
        <f t="shared" si="244"/>
        <v>6751.3664658475755</v>
      </c>
      <c r="CS279" s="202">
        <f t="shared" si="245"/>
        <v>6751.3664658475755</v>
      </c>
      <c r="CT279" s="202">
        <f t="shared" si="246"/>
        <v>6751.3664658475755</v>
      </c>
      <c r="CU279" s="203">
        <f t="shared" si="247"/>
        <v>0.1424396794001678</v>
      </c>
      <c r="CV279" s="203">
        <f t="shared" si="248"/>
        <v>0.1424396794001678</v>
      </c>
      <c r="CW279" s="203">
        <f t="shared" si="249"/>
        <v>0.1424396794001678</v>
      </c>
      <c r="CX279" s="19">
        <f t="shared" si="250"/>
        <v>0.17130849797979311</v>
      </c>
      <c r="CY279" s="19">
        <f t="shared" si="251"/>
        <v>0.16774458387358235</v>
      </c>
      <c r="CZ279" s="19">
        <f t="shared" si="252"/>
        <v>8.5244059104168893E-2</v>
      </c>
      <c r="DA279" s="203">
        <f t="shared" si="253"/>
        <v>0.1424396794001678</v>
      </c>
      <c r="DB279" s="203">
        <f t="shared" si="254"/>
        <v>0.1424396794001678</v>
      </c>
      <c r="DC279" s="203">
        <f t="shared" si="255"/>
        <v>0.1424396794001678</v>
      </c>
      <c r="DD279" s="65"/>
      <c r="DE279" s="66"/>
      <c r="DF279" s="66"/>
      <c r="DG279" s="66"/>
      <c r="DH279" s="66"/>
      <c r="DI279" s="66"/>
      <c r="DJ279" s="65"/>
      <c r="DK279" s="70"/>
      <c r="DL279" s="70"/>
      <c r="DM279" s="8">
        <f t="shared" si="256"/>
        <v>0</v>
      </c>
      <c r="DN279" s="8">
        <f t="shared" si="257"/>
        <v>40646.707541890064</v>
      </c>
      <c r="DO279" s="202">
        <f t="shared" si="263"/>
        <v>6751.3664658475755</v>
      </c>
      <c r="DP279" s="202">
        <f t="shared" si="264"/>
        <v>6751.3664658475755</v>
      </c>
      <c r="DQ279" s="202">
        <f t="shared" si="265"/>
        <v>6751.3664658475755</v>
      </c>
      <c r="DR279" s="9">
        <f t="shared" si="266"/>
        <v>8402.5555949955015</v>
      </c>
      <c r="DS279" s="9">
        <f t="shared" si="259"/>
        <v>8192.5150744947168</v>
      </c>
      <c r="DT279" s="9">
        <f t="shared" si="267"/>
        <v>3787.775717201177</v>
      </c>
      <c r="DU279" s="202">
        <f t="shared" si="268"/>
        <v>6751.3664658475755</v>
      </c>
      <c r="DV279" s="202">
        <f t="shared" si="269"/>
        <v>6751.3664658475755</v>
      </c>
      <c r="DW279" s="202">
        <f t="shared" si="270"/>
        <v>6751.3664658475755</v>
      </c>
      <c r="DX279" s="203">
        <f t="shared" si="271"/>
        <v>0.1424396794001678</v>
      </c>
      <c r="DY279" s="203">
        <f t="shared" si="272"/>
        <v>0.1424396794001678</v>
      </c>
      <c r="DZ279" s="203">
        <f t="shared" si="273"/>
        <v>0.1424396794001678</v>
      </c>
      <c r="EA279" s="19">
        <f t="shared" si="274"/>
        <v>0.17130849797979311</v>
      </c>
      <c r="EB279" s="19">
        <f t="shared" si="260"/>
        <v>0.16774458387358235</v>
      </c>
      <c r="EC279" s="19">
        <f t="shared" si="275"/>
        <v>8.5244059104168893E-2</v>
      </c>
      <c r="ED279" s="203">
        <f t="shared" si="276"/>
        <v>0.1424396794001678</v>
      </c>
      <c r="EE279" s="203">
        <f t="shared" si="277"/>
        <v>0.1424396794001678</v>
      </c>
      <c r="EF279" s="203">
        <f t="shared" si="278"/>
        <v>0.1424396794001678</v>
      </c>
      <c r="EH279" s="58">
        <f t="shared" si="288"/>
        <v>35851.93927773289</v>
      </c>
      <c r="EI279" s="68">
        <f t="shared" si="289"/>
        <v>0.73408087510600828</v>
      </c>
      <c r="EJ279" s="58">
        <f t="shared" si="290"/>
        <v>32224.939277732894</v>
      </c>
      <c r="EK279" s="68">
        <f t="shared" si="289"/>
        <v>0.65981679378577862</v>
      </c>
      <c r="EL279" s="58">
        <f t="shared" si="291"/>
        <v>6248.6046724769922</v>
      </c>
      <c r="EM279" s="58">
        <f t="shared" si="292"/>
        <v>6755.7580916909847</v>
      </c>
      <c r="EN279" s="68">
        <f t="shared" si="293"/>
        <v>0.13832648698680425</v>
      </c>
      <c r="EO279" s="139">
        <f t="shared" si="233"/>
        <v>0.28519905910129462</v>
      </c>
      <c r="EP279">
        <f>+(SUM(M279:O279)*EO279*(1-'[1]Tier 3 Data'!$A$2))</f>
        <v>1471.0382745631357</v>
      </c>
    </row>
    <row r="280" spans="1:146" x14ac:dyDescent="0.2">
      <c r="A280" s="43">
        <v>0</v>
      </c>
      <c r="B280" s="43">
        <v>0</v>
      </c>
      <c r="C280" s="43">
        <v>0</v>
      </c>
      <c r="D280" s="70">
        <v>2030</v>
      </c>
      <c r="E280" s="70">
        <v>9</v>
      </c>
      <c r="F280" s="2">
        <v>720</v>
      </c>
      <c r="G280" s="133">
        <f t="shared" si="305"/>
        <v>38146.346611550871</v>
      </c>
      <c r="H280" s="65">
        <v>38146.346611550871</v>
      </c>
      <c r="I280" s="133">
        <f t="shared" si="306"/>
        <v>38146.346611550871</v>
      </c>
      <c r="J280" s="133">
        <f t="shared" si="285"/>
        <v>2727.4816874999997</v>
      </c>
      <c r="K280" s="65">
        <v>2727.4816874999997</v>
      </c>
      <c r="L280" s="133">
        <f t="shared" si="286"/>
        <v>2727.4816874999997</v>
      </c>
      <c r="M280" s="65">
        <v>1305.6369062084025</v>
      </c>
      <c r="N280" s="65">
        <v>2811.4531700307239</v>
      </c>
      <c r="O280" s="65">
        <v>625.5925463168229</v>
      </c>
      <c r="P280" s="200">
        <f t="shared" si="279"/>
        <v>33996.060137284083</v>
      </c>
      <c r="Q280" s="200">
        <f t="shared" si="280"/>
        <v>33996.060137284083</v>
      </c>
      <c r="R280" s="200">
        <f t="shared" si="281"/>
        <v>33996.060137284083</v>
      </c>
      <c r="S280" s="133">
        <f t="shared" si="307"/>
        <v>35231.187160155823</v>
      </c>
      <c r="T280" s="133">
        <f t="shared" si="308"/>
        <v>35231.187160155823</v>
      </c>
      <c r="U280" s="133">
        <f t="shared" si="309"/>
        <v>35231.187160155823</v>
      </c>
      <c r="V280" s="200">
        <f t="shared" si="282"/>
        <v>33996.060137284083</v>
      </c>
      <c r="W280" s="200">
        <f t="shared" si="283"/>
        <v>33996.060137284083</v>
      </c>
      <c r="X280" s="200">
        <f t="shared" si="284"/>
        <v>33996.060137284083</v>
      </c>
      <c r="Y280" s="65">
        <v>7661.3892232198123</v>
      </c>
      <c r="Z280" s="65">
        <v>7119.8679814296711</v>
      </c>
      <c r="AA280" s="65">
        <v>3111.9034334182875</v>
      </c>
      <c r="AB280" s="200">
        <f t="shared" si="297"/>
        <v>41115.928118713753</v>
      </c>
      <c r="AC280" s="200">
        <f t="shared" si="298"/>
        <v>41115.928118713753</v>
      </c>
      <c r="AD280" s="200">
        <f t="shared" si="299"/>
        <v>41115.928118713753</v>
      </c>
      <c r="AE280" s="199">
        <f t="shared" si="261"/>
        <v>42892.576383375635</v>
      </c>
      <c r="AF280" s="199">
        <f t="shared" si="300"/>
        <v>42351.055141585493</v>
      </c>
      <c r="AG280" s="199">
        <f t="shared" si="262"/>
        <v>38343.09059357411</v>
      </c>
      <c r="AH280" s="199">
        <f t="shared" si="310"/>
        <v>40617.833488474877</v>
      </c>
      <c r="AI280" s="200">
        <f t="shared" si="301"/>
        <v>41115.928118713753</v>
      </c>
      <c r="AJ280" s="200">
        <f t="shared" si="302"/>
        <v>41115.928118713753</v>
      </c>
      <c r="AK280" s="200">
        <f t="shared" si="303"/>
        <v>41115.928118713753</v>
      </c>
      <c r="AL280" s="4"/>
      <c r="AM280" s="4"/>
      <c r="AN280" s="4"/>
      <c r="AO280" s="4"/>
      <c r="AP280" s="63"/>
      <c r="AQ280" s="18"/>
      <c r="AR280" s="10">
        <v>9600</v>
      </c>
      <c r="AS280" s="18"/>
      <c r="AT280" s="18"/>
      <c r="AU280" s="133">
        <f t="shared" si="235"/>
        <v>102.375</v>
      </c>
      <c r="AV280" s="133">
        <f t="shared" si="235"/>
        <v>2969.6280000000002</v>
      </c>
      <c r="AW280" s="63"/>
      <c r="AX280" s="63"/>
      <c r="AY280" s="65">
        <v>1065.150988617143</v>
      </c>
      <c r="AZ280" s="63"/>
      <c r="BA280" s="65">
        <v>2037.9549999999999</v>
      </c>
      <c r="BB280" s="133">
        <f t="shared" si="287"/>
        <v>1324.9169999999999</v>
      </c>
      <c r="BC280" s="65">
        <v>529.48077460711397</v>
      </c>
      <c r="BD280" s="65">
        <v>10.55810604601432</v>
      </c>
      <c r="BE280" s="65">
        <v>0</v>
      </c>
      <c r="BF280" s="65">
        <v>75.82401706479375</v>
      </c>
      <c r="BG280" s="65">
        <v>0</v>
      </c>
      <c r="BH280" s="65">
        <v>6.3147033189024988</v>
      </c>
      <c r="BI280" s="65">
        <v>1343.2920566854839</v>
      </c>
      <c r="BJ280" s="65">
        <v>0</v>
      </c>
      <c r="BK280" s="65">
        <v>13.355863258351745</v>
      </c>
      <c r="BL280" s="65">
        <v>0</v>
      </c>
      <c r="BM280" s="65">
        <v>0</v>
      </c>
      <c r="BN280" s="65">
        <v>4.7559491100521365</v>
      </c>
      <c r="BO280" s="65">
        <v>205.33566960000002</v>
      </c>
      <c r="BP280" s="260">
        <f t="shared" si="304"/>
        <v>960</v>
      </c>
      <c r="BQ280" s="65">
        <v>126.84050659392904</v>
      </c>
      <c r="BR280" s="65">
        <v>165.7213030841034</v>
      </c>
      <c r="BS280" s="65">
        <v>599.65616189293019</v>
      </c>
      <c r="BT280" s="65">
        <v>221.87762478548066</v>
      </c>
      <c r="BU280" s="65">
        <v>228.10176022081288</v>
      </c>
      <c r="BV280" s="144">
        <f t="shared" si="294"/>
        <v>913.94583434588162</v>
      </c>
      <c r="BW280" s="144">
        <f t="shared" si="295"/>
        <v>1968.0172190215067</v>
      </c>
      <c r="BX280" s="144">
        <f t="shared" si="296"/>
        <v>437.91478242177601</v>
      </c>
      <c r="BY280" s="5"/>
      <c r="BZ280" s="66">
        <v>7020</v>
      </c>
      <c r="CA280" s="4"/>
      <c r="CB280" s="5"/>
      <c r="CC280" s="5"/>
      <c r="CD280" s="188">
        <v>2.2241810746462862</v>
      </c>
      <c r="CE280" s="5"/>
      <c r="CF280" s="133">
        <f t="shared" si="311"/>
        <v>655.33333333333337</v>
      </c>
      <c r="CG280" s="70"/>
      <c r="CH280" s="70">
        <v>4800</v>
      </c>
      <c r="CI280" s="70"/>
      <c r="CJ280" s="133">
        <f t="shared" si="237"/>
        <v>1324.9169999999999</v>
      </c>
      <c r="CK280" s="8">
        <f t="shared" si="258"/>
        <v>37388.575835082258</v>
      </c>
      <c r="CL280" s="202">
        <f t="shared" si="238"/>
        <v>3727.3522836314951</v>
      </c>
      <c r="CM280" s="202">
        <f t="shared" si="239"/>
        <v>3727.3522836314951</v>
      </c>
      <c r="CN280" s="202">
        <f t="shared" si="240"/>
        <v>3727.3522836314951</v>
      </c>
      <c r="CO280" s="9">
        <f t="shared" si="241"/>
        <v>5504.0005482933775</v>
      </c>
      <c r="CP280" s="9">
        <f t="shared" si="242"/>
        <v>4962.4793065032354</v>
      </c>
      <c r="CQ280" s="9">
        <f t="shared" si="243"/>
        <v>954.51475849185226</v>
      </c>
      <c r="CR280" s="202">
        <f t="shared" si="244"/>
        <v>3727.3522836314951</v>
      </c>
      <c r="CS280" s="202">
        <f t="shared" si="245"/>
        <v>3727.3522836314951</v>
      </c>
      <c r="CT280" s="202">
        <f t="shared" si="246"/>
        <v>3727.3522836314951</v>
      </c>
      <c r="CU280" s="203">
        <f t="shared" si="247"/>
        <v>9.065470376515726E-2</v>
      </c>
      <c r="CV280" s="203">
        <f t="shared" si="248"/>
        <v>9.065470376515726E-2</v>
      </c>
      <c r="CW280" s="203">
        <f t="shared" si="249"/>
        <v>9.065470376515726E-2</v>
      </c>
      <c r="CX280" s="19">
        <f t="shared" si="250"/>
        <v>0.1283205862734472</v>
      </c>
      <c r="CY280" s="19">
        <f t="shared" si="251"/>
        <v>0.11717486825093197</v>
      </c>
      <c r="CZ280" s="19">
        <f t="shared" si="252"/>
        <v>2.4894048542133396E-2</v>
      </c>
      <c r="DA280" s="203">
        <f t="shared" si="253"/>
        <v>9.065470376515726E-2</v>
      </c>
      <c r="DB280" s="203">
        <f t="shared" si="254"/>
        <v>9.065470376515726E-2</v>
      </c>
      <c r="DC280" s="203">
        <f t="shared" si="255"/>
        <v>9.065470376515726E-2</v>
      </c>
      <c r="DD280" s="65"/>
      <c r="DE280" s="66"/>
      <c r="DF280" s="66"/>
      <c r="DG280" s="66"/>
      <c r="DH280" s="66"/>
      <c r="DI280" s="66"/>
      <c r="DJ280" s="65"/>
      <c r="DK280" s="70"/>
      <c r="DL280" s="70"/>
      <c r="DM280" s="8">
        <f t="shared" si="256"/>
        <v>0</v>
      </c>
      <c r="DN280" s="8">
        <f t="shared" si="257"/>
        <v>37388.575835082258</v>
      </c>
      <c r="DO280" s="202">
        <f t="shared" si="263"/>
        <v>3727.3522836314951</v>
      </c>
      <c r="DP280" s="202">
        <f t="shared" si="264"/>
        <v>3727.3522836314951</v>
      </c>
      <c r="DQ280" s="202">
        <f t="shared" si="265"/>
        <v>3727.3522836314951</v>
      </c>
      <c r="DR280" s="9">
        <f t="shared" si="266"/>
        <v>5504.0005482933775</v>
      </c>
      <c r="DS280" s="9">
        <f t="shared" si="259"/>
        <v>4962.4793065032354</v>
      </c>
      <c r="DT280" s="9">
        <f t="shared" si="267"/>
        <v>954.51475849185226</v>
      </c>
      <c r="DU280" s="202">
        <f t="shared" si="268"/>
        <v>3727.3522836314951</v>
      </c>
      <c r="DV280" s="202">
        <f t="shared" si="269"/>
        <v>3727.3522836314951</v>
      </c>
      <c r="DW280" s="202">
        <f t="shared" si="270"/>
        <v>3727.3522836314951</v>
      </c>
      <c r="DX280" s="203">
        <f t="shared" si="271"/>
        <v>9.065470376515726E-2</v>
      </c>
      <c r="DY280" s="203">
        <f t="shared" si="272"/>
        <v>9.065470376515726E-2</v>
      </c>
      <c r="DZ280" s="203">
        <f t="shared" si="273"/>
        <v>9.065470376515726E-2</v>
      </c>
      <c r="EA280" s="19">
        <f t="shared" si="274"/>
        <v>0.1283205862734472</v>
      </c>
      <c r="EB280" s="19">
        <f t="shared" si="260"/>
        <v>0.11717486825093197</v>
      </c>
      <c r="EC280" s="19">
        <f t="shared" si="275"/>
        <v>2.4894048542133396E-2</v>
      </c>
      <c r="ED280" s="203">
        <f t="shared" si="276"/>
        <v>9.065470376515726E-2</v>
      </c>
      <c r="EE280" s="203">
        <f t="shared" si="277"/>
        <v>9.065470376515726E-2</v>
      </c>
      <c r="EF280" s="203">
        <f t="shared" si="278"/>
        <v>9.065470376515726E-2</v>
      </c>
      <c r="EH280" s="58">
        <f t="shared" si="288"/>
        <v>32886.581802596935</v>
      </c>
      <c r="EI280" s="68">
        <f t="shared" si="289"/>
        <v>0.77652331666005714</v>
      </c>
      <c r="EJ280" s="58">
        <f t="shared" si="290"/>
        <v>29376.581802596931</v>
      </c>
      <c r="EK280" s="68">
        <f t="shared" si="289"/>
        <v>0.6936446259576512</v>
      </c>
      <c r="EL280" s="58">
        <f t="shared" si="291"/>
        <v>5423.3076982246821</v>
      </c>
      <c r="EM280" s="58">
        <f t="shared" si="292"/>
        <v>5861.2224806464583</v>
      </c>
      <c r="EN280" s="68">
        <f t="shared" si="293"/>
        <v>0.13839613820840055</v>
      </c>
      <c r="EO280" s="139">
        <f t="shared" si="233"/>
        <v>0.31860645638858931</v>
      </c>
      <c r="EP280">
        <f>+(SUM(M280:O280)*EO280*(1-'[1]Tier 3 Data'!$A$2))</f>
        <v>1409.809000770357</v>
      </c>
    </row>
    <row r="281" spans="1:146" x14ac:dyDescent="0.2">
      <c r="A281" s="43">
        <v>0</v>
      </c>
      <c r="B281" s="43">
        <v>0</v>
      </c>
      <c r="C281" s="43">
        <v>0</v>
      </c>
      <c r="D281" s="70">
        <v>2030</v>
      </c>
      <c r="E281" s="70">
        <v>10</v>
      </c>
      <c r="F281" s="2">
        <v>744</v>
      </c>
      <c r="G281" s="133">
        <f t="shared" si="305"/>
        <v>40092.467186958798</v>
      </c>
      <c r="H281" s="65">
        <v>40092.467186958798</v>
      </c>
      <c r="I281" s="133">
        <f t="shared" si="306"/>
        <v>40092.467186958798</v>
      </c>
      <c r="J281" s="133">
        <f t="shared" si="285"/>
        <v>2767.1571249999997</v>
      </c>
      <c r="K281" s="65">
        <v>2767.1571249999997</v>
      </c>
      <c r="L281" s="133">
        <f t="shared" si="286"/>
        <v>2767.1571249999997</v>
      </c>
      <c r="M281" s="65">
        <v>957.87478015852639</v>
      </c>
      <c r="N281" s="65">
        <v>2062.6102665784465</v>
      </c>
      <c r="O281" s="65">
        <v>462.39737252376398</v>
      </c>
      <c r="P281" s="200">
        <f t="shared" si="279"/>
        <v>36280.445336180579</v>
      </c>
      <c r="Q281" s="200">
        <f t="shared" si="280"/>
        <v>36280.445336180579</v>
      </c>
      <c r="R281" s="200">
        <f t="shared" si="281"/>
        <v>36280.445336180579</v>
      </c>
      <c r="S281" s="133">
        <f t="shared" si="307"/>
        <v>37186.590850201668</v>
      </c>
      <c r="T281" s="133">
        <f t="shared" si="308"/>
        <v>37186.590850201668</v>
      </c>
      <c r="U281" s="133">
        <f t="shared" si="309"/>
        <v>37186.590850201668</v>
      </c>
      <c r="V281" s="200">
        <f t="shared" si="282"/>
        <v>36280.445336180579</v>
      </c>
      <c r="W281" s="200">
        <f t="shared" si="283"/>
        <v>36280.445336180579</v>
      </c>
      <c r="X281" s="200">
        <f t="shared" si="284"/>
        <v>36280.445336180579</v>
      </c>
      <c r="Y281" s="65">
        <v>8544.5988521504951</v>
      </c>
      <c r="Z281" s="65">
        <v>8645.6881236853405</v>
      </c>
      <c r="AA281" s="65">
        <v>3670.1660292499378</v>
      </c>
      <c r="AB281" s="200">
        <f t="shared" si="297"/>
        <v>44926.133459865916</v>
      </c>
      <c r="AC281" s="200">
        <f t="shared" si="298"/>
        <v>44926.133459865916</v>
      </c>
      <c r="AD281" s="200">
        <f t="shared" si="299"/>
        <v>44926.133459865916</v>
      </c>
      <c r="AE281" s="199">
        <f t="shared" si="261"/>
        <v>45731.18970235216</v>
      </c>
      <c r="AF281" s="199">
        <f t="shared" si="300"/>
        <v>45832.278973887005</v>
      </c>
      <c r="AG281" s="199">
        <f t="shared" si="262"/>
        <v>40856.756879451605</v>
      </c>
      <c r="AH281" s="199">
        <f t="shared" si="310"/>
        <v>43344.517926669301</v>
      </c>
      <c r="AI281" s="200">
        <f t="shared" si="301"/>
        <v>44926.133459865916</v>
      </c>
      <c r="AJ281" s="200">
        <f t="shared" si="302"/>
        <v>44926.133459865916</v>
      </c>
      <c r="AK281" s="200">
        <f t="shared" si="303"/>
        <v>44926.133459865916</v>
      </c>
      <c r="AL281" s="4"/>
      <c r="AM281" s="4"/>
      <c r="AN281" s="4"/>
      <c r="AO281" s="4"/>
      <c r="AP281" s="63"/>
      <c r="AQ281" s="18"/>
      <c r="AR281" s="10">
        <v>9920</v>
      </c>
      <c r="AS281" s="18"/>
      <c r="AT281" s="18"/>
      <c r="AU281" s="133">
        <f t="shared" si="235"/>
        <v>118.17</v>
      </c>
      <c r="AV281" s="133">
        <f t="shared" si="235"/>
        <v>3225.1860000000001</v>
      </c>
      <c r="AW281" s="63"/>
      <c r="AX281" s="63"/>
      <c r="AY281" s="65">
        <v>1031.6699594133333</v>
      </c>
      <c r="AZ281" s="63"/>
      <c r="BA281" s="65">
        <v>1760</v>
      </c>
      <c r="BB281" s="133">
        <f t="shared" si="287"/>
        <v>1586.51</v>
      </c>
      <c r="BC281" s="65">
        <v>387.84712854806463</v>
      </c>
      <c r="BD281" s="65">
        <v>15.523669194184084</v>
      </c>
      <c r="BE281" s="65">
        <v>0</v>
      </c>
      <c r="BF281" s="65">
        <v>83.291834922138534</v>
      </c>
      <c r="BG281" s="65">
        <v>0</v>
      </c>
      <c r="BH281" s="65">
        <v>44.202923232317495</v>
      </c>
      <c r="BI281" s="65">
        <v>983.96767545238163</v>
      </c>
      <c r="BJ281" s="65">
        <v>0</v>
      </c>
      <c r="BK281" s="65">
        <v>16.565610887239799</v>
      </c>
      <c r="BL281" s="65">
        <v>0</v>
      </c>
      <c r="BM281" s="65">
        <v>0</v>
      </c>
      <c r="BN281" s="65">
        <v>33.291643770364956</v>
      </c>
      <c r="BO281" s="65">
        <v>212.18019192</v>
      </c>
      <c r="BP281" s="260">
        <f t="shared" si="304"/>
        <v>992</v>
      </c>
      <c r="BQ281" s="65">
        <v>100.07729684349819</v>
      </c>
      <c r="BR281" s="65">
        <v>130.75425378437845</v>
      </c>
      <c r="BS281" s="65">
        <v>473.1292376189196</v>
      </c>
      <c r="BT281" s="65">
        <v>156.17784151130016</v>
      </c>
      <c r="BU281" s="65">
        <v>155.72060512441874</v>
      </c>
      <c r="BV281" s="144">
        <f t="shared" si="294"/>
        <v>670.51234611096845</v>
      </c>
      <c r="BW281" s="144">
        <f t="shared" si="295"/>
        <v>1443.8271866049124</v>
      </c>
      <c r="BX281" s="144">
        <f t="shared" si="296"/>
        <v>323.67816076663479</v>
      </c>
      <c r="BY281" s="5"/>
      <c r="BZ281" s="66">
        <v>0</v>
      </c>
      <c r="CA281" s="4"/>
      <c r="CB281" s="5"/>
      <c r="CC281" s="5"/>
      <c r="CD281" s="188">
        <v>0</v>
      </c>
      <c r="CE281" s="5"/>
      <c r="CF281" s="133">
        <f t="shared" si="311"/>
        <v>865.33333333333337</v>
      </c>
      <c r="CG281" s="70"/>
      <c r="CH281" s="70">
        <v>2848</v>
      </c>
      <c r="CI281" s="70"/>
      <c r="CJ281" s="133">
        <f t="shared" si="237"/>
        <v>1586.51</v>
      </c>
      <c r="CK281" s="8">
        <f t="shared" si="258"/>
        <v>27577.616899038389</v>
      </c>
      <c r="CL281" s="202">
        <f t="shared" si="238"/>
        <v>17348.516560827527</v>
      </c>
      <c r="CM281" s="202">
        <f t="shared" si="239"/>
        <v>17348.516560827527</v>
      </c>
      <c r="CN281" s="202">
        <f t="shared" si="240"/>
        <v>17348.516560827527</v>
      </c>
      <c r="CO281" s="9">
        <f t="shared" si="241"/>
        <v>18153.572803313771</v>
      </c>
      <c r="CP281" s="9">
        <f t="shared" si="242"/>
        <v>18254.662074848617</v>
      </c>
      <c r="CQ281" s="9">
        <f t="shared" si="243"/>
        <v>13279.139980413216</v>
      </c>
      <c r="CR281" s="202">
        <f t="shared" si="244"/>
        <v>17348.516560827527</v>
      </c>
      <c r="CS281" s="202">
        <f t="shared" si="245"/>
        <v>17348.516560827527</v>
      </c>
      <c r="CT281" s="202">
        <f t="shared" si="246"/>
        <v>17348.516560827527</v>
      </c>
      <c r="CU281" s="203">
        <f t="shared" si="247"/>
        <v>0.38615645782928465</v>
      </c>
      <c r="CV281" s="203">
        <f t="shared" si="248"/>
        <v>0.38615645782928465</v>
      </c>
      <c r="CW281" s="203">
        <f t="shared" si="249"/>
        <v>0.38615645782928465</v>
      </c>
      <c r="CX281" s="19">
        <f t="shared" si="250"/>
        <v>0.39696261832392371</v>
      </c>
      <c r="CY281" s="19">
        <f t="shared" si="251"/>
        <v>0.39829269858584232</v>
      </c>
      <c r="CZ281" s="19">
        <f t="shared" si="252"/>
        <v>0.32501698604207602</v>
      </c>
      <c r="DA281" s="203">
        <f t="shared" si="253"/>
        <v>0.38615645782928465</v>
      </c>
      <c r="DB281" s="203">
        <f t="shared" si="254"/>
        <v>0.38615645782928465</v>
      </c>
      <c r="DC281" s="203">
        <f t="shared" si="255"/>
        <v>0.38615645782928465</v>
      </c>
      <c r="DD281" s="65"/>
      <c r="DE281" s="66"/>
      <c r="DF281" s="66"/>
      <c r="DG281" s="66"/>
      <c r="DH281" s="66"/>
      <c r="DI281" s="66"/>
      <c r="DJ281" s="65"/>
      <c r="DK281" s="70"/>
      <c r="DL281" s="70"/>
      <c r="DM281" s="8">
        <f t="shared" si="256"/>
        <v>0</v>
      </c>
      <c r="DN281" s="8">
        <f t="shared" si="257"/>
        <v>27577.616899038389</v>
      </c>
      <c r="DO281" s="202">
        <f t="shared" si="263"/>
        <v>17348.516560827527</v>
      </c>
      <c r="DP281" s="202">
        <f t="shared" si="264"/>
        <v>17348.516560827527</v>
      </c>
      <c r="DQ281" s="202">
        <f t="shared" si="265"/>
        <v>17348.516560827527</v>
      </c>
      <c r="DR281" s="9">
        <f t="shared" si="266"/>
        <v>18153.572803313771</v>
      </c>
      <c r="DS281" s="9">
        <f t="shared" si="259"/>
        <v>18254.662074848617</v>
      </c>
      <c r="DT281" s="9">
        <f t="shared" si="267"/>
        <v>13279.139980413216</v>
      </c>
      <c r="DU281" s="202">
        <f t="shared" si="268"/>
        <v>17348.516560827527</v>
      </c>
      <c r="DV281" s="202">
        <f t="shared" si="269"/>
        <v>17348.516560827527</v>
      </c>
      <c r="DW281" s="202">
        <f t="shared" si="270"/>
        <v>17348.516560827527</v>
      </c>
      <c r="DX281" s="203">
        <f t="shared" si="271"/>
        <v>0.38615645782928465</v>
      </c>
      <c r="DY281" s="203">
        <f t="shared" si="272"/>
        <v>0.38615645782928465</v>
      </c>
      <c r="DZ281" s="203">
        <f t="shared" si="273"/>
        <v>0.38615645782928465</v>
      </c>
      <c r="EA281" s="19">
        <f t="shared" si="274"/>
        <v>0.39696261832392371</v>
      </c>
      <c r="EB281" s="19">
        <f t="shared" si="260"/>
        <v>0.39829269858584232</v>
      </c>
      <c r="EC281" s="19">
        <f t="shared" si="275"/>
        <v>0.32501698604207602</v>
      </c>
      <c r="ED281" s="203">
        <f t="shared" si="276"/>
        <v>0.38615645782928465</v>
      </c>
      <c r="EE281" s="203">
        <f t="shared" si="277"/>
        <v>0.38615645782928465</v>
      </c>
      <c r="EF281" s="203">
        <f t="shared" si="278"/>
        <v>0.38615645782928465</v>
      </c>
      <c r="EH281" s="58">
        <f t="shared" si="288"/>
        <v>26823.81271800528</v>
      </c>
      <c r="EI281" s="68">
        <f t="shared" si="289"/>
        <v>0.58526028638654815</v>
      </c>
      <c r="EJ281" s="58">
        <f t="shared" si="290"/>
        <v>26823.81271800528</v>
      </c>
      <c r="EK281" s="68">
        <f t="shared" si="289"/>
        <v>0.58526028638654815</v>
      </c>
      <c r="EL281" s="58">
        <f t="shared" si="291"/>
        <v>4153.2652644919808</v>
      </c>
      <c r="EM281" s="58">
        <f t="shared" si="292"/>
        <v>4476.9434252586152</v>
      </c>
      <c r="EN281" s="68">
        <f t="shared" si="293"/>
        <v>9.7681012716154897E-2</v>
      </c>
      <c r="EO281" s="139">
        <f t="shared" ref="EO281:EO344" si="312">+EO269</f>
        <v>0.35739486552628164</v>
      </c>
      <c r="EP281">
        <f>+(SUM(M281:O281)*EO281*(1-'[1]Tier 3 Data'!$A$2))</f>
        <v>1161.3650861858803</v>
      </c>
    </row>
    <row r="282" spans="1:146" x14ac:dyDescent="0.2">
      <c r="A282" s="43">
        <v>0</v>
      </c>
      <c r="B282" s="43">
        <v>0</v>
      </c>
      <c r="C282" s="43">
        <v>0</v>
      </c>
      <c r="D282" s="70">
        <v>2030</v>
      </c>
      <c r="E282" s="70">
        <v>11</v>
      </c>
      <c r="F282" s="2">
        <v>721</v>
      </c>
      <c r="G282" s="133">
        <f t="shared" si="305"/>
        <v>42430.664400419017</v>
      </c>
      <c r="H282" s="65">
        <v>42430.664400419017</v>
      </c>
      <c r="I282" s="133">
        <f t="shared" si="306"/>
        <v>42430.664400419017</v>
      </c>
      <c r="J282" s="133">
        <f t="shared" si="285"/>
        <v>2806.8325624999998</v>
      </c>
      <c r="K282" s="65">
        <v>2806.8325624999998</v>
      </c>
      <c r="L282" s="133">
        <f t="shared" si="286"/>
        <v>2806.8325624999998</v>
      </c>
      <c r="M282" s="65">
        <v>391.15101618171565</v>
      </c>
      <c r="N282" s="65">
        <v>842.27303867993726</v>
      </c>
      <c r="O282" s="65">
        <v>190.6021845259709</v>
      </c>
      <c r="P282" s="200">
        <f t="shared" si="279"/>
        <v>39196.623966102728</v>
      </c>
      <c r="Q282" s="200">
        <f t="shared" si="280"/>
        <v>39196.623966102728</v>
      </c>
      <c r="R282" s="200">
        <f t="shared" si="281"/>
        <v>39196.623966102728</v>
      </c>
      <c r="S282" s="133">
        <f t="shared" si="307"/>
        <v>39566.651182561225</v>
      </c>
      <c r="T282" s="133">
        <f t="shared" si="308"/>
        <v>39566.651182561225</v>
      </c>
      <c r="U282" s="133">
        <f t="shared" si="309"/>
        <v>39566.651182561225</v>
      </c>
      <c r="V282" s="200">
        <f t="shared" si="282"/>
        <v>39196.623966102728</v>
      </c>
      <c r="W282" s="200">
        <f t="shared" si="283"/>
        <v>39196.623966102728</v>
      </c>
      <c r="X282" s="200">
        <f t="shared" si="284"/>
        <v>39196.623966102728</v>
      </c>
      <c r="Y282" s="65">
        <v>12115.827381802457</v>
      </c>
      <c r="Z282" s="65">
        <v>14071.819243656859</v>
      </c>
      <c r="AA282" s="65">
        <v>5688.7576568347649</v>
      </c>
      <c r="AB282" s="200">
        <f t="shared" si="297"/>
        <v>53268.443209759585</v>
      </c>
      <c r="AC282" s="200">
        <f t="shared" si="298"/>
        <v>53268.443209759585</v>
      </c>
      <c r="AD282" s="200">
        <f t="shared" si="299"/>
        <v>53268.443209759585</v>
      </c>
      <c r="AE282" s="199">
        <f t="shared" si="261"/>
        <v>51682.478564363686</v>
      </c>
      <c r="AF282" s="199">
        <f t="shared" si="300"/>
        <v>53638.470426218082</v>
      </c>
      <c r="AG282" s="199">
        <f t="shared" si="262"/>
        <v>45255.40883939599</v>
      </c>
      <c r="AH282" s="199">
        <f t="shared" si="310"/>
        <v>49446.939632807036</v>
      </c>
      <c r="AI282" s="200">
        <f t="shared" si="301"/>
        <v>53268.443209759585</v>
      </c>
      <c r="AJ282" s="200">
        <f t="shared" si="302"/>
        <v>53268.443209759585</v>
      </c>
      <c r="AK282" s="200">
        <f t="shared" si="303"/>
        <v>53268.443209759585</v>
      </c>
      <c r="AL282" s="4"/>
      <c r="AM282" s="4"/>
      <c r="AN282" s="4"/>
      <c r="AO282" s="4"/>
      <c r="AP282" s="63"/>
      <c r="AQ282" s="18"/>
      <c r="AR282" s="18"/>
      <c r="AS282" s="66">
        <v>3285.6</v>
      </c>
      <c r="AT282" s="18"/>
      <c r="AU282" s="133">
        <f t="shared" si="235"/>
        <v>104.364</v>
      </c>
      <c r="AV282" s="133">
        <f t="shared" si="235"/>
        <v>3268.3739999999998</v>
      </c>
      <c r="AW282" s="63"/>
      <c r="AX282" s="63"/>
      <c r="AY282" s="65">
        <v>1051.7654038000001</v>
      </c>
      <c r="AZ282" s="63"/>
      <c r="BA282" s="65">
        <v>2363</v>
      </c>
      <c r="BB282" s="133">
        <f t="shared" si="287"/>
        <v>2045.05</v>
      </c>
      <c r="BC282" s="65">
        <v>283.87477427119757</v>
      </c>
      <c r="BD282" s="65">
        <v>14.399660735694527</v>
      </c>
      <c r="BE282" s="65">
        <v>0</v>
      </c>
      <c r="BF282" s="65">
        <v>87.057635450987149</v>
      </c>
      <c r="BG282" s="65">
        <v>0</v>
      </c>
      <c r="BH282" s="65">
        <v>82.091143145732502</v>
      </c>
      <c r="BI282" s="65">
        <v>720.18994392164086</v>
      </c>
      <c r="BJ282" s="65">
        <v>0</v>
      </c>
      <c r="BK282" s="65">
        <v>19.844702933795372</v>
      </c>
      <c r="BL282" s="65">
        <v>0</v>
      </c>
      <c r="BM282" s="65">
        <v>0</v>
      </c>
      <c r="BN282" s="65">
        <v>61.827338430677763</v>
      </c>
      <c r="BO282" s="65">
        <v>205.33566960000002</v>
      </c>
      <c r="BP282" s="260">
        <f t="shared" si="304"/>
        <v>960</v>
      </c>
      <c r="BQ282" s="65">
        <v>61.685672857434163</v>
      </c>
      <c r="BR282" s="65">
        <v>80.594343167226597</v>
      </c>
      <c r="BS282" s="65">
        <v>291.62753089106258</v>
      </c>
      <c r="BT282" s="65">
        <v>107.72248206947906</v>
      </c>
      <c r="BU282" s="65">
        <v>119.80640957358415</v>
      </c>
      <c r="BV282" s="144">
        <f t="shared" si="294"/>
        <v>273.80571132720092</v>
      </c>
      <c r="BW282" s="144">
        <f t="shared" si="295"/>
        <v>589.59112707595602</v>
      </c>
      <c r="BX282" s="144">
        <f t="shared" si="296"/>
        <v>133.42152916817963</v>
      </c>
      <c r="BY282" s="5"/>
      <c r="BZ282" s="66">
        <v>7029.75</v>
      </c>
      <c r="CA282" s="4"/>
      <c r="CB282" s="5"/>
      <c r="CC282" s="5"/>
      <c r="CD282" s="188">
        <v>3.0642236760841479</v>
      </c>
      <c r="CE282" s="5"/>
      <c r="CF282" s="133">
        <f t="shared" si="311"/>
        <v>1161.3333333333333</v>
      </c>
      <c r="CG282" s="70"/>
      <c r="CH282" s="70">
        <v>4010</v>
      </c>
      <c r="CI282" s="70"/>
      <c r="CJ282" s="133">
        <f t="shared" si="237"/>
        <v>2045.05</v>
      </c>
      <c r="CK282" s="8">
        <f t="shared" si="258"/>
        <v>28415.176635429259</v>
      </c>
      <c r="CL282" s="202">
        <f t="shared" si="238"/>
        <v>24853.266574330326</v>
      </c>
      <c r="CM282" s="202">
        <f t="shared" si="239"/>
        <v>24853.266574330326</v>
      </c>
      <c r="CN282" s="202">
        <f t="shared" si="240"/>
        <v>24853.266574330326</v>
      </c>
      <c r="CO282" s="9">
        <f t="shared" si="241"/>
        <v>23267.301928934427</v>
      </c>
      <c r="CP282" s="9">
        <f t="shared" si="242"/>
        <v>25223.293790788823</v>
      </c>
      <c r="CQ282" s="9">
        <f t="shared" si="243"/>
        <v>16840.232203966731</v>
      </c>
      <c r="CR282" s="202">
        <f t="shared" si="244"/>
        <v>24853.266574330326</v>
      </c>
      <c r="CS282" s="202">
        <f t="shared" si="245"/>
        <v>24853.266574330326</v>
      </c>
      <c r="CT282" s="202">
        <f t="shared" si="246"/>
        <v>24853.266574330326</v>
      </c>
      <c r="CU282" s="203">
        <f t="shared" si="247"/>
        <v>0.46656641487462941</v>
      </c>
      <c r="CV282" s="203">
        <f t="shared" si="248"/>
        <v>0.46656641487462941</v>
      </c>
      <c r="CW282" s="203">
        <f t="shared" si="249"/>
        <v>0.46656641487462941</v>
      </c>
      <c r="CX282" s="19">
        <f t="shared" si="250"/>
        <v>0.4501970991959699</v>
      </c>
      <c r="CY282" s="19">
        <f t="shared" si="251"/>
        <v>0.47024632862125515</v>
      </c>
      <c r="CZ282" s="19">
        <f t="shared" si="252"/>
        <v>0.37211534788537537</v>
      </c>
      <c r="DA282" s="203">
        <f t="shared" si="253"/>
        <v>0.46656641487462941</v>
      </c>
      <c r="DB282" s="203">
        <f t="shared" si="254"/>
        <v>0.46656641487462941</v>
      </c>
      <c r="DC282" s="203">
        <f t="shared" si="255"/>
        <v>0.46656641487462941</v>
      </c>
      <c r="DD282" s="65"/>
      <c r="DE282" s="66"/>
      <c r="DF282" s="66"/>
      <c r="DG282" s="66"/>
      <c r="DH282" s="66"/>
      <c r="DI282" s="66"/>
      <c r="DJ282" s="65"/>
      <c r="DK282" s="70"/>
      <c r="DL282" s="70"/>
      <c r="DM282" s="8">
        <f t="shared" si="256"/>
        <v>0</v>
      </c>
      <c r="DN282" s="8">
        <f t="shared" si="257"/>
        <v>28415.176635429259</v>
      </c>
      <c r="DO282" s="202">
        <f t="shared" si="263"/>
        <v>24853.266574330326</v>
      </c>
      <c r="DP282" s="202">
        <f t="shared" si="264"/>
        <v>24853.266574330326</v>
      </c>
      <c r="DQ282" s="202">
        <f t="shared" si="265"/>
        <v>24853.266574330326</v>
      </c>
      <c r="DR282" s="9">
        <f t="shared" si="266"/>
        <v>23267.301928934427</v>
      </c>
      <c r="DS282" s="9">
        <f t="shared" si="259"/>
        <v>25223.293790788823</v>
      </c>
      <c r="DT282" s="9">
        <f t="shared" si="267"/>
        <v>16840.232203966731</v>
      </c>
      <c r="DU282" s="202">
        <f t="shared" si="268"/>
        <v>24853.266574330326</v>
      </c>
      <c r="DV282" s="202">
        <f t="shared" si="269"/>
        <v>24853.266574330326</v>
      </c>
      <c r="DW282" s="202">
        <f t="shared" si="270"/>
        <v>24853.266574330326</v>
      </c>
      <c r="DX282" s="203">
        <f t="shared" si="271"/>
        <v>0.46656641487462941</v>
      </c>
      <c r="DY282" s="203">
        <f t="shared" si="272"/>
        <v>0.46656641487462941</v>
      </c>
      <c r="DZ282" s="203">
        <f t="shared" si="273"/>
        <v>0.46656641487462941</v>
      </c>
      <c r="EA282" s="19">
        <f t="shared" si="274"/>
        <v>0.4501970991959699</v>
      </c>
      <c r="EB282" s="19">
        <f t="shared" si="260"/>
        <v>0.47024632862125515</v>
      </c>
      <c r="EC282" s="19">
        <f t="shared" si="275"/>
        <v>0.37211534788537537</v>
      </c>
      <c r="ED282" s="203">
        <f t="shared" si="276"/>
        <v>0.46656641487462941</v>
      </c>
      <c r="EE282" s="203">
        <f t="shared" si="277"/>
        <v>0.46656641487462941</v>
      </c>
      <c r="EF282" s="203">
        <f t="shared" si="278"/>
        <v>0.46656641487462941</v>
      </c>
      <c r="EH282" s="58">
        <f t="shared" si="288"/>
        <v>24536.374064974989</v>
      </c>
      <c r="EI282" s="68">
        <f t="shared" si="289"/>
        <v>0.4574398537095829</v>
      </c>
      <c r="EJ282" s="58">
        <f t="shared" si="290"/>
        <v>21021.499064974989</v>
      </c>
      <c r="EK282" s="68">
        <f t="shared" si="289"/>
        <v>0.3919108598350306</v>
      </c>
      <c r="EL282" s="58">
        <f t="shared" si="291"/>
        <v>2638.5907986734819</v>
      </c>
      <c r="EM282" s="58">
        <f t="shared" si="292"/>
        <v>2772.0123278416613</v>
      </c>
      <c r="EN282" s="68">
        <f t="shared" si="293"/>
        <v>5.1679555845177916E-2</v>
      </c>
      <c r="EO282" s="139">
        <f t="shared" si="312"/>
        <v>0.4050825009776523</v>
      </c>
      <c r="EP282">
        <f>+(SUM(M282:O282)*EO282*(1-'[1]Tier 3 Data'!$A$2))</f>
        <v>538.19928710484066</v>
      </c>
    </row>
    <row r="283" spans="1:146" x14ac:dyDescent="0.2">
      <c r="A283" s="43">
        <v>0</v>
      </c>
      <c r="B283" s="43">
        <v>0</v>
      </c>
      <c r="C283" s="43">
        <v>0</v>
      </c>
      <c r="D283" s="70">
        <v>2030</v>
      </c>
      <c r="E283" s="70">
        <v>12</v>
      </c>
      <c r="F283" s="2">
        <v>744</v>
      </c>
      <c r="G283" s="133">
        <f t="shared" si="305"/>
        <v>48163.471480143664</v>
      </c>
      <c r="H283" s="65">
        <v>48163.471480143664</v>
      </c>
      <c r="I283" s="133">
        <f t="shared" si="306"/>
        <v>48163.471480143664</v>
      </c>
      <c r="J283" s="133">
        <f t="shared" si="285"/>
        <v>2846.5079999999998</v>
      </c>
      <c r="K283" s="65">
        <v>2846.5079999999998</v>
      </c>
      <c r="L283" s="133">
        <f t="shared" si="286"/>
        <v>2846.5079999999998</v>
      </c>
      <c r="M283" s="65">
        <v>248.30627982623952</v>
      </c>
      <c r="N283" s="65">
        <v>534.68270867382159</v>
      </c>
      <c r="O283" s="65">
        <v>121.7158040204358</v>
      </c>
      <c r="P283" s="200">
        <f t="shared" si="279"/>
        <v>45045.552042387513</v>
      </c>
      <c r="Q283" s="200">
        <f t="shared" si="280"/>
        <v>45045.552042387513</v>
      </c>
      <c r="R283" s="200">
        <f t="shared" si="281"/>
        <v>45045.552042387513</v>
      </c>
      <c r="S283" s="133">
        <f t="shared" si="307"/>
        <v>45280.448738937528</v>
      </c>
      <c r="T283" s="133">
        <f t="shared" si="308"/>
        <v>45280.448738937528</v>
      </c>
      <c r="U283" s="133">
        <f t="shared" si="309"/>
        <v>45280.448738937528</v>
      </c>
      <c r="V283" s="200">
        <f t="shared" si="282"/>
        <v>45045.552042387513</v>
      </c>
      <c r="W283" s="200">
        <f t="shared" si="283"/>
        <v>45045.552042387513</v>
      </c>
      <c r="X283" s="200">
        <f t="shared" si="284"/>
        <v>45045.552042387513</v>
      </c>
      <c r="Y283" s="65">
        <v>13266.607910605057</v>
      </c>
      <c r="Z283" s="65">
        <v>14939.940159379405</v>
      </c>
      <c r="AA283" s="65">
        <v>6126.7452105342072</v>
      </c>
      <c r="AB283" s="200">
        <f t="shared" si="297"/>
        <v>59985.492201766916</v>
      </c>
      <c r="AC283" s="200">
        <f t="shared" si="298"/>
        <v>59985.492201766916</v>
      </c>
      <c r="AD283" s="200">
        <f t="shared" si="299"/>
        <v>59985.492201766916</v>
      </c>
      <c r="AE283" s="199">
        <f t="shared" si="261"/>
        <v>58547.056649542588</v>
      </c>
      <c r="AF283" s="199">
        <f t="shared" si="300"/>
        <v>60220.388898316931</v>
      </c>
      <c r="AG283" s="199">
        <f t="shared" si="262"/>
        <v>51407.193949471737</v>
      </c>
      <c r="AH283" s="199">
        <f t="shared" si="310"/>
        <v>55813.791423894334</v>
      </c>
      <c r="AI283" s="200">
        <f t="shared" si="301"/>
        <v>59985.492201766916</v>
      </c>
      <c r="AJ283" s="200">
        <f t="shared" si="302"/>
        <v>59985.492201766916</v>
      </c>
      <c r="AK283" s="200">
        <f t="shared" si="303"/>
        <v>59985.492201766916</v>
      </c>
      <c r="AL283" s="4"/>
      <c r="AM283" s="4"/>
      <c r="AN283" s="4"/>
      <c r="AO283" s="4"/>
      <c r="AP283" s="63"/>
      <c r="AQ283" s="18"/>
      <c r="AR283" s="18"/>
      <c r="AS283" s="66">
        <v>3395.12</v>
      </c>
      <c r="AT283" s="18"/>
      <c r="AU283" s="133">
        <f t="shared" si="235"/>
        <v>105.066</v>
      </c>
      <c r="AV283" s="133">
        <f t="shared" si="235"/>
        <v>3218.8470000000002</v>
      </c>
      <c r="AW283" s="63"/>
      <c r="AX283" s="63"/>
      <c r="AY283" s="65">
        <v>1226.60803108</v>
      </c>
      <c r="AZ283" s="63"/>
      <c r="BA283" s="65">
        <v>2225.2240000000002</v>
      </c>
      <c r="BB283" s="133">
        <f t="shared" si="287"/>
        <v>1798.1949999999999</v>
      </c>
      <c r="BC283" s="65">
        <v>133.02629953839877</v>
      </c>
      <c r="BD283" s="65">
        <v>14.892990970660508</v>
      </c>
      <c r="BE283" s="65">
        <v>0</v>
      </c>
      <c r="BF283" s="65">
        <v>52.372154542281741</v>
      </c>
      <c r="BG283" s="65">
        <v>0</v>
      </c>
      <c r="BH283" s="65">
        <v>50.51762655121999</v>
      </c>
      <c r="BI283" s="65">
        <v>337.48755397736403</v>
      </c>
      <c r="BJ283" s="65">
        <v>0</v>
      </c>
      <c r="BK283" s="65">
        <v>20.28324216774827</v>
      </c>
      <c r="BL283" s="65">
        <v>0</v>
      </c>
      <c r="BM283" s="65">
        <v>0</v>
      </c>
      <c r="BN283" s="65">
        <v>38.047592880417092</v>
      </c>
      <c r="BO283" s="65">
        <v>212.18019192</v>
      </c>
      <c r="BP283" s="260">
        <f t="shared" si="304"/>
        <v>992</v>
      </c>
      <c r="BQ283" s="65">
        <v>56.20446571647598</v>
      </c>
      <c r="BR283" s="65">
        <v>73.065774867153394</v>
      </c>
      <c r="BS283" s="65">
        <v>265.71426704770863</v>
      </c>
      <c r="BT283" s="65">
        <v>99.18025995133074</v>
      </c>
      <c r="BU283" s="65">
        <v>105.44081098573476</v>
      </c>
      <c r="BV283" s="144">
        <f t="shared" si="294"/>
        <v>173.81439587836766</v>
      </c>
      <c r="BW283" s="144">
        <f t="shared" si="295"/>
        <v>374.27789607167512</v>
      </c>
      <c r="BX283" s="144">
        <f t="shared" si="296"/>
        <v>85.201062814305047</v>
      </c>
      <c r="BY283" s="5"/>
      <c r="BZ283" s="66">
        <v>7254</v>
      </c>
      <c r="CA283" s="4"/>
      <c r="CB283" s="5"/>
      <c r="CC283" s="5"/>
      <c r="CD283" s="188">
        <v>4.9023166732340453</v>
      </c>
      <c r="CE283" s="5"/>
      <c r="CF283" s="133">
        <f t="shared" si="311"/>
        <v>1762.3333333333333</v>
      </c>
      <c r="CG283" s="70"/>
      <c r="CH283" s="70">
        <v>7440</v>
      </c>
      <c r="CI283" s="70"/>
      <c r="CJ283" s="133">
        <f t="shared" si="237"/>
        <v>1798.1949999999999</v>
      </c>
      <c r="CK283" s="8">
        <f t="shared" si="258"/>
        <v>31514.002266967404</v>
      </c>
      <c r="CL283" s="202">
        <f t="shared" si="238"/>
        <v>28471.489934799512</v>
      </c>
      <c r="CM283" s="202">
        <f t="shared" si="239"/>
        <v>28471.489934799512</v>
      </c>
      <c r="CN283" s="202">
        <f t="shared" si="240"/>
        <v>28471.489934799512</v>
      </c>
      <c r="CO283" s="9">
        <f t="shared" si="241"/>
        <v>27033.054382575185</v>
      </c>
      <c r="CP283" s="9">
        <f t="shared" si="242"/>
        <v>28706.386631349527</v>
      </c>
      <c r="CQ283" s="9">
        <f t="shared" si="243"/>
        <v>19893.191682504334</v>
      </c>
      <c r="CR283" s="202">
        <f t="shared" si="244"/>
        <v>28471.489934799512</v>
      </c>
      <c r="CS283" s="202">
        <f t="shared" si="245"/>
        <v>28471.489934799512</v>
      </c>
      <c r="CT283" s="202">
        <f t="shared" si="246"/>
        <v>28471.489934799512</v>
      </c>
      <c r="CU283" s="203">
        <f t="shared" si="247"/>
        <v>0.47463959850546772</v>
      </c>
      <c r="CV283" s="203">
        <f t="shared" si="248"/>
        <v>0.47463959850546772</v>
      </c>
      <c r="CW283" s="203">
        <f t="shared" si="249"/>
        <v>0.47463959850546772</v>
      </c>
      <c r="CX283" s="19">
        <f t="shared" si="250"/>
        <v>0.46173208235543955</v>
      </c>
      <c r="CY283" s="19">
        <f t="shared" si="251"/>
        <v>0.47668882842687565</v>
      </c>
      <c r="CZ283" s="19">
        <f t="shared" si="252"/>
        <v>0.38697291476475848</v>
      </c>
      <c r="DA283" s="203">
        <f t="shared" si="253"/>
        <v>0.47463959850546772</v>
      </c>
      <c r="DB283" s="203">
        <f t="shared" si="254"/>
        <v>0.47463959850546772</v>
      </c>
      <c r="DC283" s="203">
        <f t="shared" si="255"/>
        <v>0.47463959850546772</v>
      </c>
      <c r="DD283" s="65"/>
      <c r="DE283" s="66"/>
      <c r="DF283" s="66"/>
      <c r="DG283" s="66"/>
      <c r="DH283" s="66"/>
      <c r="DI283" s="66"/>
      <c r="DJ283" s="65"/>
      <c r="DK283" s="70"/>
      <c r="DL283" s="70"/>
      <c r="DM283" s="8">
        <f t="shared" si="256"/>
        <v>0</v>
      </c>
      <c r="DN283" s="8">
        <f t="shared" si="257"/>
        <v>31514.002266967404</v>
      </c>
      <c r="DO283" s="202">
        <f t="shared" si="263"/>
        <v>28471.489934799512</v>
      </c>
      <c r="DP283" s="202">
        <f t="shared" si="264"/>
        <v>28471.489934799512</v>
      </c>
      <c r="DQ283" s="202">
        <f t="shared" si="265"/>
        <v>28471.489934799512</v>
      </c>
      <c r="DR283" s="9">
        <f t="shared" si="266"/>
        <v>27033.054382575185</v>
      </c>
      <c r="DS283" s="9">
        <f t="shared" si="259"/>
        <v>28706.386631349527</v>
      </c>
      <c r="DT283" s="9">
        <f t="shared" si="267"/>
        <v>19893.191682504334</v>
      </c>
      <c r="DU283" s="202">
        <f t="shared" si="268"/>
        <v>28471.489934799512</v>
      </c>
      <c r="DV283" s="202">
        <f t="shared" si="269"/>
        <v>28471.489934799512</v>
      </c>
      <c r="DW283" s="202">
        <f t="shared" si="270"/>
        <v>28471.489934799512</v>
      </c>
      <c r="DX283" s="203">
        <f t="shared" si="271"/>
        <v>0.47463959850546772</v>
      </c>
      <c r="DY283" s="203">
        <f t="shared" si="272"/>
        <v>0.47463959850546772</v>
      </c>
      <c r="DZ283" s="203">
        <f t="shared" si="273"/>
        <v>0.47463959850546772</v>
      </c>
      <c r="EA283" s="19">
        <f t="shared" si="274"/>
        <v>0.46173208235543955</v>
      </c>
      <c r="EB283" s="19">
        <f t="shared" si="260"/>
        <v>0.47668882842687565</v>
      </c>
      <c r="EC283" s="19">
        <f t="shared" si="275"/>
        <v>0.38697291476475848</v>
      </c>
      <c r="ED283" s="203">
        <f t="shared" si="276"/>
        <v>0.47463959850546772</v>
      </c>
      <c r="EE283" s="203">
        <f t="shared" si="277"/>
        <v>0.47463959850546772</v>
      </c>
      <c r="EF283" s="203">
        <f t="shared" si="278"/>
        <v>0.47463959850546772</v>
      </c>
      <c r="EH283" s="58">
        <f t="shared" si="288"/>
        <v>27655.913399873523</v>
      </c>
      <c r="EI283" s="68">
        <f t="shared" si="289"/>
        <v>0.45924501494952091</v>
      </c>
      <c r="EJ283" s="58">
        <f t="shared" si="290"/>
        <v>24028.913399873523</v>
      </c>
      <c r="EK283" s="68">
        <f t="shared" si="289"/>
        <v>0.39901624415688713</v>
      </c>
      <c r="EL283" s="58">
        <f t="shared" si="291"/>
        <v>1780.3189726458875</v>
      </c>
      <c r="EM283" s="58">
        <f t="shared" si="292"/>
        <v>1865.5200354601925</v>
      </c>
      <c r="EN283" s="68">
        <f t="shared" si="293"/>
        <v>3.097821302034685E-2</v>
      </c>
      <c r="EO283" s="139">
        <f t="shared" si="312"/>
        <v>0.32946562535829382</v>
      </c>
      <c r="EP283">
        <f>+(SUM(M283:O283)*EO283*(1-'[1]Tier 3 Data'!$A$2))</f>
        <v>278.09849850683946</v>
      </c>
    </row>
    <row r="284" spans="1:146" x14ac:dyDescent="0.2">
      <c r="A284" s="43">
        <v>0</v>
      </c>
      <c r="B284" s="43">
        <v>0</v>
      </c>
      <c r="C284" s="43">
        <v>0</v>
      </c>
      <c r="D284" s="70">
        <v>2031</v>
      </c>
      <c r="E284" s="70">
        <v>1</v>
      </c>
      <c r="F284" s="2">
        <v>744</v>
      </c>
      <c r="G284" s="133">
        <f t="shared" si="305"/>
        <v>49831.492978094859</v>
      </c>
      <c r="H284" s="65">
        <v>49831.492978094859</v>
      </c>
      <c r="I284" s="133">
        <f t="shared" si="306"/>
        <v>49831.492978094859</v>
      </c>
      <c r="J284" s="133">
        <f t="shared" si="285"/>
        <v>2886.8827499999998</v>
      </c>
      <c r="K284" s="65">
        <v>2886.8827499999998</v>
      </c>
      <c r="L284" s="133">
        <f t="shared" si="286"/>
        <v>2886.8827499999998</v>
      </c>
      <c r="M284" s="65">
        <v>350.79787520860157</v>
      </c>
      <c r="N284" s="65">
        <v>755.37984075477868</v>
      </c>
      <c r="O284" s="65">
        <v>172.37598443533633</v>
      </c>
      <c r="P284" s="200">
        <f t="shared" si="279"/>
        <v>46561.044117975245</v>
      </c>
      <c r="Q284" s="200">
        <f t="shared" si="280"/>
        <v>46561.044117975245</v>
      </c>
      <c r="R284" s="200">
        <f t="shared" si="281"/>
        <v>46561.044117975245</v>
      </c>
      <c r="S284" s="133">
        <f t="shared" si="307"/>
        <v>46892.897432764257</v>
      </c>
      <c r="T284" s="133">
        <f t="shared" si="308"/>
        <v>46892.897432764257</v>
      </c>
      <c r="U284" s="133">
        <f t="shared" si="309"/>
        <v>46892.897432764257</v>
      </c>
      <c r="V284" s="200">
        <f t="shared" si="282"/>
        <v>46561.044117975245</v>
      </c>
      <c r="W284" s="200">
        <f t="shared" si="283"/>
        <v>46561.044117975245</v>
      </c>
      <c r="X284" s="200">
        <f t="shared" si="284"/>
        <v>46561.044117975245</v>
      </c>
      <c r="Y284" s="65">
        <v>14021.801598654403</v>
      </c>
      <c r="Z284" s="65">
        <v>16162.304488226939</v>
      </c>
      <c r="AA284" s="65">
        <v>6619.8479302869036</v>
      </c>
      <c r="AB284" s="200">
        <f t="shared" si="297"/>
        <v>62723.348606202184</v>
      </c>
      <c r="AC284" s="200">
        <f t="shared" si="298"/>
        <v>62723.348606202184</v>
      </c>
      <c r="AD284" s="200">
        <f t="shared" si="299"/>
        <v>62723.348606202184</v>
      </c>
      <c r="AE284" s="199">
        <f t="shared" si="261"/>
        <v>60914.699031418662</v>
      </c>
      <c r="AF284" s="199">
        <f t="shared" si="300"/>
        <v>63055.201920991196</v>
      </c>
      <c r="AG284" s="199">
        <f t="shared" si="262"/>
        <v>53512.745363051159</v>
      </c>
      <c r="AH284" s="199">
        <f t="shared" si="310"/>
        <v>58283.973642021178</v>
      </c>
      <c r="AI284" s="200">
        <f t="shared" si="301"/>
        <v>62723.348606202184</v>
      </c>
      <c r="AJ284" s="200">
        <f t="shared" si="302"/>
        <v>62723.348606202184</v>
      </c>
      <c r="AK284" s="200">
        <f t="shared" si="303"/>
        <v>62723.348606202184</v>
      </c>
      <c r="AL284" s="4"/>
      <c r="AM284" s="4"/>
      <c r="AN284" s="4"/>
      <c r="AO284" s="4"/>
      <c r="AP284" s="63"/>
      <c r="AQ284" s="18"/>
      <c r="AR284" s="18"/>
      <c r="AS284" s="66">
        <v>3395.12</v>
      </c>
      <c r="AT284" s="18"/>
      <c r="AU284" s="133">
        <f t="shared" si="235"/>
        <v>98.513999999999996</v>
      </c>
      <c r="AV284" s="133">
        <f t="shared" si="235"/>
        <v>3278.6750000000002</v>
      </c>
      <c r="AW284" s="63"/>
      <c r="AX284" s="63"/>
      <c r="AY284" s="65">
        <v>1258.1687644800002</v>
      </c>
      <c r="AZ284" s="63"/>
      <c r="BA284" s="65">
        <v>1660.8</v>
      </c>
      <c r="BB284" s="133">
        <f t="shared" si="287"/>
        <v>946.25</v>
      </c>
      <c r="BC284" s="65">
        <v>187.65082722949612</v>
      </c>
      <c r="BD284" s="65">
        <v>17.899913811322826</v>
      </c>
      <c r="BE284" s="65">
        <v>0</v>
      </c>
      <c r="BF284" s="65">
        <v>54.003588954617392</v>
      </c>
      <c r="BG284" s="65">
        <v>0</v>
      </c>
      <c r="BH284" s="65">
        <v>44.202923232317495</v>
      </c>
      <c r="BI284" s="65">
        <v>476.06991176380893</v>
      </c>
      <c r="BJ284" s="65">
        <v>0</v>
      </c>
      <c r="BK284" s="65">
        <v>22.517673403701547</v>
      </c>
      <c r="BL284" s="65">
        <v>0</v>
      </c>
      <c r="BM284" s="65">
        <v>0</v>
      </c>
      <c r="BN284" s="65">
        <v>33.291643770364956</v>
      </c>
      <c r="BO284" s="65">
        <v>212.18019192</v>
      </c>
      <c r="BP284" s="260">
        <f t="shared" si="304"/>
        <v>992</v>
      </c>
      <c r="BQ284" s="65">
        <v>79.528791827905849</v>
      </c>
      <c r="BR284" s="65">
        <v>103.90700344251226</v>
      </c>
      <c r="BS284" s="65">
        <v>375.98349595306047</v>
      </c>
      <c r="BT284" s="65">
        <v>128.54022775981369</v>
      </c>
      <c r="BU284" s="65">
        <v>146.91747049227078</v>
      </c>
      <c r="BV284" s="144">
        <f t="shared" si="294"/>
        <v>245.55851264602109</v>
      </c>
      <c r="BW284" s="144">
        <f t="shared" si="295"/>
        <v>528.76588852834504</v>
      </c>
      <c r="BX284" s="144">
        <f t="shared" si="296"/>
        <v>120.66318910473542</v>
      </c>
      <c r="BY284" s="5"/>
      <c r="BZ284" s="66">
        <v>7254</v>
      </c>
      <c r="CA284" s="4"/>
      <c r="CB284" s="5"/>
      <c r="CC284" s="5"/>
      <c r="CD284" s="188">
        <v>2.5304839482857915</v>
      </c>
      <c r="CE284" s="5"/>
      <c r="CF284" s="133">
        <f t="shared" si="311"/>
        <v>1154.6666666666667</v>
      </c>
      <c r="CG284" s="70"/>
      <c r="CH284" s="70">
        <v>7440</v>
      </c>
      <c r="CI284" s="70"/>
      <c r="CJ284" s="133">
        <f t="shared" si="237"/>
        <v>946.25</v>
      </c>
      <c r="CK284" s="8">
        <f t="shared" si="258"/>
        <v>30258.406168935249</v>
      </c>
      <c r="CL284" s="202">
        <f t="shared" si="238"/>
        <v>32464.942437266935</v>
      </c>
      <c r="CM284" s="202">
        <f t="shared" si="239"/>
        <v>32464.942437266935</v>
      </c>
      <c r="CN284" s="202">
        <f t="shared" si="240"/>
        <v>32464.942437266935</v>
      </c>
      <c r="CO284" s="9">
        <f t="shared" si="241"/>
        <v>30656.292862483413</v>
      </c>
      <c r="CP284" s="9">
        <f t="shared" si="242"/>
        <v>32796.795752055943</v>
      </c>
      <c r="CQ284" s="9">
        <f t="shared" si="243"/>
        <v>23254.33919411591</v>
      </c>
      <c r="CR284" s="202">
        <f t="shared" si="244"/>
        <v>32464.942437266935</v>
      </c>
      <c r="CS284" s="202">
        <f t="shared" si="245"/>
        <v>32464.942437266935</v>
      </c>
      <c r="CT284" s="202">
        <f t="shared" si="246"/>
        <v>32464.942437266935</v>
      </c>
      <c r="CU284" s="203">
        <f t="shared" si="247"/>
        <v>0.51758943294135207</v>
      </c>
      <c r="CV284" s="203">
        <f t="shared" si="248"/>
        <v>0.51758943294135207</v>
      </c>
      <c r="CW284" s="203">
        <f t="shared" si="249"/>
        <v>0.51758943294135207</v>
      </c>
      <c r="CX284" s="19">
        <f t="shared" si="250"/>
        <v>0.50326593334511049</v>
      </c>
      <c r="CY284" s="19">
        <f t="shared" si="251"/>
        <v>0.52012831222316369</v>
      </c>
      <c r="CZ284" s="19">
        <f t="shared" si="252"/>
        <v>0.43455702069384555</v>
      </c>
      <c r="DA284" s="203">
        <f t="shared" si="253"/>
        <v>0.51758943294135207</v>
      </c>
      <c r="DB284" s="203">
        <f t="shared" si="254"/>
        <v>0.51758943294135207</v>
      </c>
      <c r="DC284" s="203">
        <f t="shared" si="255"/>
        <v>0.51758943294135207</v>
      </c>
      <c r="DD284" s="65"/>
      <c r="DE284" s="66"/>
      <c r="DF284" s="66"/>
      <c r="DG284" s="66"/>
      <c r="DH284" s="66"/>
      <c r="DI284" s="66"/>
      <c r="DJ284" s="65"/>
      <c r="DK284" s="70"/>
      <c r="DL284" s="70"/>
      <c r="DM284" s="8">
        <f t="shared" si="256"/>
        <v>0</v>
      </c>
      <c r="DN284" s="8">
        <f t="shared" si="257"/>
        <v>30258.406168935249</v>
      </c>
      <c r="DO284" s="202">
        <f t="shared" si="263"/>
        <v>32464.942437266935</v>
      </c>
      <c r="DP284" s="202">
        <f t="shared" si="264"/>
        <v>32464.942437266935</v>
      </c>
      <c r="DQ284" s="202">
        <f t="shared" si="265"/>
        <v>32464.942437266935</v>
      </c>
      <c r="DR284" s="9">
        <f t="shared" si="266"/>
        <v>30656.292862483413</v>
      </c>
      <c r="DS284" s="9">
        <f t="shared" si="259"/>
        <v>32796.795752055943</v>
      </c>
      <c r="DT284" s="9">
        <f t="shared" si="267"/>
        <v>23254.33919411591</v>
      </c>
      <c r="DU284" s="202">
        <f t="shared" si="268"/>
        <v>32464.942437266935</v>
      </c>
      <c r="DV284" s="202">
        <f t="shared" si="269"/>
        <v>32464.942437266935</v>
      </c>
      <c r="DW284" s="202">
        <f t="shared" si="270"/>
        <v>32464.942437266935</v>
      </c>
      <c r="DX284" s="203">
        <f t="shared" si="271"/>
        <v>0.51758943294135207</v>
      </c>
      <c r="DY284" s="203">
        <f t="shared" si="272"/>
        <v>0.51758943294135207</v>
      </c>
      <c r="DZ284" s="203">
        <f t="shared" si="273"/>
        <v>0.51758943294135207</v>
      </c>
      <c r="EA284" s="19">
        <f t="shared" si="274"/>
        <v>0.50326593334511049</v>
      </c>
      <c r="EB284" s="19">
        <f t="shared" si="260"/>
        <v>0.52012831222316369</v>
      </c>
      <c r="EC284" s="19">
        <f t="shared" si="275"/>
        <v>0.43455702069384555</v>
      </c>
      <c r="ED284" s="203">
        <f t="shared" si="276"/>
        <v>0.51758943294135207</v>
      </c>
      <c r="EE284" s="203">
        <f t="shared" si="277"/>
        <v>0.51758943294135207</v>
      </c>
      <c r="EF284" s="203">
        <f t="shared" si="278"/>
        <v>0.51758943294135207</v>
      </c>
      <c r="EH284" s="58">
        <f t="shared" si="288"/>
        <v>26329.313583386323</v>
      </c>
      <c r="EI284" s="68">
        <f t="shared" si="289"/>
        <v>0.41755973783697053</v>
      </c>
      <c r="EJ284" s="58">
        <f t="shared" si="290"/>
        <v>22702.31358338632</v>
      </c>
      <c r="EK284" s="68">
        <f t="shared" si="289"/>
        <v>0.36003871039589325</v>
      </c>
      <c r="EL284" s="58">
        <f t="shared" si="291"/>
        <v>2357.4559631349198</v>
      </c>
      <c r="EM284" s="58">
        <f t="shared" si="292"/>
        <v>2478.1191522396553</v>
      </c>
      <c r="EN284" s="68">
        <f t="shared" si="293"/>
        <v>3.9300788463809272E-2</v>
      </c>
      <c r="EO284" s="139">
        <f t="shared" si="312"/>
        <v>0.32527353469126524</v>
      </c>
      <c r="EP284">
        <f>+(SUM(M284:O284)*EO284*(1-'[1]Tier 3 Data'!$A$2))</f>
        <v>388.01574276606118</v>
      </c>
    </row>
    <row r="285" spans="1:146" x14ac:dyDescent="0.2">
      <c r="A285" s="43">
        <v>0</v>
      </c>
      <c r="B285" s="43">
        <v>0</v>
      </c>
      <c r="C285" s="43">
        <v>0</v>
      </c>
      <c r="D285" s="70">
        <v>2031</v>
      </c>
      <c r="E285" s="70">
        <v>2</v>
      </c>
      <c r="F285" s="2">
        <v>672</v>
      </c>
      <c r="G285" s="133">
        <f t="shared" si="305"/>
        <v>45070.835680388358</v>
      </c>
      <c r="H285" s="65">
        <v>45070.835680388358</v>
      </c>
      <c r="I285" s="133">
        <f t="shared" si="306"/>
        <v>45070.835680388358</v>
      </c>
      <c r="J285" s="133">
        <f t="shared" si="285"/>
        <v>2927.2574999999997</v>
      </c>
      <c r="K285" s="65">
        <v>2927.2574999999997</v>
      </c>
      <c r="L285" s="133">
        <f t="shared" si="286"/>
        <v>2927.2574999999997</v>
      </c>
      <c r="M285" s="65">
        <v>758.12758719225985</v>
      </c>
      <c r="N285" s="65">
        <v>1632.4907776153254</v>
      </c>
      <c r="O285" s="65">
        <v>372.97386094598176</v>
      </c>
      <c r="P285" s="200">
        <f t="shared" si="279"/>
        <v>41314.500512662285</v>
      </c>
      <c r="Q285" s="200">
        <f t="shared" si="280"/>
        <v>41314.500512662285</v>
      </c>
      <c r="R285" s="200">
        <f t="shared" si="281"/>
        <v>41314.500512662285</v>
      </c>
      <c r="S285" s="133">
        <f t="shared" si="307"/>
        <v>42031.686022104564</v>
      </c>
      <c r="T285" s="133">
        <f t="shared" si="308"/>
        <v>42031.686022104564</v>
      </c>
      <c r="U285" s="133">
        <f t="shared" si="309"/>
        <v>42031.686022104564</v>
      </c>
      <c r="V285" s="200">
        <f t="shared" si="282"/>
        <v>41314.500512662285</v>
      </c>
      <c r="W285" s="200">
        <f t="shared" si="283"/>
        <v>41314.500512662285</v>
      </c>
      <c r="X285" s="200">
        <f t="shared" si="284"/>
        <v>41314.500512662285</v>
      </c>
      <c r="Y285" s="65">
        <v>13136.521137552139</v>
      </c>
      <c r="Z285" s="65">
        <v>14376.094757200546</v>
      </c>
      <c r="AA285" s="65">
        <v>6026.2904246442413</v>
      </c>
      <c r="AB285" s="200">
        <f t="shared" si="297"/>
        <v>55690.595269862832</v>
      </c>
      <c r="AC285" s="200">
        <f t="shared" si="298"/>
        <v>55690.595269862832</v>
      </c>
      <c r="AD285" s="200">
        <f t="shared" si="299"/>
        <v>55690.595269862832</v>
      </c>
      <c r="AE285" s="199">
        <f t="shared" si="261"/>
        <v>55168.207159656704</v>
      </c>
      <c r="AF285" s="199">
        <f t="shared" si="300"/>
        <v>56407.780779305111</v>
      </c>
      <c r="AG285" s="199">
        <f t="shared" si="262"/>
        <v>48057.976446748806</v>
      </c>
      <c r="AH285" s="199">
        <f t="shared" si="310"/>
        <v>52232.878613026958</v>
      </c>
      <c r="AI285" s="200">
        <f t="shared" si="301"/>
        <v>55690.595269862832</v>
      </c>
      <c r="AJ285" s="200">
        <f t="shared" si="302"/>
        <v>55690.595269862832</v>
      </c>
      <c r="AK285" s="200">
        <f t="shared" si="303"/>
        <v>55690.595269862832</v>
      </c>
      <c r="AL285" s="4"/>
      <c r="AM285" s="4"/>
      <c r="AN285" s="4"/>
      <c r="AO285" s="4"/>
      <c r="AP285" s="63"/>
      <c r="AQ285" s="18"/>
      <c r="AR285" s="18"/>
      <c r="AS285" s="66">
        <v>3066.56</v>
      </c>
      <c r="AT285" s="18"/>
      <c r="AU285" s="133">
        <f t="shared" si="235"/>
        <v>92.897999999999996</v>
      </c>
      <c r="AV285" s="133">
        <f t="shared" si="235"/>
        <v>3057.587</v>
      </c>
      <c r="AW285" s="63"/>
      <c r="AX285" s="63"/>
      <c r="AY285" s="65">
        <v>1185.0038251199999</v>
      </c>
      <c r="AZ285" s="63"/>
      <c r="BA285" s="65">
        <v>853.7</v>
      </c>
      <c r="BB285" s="133">
        <f t="shared" si="287"/>
        <v>611.22</v>
      </c>
      <c r="BC285" s="65">
        <v>233.87491436180096</v>
      </c>
      <c r="BD285" s="65">
        <v>18.196795404006242</v>
      </c>
      <c r="BE285" s="65">
        <v>0</v>
      </c>
      <c r="BF285" s="65">
        <v>52.730110367547333</v>
      </c>
      <c r="BG285" s="65">
        <v>0</v>
      </c>
      <c r="BH285" s="65">
        <v>25.258813275609995</v>
      </c>
      <c r="BI285" s="65">
        <v>593.34036245852292</v>
      </c>
      <c r="BJ285" s="65">
        <v>0</v>
      </c>
      <c r="BK285" s="65">
        <v>19.256201566846642</v>
      </c>
      <c r="BL285" s="65">
        <v>0</v>
      </c>
      <c r="BM285" s="65">
        <v>0</v>
      </c>
      <c r="BN285" s="65">
        <v>19.023796440208546</v>
      </c>
      <c r="BO285" s="65">
        <v>191.64662496000003</v>
      </c>
      <c r="BP285" s="260">
        <f t="shared" si="304"/>
        <v>896</v>
      </c>
      <c r="BQ285" s="65">
        <v>98.941020172122265</v>
      </c>
      <c r="BR285" s="65">
        <v>129.26965634377035</v>
      </c>
      <c r="BS285" s="65">
        <v>467.75727899000071</v>
      </c>
      <c r="BT285" s="65">
        <v>164.86950528977491</v>
      </c>
      <c r="BU285" s="65">
        <v>177.85990390374769</v>
      </c>
      <c r="BV285" s="144">
        <f t="shared" si="294"/>
        <v>530.68931103458192</v>
      </c>
      <c r="BW285" s="144">
        <f t="shared" si="295"/>
        <v>1142.7435443307277</v>
      </c>
      <c r="BX285" s="144">
        <f t="shared" si="296"/>
        <v>261.08170266218724</v>
      </c>
      <c r="BY285" s="5"/>
      <c r="BZ285" s="66">
        <v>6552</v>
      </c>
      <c r="CA285" s="4"/>
      <c r="CB285" s="5"/>
      <c r="CC285" s="5"/>
      <c r="CD285" s="188">
        <v>3.1195892150124847</v>
      </c>
      <c r="CE285" s="5"/>
      <c r="CF285" s="133">
        <f t="shared" si="311"/>
        <v>667.66666666666663</v>
      </c>
      <c r="CG285" s="70"/>
      <c r="CH285" s="70">
        <v>6720</v>
      </c>
      <c r="CI285" s="70"/>
      <c r="CJ285" s="133">
        <f t="shared" si="237"/>
        <v>611.22</v>
      </c>
      <c r="CK285" s="8">
        <f t="shared" si="258"/>
        <v>27832.294622563135</v>
      </c>
      <c r="CL285" s="202">
        <f t="shared" si="238"/>
        <v>27858.300647299697</v>
      </c>
      <c r="CM285" s="202">
        <f t="shared" si="239"/>
        <v>27858.300647299697</v>
      </c>
      <c r="CN285" s="202">
        <f t="shared" si="240"/>
        <v>27858.300647299697</v>
      </c>
      <c r="CO285" s="9">
        <f t="shared" si="241"/>
        <v>27335.912537093569</v>
      </c>
      <c r="CP285" s="9">
        <f t="shared" si="242"/>
        <v>28575.486156741976</v>
      </c>
      <c r="CQ285" s="9">
        <f t="shared" si="243"/>
        <v>20225.681824185671</v>
      </c>
      <c r="CR285" s="202">
        <f t="shared" si="244"/>
        <v>27858.300647299697</v>
      </c>
      <c r="CS285" s="202">
        <f t="shared" si="245"/>
        <v>27858.300647299697</v>
      </c>
      <c r="CT285" s="202">
        <f t="shared" si="246"/>
        <v>27858.300647299697</v>
      </c>
      <c r="CU285" s="203">
        <f t="shared" si="247"/>
        <v>0.50023348668307943</v>
      </c>
      <c r="CV285" s="203">
        <f t="shared" si="248"/>
        <v>0.50023348668307943</v>
      </c>
      <c r="CW285" s="203">
        <f t="shared" si="249"/>
        <v>0.50023348668307943</v>
      </c>
      <c r="CX285" s="19">
        <f t="shared" si="250"/>
        <v>0.49550119433795414</v>
      </c>
      <c r="CY285" s="19">
        <f t="shared" si="251"/>
        <v>0.50658766861513815</v>
      </c>
      <c r="CZ285" s="19">
        <f t="shared" si="252"/>
        <v>0.42086003863681132</v>
      </c>
      <c r="DA285" s="203">
        <f t="shared" si="253"/>
        <v>0.50023348668307943</v>
      </c>
      <c r="DB285" s="203">
        <f t="shared" si="254"/>
        <v>0.50023348668307943</v>
      </c>
      <c r="DC285" s="203">
        <f t="shared" si="255"/>
        <v>0.50023348668307943</v>
      </c>
      <c r="DD285" s="65"/>
      <c r="DE285" s="66"/>
      <c r="DF285" s="66"/>
      <c r="DG285" s="66"/>
      <c r="DH285" s="66"/>
      <c r="DI285" s="66"/>
      <c r="DJ285" s="65"/>
      <c r="DK285" s="70"/>
      <c r="DL285" s="70"/>
      <c r="DM285" s="8">
        <f t="shared" si="256"/>
        <v>0</v>
      </c>
      <c r="DN285" s="8">
        <f t="shared" si="257"/>
        <v>27832.294622563135</v>
      </c>
      <c r="DO285" s="202">
        <f t="shared" si="263"/>
        <v>27858.300647299697</v>
      </c>
      <c r="DP285" s="202">
        <f t="shared" si="264"/>
        <v>27858.300647299697</v>
      </c>
      <c r="DQ285" s="202">
        <f t="shared" si="265"/>
        <v>27858.300647299697</v>
      </c>
      <c r="DR285" s="9">
        <f t="shared" si="266"/>
        <v>27335.912537093569</v>
      </c>
      <c r="DS285" s="9">
        <f t="shared" si="259"/>
        <v>28575.486156741976</v>
      </c>
      <c r="DT285" s="9">
        <f t="shared" si="267"/>
        <v>20225.681824185671</v>
      </c>
      <c r="DU285" s="202">
        <f t="shared" si="268"/>
        <v>27858.300647299697</v>
      </c>
      <c r="DV285" s="202">
        <f t="shared" si="269"/>
        <v>27858.300647299697</v>
      </c>
      <c r="DW285" s="202">
        <f t="shared" si="270"/>
        <v>27858.300647299697</v>
      </c>
      <c r="DX285" s="203">
        <f t="shared" si="271"/>
        <v>0.50023348668307943</v>
      </c>
      <c r="DY285" s="203">
        <f t="shared" si="272"/>
        <v>0.50023348668307943</v>
      </c>
      <c r="DZ285" s="203">
        <f t="shared" si="273"/>
        <v>0.50023348668307943</v>
      </c>
      <c r="EA285" s="19">
        <f t="shared" si="274"/>
        <v>0.49550119433795414</v>
      </c>
      <c r="EB285" s="19">
        <f t="shared" si="260"/>
        <v>0.50658766861513815</v>
      </c>
      <c r="EC285" s="19">
        <f t="shared" si="275"/>
        <v>0.42086003863681132</v>
      </c>
      <c r="ED285" s="203">
        <f t="shared" si="276"/>
        <v>0.50023348668307943</v>
      </c>
      <c r="EE285" s="203">
        <f t="shared" si="277"/>
        <v>0.50023348668307943</v>
      </c>
      <c r="EF285" s="203">
        <f t="shared" si="278"/>
        <v>0.50023348668307943</v>
      </c>
      <c r="EH285" s="58">
        <f t="shared" si="288"/>
        <v>23969.755611945995</v>
      </c>
      <c r="EI285" s="68">
        <f t="shared" si="289"/>
        <v>0.42493704380477987</v>
      </c>
      <c r="EJ285" s="58">
        <f t="shared" si="290"/>
        <v>20693.755611945991</v>
      </c>
      <c r="EK285" s="68">
        <f t="shared" si="289"/>
        <v>0.36685994956812973</v>
      </c>
      <c r="EL285" s="58">
        <f t="shared" si="291"/>
        <v>3282.0384174971391</v>
      </c>
      <c r="EM285" s="58">
        <f t="shared" si="292"/>
        <v>3543.1201201593262</v>
      </c>
      <c r="EN285" s="68">
        <f t="shared" si="293"/>
        <v>6.2812613281521379E-2</v>
      </c>
      <c r="EO285" s="139">
        <f t="shared" si="312"/>
        <v>0.3126447604730192</v>
      </c>
      <c r="EP285">
        <f>+(SUM(M285:O285)*EO285*(1-'[1]Tier 3 Data'!$A$2))</f>
        <v>806.13311329161195</v>
      </c>
    </row>
    <row r="286" spans="1:146" x14ac:dyDescent="0.2">
      <c r="A286" s="43">
        <v>0</v>
      </c>
      <c r="B286" s="43">
        <v>0</v>
      </c>
      <c r="C286" s="43">
        <v>0</v>
      </c>
      <c r="D286" s="70">
        <v>2031</v>
      </c>
      <c r="E286" s="70">
        <v>3</v>
      </c>
      <c r="F286" s="2">
        <v>743</v>
      </c>
      <c r="G286" s="133">
        <f t="shared" si="305"/>
        <v>47232.881525947036</v>
      </c>
      <c r="H286" s="65">
        <v>47232.881525947036</v>
      </c>
      <c r="I286" s="133">
        <f t="shared" si="306"/>
        <v>47232.881525947036</v>
      </c>
      <c r="J286" s="133">
        <f t="shared" si="285"/>
        <v>2967.6322499999997</v>
      </c>
      <c r="K286" s="65">
        <v>2967.6322499999997</v>
      </c>
      <c r="L286" s="133">
        <f t="shared" si="286"/>
        <v>2967.6322499999997</v>
      </c>
      <c r="M286" s="65">
        <v>1050.2026341606518</v>
      </c>
      <c r="N286" s="65">
        <v>2261.4216180208796</v>
      </c>
      <c r="O286" s="65">
        <v>517.55844765658549</v>
      </c>
      <c r="P286" s="200">
        <f t="shared" si="279"/>
        <v>43116.494465995602</v>
      </c>
      <c r="Q286" s="200">
        <f t="shared" si="280"/>
        <v>43116.494465995602</v>
      </c>
      <c r="R286" s="200">
        <f t="shared" si="281"/>
        <v>43116.494465995602</v>
      </c>
      <c r="S286" s="133">
        <f t="shared" si="307"/>
        <v>44109.981741650059</v>
      </c>
      <c r="T286" s="133">
        <f t="shared" si="308"/>
        <v>44109.981741650059</v>
      </c>
      <c r="U286" s="133">
        <f t="shared" si="309"/>
        <v>44109.981741650059</v>
      </c>
      <c r="V286" s="200">
        <f t="shared" si="282"/>
        <v>43116.494465995602</v>
      </c>
      <c r="W286" s="200">
        <f t="shared" si="283"/>
        <v>43116.494465995602</v>
      </c>
      <c r="X286" s="200">
        <f t="shared" si="284"/>
        <v>43116.494465995602</v>
      </c>
      <c r="Y286" s="65">
        <v>12068.784193727952</v>
      </c>
      <c r="Z286" s="65">
        <v>12804.383738196608</v>
      </c>
      <c r="AA286" s="65">
        <v>5474.175725561151</v>
      </c>
      <c r="AB286" s="200">
        <f t="shared" si="297"/>
        <v>55920.87820419221</v>
      </c>
      <c r="AC286" s="200">
        <f t="shared" si="298"/>
        <v>55920.87820419221</v>
      </c>
      <c r="AD286" s="200">
        <f t="shared" si="299"/>
        <v>55920.87820419221</v>
      </c>
      <c r="AE286" s="199">
        <f t="shared" si="261"/>
        <v>56178.765935378011</v>
      </c>
      <c r="AF286" s="199">
        <f t="shared" si="300"/>
        <v>56914.365479846667</v>
      </c>
      <c r="AG286" s="199">
        <f t="shared" si="262"/>
        <v>49584.157467211211</v>
      </c>
      <c r="AH286" s="199">
        <f t="shared" si="310"/>
        <v>53249.261473528939</v>
      </c>
      <c r="AI286" s="200">
        <f t="shared" si="301"/>
        <v>55920.87820419221</v>
      </c>
      <c r="AJ286" s="200">
        <f t="shared" si="302"/>
        <v>55920.87820419221</v>
      </c>
      <c r="AK286" s="200">
        <f t="shared" si="303"/>
        <v>55920.87820419221</v>
      </c>
      <c r="AL286" s="4"/>
      <c r="AM286" s="4"/>
      <c r="AN286" s="4"/>
      <c r="AO286" s="4"/>
      <c r="AP286" s="63"/>
      <c r="AQ286" s="18"/>
      <c r="AR286" s="18"/>
      <c r="AS286" s="66">
        <v>3395.12</v>
      </c>
      <c r="AT286" s="18"/>
      <c r="AU286" s="133">
        <f t="shared" si="235"/>
        <v>87.516000000000005</v>
      </c>
      <c r="AV286" s="133">
        <f t="shared" si="235"/>
        <v>3232.7139999999999</v>
      </c>
      <c r="AW286" s="63"/>
      <c r="AX286" s="63"/>
      <c r="AY286" s="65">
        <v>1280.8105891600001</v>
      </c>
      <c r="AZ286" s="63"/>
      <c r="BA286" s="65">
        <v>2416.2429999999999</v>
      </c>
      <c r="BB286" s="133">
        <f t="shared" si="287"/>
        <v>2064.8780000000002</v>
      </c>
      <c r="BC286" s="65">
        <v>449.53123898462314</v>
      </c>
      <c r="BD286" s="65">
        <v>17.737549502477364</v>
      </c>
      <c r="BE286" s="65">
        <v>0</v>
      </c>
      <c r="BF286" s="65">
        <v>57.732753358383135</v>
      </c>
      <c r="BG286" s="65">
        <v>0</v>
      </c>
      <c r="BH286" s="65">
        <v>44.202923232317495</v>
      </c>
      <c r="BI286" s="65">
        <v>1140.4601857510293</v>
      </c>
      <c r="BJ286" s="65">
        <v>0</v>
      </c>
      <c r="BK286" s="65">
        <v>19.397174608663349</v>
      </c>
      <c r="BL286" s="65">
        <v>0</v>
      </c>
      <c r="BM286" s="65">
        <v>0</v>
      </c>
      <c r="BN286" s="65">
        <v>33.291643770364956</v>
      </c>
      <c r="BO286" s="65">
        <v>212.18019192</v>
      </c>
      <c r="BP286" s="260">
        <f t="shared" si="304"/>
        <v>992</v>
      </c>
      <c r="BQ286" s="65">
        <v>137.70134234155842</v>
      </c>
      <c r="BR286" s="65">
        <v>179.91124863203203</v>
      </c>
      <c r="BS286" s="65">
        <v>651.0019346186233</v>
      </c>
      <c r="BT286" s="65">
        <v>218.200883193734</v>
      </c>
      <c r="BU286" s="65">
        <v>253.569449813548</v>
      </c>
      <c r="BV286" s="144">
        <f t="shared" si="294"/>
        <v>735.14184391245624</v>
      </c>
      <c r="BW286" s="144">
        <f t="shared" si="295"/>
        <v>1582.9951326146156</v>
      </c>
      <c r="BX286" s="144">
        <f t="shared" si="296"/>
        <v>362.29091335960982</v>
      </c>
      <c r="BY286" s="5"/>
      <c r="BZ286" s="66">
        <v>7244.25</v>
      </c>
      <c r="CA286" s="4"/>
      <c r="CB286" s="5"/>
      <c r="CC286" s="5"/>
      <c r="CD286" s="188">
        <v>13.157281760074044</v>
      </c>
      <c r="CE286" s="5"/>
      <c r="CF286" s="133">
        <f t="shared" si="311"/>
        <v>1476.3333333333333</v>
      </c>
      <c r="CG286" s="70"/>
      <c r="CH286" s="70">
        <v>5942</v>
      </c>
      <c r="CI286" s="70"/>
      <c r="CJ286" s="133">
        <f t="shared" si="237"/>
        <v>2064.8780000000002</v>
      </c>
      <c r="CK286" s="8">
        <f t="shared" si="258"/>
        <v>34240.368613867446</v>
      </c>
      <c r="CL286" s="202">
        <f t="shared" si="238"/>
        <v>21680.509590324764</v>
      </c>
      <c r="CM286" s="202">
        <f t="shared" si="239"/>
        <v>21680.509590324764</v>
      </c>
      <c r="CN286" s="202">
        <f t="shared" si="240"/>
        <v>21680.509590324764</v>
      </c>
      <c r="CO286" s="9">
        <f t="shared" si="241"/>
        <v>21938.397321510565</v>
      </c>
      <c r="CP286" s="9">
        <f t="shared" si="242"/>
        <v>22673.996865979221</v>
      </c>
      <c r="CQ286" s="9">
        <f t="shared" si="243"/>
        <v>15343.788853343765</v>
      </c>
      <c r="CR286" s="202">
        <f t="shared" si="244"/>
        <v>21680.509590324764</v>
      </c>
      <c r="CS286" s="202">
        <f t="shared" si="245"/>
        <v>21680.509590324764</v>
      </c>
      <c r="CT286" s="202">
        <f t="shared" si="246"/>
        <v>21680.509590324764</v>
      </c>
      <c r="CU286" s="203">
        <f t="shared" si="247"/>
        <v>0.38769973374093836</v>
      </c>
      <c r="CV286" s="203">
        <f t="shared" si="248"/>
        <v>0.38769973374093836</v>
      </c>
      <c r="CW286" s="203">
        <f t="shared" si="249"/>
        <v>0.38769973374093836</v>
      </c>
      <c r="CX286" s="19">
        <f t="shared" si="250"/>
        <v>0.3905104883711068</v>
      </c>
      <c r="CY286" s="19">
        <f t="shared" si="251"/>
        <v>0.39838794080921569</v>
      </c>
      <c r="CZ286" s="19">
        <f t="shared" si="252"/>
        <v>0.30944942169260892</v>
      </c>
      <c r="DA286" s="203">
        <f t="shared" si="253"/>
        <v>0.38769973374093836</v>
      </c>
      <c r="DB286" s="203">
        <f t="shared" si="254"/>
        <v>0.38769973374093836</v>
      </c>
      <c r="DC286" s="203">
        <f t="shared" si="255"/>
        <v>0.38769973374093836</v>
      </c>
      <c r="DD286" s="65"/>
      <c r="DE286" s="66"/>
      <c r="DF286" s="66"/>
      <c r="DG286" s="66"/>
      <c r="DH286" s="66"/>
      <c r="DI286" s="66"/>
      <c r="DJ286" s="65"/>
      <c r="DK286" s="70"/>
      <c r="DL286" s="70"/>
      <c r="DM286" s="8">
        <f t="shared" si="256"/>
        <v>0</v>
      </c>
      <c r="DN286" s="8">
        <f t="shared" si="257"/>
        <v>34240.368613867446</v>
      </c>
      <c r="DO286" s="202">
        <f t="shared" si="263"/>
        <v>21680.509590324764</v>
      </c>
      <c r="DP286" s="202">
        <f t="shared" si="264"/>
        <v>21680.509590324764</v>
      </c>
      <c r="DQ286" s="202">
        <f t="shared" si="265"/>
        <v>21680.509590324764</v>
      </c>
      <c r="DR286" s="9">
        <f t="shared" si="266"/>
        <v>21938.397321510565</v>
      </c>
      <c r="DS286" s="9">
        <f t="shared" si="259"/>
        <v>22673.996865979221</v>
      </c>
      <c r="DT286" s="9">
        <f t="shared" si="267"/>
        <v>15343.788853343765</v>
      </c>
      <c r="DU286" s="202">
        <f t="shared" si="268"/>
        <v>21680.509590324764</v>
      </c>
      <c r="DV286" s="202">
        <f t="shared" si="269"/>
        <v>21680.509590324764</v>
      </c>
      <c r="DW286" s="202">
        <f t="shared" si="270"/>
        <v>21680.509590324764</v>
      </c>
      <c r="DX286" s="203">
        <f t="shared" si="271"/>
        <v>0.38769973374093836</v>
      </c>
      <c r="DY286" s="203">
        <f t="shared" si="272"/>
        <v>0.38769973374093836</v>
      </c>
      <c r="DZ286" s="203">
        <f t="shared" si="273"/>
        <v>0.38769973374093836</v>
      </c>
      <c r="EA286" s="19">
        <f t="shared" si="274"/>
        <v>0.3905104883711068</v>
      </c>
      <c r="EB286" s="19">
        <f t="shared" si="260"/>
        <v>0.39838794080921569</v>
      </c>
      <c r="EC286" s="19">
        <f t="shared" si="275"/>
        <v>0.30944942169260892</v>
      </c>
      <c r="ED286" s="203">
        <f t="shared" si="276"/>
        <v>0.38769973374093836</v>
      </c>
      <c r="EE286" s="203">
        <f t="shared" si="277"/>
        <v>0.38769973374093836</v>
      </c>
      <c r="EF286" s="203">
        <f t="shared" si="278"/>
        <v>0.38769973374093836</v>
      </c>
      <c r="EH286" s="58">
        <f t="shared" si="288"/>
        <v>29812.211734836528</v>
      </c>
      <c r="EI286" s="68">
        <f t="shared" si="289"/>
        <v>0.52380820700518937</v>
      </c>
      <c r="EJ286" s="58">
        <f t="shared" si="290"/>
        <v>26190.086734836532</v>
      </c>
      <c r="EK286" s="68">
        <f t="shared" si="289"/>
        <v>0.46016654168112303</v>
      </c>
      <c r="EL286" s="58">
        <f t="shared" si="291"/>
        <v>4940.1808989835863</v>
      </c>
      <c r="EM286" s="58">
        <f t="shared" si="292"/>
        <v>5302.4718123431958</v>
      </c>
      <c r="EN286" s="68">
        <f t="shared" si="293"/>
        <v>9.3165789825431625E-2</v>
      </c>
      <c r="EO286" s="139">
        <f t="shared" si="312"/>
        <v>0.32861286969700848</v>
      </c>
      <c r="EP286">
        <f>+(SUM(M286:O286)*EO286*(1-'[1]Tier 3 Data'!$A$2))</f>
        <v>1174.0113616435499</v>
      </c>
    </row>
    <row r="287" spans="1:146" x14ac:dyDescent="0.2">
      <c r="A287" s="43">
        <v>0</v>
      </c>
      <c r="B287" s="43">
        <v>0</v>
      </c>
      <c r="C287" s="43">
        <v>0</v>
      </c>
      <c r="D287" s="70">
        <v>2031</v>
      </c>
      <c r="E287" s="70">
        <v>4</v>
      </c>
      <c r="F287" s="2">
        <v>720</v>
      </c>
      <c r="G287" s="133">
        <f t="shared" si="305"/>
        <v>39688.689820650208</v>
      </c>
      <c r="H287" s="65">
        <v>39688.689820650208</v>
      </c>
      <c r="I287" s="133">
        <f t="shared" si="306"/>
        <v>39688.689820650208</v>
      </c>
      <c r="J287" s="133">
        <f t="shared" si="285"/>
        <v>3008.0069999999996</v>
      </c>
      <c r="K287" s="65">
        <v>3008.0069999999996</v>
      </c>
      <c r="L287" s="133">
        <f t="shared" si="286"/>
        <v>3008.0069999999996</v>
      </c>
      <c r="M287" s="65">
        <v>1418.2286880453187</v>
      </c>
      <c r="N287" s="65">
        <v>3053.8992287010965</v>
      </c>
      <c r="O287" s="65">
        <v>700.86941055995692</v>
      </c>
      <c r="P287" s="200">
        <f t="shared" si="279"/>
        <v>35128.783622458301</v>
      </c>
      <c r="Q287" s="200">
        <f t="shared" si="280"/>
        <v>35128.783622458301</v>
      </c>
      <c r="R287" s="200">
        <f t="shared" si="281"/>
        <v>35128.783622458301</v>
      </c>
      <c r="S287" s="133">
        <f t="shared" si="307"/>
        <v>36470.421997482226</v>
      </c>
      <c r="T287" s="133">
        <f t="shared" si="308"/>
        <v>36470.421997482226</v>
      </c>
      <c r="U287" s="133">
        <f t="shared" si="309"/>
        <v>36470.421997482226</v>
      </c>
      <c r="V287" s="200">
        <f t="shared" si="282"/>
        <v>35128.783622458301</v>
      </c>
      <c r="W287" s="200">
        <f t="shared" si="283"/>
        <v>35128.783622458301</v>
      </c>
      <c r="X287" s="200">
        <f t="shared" si="284"/>
        <v>35128.783622458301</v>
      </c>
      <c r="Y287" s="65">
        <v>10344.634601557835</v>
      </c>
      <c r="Z287" s="65">
        <v>10071.840857137751</v>
      </c>
      <c r="AA287" s="65">
        <v>4476.3572146191455</v>
      </c>
      <c r="AB287" s="200">
        <f t="shared" si="297"/>
        <v>45200.624479596052</v>
      </c>
      <c r="AC287" s="200">
        <f t="shared" si="298"/>
        <v>45200.624479596052</v>
      </c>
      <c r="AD287" s="200">
        <f t="shared" si="299"/>
        <v>45200.624479596052</v>
      </c>
      <c r="AE287" s="199">
        <f t="shared" si="261"/>
        <v>46815.056599040065</v>
      </c>
      <c r="AF287" s="199">
        <f t="shared" si="300"/>
        <v>46542.262854619978</v>
      </c>
      <c r="AG287" s="199">
        <f t="shared" si="262"/>
        <v>40946.77921210137</v>
      </c>
      <c r="AH287" s="199">
        <f t="shared" si="310"/>
        <v>43880.917905570721</v>
      </c>
      <c r="AI287" s="200">
        <f t="shared" si="301"/>
        <v>45200.624479596052</v>
      </c>
      <c r="AJ287" s="200">
        <f t="shared" si="302"/>
        <v>45200.624479596052</v>
      </c>
      <c r="AK287" s="200">
        <f t="shared" si="303"/>
        <v>45200.624479596052</v>
      </c>
      <c r="AL287" s="4"/>
      <c r="AM287" s="4"/>
      <c r="AN287" s="4"/>
      <c r="AO287" s="4"/>
      <c r="AP287" s="63"/>
      <c r="AQ287" s="18"/>
      <c r="AR287" s="18"/>
      <c r="AS287" s="66">
        <v>3285.6</v>
      </c>
      <c r="AT287" s="18"/>
      <c r="AU287" s="133">
        <f t="shared" si="235"/>
        <v>96.057000000000002</v>
      </c>
      <c r="AV287" s="133">
        <f t="shared" si="235"/>
        <v>3017.9659999999999</v>
      </c>
      <c r="AW287" s="63"/>
      <c r="AX287" s="63"/>
      <c r="AY287" s="65">
        <v>1122.6138126000001</v>
      </c>
      <c r="AZ287" s="63"/>
      <c r="BA287" s="65">
        <v>1366.578</v>
      </c>
      <c r="BB287" s="133">
        <f t="shared" si="287"/>
        <v>1440.9</v>
      </c>
      <c r="BC287" s="65">
        <v>567.6650303146555</v>
      </c>
      <c r="BD287" s="65">
        <v>15.751376692709027</v>
      </c>
      <c r="BE287" s="65">
        <v>0</v>
      </c>
      <c r="BF287" s="65">
        <v>54.431994353088804</v>
      </c>
      <c r="BG287" s="65">
        <v>0</v>
      </c>
      <c r="BH287" s="65">
        <v>138.923473015855</v>
      </c>
      <c r="BI287" s="65">
        <v>1440.1654652062136</v>
      </c>
      <c r="BJ287" s="65">
        <v>0</v>
      </c>
      <c r="BK287" s="65">
        <v>19.984033847071771</v>
      </c>
      <c r="BL287" s="65">
        <v>0</v>
      </c>
      <c r="BM287" s="65">
        <v>0</v>
      </c>
      <c r="BN287" s="65">
        <v>104.630880421147</v>
      </c>
      <c r="BO287" s="65">
        <v>205.33566960000002</v>
      </c>
      <c r="BP287" s="260">
        <f t="shared" si="304"/>
        <v>960</v>
      </c>
      <c r="BQ287" s="65">
        <v>147.04662883459426</v>
      </c>
      <c r="BR287" s="65">
        <v>192.12120725007796</v>
      </c>
      <c r="BS287" s="65">
        <v>695.18319894230433</v>
      </c>
      <c r="BT287" s="65">
        <v>241.61084557004807</v>
      </c>
      <c r="BU287" s="65">
        <v>259.43463000066799</v>
      </c>
      <c r="BV287" s="144">
        <f t="shared" si="294"/>
        <v>992.76008163172298</v>
      </c>
      <c r="BW287" s="144">
        <f t="shared" si="295"/>
        <v>2137.7294600907676</v>
      </c>
      <c r="BX287" s="144">
        <f t="shared" si="296"/>
        <v>490.60858739196982</v>
      </c>
      <c r="BY287" s="5"/>
      <c r="BZ287" s="66">
        <v>7020</v>
      </c>
      <c r="CA287" s="4"/>
      <c r="CB287" s="5"/>
      <c r="CC287" s="5"/>
      <c r="CD287" s="188">
        <v>2.3725527527096357</v>
      </c>
      <c r="CE287" s="5"/>
      <c r="CF287" s="133">
        <f t="shared" si="311"/>
        <v>2495.3333333333335</v>
      </c>
      <c r="CG287" s="70"/>
      <c r="CH287" s="70">
        <v>4768</v>
      </c>
      <c r="CI287" s="70"/>
      <c r="CJ287" s="133">
        <f t="shared" si="237"/>
        <v>1440.9</v>
      </c>
      <c r="CK287" s="8">
        <f t="shared" si="258"/>
        <v>33278.803261848938</v>
      </c>
      <c r="CL287" s="202">
        <f t="shared" si="238"/>
        <v>11921.821217747114</v>
      </c>
      <c r="CM287" s="202">
        <f t="shared" si="239"/>
        <v>11921.821217747114</v>
      </c>
      <c r="CN287" s="202">
        <f t="shared" si="240"/>
        <v>11921.821217747114</v>
      </c>
      <c r="CO287" s="9">
        <f t="shared" si="241"/>
        <v>13536.253337191127</v>
      </c>
      <c r="CP287" s="9">
        <f t="shared" si="242"/>
        <v>13263.45959277104</v>
      </c>
      <c r="CQ287" s="9">
        <f t="shared" si="243"/>
        <v>7667.9759502524321</v>
      </c>
      <c r="CR287" s="202">
        <f t="shared" si="244"/>
        <v>11921.821217747114</v>
      </c>
      <c r="CS287" s="202">
        <f t="shared" si="245"/>
        <v>11921.821217747114</v>
      </c>
      <c r="CT287" s="202">
        <f t="shared" si="246"/>
        <v>11921.821217747114</v>
      </c>
      <c r="CU287" s="203">
        <f t="shared" si="247"/>
        <v>0.26375346259051635</v>
      </c>
      <c r="CV287" s="203">
        <f t="shared" si="248"/>
        <v>0.26375346259051635</v>
      </c>
      <c r="CW287" s="203">
        <f t="shared" si="249"/>
        <v>0.26375346259051635</v>
      </c>
      <c r="CX287" s="19">
        <f t="shared" si="250"/>
        <v>0.28914315864500495</v>
      </c>
      <c r="CY287" s="19">
        <f t="shared" si="251"/>
        <v>0.28497668096200984</v>
      </c>
      <c r="CZ287" s="19">
        <f t="shared" si="252"/>
        <v>0.18726688882006734</v>
      </c>
      <c r="DA287" s="203">
        <f t="shared" si="253"/>
        <v>0.26375346259051635</v>
      </c>
      <c r="DB287" s="203">
        <f t="shared" si="254"/>
        <v>0.26375346259051635</v>
      </c>
      <c r="DC287" s="203">
        <f t="shared" si="255"/>
        <v>0.26375346259051635</v>
      </c>
      <c r="DD287" s="65"/>
      <c r="DE287" s="66"/>
      <c r="DF287" s="66"/>
      <c r="DG287" s="66"/>
      <c r="DH287" s="66"/>
      <c r="DI287" s="66"/>
      <c r="DJ287" s="65"/>
      <c r="DK287" s="70"/>
      <c r="DL287" s="70"/>
      <c r="DM287" s="8">
        <f t="shared" si="256"/>
        <v>0</v>
      </c>
      <c r="DN287" s="8">
        <f t="shared" si="257"/>
        <v>33278.803261848938</v>
      </c>
      <c r="DO287" s="202">
        <f t="shared" si="263"/>
        <v>11921.821217747114</v>
      </c>
      <c r="DP287" s="202">
        <f t="shared" si="264"/>
        <v>11921.821217747114</v>
      </c>
      <c r="DQ287" s="202">
        <f t="shared" si="265"/>
        <v>11921.821217747114</v>
      </c>
      <c r="DR287" s="9">
        <f t="shared" si="266"/>
        <v>13536.253337191127</v>
      </c>
      <c r="DS287" s="9">
        <f t="shared" si="259"/>
        <v>13263.45959277104</v>
      </c>
      <c r="DT287" s="9">
        <f t="shared" si="267"/>
        <v>7667.9759502524321</v>
      </c>
      <c r="DU287" s="202">
        <f t="shared" si="268"/>
        <v>11921.821217747114</v>
      </c>
      <c r="DV287" s="202">
        <f t="shared" si="269"/>
        <v>11921.821217747114</v>
      </c>
      <c r="DW287" s="202">
        <f t="shared" si="270"/>
        <v>11921.821217747114</v>
      </c>
      <c r="DX287" s="203">
        <f t="shared" si="271"/>
        <v>0.26375346259051635</v>
      </c>
      <c r="DY287" s="203">
        <f t="shared" si="272"/>
        <v>0.26375346259051635</v>
      </c>
      <c r="DZ287" s="203">
        <f t="shared" si="273"/>
        <v>0.26375346259051635</v>
      </c>
      <c r="EA287" s="19">
        <f t="shared" si="274"/>
        <v>0.28914315864500495</v>
      </c>
      <c r="EB287" s="19">
        <f t="shared" si="260"/>
        <v>0.28497668096200984</v>
      </c>
      <c r="EC287" s="19">
        <f t="shared" si="275"/>
        <v>0.18726688882006734</v>
      </c>
      <c r="ED287" s="203">
        <f t="shared" si="276"/>
        <v>0.26375346259051635</v>
      </c>
      <c r="EE287" s="203">
        <f t="shared" si="277"/>
        <v>0.26375346259051635</v>
      </c>
      <c r="EF287" s="203">
        <f t="shared" si="278"/>
        <v>0.26375346259051635</v>
      </c>
      <c r="EH287" s="58">
        <f t="shared" si="288"/>
        <v>28719.238633111414</v>
      </c>
      <c r="EI287" s="68">
        <f t="shared" si="289"/>
        <v>0.61705720503575867</v>
      </c>
      <c r="EJ287" s="58">
        <f t="shared" si="290"/>
        <v>25209.238633111414</v>
      </c>
      <c r="EK287" s="68">
        <f t="shared" si="289"/>
        <v>0.54164187744492187</v>
      </c>
      <c r="EL287" s="58">
        <f t="shared" si="291"/>
        <v>6165.5818997861134</v>
      </c>
      <c r="EM287" s="58">
        <f t="shared" si="292"/>
        <v>6656.1904871780835</v>
      </c>
      <c r="EN287" s="68">
        <f t="shared" si="293"/>
        <v>0.14301389917309021</v>
      </c>
      <c r="EO287" s="139">
        <f t="shared" si="312"/>
        <v>0.35351678044029999</v>
      </c>
      <c r="EP287">
        <f>+(SUM(M287:O287)*EO287*(1-'[1]Tier 3 Data'!$A$2))</f>
        <v>1706.2156892304588</v>
      </c>
    </row>
    <row r="288" spans="1:146" x14ac:dyDescent="0.2">
      <c r="A288" s="43">
        <v>0</v>
      </c>
      <c r="B288" s="43">
        <v>0</v>
      </c>
      <c r="C288" s="43">
        <v>0</v>
      </c>
      <c r="D288" s="70">
        <v>2031</v>
      </c>
      <c r="E288" s="70">
        <v>5</v>
      </c>
      <c r="F288" s="2">
        <v>744</v>
      </c>
      <c r="G288" s="133">
        <f t="shared" si="305"/>
        <v>37836.041394483975</v>
      </c>
      <c r="H288" s="65">
        <v>37836.041394483975</v>
      </c>
      <c r="I288" s="133">
        <f t="shared" si="306"/>
        <v>37836.041394483975</v>
      </c>
      <c r="J288" s="133">
        <f t="shared" si="285"/>
        <v>3048.3817499999996</v>
      </c>
      <c r="K288" s="65">
        <v>3048.3817499999996</v>
      </c>
      <c r="L288" s="133">
        <f t="shared" si="286"/>
        <v>3048.3817499999996</v>
      </c>
      <c r="M288" s="65">
        <v>1750.7817988213781</v>
      </c>
      <c r="N288" s="65">
        <v>3769.9922657844818</v>
      </c>
      <c r="O288" s="65">
        <v>867.85986605824701</v>
      </c>
      <c r="P288" s="200">
        <f t="shared" si="279"/>
        <v>32871.069465284745</v>
      </c>
      <c r="Q288" s="200">
        <f t="shared" si="280"/>
        <v>32871.069465284745</v>
      </c>
      <c r="R288" s="200">
        <f t="shared" si="281"/>
        <v>32871.069465284745</v>
      </c>
      <c r="S288" s="133">
        <f t="shared" si="307"/>
        <v>34527.301684666498</v>
      </c>
      <c r="T288" s="133">
        <f t="shared" si="308"/>
        <v>34527.301684666498</v>
      </c>
      <c r="U288" s="133">
        <f t="shared" si="309"/>
        <v>34527.301684666498</v>
      </c>
      <c r="V288" s="200">
        <f t="shared" si="282"/>
        <v>32871.069465284745</v>
      </c>
      <c r="W288" s="200">
        <f t="shared" si="283"/>
        <v>32871.069465284745</v>
      </c>
      <c r="X288" s="200">
        <f t="shared" si="284"/>
        <v>32871.069465284745</v>
      </c>
      <c r="Y288" s="65">
        <v>8417.1813733680974</v>
      </c>
      <c r="Z288" s="65">
        <v>7526.2754198922557</v>
      </c>
      <c r="AA288" s="65">
        <v>3519.517088831778</v>
      </c>
      <c r="AB288" s="200">
        <f t="shared" si="297"/>
        <v>40397.344885177001</v>
      </c>
      <c r="AC288" s="200">
        <f t="shared" si="298"/>
        <v>40397.344885177001</v>
      </c>
      <c r="AD288" s="200">
        <f t="shared" si="299"/>
        <v>40397.344885177001</v>
      </c>
      <c r="AE288" s="199">
        <f t="shared" si="261"/>
        <v>42944.483058034595</v>
      </c>
      <c r="AF288" s="199">
        <f t="shared" si="300"/>
        <v>42053.577104558753</v>
      </c>
      <c r="AG288" s="199">
        <f t="shared" si="262"/>
        <v>38046.818773498278</v>
      </c>
      <c r="AH288" s="199">
        <f t="shared" si="310"/>
        <v>40495.65091576644</v>
      </c>
      <c r="AI288" s="200">
        <f t="shared" si="301"/>
        <v>40397.344885177001</v>
      </c>
      <c r="AJ288" s="200">
        <f t="shared" si="302"/>
        <v>40397.344885177001</v>
      </c>
      <c r="AK288" s="200">
        <f t="shared" si="303"/>
        <v>40397.344885177001</v>
      </c>
      <c r="AL288" s="4"/>
      <c r="AM288" s="4"/>
      <c r="AN288" s="4"/>
      <c r="AO288" s="4"/>
      <c r="AP288" s="63"/>
      <c r="AQ288" s="18"/>
      <c r="AR288" s="18"/>
      <c r="AS288" s="66">
        <v>3395.12</v>
      </c>
      <c r="AT288" s="18"/>
      <c r="AU288" s="133">
        <f t="shared" si="235"/>
        <v>109.161</v>
      </c>
      <c r="AV288" s="133">
        <f t="shared" si="235"/>
        <v>3327.41</v>
      </c>
      <c r="AW288" s="63"/>
      <c r="AX288" s="63"/>
      <c r="AY288" s="65">
        <v>837.33634925714296</v>
      </c>
      <c r="AZ288" s="63"/>
      <c r="BA288" s="65">
        <v>1570</v>
      </c>
      <c r="BB288" s="133">
        <f t="shared" si="287"/>
        <v>1028.67</v>
      </c>
      <c r="BC288" s="65">
        <v>570.10748354622444</v>
      </c>
      <c r="BD288" s="65">
        <v>12.098699446784533</v>
      </c>
      <c r="BE288" s="65">
        <v>0</v>
      </c>
      <c r="BF288" s="65">
        <v>55.457807368079479</v>
      </c>
      <c r="BG288" s="65">
        <v>0</v>
      </c>
      <c r="BH288" s="65">
        <v>57.797837795635012</v>
      </c>
      <c r="BI288" s="65">
        <v>1446.3619659709991</v>
      </c>
      <c r="BJ288" s="65">
        <v>0</v>
      </c>
      <c r="BK288" s="65">
        <v>12.751667915526451</v>
      </c>
      <c r="BL288" s="65">
        <v>0</v>
      </c>
      <c r="BM288" s="65">
        <v>0</v>
      </c>
      <c r="BN288" s="65">
        <v>66.583287540729913</v>
      </c>
      <c r="BO288" s="65">
        <v>212.18019192</v>
      </c>
      <c r="BP288" s="260">
        <f t="shared" si="304"/>
        <v>992</v>
      </c>
      <c r="BQ288" s="65">
        <v>169.34643269065211</v>
      </c>
      <c r="BR288" s="65">
        <v>221.25660324629911</v>
      </c>
      <c r="BS288" s="65">
        <v>800.6085105568817</v>
      </c>
      <c r="BT288" s="65">
        <v>249.70307330730245</v>
      </c>
      <c r="BU288" s="65">
        <v>296.68974978821666</v>
      </c>
      <c r="BV288" s="144">
        <f t="shared" si="294"/>
        <v>1225.5472591749647</v>
      </c>
      <c r="BW288" s="144">
        <f t="shared" si="295"/>
        <v>2638.9945860491371</v>
      </c>
      <c r="BX288" s="144">
        <f t="shared" si="296"/>
        <v>607.50190624077288</v>
      </c>
      <c r="BY288" s="5"/>
      <c r="BZ288" s="66">
        <v>7254</v>
      </c>
      <c r="CA288" s="4"/>
      <c r="CB288" s="5"/>
      <c r="CC288" s="5"/>
      <c r="CD288" s="188">
        <v>1.4538432884059718E-2</v>
      </c>
      <c r="CE288" s="5"/>
      <c r="CF288" s="133">
        <f t="shared" si="311"/>
        <v>1762.6666666666667</v>
      </c>
      <c r="CG288" s="70"/>
      <c r="CH288" s="70">
        <v>2480</v>
      </c>
      <c r="CI288" s="70"/>
      <c r="CJ288" s="133">
        <f t="shared" si="237"/>
        <v>1028.67</v>
      </c>
      <c r="CK288" s="8">
        <f t="shared" si="258"/>
        <v>31399.365616914896</v>
      </c>
      <c r="CL288" s="202">
        <f t="shared" si="238"/>
        <v>8997.9792682621046</v>
      </c>
      <c r="CM288" s="202">
        <f t="shared" si="239"/>
        <v>8997.9792682621046</v>
      </c>
      <c r="CN288" s="202">
        <f t="shared" si="240"/>
        <v>8997.9792682621046</v>
      </c>
      <c r="CO288" s="9">
        <f t="shared" si="241"/>
        <v>11545.117441119699</v>
      </c>
      <c r="CP288" s="9">
        <f t="shared" si="242"/>
        <v>10654.211487643857</v>
      </c>
      <c r="CQ288" s="9">
        <f t="shared" si="243"/>
        <v>6647.4531565833822</v>
      </c>
      <c r="CR288" s="202">
        <f t="shared" si="244"/>
        <v>8997.9792682621046</v>
      </c>
      <c r="CS288" s="202">
        <f t="shared" si="245"/>
        <v>8997.9792682621046</v>
      </c>
      <c r="CT288" s="202">
        <f t="shared" si="246"/>
        <v>8997.9792682621046</v>
      </c>
      <c r="CU288" s="203">
        <f t="shared" si="247"/>
        <v>0.22273689753218739</v>
      </c>
      <c r="CV288" s="203">
        <f t="shared" si="248"/>
        <v>0.22273689753218739</v>
      </c>
      <c r="CW288" s="203">
        <f t="shared" si="249"/>
        <v>0.22273689753218739</v>
      </c>
      <c r="CX288" s="19">
        <f t="shared" si="250"/>
        <v>0.26883819804089348</v>
      </c>
      <c r="CY288" s="19">
        <f t="shared" si="251"/>
        <v>0.25334851922712903</v>
      </c>
      <c r="CZ288" s="19">
        <f t="shared" si="252"/>
        <v>0.17471771283053242</v>
      </c>
      <c r="DA288" s="203">
        <f t="shared" si="253"/>
        <v>0.22273689753218739</v>
      </c>
      <c r="DB288" s="203">
        <f t="shared" si="254"/>
        <v>0.22273689753218739</v>
      </c>
      <c r="DC288" s="203">
        <f t="shared" si="255"/>
        <v>0.22273689753218739</v>
      </c>
      <c r="DD288" s="65"/>
      <c r="DE288" s="66"/>
      <c r="DF288" s="66"/>
      <c r="DG288" s="66"/>
      <c r="DH288" s="66"/>
      <c r="DI288" s="66"/>
      <c r="DJ288" s="65"/>
      <c r="DK288" s="70"/>
      <c r="DL288" s="70"/>
      <c r="DM288" s="8">
        <f t="shared" si="256"/>
        <v>0</v>
      </c>
      <c r="DN288" s="8">
        <f t="shared" si="257"/>
        <v>31399.365616914896</v>
      </c>
      <c r="DO288" s="202">
        <f t="shared" si="263"/>
        <v>8997.9792682621046</v>
      </c>
      <c r="DP288" s="202">
        <f t="shared" si="264"/>
        <v>8997.9792682621046</v>
      </c>
      <c r="DQ288" s="202">
        <f t="shared" si="265"/>
        <v>8997.9792682621046</v>
      </c>
      <c r="DR288" s="9">
        <f t="shared" si="266"/>
        <v>11545.117441119699</v>
      </c>
      <c r="DS288" s="9">
        <f t="shared" si="259"/>
        <v>10654.211487643857</v>
      </c>
      <c r="DT288" s="9">
        <f t="shared" si="267"/>
        <v>6647.4531565833822</v>
      </c>
      <c r="DU288" s="202">
        <f t="shared" si="268"/>
        <v>8997.9792682621046</v>
      </c>
      <c r="DV288" s="202">
        <f t="shared" si="269"/>
        <v>8997.9792682621046</v>
      </c>
      <c r="DW288" s="202">
        <f t="shared" si="270"/>
        <v>8997.9792682621046</v>
      </c>
      <c r="DX288" s="203">
        <f t="shared" si="271"/>
        <v>0.22273689753218739</v>
      </c>
      <c r="DY288" s="203">
        <f t="shared" si="272"/>
        <v>0.22273689753218739</v>
      </c>
      <c r="DZ288" s="203">
        <f t="shared" si="273"/>
        <v>0.22273689753218739</v>
      </c>
      <c r="EA288" s="19">
        <f t="shared" si="274"/>
        <v>0.26883819804089348</v>
      </c>
      <c r="EB288" s="19">
        <f t="shared" si="260"/>
        <v>0.25334851922712903</v>
      </c>
      <c r="EC288" s="19">
        <f t="shared" si="275"/>
        <v>0.17471771283053242</v>
      </c>
      <c r="ED288" s="203">
        <f t="shared" si="276"/>
        <v>0.22273689753218739</v>
      </c>
      <c r="EE288" s="203">
        <f t="shared" si="277"/>
        <v>0.22273689753218739</v>
      </c>
      <c r="EF288" s="203">
        <f t="shared" si="278"/>
        <v>0.22273689753218739</v>
      </c>
      <c r="EH288" s="58">
        <f t="shared" si="288"/>
        <v>26491.346011938975</v>
      </c>
      <c r="EI288" s="68">
        <f t="shared" si="289"/>
        <v>0.6299427500798076</v>
      </c>
      <c r="EJ288" s="58">
        <f t="shared" si="290"/>
        <v>22864.346011938975</v>
      </c>
      <c r="EK288" s="68">
        <f t="shared" si="289"/>
        <v>0.54369562796265436</v>
      </c>
      <c r="EL288" s="58">
        <f t="shared" si="291"/>
        <v>6754.4800897743889</v>
      </c>
      <c r="EM288" s="58">
        <f t="shared" si="292"/>
        <v>7361.9819960151617</v>
      </c>
      <c r="EN288" s="68">
        <f t="shared" si="293"/>
        <v>0.17506196863374787</v>
      </c>
      <c r="EO288" s="139">
        <f t="shared" si="312"/>
        <v>0.28868615856523006</v>
      </c>
      <c r="EP288">
        <f>+(SUM(M288:O288)*EO288*(1-'[1]Tier 3 Data'!$A$2))</f>
        <v>1720.7414053320729</v>
      </c>
    </row>
    <row r="289" spans="1:146" x14ac:dyDescent="0.2">
      <c r="A289" s="43">
        <v>0</v>
      </c>
      <c r="B289" s="43">
        <v>0</v>
      </c>
      <c r="C289" s="43">
        <v>0</v>
      </c>
      <c r="D289" s="70">
        <v>2031</v>
      </c>
      <c r="E289" s="70">
        <v>6</v>
      </c>
      <c r="F289" s="2">
        <v>720</v>
      </c>
      <c r="G289" s="133">
        <f t="shared" si="305"/>
        <v>40229.381572833387</v>
      </c>
      <c r="H289" s="65">
        <v>40229.381572833387</v>
      </c>
      <c r="I289" s="133">
        <f t="shared" si="306"/>
        <v>40229.381572833387</v>
      </c>
      <c r="J289" s="133">
        <f t="shared" si="285"/>
        <v>3088.7564999999995</v>
      </c>
      <c r="K289" s="65">
        <v>3088.7564999999995</v>
      </c>
      <c r="L289" s="133">
        <f t="shared" si="286"/>
        <v>3088.7564999999995</v>
      </c>
      <c r="M289" s="65">
        <v>1630.7561929849653</v>
      </c>
      <c r="N289" s="65">
        <v>3511.538810303055</v>
      </c>
      <c r="O289" s="65">
        <v>813.21819014528933</v>
      </c>
      <c r="P289" s="200">
        <f t="shared" si="279"/>
        <v>35353.971114803389</v>
      </c>
      <c r="Q289" s="200">
        <f t="shared" si="280"/>
        <v>35353.971114803389</v>
      </c>
      <c r="R289" s="200">
        <f t="shared" si="281"/>
        <v>35353.971114803389</v>
      </c>
      <c r="S289" s="133">
        <f t="shared" si="307"/>
        <v>36896.659615789795</v>
      </c>
      <c r="T289" s="133">
        <f t="shared" si="308"/>
        <v>36896.659615789795</v>
      </c>
      <c r="U289" s="133">
        <f t="shared" si="309"/>
        <v>36896.659615789795</v>
      </c>
      <c r="V289" s="200">
        <f t="shared" si="282"/>
        <v>35353.971114803389</v>
      </c>
      <c r="W289" s="200">
        <f t="shared" si="283"/>
        <v>35353.971114803389</v>
      </c>
      <c r="X289" s="200">
        <f t="shared" si="284"/>
        <v>35353.971114803389</v>
      </c>
      <c r="Y289" s="65">
        <v>8947.2587867391831</v>
      </c>
      <c r="Z289" s="65">
        <v>8238.2121210473015</v>
      </c>
      <c r="AA289" s="65">
        <v>3918.8466509052987</v>
      </c>
      <c r="AB289" s="200">
        <f t="shared" si="297"/>
        <v>43592.183235850694</v>
      </c>
      <c r="AC289" s="200">
        <f t="shared" si="298"/>
        <v>43592.183235850694</v>
      </c>
      <c r="AD289" s="200">
        <f t="shared" si="299"/>
        <v>43592.183235850694</v>
      </c>
      <c r="AE289" s="199">
        <f t="shared" si="261"/>
        <v>45843.91840252898</v>
      </c>
      <c r="AF289" s="199">
        <f t="shared" si="300"/>
        <v>45134.8717368371</v>
      </c>
      <c r="AG289" s="199">
        <f t="shared" si="262"/>
        <v>40815.506266695091</v>
      </c>
      <c r="AH289" s="199">
        <f t="shared" si="310"/>
        <v>43329.712334612035</v>
      </c>
      <c r="AI289" s="200">
        <f t="shared" si="301"/>
        <v>43592.183235850694</v>
      </c>
      <c r="AJ289" s="200">
        <f t="shared" si="302"/>
        <v>43592.183235850694</v>
      </c>
      <c r="AK289" s="200">
        <f t="shared" si="303"/>
        <v>43592.183235850694</v>
      </c>
      <c r="AL289" s="4"/>
      <c r="AM289" s="4"/>
      <c r="AN289" s="4"/>
      <c r="AO289" s="4"/>
      <c r="AP289" s="63"/>
      <c r="AQ289" s="18"/>
      <c r="AR289" s="18"/>
      <c r="AS289" s="66">
        <v>3285.6</v>
      </c>
      <c r="AT289" s="18"/>
      <c r="AU289" s="133">
        <f t="shared" ref="AU289:AV352" si="313">+AU277</f>
        <v>128.934</v>
      </c>
      <c r="AV289" s="133">
        <f t="shared" si="313"/>
        <v>3110.2840000000001</v>
      </c>
      <c r="AW289" s="63"/>
      <c r="AX289" s="63"/>
      <c r="AY289" s="65">
        <v>1170.1048746057143</v>
      </c>
      <c r="AZ289" s="63"/>
      <c r="BA289" s="65">
        <v>2058.0909999999999</v>
      </c>
      <c r="BB289" s="133">
        <f t="shared" si="287"/>
        <v>1047.68</v>
      </c>
      <c r="BC289" s="65">
        <v>605.91554170888298</v>
      </c>
      <c r="BD289" s="65">
        <v>8.3809700100652513</v>
      </c>
      <c r="BE289" s="65">
        <v>0</v>
      </c>
      <c r="BF289" s="65">
        <v>48.695768655829205</v>
      </c>
      <c r="BG289" s="65">
        <v>0</v>
      </c>
      <c r="BH289" s="65">
        <v>24.770501912414993</v>
      </c>
      <c r="BI289" s="65">
        <v>1537.2069643204168</v>
      </c>
      <c r="BJ289" s="65">
        <v>0</v>
      </c>
      <c r="BK289" s="65">
        <v>11.763509963764358</v>
      </c>
      <c r="BL289" s="65">
        <v>0</v>
      </c>
      <c r="BM289" s="65">
        <v>0</v>
      </c>
      <c r="BN289" s="65">
        <v>28.535694660312817</v>
      </c>
      <c r="BO289" s="65">
        <v>205.33566960000002</v>
      </c>
      <c r="BP289" s="260">
        <f t="shared" si="304"/>
        <v>960</v>
      </c>
      <c r="BQ289" s="65">
        <v>164.64854640043194</v>
      </c>
      <c r="BR289" s="65">
        <v>215.11870210974681</v>
      </c>
      <c r="BS289" s="65">
        <v>778.39874692513229</v>
      </c>
      <c r="BT289" s="65">
        <v>261.37164709772196</v>
      </c>
      <c r="BU289" s="65">
        <v>288.93181488926382</v>
      </c>
      <c r="BV289" s="144">
        <f t="shared" si="294"/>
        <v>1141.5293350894756</v>
      </c>
      <c r="BW289" s="144">
        <f t="shared" si="295"/>
        <v>2458.0771672121382</v>
      </c>
      <c r="BX289" s="144">
        <f t="shared" si="296"/>
        <v>569.25273310170246</v>
      </c>
      <c r="BY289" s="5"/>
      <c r="BZ289" s="66">
        <v>7020</v>
      </c>
      <c r="CA289" s="4"/>
      <c r="CB289" s="5"/>
      <c r="CC289" s="5"/>
      <c r="CD289" s="188">
        <v>2.1777775833862054</v>
      </c>
      <c r="CE289" s="5"/>
      <c r="CF289" s="133">
        <f t="shared" si="311"/>
        <v>680.66666666666663</v>
      </c>
      <c r="CG289" s="70"/>
      <c r="CH289" s="70">
        <v>4368</v>
      </c>
      <c r="CI289" s="70"/>
      <c r="CJ289" s="133">
        <f t="shared" ref="CJ289:CJ293" si="314">BB289</f>
        <v>1047.68</v>
      </c>
      <c r="CK289" s="8">
        <f t="shared" si="258"/>
        <v>32179.471632513065</v>
      </c>
      <c r="CL289" s="202">
        <f t="shared" si="238"/>
        <v>11412.71160333763</v>
      </c>
      <c r="CM289" s="202">
        <f t="shared" si="239"/>
        <v>11412.71160333763</v>
      </c>
      <c r="CN289" s="202">
        <f t="shared" si="240"/>
        <v>11412.71160333763</v>
      </c>
      <c r="CO289" s="9">
        <f t="shared" si="241"/>
        <v>13664.446770015915</v>
      </c>
      <c r="CP289" s="9">
        <f t="shared" si="242"/>
        <v>12955.400104324035</v>
      </c>
      <c r="CQ289" s="9">
        <f t="shared" si="243"/>
        <v>8636.0346341820259</v>
      </c>
      <c r="CR289" s="202">
        <f t="shared" si="244"/>
        <v>11412.71160333763</v>
      </c>
      <c r="CS289" s="202">
        <f t="shared" si="245"/>
        <v>11412.71160333763</v>
      </c>
      <c r="CT289" s="202">
        <f t="shared" si="246"/>
        <v>11412.71160333763</v>
      </c>
      <c r="CU289" s="203">
        <f t="shared" si="247"/>
        <v>0.26180637802861156</v>
      </c>
      <c r="CV289" s="203">
        <f t="shared" si="248"/>
        <v>0.26180637802861156</v>
      </c>
      <c r="CW289" s="203">
        <f t="shared" si="249"/>
        <v>0.26180637802861156</v>
      </c>
      <c r="CX289" s="19">
        <f t="shared" si="250"/>
        <v>0.29806454697079549</v>
      </c>
      <c r="CY289" s="19">
        <f t="shared" si="251"/>
        <v>0.28703748577954652</v>
      </c>
      <c r="CZ289" s="19">
        <f t="shared" si="252"/>
        <v>0.21158710069042841</v>
      </c>
      <c r="DA289" s="203">
        <f t="shared" si="253"/>
        <v>0.26180637802861156</v>
      </c>
      <c r="DB289" s="203">
        <f t="shared" si="254"/>
        <v>0.26180637802861156</v>
      </c>
      <c r="DC289" s="203">
        <f t="shared" si="255"/>
        <v>0.26180637802861156</v>
      </c>
      <c r="DD289" s="65"/>
      <c r="DE289" s="66"/>
      <c r="DF289" s="66"/>
      <c r="DG289" s="66"/>
      <c r="DH289" s="66"/>
      <c r="DI289" s="66"/>
      <c r="DJ289" s="65"/>
      <c r="DK289" s="70"/>
      <c r="DL289" s="70"/>
      <c r="DM289" s="8">
        <f t="shared" si="256"/>
        <v>0</v>
      </c>
      <c r="DN289" s="8">
        <f t="shared" si="257"/>
        <v>32179.471632513065</v>
      </c>
      <c r="DO289" s="202">
        <f t="shared" si="263"/>
        <v>11412.71160333763</v>
      </c>
      <c r="DP289" s="202">
        <f t="shared" si="264"/>
        <v>11412.71160333763</v>
      </c>
      <c r="DQ289" s="202">
        <f t="shared" si="265"/>
        <v>11412.71160333763</v>
      </c>
      <c r="DR289" s="9">
        <f t="shared" si="266"/>
        <v>13664.446770015915</v>
      </c>
      <c r="DS289" s="9">
        <f t="shared" si="259"/>
        <v>12955.400104324035</v>
      </c>
      <c r="DT289" s="9">
        <f t="shared" si="267"/>
        <v>8636.0346341820259</v>
      </c>
      <c r="DU289" s="202">
        <f t="shared" si="268"/>
        <v>11412.71160333763</v>
      </c>
      <c r="DV289" s="202">
        <f t="shared" si="269"/>
        <v>11412.71160333763</v>
      </c>
      <c r="DW289" s="202">
        <f t="shared" si="270"/>
        <v>11412.71160333763</v>
      </c>
      <c r="DX289" s="203">
        <f t="shared" si="271"/>
        <v>0.26180637802861156</v>
      </c>
      <c r="DY289" s="203">
        <f t="shared" si="272"/>
        <v>0.26180637802861156</v>
      </c>
      <c r="DZ289" s="203">
        <f t="shared" si="273"/>
        <v>0.26180637802861156</v>
      </c>
      <c r="EA289" s="19">
        <f t="shared" si="274"/>
        <v>0.29806454697079549</v>
      </c>
      <c r="EB289" s="19">
        <f t="shared" si="260"/>
        <v>0.28703748577954652</v>
      </c>
      <c r="EC289" s="19">
        <f t="shared" si="275"/>
        <v>0.21158710069042841</v>
      </c>
      <c r="ED289" s="203">
        <f t="shared" si="276"/>
        <v>0.26180637802861156</v>
      </c>
      <c r="EE289" s="203">
        <f t="shared" si="277"/>
        <v>0.26180637802861156</v>
      </c>
      <c r="EF289" s="203">
        <f t="shared" si="278"/>
        <v>0.26180637802861156</v>
      </c>
      <c r="EH289" s="58">
        <f t="shared" si="288"/>
        <v>27477.068751184372</v>
      </c>
      <c r="EI289" s="68">
        <f t="shared" si="289"/>
        <v>0.60877693219982709</v>
      </c>
      <c r="EJ289" s="58">
        <f t="shared" si="290"/>
        <v>23967.068751184372</v>
      </c>
      <c r="EK289" s="68">
        <f t="shared" si="289"/>
        <v>0.53101001130404235</v>
      </c>
      <c r="EL289" s="58">
        <f t="shared" si="291"/>
        <v>6588.4554768102917</v>
      </c>
      <c r="EM289" s="58">
        <f t="shared" si="292"/>
        <v>7157.7082099119943</v>
      </c>
      <c r="EN289" s="68">
        <f t="shared" si="293"/>
        <v>0.15858487981633473</v>
      </c>
      <c r="EO289" s="139">
        <f t="shared" si="312"/>
        <v>0.24029016665052916</v>
      </c>
      <c r="EP289">
        <f>+(SUM(M289:O289)*EO289*(1-'[1]Tier 3 Data'!$A$2))</f>
        <v>1335.1708234709677</v>
      </c>
    </row>
    <row r="290" spans="1:146" x14ac:dyDescent="0.2">
      <c r="A290" s="43">
        <v>0</v>
      </c>
      <c r="B290" s="43">
        <v>0</v>
      </c>
      <c r="C290" s="43">
        <v>0</v>
      </c>
      <c r="D290" s="70">
        <v>2031</v>
      </c>
      <c r="E290" s="70">
        <v>7</v>
      </c>
      <c r="F290" s="2">
        <v>744</v>
      </c>
      <c r="G290" s="133">
        <f t="shared" si="305"/>
        <v>46189.443629566929</v>
      </c>
      <c r="H290" s="65">
        <v>46189.443629566929</v>
      </c>
      <c r="I290" s="133">
        <f t="shared" si="306"/>
        <v>46189.443629566929</v>
      </c>
      <c r="J290" s="133">
        <f t="shared" si="285"/>
        <v>3129.1312499999995</v>
      </c>
      <c r="K290" s="65">
        <v>3129.1312499999995</v>
      </c>
      <c r="L290" s="133">
        <f t="shared" si="286"/>
        <v>3129.1312499999995</v>
      </c>
      <c r="M290" s="65">
        <v>1709.2251160000674</v>
      </c>
      <c r="N290" s="65">
        <v>3680.5074579497937</v>
      </c>
      <c r="O290" s="65">
        <v>857.14102723796111</v>
      </c>
      <c r="P290" s="200">
        <f t="shared" si="279"/>
        <v>41186.250299210587</v>
      </c>
      <c r="Q290" s="200">
        <f t="shared" si="280"/>
        <v>41186.250299210587</v>
      </c>
      <c r="R290" s="200">
        <f t="shared" si="281"/>
        <v>41186.250299210587</v>
      </c>
      <c r="S290" s="133">
        <f t="shared" si="307"/>
        <v>42803.170071395543</v>
      </c>
      <c r="T290" s="133">
        <f t="shared" si="308"/>
        <v>42803.170071395543</v>
      </c>
      <c r="U290" s="133">
        <f t="shared" si="309"/>
        <v>42803.170071395543</v>
      </c>
      <c r="V290" s="200">
        <f t="shared" si="282"/>
        <v>41186.250299210587</v>
      </c>
      <c r="W290" s="200">
        <f t="shared" si="283"/>
        <v>41186.250299210587</v>
      </c>
      <c r="X290" s="200">
        <f t="shared" si="284"/>
        <v>41186.250299210587</v>
      </c>
      <c r="Y290" s="65">
        <v>9958.2639534284717</v>
      </c>
      <c r="Z290" s="65">
        <v>9986.0565549487346</v>
      </c>
      <c r="AA290" s="65">
        <v>4577.4815467417347</v>
      </c>
      <c r="AB290" s="200">
        <f t="shared" si="297"/>
        <v>51172.306854159324</v>
      </c>
      <c r="AC290" s="200">
        <f t="shared" si="298"/>
        <v>51172.306854159324</v>
      </c>
      <c r="AD290" s="200">
        <f t="shared" si="299"/>
        <v>51172.306854159324</v>
      </c>
      <c r="AE290" s="199">
        <f t="shared" si="261"/>
        <v>52761.434024824019</v>
      </c>
      <c r="AF290" s="199">
        <f t="shared" si="300"/>
        <v>52789.22662634428</v>
      </c>
      <c r="AG290" s="199">
        <f t="shared" si="262"/>
        <v>47380.651618137279</v>
      </c>
      <c r="AH290" s="199">
        <f t="shared" si="310"/>
        <v>50084.939122240779</v>
      </c>
      <c r="AI290" s="200">
        <f t="shared" si="301"/>
        <v>51172.306854159324</v>
      </c>
      <c r="AJ290" s="200">
        <f t="shared" si="302"/>
        <v>51172.306854159324</v>
      </c>
      <c r="AK290" s="200">
        <f t="shared" si="303"/>
        <v>51172.306854159324</v>
      </c>
      <c r="AL290" s="4"/>
      <c r="AM290" s="4"/>
      <c r="AN290" s="4"/>
      <c r="AO290" s="4"/>
      <c r="AP290" s="63"/>
      <c r="AQ290" s="18"/>
      <c r="AR290" s="18"/>
      <c r="AS290" s="66">
        <v>3395.12</v>
      </c>
      <c r="AT290" s="18"/>
      <c r="AU290" s="133">
        <f t="shared" si="313"/>
        <v>118.521</v>
      </c>
      <c r="AV290" s="133">
        <f t="shared" si="313"/>
        <v>3084.53</v>
      </c>
      <c r="AW290" s="63"/>
      <c r="AX290" s="63"/>
      <c r="AY290" s="65">
        <v>1237.5528587885699</v>
      </c>
      <c r="AZ290" s="63"/>
      <c r="BA290" s="65">
        <v>1516.482</v>
      </c>
      <c r="BB290" s="133">
        <f t="shared" si="287"/>
        <v>874.91</v>
      </c>
      <c r="BC290" s="65">
        <v>586.79739986786444</v>
      </c>
      <c r="BD290" s="65">
        <v>7.5724679441334652</v>
      </c>
      <c r="BE290" s="65">
        <v>0</v>
      </c>
      <c r="BF290" s="65">
        <v>39.027988287348236</v>
      </c>
      <c r="BG290" s="65">
        <v>0</v>
      </c>
      <c r="BH290" s="65">
        <v>24.770501912414993</v>
      </c>
      <c r="BI290" s="65">
        <v>1488.7042626072459</v>
      </c>
      <c r="BJ290" s="65">
        <v>0</v>
      </c>
      <c r="BK290" s="65">
        <v>9.5733821057653241</v>
      </c>
      <c r="BL290" s="65">
        <v>0</v>
      </c>
      <c r="BM290" s="65">
        <v>0</v>
      </c>
      <c r="BN290" s="65">
        <v>28.535694660312817</v>
      </c>
      <c r="BO290" s="65">
        <v>212.18019192</v>
      </c>
      <c r="BP290" s="260">
        <f t="shared" si="304"/>
        <v>992</v>
      </c>
      <c r="BQ290" s="65">
        <v>166.55133003682806</v>
      </c>
      <c r="BR290" s="65">
        <v>217.60467617980893</v>
      </c>
      <c r="BS290" s="65">
        <v>787.39414843240718</v>
      </c>
      <c r="BT290" s="65">
        <v>270.06390286045757</v>
      </c>
      <c r="BU290" s="65">
        <v>297.06982146407313</v>
      </c>
      <c r="BV290" s="144">
        <f t="shared" si="294"/>
        <v>1196.4575812000471</v>
      </c>
      <c r="BW290" s="144">
        <f t="shared" si="295"/>
        <v>2576.3552205648552</v>
      </c>
      <c r="BX290" s="144">
        <f t="shared" si="296"/>
        <v>599.99871906657279</v>
      </c>
      <c r="BY290" s="5"/>
      <c r="BZ290" s="66">
        <v>7254</v>
      </c>
      <c r="CA290" s="4"/>
      <c r="CB290" s="5"/>
      <c r="CC290" s="5"/>
      <c r="CD290" s="188">
        <v>2.1042112926473342</v>
      </c>
      <c r="CE290" s="5"/>
      <c r="CF290" s="133">
        <f t="shared" si="311"/>
        <v>971.33333333333337</v>
      </c>
      <c r="CG290" s="70"/>
      <c r="CH290" s="70">
        <v>6720</v>
      </c>
      <c r="CI290" s="70"/>
      <c r="CJ290" s="133">
        <f t="shared" si="314"/>
        <v>874.91</v>
      </c>
      <c r="CK290" s="8">
        <f t="shared" si="258"/>
        <v>34675.210692524692</v>
      </c>
      <c r="CL290" s="202">
        <f t="shared" si="238"/>
        <v>16497.096161634632</v>
      </c>
      <c r="CM290" s="202">
        <f t="shared" si="239"/>
        <v>16497.096161634632</v>
      </c>
      <c r="CN290" s="202">
        <f t="shared" si="240"/>
        <v>16497.096161634632</v>
      </c>
      <c r="CO290" s="9">
        <f t="shared" si="241"/>
        <v>18086.223332299327</v>
      </c>
      <c r="CP290" s="9">
        <f t="shared" si="242"/>
        <v>18114.015933819588</v>
      </c>
      <c r="CQ290" s="9">
        <f t="shared" si="243"/>
        <v>12705.440925612587</v>
      </c>
      <c r="CR290" s="202">
        <f t="shared" si="244"/>
        <v>16497.096161634632</v>
      </c>
      <c r="CS290" s="202">
        <f t="shared" si="245"/>
        <v>16497.096161634632</v>
      </c>
      <c r="CT290" s="202">
        <f t="shared" si="246"/>
        <v>16497.096161634632</v>
      </c>
      <c r="CU290" s="203">
        <f t="shared" si="247"/>
        <v>0.32238328064144595</v>
      </c>
      <c r="CV290" s="203">
        <f t="shared" si="248"/>
        <v>0.32238328064144595</v>
      </c>
      <c r="CW290" s="203">
        <f t="shared" si="249"/>
        <v>0.32238328064144595</v>
      </c>
      <c r="CX290" s="19">
        <f t="shared" si="250"/>
        <v>0.34279248975283422</v>
      </c>
      <c r="CY290" s="19">
        <f t="shared" si="251"/>
        <v>0.3431384979748851</v>
      </c>
      <c r="CZ290" s="19">
        <f t="shared" si="252"/>
        <v>0.26815673680496521</v>
      </c>
      <c r="DA290" s="203">
        <f t="shared" si="253"/>
        <v>0.32238328064144595</v>
      </c>
      <c r="DB290" s="203">
        <f t="shared" si="254"/>
        <v>0.32238328064144595</v>
      </c>
      <c r="DC290" s="203">
        <f t="shared" si="255"/>
        <v>0.32238328064144595</v>
      </c>
      <c r="DD290" s="65"/>
      <c r="DE290" s="66"/>
      <c r="DF290" s="66"/>
      <c r="DG290" s="66"/>
      <c r="DH290" s="66"/>
      <c r="DI290" s="66"/>
      <c r="DJ290" s="65"/>
      <c r="DK290" s="70"/>
      <c r="DL290" s="70"/>
      <c r="DM290" s="8">
        <f t="shared" si="256"/>
        <v>0</v>
      </c>
      <c r="DN290" s="8">
        <f t="shared" si="257"/>
        <v>34675.210692524692</v>
      </c>
      <c r="DO290" s="202">
        <f t="shared" si="263"/>
        <v>16497.096161634632</v>
      </c>
      <c r="DP290" s="202">
        <f t="shared" si="264"/>
        <v>16497.096161634632</v>
      </c>
      <c r="DQ290" s="202">
        <f t="shared" si="265"/>
        <v>16497.096161634632</v>
      </c>
      <c r="DR290" s="9">
        <f t="shared" si="266"/>
        <v>18086.223332299327</v>
      </c>
      <c r="DS290" s="9">
        <f t="shared" si="259"/>
        <v>18114.015933819588</v>
      </c>
      <c r="DT290" s="9">
        <f t="shared" si="267"/>
        <v>12705.440925612587</v>
      </c>
      <c r="DU290" s="202">
        <f t="shared" si="268"/>
        <v>16497.096161634632</v>
      </c>
      <c r="DV290" s="202">
        <f t="shared" si="269"/>
        <v>16497.096161634632</v>
      </c>
      <c r="DW290" s="202">
        <f t="shared" si="270"/>
        <v>16497.096161634632</v>
      </c>
      <c r="DX290" s="203">
        <f t="shared" si="271"/>
        <v>0.32238328064144595</v>
      </c>
      <c r="DY290" s="203">
        <f t="shared" si="272"/>
        <v>0.32238328064144595</v>
      </c>
      <c r="DZ290" s="203">
        <f t="shared" si="273"/>
        <v>0.32238328064144595</v>
      </c>
      <c r="EA290" s="19">
        <f t="shared" si="274"/>
        <v>0.34279248975283422</v>
      </c>
      <c r="EB290" s="19">
        <f t="shared" si="260"/>
        <v>0.3431384979748851</v>
      </c>
      <c r="EC290" s="19">
        <f t="shared" si="275"/>
        <v>0.26815673680496521</v>
      </c>
      <c r="ED290" s="203">
        <f t="shared" si="276"/>
        <v>0.32238328064144595</v>
      </c>
      <c r="EE290" s="203">
        <f t="shared" si="277"/>
        <v>0.32238328064144595</v>
      </c>
      <c r="EF290" s="203">
        <f t="shared" si="278"/>
        <v>0.32238328064144595</v>
      </c>
      <c r="EH290" s="58">
        <f t="shared" si="288"/>
        <v>29810.620911744641</v>
      </c>
      <c r="EI290" s="68">
        <f t="shared" si="289"/>
        <v>0.56471031717800835</v>
      </c>
      <c r="EJ290" s="58">
        <f t="shared" si="290"/>
        <v>26183.620911744645</v>
      </c>
      <c r="EK290" s="68">
        <f t="shared" si="289"/>
        <v>0.49600311626232085</v>
      </c>
      <c r="EL290" s="58">
        <f t="shared" si="291"/>
        <v>6673.1730005561676</v>
      </c>
      <c r="EM290" s="58">
        <f t="shared" si="292"/>
        <v>7273.1717196227401</v>
      </c>
      <c r="EN290" s="68">
        <f t="shared" si="293"/>
        <v>0.13777757668442692</v>
      </c>
      <c r="EO290" s="139">
        <f t="shared" si="312"/>
        <v>0.25197746931178833</v>
      </c>
      <c r="EP290">
        <f>+(SUM(M290:O290)*EO290*(1-'[1]Tier 3 Data'!$A$2))</f>
        <v>1468.6086172616842</v>
      </c>
    </row>
    <row r="291" spans="1:146" x14ac:dyDescent="0.2">
      <c r="A291" s="43">
        <v>0</v>
      </c>
      <c r="B291" s="43">
        <v>0</v>
      </c>
      <c r="C291" s="43">
        <v>0</v>
      </c>
      <c r="D291" s="70">
        <v>2031</v>
      </c>
      <c r="E291" s="70">
        <v>8</v>
      </c>
      <c r="F291" s="2">
        <v>744</v>
      </c>
      <c r="G291" s="133">
        <f t="shared" si="305"/>
        <v>44113.894404532432</v>
      </c>
      <c r="H291" s="65">
        <v>44113.894404532432</v>
      </c>
      <c r="I291" s="133">
        <f t="shared" si="306"/>
        <v>44113.894404532432</v>
      </c>
      <c r="J291" s="133">
        <f t="shared" si="285"/>
        <v>3169.5059999999994</v>
      </c>
      <c r="K291" s="65">
        <v>3169.5059999999994</v>
      </c>
      <c r="L291" s="133">
        <f t="shared" si="286"/>
        <v>3169.5059999999994</v>
      </c>
      <c r="M291" s="65">
        <v>1523.4196774399222</v>
      </c>
      <c r="N291" s="65">
        <v>3280.4090180505418</v>
      </c>
      <c r="O291" s="65">
        <v>769.90349232696497</v>
      </c>
      <c r="P291" s="200">
        <f t="shared" si="279"/>
        <v>39272.268748187198</v>
      </c>
      <c r="Q291" s="200">
        <f t="shared" si="280"/>
        <v>39272.268748187198</v>
      </c>
      <c r="R291" s="200">
        <f t="shared" si="281"/>
        <v>39272.268748187198</v>
      </c>
      <c r="S291" s="133">
        <f t="shared" si="307"/>
        <v>40713.417356834339</v>
      </c>
      <c r="T291" s="133">
        <f t="shared" si="308"/>
        <v>40713.417356834339</v>
      </c>
      <c r="U291" s="133">
        <f t="shared" si="309"/>
        <v>40713.417356834339</v>
      </c>
      <c r="V291" s="200">
        <f t="shared" si="282"/>
        <v>39272.268748187198</v>
      </c>
      <c r="W291" s="200">
        <f t="shared" si="283"/>
        <v>39272.268748187198</v>
      </c>
      <c r="X291" s="200">
        <f t="shared" si="284"/>
        <v>39272.268748187198</v>
      </c>
      <c r="Y291" s="65">
        <v>9598.5153234148438</v>
      </c>
      <c r="Z291" s="65">
        <v>9204.4348071552977</v>
      </c>
      <c r="AA291" s="65">
        <v>4329.0422109131832</v>
      </c>
      <c r="AB291" s="200">
        <f t="shared" si="297"/>
        <v>48476.703555342494</v>
      </c>
      <c r="AC291" s="200">
        <f t="shared" si="298"/>
        <v>48476.703555342494</v>
      </c>
      <c r="AD291" s="200">
        <f t="shared" si="299"/>
        <v>48476.703555342494</v>
      </c>
      <c r="AE291" s="199">
        <f t="shared" si="261"/>
        <v>50311.932680249185</v>
      </c>
      <c r="AF291" s="199">
        <f t="shared" si="300"/>
        <v>49917.852163989635</v>
      </c>
      <c r="AG291" s="199">
        <f t="shared" si="262"/>
        <v>45042.459567747523</v>
      </c>
      <c r="AH291" s="199">
        <f t="shared" si="310"/>
        <v>47677.19612399835</v>
      </c>
      <c r="AI291" s="200">
        <f t="shared" si="301"/>
        <v>48476.703555342494</v>
      </c>
      <c r="AJ291" s="200">
        <f t="shared" si="302"/>
        <v>48476.703555342494</v>
      </c>
      <c r="AK291" s="200">
        <f t="shared" si="303"/>
        <v>48476.703555342494</v>
      </c>
      <c r="AL291" s="4"/>
      <c r="AM291" s="4"/>
      <c r="AN291" s="4"/>
      <c r="AO291" s="4"/>
      <c r="AP291" s="63"/>
      <c r="AQ291" s="18"/>
      <c r="AR291" s="18"/>
      <c r="AS291" s="66">
        <v>3395.12</v>
      </c>
      <c r="AT291" s="18"/>
      <c r="AU291" s="133">
        <f t="shared" si="313"/>
        <v>107.64</v>
      </c>
      <c r="AV291" s="133">
        <f t="shared" si="313"/>
        <v>3021.9279999999999</v>
      </c>
      <c r="AW291" s="63"/>
      <c r="AX291" s="63"/>
      <c r="AY291" s="65">
        <v>1159.3158527085716</v>
      </c>
      <c r="AZ291" s="63"/>
      <c r="BA291" s="65">
        <v>1498.2090000000001</v>
      </c>
      <c r="BB291" s="133">
        <f t="shared" si="287"/>
        <v>875.755</v>
      </c>
      <c r="BC291" s="65">
        <v>569.06141954142743</v>
      </c>
      <c r="BD291" s="65">
        <v>7.9692213995478474</v>
      </c>
      <c r="BE291" s="65">
        <v>0</v>
      </c>
      <c r="BF291" s="65">
        <v>42.974804648933343</v>
      </c>
      <c r="BG291" s="65">
        <v>0</v>
      </c>
      <c r="BH291" s="65">
        <v>20.642084927012505</v>
      </c>
      <c r="BI291" s="65">
        <v>1443.7081029115327</v>
      </c>
      <c r="BJ291" s="65">
        <v>0</v>
      </c>
      <c r="BK291" s="65">
        <v>11.152893841525399</v>
      </c>
      <c r="BL291" s="65">
        <v>0</v>
      </c>
      <c r="BM291" s="65">
        <v>0</v>
      </c>
      <c r="BN291" s="65">
        <v>23.779745550260678</v>
      </c>
      <c r="BO291" s="65">
        <v>212.18019192</v>
      </c>
      <c r="BP291" s="260">
        <f t="shared" si="304"/>
        <v>992</v>
      </c>
      <c r="BQ291" s="65">
        <v>158.07016260010781</v>
      </c>
      <c r="BR291" s="65">
        <v>206.52382215491266</v>
      </c>
      <c r="BS291" s="65">
        <v>747.298506008098</v>
      </c>
      <c r="BT291" s="65">
        <v>256.3181702430328</v>
      </c>
      <c r="BU291" s="65">
        <v>276.4181407362413</v>
      </c>
      <c r="BV291" s="144">
        <f t="shared" si="294"/>
        <v>1066.3937742079454</v>
      </c>
      <c r="BW291" s="144">
        <f t="shared" si="295"/>
        <v>2296.2863126353791</v>
      </c>
      <c r="BX291" s="144">
        <f t="shared" si="296"/>
        <v>538.93244462887549</v>
      </c>
      <c r="BY291" s="5"/>
      <c r="BZ291" s="66">
        <v>7254</v>
      </c>
      <c r="CA291" s="4"/>
      <c r="CB291" s="5"/>
      <c r="CC291" s="5"/>
      <c r="CD291" s="188">
        <v>16.868963591035975</v>
      </c>
      <c r="CE291" s="5"/>
      <c r="CF291" s="133">
        <f t="shared" si="311"/>
        <v>598.33333333333337</v>
      </c>
      <c r="CG291" s="70"/>
      <c r="CH291" s="70">
        <v>7280</v>
      </c>
      <c r="CI291" s="70"/>
      <c r="CJ291" s="133">
        <f t="shared" si="314"/>
        <v>875.755</v>
      </c>
      <c r="CK291" s="8">
        <f t="shared" si="258"/>
        <v>34076.879947587775</v>
      </c>
      <c r="CL291" s="202">
        <f t="shared" si="238"/>
        <v>14399.823607754719</v>
      </c>
      <c r="CM291" s="202">
        <f t="shared" si="239"/>
        <v>14399.823607754719</v>
      </c>
      <c r="CN291" s="202">
        <f t="shared" si="240"/>
        <v>14399.823607754719</v>
      </c>
      <c r="CO291" s="9">
        <f t="shared" si="241"/>
        <v>16235.05273266141</v>
      </c>
      <c r="CP291" s="9">
        <f t="shared" si="242"/>
        <v>15840.97221640186</v>
      </c>
      <c r="CQ291" s="9">
        <f t="shared" si="243"/>
        <v>10965.579620159748</v>
      </c>
      <c r="CR291" s="202">
        <f t="shared" si="244"/>
        <v>14399.823607754719</v>
      </c>
      <c r="CS291" s="202">
        <f t="shared" si="245"/>
        <v>14399.823607754719</v>
      </c>
      <c r="CT291" s="202">
        <f t="shared" si="246"/>
        <v>14399.823607754719</v>
      </c>
      <c r="CU291" s="203">
        <f t="shared" si="247"/>
        <v>0.29704626246533944</v>
      </c>
      <c r="CV291" s="203">
        <f t="shared" si="248"/>
        <v>0.29704626246533944</v>
      </c>
      <c r="CW291" s="203">
        <f t="shared" si="249"/>
        <v>0.29704626246533944</v>
      </c>
      <c r="CX291" s="19">
        <f t="shared" si="250"/>
        <v>0.32268791651954881</v>
      </c>
      <c r="CY291" s="19">
        <f t="shared" si="251"/>
        <v>0.31734082156342092</v>
      </c>
      <c r="CZ291" s="19">
        <f t="shared" si="252"/>
        <v>0.24344984100316777</v>
      </c>
      <c r="DA291" s="203">
        <f t="shared" si="253"/>
        <v>0.29704626246533944</v>
      </c>
      <c r="DB291" s="203">
        <f t="shared" si="254"/>
        <v>0.29704626246533944</v>
      </c>
      <c r="DC291" s="203">
        <f t="shared" si="255"/>
        <v>0.29704626246533944</v>
      </c>
      <c r="DD291" s="65"/>
      <c r="DE291" s="66"/>
      <c r="DF291" s="66"/>
      <c r="DG291" s="66"/>
      <c r="DH291" s="66"/>
      <c r="DI291" s="66"/>
      <c r="DJ291" s="65"/>
      <c r="DK291" s="70"/>
      <c r="DL291" s="70"/>
      <c r="DM291" s="8">
        <f t="shared" si="256"/>
        <v>0</v>
      </c>
      <c r="DN291" s="8">
        <f t="shared" si="257"/>
        <v>34076.879947587775</v>
      </c>
      <c r="DO291" s="202">
        <f t="shared" si="263"/>
        <v>14399.823607754719</v>
      </c>
      <c r="DP291" s="202">
        <f t="shared" si="264"/>
        <v>14399.823607754719</v>
      </c>
      <c r="DQ291" s="202">
        <f t="shared" si="265"/>
        <v>14399.823607754719</v>
      </c>
      <c r="DR291" s="9">
        <f t="shared" si="266"/>
        <v>16235.05273266141</v>
      </c>
      <c r="DS291" s="9">
        <f t="shared" si="259"/>
        <v>15840.97221640186</v>
      </c>
      <c r="DT291" s="9">
        <f t="shared" si="267"/>
        <v>10965.579620159748</v>
      </c>
      <c r="DU291" s="202">
        <f t="shared" si="268"/>
        <v>14399.823607754719</v>
      </c>
      <c r="DV291" s="202">
        <f t="shared" si="269"/>
        <v>14399.823607754719</v>
      </c>
      <c r="DW291" s="202">
        <f t="shared" si="270"/>
        <v>14399.823607754719</v>
      </c>
      <c r="DX291" s="203">
        <f t="shared" si="271"/>
        <v>0.29704626246533944</v>
      </c>
      <c r="DY291" s="203">
        <f t="shared" si="272"/>
        <v>0.29704626246533944</v>
      </c>
      <c r="DZ291" s="203">
        <f t="shared" si="273"/>
        <v>0.29704626246533944</v>
      </c>
      <c r="EA291" s="19">
        <f t="shared" si="274"/>
        <v>0.32268791651954881</v>
      </c>
      <c r="EB291" s="19">
        <f t="shared" si="260"/>
        <v>0.31734082156342092</v>
      </c>
      <c r="EC291" s="19">
        <f t="shared" si="275"/>
        <v>0.24344984100316777</v>
      </c>
      <c r="ED291" s="203">
        <f t="shared" si="276"/>
        <v>0.29704626246533944</v>
      </c>
      <c r="EE291" s="203">
        <f t="shared" si="277"/>
        <v>0.29704626246533944</v>
      </c>
      <c r="EF291" s="203">
        <f t="shared" si="278"/>
        <v>0.29704626246533944</v>
      </c>
      <c r="EH291" s="58">
        <f t="shared" si="288"/>
        <v>29323.64240513985</v>
      </c>
      <c r="EI291" s="68">
        <f t="shared" si="289"/>
        <v>0.5874379832851403</v>
      </c>
      <c r="EJ291" s="58">
        <f t="shared" si="290"/>
        <v>25696.642405139854</v>
      </c>
      <c r="EK291" s="68">
        <f t="shared" si="289"/>
        <v>0.51477860707470946</v>
      </c>
      <c r="EL291" s="58">
        <f t="shared" si="291"/>
        <v>6229.4087744690787</v>
      </c>
      <c r="EM291" s="58">
        <f t="shared" si="292"/>
        <v>6768.3412190979543</v>
      </c>
      <c r="EN291" s="68">
        <f t="shared" si="293"/>
        <v>0.13558959221367672</v>
      </c>
      <c r="EO291" s="139">
        <f t="shared" si="312"/>
        <v>0.28519905910129462</v>
      </c>
      <c r="EP291">
        <f>+(SUM(M291:O291)*EO291*(1-'[1]Tier 3 Data'!$A$2))</f>
        <v>1483.1184228797065</v>
      </c>
    </row>
    <row r="292" spans="1:146" x14ac:dyDescent="0.2">
      <c r="A292" s="43">
        <v>0</v>
      </c>
      <c r="B292" s="43">
        <v>0</v>
      </c>
      <c r="C292" s="43">
        <v>0</v>
      </c>
      <c r="D292" s="70">
        <v>2031</v>
      </c>
      <c r="E292" s="70">
        <v>9</v>
      </c>
      <c r="F292" s="2">
        <v>720</v>
      </c>
      <c r="G292" s="133">
        <f t="shared" si="305"/>
        <v>38321.797362354358</v>
      </c>
      <c r="H292" s="65">
        <v>38321.797362354358</v>
      </c>
      <c r="I292" s="133">
        <f t="shared" si="306"/>
        <v>38321.797362354358</v>
      </c>
      <c r="J292" s="133">
        <f t="shared" si="285"/>
        <v>3209.8807499999994</v>
      </c>
      <c r="K292" s="65">
        <v>3209.8807499999994</v>
      </c>
      <c r="L292" s="133">
        <f t="shared" si="286"/>
        <v>3209.8807499999994</v>
      </c>
      <c r="M292" s="65">
        <v>1305.6369062084025</v>
      </c>
      <c r="N292" s="65">
        <v>2811.4531700307239</v>
      </c>
      <c r="O292" s="65">
        <v>663.47118838146901</v>
      </c>
      <c r="P292" s="200">
        <f t="shared" si="279"/>
        <v>33677.748232968181</v>
      </c>
      <c r="Q292" s="200">
        <f t="shared" si="280"/>
        <v>33677.748232968181</v>
      </c>
      <c r="R292" s="200">
        <f t="shared" si="281"/>
        <v>33677.748232968181</v>
      </c>
      <c r="S292" s="133">
        <f t="shared" si="307"/>
        <v>34912.875255839921</v>
      </c>
      <c r="T292" s="133">
        <f t="shared" si="308"/>
        <v>34912.875255839921</v>
      </c>
      <c r="U292" s="133">
        <f t="shared" si="309"/>
        <v>34912.875255839921</v>
      </c>
      <c r="V292" s="200">
        <f t="shared" si="282"/>
        <v>33677.748232968181</v>
      </c>
      <c r="W292" s="200">
        <f t="shared" si="283"/>
        <v>33677.748232968181</v>
      </c>
      <c r="X292" s="200">
        <f t="shared" si="284"/>
        <v>33677.748232968181</v>
      </c>
      <c r="Y292" s="65">
        <v>9135.6660333728942</v>
      </c>
      <c r="Z292" s="65">
        <v>8396.1648944821445</v>
      </c>
      <c r="AA292" s="65">
        <v>3946.3853259151106</v>
      </c>
      <c r="AB292" s="200">
        <f t="shared" si="297"/>
        <v>42073.913127450323</v>
      </c>
      <c r="AC292" s="200">
        <f t="shared" si="298"/>
        <v>42073.913127450323</v>
      </c>
      <c r="AD292" s="200">
        <f t="shared" si="299"/>
        <v>42073.913127450323</v>
      </c>
      <c r="AE292" s="199">
        <f t="shared" si="261"/>
        <v>44048.541289212815</v>
      </c>
      <c r="AF292" s="199">
        <f t="shared" si="300"/>
        <v>43309.040150322064</v>
      </c>
      <c r="AG292" s="199">
        <f t="shared" si="262"/>
        <v>38859.260581755028</v>
      </c>
      <c r="AH292" s="199">
        <f t="shared" si="310"/>
        <v>41453.900935483922</v>
      </c>
      <c r="AI292" s="200">
        <f t="shared" si="301"/>
        <v>42073.913127450323</v>
      </c>
      <c r="AJ292" s="200">
        <f t="shared" si="302"/>
        <v>42073.913127450323</v>
      </c>
      <c r="AK292" s="200">
        <f t="shared" si="303"/>
        <v>42073.913127450323</v>
      </c>
      <c r="AL292" s="4"/>
      <c r="AM292" s="4"/>
      <c r="AN292" s="4"/>
      <c r="AO292" s="4"/>
      <c r="AP292" s="63"/>
      <c r="AQ292" s="18"/>
      <c r="AR292" s="18"/>
      <c r="AS292" s="66">
        <v>3285.6</v>
      </c>
      <c r="AT292" s="18"/>
      <c r="AU292" s="133">
        <f t="shared" si="313"/>
        <v>102.375</v>
      </c>
      <c r="AV292" s="133">
        <f t="shared" si="313"/>
        <v>2969.6280000000002</v>
      </c>
      <c r="AW292" s="63"/>
      <c r="AX292" s="63"/>
      <c r="AY292" s="65">
        <v>1065.150988617143</v>
      </c>
      <c r="AZ292" s="63"/>
      <c r="BA292" s="65">
        <v>2037.9549999999999</v>
      </c>
      <c r="BB292" s="133">
        <f t="shared" si="287"/>
        <v>1324.9169999999999</v>
      </c>
      <c r="BC292" s="65">
        <v>529.48077460711397</v>
      </c>
      <c r="BD292" s="65">
        <v>10.55810604601432</v>
      </c>
      <c r="BE292" s="65">
        <v>0</v>
      </c>
      <c r="BF292" s="65">
        <v>44.443944229776911</v>
      </c>
      <c r="BG292" s="65">
        <v>0</v>
      </c>
      <c r="BH292" s="65">
        <v>4.1284169854025006</v>
      </c>
      <c r="BI292" s="65">
        <v>1343.2920566854839</v>
      </c>
      <c r="BJ292" s="65">
        <v>0</v>
      </c>
      <c r="BK292" s="65">
        <v>13.355863258351745</v>
      </c>
      <c r="BL292" s="65">
        <v>0</v>
      </c>
      <c r="BM292" s="65">
        <v>0</v>
      </c>
      <c r="BN292" s="65">
        <v>4.7559491100521356</v>
      </c>
      <c r="BO292" s="65">
        <v>205.33566960000002</v>
      </c>
      <c r="BP292" s="260">
        <f t="shared" si="304"/>
        <v>960</v>
      </c>
      <c r="BQ292" s="65">
        <v>126.20630406095938</v>
      </c>
      <c r="BR292" s="65">
        <v>164.89269656868288</v>
      </c>
      <c r="BS292" s="65">
        <v>596.65788108346555</v>
      </c>
      <c r="BT292" s="65">
        <v>220.76823666155326</v>
      </c>
      <c r="BU292" s="65">
        <v>226.96125141970882</v>
      </c>
      <c r="BV292" s="144">
        <f t="shared" si="294"/>
        <v>913.94583434588162</v>
      </c>
      <c r="BW292" s="144">
        <f t="shared" si="295"/>
        <v>1968.0172190215067</v>
      </c>
      <c r="BX292" s="144">
        <f t="shared" si="296"/>
        <v>464.42983186702827</v>
      </c>
      <c r="BY292" s="5"/>
      <c r="BZ292" s="66">
        <v>7020</v>
      </c>
      <c r="CA292" s="4"/>
      <c r="CB292" s="5"/>
      <c r="CC292" s="5"/>
      <c r="CD292" s="188">
        <v>2.2241810746462862</v>
      </c>
      <c r="CE292" s="5"/>
      <c r="CF292" s="133">
        <f t="shared" si="311"/>
        <v>655.33333333333337</v>
      </c>
      <c r="CG292" s="70"/>
      <c r="CH292" s="70">
        <v>4800</v>
      </c>
      <c r="CI292" s="70"/>
      <c r="CJ292" s="133">
        <f t="shared" si="314"/>
        <v>1324.9169999999999</v>
      </c>
      <c r="CK292" s="8">
        <f t="shared" si="258"/>
        <v>31060.413538576104</v>
      </c>
      <c r="CL292" s="202">
        <f t="shared" si="238"/>
        <v>11013.49958887422</v>
      </c>
      <c r="CM292" s="202">
        <f t="shared" si="239"/>
        <v>11013.49958887422</v>
      </c>
      <c r="CN292" s="202">
        <f t="shared" si="240"/>
        <v>11013.49958887422</v>
      </c>
      <c r="CO292" s="9">
        <f t="shared" si="241"/>
        <v>12988.127750636711</v>
      </c>
      <c r="CP292" s="9">
        <f t="shared" si="242"/>
        <v>12248.62661174596</v>
      </c>
      <c r="CQ292" s="9">
        <f t="shared" si="243"/>
        <v>7798.8470431789247</v>
      </c>
      <c r="CR292" s="202">
        <f t="shared" si="244"/>
        <v>11013.49958887422</v>
      </c>
      <c r="CS292" s="202">
        <f t="shared" si="245"/>
        <v>11013.49958887422</v>
      </c>
      <c r="CT292" s="202">
        <f t="shared" si="246"/>
        <v>11013.49958887422</v>
      </c>
      <c r="CU292" s="203">
        <f t="shared" si="247"/>
        <v>0.26176551621219829</v>
      </c>
      <c r="CV292" s="203">
        <f t="shared" si="248"/>
        <v>0.26176551621219829</v>
      </c>
      <c r="CW292" s="203">
        <f t="shared" si="249"/>
        <v>0.26176551621219829</v>
      </c>
      <c r="CX292" s="19">
        <f t="shared" si="250"/>
        <v>0.29485942940447418</v>
      </c>
      <c r="CY292" s="19">
        <f t="shared" si="251"/>
        <v>0.28281916591159717</v>
      </c>
      <c r="CZ292" s="19">
        <f t="shared" si="252"/>
        <v>0.20069468452110983</v>
      </c>
      <c r="DA292" s="203">
        <f t="shared" si="253"/>
        <v>0.26176551621219829</v>
      </c>
      <c r="DB292" s="203">
        <f t="shared" si="254"/>
        <v>0.26176551621219829</v>
      </c>
      <c r="DC292" s="203">
        <f t="shared" si="255"/>
        <v>0.26176551621219829</v>
      </c>
      <c r="DD292" s="65"/>
      <c r="DE292" s="66"/>
      <c r="DF292" s="66"/>
      <c r="DG292" s="66"/>
      <c r="DH292" s="66"/>
      <c r="DI292" s="66"/>
      <c r="DJ292" s="65"/>
      <c r="DK292" s="70"/>
      <c r="DL292" s="70"/>
      <c r="DM292" s="8">
        <f t="shared" si="256"/>
        <v>0</v>
      </c>
      <c r="DN292" s="8">
        <f t="shared" si="257"/>
        <v>31060.413538576104</v>
      </c>
      <c r="DO292" s="202">
        <f t="shared" si="263"/>
        <v>11013.49958887422</v>
      </c>
      <c r="DP292" s="202">
        <f t="shared" si="264"/>
        <v>11013.49958887422</v>
      </c>
      <c r="DQ292" s="202">
        <f t="shared" si="265"/>
        <v>11013.49958887422</v>
      </c>
      <c r="DR292" s="9">
        <f t="shared" si="266"/>
        <v>12988.127750636711</v>
      </c>
      <c r="DS292" s="9">
        <f t="shared" si="259"/>
        <v>12248.62661174596</v>
      </c>
      <c r="DT292" s="9">
        <f t="shared" si="267"/>
        <v>7798.8470431789247</v>
      </c>
      <c r="DU292" s="202">
        <f t="shared" si="268"/>
        <v>11013.49958887422</v>
      </c>
      <c r="DV292" s="202">
        <f t="shared" si="269"/>
        <v>11013.49958887422</v>
      </c>
      <c r="DW292" s="202">
        <f t="shared" si="270"/>
        <v>11013.49958887422</v>
      </c>
      <c r="DX292" s="203">
        <f t="shared" si="271"/>
        <v>0.26176551621219829</v>
      </c>
      <c r="DY292" s="203">
        <f t="shared" si="272"/>
        <v>0.26176551621219829</v>
      </c>
      <c r="DZ292" s="203">
        <f t="shared" si="273"/>
        <v>0.26176551621219829</v>
      </c>
      <c r="EA292" s="19">
        <f t="shared" si="274"/>
        <v>0.29485942940447418</v>
      </c>
      <c r="EB292" s="19">
        <f t="shared" si="260"/>
        <v>0.28281916591159717</v>
      </c>
      <c r="EC292" s="19">
        <f t="shared" si="275"/>
        <v>0.20069468452110983</v>
      </c>
      <c r="ED292" s="203">
        <f t="shared" si="276"/>
        <v>0.26176551621219829</v>
      </c>
      <c r="EE292" s="203">
        <f t="shared" si="277"/>
        <v>0.26176551621219829</v>
      </c>
      <c r="EF292" s="203">
        <f t="shared" si="278"/>
        <v>0.26176551621219829</v>
      </c>
      <c r="EH292" s="58">
        <f t="shared" si="288"/>
        <v>26589.799578925798</v>
      </c>
      <c r="EI292" s="68">
        <f t="shared" si="289"/>
        <v>0.61395494997429689</v>
      </c>
      <c r="EJ292" s="58">
        <f t="shared" si="290"/>
        <v>23079.799578925798</v>
      </c>
      <c r="EK292" s="68">
        <f t="shared" si="289"/>
        <v>0.53290951493770677</v>
      </c>
      <c r="EL292" s="58">
        <f t="shared" si="291"/>
        <v>5414.4104251082954</v>
      </c>
      <c r="EM292" s="58">
        <f t="shared" si="292"/>
        <v>5878.8402569753234</v>
      </c>
      <c r="EN292" s="68">
        <f t="shared" si="293"/>
        <v>0.13574164277412659</v>
      </c>
      <c r="EO292" s="139">
        <f t="shared" si="312"/>
        <v>0.31860645638858931</v>
      </c>
      <c r="EP292">
        <f>+(SUM(M292:O292)*EO292*(1-'[1]Tier 3 Data'!$A$2))</f>
        <v>1421.0687992366766</v>
      </c>
    </row>
    <row r="293" spans="1:146" x14ac:dyDescent="0.2">
      <c r="A293" s="43">
        <v>0</v>
      </c>
      <c r="B293" s="43">
        <v>0</v>
      </c>
      <c r="C293" s="43">
        <v>0</v>
      </c>
      <c r="D293" s="70">
        <v>2031</v>
      </c>
      <c r="E293" s="70">
        <v>10</v>
      </c>
      <c r="F293" s="2">
        <v>744</v>
      </c>
      <c r="G293" s="133">
        <f t="shared" si="305"/>
        <v>40275.965702037392</v>
      </c>
      <c r="H293" s="65">
        <v>40275.965702037392</v>
      </c>
      <c r="I293" s="133">
        <f t="shared" si="306"/>
        <v>40275.965702037392</v>
      </c>
      <c r="J293" s="133">
        <f t="shared" si="285"/>
        <v>3250.2554999999993</v>
      </c>
      <c r="K293" s="65">
        <v>3250.2554999999993</v>
      </c>
      <c r="L293" s="133">
        <f t="shared" si="286"/>
        <v>3250.2554999999993</v>
      </c>
      <c r="M293" s="65">
        <v>957.87478015852639</v>
      </c>
      <c r="N293" s="65">
        <v>2062.6102665784465</v>
      </c>
      <c r="O293" s="65">
        <v>489.42792485580895</v>
      </c>
      <c r="P293" s="200">
        <f t="shared" si="279"/>
        <v>35972.736310559558</v>
      </c>
      <c r="Q293" s="200">
        <f t="shared" si="280"/>
        <v>35972.736310559558</v>
      </c>
      <c r="R293" s="200">
        <f t="shared" si="281"/>
        <v>35972.736310559558</v>
      </c>
      <c r="S293" s="133">
        <f t="shared" si="307"/>
        <v>36878.881824580647</v>
      </c>
      <c r="T293" s="133">
        <f t="shared" si="308"/>
        <v>36878.881824580647</v>
      </c>
      <c r="U293" s="133">
        <f t="shared" si="309"/>
        <v>36878.881824580647</v>
      </c>
      <c r="V293" s="200">
        <f t="shared" si="282"/>
        <v>35972.736310559558</v>
      </c>
      <c r="W293" s="200">
        <f t="shared" si="283"/>
        <v>35972.736310559558</v>
      </c>
      <c r="X293" s="200">
        <f t="shared" si="284"/>
        <v>35972.736310559558</v>
      </c>
      <c r="Y293" s="65">
        <v>10130.257464039667</v>
      </c>
      <c r="Z293" s="65">
        <v>10096.108803314937</v>
      </c>
      <c r="AA293" s="65">
        <v>4602.9508388384074</v>
      </c>
      <c r="AB293" s="200">
        <f t="shared" si="297"/>
        <v>46068.845113874493</v>
      </c>
      <c r="AC293" s="200">
        <f t="shared" si="298"/>
        <v>46068.845113874493</v>
      </c>
      <c r="AD293" s="200">
        <f t="shared" si="299"/>
        <v>46068.845113874493</v>
      </c>
      <c r="AE293" s="199">
        <f t="shared" si="261"/>
        <v>47009.13928862031</v>
      </c>
      <c r="AF293" s="199">
        <f t="shared" si="300"/>
        <v>46974.990627895582</v>
      </c>
      <c r="AG293" s="199">
        <f t="shared" si="262"/>
        <v>41481.832663419053</v>
      </c>
      <c r="AH293" s="199">
        <f t="shared" si="310"/>
        <v>44245.485976019685</v>
      </c>
      <c r="AI293" s="200">
        <f t="shared" si="301"/>
        <v>46068.845113874493</v>
      </c>
      <c r="AJ293" s="200">
        <f t="shared" si="302"/>
        <v>46068.845113874493</v>
      </c>
      <c r="AK293" s="200">
        <f t="shared" si="303"/>
        <v>46068.845113874493</v>
      </c>
      <c r="AL293" s="4"/>
      <c r="AM293" s="4"/>
      <c r="AN293" s="4"/>
      <c r="AO293" s="4"/>
      <c r="AP293" s="63"/>
      <c r="AQ293" s="18"/>
      <c r="AR293" s="18"/>
      <c r="AS293" s="66">
        <v>3395.12</v>
      </c>
      <c r="AT293" s="18"/>
      <c r="AU293" s="133">
        <f t="shared" si="313"/>
        <v>118.17</v>
      </c>
      <c r="AV293" s="133">
        <f t="shared" si="313"/>
        <v>3225.1860000000001</v>
      </c>
      <c r="AW293" s="63"/>
      <c r="AX293" s="63"/>
      <c r="AY293" s="65">
        <v>1031.6699594133333</v>
      </c>
      <c r="AZ293" s="63"/>
      <c r="BA293" s="65">
        <v>1760</v>
      </c>
      <c r="BB293" s="5"/>
      <c r="BC293" s="65">
        <v>387.84712854806463</v>
      </c>
      <c r="BD293" s="65">
        <v>15.523669194184084</v>
      </c>
      <c r="BE293" s="65">
        <v>0</v>
      </c>
      <c r="BF293" s="65">
        <v>48.821175788035632</v>
      </c>
      <c r="BG293" s="65">
        <v>0</v>
      </c>
      <c r="BH293" s="65">
        <v>28.898918897817506</v>
      </c>
      <c r="BI293" s="65">
        <v>983.96767545238163</v>
      </c>
      <c r="BJ293" s="65">
        <v>0</v>
      </c>
      <c r="BK293" s="65">
        <v>16.565610887239799</v>
      </c>
      <c r="BL293" s="65">
        <v>0</v>
      </c>
      <c r="BM293" s="65">
        <v>0</v>
      </c>
      <c r="BN293" s="65">
        <v>33.291643770364956</v>
      </c>
      <c r="BO293" s="65">
        <v>212.18019192</v>
      </c>
      <c r="BP293" s="260">
        <f t="shared" si="304"/>
        <v>992</v>
      </c>
      <c r="BQ293" s="65">
        <v>99.576910359280703</v>
      </c>
      <c r="BR293" s="65">
        <v>130.10048251545655</v>
      </c>
      <c r="BS293" s="65">
        <v>470.76359143082499</v>
      </c>
      <c r="BT293" s="65">
        <v>155.39695230374366</v>
      </c>
      <c r="BU293" s="65">
        <v>154.94200209879665</v>
      </c>
      <c r="BV293" s="144">
        <f t="shared" si="294"/>
        <v>670.51234611096845</v>
      </c>
      <c r="BW293" s="144">
        <f t="shared" si="295"/>
        <v>1443.8271866049124</v>
      </c>
      <c r="BX293" s="144">
        <f t="shared" si="296"/>
        <v>342.59954739906624</v>
      </c>
      <c r="BY293" s="5"/>
      <c r="BZ293" s="66">
        <v>7254</v>
      </c>
      <c r="CA293" s="4"/>
      <c r="CB293" s="5"/>
      <c r="CC293" s="5"/>
      <c r="CD293" s="188">
        <v>0</v>
      </c>
      <c r="CE293" s="5"/>
      <c r="CF293" s="133">
        <f t="shared" si="311"/>
        <v>865.33333333333337</v>
      </c>
      <c r="CG293" s="70"/>
      <c r="CH293" s="70">
        <v>2848</v>
      </c>
      <c r="CI293" s="70"/>
      <c r="CJ293" s="133">
        <f t="shared" si="314"/>
        <v>0</v>
      </c>
      <c r="CK293" s="8">
        <f t="shared" si="258"/>
        <v>26684.294326027804</v>
      </c>
      <c r="CL293" s="202">
        <f t="shared" si="238"/>
        <v>19384.550787846689</v>
      </c>
      <c r="CM293" s="202">
        <f t="shared" si="239"/>
        <v>19384.550787846689</v>
      </c>
      <c r="CN293" s="202">
        <f t="shared" si="240"/>
        <v>19384.550787846689</v>
      </c>
      <c r="CO293" s="9">
        <f t="shared" si="241"/>
        <v>20324.844962592506</v>
      </c>
      <c r="CP293" s="9">
        <f t="shared" si="242"/>
        <v>20290.696301867778</v>
      </c>
      <c r="CQ293" s="9">
        <f t="shared" si="243"/>
        <v>14797.538337391248</v>
      </c>
      <c r="CR293" s="202">
        <f t="shared" si="244"/>
        <v>19384.550787846689</v>
      </c>
      <c r="CS293" s="202">
        <f t="shared" si="245"/>
        <v>19384.550787846689</v>
      </c>
      <c r="CT293" s="202">
        <f t="shared" si="246"/>
        <v>19384.550787846689</v>
      </c>
      <c r="CU293" s="203">
        <f t="shared" si="247"/>
        <v>0.42077353447717902</v>
      </c>
      <c r="CV293" s="203">
        <f t="shared" si="248"/>
        <v>0.42077353447717902</v>
      </c>
      <c r="CW293" s="203">
        <f t="shared" si="249"/>
        <v>0.42077353447717902</v>
      </c>
      <c r="CX293" s="19">
        <f t="shared" si="250"/>
        <v>0.43235943627482287</v>
      </c>
      <c r="CY293" s="19">
        <f t="shared" si="251"/>
        <v>0.43194678765552263</v>
      </c>
      <c r="CZ293" s="19">
        <f t="shared" si="252"/>
        <v>0.35672335061610061</v>
      </c>
      <c r="DA293" s="203">
        <f t="shared" si="253"/>
        <v>0.42077353447717902</v>
      </c>
      <c r="DB293" s="203">
        <f t="shared" si="254"/>
        <v>0.42077353447717902</v>
      </c>
      <c r="DC293" s="203">
        <f t="shared" si="255"/>
        <v>0.42077353447717902</v>
      </c>
      <c r="DD293" s="65"/>
      <c r="DE293" s="66"/>
      <c r="DF293" s="66"/>
      <c r="DG293" s="66"/>
      <c r="DH293" s="66"/>
      <c r="DI293" s="66"/>
      <c r="DJ293" s="65"/>
      <c r="DK293" s="70"/>
      <c r="DL293" s="70"/>
      <c r="DM293" s="8">
        <f t="shared" si="256"/>
        <v>0</v>
      </c>
      <c r="DN293" s="8">
        <f t="shared" si="257"/>
        <v>26684.294326027804</v>
      </c>
      <c r="DO293" s="202">
        <f t="shared" si="263"/>
        <v>19384.550787846689</v>
      </c>
      <c r="DP293" s="202">
        <f t="shared" si="264"/>
        <v>19384.550787846689</v>
      </c>
      <c r="DQ293" s="202">
        <f t="shared" si="265"/>
        <v>19384.550787846689</v>
      </c>
      <c r="DR293" s="9">
        <f t="shared" si="266"/>
        <v>20324.844962592506</v>
      </c>
      <c r="DS293" s="9">
        <f t="shared" si="259"/>
        <v>20290.696301867778</v>
      </c>
      <c r="DT293" s="9">
        <f t="shared" si="267"/>
        <v>14797.538337391248</v>
      </c>
      <c r="DU293" s="202">
        <f t="shared" si="268"/>
        <v>19384.550787846689</v>
      </c>
      <c r="DV293" s="202">
        <f t="shared" si="269"/>
        <v>19384.550787846689</v>
      </c>
      <c r="DW293" s="202">
        <f t="shared" si="270"/>
        <v>19384.550787846689</v>
      </c>
      <c r="DX293" s="203">
        <f t="shared" si="271"/>
        <v>0.42077353447717902</v>
      </c>
      <c r="DY293" s="203">
        <f t="shared" si="272"/>
        <v>0.42077353447717902</v>
      </c>
      <c r="DZ293" s="203">
        <f t="shared" si="273"/>
        <v>0.42077353447717902</v>
      </c>
      <c r="EA293" s="19">
        <f t="shared" si="274"/>
        <v>0.43235943627482287</v>
      </c>
      <c r="EB293" s="19">
        <f t="shared" si="260"/>
        <v>0.43194678765552263</v>
      </c>
      <c r="EC293" s="19">
        <f t="shared" si="275"/>
        <v>0.35672335061610061</v>
      </c>
      <c r="ED293" s="203">
        <f t="shared" si="276"/>
        <v>0.42077353447717902</v>
      </c>
      <c r="EE293" s="203">
        <f t="shared" si="277"/>
        <v>0.42077353447717902</v>
      </c>
      <c r="EF293" s="203">
        <f t="shared" si="278"/>
        <v>0.42077353447717902</v>
      </c>
      <c r="EH293" s="58">
        <f t="shared" si="288"/>
        <v>22337.960804128797</v>
      </c>
      <c r="EI293" s="68">
        <f t="shared" si="289"/>
        <v>0.47552879746321108</v>
      </c>
      <c r="EJ293" s="58">
        <f t="shared" si="290"/>
        <v>18710.960804128801</v>
      </c>
      <c r="EK293" s="68">
        <f t="shared" si="289"/>
        <v>0.39831749946145817</v>
      </c>
      <c r="EL293" s="58">
        <f t="shared" si="291"/>
        <v>4132.8819639830672</v>
      </c>
      <c r="EM293" s="58">
        <f t="shared" si="292"/>
        <v>4475.4815113821332</v>
      </c>
      <c r="EN293" s="68">
        <f t="shared" si="293"/>
        <v>9.5273707382592165E-2</v>
      </c>
      <c r="EO293" s="139">
        <f t="shared" si="312"/>
        <v>0.35739486552628164</v>
      </c>
      <c r="EP293">
        <f>+(SUM(M293:O293)*EO293*(1-'[1]Tier 3 Data'!$A$2))</f>
        <v>1170.3784079004333</v>
      </c>
    </row>
    <row r="294" spans="1:146" x14ac:dyDescent="0.2">
      <c r="A294" s="43">
        <v>0</v>
      </c>
      <c r="B294" s="43">
        <v>0</v>
      </c>
      <c r="C294" s="43">
        <v>0</v>
      </c>
      <c r="D294" s="70">
        <v>2031</v>
      </c>
      <c r="E294" s="70">
        <v>11</v>
      </c>
      <c r="F294" s="2">
        <v>721</v>
      </c>
      <c r="G294" s="133">
        <f t="shared" si="305"/>
        <v>42623.92978959388</v>
      </c>
      <c r="H294" s="65">
        <v>42623.92978959388</v>
      </c>
      <c r="I294" s="133">
        <f t="shared" si="306"/>
        <v>42623.92978959388</v>
      </c>
      <c r="J294" s="133">
        <f t="shared" si="285"/>
        <v>3290.6302499999993</v>
      </c>
      <c r="K294" s="65">
        <v>3290.6302499999993</v>
      </c>
      <c r="L294" s="133">
        <f t="shared" si="286"/>
        <v>3290.6302499999993</v>
      </c>
      <c r="M294" s="65">
        <v>391.15101618171565</v>
      </c>
      <c r="N294" s="65">
        <v>842.27303867993726</v>
      </c>
      <c r="O294" s="65">
        <v>201.24662494719138</v>
      </c>
      <c r="P294" s="200">
        <f t="shared" si="279"/>
        <v>38902.898335651225</v>
      </c>
      <c r="Q294" s="200">
        <f t="shared" si="280"/>
        <v>38902.898335651225</v>
      </c>
      <c r="R294" s="200">
        <f t="shared" si="281"/>
        <v>38902.898335651225</v>
      </c>
      <c r="S294" s="133">
        <f t="shared" si="307"/>
        <v>39272.925552109722</v>
      </c>
      <c r="T294" s="133">
        <f t="shared" si="308"/>
        <v>39272.925552109722</v>
      </c>
      <c r="U294" s="133">
        <f t="shared" si="309"/>
        <v>39272.925552109722</v>
      </c>
      <c r="V294" s="200">
        <f t="shared" si="282"/>
        <v>38902.898335651225</v>
      </c>
      <c r="W294" s="200">
        <f t="shared" si="283"/>
        <v>38902.898335651225</v>
      </c>
      <c r="X294" s="200">
        <f t="shared" si="284"/>
        <v>38902.898335651225</v>
      </c>
      <c r="Y294" s="65">
        <v>14249.516759877837</v>
      </c>
      <c r="Z294" s="65">
        <v>16222.594917442597</v>
      </c>
      <c r="AA294" s="65">
        <v>7029.1437550191195</v>
      </c>
      <c r="AB294" s="200">
        <f t="shared" si="297"/>
        <v>55125.493253093824</v>
      </c>
      <c r="AC294" s="200">
        <f t="shared" si="298"/>
        <v>55125.493253093824</v>
      </c>
      <c r="AD294" s="200">
        <f t="shared" si="299"/>
        <v>55125.493253093824</v>
      </c>
      <c r="AE294" s="199">
        <f t="shared" si="261"/>
        <v>53522.442311987557</v>
      </c>
      <c r="AF294" s="199">
        <f t="shared" si="300"/>
        <v>55495.520469552321</v>
      </c>
      <c r="AG294" s="199">
        <f t="shared" si="262"/>
        <v>46302.069307128841</v>
      </c>
      <c r="AH294" s="199">
        <f t="shared" si="310"/>
        <v>50898.794888340577</v>
      </c>
      <c r="AI294" s="200">
        <f t="shared" si="301"/>
        <v>55125.493253093824</v>
      </c>
      <c r="AJ294" s="200">
        <f t="shared" si="302"/>
        <v>55125.493253093824</v>
      </c>
      <c r="AK294" s="200">
        <f t="shared" si="303"/>
        <v>55125.493253093824</v>
      </c>
      <c r="AL294" s="4"/>
      <c r="AM294" s="4"/>
      <c r="AN294" s="4"/>
      <c r="AO294" s="4"/>
      <c r="AP294" s="63"/>
      <c r="AQ294" s="18"/>
      <c r="AR294" s="18"/>
      <c r="AS294" s="66">
        <v>3285.6</v>
      </c>
      <c r="AT294" s="18"/>
      <c r="AU294" s="133">
        <f t="shared" si="313"/>
        <v>104.364</v>
      </c>
      <c r="AV294" s="133">
        <f t="shared" si="313"/>
        <v>3268.3739999999998</v>
      </c>
      <c r="AW294" s="63"/>
      <c r="AX294" s="63"/>
      <c r="AY294" s="65">
        <v>1051.7654038000001</v>
      </c>
      <c r="AZ294" s="63"/>
      <c r="BA294" s="65">
        <v>2363</v>
      </c>
      <c r="BB294" s="5"/>
      <c r="BC294" s="65">
        <v>283.87477427119757</v>
      </c>
      <c r="BD294" s="65">
        <v>14.399660735694527</v>
      </c>
      <c r="BE294" s="65">
        <v>0</v>
      </c>
      <c r="BF294" s="65">
        <v>51.028484701009639</v>
      </c>
      <c r="BG294" s="65">
        <v>0</v>
      </c>
      <c r="BH294" s="65">
        <v>53.669420810232502</v>
      </c>
      <c r="BI294" s="65">
        <v>720.18994392164086</v>
      </c>
      <c r="BJ294" s="65">
        <v>0</v>
      </c>
      <c r="BK294" s="65">
        <v>19.844702933795372</v>
      </c>
      <c r="BL294" s="65">
        <v>0</v>
      </c>
      <c r="BM294" s="65">
        <v>0</v>
      </c>
      <c r="BN294" s="65">
        <v>61.827338430677763</v>
      </c>
      <c r="BO294" s="65">
        <v>205.33566960000002</v>
      </c>
      <c r="BP294" s="260">
        <f t="shared" si="304"/>
        <v>960</v>
      </c>
      <c r="BQ294" s="65">
        <v>61.377244493146989</v>
      </c>
      <c r="BR294" s="65">
        <v>80.191371451390467</v>
      </c>
      <c r="BS294" s="65">
        <v>290.16939323660728</v>
      </c>
      <c r="BT294" s="65">
        <v>107.18386965913166</v>
      </c>
      <c r="BU294" s="65">
        <v>119.20737752571623</v>
      </c>
      <c r="BV294" s="144">
        <f t="shared" si="294"/>
        <v>273.80571132720092</v>
      </c>
      <c r="BW294" s="144">
        <f t="shared" si="295"/>
        <v>589.59112707595602</v>
      </c>
      <c r="BX294" s="144">
        <f t="shared" si="296"/>
        <v>140.87263746303395</v>
      </c>
      <c r="BY294" s="5"/>
      <c r="BZ294" s="66">
        <v>7029.75</v>
      </c>
      <c r="CA294" s="4"/>
      <c r="CB294" s="5"/>
      <c r="CC294" s="5"/>
      <c r="CD294" s="188">
        <v>3.0642236760841479</v>
      </c>
      <c r="CE294" s="5"/>
      <c r="CF294" s="133">
        <f t="shared" si="311"/>
        <v>1161.3333333333333</v>
      </c>
      <c r="CG294" s="70"/>
      <c r="CH294" s="70">
        <v>3978</v>
      </c>
      <c r="CI294" s="70"/>
      <c r="CJ294" s="63"/>
      <c r="CK294" s="8">
        <f t="shared" si="258"/>
        <v>26277.819688445841</v>
      </c>
      <c r="CL294" s="202">
        <f t="shared" si="238"/>
        <v>28847.673564647983</v>
      </c>
      <c r="CM294" s="202">
        <f t="shared" si="239"/>
        <v>28847.673564647983</v>
      </c>
      <c r="CN294" s="202">
        <f t="shared" si="240"/>
        <v>28847.673564647983</v>
      </c>
      <c r="CO294" s="9">
        <f t="shared" si="241"/>
        <v>27244.622623541716</v>
      </c>
      <c r="CP294" s="9">
        <f t="shared" si="242"/>
        <v>29217.70078110648</v>
      </c>
      <c r="CQ294" s="9">
        <f t="shared" si="243"/>
        <v>20024.249618682999</v>
      </c>
      <c r="CR294" s="202">
        <f t="shared" si="244"/>
        <v>28847.673564647983</v>
      </c>
      <c r="CS294" s="202">
        <f t="shared" si="245"/>
        <v>28847.673564647983</v>
      </c>
      <c r="CT294" s="202">
        <f t="shared" si="246"/>
        <v>28847.673564647983</v>
      </c>
      <c r="CU294" s="203">
        <f t="shared" si="247"/>
        <v>0.52330912364269788</v>
      </c>
      <c r="CV294" s="203">
        <f t="shared" si="248"/>
        <v>0.52330912364269788</v>
      </c>
      <c r="CW294" s="203">
        <f t="shared" si="249"/>
        <v>0.52330912364269788</v>
      </c>
      <c r="CX294" s="19">
        <f t="shared" si="250"/>
        <v>0.50903175278755297</v>
      </c>
      <c r="CY294" s="19">
        <f t="shared" si="251"/>
        <v>0.52648755311947748</v>
      </c>
      <c r="CZ294" s="19">
        <f t="shared" si="252"/>
        <v>0.43246986405421822</v>
      </c>
      <c r="DA294" s="203">
        <f t="shared" si="253"/>
        <v>0.52330912364269788</v>
      </c>
      <c r="DB294" s="203">
        <f t="shared" si="254"/>
        <v>0.52330912364269788</v>
      </c>
      <c r="DC294" s="203">
        <f t="shared" si="255"/>
        <v>0.52330912364269788</v>
      </c>
      <c r="DD294" s="65"/>
      <c r="DE294" s="66"/>
      <c r="DF294" s="66"/>
      <c r="DG294" s="66"/>
      <c r="DH294" s="66"/>
      <c r="DI294" s="66"/>
      <c r="DJ294" s="65"/>
      <c r="DK294" s="70"/>
      <c r="DL294" s="70"/>
      <c r="DM294" s="8">
        <f t="shared" si="256"/>
        <v>0</v>
      </c>
      <c r="DN294" s="8">
        <f t="shared" si="257"/>
        <v>26277.819688445841</v>
      </c>
      <c r="DO294" s="202">
        <f t="shared" si="263"/>
        <v>28847.673564647983</v>
      </c>
      <c r="DP294" s="202">
        <f t="shared" si="264"/>
        <v>28847.673564647983</v>
      </c>
      <c r="DQ294" s="202">
        <f t="shared" si="265"/>
        <v>28847.673564647983</v>
      </c>
      <c r="DR294" s="9">
        <f t="shared" si="266"/>
        <v>27244.622623541716</v>
      </c>
      <c r="DS294" s="9">
        <f t="shared" si="259"/>
        <v>29217.70078110648</v>
      </c>
      <c r="DT294" s="9">
        <f t="shared" si="267"/>
        <v>20024.249618682999</v>
      </c>
      <c r="DU294" s="202">
        <f t="shared" si="268"/>
        <v>28847.673564647983</v>
      </c>
      <c r="DV294" s="202">
        <f t="shared" si="269"/>
        <v>28847.673564647983</v>
      </c>
      <c r="DW294" s="202">
        <f t="shared" si="270"/>
        <v>28847.673564647983</v>
      </c>
      <c r="DX294" s="203">
        <f t="shared" si="271"/>
        <v>0.52330912364269788</v>
      </c>
      <c r="DY294" s="203">
        <f t="shared" si="272"/>
        <v>0.52330912364269788</v>
      </c>
      <c r="DZ294" s="203">
        <f t="shared" si="273"/>
        <v>0.52330912364269788</v>
      </c>
      <c r="EA294" s="19">
        <f t="shared" si="274"/>
        <v>0.50903175278755297</v>
      </c>
      <c r="EB294" s="19">
        <f t="shared" si="260"/>
        <v>0.52648755311947748</v>
      </c>
      <c r="EC294" s="19">
        <f t="shared" si="275"/>
        <v>0.43246986405421822</v>
      </c>
      <c r="ED294" s="203">
        <f t="shared" si="276"/>
        <v>0.52330912364269788</v>
      </c>
      <c r="EE294" s="203">
        <f t="shared" si="277"/>
        <v>0.52330912364269788</v>
      </c>
      <c r="EF294" s="203">
        <f t="shared" si="278"/>
        <v>0.52330912364269788</v>
      </c>
      <c r="EH294" s="58">
        <f t="shared" si="288"/>
        <v>22435.046268741549</v>
      </c>
      <c r="EI294" s="68">
        <f t="shared" si="289"/>
        <v>0.40426769726487316</v>
      </c>
      <c r="EJ294" s="58">
        <f t="shared" si="290"/>
        <v>18920.171268741549</v>
      </c>
      <c r="EK294" s="68">
        <f t="shared" si="289"/>
        <v>0.34093150417648793</v>
      </c>
      <c r="EL294" s="58">
        <f t="shared" si="291"/>
        <v>2606.8618941451873</v>
      </c>
      <c r="EM294" s="58">
        <f t="shared" si="292"/>
        <v>2747.7345316082215</v>
      </c>
      <c r="EN294" s="68">
        <f t="shared" si="293"/>
        <v>4.9512726583324305E-2</v>
      </c>
      <c r="EO294" s="139">
        <f t="shared" si="312"/>
        <v>0.4050825009776523</v>
      </c>
      <c r="EP294">
        <f>+(SUM(M294:O294)*EO294*(1-'[1]Tier 3 Data'!$A$2))</f>
        <v>542.22226792350477</v>
      </c>
    </row>
    <row r="295" spans="1:146" x14ac:dyDescent="0.2">
      <c r="A295" s="43">
        <v>0</v>
      </c>
      <c r="B295" s="43">
        <v>0</v>
      </c>
      <c r="C295" s="43">
        <v>0</v>
      </c>
      <c r="D295" s="70">
        <v>2031</v>
      </c>
      <c r="E295" s="70">
        <v>12</v>
      </c>
      <c r="F295" s="2">
        <v>744</v>
      </c>
      <c r="G295" s="133">
        <f t="shared" si="305"/>
        <v>48385.11243630862</v>
      </c>
      <c r="H295" s="65">
        <v>48385.11243630862</v>
      </c>
      <c r="I295" s="133">
        <f t="shared" si="306"/>
        <v>48385.11243630862</v>
      </c>
      <c r="J295" s="133">
        <f t="shared" si="285"/>
        <v>3331.0049999999992</v>
      </c>
      <c r="K295" s="65">
        <v>3331.0049999999992</v>
      </c>
      <c r="L295" s="133">
        <f t="shared" si="286"/>
        <v>3331.0049999999992</v>
      </c>
      <c r="M295" s="65">
        <v>248.30627982623952</v>
      </c>
      <c r="N295" s="65">
        <v>534.68270867382159</v>
      </c>
      <c r="O295" s="65">
        <v>128.31392270209457</v>
      </c>
      <c r="P295" s="200">
        <f t="shared" si="279"/>
        <v>44780.716562947979</v>
      </c>
      <c r="Q295" s="200">
        <f t="shared" si="280"/>
        <v>44780.716562947979</v>
      </c>
      <c r="R295" s="200">
        <f t="shared" si="281"/>
        <v>44780.716562947979</v>
      </c>
      <c r="S295" s="133">
        <f t="shared" si="307"/>
        <v>45015.613259497994</v>
      </c>
      <c r="T295" s="133">
        <f t="shared" si="308"/>
        <v>45015.613259497994</v>
      </c>
      <c r="U295" s="133">
        <f t="shared" si="309"/>
        <v>45015.613259497994</v>
      </c>
      <c r="V295" s="200">
        <f t="shared" si="282"/>
        <v>44780.716562947979</v>
      </c>
      <c r="W295" s="200">
        <f t="shared" si="283"/>
        <v>44780.716562947979</v>
      </c>
      <c r="X295" s="200">
        <f t="shared" si="284"/>
        <v>44780.716562947979</v>
      </c>
      <c r="Y295" s="65">
        <v>15592.647363949322</v>
      </c>
      <c r="Z295" s="65">
        <v>17263.170217484632</v>
      </c>
      <c r="AA295" s="65">
        <v>7579.7720724400015</v>
      </c>
      <c r="AB295" s="200">
        <f t="shared" si="297"/>
        <v>62043.886780432615</v>
      </c>
      <c r="AC295" s="200">
        <f t="shared" si="298"/>
        <v>62043.886780432615</v>
      </c>
      <c r="AD295" s="200">
        <f t="shared" si="299"/>
        <v>62043.886780432615</v>
      </c>
      <c r="AE295" s="199">
        <f t="shared" si="261"/>
        <v>60608.260623447313</v>
      </c>
      <c r="AF295" s="199">
        <f t="shared" si="300"/>
        <v>62278.78347698263</v>
      </c>
      <c r="AG295" s="199">
        <f t="shared" si="262"/>
        <v>52595.385331937992</v>
      </c>
      <c r="AH295" s="199">
        <f t="shared" si="310"/>
        <v>57437.084404460315</v>
      </c>
      <c r="AI295" s="200">
        <f t="shared" si="301"/>
        <v>62043.886780432615</v>
      </c>
      <c r="AJ295" s="200">
        <f t="shared" si="302"/>
        <v>62043.886780432615</v>
      </c>
      <c r="AK295" s="200">
        <f t="shared" si="303"/>
        <v>62043.886780432615</v>
      </c>
      <c r="AL295" s="4"/>
      <c r="AM295" s="4"/>
      <c r="AN295" s="4"/>
      <c r="AO295" s="4"/>
      <c r="AP295" s="63"/>
      <c r="AQ295" s="18"/>
      <c r="AR295" s="18"/>
      <c r="AS295" s="66">
        <v>3395.12</v>
      </c>
      <c r="AT295" s="18"/>
      <c r="AU295" s="133">
        <f t="shared" si="313"/>
        <v>105.066</v>
      </c>
      <c r="AV295" s="133">
        <f t="shared" si="313"/>
        <v>3218.8470000000002</v>
      </c>
      <c r="AW295" s="63"/>
      <c r="AX295" s="63"/>
      <c r="AY295" s="65">
        <v>1226.60803108</v>
      </c>
      <c r="AZ295" s="63"/>
      <c r="BA295" s="65">
        <v>2225.2240000000002</v>
      </c>
      <c r="BB295" s="5"/>
      <c r="BC295" s="65">
        <v>133.02629953839877</v>
      </c>
      <c r="BD295" s="65">
        <v>14.892990970660508</v>
      </c>
      <c r="BE295" s="65">
        <v>0</v>
      </c>
      <c r="BF295" s="65">
        <v>43.575539716373967</v>
      </c>
      <c r="BG295" s="65">
        <v>0</v>
      </c>
      <c r="BH295" s="65">
        <v>33.027335883220005</v>
      </c>
      <c r="BI295" s="65">
        <v>337.48755397736403</v>
      </c>
      <c r="BJ295" s="65">
        <v>0</v>
      </c>
      <c r="BK295" s="65">
        <v>20.28324216774827</v>
      </c>
      <c r="BL295" s="65">
        <v>0</v>
      </c>
      <c r="BM295" s="65">
        <v>0</v>
      </c>
      <c r="BN295" s="65">
        <v>38.047592880417085</v>
      </c>
      <c r="BO295" s="65">
        <v>212.18019192</v>
      </c>
      <c r="BP295" s="260">
        <f t="shared" si="304"/>
        <v>992</v>
      </c>
      <c r="BQ295" s="65">
        <v>55.923443387893599</v>
      </c>
      <c r="BR295" s="65">
        <v>72.70044599281762</v>
      </c>
      <c r="BS295" s="65">
        <v>264.38569571247007</v>
      </c>
      <c r="BT295" s="65">
        <v>98.684358651574087</v>
      </c>
      <c r="BU295" s="65">
        <v>104.91360693080608</v>
      </c>
      <c r="BV295" s="144">
        <f t="shared" si="294"/>
        <v>173.81439587836766</v>
      </c>
      <c r="BW295" s="144">
        <f t="shared" si="295"/>
        <v>374.27789607167512</v>
      </c>
      <c r="BX295" s="144">
        <f t="shared" si="296"/>
        <v>89.819745891466198</v>
      </c>
      <c r="BY295" s="5"/>
      <c r="BZ295" s="66">
        <v>7254</v>
      </c>
      <c r="CA295" s="4"/>
      <c r="CB295" s="5"/>
      <c r="CC295" s="5"/>
      <c r="CD295" s="188">
        <v>4.9023166732340453</v>
      </c>
      <c r="CE295" s="5"/>
      <c r="CF295" s="133">
        <f t="shared" si="311"/>
        <v>1762.3333333333333</v>
      </c>
      <c r="CG295" s="70"/>
      <c r="CH295" s="70">
        <v>7440</v>
      </c>
      <c r="CI295" s="70"/>
      <c r="CJ295" s="63"/>
      <c r="CK295" s="8">
        <f t="shared" si="258"/>
        <v>29691.141016657817</v>
      </c>
      <c r="CL295" s="202">
        <f t="shared" si="238"/>
        <v>32352.745763774798</v>
      </c>
      <c r="CM295" s="202">
        <f t="shared" si="239"/>
        <v>32352.745763774798</v>
      </c>
      <c r="CN295" s="202">
        <f t="shared" si="240"/>
        <v>32352.745763774798</v>
      </c>
      <c r="CO295" s="9">
        <f t="shared" si="241"/>
        <v>30917.119606789496</v>
      </c>
      <c r="CP295" s="9">
        <f t="shared" si="242"/>
        <v>32587.642460324812</v>
      </c>
      <c r="CQ295" s="9">
        <f t="shared" si="243"/>
        <v>22904.244315280175</v>
      </c>
      <c r="CR295" s="202">
        <f t="shared" si="244"/>
        <v>32352.745763774798</v>
      </c>
      <c r="CS295" s="202">
        <f t="shared" si="245"/>
        <v>32352.745763774798</v>
      </c>
      <c r="CT295" s="202">
        <f t="shared" si="246"/>
        <v>32352.745763774798</v>
      </c>
      <c r="CU295" s="203">
        <f t="shared" si="247"/>
        <v>0.52144937144682879</v>
      </c>
      <c r="CV295" s="203">
        <f t="shared" si="248"/>
        <v>0.52144937144682879</v>
      </c>
      <c r="CW295" s="203">
        <f t="shared" si="249"/>
        <v>0.52144937144682879</v>
      </c>
      <c r="CX295" s="19">
        <f t="shared" si="250"/>
        <v>0.51011395622907374</v>
      </c>
      <c r="CY295" s="19">
        <f t="shared" si="251"/>
        <v>0.52325431938420486</v>
      </c>
      <c r="CZ295" s="19">
        <f t="shared" si="252"/>
        <v>0.43548011238491324</v>
      </c>
      <c r="DA295" s="203">
        <f t="shared" si="253"/>
        <v>0.52144937144682879</v>
      </c>
      <c r="DB295" s="203">
        <f t="shared" si="254"/>
        <v>0.52144937144682879</v>
      </c>
      <c r="DC295" s="203">
        <f t="shared" si="255"/>
        <v>0.52144937144682879</v>
      </c>
      <c r="DD295" s="65"/>
      <c r="DE295" s="66"/>
      <c r="DF295" s="66"/>
      <c r="DG295" s="66"/>
      <c r="DH295" s="66"/>
      <c r="DI295" s="66"/>
      <c r="DJ295" s="65"/>
      <c r="DK295" s="70"/>
      <c r="DL295" s="70"/>
      <c r="DM295" s="8">
        <f t="shared" si="256"/>
        <v>0</v>
      </c>
      <c r="DN295" s="8">
        <f t="shared" si="257"/>
        <v>29691.141016657817</v>
      </c>
      <c r="DO295" s="202">
        <f t="shared" si="263"/>
        <v>32352.745763774798</v>
      </c>
      <c r="DP295" s="202">
        <f t="shared" si="264"/>
        <v>32352.745763774798</v>
      </c>
      <c r="DQ295" s="202">
        <f t="shared" si="265"/>
        <v>32352.745763774798</v>
      </c>
      <c r="DR295" s="9">
        <f t="shared" si="266"/>
        <v>30917.119606789496</v>
      </c>
      <c r="DS295" s="9">
        <f t="shared" si="259"/>
        <v>32587.642460324812</v>
      </c>
      <c r="DT295" s="9">
        <f t="shared" si="267"/>
        <v>22904.244315280175</v>
      </c>
      <c r="DU295" s="202">
        <f t="shared" si="268"/>
        <v>32352.745763774798</v>
      </c>
      <c r="DV295" s="202">
        <f t="shared" si="269"/>
        <v>32352.745763774798</v>
      </c>
      <c r="DW295" s="202">
        <f t="shared" si="270"/>
        <v>32352.745763774798</v>
      </c>
      <c r="DX295" s="203">
        <f t="shared" si="271"/>
        <v>0.52144937144682879</v>
      </c>
      <c r="DY295" s="203">
        <f t="shared" si="272"/>
        <v>0.52144937144682879</v>
      </c>
      <c r="DZ295" s="203">
        <f t="shared" si="273"/>
        <v>0.52144937144682879</v>
      </c>
      <c r="EA295" s="19">
        <f t="shared" si="274"/>
        <v>0.51011395622907374</v>
      </c>
      <c r="EB295" s="19">
        <f t="shared" si="260"/>
        <v>0.52325431938420486</v>
      </c>
      <c r="EC295" s="19">
        <f t="shared" si="275"/>
        <v>0.43548011238491324</v>
      </c>
      <c r="ED295" s="203">
        <f t="shared" si="276"/>
        <v>0.52144937144682879</v>
      </c>
      <c r="EE295" s="203">
        <f t="shared" si="277"/>
        <v>0.52144937144682879</v>
      </c>
      <c r="EF295" s="203">
        <f t="shared" si="278"/>
        <v>0.52144937144682879</v>
      </c>
      <c r="EH295" s="58">
        <f t="shared" si="288"/>
        <v>25841.848764389844</v>
      </c>
      <c r="EI295" s="68">
        <f t="shared" si="289"/>
        <v>0.41493823934342955</v>
      </c>
      <c r="EJ295" s="58">
        <f t="shared" si="290"/>
        <v>22214.848764389844</v>
      </c>
      <c r="EK295" s="68">
        <f t="shared" si="289"/>
        <v>0.35670010755107545</v>
      </c>
      <c r="EL295" s="58">
        <f t="shared" si="291"/>
        <v>1759.8306540850454</v>
      </c>
      <c r="EM295" s="58">
        <f t="shared" si="292"/>
        <v>1849.6503999765116</v>
      </c>
      <c r="EN295" s="68">
        <f t="shared" si="293"/>
        <v>2.9699526816546064E-2</v>
      </c>
      <c r="EO295" s="139">
        <f t="shared" si="312"/>
        <v>0.32946562535829382</v>
      </c>
      <c r="EP295">
        <f>+(SUM(M295:O295)*EO295*(1-'[1]Tier 3 Data'!$A$2))</f>
        <v>280.12670363353851</v>
      </c>
    </row>
    <row r="296" spans="1:146" x14ac:dyDescent="0.2">
      <c r="A296" s="43">
        <v>0</v>
      </c>
      <c r="B296" s="43">
        <v>0</v>
      </c>
      <c r="C296" s="43">
        <v>0</v>
      </c>
      <c r="D296" s="70">
        <v>2032</v>
      </c>
      <c r="E296" s="70">
        <v>1</v>
      </c>
      <c r="F296" s="2">
        <v>744</v>
      </c>
      <c r="G296" s="133">
        <f t="shared" si="305"/>
        <v>50059.932132029702</v>
      </c>
      <c r="H296" s="65">
        <v>50059.932132029702</v>
      </c>
      <c r="I296" s="133">
        <f t="shared" si="306"/>
        <v>50059.932132029702</v>
      </c>
      <c r="J296" s="133">
        <f t="shared" si="285"/>
        <v>3371.2310624999991</v>
      </c>
      <c r="K296" s="65">
        <v>3371.2310624999991</v>
      </c>
      <c r="L296" s="133">
        <f t="shared" si="286"/>
        <v>3371.2310624999991</v>
      </c>
      <c r="M296" s="65">
        <v>350.79787520860157</v>
      </c>
      <c r="N296" s="65">
        <v>755.37984075477868</v>
      </c>
      <c r="O296" s="65">
        <v>181.60464728752069</v>
      </c>
      <c r="P296" s="200">
        <f t="shared" si="279"/>
        <v>46302.366360554435</v>
      </c>
      <c r="Q296" s="200">
        <f t="shared" si="280"/>
        <v>46302.366360554435</v>
      </c>
      <c r="R296" s="200">
        <f t="shared" si="281"/>
        <v>46302.366360554435</v>
      </c>
      <c r="S296" s="133">
        <f t="shared" si="307"/>
        <v>46634.219675343447</v>
      </c>
      <c r="T296" s="133">
        <f t="shared" si="308"/>
        <v>46634.219675343447</v>
      </c>
      <c r="U296" s="133">
        <f t="shared" si="309"/>
        <v>46634.219675343447</v>
      </c>
      <c r="V296" s="200">
        <f t="shared" si="282"/>
        <v>46302.366360554435</v>
      </c>
      <c r="W296" s="200">
        <f t="shared" si="283"/>
        <v>46302.366360554435</v>
      </c>
      <c r="X296" s="200">
        <f t="shared" si="284"/>
        <v>46302.366360554435</v>
      </c>
      <c r="Y296" s="65">
        <v>16424.851039454981</v>
      </c>
      <c r="Z296" s="65">
        <v>18610.77389469753</v>
      </c>
      <c r="AA296" s="65">
        <v>8151.3563651352624</v>
      </c>
      <c r="AB296" s="200">
        <f t="shared" si="297"/>
        <v>64913.140255251965</v>
      </c>
      <c r="AC296" s="200">
        <f t="shared" si="298"/>
        <v>64913.140255251965</v>
      </c>
      <c r="AD296" s="200">
        <f t="shared" si="299"/>
        <v>64913.140255251965</v>
      </c>
      <c r="AE296" s="199">
        <f t="shared" si="261"/>
        <v>63059.070714798429</v>
      </c>
      <c r="AF296" s="199">
        <f t="shared" si="300"/>
        <v>65244.993570040977</v>
      </c>
      <c r="AG296" s="199">
        <f t="shared" si="262"/>
        <v>54785.576040478707</v>
      </c>
      <c r="AH296" s="199">
        <f t="shared" si="310"/>
        <v>60015.284805259842</v>
      </c>
      <c r="AI296" s="200">
        <f t="shared" si="301"/>
        <v>64913.140255251965</v>
      </c>
      <c r="AJ296" s="200">
        <f t="shared" si="302"/>
        <v>64913.140255251965</v>
      </c>
      <c r="AK296" s="200">
        <f t="shared" si="303"/>
        <v>64913.140255251965</v>
      </c>
      <c r="AL296" s="4"/>
      <c r="AM296" s="4"/>
      <c r="AN296" s="4"/>
      <c r="AO296" s="4"/>
      <c r="AP296" s="63"/>
      <c r="AQ296" s="18"/>
      <c r="AR296" s="18"/>
      <c r="AS296" s="66">
        <v>3395.12</v>
      </c>
      <c r="AT296" s="18"/>
      <c r="AU296" s="133">
        <f t="shared" si="313"/>
        <v>98.513999999999996</v>
      </c>
      <c r="AV296" s="133">
        <f t="shared" si="313"/>
        <v>3278.6750000000002</v>
      </c>
      <c r="AW296" s="63"/>
      <c r="AX296" s="63"/>
      <c r="AY296" s="65">
        <v>1258.1687644800002</v>
      </c>
      <c r="AZ296" s="63"/>
      <c r="BA296" s="65">
        <v>1660.8</v>
      </c>
      <c r="BB296" s="5"/>
      <c r="BC296" s="65">
        <v>187.65082722949612</v>
      </c>
      <c r="BD296" s="65">
        <v>17.899913811322826</v>
      </c>
      <c r="BE296" s="65">
        <v>0</v>
      </c>
      <c r="BF296" s="65">
        <v>44.932952556282949</v>
      </c>
      <c r="BG296" s="65">
        <v>0</v>
      </c>
      <c r="BH296" s="65">
        <v>28.898918897817506</v>
      </c>
      <c r="BI296" s="65">
        <v>476.06991176380893</v>
      </c>
      <c r="BJ296" s="65">
        <v>0</v>
      </c>
      <c r="BK296" s="65">
        <v>22.517673403701547</v>
      </c>
      <c r="BL296" s="65">
        <v>0</v>
      </c>
      <c r="BM296" s="65">
        <v>0</v>
      </c>
      <c r="BN296" s="65">
        <v>33.291643770364956</v>
      </c>
      <c r="BO296" s="65">
        <v>212.18019192</v>
      </c>
      <c r="BP296" s="260">
        <f t="shared" si="304"/>
        <v>992</v>
      </c>
      <c r="BQ296" s="65">
        <v>79.13114786876632</v>
      </c>
      <c r="BR296" s="65">
        <v>103.3874684252997</v>
      </c>
      <c r="BS296" s="65">
        <v>374.10357847329516</v>
      </c>
      <c r="BT296" s="65">
        <v>127.89752662101462</v>
      </c>
      <c r="BU296" s="65">
        <v>146.18288313980943</v>
      </c>
      <c r="BV296" s="144">
        <f t="shared" si="294"/>
        <v>245.55851264602109</v>
      </c>
      <c r="BW296" s="144">
        <f t="shared" si="295"/>
        <v>528.76588852834504</v>
      </c>
      <c r="BX296" s="144">
        <f t="shared" si="296"/>
        <v>127.12325310126448</v>
      </c>
      <c r="BY296" s="5"/>
      <c r="BZ296" s="66">
        <v>7254</v>
      </c>
      <c r="CA296" s="4"/>
      <c r="CB296" s="5"/>
      <c r="CC296" s="5"/>
      <c r="CD296" s="188">
        <v>2.5304839482857915</v>
      </c>
      <c r="CE296" s="5"/>
      <c r="CF296" s="133">
        <f t="shared" si="311"/>
        <v>1154.6666666666667</v>
      </c>
      <c r="CG296" s="70"/>
      <c r="CH296" s="70">
        <v>7440</v>
      </c>
      <c r="CI296" s="70"/>
      <c r="CJ296" s="63"/>
      <c r="CK296" s="8">
        <f t="shared" si="258"/>
        <v>29290.067207251563</v>
      </c>
      <c r="CL296" s="202">
        <f t="shared" ref="CL296:CL359" si="315">+AB296-$CK296</f>
        <v>35623.073048000399</v>
      </c>
      <c r="CM296" s="202">
        <f t="shared" ref="CM296:CM359" si="316">+AC296-$CK296</f>
        <v>35623.073048000399</v>
      </c>
      <c r="CN296" s="202">
        <f t="shared" ref="CN296:CN359" si="317">+AD296-$CK296</f>
        <v>35623.073048000399</v>
      </c>
      <c r="CO296" s="9">
        <f t="shared" ref="CO296:CO359" si="318">+AE296-$CK296</f>
        <v>33769.003507546862</v>
      </c>
      <c r="CP296" s="9">
        <f t="shared" ref="CP296:CP359" si="319">+AF296-$CK296</f>
        <v>35954.926362789411</v>
      </c>
      <c r="CQ296" s="9">
        <f t="shared" ref="CQ296:CQ359" si="320">+AG296-$CK296</f>
        <v>25495.508833227144</v>
      </c>
      <c r="CR296" s="202">
        <f t="shared" ref="CR296:CR359" si="321">+AI296-$CK296</f>
        <v>35623.073048000399</v>
      </c>
      <c r="CS296" s="202">
        <f t="shared" ref="CS296:CS359" si="322">+AJ296-$CK296</f>
        <v>35623.073048000399</v>
      </c>
      <c r="CT296" s="202">
        <f t="shared" ref="CT296:CT359" si="323">+AK296-$CK296</f>
        <v>35623.073048000399</v>
      </c>
      <c r="CU296" s="203">
        <f t="shared" ref="CU296:CU359" si="324">+CL296/AB296</f>
        <v>0.54878061526407551</v>
      </c>
      <c r="CV296" s="203">
        <f t="shared" ref="CV296:CV359" si="325">+CM296/AC296</f>
        <v>0.54878061526407551</v>
      </c>
      <c r="CW296" s="203">
        <f t="shared" ref="CW296:CW359" si="326">+CN296/AD296</f>
        <v>0.54878061526407551</v>
      </c>
      <c r="CX296" s="19">
        <f t="shared" ref="CX296:CX359" si="327">+CO296/AE296</f>
        <v>0.53551381466238601</v>
      </c>
      <c r="CY296" s="19">
        <f t="shared" ref="CY296:CY359" si="328">+CP296/AF296</f>
        <v>0.55107563654200586</v>
      </c>
      <c r="CZ296" s="19">
        <f t="shared" ref="CZ296:CZ359" si="329">+CQ296/AG296</f>
        <v>0.46536900176772095</v>
      </c>
      <c r="DA296" s="203">
        <f t="shared" ref="DA296:DA359" si="330">+CR296/AI296</f>
        <v>0.54878061526407551</v>
      </c>
      <c r="DB296" s="203">
        <f t="shared" ref="DB296:DB359" si="331">+CS296/AJ296</f>
        <v>0.54878061526407551</v>
      </c>
      <c r="DC296" s="203">
        <f t="shared" ref="DC296:DC359" si="332">+CT296/AK296</f>
        <v>0.54878061526407551</v>
      </c>
      <c r="DD296" s="65"/>
      <c r="DE296" s="66"/>
      <c r="DF296" s="66"/>
      <c r="DG296" s="66"/>
      <c r="DH296" s="66"/>
      <c r="DI296" s="66"/>
      <c r="DJ296" s="65"/>
      <c r="DK296" s="70"/>
      <c r="DL296" s="70"/>
      <c r="DM296" s="8">
        <f t="shared" ref="DM296:DM359" si="333">+SUM(DD296:DL296)</f>
        <v>0</v>
      </c>
      <c r="DN296" s="8">
        <f t="shared" ref="DN296:DN359" si="334">+DM296+CK296</f>
        <v>29290.067207251563</v>
      </c>
      <c r="DO296" s="202">
        <f t="shared" si="263"/>
        <v>35623.073048000399</v>
      </c>
      <c r="DP296" s="202">
        <f t="shared" si="264"/>
        <v>35623.073048000399</v>
      </c>
      <c r="DQ296" s="202">
        <f t="shared" si="265"/>
        <v>35623.073048000399</v>
      </c>
      <c r="DR296" s="9">
        <f t="shared" si="266"/>
        <v>33769.003507546862</v>
      </c>
      <c r="DS296" s="9">
        <f t="shared" si="259"/>
        <v>35954.926362789411</v>
      </c>
      <c r="DT296" s="9">
        <f t="shared" si="267"/>
        <v>25495.508833227144</v>
      </c>
      <c r="DU296" s="202">
        <f t="shared" si="268"/>
        <v>35623.073048000399</v>
      </c>
      <c r="DV296" s="202">
        <f t="shared" si="269"/>
        <v>35623.073048000399</v>
      </c>
      <c r="DW296" s="202">
        <f t="shared" si="270"/>
        <v>35623.073048000399</v>
      </c>
      <c r="DX296" s="203">
        <f t="shared" si="271"/>
        <v>0.54878061526407551</v>
      </c>
      <c r="DY296" s="203">
        <f t="shared" si="272"/>
        <v>0.54878061526407551</v>
      </c>
      <c r="DZ296" s="203">
        <f t="shared" si="273"/>
        <v>0.54878061526407551</v>
      </c>
      <c r="EA296" s="19">
        <f t="shared" si="274"/>
        <v>0.53551381466238601</v>
      </c>
      <c r="EB296" s="19">
        <f t="shared" si="260"/>
        <v>0.55107563654200586</v>
      </c>
      <c r="EC296" s="19">
        <f t="shared" si="275"/>
        <v>0.46536900176772095</v>
      </c>
      <c r="ED296" s="203">
        <f t="shared" si="276"/>
        <v>0.54878061526407551</v>
      </c>
      <c r="EE296" s="203">
        <f t="shared" si="277"/>
        <v>0.54878061526407551</v>
      </c>
      <c r="EF296" s="203">
        <f t="shared" si="278"/>
        <v>0.54878061526407551</v>
      </c>
      <c r="EH296" s="58">
        <f t="shared" si="288"/>
        <v>25370.045258100978</v>
      </c>
      <c r="EI296" s="68">
        <f t="shared" si="289"/>
        <v>0.38884278884733198</v>
      </c>
      <c r="EJ296" s="58">
        <f t="shared" si="290"/>
        <v>21743.045258100974</v>
      </c>
      <c r="EK296" s="68">
        <f t="shared" si="289"/>
        <v>0.33325231666640687</v>
      </c>
      <c r="EL296" s="58">
        <f t="shared" si="291"/>
        <v>2337.9775738530416</v>
      </c>
      <c r="EM296" s="58">
        <f t="shared" si="292"/>
        <v>2465.1008269543063</v>
      </c>
      <c r="EN296" s="68">
        <f t="shared" si="293"/>
        <v>3.7782221931066673E-2</v>
      </c>
      <c r="EO296" s="139">
        <f t="shared" si="312"/>
        <v>0.32527353469126524</v>
      </c>
      <c r="EP296">
        <f>+(SUM(M296:O296)*EO296*(1-'[1]Tier 3 Data'!$A$2))</f>
        <v>390.81645928677619</v>
      </c>
    </row>
    <row r="297" spans="1:146" x14ac:dyDescent="0.2">
      <c r="A297" s="43">
        <v>0</v>
      </c>
      <c r="B297" s="43">
        <v>0</v>
      </c>
      <c r="C297" s="43">
        <v>0</v>
      </c>
      <c r="D297" s="70">
        <v>2032</v>
      </c>
      <c r="E297" s="70">
        <v>2</v>
      </c>
      <c r="F297" s="2">
        <f>29*24</f>
        <v>696</v>
      </c>
      <c r="G297" s="133">
        <f t="shared" si="305"/>
        <v>45274.981948620225</v>
      </c>
      <c r="H297" s="65">
        <v>45274.981948620225</v>
      </c>
      <c r="I297" s="133">
        <f t="shared" si="306"/>
        <v>45274.981948620225</v>
      </c>
      <c r="J297" s="133">
        <f t="shared" si="285"/>
        <v>3411.457124999999</v>
      </c>
      <c r="K297" s="65">
        <v>3411.457124999999</v>
      </c>
      <c r="L297" s="133">
        <f t="shared" si="286"/>
        <v>3411.457124999999</v>
      </c>
      <c r="M297" s="65">
        <v>785.20357244912623</v>
      </c>
      <c r="N297" s="65">
        <v>1690.7940196730158</v>
      </c>
      <c r="O297" s="65">
        <v>406.84977674945804</v>
      </c>
      <c r="P297" s="200">
        <f t="shared" si="279"/>
        <v>40998.670612958747</v>
      </c>
      <c r="Q297" s="200">
        <f t="shared" si="280"/>
        <v>40998.670612958747</v>
      </c>
      <c r="R297" s="200">
        <f t="shared" si="281"/>
        <v>40998.670612958747</v>
      </c>
      <c r="S297" s="133">
        <f t="shared" si="307"/>
        <v>41741.469890595385</v>
      </c>
      <c r="T297" s="133">
        <f t="shared" si="308"/>
        <v>41741.469890595385</v>
      </c>
      <c r="U297" s="133">
        <f t="shared" si="309"/>
        <v>41741.469890595385</v>
      </c>
      <c r="V297" s="200">
        <f t="shared" si="282"/>
        <v>40998.670612958747</v>
      </c>
      <c r="W297" s="200">
        <f t="shared" si="283"/>
        <v>40998.670612958747</v>
      </c>
      <c r="X297" s="200">
        <f t="shared" si="284"/>
        <v>40998.670612958747</v>
      </c>
      <c r="Y297" s="65">
        <v>15389.264593879476</v>
      </c>
      <c r="Z297" s="65">
        <v>16599.892873384342</v>
      </c>
      <c r="AA297" s="65">
        <v>7442.1831849729688</v>
      </c>
      <c r="AB297" s="200">
        <f t="shared" si="297"/>
        <v>57598.56348634309</v>
      </c>
      <c r="AC297" s="200">
        <f t="shared" si="298"/>
        <v>57598.56348634309</v>
      </c>
      <c r="AD297" s="200">
        <f t="shared" si="299"/>
        <v>57598.56348634309</v>
      </c>
      <c r="AE297" s="199">
        <f t="shared" si="261"/>
        <v>57130.734484474859</v>
      </c>
      <c r="AF297" s="199">
        <f t="shared" si="300"/>
        <v>58341.362763979727</v>
      </c>
      <c r="AG297" s="199">
        <f t="shared" si="262"/>
        <v>49183.653075568356</v>
      </c>
      <c r="AH297" s="199">
        <f t="shared" si="310"/>
        <v>53762.507919774042</v>
      </c>
      <c r="AI297" s="200">
        <f t="shared" si="301"/>
        <v>57598.56348634309</v>
      </c>
      <c r="AJ297" s="200">
        <f t="shared" si="302"/>
        <v>57598.56348634309</v>
      </c>
      <c r="AK297" s="200">
        <f t="shared" si="303"/>
        <v>57598.56348634309</v>
      </c>
      <c r="AL297" s="4"/>
      <c r="AM297" s="4"/>
      <c r="AN297" s="4"/>
      <c r="AO297" s="4"/>
      <c r="AP297" s="63"/>
      <c r="AQ297" s="18"/>
      <c r="AR297" s="18"/>
      <c r="AS297" s="66">
        <v>3176.08</v>
      </c>
      <c r="AT297" s="18"/>
      <c r="AU297" s="133">
        <f t="shared" si="313"/>
        <v>92.897999999999996</v>
      </c>
      <c r="AV297" s="133">
        <f t="shared" si="313"/>
        <v>3057.587</v>
      </c>
      <c r="AW297" s="63"/>
      <c r="AX297" s="63"/>
      <c r="AY297" s="65">
        <v>1185.0038251199999</v>
      </c>
      <c r="AZ297" s="63"/>
      <c r="BA297" s="65">
        <v>853.7</v>
      </c>
      <c r="BB297" s="5"/>
      <c r="BC297" s="65">
        <v>233.87491436180096</v>
      </c>
      <c r="BD297" s="65">
        <v>18.196795404006242</v>
      </c>
      <c r="BE297" s="65">
        <v>0</v>
      </c>
      <c r="BF297" s="65">
        <v>43.873371997991775</v>
      </c>
      <c r="BG297" s="65">
        <v>0</v>
      </c>
      <c r="BH297" s="65">
        <v>13.679259347166004</v>
      </c>
      <c r="BI297" s="65">
        <v>593.34036245852292</v>
      </c>
      <c r="BJ297" s="65">
        <v>0</v>
      </c>
      <c r="BK297" s="65">
        <v>19.256201566846642</v>
      </c>
      <c r="BL297" s="65">
        <v>0</v>
      </c>
      <c r="BM297" s="65">
        <v>0</v>
      </c>
      <c r="BN297" s="65">
        <v>19.023796440208542</v>
      </c>
      <c r="BO297" s="65">
        <v>191.64662496000003</v>
      </c>
      <c r="BP297" s="260">
        <f>2*16*29</f>
        <v>928</v>
      </c>
      <c r="BQ297" s="65">
        <v>98.446315071261651</v>
      </c>
      <c r="BR297" s="65">
        <v>128.62330806205151</v>
      </c>
      <c r="BS297" s="65">
        <v>465.41849259505074</v>
      </c>
      <c r="BT297" s="65">
        <v>164.04515776332602</v>
      </c>
      <c r="BU297" s="65">
        <v>176.97060438422895</v>
      </c>
      <c r="BV297" s="144">
        <f t="shared" si="294"/>
        <v>549.64250071438835</v>
      </c>
      <c r="BW297" s="144">
        <f t="shared" si="295"/>
        <v>1183.5558137711109</v>
      </c>
      <c r="BX297" s="144">
        <f t="shared" si="296"/>
        <v>284.79484372462059</v>
      </c>
      <c r="BY297" s="5"/>
      <c r="BZ297" s="66">
        <v>6786</v>
      </c>
      <c r="CA297" s="4"/>
      <c r="CB297" s="5"/>
      <c r="CC297" s="5"/>
      <c r="CD297" s="188">
        <v>3.1195892150124847</v>
      </c>
      <c r="CE297" s="5"/>
      <c r="CF297" s="133">
        <f t="shared" si="311"/>
        <v>667.66666666666663</v>
      </c>
      <c r="CG297" s="70"/>
      <c r="CH297" s="70">
        <v>6960</v>
      </c>
      <c r="CI297" s="70"/>
      <c r="CJ297" s="63"/>
      <c r="CK297" s="8">
        <f t="shared" ref="CK297:CK360" si="335">+SUM(AL297:CI297)</f>
        <v>27894.443443624263</v>
      </c>
      <c r="CL297" s="202">
        <f t="shared" si="315"/>
        <v>29704.120042718827</v>
      </c>
      <c r="CM297" s="202">
        <f t="shared" si="316"/>
        <v>29704.120042718827</v>
      </c>
      <c r="CN297" s="202">
        <f t="shared" si="317"/>
        <v>29704.120042718827</v>
      </c>
      <c r="CO297" s="9">
        <f t="shared" si="318"/>
        <v>29236.291040850596</v>
      </c>
      <c r="CP297" s="9">
        <f t="shared" si="319"/>
        <v>30446.919320355464</v>
      </c>
      <c r="CQ297" s="9">
        <f t="shared" si="320"/>
        <v>21289.209631944093</v>
      </c>
      <c r="CR297" s="202">
        <f t="shared" si="321"/>
        <v>29704.120042718827</v>
      </c>
      <c r="CS297" s="202">
        <f t="shared" si="322"/>
        <v>29704.120042718827</v>
      </c>
      <c r="CT297" s="202">
        <f t="shared" si="323"/>
        <v>29704.120042718827</v>
      </c>
      <c r="CU297" s="203">
        <f t="shared" si="324"/>
        <v>0.51570939003994121</v>
      </c>
      <c r="CV297" s="203">
        <f t="shared" si="325"/>
        <v>0.51570939003994121</v>
      </c>
      <c r="CW297" s="203">
        <f t="shared" si="326"/>
        <v>0.51570939003994121</v>
      </c>
      <c r="CX297" s="19">
        <f t="shared" si="327"/>
        <v>0.51174365785189557</v>
      </c>
      <c r="CY297" s="19">
        <f t="shared" si="328"/>
        <v>0.52187535357253523</v>
      </c>
      <c r="CZ297" s="19">
        <f t="shared" si="329"/>
        <v>0.4328513296731788</v>
      </c>
      <c r="DA297" s="203">
        <f t="shared" si="330"/>
        <v>0.51570939003994121</v>
      </c>
      <c r="DB297" s="203">
        <f t="shared" si="331"/>
        <v>0.51570939003994121</v>
      </c>
      <c r="DC297" s="203">
        <f t="shared" si="332"/>
        <v>0.51570939003994121</v>
      </c>
      <c r="DD297" s="65"/>
      <c r="DE297" s="66"/>
      <c r="DF297" s="66"/>
      <c r="DG297" s="66"/>
      <c r="DH297" s="66"/>
      <c r="DI297" s="66"/>
      <c r="DJ297" s="65"/>
      <c r="DK297" s="70"/>
      <c r="DL297" s="70"/>
      <c r="DM297" s="8">
        <f t="shared" si="333"/>
        <v>0</v>
      </c>
      <c r="DN297" s="8">
        <f t="shared" si="334"/>
        <v>27894.443443624263</v>
      </c>
      <c r="DO297" s="202">
        <f t="shared" si="263"/>
        <v>29704.120042718827</v>
      </c>
      <c r="DP297" s="202">
        <f t="shared" si="264"/>
        <v>29704.120042718827</v>
      </c>
      <c r="DQ297" s="202">
        <f t="shared" si="265"/>
        <v>29704.120042718827</v>
      </c>
      <c r="DR297" s="9">
        <f t="shared" si="266"/>
        <v>29236.291040850596</v>
      </c>
      <c r="DS297" s="9">
        <f t="shared" ref="DS297:DS360" si="336">+AF297-$DN297</f>
        <v>30446.919320355464</v>
      </c>
      <c r="DT297" s="9">
        <f t="shared" si="267"/>
        <v>21289.209631944093</v>
      </c>
      <c r="DU297" s="202">
        <f t="shared" si="268"/>
        <v>29704.120042718827</v>
      </c>
      <c r="DV297" s="202">
        <f t="shared" si="269"/>
        <v>29704.120042718827</v>
      </c>
      <c r="DW297" s="202">
        <f t="shared" si="270"/>
        <v>29704.120042718827</v>
      </c>
      <c r="DX297" s="203">
        <f t="shared" si="271"/>
        <v>0.51570939003994121</v>
      </c>
      <c r="DY297" s="203">
        <f t="shared" si="272"/>
        <v>0.51570939003994121</v>
      </c>
      <c r="DZ297" s="203">
        <f t="shared" si="273"/>
        <v>0.51570939003994121</v>
      </c>
      <c r="EA297" s="19">
        <f t="shared" si="274"/>
        <v>0.51174365785189557</v>
      </c>
      <c r="EB297" s="19">
        <f t="shared" ref="EB297:EB360" si="337">+DS297/AF297</f>
        <v>0.52187535357253523</v>
      </c>
      <c r="EC297" s="19">
        <f t="shared" si="275"/>
        <v>0.4328513296731788</v>
      </c>
      <c r="ED297" s="203">
        <f t="shared" si="276"/>
        <v>0.51570939003994121</v>
      </c>
      <c r="EE297" s="203">
        <f t="shared" si="277"/>
        <v>0.51570939003994121</v>
      </c>
      <c r="EF297" s="203">
        <f t="shared" si="278"/>
        <v>0.51570939003994121</v>
      </c>
      <c r="EH297" s="58">
        <f t="shared" si="288"/>
        <v>23904.807981696871</v>
      </c>
      <c r="EI297" s="68">
        <f t="shared" si="289"/>
        <v>0.40974030857667637</v>
      </c>
      <c r="EJ297" s="58">
        <f t="shared" si="290"/>
        <v>20511.807981696868</v>
      </c>
      <c r="EK297" s="68">
        <f t="shared" si="289"/>
        <v>0.35158259954738269</v>
      </c>
      <c r="EL297" s="58">
        <f t="shared" si="291"/>
        <v>3306.0776461855812</v>
      </c>
      <c r="EM297" s="58">
        <f t="shared" si="292"/>
        <v>3590.8724899102017</v>
      </c>
      <c r="EN297" s="68">
        <f t="shared" si="293"/>
        <v>6.1549342006923871E-2</v>
      </c>
      <c r="EO297" s="139">
        <f t="shared" si="312"/>
        <v>0.3126447604730192</v>
      </c>
      <c r="EP297">
        <f>+(SUM(M297:O297)*EO297*(1-'[1]Tier 3 Data'!$A$2))</f>
        <v>840.91954773801911</v>
      </c>
    </row>
    <row r="298" spans="1:146" x14ac:dyDescent="0.2">
      <c r="A298" s="43">
        <v>0</v>
      </c>
      <c r="B298" s="43">
        <v>0</v>
      </c>
      <c r="C298" s="43">
        <v>0</v>
      </c>
      <c r="D298" s="70">
        <v>2032</v>
      </c>
      <c r="E298" s="70">
        <v>3</v>
      </c>
      <c r="F298" s="2">
        <v>743</v>
      </c>
      <c r="G298" s="133">
        <f t="shared" si="305"/>
        <v>47445.64568388943</v>
      </c>
      <c r="H298" s="65">
        <v>47445.64568388943</v>
      </c>
      <c r="I298" s="133">
        <f t="shared" si="306"/>
        <v>47445.64568388943</v>
      </c>
      <c r="J298" s="133">
        <f t="shared" si="285"/>
        <v>3451.6831874999989</v>
      </c>
      <c r="K298" s="65">
        <v>3451.6831874999989</v>
      </c>
      <c r="L298" s="133">
        <f t="shared" si="286"/>
        <v>3451.6831874999989</v>
      </c>
      <c r="M298" s="65">
        <v>1050.2026341606518</v>
      </c>
      <c r="N298" s="65">
        <v>2261.4216180208796</v>
      </c>
      <c r="O298" s="65">
        <v>544.85372520500266</v>
      </c>
      <c r="P298" s="200">
        <f t="shared" si="279"/>
        <v>42837.019103173472</v>
      </c>
      <c r="Q298" s="200">
        <f t="shared" si="280"/>
        <v>42837.019103173472</v>
      </c>
      <c r="R298" s="200">
        <f t="shared" si="281"/>
        <v>42837.019103173472</v>
      </c>
      <c r="S298" s="133">
        <f t="shared" si="307"/>
        <v>43830.506378827929</v>
      </c>
      <c r="T298" s="133">
        <f t="shared" si="308"/>
        <v>43830.506378827929</v>
      </c>
      <c r="U298" s="133">
        <f t="shared" si="309"/>
        <v>43830.506378827929</v>
      </c>
      <c r="V298" s="200">
        <f t="shared" si="282"/>
        <v>42837.019103173472</v>
      </c>
      <c r="W298" s="200">
        <f t="shared" si="283"/>
        <v>42837.019103173472</v>
      </c>
      <c r="X298" s="200">
        <f t="shared" si="284"/>
        <v>42837.019103173472</v>
      </c>
      <c r="Y298" s="65">
        <v>14126.704264777054</v>
      </c>
      <c r="Z298" s="65">
        <v>14802.283219336025</v>
      </c>
      <c r="AA298" s="65">
        <v>6765.2449207467016</v>
      </c>
      <c r="AB298" s="200">
        <f t="shared" si="297"/>
        <v>57639.302322509495</v>
      </c>
      <c r="AC298" s="200">
        <f t="shared" si="298"/>
        <v>57639.302322509495</v>
      </c>
      <c r="AD298" s="200">
        <f t="shared" si="299"/>
        <v>57639.302322509495</v>
      </c>
      <c r="AE298" s="199">
        <f t="shared" si="261"/>
        <v>57957.21064360498</v>
      </c>
      <c r="AF298" s="199">
        <f t="shared" si="300"/>
        <v>58632.789598163952</v>
      </c>
      <c r="AG298" s="199">
        <f t="shared" si="262"/>
        <v>50595.751299574629</v>
      </c>
      <c r="AH298" s="199">
        <f t="shared" si="310"/>
        <v>54614.270448869291</v>
      </c>
      <c r="AI298" s="200">
        <f t="shared" si="301"/>
        <v>57639.302322509495</v>
      </c>
      <c r="AJ298" s="200">
        <f t="shared" si="302"/>
        <v>57639.302322509495</v>
      </c>
      <c r="AK298" s="200">
        <f t="shared" si="303"/>
        <v>57639.302322509495</v>
      </c>
      <c r="AL298" s="4"/>
      <c r="AM298" s="4"/>
      <c r="AN298" s="4"/>
      <c r="AO298" s="4"/>
      <c r="AP298" s="63"/>
      <c r="AQ298" s="18"/>
      <c r="AR298" s="18"/>
      <c r="AS298" s="66">
        <v>3395.12</v>
      </c>
      <c r="AT298" s="18"/>
      <c r="AU298" s="133">
        <f t="shared" si="313"/>
        <v>87.516000000000005</v>
      </c>
      <c r="AV298" s="133">
        <f t="shared" si="313"/>
        <v>3232.7139999999999</v>
      </c>
      <c r="AW298" s="63"/>
      <c r="AX298" s="63"/>
      <c r="AY298" s="65">
        <v>1280.8105891600001</v>
      </c>
      <c r="AZ298" s="63"/>
      <c r="BA298" s="65">
        <v>2416.2429999999999</v>
      </c>
      <c r="BB298" s="5"/>
      <c r="BC298" s="65">
        <v>449.53123898462314</v>
      </c>
      <c r="BD298" s="65">
        <v>17.737549502477364</v>
      </c>
      <c r="BE298" s="65">
        <v>0</v>
      </c>
      <c r="BF298" s="65">
        <v>48.035753138107225</v>
      </c>
      <c r="BG298" s="65">
        <v>0</v>
      </c>
      <c r="BH298" s="65">
        <v>23.938703857540506</v>
      </c>
      <c r="BI298" s="65">
        <v>1140.4601857510293</v>
      </c>
      <c r="BJ298" s="65">
        <v>0</v>
      </c>
      <c r="BK298" s="65">
        <v>19.397174608663349</v>
      </c>
      <c r="BL298" s="65">
        <v>0</v>
      </c>
      <c r="BM298" s="65">
        <v>0</v>
      </c>
      <c r="BN298" s="65">
        <v>33.291643770364956</v>
      </c>
      <c r="BO298" s="65">
        <v>212.18019192</v>
      </c>
      <c r="BP298" s="260">
        <f t="shared" si="304"/>
        <v>992</v>
      </c>
      <c r="BQ298" s="65">
        <v>137.01283562985063</v>
      </c>
      <c r="BR298" s="65">
        <v>179.01169238887186</v>
      </c>
      <c r="BS298" s="65">
        <v>647.74692494553017</v>
      </c>
      <c r="BT298" s="65">
        <v>217.10987877776532</v>
      </c>
      <c r="BU298" s="65">
        <v>252.30160256448028</v>
      </c>
      <c r="BV298" s="144">
        <f t="shared" si="294"/>
        <v>735.14184391245624</v>
      </c>
      <c r="BW298" s="144">
        <f t="shared" si="295"/>
        <v>1582.9951326146156</v>
      </c>
      <c r="BX298" s="144">
        <f t="shared" si="296"/>
        <v>381.39760764350183</v>
      </c>
      <c r="BY298" s="5"/>
      <c r="BZ298" s="66">
        <v>7244.25</v>
      </c>
      <c r="CA298" s="4"/>
      <c r="CB298" s="5"/>
      <c r="CC298" s="5"/>
      <c r="CD298" s="188">
        <v>13.157281760074044</v>
      </c>
      <c r="CE298" s="5"/>
      <c r="CF298" s="133">
        <f t="shared" si="311"/>
        <v>1476.3333333333333</v>
      </c>
      <c r="CG298" s="70"/>
      <c r="CH298" s="70">
        <v>5942</v>
      </c>
      <c r="CI298" s="70"/>
      <c r="CJ298" s="63"/>
      <c r="CK298" s="8">
        <f t="shared" si="335"/>
        <v>32157.434164263286</v>
      </c>
      <c r="CL298" s="202">
        <f t="shared" si="315"/>
        <v>25481.868158246209</v>
      </c>
      <c r="CM298" s="202">
        <f t="shared" si="316"/>
        <v>25481.868158246209</v>
      </c>
      <c r="CN298" s="202">
        <f t="shared" si="317"/>
        <v>25481.868158246209</v>
      </c>
      <c r="CO298" s="9">
        <f t="shared" si="318"/>
        <v>25799.776479341694</v>
      </c>
      <c r="CP298" s="9">
        <f t="shared" si="319"/>
        <v>26475.355433900666</v>
      </c>
      <c r="CQ298" s="9">
        <f t="shared" si="320"/>
        <v>18438.317135311343</v>
      </c>
      <c r="CR298" s="202">
        <f t="shared" si="321"/>
        <v>25481.868158246209</v>
      </c>
      <c r="CS298" s="202">
        <f t="shared" si="322"/>
        <v>25481.868158246209</v>
      </c>
      <c r="CT298" s="202">
        <f t="shared" si="323"/>
        <v>25481.868158246209</v>
      </c>
      <c r="CU298" s="203">
        <f t="shared" si="324"/>
        <v>0.44209189097514362</v>
      </c>
      <c r="CV298" s="203">
        <f t="shared" si="325"/>
        <v>0.44209189097514362</v>
      </c>
      <c r="CW298" s="203">
        <f t="shared" si="326"/>
        <v>0.44209189097514362</v>
      </c>
      <c r="CX298" s="19">
        <f t="shared" si="327"/>
        <v>0.44515214229324629</v>
      </c>
      <c r="CY298" s="19">
        <f t="shared" si="328"/>
        <v>0.45154521242035062</v>
      </c>
      <c r="CZ298" s="19">
        <f t="shared" si="329"/>
        <v>0.36442421866885805</v>
      </c>
      <c r="DA298" s="203">
        <f t="shared" si="330"/>
        <v>0.44209189097514362</v>
      </c>
      <c r="DB298" s="203">
        <f t="shared" si="331"/>
        <v>0.44209189097514362</v>
      </c>
      <c r="DC298" s="203">
        <f t="shared" si="332"/>
        <v>0.44209189097514362</v>
      </c>
      <c r="DD298" s="65"/>
      <c r="DE298" s="66"/>
      <c r="DF298" s="66"/>
      <c r="DG298" s="66"/>
      <c r="DH298" s="66"/>
      <c r="DI298" s="66"/>
      <c r="DJ298" s="65"/>
      <c r="DK298" s="70"/>
      <c r="DL298" s="70"/>
      <c r="DM298" s="8">
        <f t="shared" si="333"/>
        <v>0</v>
      </c>
      <c r="DN298" s="8">
        <f t="shared" si="334"/>
        <v>32157.434164263286</v>
      </c>
      <c r="DO298" s="202">
        <f t="shared" si="263"/>
        <v>25481.868158246209</v>
      </c>
      <c r="DP298" s="202">
        <f t="shared" si="264"/>
        <v>25481.868158246209</v>
      </c>
      <c r="DQ298" s="202">
        <f t="shared" si="265"/>
        <v>25481.868158246209</v>
      </c>
      <c r="DR298" s="9">
        <f t="shared" si="266"/>
        <v>25799.776479341694</v>
      </c>
      <c r="DS298" s="9">
        <f t="shared" si="336"/>
        <v>26475.355433900666</v>
      </c>
      <c r="DT298" s="9">
        <f t="shared" si="267"/>
        <v>18438.317135311343</v>
      </c>
      <c r="DU298" s="202">
        <f t="shared" si="268"/>
        <v>25481.868158246209</v>
      </c>
      <c r="DV298" s="202">
        <f t="shared" si="269"/>
        <v>25481.868158246209</v>
      </c>
      <c r="DW298" s="202">
        <f t="shared" si="270"/>
        <v>25481.868158246209</v>
      </c>
      <c r="DX298" s="203">
        <f t="shared" si="271"/>
        <v>0.44209189097514362</v>
      </c>
      <c r="DY298" s="203">
        <f t="shared" si="272"/>
        <v>0.44209189097514362</v>
      </c>
      <c r="DZ298" s="203">
        <f t="shared" si="273"/>
        <v>0.44209189097514362</v>
      </c>
      <c r="EA298" s="19">
        <f t="shared" si="274"/>
        <v>0.44515214229324629</v>
      </c>
      <c r="EB298" s="19">
        <f t="shared" si="337"/>
        <v>0.45154521242035062</v>
      </c>
      <c r="EC298" s="19">
        <f t="shared" si="275"/>
        <v>0.36442421866885805</v>
      </c>
      <c r="ED298" s="203">
        <f t="shared" si="276"/>
        <v>0.44209189097514362</v>
      </c>
      <c r="EE298" s="203">
        <f t="shared" si="277"/>
        <v>0.44209189097514362</v>
      </c>
      <c r="EF298" s="203">
        <f t="shared" si="278"/>
        <v>0.44209189097514362</v>
      </c>
      <c r="EH298" s="58">
        <f t="shared" si="288"/>
        <v>27738.974285452648</v>
      </c>
      <c r="EI298" s="68">
        <f t="shared" si="289"/>
        <v>0.47309661497533928</v>
      </c>
      <c r="EJ298" s="58">
        <f t="shared" si="290"/>
        <v>24116.849285452648</v>
      </c>
      <c r="EK298" s="68">
        <f t="shared" si="289"/>
        <v>0.41132017512275848</v>
      </c>
      <c r="EL298" s="58">
        <f t="shared" si="291"/>
        <v>4912.714755315812</v>
      </c>
      <c r="EM298" s="58">
        <f t="shared" si="292"/>
        <v>5294.1123629593139</v>
      </c>
      <c r="EN298" s="68">
        <f t="shared" si="293"/>
        <v>9.0292691158687349E-2</v>
      </c>
      <c r="EO298" s="139">
        <f t="shared" si="312"/>
        <v>0.32861286969700848</v>
      </c>
      <c r="EP298">
        <f>+(SUM(M298:O298)*EO298*(1-'[1]Tier 3 Data'!$A$2))</f>
        <v>1182.3799793024598</v>
      </c>
    </row>
    <row r="299" spans="1:146" x14ac:dyDescent="0.2">
      <c r="A299" s="43">
        <v>0</v>
      </c>
      <c r="B299" s="43">
        <v>0</v>
      </c>
      <c r="C299" s="43">
        <v>0</v>
      </c>
      <c r="D299" s="70">
        <v>2032</v>
      </c>
      <c r="E299" s="70">
        <v>4</v>
      </c>
      <c r="F299" s="2">
        <v>720</v>
      </c>
      <c r="G299" s="133">
        <f t="shared" si="305"/>
        <v>39869.174093102854</v>
      </c>
      <c r="H299" s="65">
        <v>39869.174093102854</v>
      </c>
      <c r="I299" s="133">
        <f t="shared" si="306"/>
        <v>39869.174093102854</v>
      </c>
      <c r="J299" s="133">
        <f t="shared" si="285"/>
        <v>3491.9092499999988</v>
      </c>
      <c r="K299" s="65">
        <v>3491.9092499999988</v>
      </c>
      <c r="L299" s="133">
        <f t="shared" si="286"/>
        <v>3491.9092499999988</v>
      </c>
      <c r="M299" s="65">
        <v>1418.2286880453187</v>
      </c>
      <c r="N299" s="65">
        <v>3053.8992287010965</v>
      </c>
      <c r="O299" s="65">
        <v>737.30085712782329</v>
      </c>
      <c r="P299" s="200">
        <f t="shared" si="279"/>
        <v>34814.436210940585</v>
      </c>
      <c r="Q299" s="200">
        <f t="shared" si="280"/>
        <v>34814.436210940585</v>
      </c>
      <c r="R299" s="200">
        <f t="shared" si="281"/>
        <v>34814.436210940585</v>
      </c>
      <c r="S299" s="133">
        <f t="shared" si="307"/>
        <v>36156.07458596451</v>
      </c>
      <c r="T299" s="133">
        <f t="shared" si="308"/>
        <v>36156.07458596451</v>
      </c>
      <c r="U299" s="133">
        <f t="shared" si="309"/>
        <v>36156.07458596451</v>
      </c>
      <c r="V299" s="200">
        <f t="shared" si="282"/>
        <v>34814.436210940585</v>
      </c>
      <c r="W299" s="200">
        <f t="shared" si="283"/>
        <v>34814.436210940585</v>
      </c>
      <c r="X299" s="200">
        <f t="shared" si="284"/>
        <v>34814.436210940585</v>
      </c>
      <c r="Y299" s="65">
        <v>12120.21779882077</v>
      </c>
      <c r="Z299" s="65">
        <v>11710.410630288759</v>
      </c>
      <c r="AA299" s="65">
        <v>5564.0024010838988</v>
      </c>
      <c r="AB299" s="200">
        <f t="shared" si="297"/>
        <v>46524.846841229344</v>
      </c>
      <c r="AC299" s="200">
        <f t="shared" si="298"/>
        <v>46524.846841229344</v>
      </c>
      <c r="AD299" s="200">
        <f t="shared" si="299"/>
        <v>46524.846841229344</v>
      </c>
      <c r="AE299" s="199">
        <f t="shared" si="261"/>
        <v>48276.29238478528</v>
      </c>
      <c r="AF299" s="199">
        <f t="shared" si="300"/>
        <v>47866.48521625327</v>
      </c>
      <c r="AG299" s="199">
        <f t="shared" si="262"/>
        <v>41720.076987048407</v>
      </c>
      <c r="AH299" s="199">
        <f t="shared" si="310"/>
        <v>44998.184685916844</v>
      </c>
      <c r="AI299" s="200">
        <f t="shared" si="301"/>
        <v>46524.846841229344</v>
      </c>
      <c r="AJ299" s="200">
        <f t="shared" si="302"/>
        <v>46524.846841229344</v>
      </c>
      <c r="AK299" s="200">
        <f t="shared" si="303"/>
        <v>46524.846841229344</v>
      </c>
      <c r="AL299" s="4"/>
      <c r="AM299" s="4"/>
      <c r="AN299" s="4"/>
      <c r="AO299" s="4"/>
      <c r="AP299" s="63"/>
      <c r="AQ299" s="18"/>
      <c r="AR299" s="18"/>
      <c r="AS299" s="66">
        <v>3285.6</v>
      </c>
      <c r="AT299" s="18"/>
      <c r="AU299" s="133">
        <f t="shared" si="313"/>
        <v>96.057000000000002</v>
      </c>
      <c r="AV299" s="133">
        <f t="shared" si="313"/>
        <v>3017.9659999999999</v>
      </c>
      <c r="AW299" s="63"/>
      <c r="AX299" s="63"/>
      <c r="AY299" s="65">
        <v>1122.6138126000001</v>
      </c>
      <c r="AZ299" s="63"/>
      <c r="BA299" s="65">
        <v>1366.578</v>
      </c>
      <c r="BB299" s="5"/>
      <c r="BC299" s="65">
        <v>567.6650303146555</v>
      </c>
      <c r="BD299" s="65">
        <v>15.751376692709027</v>
      </c>
      <c r="BE299" s="65">
        <v>0</v>
      </c>
      <c r="BF299" s="65">
        <v>45.289401448236212</v>
      </c>
      <c r="BG299" s="65">
        <v>0</v>
      </c>
      <c r="BH299" s="65">
        <v>75.235926409413025</v>
      </c>
      <c r="BI299" s="65">
        <v>1440.1654652062136</v>
      </c>
      <c r="BJ299" s="65">
        <v>0</v>
      </c>
      <c r="BK299" s="65">
        <v>19.984033847071771</v>
      </c>
      <c r="BL299" s="65">
        <v>0</v>
      </c>
      <c r="BM299" s="65">
        <v>0</v>
      </c>
      <c r="BN299" s="65">
        <v>104.63088042114697</v>
      </c>
      <c r="BO299" s="65">
        <v>205.33566960000002</v>
      </c>
      <c r="BP299" s="260">
        <f t="shared" si="304"/>
        <v>960</v>
      </c>
      <c r="BQ299" s="65">
        <v>146.31139569042128</v>
      </c>
      <c r="BR299" s="65">
        <v>191.16060121382756</v>
      </c>
      <c r="BS299" s="65">
        <v>691.70728294759283</v>
      </c>
      <c r="BT299" s="65">
        <v>240.40279134219782</v>
      </c>
      <c r="BU299" s="65">
        <v>258.13745685066465</v>
      </c>
      <c r="BV299" s="144">
        <f t="shared" si="294"/>
        <v>992.76008163172298</v>
      </c>
      <c r="BW299" s="144">
        <f t="shared" si="295"/>
        <v>2137.7294600907676</v>
      </c>
      <c r="BX299" s="144">
        <f t="shared" si="296"/>
        <v>516.11059998947633</v>
      </c>
      <c r="BY299" s="5"/>
      <c r="BZ299" s="66">
        <v>0</v>
      </c>
      <c r="CA299" s="4"/>
      <c r="CB299" s="5"/>
      <c r="CC299" s="5"/>
      <c r="CD299" s="188">
        <v>2.3725527527096357</v>
      </c>
      <c r="CE299" s="5"/>
      <c r="CF299" s="133">
        <f t="shared" si="311"/>
        <v>2495.3333333333335</v>
      </c>
      <c r="CG299" s="70"/>
      <c r="CH299" s="70">
        <v>4768</v>
      </c>
      <c r="CI299" s="70"/>
      <c r="CJ299" s="63"/>
      <c r="CK299" s="8">
        <f t="shared" si="335"/>
        <v>24762.898152382157</v>
      </c>
      <c r="CL299" s="202">
        <f t="shared" si="315"/>
        <v>21761.948688847187</v>
      </c>
      <c r="CM299" s="202">
        <f t="shared" si="316"/>
        <v>21761.948688847187</v>
      </c>
      <c r="CN299" s="202">
        <f t="shared" si="317"/>
        <v>21761.948688847187</v>
      </c>
      <c r="CO299" s="9">
        <f t="shared" si="318"/>
        <v>23513.394232403123</v>
      </c>
      <c r="CP299" s="9">
        <f t="shared" si="319"/>
        <v>23103.587063871113</v>
      </c>
      <c r="CQ299" s="9">
        <f t="shared" si="320"/>
        <v>16957.178834666251</v>
      </c>
      <c r="CR299" s="202">
        <f t="shared" si="321"/>
        <v>21761.948688847187</v>
      </c>
      <c r="CS299" s="202">
        <f t="shared" si="322"/>
        <v>21761.948688847187</v>
      </c>
      <c r="CT299" s="202">
        <f t="shared" si="323"/>
        <v>21761.948688847187</v>
      </c>
      <c r="CU299" s="203">
        <f t="shared" si="324"/>
        <v>0.46774895924132748</v>
      </c>
      <c r="CV299" s="203">
        <f t="shared" si="325"/>
        <v>0.46774895924132748</v>
      </c>
      <c r="CW299" s="203">
        <f t="shared" si="326"/>
        <v>0.46774895924132748</v>
      </c>
      <c r="CX299" s="19">
        <f t="shared" si="327"/>
        <v>0.48705882475377471</v>
      </c>
      <c r="CY299" s="19">
        <f t="shared" si="328"/>
        <v>0.48266729757768367</v>
      </c>
      <c r="CZ299" s="19">
        <f t="shared" si="329"/>
        <v>0.40645128339361508</v>
      </c>
      <c r="DA299" s="203">
        <f t="shared" si="330"/>
        <v>0.46774895924132748</v>
      </c>
      <c r="DB299" s="203">
        <f t="shared" si="331"/>
        <v>0.46774895924132748</v>
      </c>
      <c r="DC299" s="203">
        <f t="shared" si="332"/>
        <v>0.46774895924132748</v>
      </c>
      <c r="DD299" s="65"/>
      <c r="DE299" s="66"/>
      <c r="DF299" s="66"/>
      <c r="DG299" s="66"/>
      <c r="DH299" s="66"/>
      <c r="DI299" s="66"/>
      <c r="DJ299" s="65"/>
      <c r="DK299" s="70"/>
      <c r="DL299" s="70"/>
      <c r="DM299" s="8">
        <f t="shared" si="333"/>
        <v>0</v>
      </c>
      <c r="DN299" s="8">
        <f t="shared" si="334"/>
        <v>24762.898152382157</v>
      </c>
      <c r="DO299" s="202">
        <f t="shared" si="263"/>
        <v>21761.948688847187</v>
      </c>
      <c r="DP299" s="202">
        <f t="shared" si="264"/>
        <v>21761.948688847187</v>
      </c>
      <c r="DQ299" s="202">
        <f t="shared" si="265"/>
        <v>21761.948688847187</v>
      </c>
      <c r="DR299" s="9">
        <f t="shared" si="266"/>
        <v>23513.394232403123</v>
      </c>
      <c r="DS299" s="9">
        <f t="shared" si="336"/>
        <v>23103.587063871113</v>
      </c>
      <c r="DT299" s="9">
        <f t="shared" si="267"/>
        <v>16957.178834666251</v>
      </c>
      <c r="DU299" s="202">
        <f t="shared" si="268"/>
        <v>21761.948688847187</v>
      </c>
      <c r="DV299" s="202">
        <f t="shared" si="269"/>
        <v>21761.948688847187</v>
      </c>
      <c r="DW299" s="202">
        <f t="shared" si="270"/>
        <v>21761.948688847187</v>
      </c>
      <c r="DX299" s="203">
        <f t="shared" si="271"/>
        <v>0.46774895924132748</v>
      </c>
      <c r="DY299" s="203">
        <f t="shared" si="272"/>
        <v>0.46774895924132748</v>
      </c>
      <c r="DZ299" s="203">
        <f t="shared" si="273"/>
        <v>0.46774895924132748</v>
      </c>
      <c r="EA299" s="19">
        <f t="shared" si="274"/>
        <v>0.48705882475377471</v>
      </c>
      <c r="EB299" s="19">
        <f t="shared" si="337"/>
        <v>0.48266729757768367</v>
      </c>
      <c r="EC299" s="19">
        <f t="shared" si="275"/>
        <v>0.40645128339361508</v>
      </c>
      <c r="ED299" s="203">
        <f t="shared" si="276"/>
        <v>0.46774895924132748</v>
      </c>
      <c r="EE299" s="203">
        <f t="shared" si="277"/>
        <v>0.46774895924132748</v>
      </c>
      <c r="EF299" s="203">
        <f t="shared" si="278"/>
        <v>0.46774895924132748</v>
      </c>
      <c r="EH299" s="58">
        <f t="shared" si="288"/>
        <v>23722.476116549493</v>
      </c>
      <c r="EI299" s="68">
        <f t="shared" si="289"/>
        <v>0.49559678362376236</v>
      </c>
      <c r="EJ299" s="58">
        <f t="shared" si="290"/>
        <v>23722.476116549493</v>
      </c>
      <c r="EK299" s="68">
        <f t="shared" si="289"/>
        <v>0.49559678362376236</v>
      </c>
      <c r="EL299" s="58">
        <f t="shared" si="291"/>
        <v>6094.2173706266822</v>
      </c>
      <c r="EM299" s="58">
        <f t="shared" si="292"/>
        <v>6610.3279706161584</v>
      </c>
      <c r="EN299" s="68">
        <f t="shared" si="293"/>
        <v>0.13809929725885939</v>
      </c>
      <c r="EO299" s="139">
        <f t="shared" si="312"/>
        <v>0.35351678044029999</v>
      </c>
      <c r="EP299">
        <f>+(SUM(M299:O299)*EO299*(1-'[1]Tier 3 Data'!$A$2))</f>
        <v>1718.2319153721842</v>
      </c>
    </row>
    <row r="300" spans="1:146" x14ac:dyDescent="0.2">
      <c r="A300" s="43">
        <v>0</v>
      </c>
      <c r="B300" s="43">
        <v>0</v>
      </c>
      <c r="C300" s="43">
        <v>0</v>
      </c>
      <c r="D300" s="70">
        <v>2032</v>
      </c>
      <c r="E300" s="70">
        <v>5</v>
      </c>
      <c r="F300" s="2">
        <v>744</v>
      </c>
      <c r="G300" s="133">
        <f t="shared" si="305"/>
        <v>38008.060494088058</v>
      </c>
      <c r="H300" s="65">
        <v>38008.060494088058</v>
      </c>
      <c r="I300" s="133">
        <f t="shared" si="306"/>
        <v>38008.060494088058</v>
      </c>
      <c r="J300" s="133">
        <f t="shared" si="285"/>
        <v>3532.1353124999987</v>
      </c>
      <c r="K300" s="65">
        <v>3532.1353124999987</v>
      </c>
      <c r="L300" s="133">
        <f t="shared" si="286"/>
        <v>3532.1353124999987</v>
      </c>
      <c r="M300" s="65">
        <v>1750.7817988213781</v>
      </c>
      <c r="N300" s="65">
        <v>3769.9922657844818</v>
      </c>
      <c r="O300" s="65">
        <v>912.24890029452877</v>
      </c>
      <c r="P300" s="200">
        <f t="shared" si="279"/>
        <v>32546.01829211794</v>
      </c>
      <c r="Q300" s="200">
        <f t="shared" si="280"/>
        <v>32546.01829211794</v>
      </c>
      <c r="R300" s="200">
        <f t="shared" si="281"/>
        <v>32546.01829211794</v>
      </c>
      <c r="S300" s="133">
        <f t="shared" si="307"/>
        <v>34202.250511499697</v>
      </c>
      <c r="T300" s="133">
        <f t="shared" si="308"/>
        <v>34202.250511499697</v>
      </c>
      <c r="U300" s="133">
        <f t="shared" si="309"/>
        <v>34202.250511499697</v>
      </c>
      <c r="V300" s="200">
        <f t="shared" si="282"/>
        <v>32546.01829211794</v>
      </c>
      <c r="W300" s="200">
        <f t="shared" si="283"/>
        <v>32546.01829211794</v>
      </c>
      <c r="X300" s="200">
        <f t="shared" si="284"/>
        <v>32546.01829211794</v>
      </c>
      <c r="Y300" s="65">
        <v>9862.7923237021605</v>
      </c>
      <c r="Z300" s="65">
        <v>8799.0950955736698</v>
      </c>
      <c r="AA300" s="65">
        <v>4389.4363385873703</v>
      </c>
      <c r="AB300" s="200">
        <f t="shared" si="297"/>
        <v>41345.113387691614</v>
      </c>
      <c r="AC300" s="200">
        <f t="shared" si="298"/>
        <v>41345.113387691614</v>
      </c>
      <c r="AD300" s="200">
        <f t="shared" si="299"/>
        <v>41345.113387691614</v>
      </c>
      <c r="AE300" s="199">
        <f t="shared" si="261"/>
        <v>44065.042835201857</v>
      </c>
      <c r="AF300" s="199">
        <f t="shared" si="300"/>
        <v>43001.345607073366</v>
      </c>
      <c r="AG300" s="199">
        <f t="shared" si="262"/>
        <v>38591.68685008707</v>
      </c>
      <c r="AH300" s="199">
        <f t="shared" si="310"/>
        <v>41328.364842644463</v>
      </c>
      <c r="AI300" s="200">
        <f t="shared" si="301"/>
        <v>41345.113387691614</v>
      </c>
      <c r="AJ300" s="200">
        <f t="shared" si="302"/>
        <v>41345.113387691614</v>
      </c>
      <c r="AK300" s="200">
        <f t="shared" si="303"/>
        <v>41345.113387691614</v>
      </c>
      <c r="AL300" s="4"/>
      <c r="AM300" s="4"/>
      <c r="AN300" s="4"/>
      <c r="AO300" s="4"/>
      <c r="AP300" s="63"/>
      <c r="AQ300" s="18"/>
      <c r="AR300" s="18"/>
      <c r="AS300" s="66">
        <v>3395.12</v>
      </c>
      <c r="AT300" s="18"/>
      <c r="AU300" s="133">
        <f t="shared" si="313"/>
        <v>109.161</v>
      </c>
      <c r="AV300" s="133">
        <f t="shared" si="313"/>
        <v>3327.41</v>
      </c>
      <c r="AW300" s="63"/>
      <c r="AX300" s="63"/>
      <c r="AY300" s="65">
        <v>837.33634925714296</v>
      </c>
      <c r="AZ300" s="63"/>
      <c r="BA300" s="65">
        <v>1570</v>
      </c>
      <c r="BB300" s="5"/>
      <c r="BC300" s="65">
        <v>570.10748354622444</v>
      </c>
      <c r="BD300" s="65">
        <v>12.098699446784533</v>
      </c>
      <c r="BE300" s="65">
        <v>0</v>
      </c>
      <c r="BF300" s="65">
        <v>46.142915231790994</v>
      </c>
      <c r="BG300" s="65">
        <v>0</v>
      </c>
      <c r="BH300" s="65">
        <v>39.915425960900009</v>
      </c>
      <c r="BI300" s="65">
        <v>1446.3619659709991</v>
      </c>
      <c r="BJ300" s="65">
        <v>0</v>
      </c>
      <c r="BK300" s="65">
        <v>12.751667915526451</v>
      </c>
      <c r="BL300" s="65">
        <v>0</v>
      </c>
      <c r="BM300" s="65">
        <v>0</v>
      </c>
      <c r="BN300" s="65">
        <v>66.583287540729913</v>
      </c>
      <c r="BO300" s="65">
        <v>212.18019192</v>
      </c>
      <c r="BP300" s="260">
        <f t="shared" si="304"/>
        <v>992</v>
      </c>
      <c r="BQ300" s="65">
        <v>168.49970052719885</v>
      </c>
      <c r="BR300" s="65">
        <v>220.15032023006762</v>
      </c>
      <c r="BS300" s="65">
        <v>796.60546800409725</v>
      </c>
      <c r="BT300" s="65">
        <v>248.45455794076594</v>
      </c>
      <c r="BU300" s="65">
        <v>295.20630103927556</v>
      </c>
      <c r="BV300" s="144">
        <f t="shared" si="294"/>
        <v>1225.5472591749647</v>
      </c>
      <c r="BW300" s="144">
        <f t="shared" si="295"/>
        <v>2638.9945860491371</v>
      </c>
      <c r="BX300" s="144">
        <f t="shared" si="296"/>
        <v>638.57423020617011</v>
      </c>
      <c r="BY300" s="5"/>
      <c r="BZ300" s="66">
        <v>7254</v>
      </c>
      <c r="CA300" s="4"/>
      <c r="CB300" s="5"/>
      <c r="CC300" s="5"/>
      <c r="CD300" s="188">
        <v>1.4538432884059718E-2</v>
      </c>
      <c r="CE300" s="5"/>
      <c r="CF300" s="133">
        <f t="shared" si="311"/>
        <v>1762.6666666666667</v>
      </c>
      <c r="CG300" s="70"/>
      <c r="CH300" s="70">
        <v>2480</v>
      </c>
      <c r="CI300" s="70"/>
      <c r="CJ300" s="63"/>
      <c r="CK300" s="8">
        <f t="shared" si="335"/>
        <v>30365.882615061324</v>
      </c>
      <c r="CL300" s="202">
        <f t="shared" si="315"/>
        <v>10979.23077263029</v>
      </c>
      <c r="CM300" s="202">
        <f t="shared" si="316"/>
        <v>10979.23077263029</v>
      </c>
      <c r="CN300" s="202">
        <f t="shared" si="317"/>
        <v>10979.23077263029</v>
      </c>
      <c r="CO300" s="9">
        <f t="shared" si="318"/>
        <v>13699.160220140533</v>
      </c>
      <c r="CP300" s="9">
        <f t="shared" si="319"/>
        <v>12635.462992012042</v>
      </c>
      <c r="CQ300" s="9">
        <f t="shared" si="320"/>
        <v>8225.8042350257456</v>
      </c>
      <c r="CR300" s="202">
        <f t="shared" si="321"/>
        <v>10979.23077263029</v>
      </c>
      <c r="CS300" s="202">
        <f t="shared" si="322"/>
        <v>10979.23077263029</v>
      </c>
      <c r="CT300" s="202">
        <f t="shared" si="323"/>
        <v>10979.23077263029</v>
      </c>
      <c r="CU300" s="203">
        <f t="shared" si="324"/>
        <v>0.2655508686039495</v>
      </c>
      <c r="CV300" s="203">
        <f t="shared" si="325"/>
        <v>0.2655508686039495</v>
      </c>
      <c r="CW300" s="203">
        <f t="shared" si="326"/>
        <v>0.2655508686039495</v>
      </c>
      <c r="CX300" s="19">
        <f t="shared" si="327"/>
        <v>0.31088498589173741</v>
      </c>
      <c r="CY300" s="19">
        <f t="shared" si="328"/>
        <v>0.29383878140626402</v>
      </c>
      <c r="CZ300" s="19">
        <f t="shared" si="329"/>
        <v>0.21314964196770234</v>
      </c>
      <c r="DA300" s="203">
        <f t="shared" si="330"/>
        <v>0.2655508686039495</v>
      </c>
      <c r="DB300" s="203">
        <f t="shared" si="331"/>
        <v>0.2655508686039495</v>
      </c>
      <c r="DC300" s="203">
        <f t="shared" si="332"/>
        <v>0.2655508686039495</v>
      </c>
      <c r="DD300" s="65"/>
      <c r="DE300" s="66"/>
      <c r="DF300" s="66"/>
      <c r="DG300" s="66"/>
      <c r="DH300" s="66"/>
      <c r="DI300" s="66"/>
      <c r="DJ300" s="65"/>
      <c r="DK300" s="70"/>
      <c r="DL300" s="70"/>
      <c r="DM300" s="8">
        <f t="shared" si="333"/>
        <v>0</v>
      </c>
      <c r="DN300" s="8">
        <f t="shared" si="334"/>
        <v>30365.882615061324</v>
      </c>
      <c r="DO300" s="202">
        <f t="shared" si="263"/>
        <v>10979.23077263029</v>
      </c>
      <c r="DP300" s="202">
        <f t="shared" si="264"/>
        <v>10979.23077263029</v>
      </c>
      <c r="DQ300" s="202">
        <f t="shared" si="265"/>
        <v>10979.23077263029</v>
      </c>
      <c r="DR300" s="9">
        <f t="shared" si="266"/>
        <v>13699.160220140533</v>
      </c>
      <c r="DS300" s="9">
        <f t="shared" si="336"/>
        <v>12635.462992012042</v>
      </c>
      <c r="DT300" s="9">
        <f t="shared" si="267"/>
        <v>8225.8042350257456</v>
      </c>
      <c r="DU300" s="202">
        <f t="shared" si="268"/>
        <v>10979.23077263029</v>
      </c>
      <c r="DV300" s="202">
        <f t="shared" si="269"/>
        <v>10979.23077263029</v>
      </c>
      <c r="DW300" s="202">
        <f t="shared" si="270"/>
        <v>10979.23077263029</v>
      </c>
      <c r="DX300" s="203">
        <f t="shared" si="271"/>
        <v>0.2655508686039495</v>
      </c>
      <c r="DY300" s="203">
        <f t="shared" si="272"/>
        <v>0.2655508686039495</v>
      </c>
      <c r="DZ300" s="203">
        <f t="shared" si="273"/>
        <v>0.2655508686039495</v>
      </c>
      <c r="EA300" s="19">
        <f t="shared" si="274"/>
        <v>0.31088498589173741</v>
      </c>
      <c r="EB300" s="19">
        <f t="shared" si="337"/>
        <v>0.29383878140626402</v>
      </c>
      <c r="EC300" s="19">
        <f t="shared" si="275"/>
        <v>0.21314964196770234</v>
      </c>
      <c r="ED300" s="203">
        <f t="shared" si="276"/>
        <v>0.2655508686039495</v>
      </c>
      <c r="EE300" s="203">
        <f t="shared" si="277"/>
        <v>0.2655508686039495</v>
      </c>
      <c r="EF300" s="203">
        <f t="shared" si="278"/>
        <v>0.2655508686039495</v>
      </c>
      <c r="EH300" s="58">
        <f t="shared" si="288"/>
        <v>25467.177902221691</v>
      </c>
      <c r="EI300" s="68">
        <f t="shared" si="289"/>
        <v>0.59224141809256658</v>
      </c>
      <c r="EJ300" s="58">
        <f t="shared" si="290"/>
        <v>21840.177902221691</v>
      </c>
      <c r="EK300" s="68">
        <f t="shared" si="289"/>
        <v>0.50789522034466661</v>
      </c>
      <c r="EL300" s="58">
        <f t="shared" si="291"/>
        <v>6727.9096560917078</v>
      </c>
      <c r="EM300" s="58">
        <f t="shared" si="292"/>
        <v>7366.4838862978777</v>
      </c>
      <c r="EN300" s="68">
        <f t="shared" si="293"/>
        <v>0.17130821797088489</v>
      </c>
      <c r="EO300" s="139">
        <f t="shared" si="312"/>
        <v>0.28868615856523006</v>
      </c>
      <c r="EP300">
        <f>+(SUM(M300:O300)*EO300*(1-'[1]Tier 3 Data'!$A$2))</f>
        <v>1732.697333623167</v>
      </c>
    </row>
    <row r="301" spans="1:146" x14ac:dyDescent="0.2">
      <c r="A301" s="43">
        <v>0</v>
      </c>
      <c r="B301" s="43">
        <v>0</v>
      </c>
      <c r="C301" s="43">
        <v>0</v>
      </c>
      <c r="D301" s="70">
        <v>2032</v>
      </c>
      <c r="E301" s="70">
        <v>6</v>
      </c>
      <c r="F301" s="2">
        <v>720</v>
      </c>
      <c r="G301" s="133">
        <f t="shared" si="305"/>
        <v>40413.116310196696</v>
      </c>
      <c r="H301" s="65">
        <v>40413.116310196696</v>
      </c>
      <c r="I301" s="133">
        <f t="shared" si="306"/>
        <v>40413.116310196696</v>
      </c>
      <c r="J301" s="133">
        <f t="shared" si="285"/>
        <v>3572.3613749999986</v>
      </c>
      <c r="K301" s="65">
        <v>3572.3613749999986</v>
      </c>
      <c r="L301" s="133">
        <f t="shared" si="286"/>
        <v>3572.3613749999986</v>
      </c>
      <c r="M301" s="65">
        <v>1630.7561929849653</v>
      </c>
      <c r="N301" s="65">
        <v>3511.538810303055</v>
      </c>
      <c r="O301" s="65">
        <v>853.49119662234546</v>
      </c>
      <c r="P301" s="200">
        <f t="shared" si="279"/>
        <v>35042.019075223587</v>
      </c>
      <c r="Q301" s="200">
        <f t="shared" si="280"/>
        <v>35042.019075223587</v>
      </c>
      <c r="R301" s="200">
        <f t="shared" si="281"/>
        <v>35042.019075223587</v>
      </c>
      <c r="S301" s="133">
        <f t="shared" si="307"/>
        <v>36584.707576209992</v>
      </c>
      <c r="T301" s="133">
        <f t="shared" si="308"/>
        <v>36584.707576209992</v>
      </c>
      <c r="U301" s="133">
        <f t="shared" si="309"/>
        <v>36584.707576209992</v>
      </c>
      <c r="V301" s="200">
        <f t="shared" si="282"/>
        <v>35042.019075223587</v>
      </c>
      <c r="W301" s="200">
        <f t="shared" si="283"/>
        <v>35042.019075223587</v>
      </c>
      <c r="X301" s="200">
        <f t="shared" si="284"/>
        <v>35042.019075223587</v>
      </c>
      <c r="Y301" s="65">
        <v>10451.968670065769</v>
      </c>
      <c r="Z301" s="65">
        <v>9591.3335717600057</v>
      </c>
      <c r="AA301" s="65">
        <v>4852.3379063816237</v>
      </c>
      <c r="AB301" s="200">
        <f t="shared" si="297"/>
        <v>44633.352646983592</v>
      </c>
      <c r="AC301" s="200">
        <f t="shared" si="298"/>
        <v>44633.352646983592</v>
      </c>
      <c r="AD301" s="200">
        <f t="shared" si="299"/>
        <v>44633.352646983592</v>
      </c>
      <c r="AE301" s="199">
        <f t="shared" si="261"/>
        <v>47036.676246275762</v>
      </c>
      <c r="AF301" s="199">
        <f t="shared" si="300"/>
        <v>46176.041147969998</v>
      </c>
      <c r="AG301" s="199">
        <f t="shared" si="262"/>
        <v>41437.045482591617</v>
      </c>
      <c r="AH301" s="199">
        <f t="shared" si="310"/>
        <v>44236.860864433693</v>
      </c>
      <c r="AI301" s="200">
        <f t="shared" si="301"/>
        <v>44633.352646983592</v>
      </c>
      <c r="AJ301" s="200">
        <f t="shared" si="302"/>
        <v>44633.352646983592</v>
      </c>
      <c r="AK301" s="200">
        <f t="shared" si="303"/>
        <v>44633.352646983592</v>
      </c>
      <c r="AL301" s="4"/>
      <c r="AM301" s="4"/>
      <c r="AN301" s="4"/>
      <c r="AO301" s="4"/>
      <c r="AP301" s="63"/>
      <c r="AQ301" s="18"/>
      <c r="AR301" s="18"/>
      <c r="AS301" s="66">
        <v>3285.6</v>
      </c>
      <c r="AT301" s="18"/>
      <c r="AU301" s="133">
        <f t="shared" si="313"/>
        <v>128.934</v>
      </c>
      <c r="AV301" s="133">
        <f t="shared" si="313"/>
        <v>3110.2840000000001</v>
      </c>
      <c r="AW301" s="63"/>
      <c r="AX301" s="63"/>
      <c r="AY301" s="65">
        <v>1170.1048746057143</v>
      </c>
      <c r="AZ301" s="63"/>
      <c r="BA301" s="65">
        <v>2058.0909999999999</v>
      </c>
      <c r="BB301" s="5"/>
      <c r="BC301" s="65">
        <v>605.91554170888298</v>
      </c>
      <c r="BD301" s="65">
        <v>8.3809700100652513</v>
      </c>
      <c r="BE301" s="65">
        <v>0</v>
      </c>
      <c r="BF301" s="65">
        <v>34.931246884309807</v>
      </c>
      <c r="BG301" s="65">
        <v>0</v>
      </c>
      <c r="BH301" s="65">
        <v>17.106611126099999</v>
      </c>
      <c r="BI301" s="65">
        <v>1537.2069643204168</v>
      </c>
      <c r="BJ301" s="65">
        <v>0</v>
      </c>
      <c r="BK301" s="65">
        <v>11.763509963764358</v>
      </c>
      <c r="BL301" s="65">
        <v>0</v>
      </c>
      <c r="BM301" s="65">
        <v>0</v>
      </c>
      <c r="BN301" s="65">
        <v>28.535694660312817</v>
      </c>
      <c r="BO301" s="65">
        <v>205.33566960000002</v>
      </c>
      <c r="BP301" s="260">
        <f t="shared" si="304"/>
        <v>960</v>
      </c>
      <c r="BQ301" s="65">
        <v>163.82530366842977</v>
      </c>
      <c r="BR301" s="65">
        <v>214.04310859919806</v>
      </c>
      <c r="BS301" s="65">
        <v>774.50675319050663</v>
      </c>
      <c r="BT301" s="65">
        <v>260.06478886223334</v>
      </c>
      <c r="BU301" s="65">
        <v>287.48715581481753</v>
      </c>
      <c r="BV301" s="144">
        <f t="shared" si="294"/>
        <v>1141.5293350894756</v>
      </c>
      <c r="BW301" s="144">
        <f t="shared" si="295"/>
        <v>2458.0771672121382</v>
      </c>
      <c r="BX301" s="144">
        <f t="shared" si="296"/>
        <v>597.44383763564178</v>
      </c>
      <c r="BY301" s="5"/>
      <c r="BZ301" s="66">
        <v>7020</v>
      </c>
      <c r="CA301" s="4"/>
      <c r="CB301" s="5"/>
      <c r="CC301" s="5"/>
      <c r="CD301" s="188">
        <v>2.1777775833862054</v>
      </c>
      <c r="CE301" s="5"/>
      <c r="CF301" s="133">
        <f t="shared" si="311"/>
        <v>680.66666666666663</v>
      </c>
      <c r="CG301" s="70"/>
      <c r="CH301" s="70">
        <v>4368</v>
      </c>
      <c r="CI301" s="70"/>
      <c r="CJ301" s="63"/>
      <c r="CK301" s="8">
        <f t="shared" si="335"/>
        <v>31130.011977202059</v>
      </c>
      <c r="CL301" s="202">
        <f t="shared" si="315"/>
        <v>13503.340669781534</v>
      </c>
      <c r="CM301" s="202">
        <f t="shared" si="316"/>
        <v>13503.340669781534</v>
      </c>
      <c r="CN301" s="202">
        <f t="shared" si="317"/>
        <v>13503.340669781534</v>
      </c>
      <c r="CO301" s="9">
        <f t="shared" si="318"/>
        <v>15906.664269073703</v>
      </c>
      <c r="CP301" s="9">
        <f t="shared" si="319"/>
        <v>15046.029170767939</v>
      </c>
      <c r="CQ301" s="9">
        <f t="shared" si="320"/>
        <v>10307.033505389558</v>
      </c>
      <c r="CR301" s="202">
        <f t="shared" si="321"/>
        <v>13503.340669781534</v>
      </c>
      <c r="CS301" s="202">
        <f t="shared" si="322"/>
        <v>13503.340669781534</v>
      </c>
      <c r="CT301" s="202">
        <f t="shared" si="323"/>
        <v>13503.340669781534</v>
      </c>
      <c r="CU301" s="203">
        <f t="shared" si="324"/>
        <v>0.30253924182175712</v>
      </c>
      <c r="CV301" s="203">
        <f t="shared" si="325"/>
        <v>0.30253924182175712</v>
      </c>
      <c r="CW301" s="203">
        <f t="shared" si="326"/>
        <v>0.30253924182175712</v>
      </c>
      <c r="CX301" s="19">
        <f t="shared" si="327"/>
        <v>0.33817577130214743</v>
      </c>
      <c r="CY301" s="19">
        <f t="shared" si="328"/>
        <v>0.32584060470999032</v>
      </c>
      <c r="CZ301" s="19">
        <f t="shared" si="329"/>
        <v>0.24873958520328657</v>
      </c>
      <c r="DA301" s="203">
        <f t="shared" si="330"/>
        <v>0.30253924182175712</v>
      </c>
      <c r="DB301" s="203">
        <f t="shared" si="331"/>
        <v>0.30253924182175712</v>
      </c>
      <c r="DC301" s="203">
        <f t="shared" si="332"/>
        <v>0.30253924182175712</v>
      </c>
      <c r="DD301" s="65"/>
      <c r="DE301" s="66"/>
      <c r="DF301" s="66"/>
      <c r="DG301" s="66"/>
      <c r="DH301" s="66"/>
      <c r="DI301" s="66"/>
      <c r="DJ301" s="65"/>
      <c r="DK301" s="70"/>
      <c r="DL301" s="70"/>
      <c r="DM301" s="8">
        <f t="shared" si="333"/>
        <v>0</v>
      </c>
      <c r="DN301" s="8">
        <f t="shared" si="334"/>
        <v>31130.011977202059</v>
      </c>
      <c r="DO301" s="202">
        <f t="shared" si="263"/>
        <v>13503.340669781534</v>
      </c>
      <c r="DP301" s="202">
        <f t="shared" si="264"/>
        <v>13503.340669781534</v>
      </c>
      <c r="DQ301" s="202">
        <f t="shared" si="265"/>
        <v>13503.340669781534</v>
      </c>
      <c r="DR301" s="9">
        <f t="shared" si="266"/>
        <v>15906.664269073703</v>
      </c>
      <c r="DS301" s="9">
        <f t="shared" si="336"/>
        <v>15046.029170767939</v>
      </c>
      <c r="DT301" s="9">
        <f t="shared" si="267"/>
        <v>10307.033505389558</v>
      </c>
      <c r="DU301" s="202">
        <f t="shared" si="268"/>
        <v>13503.340669781534</v>
      </c>
      <c r="DV301" s="202">
        <f t="shared" si="269"/>
        <v>13503.340669781534</v>
      </c>
      <c r="DW301" s="202">
        <f t="shared" si="270"/>
        <v>13503.340669781534</v>
      </c>
      <c r="DX301" s="203">
        <f t="shared" si="271"/>
        <v>0.30253924182175712</v>
      </c>
      <c r="DY301" s="203">
        <f t="shared" si="272"/>
        <v>0.30253924182175712</v>
      </c>
      <c r="DZ301" s="203">
        <f t="shared" si="273"/>
        <v>0.30253924182175712</v>
      </c>
      <c r="EA301" s="19">
        <f t="shared" si="274"/>
        <v>0.33817577130214743</v>
      </c>
      <c r="EB301" s="19">
        <f t="shared" si="337"/>
        <v>0.32584060470999032</v>
      </c>
      <c r="EC301" s="19">
        <f t="shared" si="275"/>
        <v>0.24873958520328657</v>
      </c>
      <c r="ED301" s="203">
        <f t="shared" si="276"/>
        <v>0.30253924182175712</v>
      </c>
      <c r="EE301" s="203">
        <f t="shared" si="277"/>
        <v>0.30253924182175712</v>
      </c>
      <c r="EF301" s="203">
        <f t="shared" si="278"/>
        <v>0.30253924182175712</v>
      </c>
      <c r="EH301" s="58">
        <f t="shared" si="288"/>
        <v>26441.373617644887</v>
      </c>
      <c r="EI301" s="68">
        <f t="shared" si="289"/>
        <v>0.57262105975941402</v>
      </c>
      <c r="EJ301" s="58">
        <f t="shared" si="290"/>
        <v>22931.373617644887</v>
      </c>
      <c r="EK301" s="68">
        <f t="shared" si="289"/>
        <v>0.49660761398236503</v>
      </c>
      <c r="EL301" s="58">
        <f t="shared" si="291"/>
        <v>6572.2492387368657</v>
      </c>
      <c r="EM301" s="58">
        <f t="shared" si="292"/>
        <v>7169.6930763725077</v>
      </c>
      <c r="EN301" s="68">
        <f t="shared" si="293"/>
        <v>0.15526868259228635</v>
      </c>
      <c r="EO301" s="139">
        <f t="shared" si="312"/>
        <v>0.24029016665052916</v>
      </c>
      <c r="EP301">
        <f>+(SUM(M301:O301)*EO301*(1-'[1]Tier 3 Data'!$A$2))</f>
        <v>1344.1996580105185</v>
      </c>
    </row>
    <row r="302" spans="1:146" x14ac:dyDescent="0.2">
      <c r="A302" s="43">
        <v>0</v>
      </c>
      <c r="B302" s="43">
        <v>0</v>
      </c>
      <c r="C302" s="43">
        <v>0</v>
      </c>
      <c r="D302" s="70">
        <v>2032</v>
      </c>
      <c r="E302" s="70">
        <v>7</v>
      </c>
      <c r="F302" s="2">
        <v>744</v>
      </c>
      <c r="G302" s="133">
        <f t="shared" si="305"/>
        <v>46401.200027372775</v>
      </c>
      <c r="H302" s="65">
        <v>46401.200027372775</v>
      </c>
      <c r="I302" s="133">
        <f t="shared" si="306"/>
        <v>46401.200027372775</v>
      </c>
      <c r="J302" s="133">
        <f t="shared" si="285"/>
        <v>3612.5874374999985</v>
      </c>
      <c r="K302" s="65">
        <v>3612.5874374999985</v>
      </c>
      <c r="L302" s="133">
        <f t="shared" si="286"/>
        <v>3612.5874374999985</v>
      </c>
      <c r="M302" s="65">
        <v>1709.2251160000674</v>
      </c>
      <c r="N302" s="65">
        <v>3680.5074579497937</v>
      </c>
      <c r="O302" s="65">
        <v>898.2927954195419</v>
      </c>
      <c r="P302" s="200">
        <f t="shared" si="279"/>
        <v>40902.204979061957</v>
      </c>
      <c r="Q302" s="200">
        <f t="shared" si="280"/>
        <v>40902.204979061957</v>
      </c>
      <c r="R302" s="200">
        <f t="shared" si="281"/>
        <v>40902.204979061957</v>
      </c>
      <c r="S302" s="133">
        <f t="shared" si="307"/>
        <v>42519.124751246913</v>
      </c>
      <c r="T302" s="133">
        <f t="shared" si="308"/>
        <v>42519.124751246913</v>
      </c>
      <c r="U302" s="133">
        <f t="shared" si="309"/>
        <v>42519.124751246913</v>
      </c>
      <c r="V302" s="200">
        <f t="shared" si="282"/>
        <v>40902.204979061957</v>
      </c>
      <c r="W302" s="200">
        <f t="shared" si="283"/>
        <v>40902.204979061957</v>
      </c>
      <c r="X302" s="200">
        <f t="shared" si="284"/>
        <v>40902.204979061957</v>
      </c>
      <c r="Y302" s="65">
        <v>11577.840697947557</v>
      </c>
      <c r="Z302" s="65">
        <v>11524.95086688519</v>
      </c>
      <c r="AA302" s="65">
        <v>5619.7984808833125</v>
      </c>
      <c r="AB302" s="200">
        <f t="shared" si="297"/>
        <v>52427.155845947149</v>
      </c>
      <c r="AC302" s="200">
        <f t="shared" si="298"/>
        <v>52427.155845947149</v>
      </c>
      <c r="AD302" s="200">
        <f t="shared" si="299"/>
        <v>52427.155845947149</v>
      </c>
      <c r="AE302" s="199">
        <f t="shared" si="261"/>
        <v>54096.965449194468</v>
      </c>
      <c r="AF302" s="199">
        <f t="shared" si="300"/>
        <v>54044.075618132105</v>
      </c>
      <c r="AG302" s="199">
        <f t="shared" si="262"/>
        <v>48138.923232130226</v>
      </c>
      <c r="AH302" s="199">
        <f t="shared" si="310"/>
        <v>51117.944340662347</v>
      </c>
      <c r="AI302" s="200">
        <f t="shared" si="301"/>
        <v>52427.155845947149</v>
      </c>
      <c r="AJ302" s="200">
        <f t="shared" si="302"/>
        <v>52427.155845947149</v>
      </c>
      <c r="AK302" s="200">
        <f t="shared" si="303"/>
        <v>52427.155845947149</v>
      </c>
      <c r="AL302" s="4"/>
      <c r="AM302" s="4"/>
      <c r="AN302" s="4"/>
      <c r="AO302" s="4"/>
      <c r="AP302" s="63"/>
      <c r="AQ302" s="18"/>
      <c r="AR302" s="18"/>
      <c r="AS302" s="66">
        <v>3395.12</v>
      </c>
      <c r="AT302" s="18"/>
      <c r="AU302" s="133">
        <f t="shared" si="313"/>
        <v>118.521</v>
      </c>
      <c r="AV302" s="133">
        <f t="shared" si="313"/>
        <v>3084.53</v>
      </c>
      <c r="AW302" s="63"/>
      <c r="AX302" s="63"/>
      <c r="AY302" s="65">
        <v>1237.5528587885699</v>
      </c>
      <c r="AZ302" s="63"/>
      <c r="BA302" s="65">
        <v>1516.482</v>
      </c>
      <c r="BB302" s="5"/>
      <c r="BC302" s="65">
        <v>586.79739986786444</v>
      </c>
      <c r="BD302" s="65">
        <v>7.5724679441334652</v>
      </c>
      <c r="BE302" s="65">
        <v>0</v>
      </c>
      <c r="BF302" s="65">
        <v>27.996196217761462</v>
      </c>
      <c r="BG302" s="65">
        <v>0</v>
      </c>
      <c r="BH302" s="65">
        <v>17.106611126099999</v>
      </c>
      <c r="BI302" s="65">
        <v>1488.7042626072459</v>
      </c>
      <c r="BJ302" s="65">
        <v>0</v>
      </c>
      <c r="BK302" s="65">
        <v>9.5733821057653241</v>
      </c>
      <c r="BL302" s="65">
        <v>0</v>
      </c>
      <c r="BM302" s="65">
        <v>0</v>
      </c>
      <c r="BN302" s="65">
        <v>28.535694660312817</v>
      </c>
      <c r="BO302" s="65">
        <v>212.18019192</v>
      </c>
      <c r="BP302" s="260">
        <f t="shared" si="304"/>
        <v>992</v>
      </c>
      <c r="BQ302" s="65">
        <v>165.71857338664393</v>
      </c>
      <c r="BR302" s="65">
        <v>216.51665279890989</v>
      </c>
      <c r="BS302" s="65">
        <v>783.45717769024509</v>
      </c>
      <c r="BT302" s="65">
        <v>268.7135833461553</v>
      </c>
      <c r="BU302" s="65">
        <v>295.58447235675277</v>
      </c>
      <c r="BV302" s="144">
        <f t="shared" si="294"/>
        <v>1196.4575812000471</v>
      </c>
      <c r="BW302" s="144">
        <f t="shared" si="295"/>
        <v>2576.3552205648552</v>
      </c>
      <c r="BX302" s="144">
        <f t="shared" si="296"/>
        <v>628.80495679367925</v>
      </c>
      <c r="BY302" s="5"/>
      <c r="BZ302" s="66">
        <v>7254</v>
      </c>
      <c r="CA302" s="4"/>
      <c r="CB302" s="5"/>
      <c r="CC302" s="5"/>
      <c r="CD302" s="188">
        <v>2.1042112926473342</v>
      </c>
      <c r="CE302" s="5"/>
      <c r="CF302" s="133">
        <f t="shared" si="311"/>
        <v>971.33333333333337</v>
      </c>
      <c r="CG302" s="70"/>
      <c r="CH302" s="70">
        <v>6720</v>
      </c>
      <c r="CI302" s="70"/>
      <c r="CJ302" s="63"/>
      <c r="CK302" s="8">
        <f t="shared" si="335"/>
        <v>33801.717828001027</v>
      </c>
      <c r="CL302" s="202">
        <f t="shared" si="315"/>
        <v>18625.438017946122</v>
      </c>
      <c r="CM302" s="202">
        <f t="shared" si="316"/>
        <v>18625.438017946122</v>
      </c>
      <c r="CN302" s="202">
        <f t="shared" si="317"/>
        <v>18625.438017946122</v>
      </c>
      <c r="CO302" s="9">
        <f t="shared" si="318"/>
        <v>20295.247621193441</v>
      </c>
      <c r="CP302" s="9">
        <f t="shared" si="319"/>
        <v>20242.357790131078</v>
      </c>
      <c r="CQ302" s="9">
        <f t="shared" si="320"/>
        <v>14337.205404129199</v>
      </c>
      <c r="CR302" s="202">
        <f t="shared" si="321"/>
        <v>18625.438017946122</v>
      </c>
      <c r="CS302" s="202">
        <f t="shared" si="322"/>
        <v>18625.438017946122</v>
      </c>
      <c r="CT302" s="202">
        <f t="shared" si="323"/>
        <v>18625.438017946122</v>
      </c>
      <c r="CU302" s="203">
        <f t="shared" si="324"/>
        <v>0.35526317835503851</v>
      </c>
      <c r="CV302" s="203">
        <f t="shared" si="325"/>
        <v>0.35526317835503851</v>
      </c>
      <c r="CW302" s="203">
        <f t="shared" si="326"/>
        <v>0.35526317835503851</v>
      </c>
      <c r="CX302" s="19">
        <f t="shared" si="327"/>
        <v>0.3751642527944356</v>
      </c>
      <c r="CY302" s="19">
        <f t="shared" si="328"/>
        <v>0.37455276195601445</v>
      </c>
      <c r="CZ302" s="19">
        <f t="shared" si="329"/>
        <v>0.29782979014702726</v>
      </c>
      <c r="DA302" s="203">
        <f t="shared" si="330"/>
        <v>0.35526317835503851</v>
      </c>
      <c r="DB302" s="203">
        <f t="shared" si="331"/>
        <v>0.35526317835503851</v>
      </c>
      <c r="DC302" s="203">
        <f t="shared" si="332"/>
        <v>0.35526317835503851</v>
      </c>
      <c r="DD302" s="65"/>
      <c r="DE302" s="66"/>
      <c r="DF302" s="66"/>
      <c r="DG302" s="66"/>
      <c r="DH302" s="66"/>
      <c r="DI302" s="66"/>
      <c r="DJ302" s="65"/>
      <c r="DK302" s="70"/>
      <c r="DL302" s="70"/>
      <c r="DM302" s="8">
        <f t="shared" si="333"/>
        <v>0</v>
      </c>
      <c r="DN302" s="8">
        <f t="shared" si="334"/>
        <v>33801.717828001027</v>
      </c>
      <c r="DO302" s="202">
        <f t="shared" si="263"/>
        <v>18625.438017946122</v>
      </c>
      <c r="DP302" s="202">
        <f t="shared" si="264"/>
        <v>18625.438017946122</v>
      </c>
      <c r="DQ302" s="202">
        <f t="shared" si="265"/>
        <v>18625.438017946122</v>
      </c>
      <c r="DR302" s="9">
        <f t="shared" si="266"/>
        <v>20295.247621193441</v>
      </c>
      <c r="DS302" s="9">
        <f t="shared" si="336"/>
        <v>20242.357790131078</v>
      </c>
      <c r="DT302" s="9">
        <f t="shared" si="267"/>
        <v>14337.205404129199</v>
      </c>
      <c r="DU302" s="202">
        <f t="shared" si="268"/>
        <v>18625.438017946122</v>
      </c>
      <c r="DV302" s="202">
        <f t="shared" si="269"/>
        <v>18625.438017946122</v>
      </c>
      <c r="DW302" s="202">
        <f t="shared" si="270"/>
        <v>18625.438017946122</v>
      </c>
      <c r="DX302" s="203">
        <f t="shared" si="271"/>
        <v>0.35526317835503851</v>
      </c>
      <c r="DY302" s="203">
        <f t="shared" si="272"/>
        <v>0.35526317835503851</v>
      </c>
      <c r="DZ302" s="203">
        <f t="shared" si="273"/>
        <v>0.35526317835503851</v>
      </c>
      <c r="EA302" s="19">
        <f t="shared" si="274"/>
        <v>0.3751642527944356</v>
      </c>
      <c r="EB302" s="19">
        <f t="shared" si="337"/>
        <v>0.37455276195601445</v>
      </c>
      <c r="EC302" s="19">
        <f t="shared" si="275"/>
        <v>0.29782979014702726</v>
      </c>
      <c r="ED302" s="203">
        <f t="shared" si="276"/>
        <v>0.35526317835503851</v>
      </c>
      <c r="EE302" s="203">
        <f t="shared" si="277"/>
        <v>0.35526317835503851</v>
      </c>
      <c r="EF302" s="203">
        <f t="shared" si="278"/>
        <v>0.35526317835503851</v>
      </c>
      <c r="EH302" s="58">
        <f t="shared" si="288"/>
        <v>28948.159839290569</v>
      </c>
      <c r="EI302" s="68">
        <f t="shared" si="289"/>
        <v>0.53563983671095106</v>
      </c>
      <c r="EJ302" s="58">
        <f t="shared" si="290"/>
        <v>25321.159839290569</v>
      </c>
      <c r="EK302" s="68">
        <f t="shared" si="289"/>
        <v>0.46852794778481088</v>
      </c>
      <c r="EL302" s="58">
        <f t="shared" si="291"/>
        <v>6656.815690374985</v>
      </c>
      <c r="EM302" s="58">
        <f t="shared" si="292"/>
        <v>7285.6206471686646</v>
      </c>
      <c r="EN302" s="68">
        <f t="shared" si="293"/>
        <v>0.13480886783313389</v>
      </c>
      <c r="EO302" s="139">
        <f t="shared" si="312"/>
        <v>0.25197746931178833</v>
      </c>
      <c r="EP302">
        <f>+(SUM(M302:O302)*EO302*(1-'[1]Tier 3 Data'!$A$2))</f>
        <v>1478.2831913327095</v>
      </c>
    </row>
    <row r="303" spans="1:146" x14ac:dyDescent="0.2">
      <c r="A303" s="43">
        <v>0</v>
      </c>
      <c r="B303" s="43">
        <v>0</v>
      </c>
      <c r="C303" s="43">
        <v>0</v>
      </c>
      <c r="D303" s="70">
        <v>2032</v>
      </c>
      <c r="E303" s="70">
        <v>8</v>
      </c>
      <c r="F303" s="2">
        <v>744</v>
      </c>
      <c r="G303" s="133">
        <f t="shared" si="305"/>
        <v>44315.89470597553</v>
      </c>
      <c r="H303" s="65">
        <v>44315.89470597553</v>
      </c>
      <c r="I303" s="133">
        <f t="shared" si="306"/>
        <v>44315.89470597553</v>
      </c>
      <c r="J303" s="133">
        <f t="shared" si="285"/>
        <v>3652.8134999999984</v>
      </c>
      <c r="K303" s="65">
        <v>3652.8134999999984</v>
      </c>
      <c r="L303" s="133">
        <f t="shared" si="286"/>
        <v>3652.8134999999984</v>
      </c>
      <c r="M303" s="65">
        <v>1523.4196774399222</v>
      </c>
      <c r="N303" s="65">
        <v>3280.4090180505418</v>
      </c>
      <c r="O303" s="65">
        <v>826.76059064162155</v>
      </c>
      <c r="P303" s="200">
        <f t="shared" si="279"/>
        <v>38973.904420135907</v>
      </c>
      <c r="Q303" s="200">
        <f t="shared" si="280"/>
        <v>38973.904420135907</v>
      </c>
      <c r="R303" s="200">
        <f t="shared" si="281"/>
        <v>38973.904420135907</v>
      </c>
      <c r="S303" s="133">
        <f t="shared" si="307"/>
        <v>40415.053028783048</v>
      </c>
      <c r="T303" s="133">
        <f t="shared" si="308"/>
        <v>40415.053028783048</v>
      </c>
      <c r="U303" s="133">
        <f t="shared" si="309"/>
        <v>40415.053028783048</v>
      </c>
      <c r="V303" s="200">
        <f t="shared" si="282"/>
        <v>38973.904420135907</v>
      </c>
      <c r="W303" s="200">
        <f t="shared" si="283"/>
        <v>38973.904420135907</v>
      </c>
      <c r="X303" s="200">
        <f t="shared" si="284"/>
        <v>38973.904420135907</v>
      </c>
      <c r="Y303" s="65">
        <v>11155.509275215754</v>
      </c>
      <c r="Z303" s="65">
        <v>10647.87081624219</v>
      </c>
      <c r="AA303" s="65">
        <v>5325.6296064490025</v>
      </c>
      <c r="AB303" s="200">
        <f t="shared" si="297"/>
        <v>49621.775236378096</v>
      </c>
      <c r="AC303" s="200">
        <f t="shared" si="298"/>
        <v>49621.775236378096</v>
      </c>
      <c r="AD303" s="200">
        <f t="shared" si="299"/>
        <v>49621.775236378096</v>
      </c>
      <c r="AE303" s="199">
        <f t="shared" si="261"/>
        <v>51570.562303998799</v>
      </c>
      <c r="AF303" s="199">
        <f t="shared" si="300"/>
        <v>51062.923845025238</v>
      </c>
      <c r="AG303" s="199">
        <f t="shared" si="262"/>
        <v>45740.68263523205</v>
      </c>
      <c r="AH303" s="199">
        <f t="shared" si="310"/>
        <v>48655.622469615424</v>
      </c>
      <c r="AI303" s="200">
        <f t="shared" si="301"/>
        <v>49621.775236378096</v>
      </c>
      <c r="AJ303" s="200">
        <f t="shared" si="302"/>
        <v>49621.775236378096</v>
      </c>
      <c r="AK303" s="200">
        <f t="shared" si="303"/>
        <v>49621.775236378096</v>
      </c>
      <c r="AL303" s="4"/>
      <c r="AM303" s="4"/>
      <c r="AN303" s="4"/>
      <c r="AO303" s="4"/>
      <c r="AP303" s="63"/>
      <c r="AQ303" s="18"/>
      <c r="AR303" s="18"/>
      <c r="AS303" s="66">
        <v>3395.12</v>
      </c>
      <c r="AT303" s="18"/>
      <c r="AU303" s="133">
        <f t="shared" si="313"/>
        <v>107.64</v>
      </c>
      <c r="AV303" s="133">
        <f t="shared" si="313"/>
        <v>3021.9279999999999</v>
      </c>
      <c r="AW303" s="63"/>
      <c r="AX303" s="63"/>
      <c r="AY303" s="65">
        <v>1159.3158527085716</v>
      </c>
      <c r="AZ303" s="63"/>
      <c r="BA303" s="65">
        <v>1498.2090000000001</v>
      </c>
      <c r="BB303" s="5"/>
      <c r="BC303" s="65">
        <v>569.06141954142743</v>
      </c>
      <c r="BD303" s="65">
        <v>7.9692213995478474</v>
      </c>
      <c r="BE303" s="65">
        <v>0</v>
      </c>
      <c r="BF303" s="65">
        <v>28.149492119598513</v>
      </c>
      <c r="BG303" s="65">
        <v>0</v>
      </c>
      <c r="BH303" s="65">
        <v>14.255509271750006</v>
      </c>
      <c r="BI303" s="65">
        <v>1443.7081029115327</v>
      </c>
      <c r="BJ303" s="65">
        <v>0</v>
      </c>
      <c r="BK303" s="65">
        <v>11.152893841525399</v>
      </c>
      <c r="BL303" s="65">
        <v>0</v>
      </c>
      <c r="BM303" s="65">
        <v>0</v>
      </c>
      <c r="BN303" s="65">
        <v>23.779745550260678</v>
      </c>
      <c r="BO303" s="65">
        <v>212.18019192</v>
      </c>
      <c r="BP303" s="260">
        <f t="shared" si="304"/>
        <v>992</v>
      </c>
      <c r="BQ303" s="65">
        <v>157.27981178710726</v>
      </c>
      <c r="BR303" s="65">
        <v>205.4912030441381</v>
      </c>
      <c r="BS303" s="65">
        <v>743.56201347805757</v>
      </c>
      <c r="BT303" s="65">
        <v>255.03657939181764</v>
      </c>
      <c r="BU303" s="65">
        <v>275.03605003256007</v>
      </c>
      <c r="BV303" s="144">
        <f t="shared" si="294"/>
        <v>1066.3937742079454</v>
      </c>
      <c r="BW303" s="144">
        <f t="shared" si="295"/>
        <v>2296.2863126353791</v>
      </c>
      <c r="BX303" s="144">
        <f t="shared" si="296"/>
        <v>578.73241344913504</v>
      </c>
      <c r="BY303" s="5"/>
      <c r="BZ303" s="66">
        <v>7254</v>
      </c>
      <c r="CA303" s="4"/>
      <c r="CB303" s="5"/>
      <c r="CC303" s="5"/>
      <c r="CD303" s="188">
        <v>16.868963591035975</v>
      </c>
      <c r="CE303" s="5"/>
      <c r="CF303" s="133">
        <f t="shared" si="311"/>
        <v>598.33333333333337</v>
      </c>
      <c r="CG303" s="70"/>
      <c r="CH303" s="70">
        <v>7280</v>
      </c>
      <c r="CI303" s="70"/>
      <c r="CJ303" s="63"/>
      <c r="CK303" s="8">
        <f t="shared" si="335"/>
        <v>33211.489884214723</v>
      </c>
      <c r="CL303" s="202">
        <f t="shared" si="315"/>
        <v>16410.285352163373</v>
      </c>
      <c r="CM303" s="202">
        <f t="shared" si="316"/>
        <v>16410.285352163373</v>
      </c>
      <c r="CN303" s="202">
        <f t="shared" si="317"/>
        <v>16410.285352163373</v>
      </c>
      <c r="CO303" s="9">
        <f t="shared" si="318"/>
        <v>18359.072419784075</v>
      </c>
      <c r="CP303" s="9">
        <f t="shared" si="319"/>
        <v>17851.433960810515</v>
      </c>
      <c r="CQ303" s="9">
        <f t="shared" si="320"/>
        <v>12529.192751017326</v>
      </c>
      <c r="CR303" s="202">
        <f t="shared" si="321"/>
        <v>16410.285352163373</v>
      </c>
      <c r="CS303" s="202">
        <f t="shared" si="322"/>
        <v>16410.285352163373</v>
      </c>
      <c r="CT303" s="202">
        <f t="shared" si="323"/>
        <v>16410.285352163373</v>
      </c>
      <c r="CU303" s="203">
        <f t="shared" si="324"/>
        <v>0.33070734116204836</v>
      </c>
      <c r="CV303" s="203">
        <f t="shared" si="325"/>
        <v>0.33070734116204836</v>
      </c>
      <c r="CW303" s="203">
        <f t="shared" si="326"/>
        <v>0.33070734116204836</v>
      </c>
      <c r="CX303" s="19">
        <f t="shared" si="327"/>
        <v>0.35599907388173868</v>
      </c>
      <c r="CY303" s="19">
        <f t="shared" si="328"/>
        <v>0.34959678405782624</v>
      </c>
      <c r="CZ303" s="19">
        <f t="shared" si="329"/>
        <v>0.2739179222779381</v>
      </c>
      <c r="DA303" s="203">
        <f t="shared" si="330"/>
        <v>0.33070734116204836</v>
      </c>
      <c r="DB303" s="203">
        <f t="shared" si="331"/>
        <v>0.33070734116204836</v>
      </c>
      <c r="DC303" s="203">
        <f t="shared" si="332"/>
        <v>0.33070734116204836</v>
      </c>
      <c r="DD303" s="65"/>
      <c r="DE303" s="66"/>
      <c r="DF303" s="66"/>
      <c r="DG303" s="66"/>
      <c r="DH303" s="66"/>
      <c r="DI303" s="66"/>
      <c r="DJ303" s="65"/>
      <c r="DK303" s="70"/>
      <c r="DL303" s="70"/>
      <c r="DM303" s="8">
        <f t="shared" si="333"/>
        <v>0</v>
      </c>
      <c r="DN303" s="8">
        <f t="shared" si="334"/>
        <v>33211.489884214723</v>
      </c>
      <c r="DO303" s="202">
        <f t="shared" si="263"/>
        <v>16410.285352163373</v>
      </c>
      <c r="DP303" s="202">
        <f t="shared" si="264"/>
        <v>16410.285352163373</v>
      </c>
      <c r="DQ303" s="202">
        <f t="shared" si="265"/>
        <v>16410.285352163373</v>
      </c>
      <c r="DR303" s="9">
        <f t="shared" si="266"/>
        <v>18359.072419784075</v>
      </c>
      <c r="DS303" s="9">
        <f t="shared" si="336"/>
        <v>17851.433960810515</v>
      </c>
      <c r="DT303" s="9">
        <f t="shared" si="267"/>
        <v>12529.192751017326</v>
      </c>
      <c r="DU303" s="202">
        <f t="shared" si="268"/>
        <v>16410.285352163373</v>
      </c>
      <c r="DV303" s="202">
        <f t="shared" si="269"/>
        <v>16410.285352163373</v>
      </c>
      <c r="DW303" s="202">
        <f t="shared" si="270"/>
        <v>16410.285352163373</v>
      </c>
      <c r="DX303" s="203">
        <f t="shared" si="271"/>
        <v>0.33070734116204836</v>
      </c>
      <c r="DY303" s="203">
        <f t="shared" si="272"/>
        <v>0.33070734116204836</v>
      </c>
      <c r="DZ303" s="203">
        <f t="shared" si="273"/>
        <v>0.33070734116204836</v>
      </c>
      <c r="EA303" s="19">
        <f t="shared" si="274"/>
        <v>0.35599907388173868</v>
      </c>
      <c r="EB303" s="19">
        <f t="shared" si="337"/>
        <v>0.34959678405782624</v>
      </c>
      <c r="EC303" s="19">
        <f t="shared" si="275"/>
        <v>0.2739179222779381</v>
      </c>
      <c r="ED303" s="203">
        <f t="shared" si="276"/>
        <v>0.33070734116204836</v>
      </c>
      <c r="EE303" s="203">
        <f t="shared" si="277"/>
        <v>0.33070734116204836</v>
      </c>
      <c r="EF303" s="203">
        <f t="shared" si="278"/>
        <v>0.33070734116204836</v>
      </c>
      <c r="EH303" s="58">
        <f t="shared" si="288"/>
        <v>28473.077654296143</v>
      </c>
      <c r="EI303" s="68">
        <f t="shared" si="289"/>
        <v>0.55760766345286572</v>
      </c>
      <c r="EJ303" s="58">
        <f t="shared" si="290"/>
        <v>24846.077654296143</v>
      </c>
      <c r="EK303" s="68">
        <f t="shared" si="289"/>
        <v>0.48657765328329805</v>
      </c>
      <c r="EL303" s="58">
        <f t="shared" si="291"/>
        <v>6214.7990548051039</v>
      </c>
      <c r="EM303" s="58">
        <f t="shared" si="292"/>
        <v>6793.5314682542394</v>
      </c>
      <c r="EN303" s="68">
        <f t="shared" si="293"/>
        <v>0.13304235160666567</v>
      </c>
      <c r="EO303" s="139">
        <f t="shared" si="312"/>
        <v>0.28519905910129462</v>
      </c>
      <c r="EP303">
        <f>+(SUM(M303:O303)*EO303*(1-'[1]Tier 3 Data'!$A$2))</f>
        <v>1498.2475692291243</v>
      </c>
    </row>
    <row r="304" spans="1:146" x14ac:dyDescent="0.2">
      <c r="A304" s="43">
        <v>0</v>
      </c>
      <c r="B304" s="43">
        <v>0</v>
      </c>
      <c r="C304" s="43">
        <v>0</v>
      </c>
      <c r="D304" s="70">
        <v>2032</v>
      </c>
      <c r="E304" s="70">
        <v>9</v>
      </c>
      <c r="F304" s="2">
        <v>720</v>
      </c>
      <c r="G304" s="133">
        <f t="shared" si="305"/>
        <v>38497.248113157846</v>
      </c>
      <c r="H304" s="65">
        <v>38497.248113157846</v>
      </c>
      <c r="I304" s="133">
        <f t="shared" si="306"/>
        <v>38497.248113157846</v>
      </c>
      <c r="J304" s="133">
        <f t="shared" si="285"/>
        <v>3693.0395624999983</v>
      </c>
      <c r="K304" s="65">
        <v>3693.0395624999983</v>
      </c>
      <c r="L304" s="133">
        <f t="shared" si="286"/>
        <v>3693.0395624999983</v>
      </c>
      <c r="M304" s="65">
        <v>1305.6369062084025</v>
      </c>
      <c r="N304" s="65">
        <v>2811.4531700307239</v>
      </c>
      <c r="O304" s="65">
        <v>711.3978716008736</v>
      </c>
      <c r="P304" s="200">
        <f t="shared" si="279"/>
        <v>33355.662166305847</v>
      </c>
      <c r="Q304" s="200">
        <f t="shared" si="280"/>
        <v>33355.662166305847</v>
      </c>
      <c r="R304" s="200">
        <f t="shared" si="281"/>
        <v>33355.662166305847</v>
      </c>
      <c r="S304" s="133">
        <f t="shared" si="307"/>
        <v>34590.78918917758</v>
      </c>
      <c r="T304" s="133">
        <f t="shared" si="308"/>
        <v>34590.78918917758</v>
      </c>
      <c r="U304" s="133">
        <f t="shared" si="309"/>
        <v>34590.78918917758</v>
      </c>
      <c r="V304" s="200">
        <f t="shared" si="282"/>
        <v>33355.662166305847</v>
      </c>
      <c r="W304" s="200">
        <f t="shared" si="283"/>
        <v>33355.662166305847</v>
      </c>
      <c r="X304" s="200">
        <f t="shared" si="284"/>
        <v>33355.662166305847</v>
      </c>
      <c r="Y304" s="65">
        <v>10613.186114030023</v>
      </c>
      <c r="Z304" s="65">
        <v>9734.1039575551131</v>
      </c>
      <c r="AA304" s="65">
        <v>4878.3314166190676</v>
      </c>
      <c r="AB304" s="200">
        <f t="shared" si="297"/>
        <v>43089.766123860958</v>
      </c>
      <c r="AC304" s="200">
        <f t="shared" si="298"/>
        <v>43089.766123860958</v>
      </c>
      <c r="AD304" s="200">
        <f t="shared" si="299"/>
        <v>43089.766123860958</v>
      </c>
      <c r="AE304" s="199">
        <f t="shared" si="261"/>
        <v>45203.975303207604</v>
      </c>
      <c r="AF304" s="199">
        <f t="shared" si="300"/>
        <v>44324.893146732691</v>
      </c>
      <c r="AG304" s="199">
        <f t="shared" si="262"/>
        <v>39469.120605796648</v>
      </c>
      <c r="AH304" s="199">
        <f t="shared" si="310"/>
        <v>42336.547954502123</v>
      </c>
      <c r="AI304" s="200">
        <f t="shared" si="301"/>
        <v>43089.766123860958</v>
      </c>
      <c r="AJ304" s="200">
        <f t="shared" si="302"/>
        <v>43089.766123860958</v>
      </c>
      <c r="AK304" s="200">
        <f t="shared" si="303"/>
        <v>43089.766123860958</v>
      </c>
      <c r="AL304" s="4"/>
      <c r="AM304" s="4"/>
      <c r="AN304" s="4"/>
      <c r="AO304" s="4"/>
      <c r="AP304" s="63"/>
      <c r="AQ304" s="18"/>
      <c r="AR304" s="18"/>
      <c r="AS304" s="66">
        <v>3285.6</v>
      </c>
      <c r="AT304" s="18"/>
      <c r="AU304" s="133">
        <f t="shared" si="313"/>
        <v>102.375</v>
      </c>
      <c r="AV304" s="133">
        <f t="shared" si="313"/>
        <v>2969.6280000000002</v>
      </c>
      <c r="AW304" s="63"/>
      <c r="AX304" s="63"/>
      <c r="AY304" s="65">
        <v>1065.150988617143</v>
      </c>
      <c r="AZ304" s="63"/>
      <c r="BA304" s="65">
        <v>2037.9549999999999</v>
      </c>
      <c r="BB304" s="5"/>
      <c r="BC304" s="65">
        <v>529.48077460711397</v>
      </c>
      <c r="BD304" s="65">
        <v>10.55810604601432</v>
      </c>
      <c r="BE304" s="65">
        <v>0</v>
      </c>
      <c r="BF304" s="65">
        <v>29.111812562736873</v>
      </c>
      <c r="BG304" s="65">
        <v>0</v>
      </c>
      <c r="BH304" s="65">
        <v>2.8511018543500009</v>
      </c>
      <c r="BI304" s="65">
        <v>1343.2920566854839</v>
      </c>
      <c r="BJ304" s="65">
        <v>0</v>
      </c>
      <c r="BK304" s="65">
        <v>13.355863258351745</v>
      </c>
      <c r="BL304" s="65">
        <v>0</v>
      </c>
      <c r="BM304" s="65">
        <v>0</v>
      </c>
      <c r="BN304" s="65">
        <v>4.7559491100521356</v>
      </c>
      <c r="BO304" s="65">
        <v>205.33566960000002</v>
      </c>
      <c r="BP304" s="260">
        <f t="shared" si="304"/>
        <v>960</v>
      </c>
      <c r="BQ304" s="65">
        <v>125.57527254065458</v>
      </c>
      <c r="BR304" s="65">
        <v>164.06823308583947</v>
      </c>
      <c r="BS304" s="65">
        <v>593.67459167804827</v>
      </c>
      <c r="BT304" s="65">
        <v>219.6643954782455</v>
      </c>
      <c r="BU304" s="65">
        <v>225.82644516261027</v>
      </c>
      <c r="BV304" s="144">
        <f t="shared" si="294"/>
        <v>913.94583434588162</v>
      </c>
      <c r="BW304" s="144">
        <f t="shared" si="295"/>
        <v>1968.0172190215067</v>
      </c>
      <c r="BX304" s="144">
        <f t="shared" si="296"/>
        <v>497.97851012061147</v>
      </c>
      <c r="BY304" s="5"/>
      <c r="BZ304" s="66">
        <v>7020</v>
      </c>
      <c r="CA304" s="4"/>
      <c r="CB304" s="5"/>
      <c r="CC304" s="5"/>
      <c r="CD304" s="188">
        <v>2.2241810746462862</v>
      </c>
      <c r="CE304" s="5"/>
      <c r="CF304" s="133">
        <f t="shared" si="311"/>
        <v>655.33333333333337</v>
      </c>
      <c r="CG304" s="70"/>
      <c r="CH304" s="70">
        <v>4800</v>
      </c>
      <c r="CI304" s="70"/>
      <c r="CJ304" s="63"/>
      <c r="CK304" s="8">
        <f t="shared" si="335"/>
        <v>29745.758338182619</v>
      </c>
      <c r="CL304" s="202">
        <f t="shared" si="315"/>
        <v>13344.007785678339</v>
      </c>
      <c r="CM304" s="202">
        <f t="shared" si="316"/>
        <v>13344.007785678339</v>
      </c>
      <c r="CN304" s="202">
        <f t="shared" si="317"/>
        <v>13344.007785678339</v>
      </c>
      <c r="CO304" s="9">
        <f t="shared" si="318"/>
        <v>15458.216965024985</v>
      </c>
      <c r="CP304" s="9">
        <f t="shared" si="319"/>
        <v>14579.134808550072</v>
      </c>
      <c r="CQ304" s="9">
        <f t="shared" si="320"/>
        <v>9723.3622676140294</v>
      </c>
      <c r="CR304" s="202">
        <f t="shared" si="321"/>
        <v>13344.007785678339</v>
      </c>
      <c r="CS304" s="202">
        <f t="shared" si="322"/>
        <v>13344.007785678339</v>
      </c>
      <c r="CT304" s="202">
        <f t="shared" si="323"/>
        <v>13344.007785678339</v>
      </c>
      <c r="CU304" s="203">
        <f t="shared" si="324"/>
        <v>0.30967928086035945</v>
      </c>
      <c r="CV304" s="203">
        <f t="shared" si="325"/>
        <v>0.30967928086035945</v>
      </c>
      <c r="CW304" s="203">
        <f t="shared" si="326"/>
        <v>0.30967928086035945</v>
      </c>
      <c r="CX304" s="19">
        <f t="shared" si="327"/>
        <v>0.34196587493330688</v>
      </c>
      <c r="CY304" s="19">
        <f t="shared" si="328"/>
        <v>0.32891528379521295</v>
      </c>
      <c r="CZ304" s="19">
        <f t="shared" si="329"/>
        <v>0.24635365871784851</v>
      </c>
      <c r="DA304" s="203">
        <f t="shared" si="330"/>
        <v>0.30967928086035945</v>
      </c>
      <c r="DB304" s="203">
        <f t="shared" si="331"/>
        <v>0.30967928086035945</v>
      </c>
      <c r="DC304" s="203">
        <f t="shared" si="332"/>
        <v>0.30967928086035945</v>
      </c>
      <c r="DD304" s="65"/>
      <c r="DE304" s="66"/>
      <c r="DF304" s="66"/>
      <c r="DG304" s="66"/>
      <c r="DH304" s="66"/>
      <c r="DI304" s="66"/>
      <c r="DJ304" s="65"/>
      <c r="DK304" s="70"/>
      <c r="DL304" s="70"/>
      <c r="DM304" s="8">
        <f t="shared" si="333"/>
        <v>0</v>
      </c>
      <c r="DN304" s="8">
        <f t="shared" si="334"/>
        <v>29745.758338182619</v>
      </c>
      <c r="DO304" s="202">
        <f t="shared" si="263"/>
        <v>13344.007785678339</v>
      </c>
      <c r="DP304" s="202">
        <f t="shared" si="264"/>
        <v>13344.007785678339</v>
      </c>
      <c r="DQ304" s="202">
        <f t="shared" si="265"/>
        <v>13344.007785678339</v>
      </c>
      <c r="DR304" s="9">
        <f t="shared" si="266"/>
        <v>15458.216965024985</v>
      </c>
      <c r="DS304" s="9">
        <f t="shared" si="336"/>
        <v>14579.134808550072</v>
      </c>
      <c r="DT304" s="9">
        <f t="shared" si="267"/>
        <v>9723.3622676140294</v>
      </c>
      <c r="DU304" s="202">
        <f t="shared" si="268"/>
        <v>13344.007785678339</v>
      </c>
      <c r="DV304" s="202">
        <f t="shared" si="269"/>
        <v>13344.007785678339</v>
      </c>
      <c r="DW304" s="202">
        <f t="shared" si="270"/>
        <v>13344.007785678339</v>
      </c>
      <c r="DX304" s="203">
        <f t="shared" si="271"/>
        <v>0.30967928086035945</v>
      </c>
      <c r="DY304" s="203">
        <f t="shared" si="272"/>
        <v>0.30967928086035945</v>
      </c>
      <c r="DZ304" s="203">
        <f t="shared" si="273"/>
        <v>0.30967928086035945</v>
      </c>
      <c r="EA304" s="19">
        <f t="shared" si="274"/>
        <v>0.34196587493330688</v>
      </c>
      <c r="EB304" s="19">
        <f t="shared" si="337"/>
        <v>0.32891528379521295</v>
      </c>
      <c r="EC304" s="19">
        <f t="shared" si="275"/>
        <v>0.24635365871784851</v>
      </c>
      <c r="ED304" s="203">
        <f t="shared" si="276"/>
        <v>0.30967928086035945</v>
      </c>
      <c r="EE304" s="203">
        <f t="shared" si="277"/>
        <v>0.30967928086035945</v>
      </c>
      <c r="EF304" s="203">
        <f t="shared" si="278"/>
        <v>0.30967928086035945</v>
      </c>
      <c r="EH304" s="58">
        <f t="shared" si="288"/>
        <v>25290.476510199358</v>
      </c>
      <c r="EI304" s="68">
        <f t="shared" si="289"/>
        <v>0.57057050146692989</v>
      </c>
      <c r="EJ304" s="58">
        <f t="shared" si="290"/>
        <v>21780.476510199358</v>
      </c>
      <c r="EK304" s="68">
        <f t="shared" si="289"/>
        <v>0.49138249331132017</v>
      </c>
      <c r="EL304" s="58">
        <f t="shared" si="291"/>
        <v>5406.4556781282699</v>
      </c>
      <c r="EM304" s="58">
        <f t="shared" si="292"/>
        <v>5904.4341882488816</v>
      </c>
      <c r="EN304" s="68">
        <f t="shared" si="293"/>
        <v>0.13320808622601527</v>
      </c>
      <c r="EO304" s="139">
        <f t="shared" si="312"/>
        <v>0.31860645638858931</v>
      </c>
      <c r="EP304">
        <f>+(SUM(M304:O304)*EO304*(1-'[1]Tier 3 Data'!$A$2))</f>
        <v>1435.315476646301</v>
      </c>
    </row>
    <row r="305" spans="1:146" x14ac:dyDescent="0.2">
      <c r="A305" s="43">
        <v>0</v>
      </c>
      <c r="B305" s="43">
        <v>0</v>
      </c>
      <c r="C305" s="43">
        <v>0</v>
      </c>
      <c r="D305" s="70">
        <v>2032</v>
      </c>
      <c r="E305" s="70">
        <v>10</v>
      </c>
      <c r="F305" s="2">
        <v>744</v>
      </c>
      <c r="G305" s="133">
        <f t="shared" si="305"/>
        <v>40459.464217115994</v>
      </c>
      <c r="H305" s="65">
        <v>40459.464217115994</v>
      </c>
      <c r="I305" s="133">
        <f t="shared" si="306"/>
        <v>40459.464217115994</v>
      </c>
      <c r="J305" s="133">
        <f t="shared" si="285"/>
        <v>3733.2656249999982</v>
      </c>
      <c r="K305" s="65">
        <v>3733.2656249999982</v>
      </c>
      <c r="L305" s="133">
        <f t="shared" si="286"/>
        <v>3733.2656249999982</v>
      </c>
      <c r="M305" s="65">
        <v>957.87478015852639</v>
      </c>
      <c r="N305" s="65">
        <v>2062.6102665784465</v>
      </c>
      <c r="O305" s="65">
        <v>523.99790572503161</v>
      </c>
      <c r="P305" s="200">
        <f t="shared" si="279"/>
        <v>35662.853706377391</v>
      </c>
      <c r="Q305" s="200">
        <f t="shared" si="280"/>
        <v>35662.853706377391</v>
      </c>
      <c r="R305" s="200">
        <f t="shared" si="281"/>
        <v>35662.853706377391</v>
      </c>
      <c r="S305" s="133">
        <f t="shared" si="307"/>
        <v>36568.999220398488</v>
      </c>
      <c r="T305" s="133">
        <f t="shared" si="308"/>
        <v>36568.999220398488</v>
      </c>
      <c r="U305" s="133">
        <f t="shared" si="309"/>
        <v>36568.999220398488</v>
      </c>
      <c r="V305" s="200">
        <f t="shared" si="282"/>
        <v>35662.853706377391</v>
      </c>
      <c r="W305" s="200">
        <f t="shared" si="283"/>
        <v>35662.853706377391</v>
      </c>
      <c r="X305" s="200">
        <f t="shared" si="284"/>
        <v>35662.853706377391</v>
      </c>
      <c r="Y305" s="65">
        <v>11714.070023592476</v>
      </c>
      <c r="Z305" s="65">
        <v>11608.409941405273</v>
      </c>
      <c r="AA305" s="65">
        <v>5637.4715177912622</v>
      </c>
      <c r="AB305" s="200">
        <f t="shared" si="297"/>
        <v>47271.26364778266</v>
      </c>
      <c r="AC305" s="200">
        <f t="shared" si="298"/>
        <v>47271.26364778266</v>
      </c>
      <c r="AD305" s="200">
        <f t="shared" si="299"/>
        <v>47271.26364778266</v>
      </c>
      <c r="AE305" s="199">
        <f t="shared" ref="AE305:AE368" si="338">+S305+$Y305</f>
        <v>48283.069243990962</v>
      </c>
      <c r="AF305" s="199">
        <f t="shared" si="300"/>
        <v>48177.409161803764</v>
      </c>
      <c r="AG305" s="199">
        <f t="shared" ref="AG305:AG368" si="339">+U305+$AA305</f>
        <v>42206.470738189746</v>
      </c>
      <c r="AH305" s="199">
        <f t="shared" si="310"/>
        <v>45244.769991090354</v>
      </c>
      <c r="AI305" s="200">
        <f t="shared" si="301"/>
        <v>47271.26364778266</v>
      </c>
      <c r="AJ305" s="200">
        <f t="shared" si="302"/>
        <v>47271.26364778266</v>
      </c>
      <c r="AK305" s="200">
        <f t="shared" si="303"/>
        <v>47271.26364778266</v>
      </c>
      <c r="AL305" s="4"/>
      <c r="AM305" s="4"/>
      <c r="AN305" s="4"/>
      <c r="AO305" s="4"/>
      <c r="AP305" s="63"/>
      <c r="AQ305" s="18"/>
      <c r="AR305" s="18"/>
      <c r="AS305" s="66">
        <v>3395.12</v>
      </c>
      <c r="AT305" s="18"/>
      <c r="AU305" s="133">
        <f t="shared" si="313"/>
        <v>118.17</v>
      </c>
      <c r="AV305" s="133">
        <f t="shared" si="313"/>
        <v>3225.1860000000001</v>
      </c>
      <c r="AW305" s="63"/>
      <c r="AX305" s="63"/>
      <c r="AY305" s="65">
        <v>1031.6699594133333</v>
      </c>
      <c r="AZ305" s="63"/>
      <c r="BA305" s="65">
        <v>1760</v>
      </c>
      <c r="BB305" s="5"/>
      <c r="BC305" s="65">
        <v>387.84712854806463</v>
      </c>
      <c r="BD305" s="65">
        <v>15.523669194184084</v>
      </c>
      <c r="BE305" s="65">
        <v>0</v>
      </c>
      <c r="BF305" s="65">
        <v>15.45143616475837</v>
      </c>
      <c r="BG305" s="65">
        <v>0</v>
      </c>
      <c r="BH305" s="65">
        <v>19.957712980450005</v>
      </c>
      <c r="BI305" s="65">
        <v>983.96767545238163</v>
      </c>
      <c r="BJ305" s="65">
        <v>0</v>
      </c>
      <c r="BK305" s="65">
        <v>16.565610887239799</v>
      </c>
      <c r="BL305" s="65">
        <v>0</v>
      </c>
      <c r="BM305" s="65">
        <v>0</v>
      </c>
      <c r="BN305" s="65">
        <v>33.291643770364956</v>
      </c>
      <c r="BO305" s="65">
        <v>212.18019192</v>
      </c>
      <c r="BP305" s="260">
        <f t="shared" si="304"/>
        <v>992</v>
      </c>
      <c r="BQ305" s="65">
        <v>99.0790258074843</v>
      </c>
      <c r="BR305" s="65">
        <v>129.44998010287927</v>
      </c>
      <c r="BS305" s="65">
        <v>468.40977347367084</v>
      </c>
      <c r="BT305" s="65">
        <v>154.61996754222494</v>
      </c>
      <c r="BU305" s="65">
        <v>154.16729208830267</v>
      </c>
      <c r="BV305" s="144">
        <f t="shared" si="294"/>
        <v>670.51234611096845</v>
      </c>
      <c r="BW305" s="144">
        <f t="shared" si="295"/>
        <v>1443.8271866049124</v>
      </c>
      <c r="BX305" s="144">
        <f t="shared" si="296"/>
        <v>366.79853400752211</v>
      </c>
      <c r="BY305" s="5"/>
      <c r="BZ305" s="66">
        <v>7254</v>
      </c>
      <c r="CA305" s="4"/>
      <c r="CB305" s="5"/>
      <c r="CC305" s="5"/>
      <c r="CD305" s="188">
        <v>0</v>
      </c>
      <c r="CE305" s="5"/>
      <c r="CF305" s="133">
        <f t="shared" si="311"/>
        <v>865.33333333333337</v>
      </c>
      <c r="CG305" s="70"/>
      <c r="CH305" s="70">
        <v>2848</v>
      </c>
      <c r="CI305" s="70"/>
      <c r="CJ305" s="63"/>
      <c r="CK305" s="8">
        <f t="shared" si="335"/>
        <v>26661.128467402075</v>
      </c>
      <c r="CL305" s="202">
        <f t="shared" si="315"/>
        <v>20610.135180380585</v>
      </c>
      <c r="CM305" s="202">
        <f t="shared" si="316"/>
        <v>20610.135180380585</v>
      </c>
      <c r="CN305" s="202">
        <f t="shared" si="317"/>
        <v>20610.135180380585</v>
      </c>
      <c r="CO305" s="9">
        <f t="shared" si="318"/>
        <v>21621.940776588886</v>
      </c>
      <c r="CP305" s="9">
        <f t="shared" si="319"/>
        <v>21516.280694401688</v>
      </c>
      <c r="CQ305" s="9">
        <f t="shared" si="320"/>
        <v>15545.342270787671</v>
      </c>
      <c r="CR305" s="202">
        <f t="shared" si="321"/>
        <v>20610.135180380585</v>
      </c>
      <c r="CS305" s="202">
        <f t="shared" si="322"/>
        <v>20610.135180380585</v>
      </c>
      <c r="CT305" s="202">
        <f t="shared" si="323"/>
        <v>20610.135180380585</v>
      </c>
      <c r="CU305" s="203">
        <f t="shared" si="324"/>
        <v>0.43599712785226841</v>
      </c>
      <c r="CV305" s="203">
        <f t="shared" si="325"/>
        <v>0.43599712785226841</v>
      </c>
      <c r="CW305" s="203">
        <f t="shared" si="326"/>
        <v>0.43599712785226841</v>
      </c>
      <c r="CX305" s="19">
        <f t="shared" si="327"/>
        <v>0.44781620379859821</v>
      </c>
      <c r="CY305" s="19">
        <f t="shared" si="328"/>
        <v>0.44660518422938206</v>
      </c>
      <c r="CZ305" s="19">
        <f t="shared" si="329"/>
        <v>0.36831656376143657</v>
      </c>
      <c r="DA305" s="203">
        <f t="shared" si="330"/>
        <v>0.43599712785226841</v>
      </c>
      <c r="DB305" s="203">
        <f t="shared" si="331"/>
        <v>0.43599712785226841</v>
      </c>
      <c r="DC305" s="203">
        <f t="shared" si="332"/>
        <v>0.43599712785226841</v>
      </c>
      <c r="DD305" s="65"/>
      <c r="DE305" s="66"/>
      <c r="DF305" s="66"/>
      <c r="DG305" s="66"/>
      <c r="DH305" s="66"/>
      <c r="DI305" s="66"/>
      <c r="DJ305" s="65"/>
      <c r="DK305" s="70"/>
      <c r="DL305" s="70"/>
      <c r="DM305" s="8">
        <f t="shared" si="333"/>
        <v>0</v>
      </c>
      <c r="DN305" s="8">
        <f t="shared" si="334"/>
        <v>26661.128467402075</v>
      </c>
      <c r="DO305" s="202">
        <f t="shared" si="263"/>
        <v>20610.135180380585</v>
      </c>
      <c r="DP305" s="202">
        <f t="shared" si="264"/>
        <v>20610.135180380585</v>
      </c>
      <c r="DQ305" s="202">
        <f t="shared" si="265"/>
        <v>20610.135180380585</v>
      </c>
      <c r="DR305" s="9">
        <f t="shared" si="266"/>
        <v>21621.940776588886</v>
      </c>
      <c r="DS305" s="9">
        <f t="shared" si="336"/>
        <v>21516.280694401688</v>
      </c>
      <c r="DT305" s="9">
        <f t="shared" si="267"/>
        <v>15545.342270787671</v>
      </c>
      <c r="DU305" s="202">
        <f t="shared" si="268"/>
        <v>20610.135180380585</v>
      </c>
      <c r="DV305" s="202">
        <f t="shared" si="269"/>
        <v>20610.135180380585</v>
      </c>
      <c r="DW305" s="202">
        <f t="shared" si="270"/>
        <v>20610.135180380585</v>
      </c>
      <c r="DX305" s="203">
        <f t="shared" si="271"/>
        <v>0.43599712785226841</v>
      </c>
      <c r="DY305" s="203">
        <f t="shared" si="272"/>
        <v>0.43599712785226841</v>
      </c>
      <c r="DZ305" s="203">
        <f t="shared" si="273"/>
        <v>0.43599712785226841</v>
      </c>
      <c r="EA305" s="19">
        <f t="shared" si="274"/>
        <v>0.44781620379859821</v>
      </c>
      <c r="EB305" s="19">
        <f t="shared" si="337"/>
        <v>0.44660518422938206</v>
      </c>
      <c r="EC305" s="19">
        <f t="shared" si="275"/>
        <v>0.36831656376143657</v>
      </c>
      <c r="ED305" s="203">
        <f t="shared" si="276"/>
        <v>0.43599712785226841</v>
      </c>
      <c r="EE305" s="203">
        <f t="shared" si="277"/>
        <v>0.43599712785226841</v>
      </c>
      <c r="EF305" s="203">
        <f t="shared" si="278"/>
        <v>0.43599712785226841</v>
      </c>
      <c r="EH305" s="58">
        <f t="shared" si="288"/>
        <v>22348.16468512635</v>
      </c>
      <c r="EI305" s="68">
        <f t="shared" si="289"/>
        <v>0.46387228109486067</v>
      </c>
      <c r="EJ305" s="58">
        <f t="shared" si="290"/>
        <v>18721.16468512635</v>
      </c>
      <c r="EK305" s="68">
        <f t="shared" si="289"/>
        <v>0.38858803349618376</v>
      </c>
      <c r="EL305" s="58">
        <f t="shared" si="291"/>
        <v>4118.8868583721587</v>
      </c>
      <c r="EM305" s="58">
        <f t="shared" si="292"/>
        <v>4485.6853923796807</v>
      </c>
      <c r="EN305" s="68">
        <f t="shared" si="293"/>
        <v>9.3107650876669446E-2</v>
      </c>
      <c r="EO305" s="139">
        <f t="shared" si="312"/>
        <v>0.35739486552628164</v>
      </c>
      <c r="EP305">
        <f>+(SUM(M305:O305)*EO305*(1-'[1]Tier 3 Data'!$A$2))</f>
        <v>1181.905747608947</v>
      </c>
    </row>
    <row r="306" spans="1:146" x14ac:dyDescent="0.2">
      <c r="A306" s="43">
        <v>0</v>
      </c>
      <c r="B306" s="43">
        <v>0</v>
      </c>
      <c r="C306" s="43">
        <v>0</v>
      </c>
      <c r="D306" s="70">
        <v>2032</v>
      </c>
      <c r="E306" s="70">
        <v>11</v>
      </c>
      <c r="F306" s="2">
        <v>721</v>
      </c>
      <c r="G306" s="133">
        <f t="shared" si="305"/>
        <v>42817.19517876875</v>
      </c>
      <c r="H306" s="65">
        <v>42817.19517876875</v>
      </c>
      <c r="I306" s="133">
        <f t="shared" si="306"/>
        <v>42817.19517876875</v>
      </c>
      <c r="J306" s="133">
        <f t="shared" si="285"/>
        <v>3773.4916874999981</v>
      </c>
      <c r="K306" s="65">
        <v>3773.4916874999981</v>
      </c>
      <c r="L306" s="133">
        <f t="shared" si="286"/>
        <v>3773.4916874999981</v>
      </c>
      <c r="M306" s="65">
        <v>391.15101618171565</v>
      </c>
      <c r="N306" s="65">
        <v>842.27303867993726</v>
      </c>
      <c r="O306" s="65">
        <v>215.05679153646369</v>
      </c>
      <c r="P306" s="200">
        <f t="shared" si="279"/>
        <v>38609.159237349319</v>
      </c>
      <c r="Q306" s="200">
        <f t="shared" si="280"/>
        <v>38609.159237349319</v>
      </c>
      <c r="R306" s="200">
        <f t="shared" si="281"/>
        <v>38609.159237349319</v>
      </c>
      <c r="S306" s="133">
        <f t="shared" si="307"/>
        <v>38979.186453807815</v>
      </c>
      <c r="T306" s="133">
        <f t="shared" si="308"/>
        <v>38979.186453807815</v>
      </c>
      <c r="U306" s="133">
        <f t="shared" si="309"/>
        <v>38979.186453807815</v>
      </c>
      <c r="V306" s="200">
        <f t="shared" si="282"/>
        <v>38609.159237349319</v>
      </c>
      <c r="W306" s="200">
        <f t="shared" si="283"/>
        <v>38609.159237349319</v>
      </c>
      <c r="X306" s="200">
        <f t="shared" si="284"/>
        <v>38609.159237349319</v>
      </c>
      <c r="Y306" s="65">
        <v>16364.20418302128</v>
      </c>
      <c r="Z306" s="65">
        <v>18440.859981690672</v>
      </c>
      <c r="AA306" s="65">
        <v>8489.4401484318296</v>
      </c>
      <c r="AB306" s="200">
        <f t="shared" si="297"/>
        <v>57050.01921903999</v>
      </c>
      <c r="AC306" s="200">
        <f t="shared" si="298"/>
        <v>57050.01921903999</v>
      </c>
      <c r="AD306" s="200">
        <f t="shared" si="299"/>
        <v>57050.01921903999</v>
      </c>
      <c r="AE306" s="199">
        <f t="shared" si="338"/>
        <v>55343.390636829092</v>
      </c>
      <c r="AF306" s="199">
        <f t="shared" si="300"/>
        <v>57420.046435498487</v>
      </c>
      <c r="AG306" s="199">
        <f t="shared" si="339"/>
        <v>47468.626602239645</v>
      </c>
      <c r="AH306" s="199">
        <f t="shared" si="310"/>
        <v>52444.336518869066</v>
      </c>
      <c r="AI306" s="200">
        <f t="shared" si="301"/>
        <v>57050.01921903999</v>
      </c>
      <c r="AJ306" s="200">
        <f t="shared" si="302"/>
        <v>57050.01921903999</v>
      </c>
      <c r="AK306" s="200">
        <f t="shared" si="303"/>
        <v>57050.01921903999</v>
      </c>
      <c r="AL306" s="4"/>
      <c r="AM306" s="4"/>
      <c r="AN306" s="4"/>
      <c r="AO306" s="4"/>
      <c r="AP306" s="63"/>
      <c r="AQ306" s="18"/>
      <c r="AR306" s="18"/>
      <c r="AS306" s="66">
        <v>3285.6</v>
      </c>
      <c r="AT306" s="18"/>
      <c r="AU306" s="133">
        <f t="shared" si="313"/>
        <v>104.364</v>
      </c>
      <c r="AV306" s="133">
        <f t="shared" si="313"/>
        <v>3268.3739999999998</v>
      </c>
      <c r="AW306" s="63"/>
      <c r="AX306" s="63"/>
      <c r="AY306" s="63"/>
      <c r="AZ306" s="64"/>
      <c r="BA306" s="65">
        <v>2363</v>
      </c>
      <c r="BB306" s="5"/>
      <c r="BC306" s="65">
        <v>283.87477427119757</v>
      </c>
      <c r="BD306" s="65">
        <v>14.399660735694527</v>
      </c>
      <c r="BE306" s="65">
        <v>0</v>
      </c>
      <c r="BF306" s="65">
        <v>16.150028368125135</v>
      </c>
      <c r="BG306" s="65">
        <v>0</v>
      </c>
      <c r="BH306" s="65">
        <v>37.064324106550004</v>
      </c>
      <c r="BI306" s="65">
        <v>720.18994392164086</v>
      </c>
      <c r="BJ306" s="65">
        <v>0</v>
      </c>
      <c r="BK306" s="65">
        <v>19.844702933795372</v>
      </c>
      <c r="BL306" s="65">
        <v>0</v>
      </c>
      <c r="BM306" s="65">
        <v>0</v>
      </c>
      <c r="BN306" s="65">
        <v>61.827338430677763</v>
      </c>
      <c r="BO306" s="65">
        <v>205.33566960000002</v>
      </c>
      <c r="BP306" s="260">
        <f t="shared" si="304"/>
        <v>960</v>
      </c>
      <c r="BQ306" s="65">
        <v>61.070358270681254</v>
      </c>
      <c r="BR306" s="65">
        <v>79.790414594133509</v>
      </c>
      <c r="BS306" s="65">
        <v>288.71854627042421</v>
      </c>
      <c r="BT306" s="65">
        <v>106.64795031083599</v>
      </c>
      <c r="BU306" s="65">
        <v>118.61134063808764</v>
      </c>
      <c r="BV306" s="144">
        <f t="shared" si="294"/>
        <v>273.80571132720092</v>
      </c>
      <c r="BW306" s="144">
        <f t="shared" si="295"/>
        <v>589.59112707595602</v>
      </c>
      <c r="BX306" s="144">
        <f t="shared" si="296"/>
        <v>150.53975407552457</v>
      </c>
      <c r="BY306" s="5"/>
      <c r="BZ306" s="66">
        <v>7029.75</v>
      </c>
      <c r="CA306" s="4"/>
      <c r="CB306" s="5"/>
      <c r="CC306" s="5"/>
      <c r="CD306" s="188">
        <v>3.0642236760841479</v>
      </c>
      <c r="CE306" s="5"/>
      <c r="CF306" s="133">
        <f t="shared" si="311"/>
        <v>1161.3333333333333</v>
      </c>
      <c r="CG306" s="70"/>
      <c r="CH306" s="70">
        <v>3978</v>
      </c>
      <c r="CI306" s="70"/>
      <c r="CJ306" s="63"/>
      <c r="CK306" s="8">
        <f t="shared" si="335"/>
        <v>25180.947201939936</v>
      </c>
      <c r="CL306" s="202">
        <f t="shared" si="315"/>
        <v>31869.072017100054</v>
      </c>
      <c r="CM306" s="202">
        <f t="shared" si="316"/>
        <v>31869.072017100054</v>
      </c>
      <c r="CN306" s="202">
        <f t="shared" si="317"/>
        <v>31869.072017100054</v>
      </c>
      <c r="CO306" s="9">
        <f t="shared" si="318"/>
        <v>30162.443434889155</v>
      </c>
      <c r="CP306" s="9">
        <f t="shared" si="319"/>
        <v>32239.099233558551</v>
      </c>
      <c r="CQ306" s="9">
        <f t="shared" si="320"/>
        <v>22287.679400299709</v>
      </c>
      <c r="CR306" s="202">
        <f t="shared" si="321"/>
        <v>31869.072017100054</v>
      </c>
      <c r="CS306" s="202">
        <f t="shared" si="322"/>
        <v>31869.072017100054</v>
      </c>
      <c r="CT306" s="202">
        <f t="shared" si="323"/>
        <v>31869.072017100054</v>
      </c>
      <c r="CU306" s="203">
        <f t="shared" si="324"/>
        <v>0.55861632394444494</v>
      </c>
      <c r="CV306" s="203">
        <f t="shared" si="325"/>
        <v>0.55861632394444494</v>
      </c>
      <c r="CW306" s="203">
        <f t="shared" si="326"/>
        <v>0.55861632394444494</v>
      </c>
      <c r="CX306" s="19">
        <f t="shared" si="327"/>
        <v>0.54500534007428714</v>
      </c>
      <c r="CY306" s="19">
        <f t="shared" si="328"/>
        <v>0.56146069595700543</v>
      </c>
      <c r="CZ306" s="19">
        <f t="shared" si="329"/>
        <v>0.46952442056219384</v>
      </c>
      <c r="DA306" s="203">
        <f t="shared" si="330"/>
        <v>0.55861632394444494</v>
      </c>
      <c r="DB306" s="203">
        <f t="shared" si="331"/>
        <v>0.55861632394444494</v>
      </c>
      <c r="DC306" s="203">
        <f t="shared" si="332"/>
        <v>0.55861632394444494</v>
      </c>
      <c r="DD306" s="65"/>
      <c r="DE306" s="66"/>
      <c r="DF306" s="66"/>
      <c r="DG306" s="66"/>
      <c r="DH306" s="66"/>
      <c r="DI306" s="66"/>
      <c r="DJ306" s="65"/>
      <c r="DK306" s="70"/>
      <c r="DL306" s="70"/>
      <c r="DM306" s="8">
        <f t="shared" si="333"/>
        <v>0</v>
      </c>
      <c r="DN306" s="8">
        <f t="shared" si="334"/>
        <v>25180.947201939936</v>
      </c>
      <c r="DO306" s="202">
        <f t="shared" si="263"/>
        <v>31869.072017100054</v>
      </c>
      <c r="DP306" s="202">
        <f t="shared" si="264"/>
        <v>31869.072017100054</v>
      </c>
      <c r="DQ306" s="202">
        <f t="shared" si="265"/>
        <v>31869.072017100054</v>
      </c>
      <c r="DR306" s="9">
        <f t="shared" si="266"/>
        <v>30162.443434889155</v>
      </c>
      <c r="DS306" s="9">
        <f t="shared" si="336"/>
        <v>32239.099233558551</v>
      </c>
      <c r="DT306" s="9">
        <f t="shared" si="267"/>
        <v>22287.679400299709</v>
      </c>
      <c r="DU306" s="202">
        <f t="shared" si="268"/>
        <v>31869.072017100054</v>
      </c>
      <c r="DV306" s="202">
        <f t="shared" si="269"/>
        <v>31869.072017100054</v>
      </c>
      <c r="DW306" s="202">
        <f t="shared" si="270"/>
        <v>31869.072017100054</v>
      </c>
      <c r="DX306" s="203">
        <f t="shared" si="271"/>
        <v>0.55861632394444494</v>
      </c>
      <c r="DY306" s="203">
        <f t="shared" si="272"/>
        <v>0.55861632394444494</v>
      </c>
      <c r="DZ306" s="203">
        <f t="shared" si="273"/>
        <v>0.55861632394444494</v>
      </c>
      <c r="EA306" s="19">
        <f t="shared" si="274"/>
        <v>0.54500534007428714</v>
      </c>
      <c r="EB306" s="19">
        <f t="shared" si="337"/>
        <v>0.56146069595700543</v>
      </c>
      <c r="EC306" s="19">
        <f t="shared" si="275"/>
        <v>0.46952442056219384</v>
      </c>
      <c r="ED306" s="203">
        <f t="shared" si="276"/>
        <v>0.55861632394444494</v>
      </c>
      <c r="EE306" s="203">
        <f t="shared" si="277"/>
        <v>0.55861632394444494</v>
      </c>
      <c r="EF306" s="203">
        <f t="shared" si="278"/>
        <v>0.55861632394444494</v>
      </c>
      <c r="EH306" s="58">
        <f t="shared" si="288"/>
        <v>21373.052238568529</v>
      </c>
      <c r="EI306" s="68">
        <f t="shared" si="289"/>
        <v>0.37222283096857933</v>
      </c>
      <c r="EJ306" s="58">
        <f t="shared" si="290"/>
        <v>17858.177238568533</v>
      </c>
      <c r="EK306" s="68">
        <f t="shared" si="289"/>
        <v>0.31100945309455841</v>
      </c>
      <c r="EL306" s="58">
        <f t="shared" si="291"/>
        <v>2586.9661511596742</v>
      </c>
      <c r="EM306" s="58">
        <f t="shared" si="292"/>
        <v>2737.505905235199</v>
      </c>
      <c r="EN306" s="68">
        <f t="shared" si="293"/>
        <v>4.7675090411330723E-2</v>
      </c>
      <c r="EO306" s="139">
        <f t="shared" si="312"/>
        <v>0.4050825009776523</v>
      </c>
      <c r="EP306">
        <f>+(SUM(M306:O306)*EO306*(1-'[1]Tier 3 Data'!$A$2))</f>
        <v>547.4417095374049</v>
      </c>
    </row>
    <row r="307" spans="1:146" x14ac:dyDescent="0.2">
      <c r="A307" s="43">
        <v>0</v>
      </c>
      <c r="B307" s="43">
        <v>0</v>
      </c>
      <c r="C307" s="43">
        <v>0</v>
      </c>
      <c r="D307" s="70">
        <v>2032</v>
      </c>
      <c r="E307" s="70">
        <v>12</v>
      </c>
      <c r="F307" s="2">
        <v>744</v>
      </c>
      <c r="G307" s="133">
        <f t="shared" si="305"/>
        <v>48606.753392473584</v>
      </c>
      <c r="H307" s="65">
        <v>48606.753392473584</v>
      </c>
      <c r="I307" s="133">
        <f t="shared" si="306"/>
        <v>48606.753392473584</v>
      </c>
      <c r="J307" s="133">
        <f t="shared" si="285"/>
        <v>3813.717749999998</v>
      </c>
      <c r="K307" s="65">
        <v>3813.717749999998</v>
      </c>
      <c r="L307" s="133">
        <f t="shared" si="286"/>
        <v>3813.717749999998</v>
      </c>
      <c r="M307" s="65">
        <v>248.30627982623952</v>
      </c>
      <c r="N307" s="65">
        <v>534.68270867382159</v>
      </c>
      <c r="O307" s="65">
        <v>136.95682818383185</v>
      </c>
      <c r="P307" s="200">
        <f t="shared" si="279"/>
        <v>44517.051897468416</v>
      </c>
      <c r="Q307" s="200">
        <f t="shared" si="280"/>
        <v>44517.051897468416</v>
      </c>
      <c r="R307" s="200">
        <f t="shared" si="281"/>
        <v>44517.051897468416</v>
      </c>
      <c r="S307" s="133">
        <f t="shared" si="307"/>
        <v>44751.948594018439</v>
      </c>
      <c r="T307" s="133">
        <f t="shared" si="308"/>
        <v>44751.948594018439</v>
      </c>
      <c r="U307" s="133">
        <f t="shared" si="309"/>
        <v>44751.948594018439</v>
      </c>
      <c r="V307" s="200">
        <f t="shared" si="282"/>
        <v>44517.051897468416</v>
      </c>
      <c r="W307" s="200">
        <f t="shared" si="283"/>
        <v>44517.051897468416</v>
      </c>
      <c r="X307" s="200">
        <f t="shared" si="284"/>
        <v>44517.051897468416</v>
      </c>
      <c r="Y307" s="65">
        <v>17900.087516884712</v>
      </c>
      <c r="Z307" s="65">
        <v>19643.932001357138</v>
      </c>
      <c r="AA307" s="65">
        <v>9169.5922888235345</v>
      </c>
      <c r="AB307" s="200">
        <f t="shared" si="297"/>
        <v>64160.983898825551</v>
      </c>
      <c r="AC307" s="200">
        <f t="shared" si="298"/>
        <v>64160.983898825551</v>
      </c>
      <c r="AD307" s="200">
        <f t="shared" si="299"/>
        <v>64160.983898825551</v>
      </c>
      <c r="AE307" s="199">
        <f t="shared" si="338"/>
        <v>62652.036110903151</v>
      </c>
      <c r="AF307" s="199">
        <f t="shared" si="300"/>
        <v>64395.88059537558</v>
      </c>
      <c r="AG307" s="199">
        <f t="shared" si="339"/>
        <v>53921.540882841975</v>
      </c>
      <c r="AH307" s="199">
        <f t="shared" si="310"/>
        <v>59158.710739108777</v>
      </c>
      <c r="AI307" s="200">
        <f t="shared" si="301"/>
        <v>64160.983898825551</v>
      </c>
      <c r="AJ307" s="200">
        <f t="shared" si="302"/>
        <v>64160.983898825551</v>
      </c>
      <c r="AK307" s="200">
        <f t="shared" si="303"/>
        <v>64160.983898825551</v>
      </c>
      <c r="AL307" s="4"/>
      <c r="AM307" s="4"/>
      <c r="AN307" s="4"/>
      <c r="AO307" s="4"/>
      <c r="AP307" s="63"/>
      <c r="AQ307" s="18"/>
      <c r="AR307" s="18"/>
      <c r="AS307" s="66">
        <v>3395.12</v>
      </c>
      <c r="AT307" s="18"/>
      <c r="AU307" s="133">
        <f t="shared" si="313"/>
        <v>105.066</v>
      </c>
      <c r="AV307" s="133">
        <f t="shared" si="313"/>
        <v>3218.8470000000002</v>
      </c>
      <c r="AW307" s="63"/>
      <c r="AX307" s="63"/>
      <c r="AY307" s="63"/>
      <c r="AZ307" s="64"/>
      <c r="BA307" s="65">
        <v>2225.2240000000002</v>
      </c>
      <c r="BB307" s="5"/>
      <c r="BC307" s="65">
        <v>133.02629953839877</v>
      </c>
      <c r="BD307" s="65">
        <v>14.892990970660508</v>
      </c>
      <c r="BE307" s="65">
        <v>0</v>
      </c>
      <c r="BF307" s="65">
        <v>16.575287048273818</v>
      </c>
      <c r="BG307" s="65">
        <v>0</v>
      </c>
      <c r="BH307" s="65">
        <v>22.808814834800007</v>
      </c>
      <c r="BI307" s="65">
        <v>337.48755397736403</v>
      </c>
      <c r="BJ307" s="65">
        <v>0</v>
      </c>
      <c r="BK307" s="65">
        <v>20.28324216774827</v>
      </c>
      <c r="BL307" s="65">
        <v>0</v>
      </c>
      <c r="BM307" s="65">
        <v>0</v>
      </c>
      <c r="BN307" s="65">
        <v>38.047592880417085</v>
      </c>
      <c r="BO307" s="65">
        <v>212.18019192</v>
      </c>
      <c r="BP307" s="260">
        <f t="shared" si="304"/>
        <v>992</v>
      </c>
      <c r="BQ307" s="65">
        <v>55.643826170954128</v>
      </c>
      <c r="BR307" s="65">
        <v>72.336943762853537</v>
      </c>
      <c r="BS307" s="65">
        <v>263.0637672339077</v>
      </c>
      <c r="BT307" s="65">
        <v>98.190936858316221</v>
      </c>
      <c r="BU307" s="65">
        <v>104.38903889615206</v>
      </c>
      <c r="BV307" s="144">
        <f t="shared" si="294"/>
        <v>173.81439587836766</v>
      </c>
      <c r="BW307" s="144">
        <f t="shared" si="295"/>
        <v>374.27789607167512</v>
      </c>
      <c r="BX307" s="144">
        <f t="shared" si="296"/>
        <v>95.869779728682289</v>
      </c>
      <c r="BY307" s="5"/>
      <c r="BZ307" s="66">
        <v>7254</v>
      </c>
      <c r="CA307" s="4"/>
      <c r="CB307" s="5"/>
      <c r="CC307" s="5"/>
      <c r="CD307" s="188">
        <v>4.9023166732340453</v>
      </c>
      <c r="CE307" s="5"/>
      <c r="CF307" s="133">
        <f t="shared" si="311"/>
        <v>1762.3333333333333</v>
      </c>
      <c r="CG307" s="70"/>
      <c r="CH307" s="70">
        <v>7440</v>
      </c>
      <c r="CI307" s="70"/>
      <c r="CJ307" s="63"/>
      <c r="CK307" s="8">
        <f t="shared" si="335"/>
        <v>28430.381207945135</v>
      </c>
      <c r="CL307" s="202">
        <f t="shared" si="315"/>
        <v>35730.60269088042</v>
      </c>
      <c r="CM307" s="202">
        <f t="shared" si="316"/>
        <v>35730.60269088042</v>
      </c>
      <c r="CN307" s="202">
        <f t="shared" si="317"/>
        <v>35730.60269088042</v>
      </c>
      <c r="CO307" s="9">
        <f t="shared" si="318"/>
        <v>34221.65490295802</v>
      </c>
      <c r="CP307" s="9">
        <f t="shared" si="319"/>
        <v>35965.499387430449</v>
      </c>
      <c r="CQ307" s="9">
        <f t="shared" si="320"/>
        <v>25491.15967489684</v>
      </c>
      <c r="CR307" s="202">
        <f t="shared" si="321"/>
        <v>35730.60269088042</v>
      </c>
      <c r="CS307" s="202">
        <f t="shared" si="322"/>
        <v>35730.60269088042</v>
      </c>
      <c r="CT307" s="202">
        <f t="shared" si="323"/>
        <v>35730.60269088042</v>
      </c>
      <c r="CU307" s="203">
        <f t="shared" si="324"/>
        <v>0.55688988104084325</v>
      </c>
      <c r="CV307" s="203">
        <f t="shared" si="325"/>
        <v>0.55688988104084325</v>
      </c>
      <c r="CW307" s="203">
        <f t="shared" si="326"/>
        <v>0.55688988104084325</v>
      </c>
      <c r="CX307" s="19">
        <f t="shared" si="327"/>
        <v>0.54621776126127408</v>
      </c>
      <c r="CY307" s="19">
        <f t="shared" si="328"/>
        <v>0.55850621274077605</v>
      </c>
      <c r="CZ307" s="19">
        <f t="shared" si="329"/>
        <v>0.47274538630642543</v>
      </c>
      <c r="DA307" s="203">
        <f t="shared" si="330"/>
        <v>0.55688988104084325</v>
      </c>
      <c r="DB307" s="203">
        <f t="shared" si="331"/>
        <v>0.55688988104084325</v>
      </c>
      <c r="DC307" s="203">
        <f t="shared" si="332"/>
        <v>0.55688988104084325</v>
      </c>
      <c r="DD307" s="65"/>
      <c r="DE307" s="66"/>
      <c r="DF307" s="66"/>
      <c r="DG307" s="66"/>
      <c r="DH307" s="66"/>
      <c r="DI307" s="66"/>
      <c r="DJ307" s="65"/>
      <c r="DK307" s="70"/>
      <c r="DL307" s="70"/>
      <c r="DM307" s="8">
        <f t="shared" si="333"/>
        <v>0</v>
      </c>
      <c r="DN307" s="8">
        <f t="shared" si="334"/>
        <v>28430.381207945135</v>
      </c>
      <c r="DO307" s="202">
        <f t="shared" si="263"/>
        <v>35730.60269088042</v>
      </c>
      <c r="DP307" s="202">
        <f t="shared" si="264"/>
        <v>35730.60269088042</v>
      </c>
      <c r="DQ307" s="202">
        <f t="shared" si="265"/>
        <v>35730.60269088042</v>
      </c>
      <c r="DR307" s="9">
        <f t="shared" si="266"/>
        <v>34221.65490295802</v>
      </c>
      <c r="DS307" s="9">
        <f t="shared" si="336"/>
        <v>35965.499387430449</v>
      </c>
      <c r="DT307" s="9">
        <f t="shared" si="267"/>
        <v>25491.15967489684</v>
      </c>
      <c r="DU307" s="202">
        <f t="shared" si="268"/>
        <v>35730.60269088042</v>
      </c>
      <c r="DV307" s="202">
        <f t="shared" si="269"/>
        <v>35730.60269088042</v>
      </c>
      <c r="DW307" s="202">
        <f t="shared" si="270"/>
        <v>35730.60269088042</v>
      </c>
      <c r="DX307" s="203">
        <f t="shared" si="271"/>
        <v>0.55688988104084325</v>
      </c>
      <c r="DY307" s="203">
        <f t="shared" si="272"/>
        <v>0.55688988104084325</v>
      </c>
      <c r="DZ307" s="203">
        <f t="shared" si="273"/>
        <v>0.55688988104084325</v>
      </c>
      <c r="EA307" s="19">
        <f t="shared" si="274"/>
        <v>0.54621776126127408</v>
      </c>
      <c r="EB307" s="19">
        <f t="shared" si="337"/>
        <v>0.55850621274077605</v>
      </c>
      <c r="EC307" s="19">
        <f t="shared" si="275"/>
        <v>0.47274538630642543</v>
      </c>
      <c r="ED307" s="203">
        <f t="shared" si="276"/>
        <v>0.55688988104084325</v>
      </c>
      <c r="EE307" s="203">
        <f t="shared" si="277"/>
        <v>0.55688988104084325</v>
      </c>
      <c r="EF307" s="203">
        <f t="shared" si="278"/>
        <v>0.55688988104084325</v>
      </c>
      <c r="EH307" s="58">
        <f t="shared" si="288"/>
        <v>24608.08920834526</v>
      </c>
      <c r="EI307" s="68">
        <f t="shared" si="289"/>
        <v>0.38213763024637365</v>
      </c>
      <c r="EJ307" s="58">
        <f t="shared" si="290"/>
        <v>20981.089208345264</v>
      </c>
      <c r="EK307" s="68">
        <f t="shared" si="289"/>
        <v>0.32581415168739791</v>
      </c>
      <c r="EL307" s="58">
        <f t="shared" si="291"/>
        <v>1746.6290952832474</v>
      </c>
      <c r="EM307" s="58">
        <f t="shared" si="292"/>
        <v>1842.4988750119296</v>
      </c>
      <c r="EN307" s="68">
        <f t="shared" si="293"/>
        <v>2.8612061174985218E-2</v>
      </c>
      <c r="EO307" s="139">
        <f t="shared" si="312"/>
        <v>0.32946562535829382</v>
      </c>
      <c r="EP307">
        <f>+(SUM(M307:O307)*EO307*(1-'[1]Tier 3 Data'!$A$2))</f>
        <v>282.78345869560832</v>
      </c>
    </row>
    <row r="308" spans="1:146" x14ac:dyDescent="0.2">
      <c r="A308" s="43">
        <v>0</v>
      </c>
      <c r="B308" s="43">
        <v>0</v>
      </c>
      <c r="C308" s="43">
        <v>0</v>
      </c>
      <c r="D308" s="70">
        <v>2033</v>
      </c>
      <c r="E308" s="70">
        <v>1</v>
      </c>
      <c r="F308" s="2">
        <v>744</v>
      </c>
      <c r="G308" s="133">
        <f t="shared" si="305"/>
        <v>50288.371285964553</v>
      </c>
      <c r="H308" s="65">
        <v>50288.371285964553</v>
      </c>
      <c r="I308" s="133">
        <f t="shared" si="306"/>
        <v>50288.371285964553</v>
      </c>
      <c r="J308" s="133">
        <f t="shared" si="285"/>
        <v>3853.5831874999981</v>
      </c>
      <c r="K308" s="65">
        <v>3853.5831874999981</v>
      </c>
      <c r="L308" s="133">
        <f t="shared" si="286"/>
        <v>3853.5831874999981</v>
      </c>
      <c r="M308" s="65">
        <v>350.79787520860157</v>
      </c>
      <c r="N308" s="65">
        <v>755.37984075477868</v>
      </c>
      <c r="O308" s="65">
        <v>193.7426428091315</v>
      </c>
      <c r="P308" s="200">
        <f t="shared" si="279"/>
        <v>46044.811990832801</v>
      </c>
      <c r="Q308" s="200">
        <f t="shared" si="280"/>
        <v>46044.811990832801</v>
      </c>
      <c r="R308" s="200">
        <f t="shared" si="281"/>
        <v>46044.811990832801</v>
      </c>
      <c r="S308" s="133">
        <f t="shared" si="307"/>
        <v>46376.665305621813</v>
      </c>
      <c r="T308" s="133">
        <f t="shared" si="308"/>
        <v>46376.665305621813</v>
      </c>
      <c r="U308" s="133">
        <f t="shared" si="309"/>
        <v>46376.665305621813</v>
      </c>
      <c r="V308" s="200">
        <f t="shared" si="282"/>
        <v>46044.811990832801</v>
      </c>
      <c r="W308" s="200">
        <f t="shared" si="283"/>
        <v>46044.811990832801</v>
      </c>
      <c r="X308" s="200">
        <f t="shared" si="284"/>
        <v>46044.811990832801</v>
      </c>
      <c r="Y308" s="65">
        <v>18796.696960728721</v>
      </c>
      <c r="Z308" s="65">
        <v>21116.535434804893</v>
      </c>
      <c r="AA308" s="65">
        <v>9817.448956394237</v>
      </c>
      <c r="AB308" s="200">
        <f t="shared" si="297"/>
        <v>67161.347425637694</v>
      </c>
      <c r="AC308" s="200">
        <f t="shared" si="298"/>
        <v>67161.347425637694</v>
      </c>
      <c r="AD308" s="200">
        <f t="shared" si="299"/>
        <v>67161.347425637694</v>
      </c>
      <c r="AE308" s="199">
        <f t="shared" si="338"/>
        <v>65173.362266350538</v>
      </c>
      <c r="AF308" s="199">
        <f t="shared" si="300"/>
        <v>67493.200740426706</v>
      </c>
      <c r="AG308" s="199">
        <f t="shared" si="339"/>
        <v>56194.114262016054</v>
      </c>
      <c r="AH308" s="199">
        <f t="shared" si="310"/>
        <v>61843.65750122138</v>
      </c>
      <c r="AI308" s="200">
        <f t="shared" si="301"/>
        <v>67161.347425637694</v>
      </c>
      <c r="AJ308" s="200">
        <f t="shared" si="302"/>
        <v>67161.347425637694</v>
      </c>
      <c r="AK308" s="200">
        <f t="shared" si="303"/>
        <v>67161.347425637694</v>
      </c>
      <c r="AL308" s="4"/>
      <c r="AM308" s="4"/>
      <c r="AN308" s="4"/>
      <c r="AO308" s="4"/>
      <c r="AP308" s="63"/>
      <c r="AQ308" s="18"/>
      <c r="AR308" s="18"/>
      <c r="AS308" s="66">
        <v>3395.12</v>
      </c>
      <c r="AT308" s="18"/>
      <c r="AU308" s="133">
        <f t="shared" si="313"/>
        <v>98.513999999999996</v>
      </c>
      <c r="AV308" s="133">
        <f t="shared" si="313"/>
        <v>3278.6750000000002</v>
      </c>
      <c r="AW308" s="63"/>
      <c r="AX308" s="63"/>
      <c r="AY308" s="63"/>
      <c r="AZ308" s="64"/>
      <c r="BA308" s="65">
        <v>1660.8</v>
      </c>
      <c r="BB308" s="5"/>
      <c r="BC308" s="65">
        <v>187.65082722949612</v>
      </c>
      <c r="BD308" s="65">
        <v>0</v>
      </c>
      <c r="BE308" s="65">
        <v>0</v>
      </c>
      <c r="BF308" s="65">
        <v>17.091620468604344</v>
      </c>
      <c r="BG308" s="65">
        <v>0</v>
      </c>
      <c r="BH308" s="65">
        <v>19.957712980450005</v>
      </c>
      <c r="BI308" s="65">
        <v>476.06991176380893</v>
      </c>
      <c r="BJ308" s="65">
        <v>0</v>
      </c>
      <c r="BK308" s="65">
        <v>22.517673403701547</v>
      </c>
      <c r="BL308" s="65">
        <v>0</v>
      </c>
      <c r="BM308" s="65">
        <v>0</v>
      </c>
      <c r="BN308" s="65">
        <v>33.291643770364956</v>
      </c>
      <c r="BO308" s="65">
        <v>212.18019192</v>
      </c>
      <c r="BP308" s="62"/>
      <c r="BQ308" s="65">
        <v>78.735492129422482</v>
      </c>
      <c r="BR308" s="65">
        <v>102.8705310831732</v>
      </c>
      <c r="BS308" s="65">
        <v>372.23306058092868</v>
      </c>
      <c r="BT308" s="65">
        <v>127.25803898790954</v>
      </c>
      <c r="BU308" s="65">
        <v>145.45196872411037</v>
      </c>
      <c r="BV308" s="144">
        <f t="shared" si="294"/>
        <v>245.55851264602109</v>
      </c>
      <c r="BW308" s="144">
        <f t="shared" si="295"/>
        <v>528.76588852834504</v>
      </c>
      <c r="BX308" s="144">
        <f t="shared" si="296"/>
        <v>135.61984996639202</v>
      </c>
      <c r="BY308" s="5"/>
      <c r="BZ308" s="66">
        <v>7254</v>
      </c>
      <c r="CA308" s="4"/>
      <c r="CB308" s="5"/>
      <c r="CC308" s="5"/>
      <c r="CD308" s="188">
        <v>2.5304839482857915</v>
      </c>
      <c r="CE308" s="5"/>
      <c r="CF308" s="133">
        <f t="shared" si="311"/>
        <v>1154.6666666666667</v>
      </c>
      <c r="CG308" s="70"/>
      <c r="CH308" s="70">
        <v>7440</v>
      </c>
      <c r="CI308" s="70"/>
      <c r="CJ308" s="63"/>
      <c r="CK308" s="8">
        <f t="shared" si="335"/>
        <v>26989.559074797678</v>
      </c>
      <c r="CL308" s="202">
        <f t="shared" si="315"/>
        <v>40171.788350840012</v>
      </c>
      <c r="CM308" s="202">
        <f t="shared" si="316"/>
        <v>40171.788350840012</v>
      </c>
      <c r="CN308" s="202">
        <f t="shared" si="317"/>
        <v>40171.788350840012</v>
      </c>
      <c r="CO308" s="9">
        <f t="shared" si="318"/>
        <v>38183.803191552855</v>
      </c>
      <c r="CP308" s="9">
        <f t="shared" si="319"/>
        <v>40503.641665629024</v>
      </c>
      <c r="CQ308" s="9">
        <f t="shared" si="320"/>
        <v>29204.555187218375</v>
      </c>
      <c r="CR308" s="202">
        <f t="shared" si="321"/>
        <v>40171.788350840012</v>
      </c>
      <c r="CS308" s="202">
        <f t="shared" si="322"/>
        <v>40171.788350840012</v>
      </c>
      <c r="CT308" s="202">
        <f t="shared" si="323"/>
        <v>40171.788350840012</v>
      </c>
      <c r="CU308" s="203">
        <f t="shared" si="324"/>
        <v>0.59813851107318794</v>
      </c>
      <c r="CV308" s="203">
        <f t="shared" si="325"/>
        <v>0.59813851107318794</v>
      </c>
      <c r="CW308" s="203">
        <f t="shared" si="326"/>
        <v>0.59813851107318794</v>
      </c>
      <c r="CX308" s="19">
        <f t="shared" si="327"/>
        <v>0.58588051718895928</v>
      </c>
      <c r="CY308" s="19">
        <f t="shared" si="328"/>
        <v>0.60011439998826988</v>
      </c>
      <c r="CZ308" s="19">
        <f t="shared" si="329"/>
        <v>0.51970843514049214</v>
      </c>
      <c r="DA308" s="203">
        <f t="shared" si="330"/>
        <v>0.59813851107318794</v>
      </c>
      <c r="DB308" s="203">
        <f t="shared" si="331"/>
        <v>0.59813851107318794</v>
      </c>
      <c r="DC308" s="203">
        <f t="shared" si="332"/>
        <v>0.59813851107318794</v>
      </c>
      <c r="DD308" s="65"/>
      <c r="DE308" s="66"/>
      <c r="DF308" s="66"/>
      <c r="DG308" s="66"/>
      <c r="DH308" s="66"/>
      <c r="DI308" s="66"/>
      <c r="DJ308" s="66"/>
      <c r="DK308" s="70"/>
      <c r="DL308" s="70"/>
      <c r="DM308" s="8">
        <f t="shared" si="333"/>
        <v>0</v>
      </c>
      <c r="DN308" s="8">
        <f t="shared" si="334"/>
        <v>26989.559074797678</v>
      </c>
      <c r="DO308" s="202">
        <f t="shared" si="263"/>
        <v>40171.788350840012</v>
      </c>
      <c r="DP308" s="202">
        <f t="shared" si="264"/>
        <v>40171.788350840012</v>
      </c>
      <c r="DQ308" s="202">
        <f t="shared" si="265"/>
        <v>40171.788350840012</v>
      </c>
      <c r="DR308" s="9">
        <f t="shared" si="266"/>
        <v>38183.803191552855</v>
      </c>
      <c r="DS308" s="9">
        <f t="shared" si="336"/>
        <v>40503.641665629024</v>
      </c>
      <c r="DT308" s="9">
        <f t="shared" si="267"/>
        <v>29204.555187218375</v>
      </c>
      <c r="DU308" s="202">
        <f t="shared" si="268"/>
        <v>40171.788350840012</v>
      </c>
      <c r="DV308" s="202">
        <f t="shared" si="269"/>
        <v>40171.788350840012</v>
      </c>
      <c r="DW308" s="202">
        <f t="shared" si="270"/>
        <v>40171.788350840012</v>
      </c>
      <c r="DX308" s="203">
        <f t="shared" si="271"/>
        <v>0.59813851107318794</v>
      </c>
      <c r="DY308" s="203">
        <f t="shared" si="272"/>
        <v>0.59813851107318794</v>
      </c>
      <c r="DZ308" s="203">
        <f t="shared" si="273"/>
        <v>0.59813851107318794</v>
      </c>
      <c r="EA308" s="19">
        <f t="shared" si="274"/>
        <v>0.58588051718895928</v>
      </c>
      <c r="EB308" s="19">
        <f t="shared" si="337"/>
        <v>0.60011439998826988</v>
      </c>
      <c r="EC308" s="19">
        <f t="shared" si="275"/>
        <v>0.51970843514049214</v>
      </c>
      <c r="ED308" s="203">
        <f t="shared" si="276"/>
        <v>0.59813851107318794</v>
      </c>
      <c r="EE308" s="203">
        <f t="shared" si="277"/>
        <v>0.59813851107318794</v>
      </c>
      <c r="EF308" s="203">
        <f t="shared" si="278"/>
        <v>0.59813851107318794</v>
      </c>
      <c r="EH308" s="58">
        <f t="shared" si="288"/>
        <v>23097.378457734772</v>
      </c>
      <c r="EI308" s="68">
        <f t="shared" si="289"/>
        <v>0.3422178560854654</v>
      </c>
      <c r="EJ308" s="58">
        <f t="shared" si="290"/>
        <v>19470.378457734769</v>
      </c>
      <c r="EK308" s="68">
        <f t="shared" si="289"/>
        <v>0.28847910966048629</v>
      </c>
      <c r="EL308" s="58">
        <f t="shared" si="291"/>
        <v>2306.9829411017108</v>
      </c>
      <c r="EM308" s="58">
        <f t="shared" si="292"/>
        <v>2442.6027910681028</v>
      </c>
      <c r="EN308" s="68">
        <f t="shared" si="293"/>
        <v>3.6190353461856874E-2</v>
      </c>
      <c r="EO308" s="139">
        <f t="shared" si="312"/>
        <v>0.32527353469126524</v>
      </c>
      <c r="EP308">
        <f>+(SUM(M308:O308)*EO308*(1-'[1]Tier 3 Data'!$A$2))</f>
        <v>394.50010069076274</v>
      </c>
    </row>
    <row r="309" spans="1:146" x14ac:dyDescent="0.2">
      <c r="A309" s="43">
        <v>0</v>
      </c>
      <c r="B309" s="43">
        <v>0</v>
      </c>
      <c r="C309" s="43">
        <v>0</v>
      </c>
      <c r="D309" s="70">
        <v>2033</v>
      </c>
      <c r="E309" s="70">
        <v>2</v>
      </c>
      <c r="F309" s="2">
        <v>672</v>
      </c>
      <c r="G309" s="133">
        <f t="shared" si="305"/>
        <v>45479.128216852092</v>
      </c>
      <c r="H309" s="65">
        <v>45479.128216852092</v>
      </c>
      <c r="I309" s="133">
        <f t="shared" si="306"/>
        <v>45479.128216852092</v>
      </c>
      <c r="J309" s="133">
        <f t="shared" si="285"/>
        <v>3893.4486249999982</v>
      </c>
      <c r="K309" s="65">
        <v>3893.4486249999982</v>
      </c>
      <c r="L309" s="133">
        <f t="shared" si="286"/>
        <v>3893.4486249999982</v>
      </c>
      <c r="M309" s="65">
        <v>758.12758719225985</v>
      </c>
      <c r="N309" s="65">
        <v>1632.4907776153254</v>
      </c>
      <c r="O309" s="65">
        <v>418.97624072467238</v>
      </c>
      <c r="P309" s="200">
        <f t="shared" si="279"/>
        <v>40742.801210192418</v>
      </c>
      <c r="Q309" s="200">
        <f t="shared" si="280"/>
        <v>40742.801210192418</v>
      </c>
      <c r="R309" s="200">
        <f t="shared" si="281"/>
        <v>40742.801210192418</v>
      </c>
      <c r="S309" s="133">
        <f t="shared" si="307"/>
        <v>41459.98671963469</v>
      </c>
      <c r="T309" s="133">
        <f t="shared" si="308"/>
        <v>41459.98671963469</v>
      </c>
      <c r="U309" s="133">
        <f t="shared" si="309"/>
        <v>41459.98671963469</v>
      </c>
      <c r="V309" s="200">
        <f t="shared" si="282"/>
        <v>40742.801210192418</v>
      </c>
      <c r="W309" s="200">
        <f t="shared" si="283"/>
        <v>40742.801210192418</v>
      </c>
      <c r="X309" s="200">
        <f t="shared" si="284"/>
        <v>40742.801210192418</v>
      </c>
      <c r="Y309" s="65">
        <v>17609.873858846084</v>
      </c>
      <c r="Z309" s="65">
        <v>18881.541336222966</v>
      </c>
      <c r="AA309" s="65">
        <v>8990.7548990338728</v>
      </c>
      <c r="AB309" s="200">
        <f t="shared" si="297"/>
        <v>59624.342546415384</v>
      </c>
      <c r="AC309" s="200">
        <f t="shared" si="298"/>
        <v>59624.342546415384</v>
      </c>
      <c r="AD309" s="200">
        <f t="shared" si="299"/>
        <v>59624.342546415384</v>
      </c>
      <c r="AE309" s="199">
        <f t="shared" si="338"/>
        <v>59069.860578480773</v>
      </c>
      <c r="AF309" s="199">
        <f t="shared" si="300"/>
        <v>60341.528055857656</v>
      </c>
      <c r="AG309" s="199">
        <f t="shared" si="339"/>
        <v>50450.741618668559</v>
      </c>
      <c r="AH309" s="199">
        <f t="shared" si="310"/>
        <v>55396.134837263104</v>
      </c>
      <c r="AI309" s="200">
        <f t="shared" si="301"/>
        <v>59624.342546415384</v>
      </c>
      <c r="AJ309" s="200">
        <f t="shared" si="302"/>
        <v>59624.342546415384</v>
      </c>
      <c r="AK309" s="200">
        <f t="shared" si="303"/>
        <v>59624.342546415384</v>
      </c>
      <c r="AL309" s="4"/>
      <c r="AM309" s="4"/>
      <c r="AN309" s="4"/>
      <c r="AO309" s="4"/>
      <c r="AP309" s="63"/>
      <c r="AQ309" s="18"/>
      <c r="AR309" s="18"/>
      <c r="AS309" s="66">
        <v>3066.56</v>
      </c>
      <c r="AT309" s="18"/>
      <c r="AU309" s="133">
        <f t="shared" si="313"/>
        <v>92.897999999999996</v>
      </c>
      <c r="AV309" s="133">
        <f t="shared" si="313"/>
        <v>3057.587</v>
      </c>
      <c r="AW309" s="63"/>
      <c r="AX309" s="63"/>
      <c r="AY309" s="63"/>
      <c r="AZ309" s="64"/>
      <c r="BA309" s="65">
        <v>853.7</v>
      </c>
      <c r="BB309" s="5"/>
      <c r="BC309" s="65">
        <v>233.87491436180096</v>
      </c>
      <c r="BD309" s="65">
        <v>0</v>
      </c>
      <c r="BE309" s="65">
        <v>0</v>
      </c>
      <c r="BF309" s="65">
        <v>16.688576650472424</v>
      </c>
      <c r="BG309" s="65">
        <v>0</v>
      </c>
      <c r="BH309" s="65">
        <v>11.404407417400003</v>
      </c>
      <c r="BI309" s="65">
        <v>593.34036245852292</v>
      </c>
      <c r="BJ309" s="65">
        <v>0</v>
      </c>
      <c r="BK309" s="65">
        <v>19.256201566846642</v>
      </c>
      <c r="BL309" s="65">
        <v>0</v>
      </c>
      <c r="BM309" s="65">
        <v>0</v>
      </c>
      <c r="BN309" s="65">
        <v>19.023796440208542</v>
      </c>
      <c r="BO309" s="65">
        <v>191.64662496000003</v>
      </c>
      <c r="BP309" s="62"/>
      <c r="BQ309" s="65">
        <v>97.954083495905337</v>
      </c>
      <c r="BR309" s="65">
        <v>127.98019152174125</v>
      </c>
      <c r="BS309" s="65">
        <v>463.09140013207548</v>
      </c>
      <c r="BT309" s="65">
        <v>163.22493197450939</v>
      </c>
      <c r="BU309" s="65">
        <v>176.0857513623078</v>
      </c>
      <c r="BV309" s="144">
        <f t="shared" si="294"/>
        <v>530.68931103458192</v>
      </c>
      <c r="BW309" s="144">
        <f t="shared" si="295"/>
        <v>1142.7435443307277</v>
      </c>
      <c r="BX309" s="144">
        <f t="shared" si="296"/>
        <v>293.28336850727067</v>
      </c>
      <c r="BY309" s="5"/>
      <c r="BZ309" s="66">
        <v>6552</v>
      </c>
      <c r="CA309" s="4"/>
      <c r="CB309" s="5"/>
      <c r="CC309" s="5"/>
      <c r="CD309" s="188">
        <v>3.1195892150124847</v>
      </c>
      <c r="CE309" s="5"/>
      <c r="CF309" s="133">
        <f t="shared" si="311"/>
        <v>667.66666666666663</v>
      </c>
      <c r="CG309" s="70"/>
      <c r="CH309" s="70">
        <v>6720</v>
      </c>
      <c r="CI309" s="70"/>
      <c r="CJ309" s="63"/>
      <c r="CK309" s="8">
        <f t="shared" si="335"/>
        <v>25093.818722096054</v>
      </c>
      <c r="CL309" s="202">
        <f t="shared" si="315"/>
        <v>34530.523824319331</v>
      </c>
      <c r="CM309" s="202">
        <f t="shared" si="316"/>
        <v>34530.523824319331</v>
      </c>
      <c r="CN309" s="202">
        <f t="shared" si="317"/>
        <v>34530.523824319331</v>
      </c>
      <c r="CO309" s="9">
        <f t="shared" si="318"/>
        <v>33976.04185638472</v>
      </c>
      <c r="CP309" s="9">
        <f t="shared" si="319"/>
        <v>35247.709333761602</v>
      </c>
      <c r="CQ309" s="9">
        <f t="shared" si="320"/>
        <v>25356.922896572505</v>
      </c>
      <c r="CR309" s="202">
        <f t="shared" si="321"/>
        <v>34530.523824319331</v>
      </c>
      <c r="CS309" s="202">
        <f t="shared" si="322"/>
        <v>34530.523824319331</v>
      </c>
      <c r="CT309" s="202">
        <f t="shared" si="323"/>
        <v>34530.523824319331</v>
      </c>
      <c r="CU309" s="203">
        <f t="shared" si="324"/>
        <v>0.57913466798293955</v>
      </c>
      <c r="CV309" s="203">
        <f t="shared" si="325"/>
        <v>0.57913466798293955</v>
      </c>
      <c r="CW309" s="203">
        <f t="shared" si="326"/>
        <v>0.57913466798293955</v>
      </c>
      <c r="CX309" s="19">
        <f t="shared" si="327"/>
        <v>0.57518405365531255</v>
      </c>
      <c r="CY309" s="19">
        <f t="shared" si="328"/>
        <v>0.58413683692486351</v>
      </c>
      <c r="CZ309" s="19">
        <f t="shared" si="329"/>
        <v>0.50260753525156399</v>
      </c>
      <c r="DA309" s="203">
        <f t="shared" si="330"/>
        <v>0.57913466798293955</v>
      </c>
      <c r="DB309" s="203">
        <f t="shared" si="331"/>
        <v>0.57913466798293955</v>
      </c>
      <c r="DC309" s="203">
        <f t="shared" si="332"/>
        <v>0.57913466798293955</v>
      </c>
      <c r="DD309" s="65"/>
      <c r="DE309" s="66"/>
      <c r="DF309" s="66"/>
      <c r="DG309" s="66"/>
      <c r="DH309" s="66"/>
      <c r="DI309" s="66"/>
      <c r="DJ309" s="66"/>
      <c r="DK309" s="70"/>
      <c r="DL309" s="70"/>
      <c r="DM309" s="8">
        <f t="shared" si="333"/>
        <v>0</v>
      </c>
      <c r="DN309" s="8">
        <f t="shared" si="334"/>
        <v>25093.818722096054</v>
      </c>
      <c r="DO309" s="202">
        <f t="shared" si="263"/>
        <v>34530.523824319331</v>
      </c>
      <c r="DP309" s="202">
        <f t="shared" si="264"/>
        <v>34530.523824319331</v>
      </c>
      <c r="DQ309" s="202">
        <f t="shared" si="265"/>
        <v>34530.523824319331</v>
      </c>
      <c r="DR309" s="9">
        <f t="shared" si="266"/>
        <v>33976.04185638472</v>
      </c>
      <c r="DS309" s="9">
        <f t="shared" si="336"/>
        <v>35247.709333761602</v>
      </c>
      <c r="DT309" s="9">
        <f t="shared" si="267"/>
        <v>25356.922896572505</v>
      </c>
      <c r="DU309" s="202">
        <f t="shared" si="268"/>
        <v>34530.523824319331</v>
      </c>
      <c r="DV309" s="202">
        <f t="shared" si="269"/>
        <v>34530.523824319331</v>
      </c>
      <c r="DW309" s="202">
        <f t="shared" si="270"/>
        <v>34530.523824319331</v>
      </c>
      <c r="DX309" s="203">
        <f t="shared" si="271"/>
        <v>0.57913466798293955</v>
      </c>
      <c r="DY309" s="203">
        <f t="shared" si="272"/>
        <v>0.57913466798293955</v>
      </c>
      <c r="DZ309" s="203">
        <f t="shared" si="273"/>
        <v>0.57913466798293955</v>
      </c>
      <c r="EA309" s="19">
        <f t="shared" si="274"/>
        <v>0.57518405365531255</v>
      </c>
      <c r="EB309" s="19">
        <f t="shared" si="337"/>
        <v>0.58413683692486351</v>
      </c>
      <c r="EC309" s="19">
        <f t="shared" si="275"/>
        <v>0.50260753525156399</v>
      </c>
      <c r="ED309" s="203">
        <f t="shared" si="276"/>
        <v>0.57913466798293955</v>
      </c>
      <c r="EE309" s="203">
        <f t="shared" si="277"/>
        <v>0.57913466798293955</v>
      </c>
      <c r="EF309" s="203">
        <f t="shared" si="278"/>
        <v>0.57913466798293955</v>
      </c>
      <c r="EH309" s="58">
        <f t="shared" si="288"/>
        <v>21267.321245195988</v>
      </c>
      <c r="EI309" s="68">
        <f t="shared" si="289"/>
        <v>0.35244916611175314</v>
      </c>
      <c r="EJ309" s="58">
        <f t="shared" si="290"/>
        <v>17991.321245195984</v>
      </c>
      <c r="EK309" s="68">
        <f t="shared" si="289"/>
        <v>0.29815819759389528</v>
      </c>
      <c r="EL309" s="58">
        <f t="shared" si="291"/>
        <v>3239.6262100220461</v>
      </c>
      <c r="EM309" s="58">
        <f t="shared" si="292"/>
        <v>3532.9095785293166</v>
      </c>
      <c r="EN309" s="68">
        <f t="shared" si="293"/>
        <v>5.8548560044070004E-2</v>
      </c>
      <c r="EO309" s="139">
        <f t="shared" si="312"/>
        <v>0.3126447604730192</v>
      </c>
      <c r="EP309">
        <f>+(SUM(M309:O309)*EO309*(1-'[1]Tier 3 Data'!$A$2))</f>
        <v>819.55189529723395</v>
      </c>
    </row>
    <row r="310" spans="1:146" x14ac:dyDescent="0.2">
      <c r="A310" s="43">
        <v>0</v>
      </c>
      <c r="B310" s="43">
        <v>0</v>
      </c>
      <c r="C310" s="43">
        <v>0</v>
      </c>
      <c r="D310" s="70">
        <v>2033</v>
      </c>
      <c r="E310" s="70">
        <v>3</v>
      </c>
      <c r="F310" s="2">
        <v>743</v>
      </c>
      <c r="G310" s="133">
        <f t="shared" si="305"/>
        <v>47658.409841831824</v>
      </c>
      <c r="H310" s="65">
        <v>47658.409841831824</v>
      </c>
      <c r="I310" s="133">
        <f t="shared" si="306"/>
        <v>47658.409841831824</v>
      </c>
      <c r="J310" s="133">
        <f t="shared" si="285"/>
        <v>3933.3140624999983</v>
      </c>
      <c r="K310" s="65">
        <v>3933.3140624999983</v>
      </c>
      <c r="L310" s="133">
        <f t="shared" si="286"/>
        <v>3933.3140624999983</v>
      </c>
      <c r="M310" s="65">
        <v>1050.2026341606518</v>
      </c>
      <c r="N310" s="65">
        <v>2261.4216180208796</v>
      </c>
      <c r="O310" s="65">
        <v>580.93243856899801</v>
      </c>
      <c r="P310" s="200">
        <f t="shared" si="279"/>
        <v>42557.328772106666</v>
      </c>
      <c r="Q310" s="200">
        <f t="shared" si="280"/>
        <v>42557.328772106666</v>
      </c>
      <c r="R310" s="200">
        <f t="shared" si="281"/>
        <v>42557.328772106666</v>
      </c>
      <c r="S310" s="133">
        <f t="shared" si="307"/>
        <v>43550.816047761124</v>
      </c>
      <c r="T310" s="133">
        <f t="shared" si="308"/>
        <v>43550.816047761124</v>
      </c>
      <c r="U310" s="133">
        <f t="shared" si="309"/>
        <v>43550.816047761124</v>
      </c>
      <c r="V310" s="200">
        <f t="shared" si="282"/>
        <v>42557.328772106666</v>
      </c>
      <c r="W310" s="200">
        <f t="shared" si="283"/>
        <v>42557.328772106666</v>
      </c>
      <c r="X310" s="200">
        <f t="shared" si="284"/>
        <v>42557.328772106666</v>
      </c>
      <c r="Y310" s="65">
        <v>16149.493452640792</v>
      </c>
      <c r="Z310" s="65">
        <v>16854.544312822207</v>
      </c>
      <c r="AA310" s="65">
        <v>8179.093311595745</v>
      </c>
      <c r="AB310" s="200">
        <f t="shared" si="297"/>
        <v>59411.87308492887</v>
      </c>
      <c r="AC310" s="200">
        <f t="shared" si="298"/>
        <v>59411.87308492887</v>
      </c>
      <c r="AD310" s="200">
        <f t="shared" si="299"/>
        <v>59411.87308492887</v>
      </c>
      <c r="AE310" s="199">
        <f t="shared" si="338"/>
        <v>59700.309500401912</v>
      </c>
      <c r="AF310" s="199">
        <f t="shared" si="300"/>
        <v>60405.360360583334</v>
      </c>
      <c r="AG310" s="199">
        <f t="shared" si="339"/>
        <v>51729.909359356869</v>
      </c>
      <c r="AH310" s="199">
        <f t="shared" si="310"/>
        <v>56067.634859970101</v>
      </c>
      <c r="AI310" s="200">
        <f t="shared" si="301"/>
        <v>59411.87308492887</v>
      </c>
      <c r="AJ310" s="200">
        <f t="shared" si="302"/>
        <v>59411.87308492887</v>
      </c>
      <c r="AK310" s="200">
        <f t="shared" si="303"/>
        <v>59411.87308492887</v>
      </c>
      <c r="AL310" s="4"/>
      <c r="AM310" s="4"/>
      <c r="AN310" s="4"/>
      <c r="AO310" s="4"/>
      <c r="AP310" s="63"/>
      <c r="AQ310" s="18"/>
      <c r="AR310" s="18"/>
      <c r="AS310" s="66">
        <v>3395.12</v>
      </c>
      <c r="AT310" s="18"/>
      <c r="AU310" s="133">
        <f t="shared" si="313"/>
        <v>87.516000000000005</v>
      </c>
      <c r="AV310" s="133">
        <f t="shared" si="313"/>
        <v>3232.7139999999999</v>
      </c>
      <c r="AW310" s="63"/>
      <c r="AX310" s="63"/>
      <c r="AY310" s="63"/>
      <c r="AZ310" s="64"/>
      <c r="BA310" s="65">
        <v>2416.2429999999999</v>
      </c>
      <c r="BB310" s="5"/>
      <c r="BC310" s="65">
        <v>449.53123898462314</v>
      </c>
      <c r="BD310" s="65">
        <v>0</v>
      </c>
      <c r="BE310" s="65">
        <v>0</v>
      </c>
      <c r="BF310" s="65">
        <v>18.271865409505512</v>
      </c>
      <c r="BG310" s="65">
        <v>0</v>
      </c>
      <c r="BH310" s="65">
        <v>19.957712980450005</v>
      </c>
      <c r="BI310" s="65">
        <v>1140.4601857510293</v>
      </c>
      <c r="BJ310" s="65">
        <v>0</v>
      </c>
      <c r="BK310" s="65">
        <v>19.397174608663349</v>
      </c>
      <c r="BL310" s="65">
        <v>0</v>
      </c>
      <c r="BM310" s="65">
        <v>0</v>
      </c>
      <c r="BN310" s="65">
        <v>33.291643770364956</v>
      </c>
      <c r="BO310" s="65">
        <v>212.18019192</v>
      </c>
      <c r="BP310" s="62"/>
      <c r="BQ310" s="65">
        <v>136.32777145170138</v>
      </c>
      <c r="BR310" s="65">
        <v>178.11663392692751</v>
      </c>
      <c r="BS310" s="65">
        <v>644.50819032080256</v>
      </c>
      <c r="BT310" s="65">
        <v>216.02432938387648</v>
      </c>
      <c r="BU310" s="65">
        <v>251.04009455165789</v>
      </c>
      <c r="BV310" s="144">
        <f t="shared" si="294"/>
        <v>735.14184391245624</v>
      </c>
      <c r="BW310" s="144">
        <f t="shared" si="295"/>
        <v>1582.9951326146156</v>
      </c>
      <c r="BX310" s="144">
        <f t="shared" si="296"/>
        <v>406.65270699829858</v>
      </c>
      <c r="BY310" s="5"/>
      <c r="BZ310" s="66">
        <v>7244.25</v>
      </c>
      <c r="CA310" s="4"/>
      <c r="CB310" s="5"/>
      <c r="CC310" s="5"/>
      <c r="CD310" s="188">
        <v>13.157281760074044</v>
      </c>
      <c r="CE310" s="5"/>
      <c r="CF310" s="133">
        <f t="shared" si="311"/>
        <v>1476.3333333333333</v>
      </c>
      <c r="CG310" s="70"/>
      <c r="CH310" s="70">
        <v>5942</v>
      </c>
      <c r="CI310" s="70"/>
      <c r="CJ310" s="63"/>
      <c r="CK310" s="8">
        <f t="shared" si="335"/>
        <v>29851.23033167838</v>
      </c>
      <c r="CL310" s="202">
        <f t="shared" si="315"/>
        <v>29560.642753250489</v>
      </c>
      <c r="CM310" s="202">
        <f t="shared" si="316"/>
        <v>29560.642753250489</v>
      </c>
      <c r="CN310" s="202">
        <f t="shared" si="317"/>
        <v>29560.642753250489</v>
      </c>
      <c r="CO310" s="9">
        <f t="shared" si="318"/>
        <v>29849.079168723532</v>
      </c>
      <c r="CP310" s="9">
        <f t="shared" si="319"/>
        <v>30554.130028904954</v>
      </c>
      <c r="CQ310" s="9">
        <f t="shared" si="320"/>
        <v>21878.679027678489</v>
      </c>
      <c r="CR310" s="202">
        <f t="shared" si="321"/>
        <v>29560.642753250489</v>
      </c>
      <c r="CS310" s="202">
        <f t="shared" si="322"/>
        <v>29560.642753250489</v>
      </c>
      <c r="CT310" s="202">
        <f t="shared" si="323"/>
        <v>29560.642753250489</v>
      </c>
      <c r="CU310" s="203">
        <f t="shared" si="324"/>
        <v>0.49755446543477516</v>
      </c>
      <c r="CV310" s="203">
        <f t="shared" si="325"/>
        <v>0.49755446543477516</v>
      </c>
      <c r="CW310" s="203">
        <f t="shared" si="326"/>
        <v>0.49755446543477516</v>
      </c>
      <c r="CX310" s="19">
        <f t="shared" si="327"/>
        <v>0.49998198365324359</v>
      </c>
      <c r="CY310" s="19">
        <f t="shared" si="328"/>
        <v>0.50581818975195814</v>
      </c>
      <c r="CZ310" s="19">
        <f t="shared" si="329"/>
        <v>0.42294060242193504</v>
      </c>
      <c r="DA310" s="203">
        <f t="shared" si="330"/>
        <v>0.49755446543477516</v>
      </c>
      <c r="DB310" s="203">
        <f t="shared" si="331"/>
        <v>0.49755446543477516</v>
      </c>
      <c r="DC310" s="203">
        <f t="shared" si="332"/>
        <v>0.49755446543477516</v>
      </c>
      <c r="DD310" s="65"/>
      <c r="DE310" s="66"/>
      <c r="DF310" s="66"/>
      <c r="DG310" s="66"/>
      <c r="DH310" s="66"/>
      <c r="DI310" s="66"/>
      <c r="DJ310" s="66"/>
      <c r="DK310" s="70"/>
      <c r="DL310" s="70"/>
      <c r="DM310" s="8">
        <f t="shared" si="333"/>
        <v>0</v>
      </c>
      <c r="DN310" s="8">
        <f t="shared" si="334"/>
        <v>29851.23033167838</v>
      </c>
      <c r="DO310" s="202">
        <f t="shared" si="263"/>
        <v>29560.642753250489</v>
      </c>
      <c r="DP310" s="202">
        <f t="shared" si="264"/>
        <v>29560.642753250489</v>
      </c>
      <c r="DQ310" s="202">
        <f t="shared" si="265"/>
        <v>29560.642753250489</v>
      </c>
      <c r="DR310" s="9">
        <f t="shared" si="266"/>
        <v>29849.079168723532</v>
      </c>
      <c r="DS310" s="9">
        <f t="shared" si="336"/>
        <v>30554.130028904954</v>
      </c>
      <c r="DT310" s="9">
        <f t="shared" si="267"/>
        <v>21878.679027678489</v>
      </c>
      <c r="DU310" s="202">
        <f t="shared" si="268"/>
        <v>29560.642753250489</v>
      </c>
      <c r="DV310" s="202">
        <f t="shared" si="269"/>
        <v>29560.642753250489</v>
      </c>
      <c r="DW310" s="202">
        <f t="shared" si="270"/>
        <v>29560.642753250489</v>
      </c>
      <c r="DX310" s="203">
        <f t="shared" si="271"/>
        <v>0.49755446543477516</v>
      </c>
      <c r="DY310" s="203">
        <f t="shared" si="272"/>
        <v>0.49755446543477516</v>
      </c>
      <c r="DZ310" s="203">
        <f t="shared" si="273"/>
        <v>0.49755446543477516</v>
      </c>
      <c r="EA310" s="19">
        <f t="shared" si="274"/>
        <v>0.49998198365324359</v>
      </c>
      <c r="EB310" s="19">
        <f t="shared" si="337"/>
        <v>0.50581818975195814</v>
      </c>
      <c r="EC310" s="19">
        <f t="shared" si="275"/>
        <v>0.42294060242193504</v>
      </c>
      <c r="ED310" s="203">
        <f t="shared" si="276"/>
        <v>0.49755446543477516</v>
      </c>
      <c r="EE310" s="203">
        <f t="shared" si="277"/>
        <v>0.49755446543477516</v>
      </c>
      <c r="EF310" s="203">
        <f t="shared" si="278"/>
        <v>0.49755446543477516</v>
      </c>
      <c r="EH310" s="58">
        <f t="shared" si="288"/>
        <v>25462.534340596343</v>
      </c>
      <c r="EI310" s="68">
        <f t="shared" si="289"/>
        <v>0.42152772847642112</v>
      </c>
      <c r="EJ310" s="58">
        <f t="shared" si="290"/>
        <v>21840.409340596343</v>
      </c>
      <c r="EK310" s="68">
        <f t="shared" si="289"/>
        <v>0.36156409315700389</v>
      </c>
      <c r="EL310" s="58">
        <f t="shared" si="291"/>
        <v>4883.8303002647126</v>
      </c>
      <c r="EM310" s="58">
        <f t="shared" si="292"/>
        <v>5290.4830072630111</v>
      </c>
      <c r="EN310" s="68">
        <f t="shared" si="293"/>
        <v>8.7583005476368964E-2</v>
      </c>
      <c r="EO310" s="139">
        <f t="shared" si="312"/>
        <v>0.32861286969700848</v>
      </c>
      <c r="EP310">
        <f>+(SUM(M310:O310)*EO310*(1-'[1]Tier 3 Data'!$A$2))</f>
        <v>1193.441561557232</v>
      </c>
    </row>
    <row r="311" spans="1:146" x14ac:dyDescent="0.2">
      <c r="A311" s="43">
        <v>0</v>
      </c>
      <c r="B311" s="43">
        <v>0</v>
      </c>
      <c r="C311" s="43">
        <v>0</v>
      </c>
      <c r="D311" s="70">
        <v>2033</v>
      </c>
      <c r="E311" s="70">
        <v>4</v>
      </c>
      <c r="F311" s="2">
        <v>720</v>
      </c>
      <c r="G311" s="133">
        <f t="shared" si="305"/>
        <v>40049.658365555493</v>
      </c>
      <c r="H311" s="65">
        <v>40049.658365555493</v>
      </c>
      <c r="I311" s="133">
        <f t="shared" si="306"/>
        <v>40049.658365555493</v>
      </c>
      <c r="J311" s="133">
        <f t="shared" si="285"/>
        <v>3973.1794999999984</v>
      </c>
      <c r="K311" s="65">
        <v>3973.1794999999984</v>
      </c>
      <c r="L311" s="133">
        <f t="shared" si="286"/>
        <v>3973.1794999999984</v>
      </c>
      <c r="M311" s="65">
        <v>1418.2286880453187</v>
      </c>
      <c r="N311" s="65">
        <v>3053.8992287010965</v>
      </c>
      <c r="O311" s="65">
        <v>785.68855916748419</v>
      </c>
      <c r="P311" s="200">
        <f t="shared" si="279"/>
        <v>34499.133922781322</v>
      </c>
      <c r="Q311" s="200">
        <f t="shared" si="280"/>
        <v>34499.133922781322</v>
      </c>
      <c r="R311" s="200">
        <f t="shared" si="281"/>
        <v>34499.133922781322</v>
      </c>
      <c r="S311" s="133">
        <f t="shared" si="307"/>
        <v>35840.772297805248</v>
      </c>
      <c r="T311" s="133">
        <f t="shared" si="308"/>
        <v>35840.772297805248</v>
      </c>
      <c r="U311" s="133">
        <f t="shared" si="309"/>
        <v>35840.772297805248</v>
      </c>
      <c r="V311" s="200">
        <f t="shared" si="282"/>
        <v>34499.133922781322</v>
      </c>
      <c r="W311" s="200">
        <f t="shared" si="283"/>
        <v>34499.133922781322</v>
      </c>
      <c r="X311" s="200">
        <f t="shared" si="284"/>
        <v>34499.133922781322</v>
      </c>
      <c r="Y311" s="65">
        <v>13864.964583221739</v>
      </c>
      <c r="Z311" s="65">
        <v>13402.104876722635</v>
      </c>
      <c r="AA311" s="65">
        <v>6767.010148001149</v>
      </c>
      <c r="AB311" s="200">
        <f t="shared" si="297"/>
        <v>47901.238799503961</v>
      </c>
      <c r="AC311" s="200">
        <f t="shared" si="298"/>
        <v>47901.238799503961</v>
      </c>
      <c r="AD311" s="200">
        <f t="shared" si="299"/>
        <v>47901.238799503961</v>
      </c>
      <c r="AE311" s="199">
        <f t="shared" si="338"/>
        <v>49705.736881026984</v>
      </c>
      <c r="AF311" s="199">
        <f t="shared" si="300"/>
        <v>49242.877174527879</v>
      </c>
      <c r="AG311" s="199">
        <f t="shared" si="339"/>
        <v>42607.782445806399</v>
      </c>
      <c r="AH311" s="199">
        <f t="shared" si="310"/>
        <v>46156.759663416691</v>
      </c>
      <c r="AI311" s="200">
        <f t="shared" si="301"/>
        <v>47901.238799503961</v>
      </c>
      <c r="AJ311" s="200">
        <f t="shared" si="302"/>
        <v>47901.238799503961</v>
      </c>
      <c r="AK311" s="200">
        <f t="shared" si="303"/>
        <v>47901.238799503961</v>
      </c>
      <c r="AL311" s="4"/>
      <c r="AM311" s="4"/>
      <c r="AN311" s="4"/>
      <c r="AO311" s="4"/>
      <c r="AP311" s="63"/>
      <c r="AQ311" s="18"/>
      <c r="AR311" s="18"/>
      <c r="AS311" s="66">
        <v>3285.6</v>
      </c>
      <c r="AT311" s="18"/>
      <c r="AU311" s="133">
        <f t="shared" si="313"/>
        <v>96.057000000000002</v>
      </c>
      <c r="AV311" s="133">
        <f t="shared" si="313"/>
        <v>3017.9659999999999</v>
      </c>
      <c r="AW311" s="63"/>
      <c r="AX311" s="63"/>
      <c r="AY311" s="63"/>
      <c r="AZ311" s="64"/>
      <c r="BA311" s="65">
        <v>1366.578</v>
      </c>
      <c r="BB311" s="5"/>
      <c r="BC311" s="65">
        <v>567.6650303146555</v>
      </c>
      <c r="BD311" s="65">
        <v>0</v>
      </c>
      <c r="BE311" s="65">
        <v>0</v>
      </c>
      <c r="BF311" s="65">
        <v>17.227206688318891</v>
      </c>
      <c r="BG311" s="65">
        <v>0</v>
      </c>
      <c r="BH311" s="65">
        <v>62.724240795700005</v>
      </c>
      <c r="BI311" s="65">
        <v>1440.1654652062136</v>
      </c>
      <c r="BJ311" s="65">
        <v>0</v>
      </c>
      <c r="BK311" s="65">
        <v>19.984033847071771</v>
      </c>
      <c r="BL311" s="65">
        <v>0</v>
      </c>
      <c r="BM311" s="65">
        <v>0</v>
      </c>
      <c r="BN311" s="65">
        <v>104.63088042114697</v>
      </c>
      <c r="BO311" s="65">
        <v>205.33566960000002</v>
      </c>
      <c r="BP311" s="62"/>
      <c r="BQ311" s="65">
        <v>145.57983871196916</v>
      </c>
      <c r="BR311" s="65">
        <v>190.20479820775842</v>
      </c>
      <c r="BS311" s="65">
        <v>688.24874653285485</v>
      </c>
      <c r="BT311" s="65">
        <v>239.20077738548682</v>
      </c>
      <c r="BU311" s="65">
        <v>256.8467695664113</v>
      </c>
      <c r="BV311" s="144">
        <f t="shared" si="294"/>
        <v>992.76008163172298</v>
      </c>
      <c r="BW311" s="144">
        <f t="shared" si="295"/>
        <v>2137.7294600907676</v>
      </c>
      <c r="BX311" s="144">
        <f t="shared" si="296"/>
        <v>549.98199141723887</v>
      </c>
      <c r="BY311" s="5"/>
      <c r="BZ311" s="66">
        <v>7020</v>
      </c>
      <c r="CA311" s="4"/>
      <c r="CB311" s="5"/>
      <c r="CC311" s="5"/>
      <c r="CD311" s="188">
        <v>2.3725527527096357</v>
      </c>
      <c r="CE311" s="5"/>
      <c r="CF311" s="133">
        <f t="shared" si="311"/>
        <v>2495.3333333333335</v>
      </c>
      <c r="CG311" s="70"/>
      <c r="CH311" s="70">
        <v>4704</v>
      </c>
      <c r="CI311" s="70"/>
      <c r="CJ311" s="63"/>
      <c r="CK311" s="8">
        <f t="shared" si="335"/>
        <v>29606.191876503355</v>
      </c>
      <c r="CL311" s="202">
        <f t="shared" si="315"/>
        <v>18295.046923000606</v>
      </c>
      <c r="CM311" s="202">
        <f t="shared" si="316"/>
        <v>18295.046923000606</v>
      </c>
      <c r="CN311" s="202">
        <f t="shared" si="317"/>
        <v>18295.046923000606</v>
      </c>
      <c r="CO311" s="9">
        <f t="shared" si="318"/>
        <v>20099.545004523628</v>
      </c>
      <c r="CP311" s="9">
        <f t="shared" si="319"/>
        <v>19636.685298024524</v>
      </c>
      <c r="CQ311" s="9">
        <f t="shared" si="320"/>
        <v>13001.590569303044</v>
      </c>
      <c r="CR311" s="202">
        <f t="shared" si="321"/>
        <v>18295.046923000606</v>
      </c>
      <c r="CS311" s="202">
        <f t="shared" si="322"/>
        <v>18295.046923000606</v>
      </c>
      <c r="CT311" s="202">
        <f t="shared" si="323"/>
        <v>18295.046923000606</v>
      </c>
      <c r="CU311" s="203">
        <f t="shared" si="324"/>
        <v>0.3819326468690421</v>
      </c>
      <c r="CV311" s="203">
        <f t="shared" si="325"/>
        <v>0.3819326468690421</v>
      </c>
      <c r="CW311" s="203">
        <f t="shared" si="326"/>
        <v>0.3819326468690421</v>
      </c>
      <c r="CX311" s="19">
        <f t="shared" si="327"/>
        <v>0.40437072792287204</v>
      </c>
      <c r="CY311" s="19">
        <f t="shared" si="328"/>
        <v>0.39877209506722516</v>
      </c>
      <c r="CZ311" s="19">
        <f t="shared" si="329"/>
        <v>0.30514591051153622</v>
      </c>
      <c r="DA311" s="203">
        <f t="shared" si="330"/>
        <v>0.3819326468690421</v>
      </c>
      <c r="DB311" s="203">
        <f t="shared" si="331"/>
        <v>0.3819326468690421</v>
      </c>
      <c r="DC311" s="203">
        <f t="shared" si="332"/>
        <v>0.3819326468690421</v>
      </c>
      <c r="DD311" s="65"/>
      <c r="DE311" s="66"/>
      <c r="DF311" s="66"/>
      <c r="DG311" s="66"/>
      <c r="DH311" s="66"/>
      <c r="DI311" s="66"/>
      <c r="DJ311" s="66"/>
      <c r="DK311" s="70"/>
      <c r="DL311" s="70"/>
      <c r="DM311" s="8">
        <f t="shared" si="333"/>
        <v>0</v>
      </c>
      <c r="DN311" s="8">
        <f t="shared" si="334"/>
        <v>29606.191876503355</v>
      </c>
      <c r="DO311" s="202">
        <f t="shared" si="263"/>
        <v>18295.046923000606</v>
      </c>
      <c r="DP311" s="202">
        <f t="shared" si="264"/>
        <v>18295.046923000606</v>
      </c>
      <c r="DQ311" s="202">
        <f t="shared" si="265"/>
        <v>18295.046923000606</v>
      </c>
      <c r="DR311" s="9">
        <f t="shared" si="266"/>
        <v>20099.545004523628</v>
      </c>
      <c r="DS311" s="9">
        <f t="shared" si="336"/>
        <v>19636.685298024524</v>
      </c>
      <c r="DT311" s="9">
        <f t="shared" si="267"/>
        <v>13001.590569303044</v>
      </c>
      <c r="DU311" s="202">
        <f t="shared" si="268"/>
        <v>18295.046923000606</v>
      </c>
      <c r="DV311" s="202">
        <f t="shared" si="269"/>
        <v>18295.046923000606</v>
      </c>
      <c r="DW311" s="202">
        <f t="shared" si="270"/>
        <v>18295.046923000606</v>
      </c>
      <c r="DX311" s="203">
        <f t="shared" si="271"/>
        <v>0.3819326468690421</v>
      </c>
      <c r="DY311" s="203">
        <f t="shared" si="272"/>
        <v>0.3819326468690421</v>
      </c>
      <c r="DZ311" s="203">
        <f t="shared" si="273"/>
        <v>0.3819326468690421</v>
      </c>
      <c r="EA311" s="19">
        <f t="shared" si="274"/>
        <v>0.40437072792287204</v>
      </c>
      <c r="EB311" s="19">
        <f t="shared" si="337"/>
        <v>0.39877209506722516</v>
      </c>
      <c r="EC311" s="19">
        <f t="shared" si="275"/>
        <v>0.30514591051153622</v>
      </c>
      <c r="ED311" s="203">
        <f t="shared" si="276"/>
        <v>0.3819326468690421</v>
      </c>
      <c r="EE311" s="203">
        <f t="shared" si="277"/>
        <v>0.3819326468690421</v>
      </c>
      <c r="EF311" s="203">
        <f t="shared" si="278"/>
        <v>0.3819326468690421</v>
      </c>
      <c r="EH311" s="58">
        <f t="shared" si="288"/>
        <v>25083.832035430605</v>
      </c>
      <c r="EI311" s="68">
        <f t="shared" si="289"/>
        <v>0.50939005750065824</v>
      </c>
      <c r="EJ311" s="58">
        <f t="shared" si="290"/>
        <v>21573.832035430605</v>
      </c>
      <c r="EK311" s="68">
        <f t="shared" si="289"/>
        <v>0.43811071312848093</v>
      </c>
      <c r="EL311" s="58">
        <f t="shared" si="291"/>
        <v>6058.3157106800354</v>
      </c>
      <c r="EM311" s="58">
        <f t="shared" si="292"/>
        <v>6608.2977020972739</v>
      </c>
      <c r="EN311" s="68">
        <f t="shared" si="293"/>
        <v>0.13419804205745278</v>
      </c>
      <c r="EO311" s="139">
        <f t="shared" si="312"/>
        <v>0.35351678044029999</v>
      </c>
      <c r="EP311">
        <f>+(SUM(M311:O311)*EO311*(1-'[1]Tier 3 Data'!$A$2))</f>
        <v>1734.1916870794062</v>
      </c>
    </row>
    <row r="312" spans="1:146" x14ac:dyDescent="0.2">
      <c r="A312" s="43">
        <v>0</v>
      </c>
      <c r="B312" s="43">
        <v>0</v>
      </c>
      <c r="C312" s="43">
        <v>0</v>
      </c>
      <c r="D312" s="70">
        <v>2033</v>
      </c>
      <c r="E312" s="70">
        <v>5</v>
      </c>
      <c r="F312" s="2">
        <v>744</v>
      </c>
      <c r="G312" s="133">
        <f t="shared" si="305"/>
        <v>38180.07959369215</v>
      </c>
      <c r="H312" s="65">
        <v>38180.07959369215</v>
      </c>
      <c r="I312" s="133">
        <f t="shared" si="306"/>
        <v>38180.07959369215</v>
      </c>
      <c r="J312" s="133">
        <f t="shared" si="285"/>
        <v>4013.0449374999985</v>
      </c>
      <c r="K312" s="65">
        <v>4013.0449374999985</v>
      </c>
      <c r="L312" s="133">
        <f t="shared" si="286"/>
        <v>4013.0449374999985</v>
      </c>
      <c r="M312" s="65">
        <v>1750.7817988213781</v>
      </c>
      <c r="N312" s="65">
        <v>3769.9922657844818</v>
      </c>
      <c r="O312" s="65">
        <v>971.52704299450875</v>
      </c>
      <c r="P312" s="200">
        <f t="shared" si="279"/>
        <v>32219.344323912042</v>
      </c>
      <c r="Q312" s="200">
        <f t="shared" si="280"/>
        <v>32219.344323912042</v>
      </c>
      <c r="R312" s="200">
        <f t="shared" si="281"/>
        <v>32219.344323912042</v>
      </c>
      <c r="S312" s="133">
        <f t="shared" si="307"/>
        <v>33875.576543293799</v>
      </c>
      <c r="T312" s="133">
        <f t="shared" si="308"/>
        <v>33875.576543293799</v>
      </c>
      <c r="U312" s="133">
        <f t="shared" si="309"/>
        <v>33875.576543293799</v>
      </c>
      <c r="V312" s="200">
        <f t="shared" si="282"/>
        <v>32219.344323912042</v>
      </c>
      <c r="W312" s="200">
        <f t="shared" si="283"/>
        <v>32219.344323912042</v>
      </c>
      <c r="X312" s="200">
        <f t="shared" si="284"/>
        <v>32219.344323912042</v>
      </c>
      <c r="Y312" s="65">
        <v>11281.654817059489</v>
      </c>
      <c r="Z312" s="65">
        <v>10119.579161835305</v>
      </c>
      <c r="AA312" s="65">
        <v>5359.5483400048352</v>
      </c>
      <c r="AB312" s="200">
        <f t="shared" si="297"/>
        <v>42338.923485747349</v>
      </c>
      <c r="AC312" s="200">
        <f t="shared" si="298"/>
        <v>42338.923485747349</v>
      </c>
      <c r="AD312" s="200">
        <f t="shared" si="299"/>
        <v>42338.923485747349</v>
      </c>
      <c r="AE312" s="199">
        <f t="shared" si="338"/>
        <v>45157.231360353289</v>
      </c>
      <c r="AF312" s="199">
        <f t="shared" si="300"/>
        <v>43995.155705129102</v>
      </c>
      <c r="AG312" s="199">
        <f t="shared" si="339"/>
        <v>39235.124883298631</v>
      </c>
      <c r="AH312" s="199">
        <f t="shared" si="310"/>
        <v>42196.178121825957</v>
      </c>
      <c r="AI312" s="200">
        <f t="shared" si="301"/>
        <v>42338.923485747349</v>
      </c>
      <c r="AJ312" s="200">
        <f t="shared" si="302"/>
        <v>42338.923485747349</v>
      </c>
      <c r="AK312" s="200">
        <f t="shared" si="303"/>
        <v>42338.923485747349</v>
      </c>
      <c r="AL312" s="4"/>
      <c r="AM312" s="4"/>
      <c r="AN312" s="4"/>
      <c r="AO312" s="4"/>
      <c r="AP312" s="63"/>
      <c r="AQ312" s="18"/>
      <c r="AR312" s="18"/>
      <c r="AS312" s="66">
        <v>3395.12</v>
      </c>
      <c r="AT312" s="18"/>
      <c r="AU312" s="133">
        <f t="shared" si="313"/>
        <v>109.161</v>
      </c>
      <c r="AV312" s="133">
        <f t="shared" si="313"/>
        <v>3327.41</v>
      </c>
      <c r="AW312" s="63"/>
      <c r="AX312" s="63"/>
      <c r="AY312" s="63"/>
      <c r="AZ312" s="64"/>
      <c r="BA312" s="65">
        <v>1570</v>
      </c>
      <c r="BB312" s="5"/>
      <c r="BC312" s="65">
        <v>570.10748354622444</v>
      </c>
      <c r="BD312" s="65">
        <v>0</v>
      </c>
      <c r="BE312" s="65">
        <v>0</v>
      </c>
      <c r="BF312" s="65">
        <v>17.551866716723836</v>
      </c>
      <c r="BG312" s="65">
        <v>0</v>
      </c>
      <c r="BH312" s="65">
        <v>39.915425960900009</v>
      </c>
      <c r="BI312" s="65">
        <v>1446.3619659709991</v>
      </c>
      <c r="BJ312" s="65">
        <v>0</v>
      </c>
      <c r="BK312" s="65">
        <v>12.751667915526451</v>
      </c>
      <c r="BL312" s="65">
        <v>0</v>
      </c>
      <c r="BM312" s="65">
        <v>0</v>
      </c>
      <c r="BN312" s="65">
        <v>66.583287540729913</v>
      </c>
      <c r="BO312" s="65">
        <v>212.18019192</v>
      </c>
      <c r="BP312" s="62"/>
      <c r="BQ312" s="65">
        <v>167.65720202456285</v>
      </c>
      <c r="BR312" s="65">
        <v>219.04956862891729</v>
      </c>
      <c r="BS312" s="65">
        <v>792.62244066407675</v>
      </c>
      <c r="BT312" s="65">
        <v>247.2122851510621</v>
      </c>
      <c r="BU312" s="65">
        <v>293.73026953407918</v>
      </c>
      <c r="BV312" s="144">
        <f t="shared" si="294"/>
        <v>1225.5472591749647</v>
      </c>
      <c r="BW312" s="144">
        <f t="shared" si="295"/>
        <v>2638.9945860491371</v>
      </c>
      <c r="BX312" s="144">
        <f t="shared" si="296"/>
        <v>680.06893009615612</v>
      </c>
      <c r="BY312" s="5"/>
      <c r="BZ312" s="66">
        <v>7254</v>
      </c>
      <c r="CA312" s="4"/>
      <c r="CB312" s="5"/>
      <c r="CC312" s="5"/>
      <c r="CD312" s="188">
        <v>1.4538432884059718E-2</v>
      </c>
      <c r="CE312" s="5"/>
      <c r="CF312" s="133">
        <f t="shared" si="311"/>
        <v>1762.6666666666667</v>
      </c>
      <c r="CG312" s="70"/>
      <c r="CH312" s="70">
        <v>2480</v>
      </c>
      <c r="CI312" s="70"/>
      <c r="CJ312" s="63"/>
      <c r="CK312" s="8">
        <f t="shared" si="335"/>
        <v>28528.706635993607</v>
      </c>
      <c r="CL312" s="202">
        <f t="shared" si="315"/>
        <v>13810.216849753742</v>
      </c>
      <c r="CM312" s="202">
        <f t="shared" si="316"/>
        <v>13810.216849753742</v>
      </c>
      <c r="CN312" s="202">
        <f t="shared" si="317"/>
        <v>13810.216849753742</v>
      </c>
      <c r="CO312" s="9">
        <f t="shared" si="318"/>
        <v>16628.524724359682</v>
      </c>
      <c r="CP312" s="9">
        <f t="shared" si="319"/>
        <v>15466.449069135495</v>
      </c>
      <c r="CQ312" s="9">
        <f t="shared" si="320"/>
        <v>10706.418247305024</v>
      </c>
      <c r="CR312" s="202">
        <f t="shared" si="321"/>
        <v>13810.216849753742</v>
      </c>
      <c r="CS312" s="202">
        <f t="shared" si="322"/>
        <v>13810.216849753742</v>
      </c>
      <c r="CT312" s="202">
        <f t="shared" si="323"/>
        <v>13810.216849753742</v>
      </c>
      <c r="CU312" s="203">
        <f t="shared" si="324"/>
        <v>0.32618252219857946</v>
      </c>
      <c r="CV312" s="203">
        <f t="shared" si="325"/>
        <v>0.32618252219857946</v>
      </c>
      <c r="CW312" s="203">
        <f t="shared" si="326"/>
        <v>0.32618252219857946</v>
      </c>
      <c r="CX312" s="19">
        <f t="shared" si="327"/>
        <v>0.36823614343546834</v>
      </c>
      <c r="CY312" s="19">
        <f t="shared" si="328"/>
        <v>0.35154891081184114</v>
      </c>
      <c r="CZ312" s="19">
        <f t="shared" si="329"/>
        <v>0.27287840370459654</v>
      </c>
      <c r="DA312" s="203">
        <f t="shared" si="330"/>
        <v>0.32618252219857946</v>
      </c>
      <c r="DB312" s="203">
        <f t="shared" si="331"/>
        <v>0.32618252219857946</v>
      </c>
      <c r="DC312" s="203">
        <f t="shared" si="332"/>
        <v>0.32618252219857946</v>
      </c>
      <c r="DD312" s="65"/>
      <c r="DE312" s="66"/>
      <c r="DF312" s="66"/>
      <c r="DG312" s="66"/>
      <c r="DH312" s="66"/>
      <c r="DI312" s="66"/>
      <c r="DJ312" s="66"/>
      <c r="DK312" s="70"/>
      <c r="DL312" s="70"/>
      <c r="DM312" s="8">
        <f t="shared" si="333"/>
        <v>0</v>
      </c>
      <c r="DN312" s="8">
        <f t="shared" si="334"/>
        <v>28528.706635993607</v>
      </c>
      <c r="DO312" s="202">
        <f t="shared" ref="DO312:DO375" si="340">+AB312-$DN312</f>
        <v>13810.216849753742</v>
      </c>
      <c r="DP312" s="202">
        <f t="shared" ref="DP312:DP375" si="341">+AC312-$DN312</f>
        <v>13810.216849753742</v>
      </c>
      <c r="DQ312" s="202">
        <f t="shared" ref="DQ312:DQ375" si="342">+AD312-$DN312</f>
        <v>13810.216849753742</v>
      </c>
      <c r="DR312" s="9">
        <f t="shared" ref="DR312:DR375" si="343">+AE312-$DN312</f>
        <v>16628.524724359682</v>
      </c>
      <c r="DS312" s="9">
        <f t="shared" si="336"/>
        <v>15466.449069135495</v>
      </c>
      <c r="DT312" s="9">
        <f t="shared" ref="DT312:DT375" si="344">+AG312-$DN312</f>
        <v>10706.418247305024</v>
      </c>
      <c r="DU312" s="202">
        <f t="shared" ref="DU312:DU375" si="345">+AI312-$DN312</f>
        <v>13810.216849753742</v>
      </c>
      <c r="DV312" s="202">
        <f t="shared" ref="DV312:DV375" si="346">+AJ312-$DN312</f>
        <v>13810.216849753742</v>
      </c>
      <c r="DW312" s="202">
        <f t="shared" ref="DW312:DW375" si="347">+AK312-$DN312</f>
        <v>13810.216849753742</v>
      </c>
      <c r="DX312" s="203">
        <f t="shared" ref="DX312:DX375" si="348">+DO312/AB312</f>
        <v>0.32618252219857946</v>
      </c>
      <c r="DY312" s="203">
        <f t="shared" ref="DY312:DY375" si="349">+DP312/AC312</f>
        <v>0.32618252219857946</v>
      </c>
      <c r="DZ312" s="203">
        <f t="shared" ref="DZ312:DZ375" si="350">+DQ312/AD312</f>
        <v>0.32618252219857946</v>
      </c>
      <c r="EA312" s="19">
        <f t="shared" ref="EA312:EA375" si="351">+DR312/AE312</f>
        <v>0.36823614343546834</v>
      </c>
      <c r="EB312" s="19">
        <f t="shared" si="337"/>
        <v>0.35154891081184114</v>
      </c>
      <c r="EC312" s="19">
        <f t="shared" ref="EC312:EC375" si="352">+DT312/AG312</f>
        <v>0.27287840370459654</v>
      </c>
      <c r="ED312" s="203">
        <f t="shared" ref="ED312:ED375" si="353">+DU312/AI312</f>
        <v>0.32618252219857946</v>
      </c>
      <c r="EE312" s="203">
        <f t="shared" ref="EE312:EE375" si="354">+DV312/AJ312</f>
        <v>0.32618252219857946</v>
      </c>
      <c r="EF312" s="203">
        <f t="shared" ref="EF312:EF375" si="355">+DW312/AK312</f>
        <v>0.32618252219857946</v>
      </c>
      <c r="EH312" s="58">
        <f t="shared" si="288"/>
        <v>23658.592971669037</v>
      </c>
      <c r="EI312" s="68">
        <f t="shared" si="289"/>
        <v>0.53775450029628691</v>
      </c>
      <c r="EJ312" s="58">
        <f t="shared" si="290"/>
        <v>20031.592971669037</v>
      </c>
      <c r="EK312" s="68">
        <f t="shared" si="289"/>
        <v>0.45531360556893513</v>
      </c>
      <c r="EL312" s="58">
        <f t="shared" si="291"/>
        <v>6707.1663749062154</v>
      </c>
      <c r="EM312" s="58">
        <f t="shared" si="292"/>
        <v>7387.2353050023712</v>
      </c>
      <c r="EN312" s="68">
        <f t="shared" si="293"/>
        <v>0.16791019798893775</v>
      </c>
      <c r="EO312" s="139">
        <f t="shared" si="312"/>
        <v>0.28868615856523006</v>
      </c>
      <c r="EP312">
        <f>+(SUM(M312:O312)*EO312*(1-'[1]Tier 3 Data'!$A$2))</f>
        <v>1748.6635567128089</v>
      </c>
    </row>
    <row r="313" spans="1:146" x14ac:dyDescent="0.2">
      <c r="A313" s="43">
        <v>0</v>
      </c>
      <c r="B313" s="43">
        <v>0</v>
      </c>
      <c r="C313" s="43">
        <v>0</v>
      </c>
      <c r="D313" s="70">
        <v>2033</v>
      </c>
      <c r="E313" s="70">
        <v>6</v>
      </c>
      <c r="F313" s="2">
        <v>720</v>
      </c>
      <c r="G313" s="133">
        <f t="shared" si="305"/>
        <v>40596.851047560005</v>
      </c>
      <c r="H313" s="65">
        <v>40596.851047560005</v>
      </c>
      <c r="I313" s="133">
        <f t="shared" si="306"/>
        <v>40596.851047560005</v>
      </c>
      <c r="J313" s="133">
        <f t="shared" si="285"/>
        <v>4052.9103749999986</v>
      </c>
      <c r="K313" s="65">
        <v>4052.9103749999986</v>
      </c>
      <c r="L313" s="133">
        <f t="shared" si="286"/>
        <v>4052.9103749999986</v>
      </c>
      <c r="M313" s="65">
        <v>1630.7561929849653</v>
      </c>
      <c r="N313" s="65">
        <v>3511.538810303055</v>
      </c>
      <c r="O313" s="65">
        <v>907.86969720737829</v>
      </c>
      <c r="P313" s="200">
        <f t="shared" si="279"/>
        <v>34728.891262411387</v>
      </c>
      <c r="Q313" s="200">
        <f t="shared" si="280"/>
        <v>34728.891262411387</v>
      </c>
      <c r="R313" s="200">
        <f t="shared" si="281"/>
        <v>34728.891262411387</v>
      </c>
      <c r="S313" s="133">
        <f t="shared" si="307"/>
        <v>36271.579763397793</v>
      </c>
      <c r="T313" s="133">
        <f t="shared" si="308"/>
        <v>36271.579763397793</v>
      </c>
      <c r="U313" s="133">
        <f t="shared" si="309"/>
        <v>36271.579763397793</v>
      </c>
      <c r="V313" s="200">
        <f t="shared" si="282"/>
        <v>34728.891262411387</v>
      </c>
      <c r="W313" s="200">
        <f t="shared" si="283"/>
        <v>34728.891262411387</v>
      </c>
      <c r="X313" s="200">
        <f t="shared" si="284"/>
        <v>34728.891262411387</v>
      </c>
      <c r="Y313" s="65">
        <v>11921.363146008822</v>
      </c>
      <c r="Z313" s="65">
        <v>10991.636209177008</v>
      </c>
      <c r="AA313" s="65">
        <v>5884.0466668208392</v>
      </c>
      <c r="AB313" s="200">
        <f t="shared" si="297"/>
        <v>45720.527471588393</v>
      </c>
      <c r="AC313" s="200">
        <f t="shared" si="298"/>
        <v>45720.527471588393</v>
      </c>
      <c r="AD313" s="200">
        <f t="shared" si="299"/>
        <v>45720.527471588393</v>
      </c>
      <c r="AE313" s="199">
        <f t="shared" si="338"/>
        <v>48192.942909406614</v>
      </c>
      <c r="AF313" s="199">
        <f t="shared" si="300"/>
        <v>47263.215972574799</v>
      </c>
      <c r="AG313" s="199">
        <f t="shared" si="339"/>
        <v>42155.626430218632</v>
      </c>
      <c r="AH313" s="199">
        <f t="shared" si="310"/>
        <v>45174.284669812623</v>
      </c>
      <c r="AI313" s="200">
        <f t="shared" si="301"/>
        <v>45720.527471588393</v>
      </c>
      <c r="AJ313" s="200">
        <f t="shared" si="302"/>
        <v>45720.527471588393</v>
      </c>
      <c r="AK313" s="200">
        <f t="shared" si="303"/>
        <v>45720.527471588393</v>
      </c>
      <c r="AL313" s="4"/>
      <c r="AM313" s="4"/>
      <c r="AN313" s="4"/>
      <c r="AO313" s="4"/>
      <c r="AP313" s="63"/>
      <c r="AQ313" s="18"/>
      <c r="AR313" s="18"/>
      <c r="AS313" s="66">
        <v>3285.6</v>
      </c>
      <c r="AT313" s="18"/>
      <c r="AU313" s="133">
        <f t="shared" si="313"/>
        <v>128.934</v>
      </c>
      <c r="AV313" s="133">
        <f t="shared" si="313"/>
        <v>3110.2840000000001</v>
      </c>
      <c r="AW313" s="63"/>
      <c r="AX313" s="63"/>
      <c r="AY313" s="63"/>
      <c r="AZ313" s="64"/>
      <c r="BA313" s="65">
        <v>2058.0909999999999</v>
      </c>
      <c r="BB313" s="5"/>
      <c r="BC313" s="65">
        <v>605.91554170888298</v>
      </c>
      <c r="BD313" s="65">
        <v>0</v>
      </c>
      <c r="BE313" s="65">
        <v>0</v>
      </c>
      <c r="BF313" s="65">
        <v>15.411746004359404</v>
      </c>
      <c r="BG313" s="65">
        <v>0</v>
      </c>
      <c r="BH313" s="65">
        <v>17.106611126099999</v>
      </c>
      <c r="BI313" s="65">
        <v>1537.2069643204168</v>
      </c>
      <c r="BJ313" s="65">
        <v>0</v>
      </c>
      <c r="BK313" s="65">
        <v>11.763509963764358</v>
      </c>
      <c r="BL313" s="65">
        <v>0</v>
      </c>
      <c r="BM313" s="65">
        <v>0</v>
      </c>
      <c r="BN313" s="65">
        <v>28.535694660312817</v>
      </c>
      <c r="BO313" s="65">
        <v>205.33566960000002</v>
      </c>
      <c r="BP313" s="62"/>
      <c r="BQ313" s="65">
        <v>163.00617715008761</v>
      </c>
      <c r="BR313" s="65">
        <v>212.97289305620208</v>
      </c>
      <c r="BS313" s="65">
        <v>770.63421942455409</v>
      </c>
      <c r="BT313" s="65">
        <v>258.76446491792217</v>
      </c>
      <c r="BU313" s="65">
        <v>286.04972003574346</v>
      </c>
      <c r="BV313" s="144">
        <f t="shared" si="294"/>
        <v>1141.5293350894756</v>
      </c>
      <c r="BW313" s="144">
        <f t="shared" si="295"/>
        <v>2458.0771672121382</v>
      </c>
      <c r="BX313" s="144">
        <f t="shared" si="296"/>
        <v>635.50878804516481</v>
      </c>
      <c r="BY313" s="5"/>
      <c r="BZ313" s="66">
        <v>7020</v>
      </c>
      <c r="CA313" s="4"/>
      <c r="CB313" s="5"/>
      <c r="CC313" s="5"/>
      <c r="CD313" s="188">
        <v>2.1777775833862054</v>
      </c>
      <c r="CE313" s="5"/>
      <c r="CF313" s="133">
        <f t="shared" si="311"/>
        <v>680.66666666666663</v>
      </c>
      <c r="CG313" s="70"/>
      <c r="CH313" s="70">
        <v>4416</v>
      </c>
      <c r="CI313" s="70"/>
      <c r="CJ313" s="63"/>
      <c r="CK313" s="8">
        <f t="shared" si="335"/>
        <v>29049.571946565178</v>
      </c>
      <c r="CL313" s="202">
        <f t="shared" si="315"/>
        <v>16670.955525023215</v>
      </c>
      <c r="CM313" s="202">
        <f t="shared" si="316"/>
        <v>16670.955525023215</v>
      </c>
      <c r="CN313" s="202">
        <f t="shared" si="317"/>
        <v>16670.955525023215</v>
      </c>
      <c r="CO313" s="9">
        <f t="shared" si="318"/>
        <v>19143.370962841436</v>
      </c>
      <c r="CP313" s="9">
        <f t="shared" si="319"/>
        <v>18213.644026009621</v>
      </c>
      <c r="CQ313" s="9">
        <f t="shared" si="320"/>
        <v>13106.054483653454</v>
      </c>
      <c r="CR313" s="202">
        <f t="shared" si="321"/>
        <v>16670.955525023215</v>
      </c>
      <c r="CS313" s="202">
        <f t="shared" si="322"/>
        <v>16670.955525023215</v>
      </c>
      <c r="CT313" s="202">
        <f t="shared" si="323"/>
        <v>16670.955525023215</v>
      </c>
      <c r="CU313" s="203">
        <f t="shared" si="324"/>
        <v>0.3646273664577222</v>
      </c>
      <c r="CV313" s="203">
        <f t="shared" si="325"/>
        <v>0.3646273664577222</v>
      </c>
      <c r="CW313" s="203">
        <f t="shared" si="326"/>
        <v>0.3646273664577222</v>
      </c>
      <c r="CX313" s="19">
        <f t="shared" si="327"/>
        <v>0.39722353123002391</v>
      </c>
      <c r="CY313" s="19">
        <f t="shared" si="328"/>
        <v>0.38536615952199199</v>
      </c>
      <c r="CZ313" s="19">
        <f t="shared" si="329"/>
        <v>0.31089692156154447</v>
      </c>
      <c r="DA313" s="203">
        <f t="shared" si="330"/>
        <v>0.3646273664577222</v>
      </c>
      <c r="DB313" s="203">
        <f t="shared" si="331"/>
        <v>0.3646273664577222</v>
      </c>
      <c r="DC313" s="203">
        <f t="shared" si="332"/>
        <v>0.3646273664577222</v>
      </c>
      <c r="DD313" s="65"/>
      <c r="DE313" s="66"/>
      <c r="DF313" s="66"/>
      <c r="DG313" s="66"/>
      <c r="DH313" s="66"/>
      <c r="DI313" s="66"/>
      <c r="DJ313" s="66"/>
      <c r="DK313" s="70"/>
      <c r="DL313" s="70"/>
      <c r="DM313" s="8">
        <f t="shared" si="333"/>
        <v>0</v>
      </c>
      <c r="DN313" s="8">
        <f t="shared" si="334"/>
        <v>29049.571946565178</v>
      </c>
      <c r="DO313" s="202">
        <f t="shared" si="340"/>
        <v>16670.955525023215</v>
      </c>
      <c r="DP313" s="202">
        <f t="shared" si="341"/>
        <v>16670.955525023215</v>
      </c>
      <c r="DQ313" s="202">
        <f t="shared" si="342"/>
        <v>16670.955525023215</v>
      </c>
      <c r="DR313" s="9">
        <f t="shared" si="343"/>
        <v>19143.370962841436</v>
      </c>
      <c r="DS313" s="9">
        <f t="shared" si="336"/>
        <v>18213.644026009621</v>
      </c>
      <c r="DT313" s="9">
        <f t="shared" si="344"/>
        <v>13106.054483653454</v>
      </c>
      <c r="DU313" s="202">
        <f t="shared" si="345"/>
        <v>16670.955525023215</v>
      </c>
      <c r="DV313" s="202">
        <f t="shared" si="346"/>
        <v>16670.955525023215</v>
      </c>
      <c r="DW313" s="202">
        <f t="shared" si="347"/>
        <v>16670.955525023215</v>
      </c>
      <c r="DX313" s="203">
        <f t="shared" si="348"/>
        <v>0.3646273664577222</v>
      </c>
      <c r="DY313" s="203">
        <f t="shared" si="349"/>
        <v>0.3646273664577222</v>
      </c>
      <c r="DZ313" s="203">
        <f t="shared" si="350"/>
        <v>0.3646273664577222</v>
      </c>
      <c r="EA313" s="19">
        <f t="shared" si="351"/>
        <v>0.39722353123002391</v>
      </c>
      <c r="EB313" s="19">
        <f t="shared" si="337"/>
        <v>0.38536615952199199</v>
      </c>
      <c r="EC313" s="19">
        <f t="shared" si="352"/>
        <v>0.31089692156154447</v>
      </c>
      <c r="ED313" s="203">
        <f t="shared" si="353"/>
        <v>0.3646273664577222</v>
      </c>
      <c r="EE313" s="203">
        <f t="shared" si="354"/>
        <v>0.3646273664577222</v>
      </c>
      <c r="EF313" s="203">
        <f t="shared" si="355"/>
        <v>0.3646273664577222</v>
      </c>
      <c r="EH313" s="58">
        <f t="shared" si="288"/>
        <v>24380.453087887956</v>
      </c>
      <c r="EI313" s="68">
        <f t="shared" si="289"/>
        <v>0.51584414192286632</v>
      </c>
      <c r="EJ313" s="58">
        <f t="shared" si="290"/>
        <v>20870.453087887956</v>
      </c>
      <c r="EK313" s="68">
        <f t="shared" si="289"/>
        <v>0.44157919977342114</v>
      </c>
      <c r="EL313" s="58">
        <f t="shared" si="291"/>
        <v>6555.3686331761237</v>
      </c>
      <c r="EM313" s="58">
        <f t="shared" si="292"/>
        <v>7190.8774212212884</v>
      </c>
      <c r="EN313" s="68">
        <f t="shared" si="293"/>
        <v>0.15214532640762118</v>
      </c>
      <c r="EO313" s="139">
        <f t="shared" si="312"/>
        <v>0.24029016665052916</v>
      </c>
      <c r="EP313">
        <f>+(SUM(M313:O313)*EO313*(1-'[1]Tier 3 Data'!$A$2))</f>
        <v>1356.3908135074607</v>
      </c>
    </row>
    <row r="314" spans="1:146" x14ac:dyDescent="0.2">
      <c r="A314" s="43">
        <v>0</v>
      </c>
      <c r="B314" s="43">
        <v>0</v>
      </c>
      <c r="C314" s="43">
        <v>0</v>
      </c>
      <c r="D314" s="70">
        <v>2033</v>
      </c>
      <c r="E314" s="70">
        <v>7</v>
      </c>
      <c r="F314" s="2">
        <v>744</v>
      </c>
      <c r="G314" s="133">
        <f t="shared" si="305"/>
        <v>46612.956425178614</v>
      </c>
      <c r="H314" s="65">
        <v>46612.956425178614</v>
      </c>
      <c r="I314" s="133">
        <f t="shared" si="306"/>
        <v>46612.956425178614</v>
      </c>
      <c r="J314" s="133">
        <f t="shared" si="285"/>
        <v>4092.7758124999987</v>
      </c>
      <c r="K314" s="65">
        <v>4092.7758124999987</v>
      </c>
      <c r="L314" s="133">
        <f t="shared" si="286"/>
        <v>4092.7758124999987</v>
      </c>
      <c r="M314" s="65">
        <v>1709.2251160000674</v>
      </c>
      <c r="N314" s="65">
        <v>3680.5074579497937</v>
      </c>
      <c r="O314" s="65">
        <v>954.46284860247169</v>
      </c>
      <c r="P314" s="200">
        <f t="shared" si="279"/>
        <v>40616.921985912915</v>
      </c>
      <c r="Q314" s="200">
        <f t="shared" si="280"/>
        <v>40616.921985912915</v>
      </c>
      <c r="R314" s="200">
        <f t="shared" si="281"/>
        <v>40616.921985912915</v>
      </c>
      <c r="S314" s="133">
        <f t="shared" si="307"/>
        <v>42233.841758097878</v>
      </c>
      <c r="T314" s="133">
        <f t="shared" si="308"/>
        <v>42233.841758097878</v>
      </c>
      <c r="U314" s="133">
        <f t="shared" si="309"/>
        <v>42233.841758097878</v>
      </c>
      <c r="V314" s="200">
        <f t="shared" si="282"/>
        <v>40616.921985912915</v>
      </c>
      <c r="W314" s="200">
        <f t="shared" si="283"/>
        <v>40616.921985912915</v>
      </c>
      <c r="X314" s="200">
        <f t="shared" si="284"/>
        <v>40616.921985912915</v>
      </c>
      <c r="Y314" s="65">
        <v>13148.929428771226</v>
      </c>
      <c r="Z314" s="65">
        <v>13110.399587602653</v>
      </c>
      <c r="AA314" s="65">
        <v>6758.1481825157962</v>
      </c>
      <c r="AB314" s="200">
        <f t="shared" si="297"/>
        <v>53727.321573515568</v>
      </c>
      <c r="AC314" s="200">
        <f t="shared" si="298"/>
        <v>53727.321573515568</v>
      </c>
      <c r="AD314" s="200">
        <f t="shared" si="299"/>
        <v>53727.321573515568</v>
      </c>
      <c r="AE314" s="199">
        <f t="shared" si="338"/>
        <v>55382.771186869104</v>
      </c>
      <c r="AF314" s="199">
        <f t="shared" si="300"/>
        <v>55344.241345700531</v>
      </c>
      <c r="AG314" s="199">
        <f t="shared" si="339"/>
        <v>48991.989940613676</v>
      </c>
      <c r="AH314" s="199">
        <f t="shared" si="310"/>
        <v>52187.38056374139</v>
      </c>
      <c r="AI314" s="200">
        <f t="shared" si="301"/>
        <v>53727.321573515568</v>
      </c>
      <c r="AJ314" s="200">
        <f t="shared" si="302"/>
        <v>53727.321573515568</v>
      </c>
      <c r="AK314" s="200">
        <f t="shared" si="303"/>
        <v>53727.321573515568</v>
      </c>
      <c r="AL314" s="4"/>
      <c r="AM314" s="4"/>
      <c r="AN314" s="4"/>
      <c r="AO314" s="4"/>
      <c r="AP314" s="63"/>
      <c r="AQ314" s="18"/>
      <c r="AR314" s="18"/>
      <c r="AS314" s="66">
        <v>3395.12</v>
      </c>
      <c r="AT314" s="18"/>
      <c r="AU314" s="133">
        <f t="shared" si="313"/>
        <v>118.521</v>
      </c>
      <c r="AV314" s="133">
        <f t="shared" si="313"/>
        <v>3084.53</v>
      </c>
      <c r="AW314" s="63"/>
      <c r="AX314" s="63"/>
      <c r="AY314" s="63"/>
      <c r="AZ314" s="64"/>
      <c r="BA314" s="65">
        <v>1516.482</v>
      </c>
      <c r="BB314" s="5"/>
      <c r="BC314" s="65">
        <v>586.79739986786444</v>
      </c>
      <c r="BD314" s="65">
        <v>0</v>
      </c>
      <c r="BE314" s="65">
        <v>0</v>
      </c>
      <c r="BF314" s="65">
        <v>12.351985791556503</v>
      </c>
      <c r="BG314" s="65">
        <v>0</v>
      </c>
      <c r="BH314" s="65">
        <v>17.106611126099999</v>
      </c>
      <c r="BI314" s="65">
        <v>1488.7042626072459</v>
      </c>
      <c r="BJ314" s="65">
        <v>0</v>
      </c>
      <c r="BK314" s="65">
        <v>9.5733821057653241</v>
      </c>
      <c r="BL314" s="65">
        <v>0</v>
      </c>
      <c r="BM314" s="65">
        <v>0</v>
      </c>
      <c r="BN314" s="65">
        <v>28.535694660312817</v>
      </c>
      <c r="BO314" s="65">
        <v>212.18019192</v>
      </c>
      <c r="BP314" s="62"/>
      <c r="BQ314" s="65">
        <v>164.88998051971072</v>
      </c>
      <c r="BR314" s="65">
        <v>215.43406953491532</v>
      </c>
      <c r="BS314" s="65">
        <v>779.53989180179383</v>
      </c>
      <c r="BT314" s="65">
        <v>267.37001542942454</v>
      </c>
      <c r="BU314" s="65">
        <v>294.10654999496899</v>
      </c>
      <c r="BV314" s="144">
        <f t="shared" si="294"/>
        <v>1196.4575812000471</v>
      </c>
      <c r="BW314" s="144">
        <f t="shared" si="295"/>
        <v>2576.3552205648552</v>
      </c>
      <c r="BX314" s="144">
        <f t="shared" si="296"/>
        <v>668.12399402173014</v>
      </c>
      <c r="BY314" s="5"/>
      <c r="BZ314" s="66">
        <v>7254</v>
      </c>
      <c r="CA314" s="4"/>
      <c r="CB314" s="5"/>
      <c r="CC314" s="5"/>
      <c r="CD314" s="188">
        <v>2.1042112926473342</v>
      </c>
      <c r="CE314" s="5"/>
      <c r="CF314" s="133">
        <f t="shared" si="311"/>
        <v>971.33333333333337</v>
      </c>
      <c r="CG314" s="70"/>
      <c r="CH314" s="70">
        <v>6560</v>
      </c>
      <c r="CI314" s="70"/>
      <c r="CJ314" s="63"/>
      <c r="CK314" s="8">
        <f t="shared" si="335"/>
        <v>31419.617375772272</v>
      </c>
      <c r="CL314" s="202">
        <f t="shared" si="315"/>
        <v>22307.704197743296</v>
      </c>
      <c r="CM314" s="202">
        <f t="shared" si="316"/>
        <v>22307.704197743296</v>
      </c>
      <c r="CN314" s="202">
        <f t="shared" si="317"/>
        <v>22307.704197743296</v>
      </c>
      <c r="CO314" s="9">
        <f t="shared" si="318"/>
        <v>23963.153811096832</v>
      </c>
      <c r="CP314" s="9">
        <f t="shared" si="319"/>
        <v>23924.62396992826</v>
      </c>
      <c r="CQ314" s="9">
        <f t="shared" si="320"/>
        <v>17572.372564841404</v>
      </c>
      <c r="CR314" s="202">
        <f t="shared" si="321"/>
        <v>22307.704197743296</v>
      </c>
      <c r="CS314" s="202">
        <f t="shared" si="322"/>
        <v>22307.704197743296</v>
      </c>
      <c r="CT314" s="202">
        <f t="shared" si="323"/>
        <v>22307.704197743296</v>
      </c>
      <c r="CU314" s="203">
        <f t="shared" si="324"/>
        <v>0.41520223871981909</v>
      </c>
      <c r="CV314" s="203">
        <f t="shared" si="325"/>
        <v>0.41520223871981909</v>
      </c>
      <c r="CW314" s="203">
        <f t="shared" si="326"/>
        <v>0.41520223871981909</v>
      </c>
      <c r="CX314" s="19">
        <f t="shared" si="327"/>
        <v>0.43268246238964547</v>
      </c>
      <c r="CY314" s="19">
        <f t="shared" si="328"/>
        <v>0.43228750432201679</v>
      </c>
      <c r="CZ314" s="19">
        <f t="shared" si="329"/>
        <v>0.35867848164857152</v>
      </c>
      <c r="DA314" s="203">
        <f t="shared" si="330"/>
        <v>0.41520223871981909</v>
      </c>
      <c r="DB314" s="203">
        <f t="shared" si="331"/>
        <v>0.41520223871981909</v>
      </c>
      <c r="DC314" s="203">
        <f t="shared" si="332"/>
        <v>0.41520223871981909</v>
      </c>
      <c r="DD314" s="65"/>
      <c r="DE314" s="66"/>
      <c r="DF314" s="66"/>
      <c r="DG314" s="66"/>
      <c r="DH314" s="66"/>
      <c r="DI314" s="66"/>
      <c r="DJ314" s="66"/>
      <c r="DK314" s="70"/>
      <c r="DL314" s="70"/>
      <c r="DM314" s="8">
        <f t="shared" si="333"/>
        <v>0</v>
      </c>
      <c r="DN314" s="8">
        <f t="shared" si="334"/>
        <v>31419.617375772272</v>
      </c>
      <c r="DO314" s="202">
        <f t="shared" si="340"/>
        <v>22307.704197743296</v>
      </c>
      <c r="DP314" s="202">
        <f t="shared" si="341"/>
        <v>22307.704197743296</v>
      </c>
      <c r="DQ314" s="202">
        <f t="shared" si="342"/>
        <v>22307.704197743296</v>
      </c>
      <c r="DR314" s="9">
        <f t="shared" si="343"/>
        <v>23963.153811096832</v>
      </c>
      <c r="DS314" s="9">
        <f t="shared" si="336"/>
        <v>23924.62396992826</v>
      </c>
      <c r="DT314" s="9">
        <f t="shared" si="344"/>
        <v>17572.372564841404</v>
      </c>
      <c r="DU314" s="202">
        <f t="shared" si="345"/>
        <v>22307.704197743296</v>
      </c>
      <c r="DV314" s="202">
        <f t="shared" si="346"/>
        <v>22307.704197743296</v>
      </c>
      <c r="DW314" s="202">
        <f t="shared" si="347"/>
        <v>22307.704197743296</v>
      </c>
      <c r="DX314" s="203">
        <f t="shared" si="348"/>
        <v>0.41520223871981909</v>
      </c>
      <c r="DY314" s="203">
        <f t="shared" si="349"/>
        <v>0.41520223871981909</v>
      </c>
      <c r="DZ314" s="203">
        <f t="shared" si="350"/>
        <v>0.41520223871981909</v>
      </c>
      <c r="EA314" s="19">
        <f t="shared" si="351"/>
        <v>0.43268246238964547</v>
      </c>
      <c r="EB314" s="19">
        <f t="shared" si="337"/>
        <v>0.43228750432201679</v>
      </c>
      <c r="EC314" s="19">
        <f t="shared" si="352"/>
        <v>0.35867848164857152</v>
      </c>
      <c r="ED314" s="203">
        <f t="shared" si="353"/>
        <v>0.41520223871981909</v>
      </c>
      <c r="EE314" s="203">
        <f t="shared" si="354"/>
        <v>0.41520223871981909</v>
      </c>
      <c r="EF314" s="203">
        <f t="shared" si="355"/>
        <v>0.41520223871981909</v>
      </c>
      <c r="EH314" s="58">
        <f t="shared" si="288"/>
        <v>26581.70359748802</v>
      </c>
      <c r="EI314" s="68">
        <f t="shared" si="289"/>
        <v>0.48029755131069374</v>
      </c>
      <c r="EJ314" s="58">
        <f t="shared" si="290"/>
        <v>22954.70359748802</v>
      </c>
      <c r="EK314" s="68">
        <f t="shared" si="289"/>
        <v>0.41476227768855806</v>
      </c>
      <c r="EL314" s="58">
        <f t="shared" si="291"/>
        <v>6640.5932701329566</v>
      </c>
      <c r="EM314" s="58">
        <f t="shared" si="292"/>
        <v>7308.7172641546867</v>
      </c>
      <c r="EN314" s="68">
        <f t="shared" si="293"/>
        <v>0.13205921856443464</v>
      </c>
      <c r="EO314" s="139">
        <f t="shared" si="312"/>
        <v>0.25197746931178833</v>
      </c>
      <c r="EP314">
        <f>+(SUM(M314:O314)*EO314*(1-'[1]Tier 3 Data'!$A$2))</f>
        <v>1491.4884887987594</v>
      </c>
    </row>
    <row r="315" spans="1:146" x14ac:dyDescent="0.2">
      <c r="A315" s="43">
        <v>0</v>
      </c>
      <c r="B315" s="43">
        <v>0</v>
      </c>
      <c r="C315" s="43">
        <v>0</v>
      </c>
      <c r="D315" s="70">
        <v>2033</v>
      </c>
      <c r="E315" s="70">
        <v>8</v>
      </c>
      <c r="F315" s="2">
        <v>744</v>
      </c>
      <c r="G315" s="133">
        <f t="shared" si="305"/>
        <v>44517.895007418636</v>
      </c>
      <c r="H315" s="65">
        <v>44517.895007418636</v>
      </c>
      <c r="I315" s="133">
        <f t="shared" si="306"/>
        <v>44517.895007418636</v>
      </c>
      <c r="J315" s="133">
        <f t="shared" si="285"/>
        <v>4132.6412499999988</v>
      </c>
      <c r="K315" s="65">
        <v>4132.6412499999988</v>
      </c>
      <c r="L315" s="133">
        <f t="shared" si="286"/>
        <v>4132.6412499999988</v>
      </c>
      <c r="M315" s="65">
        <v>1523.4196774399222</v>
      </c>
      <c r="N315" s="65">
        <v>3280.4090180505418</v>
      </c>
      <c r="O315" s="65">
        <v>854.31032715846879</v>
      </c>
      <c r="P315" s="200">
        <f t="shared" si="279"/>
        <v>38687.812050623957</v>
      </c>
      <c r="Q315" s="200">
        <f t="shared" si="280"/>
        <v>38687.812050623957</v>
      </c>
      <c r="R315" s="200">
        <f t="shared" si="281"/>
        <v>38687.812050623957</v>
      </c>
      <c r="S315" s="133">
        <f t="shared" si="307"/>
        <v>40128.960659271092</v>
      </c>
      <c r="T315" s="133">
        <f t="shared" si="308"/>
        <v>40128.960659271092</v>
      </c>
      <c r="U315" s="133">
        <f t="shared" si="309"/>
        <v>40128.960659271092</v>
      </c>
      <c r="V315" s="200">
        <f t="shared" si="282"/>
        <v>38687.812050623957</v>
      </c>
      <c r="W315" s="200">
        <f t="shared" si="283"/>
        <v>38687.812050623957</v>
      </c>
      <c r="X315" s="200">
        <f t="shared" si="284"/>
        <v>38687.812050623957</v>
      </c>
      <c r="Y315" s="65">
        <v>12660.546438912002</v>
      </c>
      <c r="Z315" s="65">
        <v>12137.638143334809</v>
      </c>
      <c r="AA315" s="65">
        <v>6416.5216225140548</v>
      </c>
      <c r="AB315" s="200">
        <f t="shared" si="297"/>
        <v>50825.450193958764</v>
      </c>
      <c r="AC315" s="200">
        <f t="shared" si="298"/>
        <v>50825.450193958764</v>
      </c>
      <c r="AD315" s="200">
        <f t="shared" si="299"/>
        <v>50825.450193958764</v>
      </c>
      <c r="AE315" s="199">
        <f t="shared" si="338"/>
        <v>52789.507098183094</v>
      </c>
      <c r="AF315" s="199">
        <f t="shared" si="300"/>
        <v>52266.598802605899</v>
      </c>
      <c r="AG315" s="199">
        <f t="shared" si="339"/>
        <v>46545.482281785145</v>
      </c>
      <c r="AH315" s="199">
        <f t="shared" si="310"/>
        <v>49667.494689984116</v>
      </c>
      <c r="AI315" s="200">
        <f t="shared" si="301"/>
        <v>50825.450193958764</v>
      </c>
      <c r="AJ315" s="200">
        <f t="shared" si="302"/>
        <v>50825.450193958764</v>
      </c>
      <c r="AK315" s="200">
        <f t="shared" si="303"/>
        <v>50825.450193958764</v>
      </c>
      <c r="AL315" s="4"/>
      <c r="AM315" s="4"/>
      <c r="AN315" s="4"/>
      <c r="AO315" s="4"/>
      <c r="AP315" s="63"/>
      <c r="AQ315" s="18"/>
      <c r="AR315" s="18"/>
      <c r="AS315" s="66">
        <v>3395.12</v>
      </c>
      <c r="AT315" s="18"/>
      <c r="AU315" s="133">
        <f t="shared" si="313"/>
        <v>107.64</v>
      </c>
      <c r="AV315" s="133">
        <f t="shared" si="313"/>
        <v>3021.9279999999999</v>
      </c>
      <c r="AW315" s="63"/>
      <c r="AX315" s="63"/>
      <c r="AY315" s="63"/>
      <c r="AZ315" s="64"/>
      <c r="BA315" s="65">
        <v>1498.2090000000001</v>
      </c>
      <c r="BB315" s="5"/>
      <c r="BC315" s="65">
        <v>569.06141954142743</v>
      </c>
      <c r="BD315" s="65">
        <v>0</v>
      </c>
      <c r="BE315" s="65">
        <v>0</v>
      </c>
      <c r="BF315" s="65">
        <v>13.601115499735331</v>
      </c>
      <c r="BG315" s="65">
        <v>0</v>
      </c>
      <c r="BH315" s="65">
        <v>14.255509271750006</v>
      </c>
      <c r="BI315" s="65">
        <v>1443.7081029115327</v>
      </c>
      <c r="BJ315" s="65">
        <v>0</v>
      </c>
      <c r="BK315" s="65">
        <v>11.152893841525399</v>
      </c>
      <c r="BL315" s="65">
        <v>0</v>
      </c>
      <c r="BM315" s="65">
        <v>0</v>
      </c>
      <c r="BN315" s="65">
        <v>23.779745550260678</v>
      </c>
      <c r="BO315" s="65">
        <v>212.18019192</v>
      </c>
      <c r="BP315" s="62"/>
      <c r="BQ315" s="65">
        <v>156.49341272817173</v>
      </c>
      <c r="BR315" s="65">
        <v>204.46374702891742</v>
      </c>
      <c r="BS315" s="65">
        <v>739.84420341066732</v>
      </c>
      <c r="BT315" s="65">
        <v>253.76139649485856</v>
      </c>
      <c r="BU315" s="65">
        <v>273.66086978239724</v>
      </c>
      <c r="BV315" s="144">
        <f t="shared" si="294"/>
        <v>1066.3937742079454</v>
      </c>
      <c r="BW315" s="144">
        <f t="shared" si="295"/>
        <v>2296.2863126353791</v>
      </c>
      <c r="BX315" s="144">
        <f t="shared" si="296"/>
        <v>598.01722901092808</v>
      </c>
      <c r="BY315" s="5"/>
      <c r="BZ315" s="66">
        <v>7254</v>
      </c>
      <c r="CA315" s="4"/>
      <c r="CB315" s="5"/>
      <c r="CC315" s="5"/>
      <c r="CD315" s="188">
        <v>16.868963591035975</v>
      </c>
      <c r="CE315" s="5"/>
      <c r="CF315" s="133">
        <f t="shared" si="311"/>
        <v>598.33333333333337</v>
      </c>
      <c r="CG315" s="70"/>
      <c r="CH315" s="70">
        <v>7312</v>
      </c>
      <c r="CI315" s="70"/>
      <c r="CJ315" s="63"/>
      <c r="CK315" s="8">
        <f t="shared" si="335"/>
        <v>31080.759220759865</v>
      </c>
      <c r="CL315" s="202">
        <f t="shared" si="315"/>
        <v>19744.6909731989</v>
      </c>
      <c r="CM315" s="202">
        <f t="shared" si="316"/>
        <v>19744.6909731989</v>
      </c>
      <c r="CN315" s="202">
        <f t="shared" si="317"/>
        <v>19744.6909731989</v>
      </c>
      <c r="CO315" s="9">
        <f t="shared" si="318"/>
        <v>21708.74787742323</v>
      </c>
      <c r="CP315" s="9">
        <f t="shared" si="319"/>
        <v>21185.839581846034</v>
      </c>
      <c r="CQ315" s="9">
        <f t="shared" si="320"/>
        <v>15464.723061025281</v>
      </c>
      <c r="CR315" s="202">
        <f t="shared" si="321"/>
        <v>19744.6909731989</v>
      </c>
      <c r="CS315" s="202">
        <f t="shared" si="322"/>
        <v>19744.6909731989</v>
      </c>
      <c r="CT315" s="202">
        <f t="shared" si="323"/>
        <v>19744.6909731989</v>
      </c>
      <c r="CU315" s="203">
        <f t="shared" si="324"/>
        <v>0.38848039511405646</v>
      </c>
      <c r="CV315" s="203">
        <f t="shared" si="325"/>
        <v>0.38848039511405646</v>
      </c>
      <c r="CW315" s="203">
        <f t="shared" si="326"/>
        <v>0.38848039511405646</v>
      </c>
      <c r="CX315" s="19">
        <f t="shared" si="327"/>
        <v>0.41123225183836581</v>
      </c>
      <c r="CY315" s="19">
        <f t="shared" si="328"/>
        <v>0.40534184483398517</v>
      </c>
      <c r="CZ315" s="19">
        <f t="shared" si="329"/>
        <v>0.33224971152736688</v>
      </c>
      <c r="DA315" s="203">
        <f t="shared" si="330"/>
        <v>0.38848039511405646</v>
      </c>
      <c r="DB315" s="203">
        <f t="shared" si="331"/>
        <v>0.38848039511405646</v>
      </c>
      <c r="DC315" s="203">
        <f t="shared" si="332"/>
        <v>0.38848039511405646</v>
      </c>
      <c r="DD315" s="65"/>
      <c r="DE315" s="66"/>
      <c r="DF315" s="66"/>
      <c r="DG315" s="66"/>
      <c r="DH315" s="66"/>
      <c r="DI315" s="66"/>
      <c r="DJ315" s="66"/>
      <c r="DK315" s="70"/>
      <c r="DL315" s="70"/>
      <c r="DM315" s="8">
        <f t="shared" si="333"/>
        <v>0</v>
      </c>
      <c r="DN315" s="8">
        <f t="shared" si="334"/>
        <v>31080.759220759865</v>
      </c>
      <c r="DO315" s="202">
        <f t="shared" si="340"/>
        <v>19744.6909731989</v>
      </c>
      <c r="DP315" s="202">
        <f t="shared" si="341"/>
        <v>19744.6909731989</v>
      </c>
      <c r="DQ315" s="202">
        <f t="shared" si="342"/>
        <v>19744.6909731989</v>
      </c>
      <c r="DR315" s="9">
        <f t="shared" si="343"/>
        <v>21708.74787742323</v>
      </c>
      <c r="DS315" s="9">
        <f t="shared" si="336"/>
        <v>21185.839581846034</v>
      </c>
      <c r="DT315" s="9">
        <f t="shared" si="344"/>
        <v>15464.723061025281</v>
      </c>
      <c r="DU315" s="202">
        <f t="shared" si="345"/>
        <v>19744.6909731989</v>
      </c>
      <c r="DV315" s="202">
        <f t="shared" si="346"/>
        <v>19744.6909731989</v>
      </c>
      <c r="DW315" s="202">
        <f t="shared" si="347"/>
        <v>19744.6909731989</v>
      </c>
      <c r="DX315" s="203">
        <f t="shared" si="348"/>
        <v>0.38848039511405646</v>
      </c>
      <c r="DY315" s="203">
        <f t="shared" si="349"/>
        <v>0.38848039511405646</v>
      </c>
      <c r="DZ315" s="203">
        <f t="shared" si="350"/>
        <v>0.38848039511405646</v>
      </c>
      <c r="EA315" s="19">
        <f t="shared" si="351"/>
        <v>0.41123225183836581</v>
      </c>
      <c r="EB315" s="19">
        <f t="shared" si="337"/>
        <v>0.40534184483398517</v>
      </c>
      <c r="EC315" s="19">
        <f t="shared" si="352"/>
        <v>0.33224971152736688</v>
      </c>
      <c r="ED315" s="203">
        <f t="shared" si="353"/>
        <v>0.38848039511405646</v>
      </c>
      <c r="EE315" s="203">
        <f t="shared" si="354"/>
        <v>0.38848039511405646</v>
      </c>
      <c r="EF315" s="203">
        <f t="shared" si="355"/>
        <v>0.38848039511405646</v>
      </c>
      <c r="EH315" s="58">
        <f t="shared" si="288"/>
        <v>26356.895367461148</v>
      </c>
      <c r="EI315" s="68">
        <f t="shared" si="289"/>
        <v>0.50427798960101933</v>
      </c>
      <c r="EJ315" s="58">
        <f t="shared" si="290"/>
        <v>22729.895367461148</v>
      </c>
      <c r="EK315" s="68">
        <f t="shared" si="289"/>
        <v>0.43488376684514402</v>
      </c>
      <c r="EL315" s="58">
        <f t="shared" si="291"/>
        <v>6198.6478051168888</v>
      </c>
      <c r="EM315" s="58">
        <f t="shared" si="292"/>
        <v>6796.6650341278164</v>
      </c>
      <c r="EN315" s="68">
        <f t="shared" si="293"/>
        <v>0.13003840291572502</v>
      </c>
      <c r="EO315" s="139">
        <f t="shared" si="312"/>
        <v>0.28519905910129462</v>
      </c>
      <c r="EP315">
        <f>+(SUM(M315:O315)*EO315*(1-'[1]Tier 3 Data'!$A$2))</f>
        <v>1505.5782985137002</v>
      </c>
    </row>
    <row r="316" spans="1:146" x14ac:dyDescent="0.2">
      <c r="A316" s="43">
        <v>0</v>
      </c>
      <c r="B316" s="43">
        <v>0</v>
      </c>
      <c r="C316" s="43">
        <v>0</v>
      </c>
      <c r="D316" s="70">
        <v>2033</v>
      </c>
      <c r="E316" s="70">
        <v>9</v>
      </c>
      <c r="F316" s="2">
        <v>720</v>
      </c>
      <c r="G316" s="133">
        <f t="shared" si="305"/>
        <v>38672.698863961334</v>
      </c>
      <c r="H316" s="65">
        <v>38672.698863961334</v>
      </c>
      <c r="I316" s="133">
        <f t="shared" si="306"/>
        <v>38672.698863961334</v>
      </c>
      <c r="J316" s="133">
        <f t="shared" si="285"/>
        <v>4172.5066874999984</v>
      </c>
      <c r="K316" s="65">
        <v>4172.5066874999984</v>
      </c>
      <c r="L316" s="133">
        <f t="shared" si="286"/>
        <v>4172.5066874999984</v>
      </c>
      <c r="M316" s="65">
        <v>1305.6369062084025</v>
      </c>
      <c r="N316" s="65">
        <v>2811.4531700307239</v>
      </c>
      <c r="O316" s="65">
        <v>734.38418463002563</v>
      </c>
      <c r="P316" s="200">
        <f t="shared" si="279"/>
        <v>33044.749898200593</v>
      </c>
      <c r="Q316" s="200">
        <f t="shared" si="280"/>
        <v>33044.749898200593</v>
      </c>
      <c r="R316" s="200">
        <f t="shared" si="281"/>
        <v>33044.749898200593</v>
      </c>
      <c r="S316" s="133">
        <f t="shared" si="307"/>
        <v>34279.876921072326</v>
      </c>
      <c r="T316" s="133">
        <f t="shared" si="308"/>
        <v>34279.876921072326</v>
      </c>
      <c r="U316" s="133">
        <f t="shared" si="309"/>
        <v>34279.876921072326</v>
      </c>
      <c r="V316" s="200">
        <f t="shared" si="282"/>
        <v>33044.749898200593</v>
      </c>
      <c r="W316" s="200">
        <f t="shared" si="283"/>
        <v>33044.749898200593</v>
      </c>
      <c r="X316" s="200">
        <f t="shared" si="284"/>
        <v>33044.749898200593</v>
      </c>
      <c r="Y316" s="65">
        <v>12034.614802785865</v>
      </c>
      <c r="Z316" s="65">
        <v>11118.090390077763</v>
      </c>
      <c r="AA316" s="65">
        <v>5902.8354948534025</v>
      </c>
      <c r="AB316" s="200">
        <f t="shared" si="297"/>
        <v>44162.840288278356</v>
      </c>
      <c r="AC316" s="200">
        <f t="shared" si="298"/>
        <v>44162.840288278356</v>
      </c>
      <c r="AD316" s="200">
        <f t="shared" si="299"/>
        <v>44162.840288278356</v>
      </c>
      <c r="AE316" s="199">
        <f t="shared" si="338"/>
        <v>46314.491723858191</v>
      </c>
      <c r="AF316" s="199">
        <f t="shared" si="300"/>
        <v>45397.967311150089</v>
      </c>
      <c r="AG316" s="199">
        <f t="shared" si="339"/>
        <v>40182.712415925729</v>
      </c>
      <c r="AH316" s="199">
        <f t="shared" si="310"/>
        <v>43248.60206989196</v>
      </c>
      <c r="AI316" s="200">
        <f t="shared" si="301"/>
        <v>44162.840288278356</v>
      </c>
      <c r="AJ316" s="200">
        <f t="shared" si="302"/>
        <v>44162.840288278356</v>
      </c>
      <c r="AK316" s="200">
        <f t="shared" si="303"/>
        <v>44162.840288278356</v>
      </c>
      <c r="AL316" s="4"/>
      <c r="AM316" s="4"/>
      <c r="AN316" s="4"/>
      <c r="AO316" s="4"/>
      <c r="AP316" s="63"/>
      <c r="AQ316" s="18"/>
      <c r="AR316" s="18"/>
      <c r="AS316" s="66">
        <v>3285.6</v>
      </c>
      <c r="AT316" s="18"/>
      <c r="AU316" s="133">
        <f t="shared" si="313"/>
        <v>102.375</v>
      </c>
      <c r="AV316" s="133">
        <f t="shared" si="313"/>
        <v>2969.6280000000002</v>
      </c>
      <c r="AW316" s="63"/>
      <c r="AX316" s="63"/>
      <c r="AY316" s="63"/>
      <c r="AZ316" s="64"/>
      <c r="BA316" s="65">
        <v>2037.9549999999999</v>
      </c>
      <c r="BB316" s="5"/>
      <c r="BC316" s="65">
        <v>529.48077460711397</v>
      </c>
      <c r="BD316" s="65">
        <v>0</v>
      </c>
      <c r="BE316" s="65">
        <v>0</v>
      </c>
      <c r="BF316" s="65">
        <v>14.066084154916455</v>
      </c>
      <c r="BG316" s="65">
        <v>0</v>
      </c>
      <c r="BH316" s="65">
        <v>2.8511018543500009</v>
      </c>
      <c r="BI316" s="65">
        <v>1343.2920566854839</v>
      </c>
      <c r="BJ316" s="65">
        <v>0</v>
      </c>
      <c r="BK316" s="65">
        <v>13.355863258351745</v>
      </c>
      <c r="BL316" s="65">
        <v>0</v>
      </c>
      <c r="BM316" s="65">
        <v>0</v>
      </c>
      <c r="BN316" s="65">
        <v>4.7559491100521356</v>
      </c>
      <c r="BO316" s="65">
        <v>205.33566960000002</v>
      </c>
      <c r="BP316" s="62"/>
      <c r="BQ316" s="65">
        <v>124.9473961779513</v>
      </c>
      <c r="BR316" s="65">
        <v>163.24789192041027</v>
      </c>
      <c r="BS316" s="65">
        <v>590.70621871965807</v>
      </c>
      <c r="BT316" s="65">
        <v>218.56607350085426</v>
      </c>
      <c r="BU316" s="65">
        <v>224.6973129367972</v>
      </c>
      <c r="BV316" s="144">
        <f t="shared" si="294"/>
        <v>913.94583434588162</v>
      </c>
      <c r="BW316" s="144">
        <f t="shared" si="295"/>
        <v>1968.0172190215067</v>
      </c>
      <c r="BX316" s="144">
        <f t="shared" si="296"/>
        <v>514.06892924101794</v>
      </c>
      <c r="BY316" s="5"/>
      <c r="BZ316" s="66">
        <v>7020</v>
      </c>
      <c r="CA316" s="4"/>
      <c r="CB316" s="5"/>
      <c r="CC316" s="5"/>
      <c r="CD316" s="188">
        <v>2.2241810746462862</v>
      </c>
      <c r="CE316" s="5"/>
      <c r="CF316" s="133">
        <f t="shared" si="311"/>
        <v>655.33333333333337</v>
      </c>
      <c r="CG316" s="70"/>
      <c r="CH316" s="70">
        <v>4800</v>
      </c>
      <c r="CI316" s="70"/>
      <c r="CJ316" s="63"/>
      <c r="CK316" s="8">
        <f t="shared" si="335"/>
        <v>27704.449889542328</v>
      </c>
      <c r="CL316" s="202">
        <f t="shared" si="315"/>
        <v>16458.390398736028</v>
      </c>
      <c r="CM316" s="202">
        <f t="shared" si="316"/>
        <v>16458.390398736028</v>
      </c>
      <c r="CN316" s="202">
        <f t="shared" si="317"/>
        <v>16458.390398736028</v>
      </c>
      <c r="CO316" s="9">
        <f t="shared" si="318"/>
        <v>18610.041834315864</v>
      </c>
      <c r="CP316" s="9">
        <f t="shared" si="319"/>
        <v>17693.517421607761</v>
      </c>
      <c r="CQ316" s="9">
        <f t="shared" si="320"/>
        <v>12478.262526383402</v>
      </c>
      <c r="CR316" s="202">
        <f t="shared" si="321"/>
        <v>16458.390398736028</v>
      </c>
      <c r="CS316" s="202">
        <f t="shared" si="322"/>
        <v>16458.390398736028</v>
      </c>
      <c r="CT316" s="202">
        <f t="shared" si="323"/>
        <v>16458.390398736028</v>
      </c>
      <c r="CU316" s="203">
        <f t="shared" si="324"/>
        <v>0.37267508818051254</v>
      </c>
      <c r="CV316" s="203">
        <f t="shared" si="325"/>
        <v>0.37267508818051254</v>
      </c>
      <c r="CW316" s="203">
        <f t="shared" si="326"/>
        <v>0.37267508818051254</v>
      </c>
      <c r="CX316" s="19">
        <f t="shared" si="327"/>
        <v>0.40181898022923113</v>
      </c>
      <c r="CY316" s="19">
        <f t="shared" si="328"/>
        <v>0.38974250323454673</v>
      </c>
      <c r="CZ316" s="19">
        <f t="shared" si="329"/>
        <v>0.31053808407014993</v>
      </c>
      <c r="DA316" s="203">
        <f t="shared" si="330"/>
        <v>0.37267508818051254</v>
      </c>
      <c r="DB316" s="203">
        <f t="shared" si="331"/>
        <v>0.37267508818051254</v>
      </c>
      <c r="DC316" s="203">
        <f t="shared" si="332"/>
        <v>0.37267508818051254</v>
      </c>
      <c r="DD316" s="65"/>
      <c r="DE316" s="66"/>
      <c r="DF316" s="66"/>
      <c r="DG316" s="66"/>
      <c r="DH316" s="66"/>
      <c r="DI316" s="66"/>
      <c r="DJ316" s="66"/>
      <c r="DK316" s="70"/>
      <c r="DL316" s="70"/>
      <c r="DM316" s="8">
        <f t="shared" si="333"/>
        <v>0</v>
      </c>
      <c r="DN316" s="8">
        <f t="shared" si="334"/>
        <v>27704.449889542328</v>
      </c>
      <c r="DO316" s="202">
        <f t="shared" si="340"/>
        <v>16458.390398736028</v>
      </c>
      <c r="DP316" s="202">
        <f t="shared" si="341"/>
        <v>16458.390398736028</v>
      </c>
      <c r="DQ316" s="202">
        <f t="shared" si="342"/>
        <v>16458.390398736028</v>
      </c>
      <c r="DR316" s="9">
        <f t="shared" si="343"/>
        <v>18610.041834315864</v>
      </c>
      <c r="DS316" s="9">
        <f t="shared" si="336"/>
        <v>17693.517421607761</v>
      </c>
      <c r="DT316" s="9">
        <f t="shared" si="344"/>
        <v>12478.262526383402</v>
      </c>
      <c r="DU316" s="202">
        <f t="shared" si="345"/>
        <v>16458.390398736028</v>
      </c>
      <c r="DV316" s="202">
        <f t="shared" si="346"/>
        <v>16458.390398736028</v>
      </c>
      <c r="DW316" s="202">
        <f t="shared" si="347"/>
        <v>16458.390398736028</v>
      </c>
      <c r="DX316" s="203">
        <f t="shared" si="348"/>
        <v>0.37267508818051254</v>
      </c>
      <c r="DY316" s="203">
        <f t="shared" si="349"/>
        <v>0.37267508818051254</v>
      </c>
      <c r="DZ316" s="203">
        <f t="shared" si="350"/>
        <v>0.37267508818051254</v>
      </c>
      <c r="EA316" s="19">
        <f t="shared" si="351"/>
        <v>0.40181898022923113</v>
      </c>
      <c r="EB316" s="19">
        <f t="shared" si="337"/>
        <v>0.38974250323454673</v>
      </c>
      <c r="EC316" s="19">
        <f t="shared" si="352"/>
        <v>0.31053808407014993</v>
      </c>
      <c r="ED316" s="203">
        <f t="shared" si="353"/>
        <v>0.37267508818051254</v>
      </c>
      <c r="EE316" s="203">
        <f t="shared" si="354"/>
        <v>0.37267508818051254</v>
      </c>
      <c r="EF316" s="203">
        <f t="shared" si="355"/>
        <v>0.37267508818051254</v>
      </c>
      <c r="EH316" s="58">
        <f t="shared" si="288"/>
        <v>23264.213789966885</v>
      </c>
      <c r="EI316" s="68">
        <f t="shared" si="289"/>
        <v>0.51245056040764658</v>
      </c>
      <c r="EJ316" s="58">
        <f t="shared" si="290"/>
        <v>19754.213789966889</v>
      </c>
      <c r="EK316" s="68">
        <f t="shared" si="289"/>
        <v>0.43513432340648217</v>
      </c>
      <c r="EL316" s="58">
        <f t="shared" si="291"/>
        <v>5389.2535273925296</v>
      </c>
      <c r="EM316" s="58">
        <f t="shared" si="292"/>
        <v>5903.3224566335475</v>
      </c>
      <c r="EN316" s="68">
        <f t="shared" si="293"/>
        <v>0.1300349510402781</v>
      </c>
      <c r="EO316" s="139">
        <f t="shared" si="312"/>
        <v>0.31860645638858931</v>
      </c>
      <c r="EP316">
        <f>+(SUM(M316:O316)*EO316*(1-'[1]Tier 3 Data'!$A$2))</f>
        <v>1442.1483840074011</v>
      </c>
    </row>
    <row r="317" spans="1:146" x14ac:dyDescent="0.2">
      <c r="A317" s="43">
        <v>0</v>
      </c>
      <c r="B317" s="43">
        <v>0</v>
      </c>
      <c r="C317" s="43">
        <v>0</v>
      </c>
      <c r="D317" s="70">
        <v>2033</v>
      </c>
      <c r="E317" s="70">
        <v>10</v>
      </c>
      <c r="F317" s="2">
        <v>744</v>
      </c>
      <c r="G317" s="133">
        <f t="shared" si="305"/>
        <v>40642.962732194588</v>
      </c>
      <c r="H317" s="65">
        <v>40642.962732194588</v>
      </c>
      <c r="I317" s="133">
        <f t="shared" si="306"/>
        <v>40642.962732194588</v>
      </c>
      <c r="J317" s="133">
        <f t="shared" si="285"/>
        <v>4212.3721249999981</v>
      </c>
      <c r="K317" s="65">
        <v>4212.3721249999981</v>
      </c>
      <c r="L317" s="133">
        <f t="shared" si="286"/>
        <v>4212.3721249999981</v>
      </c>
      <c r="M317" s="65">
        <v>957.87478015852639</v>
      </c>
      <c r="N317" s="65">
        <v>2062.6102665784465</v>
      </c>
      <c r="O317" s="65">
        <v>540.40115313276226</v>
      </c>
      <c r="P317" s="200">
        <f t="shared" si="279"/>
        <v>35362.324747233673</v>
      </c>
      <c r="Q317" s="200">
        <f t="shared" si="280"/>
        <v>35362.324747233673</v>
      </c>
      <c r="R317" s="200">
        <f t="shared" si="281"/>
        <v>35362.324747233673</v>
      </c>
      <c r="S317" s="133">
        <f t="shared" si="307"/>
        <v>36268.470261254763</v>
      </c>
      <c r="T317" s="133">
        <f t="shared" si="308"/>
        <v>36268.470261254763</v>
      </c>
      <c r="U317" s="133">
        <f t="shared" si="309"/>
        <v>36268.470261254763</v>
      </c>
      <c r="V317" s="200">
        <f t="shared" si="282"/>
        <v>35362.324747233673</v>
      </c>
      <c r="W317" s="200">
        <f t="shared" si="283"/>
        <v>35362.324747233673</v>
      </c>
      <c r="X317" s="200">
        <f t="shared" si="284"/>
        <v>35362.324747233673</v>
      </c>
      <c r="Y317" s="65">
        <v>13228.991934774356</v>
      </c>
      <c r="Z317" s="65">
        <v>13166.281170505361</v>
      </c>
      <c r="AA317" s="65">
        <v>6762.3634351235123</v>
      </c>
      <c r="AB317" s="200">
        <f t="shared" si="297"/>
        <v>48528.605917739034</v>
      </c>
      <c r="AC317" s="200">
        <f t="shared" si="298"/>
        <v>48528.605917739034</v>
      </c>
      <c r="AD317" s="200">
        <f t="shared" si="299"/>
        <v>48528.605917739034</v>
      </c>
      <c r="AE317" s="199">
        <f t="shared" si="338"/>
        <v>49497.462196029119</v>
      </c>
      <c r="AF317" s="199">
        <f t="shared" si="300"/>
        <v>49434.751431760124</v>
      </c>
      <c r="AG317" s="199">
        <f t="shared" si="339"/>
        <v>43030.833696378279</v>
      </c>
      <c r="AH317" s="199">
        <f t="shared" si="310"/>
        <v>46264.147946203695</v>
      </c>
      <c r="AI317" s="200">
        <f t="shared" si="301"/>
        <v>48528.605917739034</v>
      </c>
      <c r="AJ317" s="200">
        <f t="shared" si="302"/>
        <v>48528.605917739034</v>
      </c>
      <c r="AK317" s="200">
        <f t="shared" si="303"/>
        <v>48528.605917739034</v>
      </c>
      <c r="AL317" s="4"/>
      <c r="AM317" s="4"/>
      <c r="AN317" s="4"/>
      <c r="AO317" s="4"/>
      <c r="AP317" s="63"/>
      <c r="AQ317" s="18"/>
      <c r="AR317" s="18"/>
      <c r="AS317" s="66">
        <v>3395.12</v>
      </c>
      <c r="AT317" s="18"/>
      <c r="AU317" s="133">
        <f t="shared" si="313"/>
        <v>118.17</v>
      </c>
      <c r="AV317" s="133">
        <f t="shared" si="313"/>
        <v>3225.1860000000001</v>
      </c>
      <c r="AW317" s="63"/>
      <c r="AX317" s="63"/>
      <c r="AY317" s="63"/>
      <c r="AZ317" s="64"/>
      <c r="BA317" s="65">
        <v>1760</v>
      </c>
      <c r="BB317" s="5"/>
      <c r="BC317" s="65">
        <v>387.84712854806463</v>
      </c>
      <c r="BD317" s="65">
        <v>0</v>
      </c>
      <c r="BE317" s="65">
        <v>0</v>
      </c>
      <c r="BF317" s="65">
        <v>15.45143616475837</v>
      </c>
      <c r="BG317" s="65">
        <v>0</v>
      </c>
      <c r="BH317" s="65">
        <v>19.957712980450005</v>
      </c>
      <c r="BI317" s="65">
        <v>983.96767545238163</v>
      </c>
      <c r="BJ317" s="65">
        <v>0</v>
      </c>
      <c r="BK317" s="65">
        <v>16.565610887239799</v>
      </c>
      <c r="BL317" s="65">
        <v>0</v>
      </c>
      <c r="BM317" s="65">
        <v>0</v>
      </c>
      <c r="BN317" s="65">
        <v>33.291643770364956</v>
      </c>
      <c r="BO317" s="65">
        <v>212.18019192</v>
      </c>
      <c r="BP317" s="62"/>
      <c r="BQ317" s="65">
        <v>98.58363067844688</v>
      </c>
      <c r="BR317" s="65">
        <v>128.80273020236487</v>
      </c>
      <c r="BS317" s="65">
        <v>466.06772460630248</v>
      </c>
      <c r="BT317" s="65">
        <v>153.84686770451381</v>
      </c>
      <c r="BU317" s="65">
        <v>153.39645562786117</v>
      </c>
      <c r="BV317" s="144">
        <f t="shared" si="294"/>
        <v>670.51234611096845</v>
      </c>
      <c r="BW317" s="144">
        <f t="shared" si="295"/>
        <v>1443.8271866049124</v>
      </c>
      <c r="BX317" s="144">
        <f t="shared" si="296"/>
        <v>378.28080719293354</v>
      </c>
      <c r="BY317" s="5"/>
      <c r="BZ317" s="66">
        <v>0</v>
      </c>
      <c r="CA317" s="4"/>
      <c r="CB317" s="5"/>
      <c r="CC317" s="5"/>
      <c r="CD317" s="188">
        <v>0</v>
      </c>
      <c r="CE317" s="5"/>
      <c r="CF317" s="133">
        <f t="shared" si="311"/>
        <v>865.33333333333337</v>
      </c>
      <c r="CG317" s="70"/>
      <c r="CH317" s="70">
        <v>2816</v>
      </c>
      <c r="CI317" s="70"/>
      <c r="CJ317" s="63"/>
      <c r="CK317" s="8">
        <f t="shared" si="335"/>
        <v>17342.388481784896</v>
      </c>
      <c r="CL317" s="202">
        <f t="shared" si="315"/>
        <v>31186.217435954139</v>
      </c>
      <c r="CM317" s="202">
        <f t="shared" si="316"/>
        <v>31186.217435954139</v>
      </c>
      <c r="CN317" s="202">
        <f t="shared" si="317"/>
        <v>31186.217435954139</v>
      </c>
      <c r="CO317" s="9">
        <f t="shared" si="318"/>
        <v>32155.073714244223</v>
      </c>
      <c r="CP317" s="9">
        <f t="shared" si="319"/>
        <v>32092.362949975228</v>
      </c>
      <c r="CQ317" s="9">
        <f t="shared" si="320"/>
        <v>25688.445214593383</v>
      </c>
      <c r="CR317" s="202">
        <f t="shared" si="321"/>
        <v>31186.217435954139</v>
      </c>
      <c r="CS317" s="202">
        <f t="shared" si="322"/>
        <v>31186.217435954139</v>
      </c>
      <c r="CT317" s="202">
        <f t="shared" si="323"/>
        <v>31186.217435954139</v>
      </c>
      <c r="CU317" s="203">
        <f t="shared" si="324"/>
        <v>0.64263575773880621</v>
      </c>
      <c r="CV317" s="203">
        <f t="shared" si="325"/>
        <v>0.64263575773880621</v>
      </c>
      <c r="CW317" s="203">
        <f t="shared" si="326"/>
        <v>0.64263575773880621</v>
      </c>
      <c r="CX317" s="19">
        <f t="shared" si="327"/>
        <v>0.6496307545404586</v>
      </c>
      <c r="CY317" s="19">
        <f t="shared" si="328"/>
        <v>0.64918629143459172</v>
      </c>
      <c r="CZ317" s="19">
        <f t="shared" si="329"/>
        <v>0.59697763226826506</v>
      </c>
      <c r="DA317" s="203">
        <f t="shared" si="330"/>
        <v>0.64263575773880621</v>
      </c>
      <c r="DB317" s="203">
        <f t="shared" si="331"/>
        <v>0.64263575773880621</v>
      </c>
      <c r="DC317" s="203">
        <f t="shared" si="332"/>
        <v>0.64263575773880621</v>
      </c>
      <c r="DD317" s="65"/>
      <c r="DE317" s="66"/>
      <c r="DF317" s="66"/>
      <c r="DG317" s="66"/>
      <c r="DH317" s="66"/>
      <c r="DI317" s="66"/>
      <c r="DJ317" s="66"/>
      <c r="DK317" s="70"/>
      <c r="DL317" s="70"/>
      <c r="DM317" s="8">
        <f t="shared" si="333"/>
        <v>0</v>
      </c>
      <c r="DN317" s="8">
        <f t="shared" si="334"/>
        <v>17342.388481784896</v>
      </c>
      <c r="DO317" s="202">
        <f t="shared" si="340"/>
        <v>31186.217435954139</v>
      </c>
      <c r="DP317" s="202">
        <f t="shared" si="341"/>
        <v>31186.217435954139</v>
      </c>
      <c r="DQ317" s="202">
        <f t="shared" si="342"/>
        <v>31186.217435954139</v>
      </c>
      <c r="DR317" s="9">
        <f t="shared" si="343"/>
        <v>32155.073714244223</v>
      </c>
      <c r="DS317" s="9">
        <f t="shared" si="336"/>
        <v>32092.362949975228</v>
      </c>
      <c r="DT317" s="9">
        <f t="shared" si="344"/>
        <v>25688.445214593383</v>
      </c>
      <c r="DU317" s="202">
        <f t="shared" si="345"/>
        <v>31186.217435954139</v>
      </c>
      <c r="DV317" s="202">
        <f t="shared" si="346"/>
        <v>31186.217435954139</v>
      </c>
      <c r="DW317" s="202">
        <f t="shared" si="347"/>
        <v>31186.217435954139</v>
      </c>
      <c r="DX317" s="203">
        <f t="shared" si="348"/>
        <v>0.64263575773880621</v>
      </c>
      <c r="DY317" s="203">
        <f t="shared" si="349"/>
        <v>0.64263575773880621</v>
      </c>
      <c r="DZ317" s="203">
        <f t="shared" si="350"/>
        <v>0.64263575773880621</v>
      </c>
      <c r="EA317" s="19">
        <f t="shared" si="351"/>
        <v>0.6496307545404586</v>
      </c>
      <c r="EB317" s="19">
        <f t="shared" si="337"/>
        <v>0.64918629143459172</v>
      </c>
      <c r="EC317" s="19">
        <f t="shared" si="352"/>
        <v>0.59697763226826506</v>
      </c>
      <c r="ED317" s="203">
        <f t="shared" si="353"/>
        <v>0.64263575773880621</v>
      </c>
      <c r="EE317" s="203">
        <f t="shared" si="354"/>
        <v>0.64263575773880621</v>
      </c>
      <c r="EF317" s="203">
        <f t="shared" si="355"/>
        <v>0.64263575773880621</v>
      </c>
      <c r="EH317" s="58">
        <f t="shared" si="288"/>
        <v>16656.424699509171</v>
      </c>
      <c r="EI317" s="68">
        <f t="shared" si="289"/>
        <v>0.33693756349724441</v>
      </c>
      <c r="EJ317" s="58">
        <f t="shared" si="290"/>
        <v>16656.424699509171</v>
      </c>
      <c r="EK317" s="68">
        <f t="shared" si="289"/>
        <v>0.33693756349724441</v>
      </c>
      <c r="EL317" s="58">
        <f t="shared" si="291"/>
        <v>4098.3345589829032</v>
      </c>
      <c r="EM317" s="58">
        <f t="shared" si="292"/>
        <v>4476.6153661758372</v>
      </c>
      <c r="EN317" s="68">
        <f t="shared" si="293"/>
        <v>9.0556040771346255E-2</v>
      </c>
      <c r="EO317" s="139">
        <f t="shared" si="312"/>
        <v>0.35739486552628164</v>
      </c>
      <c r="EP317">
        <f>+(SUM(M317:O317)*EO317*(1-'[1]Tier 3 Data'!$A$2))</f>
        <v>1187.3754007715281</v>
      </c>
    </row>
    <row r="318" spans="1:146" x14ac:dyDescent="0.2">
      <c r="A318" s="43">
        <v>0</v>
      </c>
      <c r="B318" s="43">
        <v>0</v>
      </c>
      <c r="C318" s="43">
        <v>0</v>
      </c>
      <c r="D318" s="70">
        <v>2033</v>
      </c>
      <c r="E318" s="70">
        <v>11</v>
      </c>
      <c r="F318" s="2">
        <v>721</v>
      </c>
      <c r="G318" s="133">
        <f t="shared" si="305"/>
        <v>43010.460567943621</v>
      </c>
      <c r="H318" s="65">
        <v>43010.460567943621</v>
      </c>
      <c r="I318" s="133">
        <f t="shared" si="306"/>
        <v>43010.460567943621</v>
      </c>
      <c r="J318" s="133">
        <f t="shared" si="285"/>
        <v>4252.2375624999977</v>
      </c>
      <c r="K318" s="65">
        <v>4252.2375624999977</v>
      </c>
      <c r="L318" s="133">
        <f t="shared" si="286"/>
        <v>4252.2375624999977</v>
      </c>
      <c r="M318" s="65">
        <v>391.15101618171565</v>
      </c>
      <c r="N318" s="65">
        <v>842.27303867993726</v>
      </c>
      <c r="O318" s="65">
        <v>221.51627440611756</v>
      </c>
      <c r="P318" s="200">
        <f t="shared" si="279"/>
        <v>38321.74090666329</v>
      </c>
      <c r="Q318" s="200">
        <f t="shared" si="280"/>
        <v>38321.74090666329</v>
      </c>
      <c r="R318" s="200">
        <f t="shared" si="281"/>
        <v>38321.74090666329</v>
      </c>
      <c r="S318" s="133">
        <f t="shared" si="307"/>
        <v>38691.768123121787</v>
      </c>
      <c r="T318" s="133">
        <f t="shared" si="308"/>
        <v>38691.768123121787</v>
      </c>
      <c r="U318" s="133">
        <f t="shared" si="309"/>
        <v>38691.768123121787</v>
      </c>
      <c r="V318" s="200">
        <f t="shared" si="282"/>
        <v>38321.74090666329</v>
      </c>
      <c r="W318" s="200">
        <f t="shared" si="283"/>
        <v>38321.74090666329</v>
      </c>
      <c r="X318" s="200">
        <f t="shared" si="284"/>
        <v>38321.74090666329</v>
      </c>
      <c r="Y318" s="65">
        <v>18374.973907643383</v>
      </c>
      <c r="Z318" s="65">
        <v>20710.738601685898</v>
      </c>
      <c r="AA318" s="65">
        <v>10050.373806840751</v>
      </c>
      <c r="AB318" s="200">
        <f t="shared" si="297"/>
        <v>59032.479508349192</v>
      </c>
      <c r="AC318" s="200">
        <f t="shared" si="298"/>
        <v>59032.479508349192</v>
      </c>
      <c r="AD318" s="200">
        <f t="shared" si="299"/>
        <v>59032.479508349192</v>
      </c>
      <c r="AE318" s="199">
        <f t="shared" si="338"/>
        <v>57066.74203076517</v>
      </c>
      <c r="AF318" s="199">
        <f t="shared" si="300"/>
        <v>59402.506724807681</v>
      </c>
      <c r="AG318" s="199">
        <f t="shared" si="339"/>
        <v>48742.141929962541</v>
      </c>
      <c r="AH318" s="199">
        <f t="shared" si="310"/>
        <v>54072.324327385111</v>
      </c>
      <c r="AI318" s="200">
        <f t="shared" si="301"/>
        <v>59032.479508349192</v>
      </c>
      <c r="AJ318" s="200">
        <f t="shared" si="302"/>
        <v>59032.479508349192</v>
      </c>
      <c r="AK318" s="200">
        <f t="shared" si="303"/>
        <v>59032.479508349192</v>
      </c>
      <c r="AL318" s="4"/>
      <c r="AM318" s="4"/>
      <c r="AN318" s="4"/>
      <c r="AO318" s="4"/>
      <c r="AP318" s="63"/>
      <c r="AQ318" s="18"/>
      <c r="AR318" s="18"/>
      <c r="AS318" s="66">
        <v>3285.6</v>
      </c>
      <c r="AT318" s="18"/>
      <c r="AU318" s="133">
        <f t="shared" si="313"/>
        <v>104.364</v>
      </c>
      <c r="AV318" s="133">
        <f t="shared" si="313"/>
        <v>3268.3739999999998</v>
      </c>
      <c r="AW318" s="63"/>
      <c r="AX318" s="63"/>
      <c r="AY318" s="63"/>
      <c r="AZ318" s="64"/>
      <c r="BA318" s="65">
        <v>2363</v>
      </c>
      <c r="BB318" s="5"/>
      <c r="BC318" s="65">
        <v>283.87477427119757</v>
      </c>
      <c r="BD318" s="65">
        <v>0</v>
      </c>
      <c r="BE318" s="65">
        <v>0</v>
      </c>
      <c r="BF318" s="65">
        <v>16.150028368125135</v>
      </c>
      <c r="BG318" s="65">
        <v>0</v>
      </c>
      <c r="BH318" s="65">
        <v>37.064324106550004</v>
      </c>
      <c r="BI318" s="65">
        <v>720.18994392164086</v>
      </c>
      <c r="BJ318" s="65">
        <v>0</v>
      </c>
      <c r="BK318" s="65">
        <v>19.844702933795372</v>
      </c>
      <c r="BL318" s="65">
        <v>0</v>
      </c>
      <c r="BM318" s="65">
        <v>0</v>
      </c>
      <c r="BN318" s="65">
        <v>61.827338430677763</v>
      </c>
      <c r="BO318" s="65">
        <v>205.33566960000002</v>
      </c>
      <c r="BP318" s="62"/>
      <c r="BQ318" s="65">
        <v>60.765006479327845</v>
      </c>
      <c r="BR318" s="65">
        <v>79.391462521162836</v>
      </c>
      <c r="BS318" s="65">
        <v>287.2749535390721</v>
      </c>
      <c r="BT318" s="65">
        <v>106.11471055928182</v>
      </c>
      <c r="BU318" s="65">
        <v>118.0182839348972</v>
      </c>
      <c r="BV318" s="144">
        <f t="shared" si="294"/>
        <v>273.80571132720092</v>
      </c>
      <c r="BW318" s="144">
        <f t="shared" si="295"/>
        <v>589.59112707595602</v>
      </c>
      <c r="BX318" s="144">
        <f t="shared" si="296"/>
        <v>155.06139208428229</v>
      </c>
      <c r="BY318" s="5"/>
      <c r="BZ318" s="66">
        <v>7029.75</v>
      </c>
      <c r="CA318" s="4"/>
      <c r="CB318" s="5"/>
      <c r="CC318" s="5"/>
      <c r="CD318" s="188">
        <v>3.0642236760841479</v>
      </c>
      <c r="CE318" s="5"/>
      <c r="CF318" s="133">
        <f t="shared" si="311"/>
        <v>1161.3333333333333</v>
      </c>
      <c r="CG318" s="70"/>
      <c r="CH318" s="70">
        <v>4042</v>
      </c>
      <c r="CI318" s="70"/>
      <c r="CJ318" s="63"/>
      <c r="CK318" s="8">
        <f t="shared" si="335"/>
        <v>24271.794986162578</v>
      </c>
      <c r="CL318" s="202">
        <f t="shared" si="315"/>
        <v>34760.68452218661</v>
      </c>
      <c r="CM318" s="202">
        <f t="shared" si="316"/>
        <v>34760.68452218661</v>
      </c>
      <c r="CN318" s="202">
        <f t="shared" si="317"/>
        <v>34760.68452218661</v>
      </c>
      <c r="CO318" s="9">
        <f t="shared" si="318"/>
        <v>32794.947044602595</v>
      </c>
      <c r="CP318" s="9">
        <f t="shared" si="319"/>
        <v>35130.711738645099</v>
      </c>
      <c r="CQ318" s="9">
        <f t="shared" si="320"/>
        <v>24470.346943799963</v>
      </c>
      <c r="CR318" s="202">
        <f t="shared" si="321"/>
        <v>34760.68452218661</v>
      </c>
      <c r="CS318" s="202">
        <f t="shared" si="322"/>
        <v>34760.68452218661</v>
      </c>
      <c r="CT318" s="202">
        <f t="shared" si="323"/>
        <v>34760.68452218661</v>
      </c>
      <c r="CU318" s="203">
        <f t="shared" si="324"/>
        <v>0.5888399879471482</v>
      </c>
      <c r="CV318" s="203">
        <f t="shared" si="325"/>
        <v>0.5888399879471482</v>
      </c>
      <c r="CW318" s="203">
        <f t="shared" si="326"/>
        <v>0.5888399879471482</v>
      </c>
      <c r="CX318" s="19">
        <f t="shared" si="327"/>
        <v>0.57467705142379699</v>
      </c>
      <c r="CY318" s="19">
        <f t="shared" si="328"/>
        <v>0.59140116597089343</v>
      </c>
      <c r="CZ318" s="19">
        <f t="shared" si="329"/>
        <v>0.50203675864227182</v>
      </c>
      <c r="DA318" s="203">
        <f t="shared" si="330"/>
        <v>0.5888399879471482</v>
      </c>
      <c r="DB318" s="203">
        <f t="shared" si="331"/>
        <v>0.5888399879471482</v>
      </c>
      <c r="DC318" s="203">
        <f t="shared" si="332"/>
        <v>0.5888399879471482</v>
      </c>
      <c r="DD318" s="65"/>
      <c r="DE318" s="66"/>
      <c r="DF318" s="66"/>
      <c r="DG318" s="66"/>
      <c r="DH318" s="66"/>
      <c r="DI318" s="66"/>
      <c r="DJ318" s="66"/>
      <c r="DK318" s="70"/>
      <c r="DL318" s="70"/>
      <c r="DM318" s="8">
        <f t="shared" si="333"/>
        <v>0</v>
      </c>
      <c r="DN318" s="8">
        <f t="shared" si="334"/>
        <v>24271.794986162578</v>
      </c>
      <c r="DO318" s="202">
        <f t="shared" si="340"/>
        <v>34760.68452218661</v>
      </c>
      <c r="DP318" s="202">
        <f t="shared" si="341"/>
        <v>34760.68452218661</v>
      </c>
      <c r="DQ318" s="202">
        <f t="shared" si="342"/>
        <v>34760.68452218661</v>
      </c>
      <c r="DR318" s="9">
        <f t="shared" si="343"/>
        <v>32794.947044602595</v>
      </c>
      <c r="DS318" s="9">
        <f t="shared" si="336"/>
        <v>35130.711738645099</v>
      </c>
      <c r="DT318" s="9">
        <f t="shared" si="344"/>
        <v>24470.346943799963</v>
      </c>
      <c r="DU318" s="202">
        <f t="shared" si="345"/>
        <v>34760.68452218661</v>
      </c>
      <c r="DV318" s="202">
        <f t="shared" si="346"/>
        <v>34760.68452218661</v>
      </c>
      <c r="DW318" s="202">
        <f t="shared" si="347"/>
        <v>34760.68452218661</v>
      </c>
      <c r="DX318" s="203">
        <f t="shared" si="348"/>
        <v>0.5888399879471482</v>
      </c>
      <c r="DY318" s="203">
        <f t="shared" si="349"/>
        <v>0.5888399879471482</v>
      </c>
      <c r="DZ318" s="203">
        <f t="shared" si="350"/>
        <v>0.5888399879471482</v>
      </c>
      <c r="EA318" s="19">
        <f t="shared" si="351"/>
        <v>0.57467705142379699</v>
      </c>
      <c r="EB318" s="19">
        <f t="shared" si="337"/>
        <v>0.59140116597089343</v>
      </c>
      <c r="EC318" s="19">
        <f t="shared" si="352"/>
        <v>0.50203675864227182</v>
      </c>
      <c r="ED318" s="203">
        <f t="shared" si="353"/>
        <v>0.5888399879471482</v>
      </c>
      <c r="EE318" s="203">
        <f t="shared" si="354"/>
        <v>0.5888399879471482</v>
      </c>
      <c r="EF318" s="203">
        <f t="shared" si="355"/>
        <v>0.5888399879471482</v>
      </c>
      <c r="EH318" s="58">
        <f t="shared" si="288"/>
        <v>20463.900022791171</v>
      </c>
      <c r="EI318" s="68">
        <f t="shared" si="289"/>
        <v>0.34449556342114829</v>
      </c>
      <c r="EJ318" s="58">
        <f t="shared" si="290"/>
        <v>16949.025022791175</v>
      </c>
      <c r="EK318" s="68">
        <f t="shared" si="289"/>
        <v>0.28532508066217549</v>
      </c>
      <c r="EL318" s="58">
        <f t="shared" si="291"/>
        <v>2569.2922973735594</v>
      </c>
      <c r="EM318" s="58">
        <f t="shared" si="292"/>
        <v>2724.3536894578419</v>
      </c>
      <c r="EN318" s="68">
        <f t="shared" si="293"/>
        <v>4.5862604790044947E-2</v>
      </c>
      <c r="EO318" s="139">
        <f t="shared" si="312"/>
        <v>0.4050825009776523</v>
      </c>
      <c r="EP318">
        <f>+(SUM(M318:O318)*EO318*(1-'[1]Tier 3 Data'!$A$2))</f>
        <v>549.88301924038387</v>
      </c>
    </row>
    <row r="319" spans="1:146" x14ac:dyDescent="0.2">
      <c r="A319" s="43">
        <v>0</v>
      </c>
      <c r="B319" s="43">
        <v>0</v>
      </c>
      <c r="C319" s="43">
        <v>0</v>
      </c>
      <c r="D319" s="70">
        <v>2033</v>
      </c>
      <c r="E319" s="70">
        <v>12</v>
      </c>
      <c r="F319" s="2">
        <v>744</v>
      </c>
      <c r="G319" s="133">
        <f t="shared" si="305"/>
        <v>48828.394348638554</v>
      </c>
      <c r="H319" s="65">
        <v>48828.394348638554</v>
      </c>
      <c r="I319" s="133">
        <f t="shared" si="306"/>
        <v>48828.394348638554</v>
      </c>
      <c r="J319" s="133">
        <f t="shared" si="285"/>
        <v>4292.1029999999973</v>
      </c>
      <c r="K319" s="65">
        <v>4292.1029999999973</v>
      </c>
      <c r="L319" s="133">
        <f t="shared" si="286"/>
        <v>4292.1029999999973</v>
      </c>
      <c r="M319" s="65">
        <v>248.30627982623952</v>
      </c>
      <c r="N319" s="65">
        <v>534.68270867382159</v>
      </c>
      <c r="O319" s="65">
        <v>140.96083712272832</v>
      </c>
      <c r="P319" s="200">
        <f t="shared" si="279"/>
        <v>44259.106400951721</v>
      </c>
      <c r="Q319" s="200">
        <f t="shared" si="280"/>
        <v>44259.106400951721</v>
      </c>
      <c r="R319" s="200">
        <f t="shared" si="281"/>
        <v>44259.106400951721</v>
      </c>
      <c r="S319" s="133">
        <f t="shared" si="307"/>
        <v>44494.003097501743</v>
      </c>
      <c r="T319" s="133">
        <f t="shared" si="308"/>
        <v>44494.003097501743</v>
      </c>
      <c r="U319" s="133">
        <f t="shared" si="309"/>
        <v>44494.003097501743</v>
      </c>
      <c r="V319" s="200">
        <f t="shared" si="282"/>
        <v>44259.106400951721</v>
      </c>
      <c r="W319" s="200">
        <f t="shared" si="283"/>
        <v>44259.106400951721</v>
      </c>
      <c r="X319" s="200">
        <f t="shared" si="284"/>
        <v>44259.106400951721</v>
      </c>
      <c r="Y319" s="65">
        <v>20085.765397977641</v>
      </c>
      <c r="Z319" s="65">
        <v>22082.87655137937</v>
      </c>
      <c r="AA319" s="65">
        <v>10871.058189725802</v>
      </c>
      <c r="AB319" s="200">
        <f t="shared" si="297"/>
        <v>66341.982952331091</v>
      </c>
      <c r="AC319" s="200">
        <f t="shared" si="298"/>
        <v>66341.982952331091</v>
      </c>
      <c r="AD319" s="200">
        <f t="shared" si="299"/>
        <v>66341.982952331091</v>
      </c>
      <c r="AE319" s="199">
        <f t="shared" si="338"/>
        <v>64579.76849547938</v>
      </c>
      <c r="AF319" s="199">
        <f t="shared" si="300"/>
        <v>66576.87964888112</v>
      </c>
      <c r="AG319" s="199">
        <f t="shared" si="339"/>
        <v>55365.061287227545</v>
      </c>
      <c r="AH319" s="199">
        <f t="shared" si="310"/>
        <v>60970.970468054336</v>
      </c>
      <c r="AI319" s="200">
        <f t="shared" si="301"/>
        <v>66341.982952331091</v>
      </c>
      <c r="AJ319" s="200">
        <f t="shared" si="302"/>
        <v>66341.982952331091</v>
      </c>
      <c r="AK319" s="200">
        <f t="shared" si="303"/>
        <v>66341.982952331091</v>
      </c>
      <c r="AL319" s="4"/>
      <c r="AM319" s="4"/>
      <c r="AN319" s="4"/>
      <c r="AO319" s="4"/>
      <c r="AP319" s="63"/>
      <c r="AQ319" s="18"/>
      <c r="AR319" s="18"/>
      <c r="AS319" s="66">
        <v>3395.12</v>
      </c>
      <c r="AT319" s="18"/>
      <c r="AU319" s="133">
        <f t="shared" si="313"/>
        <v>105.066</v>
      </c>
      <c r="AV319" s="133">
        <f t="shared" si="313"/>
        <v>3218.8470000000002</v>
      </c>
      <c r="AW319" s="63"/>
      <c r="AX319" s="63"/>
      <c r="AY319" s="63"/>
      <c r="AZ319" s="64"/>
      <c r="BA319" s="65">
        <v>2225.2240000000002</v>
      </c>
      <c r="BB319" s="5"/>
      <c r="BC319" s="65">
        <v>133.02629953839877</v>
      </c>
      <c r="BD319" s="65">
        <v>0</v>
      </c>
      <c r="BE319" s="65">
        <v>0</v>
      </c>
      <c r="BF319" s="65">
        <v>16.575287048273818</v>
      </c>
      <c r="BG319" s="65">
        <v>0</v>
      </c>
      <c r="BH319" s="65">
        <v>0</v>
      </c>
      <c r="BI319" s="65">
        <v>337.48755397736403</v>
      </c>
      <c r="BJ319" s="65">
        <v>0</v>
      </c>
      <c r="BK319" s="65">
        <v>20.28324216774827</v>
      </c>
      <c r="BL319" s="65">
        <v>0</v>
      </c>
      <c r="BM319" s="65">
        <v>0</v>
      </c>
      <c r="BN319" s="65">
        <v>38.047592880417085</v>
      </c>
      <c r="BO319" s="65">
        <v>212.18019192</v>
      </c>
      <c r="BP319" s="62"/>
      <c r="BQ319" s="65">
        <v>55.365607040099356</v>
      </c>
      <c r="BR319" s="65">
        <v>71.975259044039262</v>
      </c>
      <c r="BS319" s="65">
        <v>261.74844839773817</v>
      </c>
      <c r="BT319" s="65">
        <v>97.69998217402464</v>
      </c>
      <c r="BU319" s="65">
        <v>103.86709370167129</v>
      </c>
      <c r="BV319" s="144">
        <f t="shared" si="294"/>
        <v>173.81439587836766</v>
      </c>
      <c r="BW319" s="144">
        <f t="shared" si="295"/>
        <v>374.27789607167512</v>
      </c>
      <c r="BX319" s="144">
        <f t="shared" si="296"/>
        <v>98.672585985909819</v>
      </c>
      <c r="BY319" s="5"/>
      <c r="BZ319" s="66">
        <v>7254</v>
      </c>
      <c r="CA319" s="4"/>
      <c r="CB319" s="5"/>
      <c r="CC319" s="5"/>
      <c r="CD319" s="188">
        <v>4.9023166732340453</v>
      </c>
      <c r="CE319" s="5"/>
      <c r="CF319" s="133">
        <f t="shared" si="311"/>
        <v>1762.3333333333333</v>
      </c>
      <c r="CG319" s="70"/>
      <c r="CH319" s="70">
        <v>7440</v>
      </c>
      <c r="CI319" s="70"/>
      <c r="CJ319" s="63"/>
      <c r="CK319" s="8">
        <f t="shared" si="335"/>
        <v>27400.514085832292</v>
      </c>
      <c r="CL319" s="202">
        <f t="shared" si="315"/>
        <v>38941.468866498799</v>
      </c>
      <c r="CM319" s="202">
        <f t="shared" si="316"/>
        <v>38941.468866498799</v>
      </c>
      <c r="CN319" s="202">
        <f t="shared" si="317"/>
        <v>38941.468866498799</v>
      </c>
      <c r="CO319" s="9">
        <f t="shared" si="318"/>
        <v>37179.254409647088</v>
      </c>
      <c r="CP319" s="9">
        <f t="shared" si="319"/>
        <v>39176.365563048828</v>
      </c>
      <c r="CQ319" s="9">
        <f t="shared" si="320"/>
        <v>27964.547201395253</v>
      </c>
      <c r="CR319" s="202">
        <f t="shared" si="321"/>
        <v>38941.468866498799</v>
      </c>
      <c r="CS319" s="202">
        <f t="shared" si="322"/>
        <v>38941.468866498799</v>
      </c>
      <c r="CT319" s="202">
        <f t="shared" si="323"/>
        <v>38941.468866498799</v>
      </c>
      <c r="CU319" s="203">
        <f t="shared" si="324"/>
        <v>0.58698077949342475</v>
      </c>
      <c r="CV319" s="203">
        <f t="shared" si="325"/>
        <v>0.58698077949342475</v>
      </c>
      <c r="CW319" s="203">
        <f t="shared" si="326"/>
        <v>0.58698077949342475</v>
      </c>
      <c r="CX319" s="19">
        <f t="shared" si="327"/>
        <v>0.57571055573309549</v>
      </c>
      <c r="CY319" s="19">
        <f t="shared" si="328"/>
        <v>0.5884379948363534</v>
      </c>
      <c r="CZ319" s="19">
        <f t="shared" si="329"/>
        <v>0.50509376403140627</v>
      </c>
      <c r="DA319" s="203">
        <f t="shared" si="330"/>
        <v>0.58698077949342475</v>
      </c>
      <c r="DB319" s="203">
        <f t="shared" si="331"/>
        <v>0.58698077949342475</v>
      </c>
      <c r="DC319" s="203">
        <f t="shared" si="332"/>
        <v>0.58698077949342475</v>
      </c>
      <c r="DD319" s="65"/>
      <c r="DE319" s="66"/>
      <c r="DF319" s="66"/>
      <c r="DG319" s="66"/>
      <c r="DH319" s="66"/>
      <c r="DI319" s="66"/>
      <c r="DJ319" s="66"/>
      <c r="DK319" s="70"/>
      <c r="DL319" s="70"/>
      <c r="DM319" s="8">
        <f t="shared" si="333"/>
        <v>0</v>
      </c>
      <c r="DN319" s="8">
        <f t="shared" si="334"/>
        <v>27400.514085832292</v>
      </c>
      <c r="DO319" s="202">
        <f t="shared" si="340"/>
        <v>38941.468866498799</v>
      </c>
      <c r="DP319" s="202">
        <f t="shared" si="341"/>
        <v>38941.468866498799</v>
      </c>
      <c r="DQ319" s="202">
        <f t="shared" si="342"/>
        <v>38941.468866498799</v>
      </c>
      <c r="DR319" s="9">
        <f t="shared" si="343"/>
        <v>37179.254409647088</v>
      </c>
      <c r="DS319" s="9">
        <f t="shared" si="336"/>
        <v>39176.365563048828</v>
      </c>
      <c r="DT319" s="9">
        <f t="shared" si="344"/>
        <v>27964.547201395253</v>
      </c>
      <c r="DU319" s="202">
        <f t="shared" si="345"/>
        <v>38941.468866498799</v>
      </c>
      <c r="DV319" s="202">
        <f t="shared" si="346"/>
        <v>38941.468866498799</v>
      </c>
      <c r="DW319" s="202">
        <f t="shared" si="347"/>
        <v>38941.468866498799</v>
      </c>
      <c r="DX319" s="203">
        <f t="shared" si="348"/>
        <v>0.58698077949342475</v>
      </c>
      <c r="DY319" s="203">
        <f t="shared" si="349"/>
        <v>0.58698077949342475</v>
      </c>
      <c r="DZ319" s="203">
        <f t="shared" si="350"/>
        <v>0.58698077949342475</v>
      </c>
      <c r="EA319" s="19">
        <f t="shared" si="351"/>
        <v>0.57571055573309549</v>
      </c>
      <c r="EB319" s="19">
        <f t="shared" si="337"/>
        <v>0.5884379948363534</v>
      </c>
      <c r="EC319" s="19">
        <f t="shared" si="352"/>
        <v>0.50509376403140627</v>
      </c>
      <c r="ED319" s="203">
        <f t="shared" si="353"/>
        <v>0.58698077949342475</v>
      </c>
      <c r="EE319" s="203">
        <f t="shared" si="354"/>
        <v>0.58698077949342475</v>
      </c>
      <c r="EF319" s="203">
        <f t="shared" si="355"/>
        <v>0.58698077949342475</v>
      </c>
      <c r="EH319" s="58">
        <f t="shared" si="288"/>
        <v>23578.222086232417</v>
      </c>
      <c r="EI319" s="68">
        <f t="shared" si="289"/>
        <v>0.35415030278651199</v>
      </c>
      <c r="EJ319" s="58">
        <f t="shared" si="290"/>
        <v>19951.222086232417</v>
      </c>
      <c r="EK319" s="68">
        <f t="shared" si="289"/>
        <v>0.29967193102850254</v>
      </c>
      <c r="EL319" s="58">
        <f t="shared" si="291"/>
        <v>1705.959166913176</v>
      </c>
      <c r="EM319" s="58">
        <f t="shared" si="292"/>
        <v>1804.6317528990858</v>
      </c>
      <c r="EN319" s="68">
        <f t="shared" si="293"/>
        <v>2.7105982773847438E-2</v>
      </c>
      <c r="EO319" s="139">
        <f t="shared" si="312"/>
        <v>0.32946562535829382</v>
      </c>
      <c r="EP319">
        <f>+(SUM(M319:O319)*EO319*(1-'[1]Tier 3 Data'!$A$2))</f>
        <v>284.01425672289946</v>
      </c>
    </row>
    <row r="320" spans="1:146" x14ac:dyDescent="0.2">
      <c r="A320" s="43">
        <v>0</v>
      </c>
      <c r="B320" s="43">
        <v>0</v>
      </c>
      <c r="C320" s="43">
        <v>0</v>
      </c>
      <c r="D320" s="70">
        <v>2034</v>
      </c>
      <c r="E320" s="70">
        <v>1</v>
      </c>
      <c r="F320" s="2">
        <v>744</v>
      </c>
      <c r="G320" s="133">
        <f t="shared" si="305"/>
        <v>50516.810439899396</v>
      </c>
      <c r="H320" s="65">
        <v>50516.810439899396</v>
      </c>
      <c r="I320" s="133">
        <f t="shared" si="306"/>
        <v>50516.810439899396</v>
      </c>
      <c r="J320" s="133">
        <f t="shared" si="285"/>
        <v>4332.1307499999975</v>
      </c>
      <c r="K320" s="65">
        <v>4332.1307499999975</v>
      </c>
      <c r="L320" s="133">
        <f t="shared" si="286"/>
        <v>4332.1307499999975</v>
      </c>
      <c r="M320" s="65">
        <v>350.79787520860157</v>
      </c>
      <c r="N320" s="65">
        <v>755.37984075477868</v>
      </c>
      <c r="O320" s="65">
        <v>199.34297380301393</v>
      </c>
      <c r="P320" s="200">
        <f t="shared" ref="P320:P383" si="356">+$G320-J320-(30%*SUM($M320:$O320))</f>
        <v>45793.023482969482</v>
      </c>
      <c r="Q320" s="200">
        <f t="shared" ref="Q320:Q383" si="357">+$G320-K320-(30%*SUM($M320:$O320))</f>
        <v>45793.023482969482</v>
      </c>
      <c r="R320" s="200">
        <f t="shared" ref="R320:R383" si="358">+$G320-L320-(30%*SUM($M320:$O320))</f>
        <v>45793.023482969482</v>
      </c>
      <c r="S320" s="133">
        <f t="shared" si="307"/>
        <v>46124.876797758494</v>
      </c>
      <c r="T320" s="133">
        <f t="shared" si="308"/>
        <v>46124.876797758494</v>
      </c>
      <c r="U320" s="133">
        <f t="shared" si="309"/>
        <v>46124.876797758494</v>
      </c>
      <c r="V320" s="200">
        <f t="shared" ref="V320:V383" si="359">+$I320-J320-(30%*SUM($M320:$O320))</f>
        <v>45793.023482969482</v>
      </c>
      <c r="W320" s="200">
        <f t="shared" ref="W320:W383" si="360">+$I320-K320-(30%*SUM($M320:$O320))</f>
        <v>45793.023482969482</v>
      </c>
      <c r="X320" s="200">
        <f t="shared" ref="X320:X383" si="361">+$I320-L320-(30%*SUM($M320:$O320))</f>
        <v>45793.023482969482</v>
      </c>
      <c r="Y320" s="65">
        <v>21046.84138101252</v>
      </c>
      <c r="Z320" s="65">
        <v>23679.856784726031</v>
      </c>
      <c r="AA320" s="65">
        <v>11595.539959798591</v>
      </c>
      <c r="AB320" s="200">
        <f t="shared" si="297"/>
        <v>69472.880267695509</v>
      </c>
      <c r="AC320" s="200">
        <f t="shared" si="298"/>
        <v>69472.880267695509</v>
      </c>
      <c r="AD320" s="200">
        <f t="shared" si="299"/>
        <v>69472.880267695509</v>
      </c>
      <c r="AE320" s="199">
        <f t="shared" si="338"/>
        <v>67171.718178771014</v>
      </c>
      <c r="AF320" s="199">
        <f t="shared" si="300"/>
        <v>69804.733582484521</v>
      </c>
      <c r="AG320" s="199">
        <f t="shared" si="339"/>
        <v>57720.416757557083</v>
      </c>
      <c r="AH320" s="199">
        <f t="shared" si="310"/>
        <v>63762.575170020806</v>
      </c>
      <c r="AI320" s="200">
        <f t="shared" si="301"/>
        <v>69472.880267695509</v>
      </c>
      <c r="AJ320" s="200">
        <f t="shared" si="302"/>
        <v>69472.880267695509</v>
      </c>
      <c r="AK320" s="200">
        <f t="shared" si="303"/>
        <v>69472.880267695509</v>
      </c>
      <c r="AL320" s="4"/>
      <c r="AM320" s="4"/>
      <c r="AN320" s="4"/>
      <c r="AO320" s="4"/>
      <c r="AP320" s="63"/>
      <c r="AQ320" s="18"/>
      <c r="AR320" s="18"/>
      <c r="AS320" s="66">
        <v>3395.12</v>
      </c>
      <c r="AT320" s="18"/>
      <c r="AU320" s="133">
        <f t="shared" si="313"/>
        <v>98.513999999999996</v>
      </c>
      <c r="AV320" s="133">
        <f t="shared" si="313"/>
        <v>3278.6750000000002</v>
      </c>
      <c r="AW320" s="63"/>
      <c r="AX320" s="63"/>
      <c r="AY320" s="63"/>
      <c r="AZ320" s="64"/>
      <c r="BA320" s="65">
        <v>1660.8</v>
      </c>
      <c r="BB320" s="5"/>
      <c r="BC320" s="65">
        <v>187.65082722949612</v>
      </c>
      <c r="BD320" s="65">
        <v>0</v>
      </c>
      <c r="BE320" s="65">
        <v>0</v>
      </c>
      <c r="BF320" s="65">
        <v>17.091620468604344</v>
      </c>
      <c r="BG320" s="65">
        <v>0</v>
      </c>
      <c r="BH320" s="65">
        <v>0</v>
      </c>
      <c r="BI320" s="65">
        <v>476.06991176380893</v>
      </c>
      <c r="BJ320" s="65">
        <v>0</v>
      </c>
      <c r="BK320" s="65">
        <v>22.517673403701547</v>
      </c>
      <c r="BL320" s="65">
        <v>0</v>
      </c>
      <c r="BM320" s="65">
        <v>0</v>
      </c>
      <c r="BN320" s="65">
        <v>33.291643770364956</v>
      </c>
      <c r="BO320" s="65">
        <v>212.18019192</v>
      </c>
      <c r="BP320" s="62"/>
      <c r="BQ320" s="65">
        <v>78.34181466877537</v>
      </c>
      <c r="BR320" s="65">
        <v>102.35617842775734</v>
      </c>
      <c r="BS320" s="65">
        <v>370.37189527802406</v>
      </c>
      <c r="BT320" s="65">
        <v>126.62174879297</v>
      </c>
      <c r="BU320" s="65">
        <v>144.72470888048983</v>
      </c>
      <c r="BV320" s="144">
        <f t="shared" si="294"/>
        <v>245.55851264602109</v>
      </c>
      <c r="BW320" s="144">
        <f t="shared" si="295"/>
        <v>528.76588852834504</v>
      </c>
      <c r="BX320" s="144">
        <f t="shared" si="296"/>
        <v>139.54008166210974</v>
      </c>
      <c r="BY320" s="5"/>
      <c r="BZ320" s="66">
        <v>7254</v>
      </c>
      <c r="CA320" s="4"/>
      <c r="CB320" s="5"/>
      <c r="CC320" s="5"/>
      <c r="CD320" s="188">
        <v>2.5304839482857915</v>
      </c>
      <c r="CE320" s="5"/>
      <c r="CF320" s="133">
        <f t="shared" si="311"/>
        <v>1154.6666666666667</v>
      </c>
      <c r="CG320" s="70"/>
      <c r="CH320" s="70">
        <v>7440</v>
      </c>
      <c r="CI320" s="70"/>
      <c r="CJ320" s="63"/>
      <c r="CK320" s="8">
        <f t="shared" si="335"/>
        <v>26969.38884805542</v>
      </c>
      <c r="CL320" s="202">
        <f t="shared" si="315"/>
        <v>42503.491419640093</v>
      </c>
      <c r="CM320" s="202">
        <f t="shared" si="316"/>
        <v>42503.491419640093</v>
      </c>
      <c r="CN320" s="202">
        <f t="shared" si="317"/>
        <v>42503.491419640093</v>
      </c>
      <c r="CO320" s="9">
        <f t="shared" si="318"/>
        <v>40202.329330715598</v>
      </c>
      <c r="CP320" s="9">
        <f t="shared" si="319"/>
        <v>42835.344734429105</v>
      </c>
      <c r="CQ320" s="9">
        <f t="shared" si="320"/>
        <v>30751.027909501663</v>
      </c>
      <c r="CR320" s="202">
        <f t="shared" si="321"/>
        <v>42503.491419640093</v>
      </c>
      <c r="CS320" s="202">
        <f t="shared" si="322"/>
        <v>42503.491419640093</v>
      </c>
      <c r="CT320" s="202">
        <f t="shared" si="323"/>
        <v>42503.491419640093</v>
      </c>
      <c r="CU320" s="203">
        <f t="shared" si="324"/>
        <v>0.61179975921343765</v>
      </c>
      <c r="CV320" s="203">
        <f t="shared" si="325"/>
        <v>0.61179975921343765</v>
      </c>
      <c r="CW320" s="203">
        <f t="shared" si="326"/>
        <v>0.61179975921343765</v>
      </c>
      <c r="CX320" s="19">
        <f t="shared" si="327"/>
        <v>0.5985008336949339</v>
      </c>
      <c r="CY320" s="19">
        <f t="shared" si="328"/>
        <v>0.61364527211915887</v>
      </c>
      <c r="CZ320" s="19">
        <f t="shared" si="329"/>
        <v>0.53275824460286081</v>
      </c>
      <c r="DA320" s="203">
        <f t="shared" si="330"/>
        <v>0.61179975921343765</v>
      </c>
      <c r="DB320" s="203">
        <f t="shared" si="331"/>
        <v>0.61179975921343765</v>
      </c>
      <c r="DC320" s="203">
        <f t="shared" si="332"/>
        <v>0.61179975921343765</v>
      </c>
      <c r="DD320" s="65"/>
      <c r="DE320" s="66"/>
      <c r="DF320" s="66"/>
      <c r="DG320" s="66"/>
      <c r="DH320" s="66"/>
      <c r="DI320" s="66"/>
      <c r="DJ320" s="66"/>
      <c r="DK320" s="70"/>
      <c r="DL320" s="70"/>
      <c r="DM320" s="8">
        <f t="shared" si="333"/>
        <v>0</v>
      </c>
      <c r="DN320" s="8">
        <f t="shared" si="334"/>
        <v>26969.38884805542</v>
      </c>
      <c r="DO320" s="202">
        <f t="shared" si="340"/>
        <v>42503.491419640093</v>
      </c>
      <c r="DP320" s="202">
        <f t="shared" si="341"/>
        <v>42503.491419640093</v>
      </c>
      <c r="DQ320" s="202">
        <f t="shared" si="342"/>
        <v>42503.491419640093</v>
      </c>
      <c r="DR320" s="9">
        <f t="shared" si="343"/>
        <v>40202.329330715598</v>
      </c>
      <c r="DS320" s="9">
        <f t="shared" si="336"/>
        <v>42835.344734429105</v>
      </c>
      <c r="DT320" s="9">
        <f t="shared" si="344"/>
        <v>30751.027909501663</v>
      </c>
      <c r="DU320" s="202">
        <f t="shared" si="345"/>
        <v>42503.491419640093</v>
      </c>
      <c r="DV320" s="202">
        <f t="shared" si="346"/>
        <v>42503.491419640093</v>
      </c>
      <c r="DW320" s="202">
        <f t="shared" si="347"/>
        <v>42503.491419640093</v>
      </c>
      <c r="DX320" s="203">
        <f t="shared" si="348"/>
        <v>0.61179975921343765</v>
      </c>
      <c r="DY320" s="203">
        <f t="shared" si="349"/>
        <v>0.61179975921343765</v>
      </c>
      <c r="DZ320" s="203">
        <f t="shared" si="350"/>
        <v>0.61179975921343765</v>
      </c>
      <c r="EA320" s="19">
        <f t="shared" si="351"/>
        <v>0.5985008336949339</v>
      </c>
      <c r="EB320" s="19">
        <f t="shared" si="337"/>
        <v>0.61364527211915887</v>
      </c>
      <c r="EC320" s="19">
        <f t="shared" si="352"/>
        <v>0.53275824460286081</v>
      </c>
      <c r="ED320" s="203">
        <f t="shared" si="353"/>
        <v>0.61179975921343765</v>
      </c>
      <c r="EE320" s="203">
        <f t="shared" si="354"/>
        <v>0.61179975921343765</v>
      </c>
      <c r="EF320" s="203">
        <f t="shared" si="355"/>
        <v>0.61179975921343765</v>
      </c>
      <c r="EH320" s="58">
        <f t="shared" si="288"/>
        <v>23077.20823099251</v>
      </c>
      <c r="EI320" s="68">
        <f t="shared" si="289"/>
        <v>0.33059660923601131</v>
      </c>
      <c r="EJ320" s="58">
        <f t="shared" si="290"/>
        <v>19450.20823099251</v>
      </c>
      <c r="EK320" s="68">
        <f t="shared" si="289"/>
        <v>0.2786373822057388</v>
      </c>
      <c r="EL320" s="58">
        <f t="shared" si="291"/>
        <v>2282.8924826637331</v>
      </c>
      <c r="EM320" s="58">
        <f t="shared" si="292"/>
        <v>2422.4325643258426</v>
      </c>
      <c r="EN320" s="68">
        <f t="shared" si="293"/>
        <v>3.4702984167447375E-2</v>
      </c>
      <c r="EO320" s="139">
        <f t="shared" si="312"/>
        <v>0.32527353469126524</v>
      </c>
      <c r="EP320">
        <f>+(SUM(M320:O320)*EO320*(1-'[1]Tier 3 Data'!$A$2))</f>
        <v>396.19969030490989</v>
      </c>
    </row>
    <row r="321" spans="1:146" x14ac:dyDescent="0.2">
      <c r="A321" s="43">
        <v>0</v>
      </c>
      <c r="B321" s="43">
        <v>0</v>
      </c>
      <c r="C321" s="43">
        <v>0</v>
      </c>
      <c r="D321" s="70">
        <v>2034</v>
      </c>
      <c r="E321" s="70">
        <v>2</v>
      </c>
      <c r="F321" s="2">
        <v>672</v>
      </c>
      <c r="G321" s="133">
        <f t="shared" si="305"/>
        <v>45683.274485083966</v>
      </c>
      <c r="H321" s="65">
        <v>45683.274485083966</v>
      </c>
      <c r="I321" s="133">
        <f t="shared" si="306"/>
        <v>45683.274485083966</v>
      </c>
      <c r="J321" s="133">
        <f t="shared" ref="J321:J384" si="362">+K321</f>
        <v>4372.1584999999977</v>
      </c>
      <c r="K321" s="65">
        <v>4372.1584999999977</v>
      </c>
      <c r="L321" s="133">
        <f t="shared" ref="L321:L384" si="363">+K321</f>
        <v>4372.1584999999977</v>
      </c>
      <c r="M321" s="65">
        <v>758.12758719225985</v>
      </c>
      <c r="N321" s="65">
        <v>1632.4907776153254</v>
      </c>
      <c r="O321" s="65">
        <v>431.01997929944491</v>
      </c>
      <c r="P321" s="200">
        <f t="shared" si="356"/>
        <v>40464.624481851861</v>
      </c>
      <c r="Q321" s="200">
        <f t="shared" si="357"/>
        <v>40464.624481851861</v>
      </c>
      <c r="R321" s="200">
        <f t="shared" si="358"/>
        <v>40464.624481851861</v>
      </c>
      <c r="S321" s="133">
        <f t="shared" si="307"/>
        <v>41181.809991294132</v>
      </c>
      <c r="T321" s="133">
        <f t="shared" si="308"/>
        <v>41181.809991294132</v>
      </c>
      <c r="U321" s="133">
        <f t="shared" si="309"/>
        <v>41181.809991294132</v>
      </c>
      <c r="V321" s="200">
        <f t="shared" si="359"/>
        <v>40464.624481851861</v>
      </c>
      <c r="W321" s="200">
        <f t="shared" si="360"/>
        <v>40464.624481851861</v>
      </c>
      <c r="X321" s="200">
        <f t="shared" si="361"/>
        <v>40464.624481851861</v>
      </c>
      <c r="Y321" s="65">
        <v>19722.035736115617</v>
      </c>
      <c r="Z321" s="65">
        <v>21220.256962692791</v>
      </c>
      <c r="AA321" s="65">
        <v>10652.339343168565</v>
      </c>
      <c r="AB321" s="200">
        <f t="shared" si="297"/>
        <v>61684.881444544648</v>
      </c>
      <c r="AC321" s="200">
        <f t="shared" si="298"/>
        <v>61684.881444544648</v>
      </c>
      <c r="AD321" s="200">
        <f t="shared" si="299"/>
        <v>61684.881444544648</v>
      </c>
      <c r="AE321" s="199">
        <f t="shared" si="338"/>
        <v>60903.845727409745</v>
      </c>
      <c r="AF321" s="199">
        <f t="shared" si="300"/>
        <v>62402.066953986927</v>
      </c>
      <c r="AG321" s="199">
        <f t="shared" si="339"/>
        <v>51834.149334462694</v>
      </c>
      <c r="AH321" s="199">
        <f t="shared" si="310"/>
        <v>57118.108144224811</v>
      </c>
      <c r="AI321" s="200">
        <f t="shared" si="301"/>
        <v>61684.881444544648</v>
      </c>
      <c r="AJ321" s="200">
        <f t="shared" si="302"/>
        <v>61684.881444544648</v>
      </c>
      <c r="AK321" s="200">
        <f t="shared" si="303"/>
        <v>61684.881444544648</v>
      </c>
      <c r="AL321" s="4"/>
      <c r="AM321" s="4"/>
      <c r="AN321" s="4"/>
      <c r="AO321" s="4"/>
      <c r="AP321" s="63"/>
      <c r="AQ321" s="18"/>
      <c r="AR321" s="18"/>
      <c r="AS321" s="66">
        <v>3066.56</v>
      </c>
      <c r="AT321" s="18"/>
      <c r="AU321" s="133">
        <f t="shared" si="313"/>
        <v>92.897999999999996</v>
      </c>
      <c r="AV321" s="133">
        <f t="shared" si="313"/>
        <v>3057.587</v>
      </c>
      <c r="AW321" s="63"/>
      <c r="AX321" s="63"/>
      <c r="AY321" s="63"/>
      <c r="AZ321" s="64"/>
      <c r="BA321" s="65">
        <v>853.7</v>
      </c>
      <c r="BB321" s="5"/>
      <c r="BC321" s="65">
        <v>233.87491436180096</v>
      </c>
      <c r="BD321" s="65">
        <v>0</v>
      </c>
      <c r="BE321" s="65">
        <v>0</v>
      </c>
      <c r="BF321" s="65">
        <v>16.688576650472424</v>
      </c>
      <c r="BG321" s="65">
        <v>0</v>
      </c>
      <c r="BH321" s="65">
        <v>0</v>
      </c>
      <c r="BI321" s="65">
        <v>593.34036245852292</v>
      </c>
      <c r="BJ321" s="65">
        <v>0</v>
      </c>
      <c r="BK321" s="65">
        <v>19.256201566846642</v>
      </c>
      <c r="BL321" s="65">
        <v>0</v>
      </c>
      <c r="BM321" s="65">
        <v>0</v>
      </c>
      <c r="BN321" s="65">
        <v>19.023796440208542</v>
      </c>
      <c r="BO321" s="65">
        <v>191.64662496000003</v>
      </c>
      <c r="BP321" s="62"/>
      <c r="BQ321" s="65">
        <v>97.464313078425803</v>
      </c>
      <c r="BR321" s="65">
        <v>127.34029056413254</v>
      </c>
      <c r="BS321" s="65">
        <v>460.77594313141509</v>
      </c>
      <c r="BT321" s="65">
        <v>162.40880731463685</v>
      </c>
      <c r="BU321" s="65">
        <v>175.20532260549626</v>
      </c>
      <c r="BV321" s="144">
        <f t="shared" si="294"/>
        <v>530.68931103458192</v>
      </c>
      <c r="BW321" s="144">
        <f t="shared" si="295"/>
        <v>1142.7435443307277</v>
      </c>
      <c r="BX321" s="144">
        <f t="shared" si="296"/>
        <v>301.7139855096114</v>
      </c>
      <c r="BY321" s="5"/>
      <c r="BZ321" s="66">
        <v>6552</v>
      </c>
      <c r="CA321" s="4"/>
      <c r="CB321" s="5"/>
      <c r="CC321" s="5"/>
      <c r="CD321" s="188">
        <v>3.1195892150124847</v>
      </c>
      <c r="CE321" s="5"/>
      <c r="CF321" s="133">
        <f t="shared" si="311"/>
        <v>667.66666666666663</v>
      </c>
      <c r="CG321" s="70"/>
      <c r="CH321" s="70">
        <v>6720</v>
      </c>
      <c r="CI321" s="70"/>
      <c r="CJ321" s="63"/>
      <c r="CK321" s="8">
        <f t="shared" si="335"/>
        <v>25085.70324988856</v>
      </c>
      <c r="CL321" s="202">
        <f t="shared" si="315"/>
        <v>36599.178194656088</v>
      </c>
      <c r="CM321" s="202">
        <f t="shared" si="316"/>
        <v>36599.178194656088</v>
      </c>
      <c r="CN321" s="202">
        <f t="shared" si="317"/>
        <v>36599.178194656088</v>
      </c>
      <c r="CO321" s="9">
        <f t="shared" si="318"/>
        <v>35818.142477521185</v>
      </c>
      <c r="CP321" s="9">
        <f t="shared" si="319"/>
        <v>37316.363704098367</v>
      </c>
      <c r="CQ321" s="9">
        <f t="shared" si="320"/>
        <v>26748.446084574134</v>
      </c>
      <c r="CR321" s="202">
        <f t="shared" si="321"/>
        <v>36599.178194656088</v>
      </c>
      <c r="CS321" s="202">
        <f t="shared" si="322"/>
        <v>36599.178194656088</v>
      </c>
      <c r="CT321" s="202">
        <f t="shared" si="323"/>
        <v>36599.178194656088</v>
      </c>
      <c r="CU321" s="203">
        <f t="shared" si="324"/>
        <v>0.59332493372073891</v>
      </c>
      <c r="CV321" s="203">
        <f t="shared" si="325"/>
        <v>0.59332493372073891</v>
      </c>
      <c r="CW321" s="203">
        <f t="shared" si="326"/>
        <v>0.59332493372073891</v>
      </c>
      <c r="CX321" s="19">
        <f t="shared" si="327"/>
        <v>0.58810970062275147</v>
      </c>
      <c r="CY321" s="19">
        <f t="shared" si="328"/>
        <v>0.59799884083349564</v>
      </c>
      <c r="CZ321" s="19">
        <f t="shared" si="329"/>
        <v>0.51603906744911188</v>
      </c>
      <c r="DA321" s="203">
        <f t="shared" si="330"/>
        <v>0.59332493372073891</v>
      </c>
      <c r="DB321" s="203">
        <f t="shared" si="331"/>
        <v>0.59332493372073891</v>
      </c>
      <c r="DC321" s="203">
        <f t="shared" si="332"/>
        <v>0.59332493372073891</v>
      </c>
      <c r="DD321" s="65"/>
      <c r="DE321" s="66"/>
      <c r="DF321" s="66"/>
      <c r="DG321" s="66"/>
      <c r="DH321" s="66"/>
      <c r="DI321" s="66"/>
      <c r="DJ321" s="66"/>
      <c r="DK321" s="70"/>
      <c r="DL321" s="70"/>
      <c r="DM321" s="8">
        <f t="shared" si="333"/>
        <v>0</v>
      </c>
      <c r="DN321" s="8">
        <f t="shared" si="334"/>
        <v>25085.70324988856</v>
      </c>
      <c r="DO321" s="202">
        <f t="shared" si="340"/>
        <v>36599.178194656088</v>
      </c>
      <c r="DP321" s="202">
        <f t="shared" si="341"/>
        <v>36599.178194656088</v>
      </c>
      <c r="DQ321" s="202">
        <f t="shared" si="342"/>
        <v>36599.178194656088</v>
      </c>
      <c r="DR321" s="9">
        <f t="shared" si="343"/>
        <v>35818.142477521185</v>
      </c>
      <c r="DS321" s="9">
        <f t="shared" si="336"/>
        <v>37316.363704098367</v>
      </c>
      <c r="DT321" s="9">
        <f t="shared" si="344"/>
        <v>26748.446084574134</v>
      </c>
      <c r="DU321" s="202">
        <f t="shared" si="345"/>
        <v>36599.178194656088</v>
      </c>
      <c r="DV321" s="202">
        <f t="shared" si="346"/>
        <v>36599.178194656088</v>
      </c>
      <c r="DW321" s="202">
        <f t="shared" si="347"/>
        <v>36599.178194656088</v>
      </c>
      <c r="DX321" s="203">
        <f t="shared" si="348"/>
        <v>0.59332493372073891</v>
      </c>
      <c r="DY321" s="203">
        <f t="shared" si="349"/>
        <v>0.59332493372073891</v>
      </c>
      <c r="DZ321" s="203">
        <f t="shared" si="350"/>
        <v>0.59332493372073891</v>
      </c>
      <c r="EA321" s="19">
        <f t="shared" si="351"/>
        <v>0.58810970062275147</v>
      </c>
      <c r="EB321" s="19">
        <f t="shared" si="337"/>
        <v>0.59799884083349564</v>
      </c>
      <c r="EC321" s="19">
        <f t="shared" si="352"/>
        <v>0.51603906744911188</v>
      </c>
      <c r="ED321" s="203">
        <f t="shared" si="353"/>
        <v>0.59332493372073891</v>
      </c>
      <c r="EE321" s="203">
        <f t="shared" si="354"/>
        <v>0.59332493372073891</v>
      </c>
      <c r="EF321" s="203">
        <f t="shared" si="355"/>
        <v>0.59332493372073891</v>
      </c>
      <c r="EH321" s="58">
        <f t="shared" si="288"/>
        <v>21259.205772988495</v>
      </c>
      <c r="EI321" s="68">
        <f t="shared" si="289"/>
        <v>0.34068111539741591</v>
      </c>
      <c r="EJ321" s="58">
        <f t="shared" si="290"/>
        <v>17983.205772988491</v>
      </c>
      <c r="EK321" s="68">
        <f t="shared" si="289"/>
        <v>0.28818285436360097</v>
      </c>
      <c r="EL321" s="58">
        <f t="shared" si="291"/>
        <v>3223.0801208122134</v>
      </c>
      <c r="EM321" s="58">
        <f t="shared" si="292"/>
        <v>3524.794106321825</v>
      </c>
      <c r="EN321" s="68">
        <f t="shared" si="293"/>
        <v>5.6485214006146353E-2</v>
      </c>
      <c r="EO321" s="139">
        <f t="shared" si="312"/>
        <v>0.3126447604730192</v>
      </c>
      <c r="EP321">
        <f>+(SUM(M321:O321)*EO321*(1-'[1]Tier 3 Data'!$A$2))</f>
        <v>823.06502447109551</v>
      </c>
    </row>
    <row r="322" spans="1:146" x14ac:dyDescent="0.2">
      <c r="A322" s="43">
        <v>0</v>
      </c>
      <c r="B322" s="43">
        <v>0</v>
      </c>
      <c r="C322" s="43">
        <v>0</v>
      </c>
      <c r="D322" s="70">
        <v>2034</v>
      </c>
      <c r="E322" s="70">
        <v>3</v>
      </c>
      <c r="F322" s="2">
        <v>743</v>
      </c>
      <c r="G322" s="133">
        <f t="shared" si="305"/>
        <v>47871.173999774219</v>
      </c>
      <c r="H322" s="65">
        <v>47871.173999774219</v>
      </c>
      <c r="I322" s="133">
        <f t="shared" si="306"/>
        <v>47871.173999774219</v>
      </c>
      <c r="J322" s="133">
        <f t="shared" si="362"/>
        <v>4412.1862499999979</v>
      </c>
      <c r="K322" s="65">
        <v>4412.1862499999979</v>
      </c>
      <c r="L322" s="133">
        <f t="shared" si="363"/>
        <v>4412.1862499999979</v>
      </c>
      <c r="M322" s="65">
        <v>1050.2026341606518</v>
      </c>
      <c r="N322" s="65">
        <v>2261.4216180208796</v>
      </c>
      <c r="O322" s="65">
        <v>597.49633209175693</v>
      </c>
      <c r="P322" s="200">
        <f t="shared" si="356"/>
        <v>42286.251574492235</v>
      </c>
      <c r="Q322" s="200">
        <f t="shared" si="357"/>
        <v>42286.251574492235</v>
      </c>
      <c r="R322" s="200">
        <f t="shared" si="358"/>
        <v>42286.251574492235</v>
      </c>
      <c r="S322" s="133">
        <f t="shared" si="307"/>
        <v>43279.738850146692</v>
      </c>
      <c r="T322" s="133">
        <f t="shared" si="308"/>
        <v>43279.738850146692</v>
      </c>
      <c r="U322" s="133">
        <f t="shared" si="309"/>
        <v>43279.738850146692</v>
      </c>
      <c r="V322" s="200">
        <f t="shared" si="359"/>
        <v>42286.251574492235</v>
      </c>
      <c r="W322" s="200">
        <f t="shared" si="360"/>
        <v>42286.251574492235</v>
      </c>
      <c r="X322" s="200">
        <f t="shared" si="361"/>
        <v>42286.251574492235</v>
      </c>
      <c r="Y322" s="65">
        <v>18078.722247605849</v>
      </c>
      <c r="Z322" s="65">
        <v>18959.696802328403</v>
      </c>
      <c r="AA322" s="65">
        <v>9699.7615530641669</v>
      </c>
      <c r="AB322" s="200">
        <f t="shared" si="297"/>
        <v>61245.948376820641</v>
      </c>
      <c r="AC322" s="200">
        <f t="shared" si="298"/>
        <v>61245.948376820641</v>
      </c>
      <c r="AD322" s="200">
        <f t="shared" si="299"/>
        <v>61245.948376820641</v>
      </c>
      <c r="AE322" s="199">
        <f t="shared" si="338"/>
        <v>61358.461097752544</v>
      </c>
      <c r="AF322" s="199">
        <f t="shared" si="300"/>
        <v>62239.435652475091</v>
      </c>
      <c r="AG322" s="199">
        <f t="shared" si="339"/>
        <v>52979.500403210855</v>
      </c>
      <c r="AH322" s="199">
        <f t="shared" si="310"/>
        <v>57609.468027842973</v>
      </c>
      <c r="AI322" s="200">
        <f t="shared" si="301"/>
        <v>61245.948376820641</v>
      </c>
      <c r="AJ322" s="200">
        <f t="shared" si="302"/>
        <v>61245.948376820641</v>
      </c>
      <c r="AK322" s="200">
        <f t="shared" si="303"/>
        <v>61245.948376820641</v>
      </c>
      <c r="AL322" s="4"/>
      <c r="AM322" s="4"/>
      <c r="AN322" s="4"/>
      <c r="AO322" s="4"/>
      <c r="AP322" s="63"/>
      <c r="AQ322" s="18"/>
      <c r="AR322" s="18"/>
      <c r="AS322" s="66">
        <v>3395.12</v>
      </c>
      <c r="AT322" s="18"/>
      <c r="AU322" s="133">
        <f t="shared" si="313"/>
        <v>87.516000000000005</v>
      </c>
      <c r="AV322" s="133">
        <f t="shared" si="313"/>
        <v>3232.7139999999999</v>
      </c>
      <c r="AW322" s="63"/>
      <c r="AX322" s="63"/>
      <c r="AY322" s="63"/>
      <c r="AZ322" s="64"/>
      <c r="BA322" s="65">
        <v>2416.2429999999999</v>
      </c>
      <c r="BB322" s="5"/>
      <c r="BC322" s="65">
        <v>449.53123898462314</v>
      </c>
      <c r="BD322" s="65">
        <v>0</v>
      </c>
      <c r="BE322" s="65">
        <v>0</v>
      </c>
      <c r="BF322" s="65">
        <v>18.271865409505512</v>
      </c>
      <c r="BG322" s="65">
        <v>0</v>
      </c>
      <c r="BH322" s="65">
        <v>0</v>
      </c>
      <c r="BI322" s="65">
        <v>1140.4601857510293</v>
      </c>
      <c r="BJ322" s="65">
        <v>0</v>
      </c>
      <c r="BK322" s="65">
        <v>19.397174608663349</v>
      </c>
      <c r="BL322" s="65">
        <v>0</v>
      </c>
      <c r="BM322" s="65">
        <v>0</v>
      </c>
      <c r="BN322" s="65">
        <v>33.291643770364956</v>
      </c>
      <c r="BO322" s="65">
        <v>212.18019192</v>
      </c>
      <c r="BP322" s="62"/>
      <c r="BQ322" s="65">
        <v>135.64613259444286</v>
      </c>
      <c r="BR322" s="65">
        <v>177.22605075729285</v>
      </c>
      <c r="BS322" s="65">
        <v>641.2856493691985</v>
      </c>
      <c r="BT322" s="65">
        <v>214.94420773695708</v>
      </c>
      <c r="BU322" s="65">
        <v>249.78489407889958</v>
      </c>
      <c r="BV322" s="144">
        <f t="shared" si="294"/>
        <v>735.14184391245624</v>
      </c>
      <c r="BW322" s="144">
        <f t="shared" si="295"/>
        <v>1582.9951326146156</v>
      </c>
      <c r="BX322" s="144">
        <f t="shared" si="296"/>
        <v>418.2474324642298</v>
      </c>
      <c r="BY322" s="5"/>
      <c r="BZ322" s="66">
        <v>7244.25</v>
      </c>
      <c r="CA322" s="4"/>
      <c r="CB322" s="5"/>
      <c r="CC322" s="5"/>
      <c r="CD322" s="188">
        <v>13.157281760074044</v>
      </c>
      <c r="CE322" s="5"/>
      <c r="CF322" s="133">
        <f t="shared" si="311"/>
        <v>1476.3333333333333</v>
      </c>
      <c r="CG322" s="70"/>
      <c r="CH322" s="70">
        <v>5942</v>
      </c>
      <c r="CI322" s="70"/>
      <c r="CJ322" s="63"/>
      <c r="CK322" s="8">
        <f t="shared" si="335"/>
        <v>29835.737259065685</v>
      </c>
      <c r="CL322" s="202">
        <f t="shared" si="315"/>
        <v>31410.211117754956</v>
      </c>
      <c r="CM322" s="202">
        <f t="shared" si="316"/>
        <v>31410.211117754956</v>
      </c>
      <c r="CN322" s="202">
        <f t="shared" si="317"/>
        <v>31410.211117754956</v>
      </c>
      <c r="CO322" s="9">
        <f t="shared" si="318"/>
        <v>31522.723838686859</v>
      </c>
      <c r="CP322" s="9">
        <f t="shared" si="319"/>
        <v>32403.698393409406</v>
      </c>
      <c r="CQ322" s="9">
        <f t="shared" si="320"/>
        <v>23143.76314414517</v>
      </c>
      <c r="CR322" s="202">
        <f t="shared" si="321"/>
        <v>31410.211117754956</v>
      </c>
      <c r="CS322" s="202">
        <f t="shared" si="322"/>
        <v>31410.211117754956</v>
      </c>
      <c r="CT322" s="202">
        <f t="shared" si="323"/>
        <v>31410.211117754956</v>
      </c>
      <c r="CU322" s="203">
        <f t="shared" si="324"/>
        <v>0.51285369808466508</v>
      </c>
      <c r="CV322" s="203">
        <f t="shared" si="325"/>
        <v>0.51285369808466508</v>
      </c>
      <c r="CW322" s="203">
        <f t="shared" si="326"/>
        <v>0.51285369808466508</v>
      </c>
      <c r="CX322" s="19">
        <f t="shared" si="327"/>
        <v>0.5137469759625618</v>
      </c>
      <c r="CY322" s="19">
        <f t="shared" si="328"/>
        <v>0.52062969488253708</v>
      </c>
      <c r="CZ322" s="19">
        <f t="shared" si="329"/>
        <v>0.43684374084325128</v>
      </c>
      <c r="DA322" s="203">
        <f t="shared" si="330"/>
        <v>0.51285369808466508</v>
      </c>
      <c r="DB322" s="203">
        <f t="shared" si="331"/>
        <v>0.51285369808466508</v>
      </c>
      <c r="DC322" s="203">
        <f t="shared" si="332"/>
        <v>0.51285369808466508</v>
      </c>
      <c r="DD322" s="65"/>
      <c r="DE322" s="66"/>
      <c r="DF322" s="66"/>
      <c r="DG322" s="66"/>
      <c r="DH322" s="66"/>
      <c r="DI322" s="66"/>
      <c r="DJ322" s="66"/>
      <c r="DK322" s="70"/>
      <c r="DL322" s="70"/>
      <c r="DM322" s="8">
        <f t="shared" si="333"/>
        <v>0</v>
      </c>
      <c r="DN322" s="8">
        <f t="shared" si="334"/>
        <v>29835.737259065685</v>
      </c>
      <c r="DO322" s="202">
        <f t="shared" si="340"/>
        <v>31410.211117754956</v>
      </c>
      <c r="DP322" s="202">
        <f t="shared" si="341"/>
        <v>31410.211117754956</v>
      </c>
      <c r="DQ322" s="202">
        <f t="shared" si="342"/>
        <v>31410.211117754956</v>
      </c>
      <c r="DR322" s="9">
        <f t="shared" si="343"/>
        <v>31522.723838686859</v>
      </c>
      <c r="DS322" s="9">
        <f t="shared" si="336"/>
        <v>32403.698393409406</v>
      </c>
      <c r="DT322" s="9">
        <f t="shared" si="344"/>
        <v>23143.76314414517</v>
      </c>
      <c r="DU322" s="202">
        <f t="shared" si="345"/>
        <v>31410.211117754956</v>
      </c>
      <c r="DV322" s="202">
        <f t="shared" si="346"/>
        <v>31410.211117754956</v>
      </c>
      <c r="DW322" s="202">
        <f t="shared" si="347"/>
        <v>31410.211117754956</v>
      </c>
      <c r="DX322" s="203">
        <f t="shared" si="348"/>
        <v>0.51285369808466508</v>
      </c>
      <c r="DY322" s="203">
        <f t="shared" si="349"/>
        <v>0.51285369808466508</v>
      </c>
      <c r="DZ322" s="203">
        <f t="shared" si="350"/>
        <v>0.51285369808466508</v>
      </c>
      <c r="EA322" s="19">
        <f t="shared" si="351"/>
        <v>0.5137469759625618</v>
      </c>
      <c r="EB322" s="19">
        <f t="shared" si="337"/>
        <v>0.52062969488253708</v>
      </c>
      <c r="EC322" s="19">
        <f t="shared" si="352"/>
        <v>0.43684374084325128</v>
      </c>
      <c r="ED322" s="203">
        <f t="shared" si="353"/>
        <v>0.51285369808466508</v>
      </c>
      <c r="EE322" s="203">
        <f t="shared" si="354"/>
        <v>0.51285369808466508</v>
      </c>
      <c r="EF322" s="203">
        <f t="shared" si="355"/>
        <v>0.51285369808466508</v>
      </c>
      <c r="EH322" s="58">
        <f t="shared" si="288"/>
        <v>25447.041267983648</v>
      </c>
      <c r="EI322" s="68">
        <f t="shared" si="289"/>
        <v>0.40885719803231679</v>
      </c>
      <c r="EJ322" s="58">
        <f t="shared" si="290"/>
        <v>21824.916267983652</v>
      </c>
      <c r="EK322" s="68">
        <f t="shared" si="289"/>
        <v>0.35066057458886574</v>
      </c>
      <c r="EL322" s="58">
        <f t="shared" si="291"/>
        <v>4856.7425021860872</v>
      </c>
      <c r="EM322" s="58">
        <f t="shared" si="292"/>
        <v>5274.9899346503171</v>
      </c>
      <c r="EN322" s="68">
        <f t="shared" si="293"/>
        <v>8.4753177456559178E-2</v>
      </c>
      <c r="EO322" s="139">
        <f t="shared" si="312"/>
        <v>0.32861286969700848</v>
      </c>
      <c r="EP322">
        <f>+(SUM(M322:O322)*EO322*(1-'[1]Tier 3 Data'!$A$2))</f>
        <v>1198.5199818659823</v>
      </c>
    </row>
    <row r="323" spans="1:146" x14ac:dyDescent="0.2">
      <c r="A323" s="43">
        <v>0</v>
      </c>
      <c r="B323" s="43">
        <v>0</v>
      </c>
      <c r="C323" s="43">
        <v>0</v>
      </c>
      <c r="D323" s="70">
        <v>2034</v>
      </c>
      <c r="E323" s="70">
        <v>4</v>
      </c>
      <c r="F323" s="2">
        <v>720</v>
      </c>
      <c r="G323" s="133">
        <f t="shared" si="305"/>
        <v>40230.142638008139</v>
      </c>
      <c r="H323" s="65">
        <v>40230.142638008139</v>
      </c>
      <c r="I323" s="133">
        <f t="shared" si="306"/>
        <v>40230.142638008139</v>
      </c>
      <c r="J323" s="133">
        <f t="shared" si="362"/>
        <v>4452.2139999999981</v>
      </c>
      <c r="K323" s="65">
        <v>4452.2139999999981</v>
      </c>
      <c r="L323" s="133">
        <f t="shared" si="363"/>
        <v>4452.2139999999981</v>
      </c>
      <c r="M323" s="65">
        <v>1418.2286880453187</v>
      </c>
      <c r="N323" s="65">
        <v>3053.8992287010965</v>
      </c>
      <c r="O323" s="65">
        <v>807.79665463417473</v>
      </c>
      <c r="P323" s="200">
        <f t="shared" si="356"/>
        <v>34193.951266593962</v>
      </c>
      <c r="Q323" s="200">
        <f t="shared" si="357"/>
        <v>34193.951266593962</v>
      </c>
      <c r="R323" s="200">
        <f t="shared" si="358"/>
        <v>34193.951266593962</v>
      </c>
      <c r="S323" s="133">
        <f t="shared" si="307"/>
        <v>35535.589641617888</v>
      </c>
      <c r="T323" s="133">
        <f t="shared" si="308"/>
        <v>35535.589641617888</v>
      </c>
      <c r="U323" s="133">
        <f t="shared" si="309"/>
        <v>35535.589641617888</v>
      </c>
      <c r="V323" s="200">
        <f t="shared" si="359"/>
        <v>34193.951266593962</v>
      </c>
      <c r="W323" s="200">
        <f t="shared" si="360"/>
        <v>34193.951266593962</v>
      </c>
      <c r="X323" s="200">
        <f t="shared" si="361"/>
        <v>34193.951266593962</v>
      </c>
      <c r="Y323" s="65">
        <v>15537.518229836933</v>
      </c>
      <c r="Z323" s="65">
        <v>15143.608158039378</v>
      </c>
      <c r="AA323" s="65">
        <v>8071.6970857506867</v>
      </c>
      <c r="AB323" s="200">
        <f t="shared" si="297"/>
        <v>49337.559424633342</v>
      </c>
      <c r="AC323" s="200">
        <f t="shared" si="298"/>
        <v>49337.559424633342</v>
      </c>
      <c r="AD323" s="200">
        <f t="shared" si="299"/>
        <v>49337.559424633342</v>
      </c>
      <c r="AE323" s="199">
        <f t="shared" si="338"/>
        <v>51073.10787145482</v>
      </c>
      <c r="AF323" s="199">
        <f t="shared" si="300"/>
        <v>50679.197799657268</v>
      </c>
      <c r="AG323" s="199">
        <f t="shared" si="339"/>
        <v>43607.286727368577</v>
      </c>
      <c r="AH323" s="199">
        <f t="shared" si="310"/>
        <v>47340.197299411695</v>
      </c>
      <c r="AI323" s="200">
        <f t="shared" si="301"/>
        <v>49337.559424633342</v>
      </c>
      <c r="AJ323" s="200">
        <f t="shared" si="302"/>
        <v>49337.559424633342</v>
      </c>
      <c r="AK323" s="200">
        <f t="shared" si="303"/>
        <v>49337.559424633342</v>
      </c>
      <c r="AL323" s="4"/>
      <c r="AM323" s="4"/>
      <c r="AN323" s="4"/>
      <c r="AO323" s="4"/>
      <c r="AP323" s="63"/>
      <c r="AQ323" s="18"/>
      <c r="AR323" s="18"/>
      <c r="AS323" s="66">
        <v>3285.6</v>
      </c>
      <c r="AT323" s="18"/>
      <c r="AU323" s="133">
        <f t="shared" si="313"/>
        <v>96.057000000000002</v>
      </c>
      <c r="AV323" s="133">
        <f t="shared" si="313"/>
        <v>3017.9659999999999</v>
      </c>
      <c r="AW323" s="63"/>
      <c r="AX323" s="63"/>
      <c r="AY323" s="63"/>
      <c r="AZ323" s="64"/>
      <c r="BA323" s="65">
        <v>1366.578</v>
      </c>
      <c r="BB323" s="5"/>
      <c r="BC323" s="65">
        <v>567.6650303146555</v>
      </c>
      <c r="BD323" s="65">
        <v>0</v>
      </c>
      <c r="BE323" s="65">
        <v>0</v>
      </c>
      <c r="BF323" s="65">
        <v>0</v>
      </c>
      <c r="BG323" s="65">
        <v>0</v>
      </c>
      <c r="BH323" s="65">
        <v>0</v>
      </c>
      <c r="BI323" s="65">
        <v>1440.1654652062136</v>
      </c>
      <c r="BJ323" s="65">
        <v>0</v>
      </c>
      <c r="BK323" s="65">
        <v>19.984033847071771</v>
      </c>
      <c r="BL323" s="65">
        <v>0</v>
      </c>
      <c r="BM323" s="65">
        <v>0</v>
      </c>
      <c r="BN323" s="65">
        <v>104.63088042114697</v>
      </c>
      <c r="BO323" s="65">
        <v>205.33566960000002</v>
      </c>
      <c r="BP323" s="62"/>
      <c r="BQ323" s="65">
        <v>144.85193951840932</v>
      </c>
      <c r="BR323" s="65">
        <v>189.25377421671962</v>
      </c>
      <c r="BS323" s="65">
        <v>684.8075028001906</v>
      </c>
      <c r="BT323" s="65">
        <v>238.00477349855939</v>
      </c>
      <c r="BU323" s="65">
        <v>255.56253571857923</v>
      </c>
      <c r="BV323" s="144">
        <f t="shared" si="294"/>
        <v>992.76008163172298</v>
      </c>
      <c r="BW323" s="144">
        <f t="shared" si="295"/>
        <v>2137.7294600907676</v>
      </c>
      <c r="BX323" s="144">
        <f t="shared" si="296"/>
        <v>565.45765824392231</v>
      </c>
      <c r="BY323" s="5"/>
      <c r="BZ323" s="66">
        <v>7020</v>
      </c>
      <c r="CA323" s="4"/>
      <c r="CB323" s="5"/>
      <c r="CC323" s="5"/>
      <c r="CD323" s="188">
        <v>2.3725527527096357</v>
      </c>
      <c r="CE323" s="5"/>
      <c r="CF323" s="133">
        <f t="shared" si="311"/>
        <v>2495.3333333333335</v>
      </c>
      <c r="CG323" s="70"/>
      <c r="CH323" s="70">
        <v>4640</v>
      </c>
      <c r="CI323" s="70"/>
      <c r="CJ323" s="63"/>
      <c r="CK323" s="8">
        <f t="shared" si="335"/>
        <v>29470.115691193998</v>
      </c>
      <c r="CL323" s="202">
        <f t="shared" si="315"/>
        <v>19867.443733439344</v>
      </c>
      <c r="CM323" s="202">
        <f t="shared" si="316"/>
        <v>19867.443733439344</v>
      </c>
      <c r="CN323" s="202">
        <f t="shared" si="317"/>
        <v>19867.443733439344</v>
      </c>
      <c r="CO323" s="9">
        <f t="shared" si="318"/>
        <v>21602.992180260822</v>
      </c>
      <c r="CP323" s="9">
        <f t="shared" si="319"/>
        <v>21209.08210846327</v>
      </c>
      <c r="CQ323" s="9">
        <f t="shared" si="320"/>
        <v>14137.171036174579</v>
      </c>
      <c r="CR323" s="202">
        <f t="shared" si="321"/>
        <v>19867.443733439344</v>
      </c>
      <c r="CS323" s="202">
        <f t="shared" si="322"/>
        <v>19867.443733439344</v>
      </c>
      <c r="CT323" s="202">
        <f t="shared" si="323"/>
        <v>19867.443733439344</v>
      </c>
      <c r="CU323" s="203">
        <f t="shared" si="324"/>
        <v>0.40268395853240951</v>
      </c>
      <c r="CV323" s="203">
        <f t="shared" si="325"/>
        <v>0.40268395853240951</v>
      </c>
      <c r="CW323" s="203">
        <f t="shared" si="326"/>
        <v>0.40268395853240951</v>
      </c>
      <c r="CX323" s="19">
        <f t="shared" si="327"/>
        <v>0.42298174285052492</v>
      </c>
      <c r="CY323" s="19">
        <f t="shared" si="328"/>
        <v>0.41849680005405893</v>
      </c>
      <c r="CZ323" s="19">
        <f t="shared" si="329"/>
        <v>0.32419286080695048</v>
      </c>
      <c r="DA323" s="203">
        <f t="shared" si="330"/>
        <v>0.40268395853240951</v>
      </c>
      <c r="DB323" s="203">
        <f t="shared" si="331"/>
        <v>0.40268395853240951</v>
      </c>
      <c r="DC323" s="203">
        <f t="shared" si="332"/>
        <v>0.40268395853240951</v>
      </c>
      <c r="DD323" s="65"/>
      <c r="DE323" s="66"/>
      <c r="DF323" s="66"/>
      <c r="DG323" s="66"/>
      <c r="DH323" s="66"/>
      <c r="DI323" s="66"/>
      <c r="DJ323" s="66"/>
      <c r="DK323" s="70"/>
      <c r="DL323" s="70"/>
      <c r="DM323" s="8">
        <f t="shared" si="333"/>
        <v>0</v>
      </c>
      <c r="DN323" s="8">
        <f t="shared" si="334"/>
        <v>29470.115691193998</v>
      </c>
      <c r="DO323" s="202">
        <f t="shared" si="340"/>
        <v>19867.443733439344</v>
      </c>
      <c r="DP323" s="202">
        <f t="shared" si="341"/>
        <v>19867.443733439344</v>
      </c>
      <c r="DQ323" s="202">
        <f t="shared" si="342"/>
        <v>19867.443733439344</v>
      </c>
      <c r="DR323" s="9">
        <f t="shared" si="343"/>
        <v>21602.992180260822</v>
      </c>
      <c r="DS323" s="9">
        <f t="shared" si="336"/>
        <v>21209.08210846327</v>
      </c>
      <c r="DT323" s="9">
        <f t="shared" si="344"/>
        <v>14137.171036174579</v>
      </c>
      <c r="DU323" s="202">
        <f t="shared" si="345"/>
        <v>19867.443733439344</v>
      </c>
      <c r="DV323" s="202">
        <f t="shared" si="346"/>
        <v>19867.443733439344</v>
      </c>
      <c r="DW323" s="202">
        <f t="shared" si="347"/>
        <v>19867.443733439344</v>
      </c>
      <c r="DX323" s="203">
        <f t="shared" si="348"/>
        <v>0.40268395853240951</v>
      </c>
      <c r="DY323" s="203">
        <f t="shared" si="349"/>
        <v>0.40268395853240951</v>
      </c>
      <c r="DZ323" s="203">
        <f t="shared" si="350"/>
        <v>0.40268395853240951</v>
      </c>
      <c r="EA323" s="19">
        <f t="shared" si="351"/>
        <v>0.42298174285052492</v>
      </c>
      <c r="EB323" s="19">
        <f t="shared" si="337"/>
        <v>0.41849680005405893</v>
      </c>
      <c r="EC323" s="19">
        <f t="shared" si="352"/>
        <v>0.32419286080695048</v>
      </c>
      <c r="ED323" s="203">
        <f t="shared" si="353"/>
        <v>0.40268395853240951</v>
      </c>
      <c r="EE323" s="203">
        <f t="shared" si="354"/>
        <v>0.40268395853240951</v>
      </c>
      <c r="EF323" s="203">
        <f t="shared" si="355"/>
        <v>0.40268395853240951</v>
      </c>
      <c r="EH323" s="58">
        <f t="shared" si="288"/>
        <v>24964.983056809568</v>
      </c>
      <c r="EI323" s="68">
        <f t="shared" si="289"/>
        <v>0.49260809445919052</v>
      </c>
      <c r="EJ323" s="58">
        <f t="shared" si="290"/>
        <v>21454.983056809568</v>
      </c>
      <c r="EK323" s="68">
        <f t="shared" si="289"/>
        <v>0.42334890819749049</v>
      </c>
      <c r="EL323" s="58">
        <f t="shared" si="291"/>
        <v>5987.9910652323142</v>
      </c>
      <c r="EM323" s="58">
        <f t="shared" si="292"/>
        <v>6553.4487234762364</v>
      </c>
      <c r="EN323" s="68">
        <f t="shared" si="293"/>
        <v>0.12931240051160708</v>
      </c>
      <c r="EO323" s="139">
        <f t="shared" si="312"/>
        <v>0.35351678044029999</v>
      </c>
      <c r="EP323">
        <f>+(SUM(M323:O323)*EO323*(1-'[1]Tier 3 Data'!$A$2))</f>
        <v>1741.4836257674767</v>
      </c>
    </row>
    <row r="324" spans="1:146" x14ac:dyDescent="0.2">
      <c r="A324" s="43">
        <v>0</v>
      </c>
      <c r="B324" s="43">
        <v>0</v>
      </c>
      <c r="C324" s="43">
        <v>0</v>
      </c>
      <c r="D324" s="70">
        <v>2034</v>
      </c>
      <c r="E324" s="70">
        <v>5</v>
      </c>
      <c r="F324" s="2">
        <v>744</v>
      </c>
      <c r="G324" s="133">
        <f t="shared" si="305"/>
        <v>38352.098693296233</v>
      </c>
      <c r="H324" s="65">
        <v>38352.098693296233</v>
      </c>
      <c r="I324" s="133">
        <f t="shared" si="306"/>
        <v>38352.098693296233</v>
      </c>
      <c r="J324" s="133">
        <f t="shared" si="362"/>
        <v>4492.2417499999983</v>
      </c>
      <c r="K324" s="65">
        <v>4492.2417499999983</v>
      </c>
      <c r="L324" s="133">
        <f t="shared" si="363"/>
        <v>4492.2417499999983</v>
      </c>
      <c r="M324" s="65">
        <v>1750.7817988213781</v>
      </c>
      <c r="N324" s="65">
        <v>3769.9922657844818</v>
      </c>
      <c r="O324" s="65">
        <v>998.46412891948819</v>
      </c>
      <c r="P324" s="200">
        <f t="shared" si="356"/>
        <v>31904.085485238629</v>
      </c>
      <c r="Q324" s="200">
        <f t="shared" si="357"/>
        <v>31904.085485238629</v>
      </c>
      <c r="R324" s="200">
        <f t="shared" si="358"/>
        <v>31904.085485238629</v>
      </c>
      <c r="S324" s="133">
        <f t="shared" si="307"/>
        <v>33560.317704620385</v>
      </c>
      <c r="T324" s="133">
        <f t="shared" si="308"/>
        <v>33560.317704620385</v>
      </c>
      <c r="U324" s="133">
        <f t="shared" si="309"/>
        <v>33560.317704620385</v>
      </c>
      <c r="V324" s="200">
        <f t="shared" si="359"/>
        <v>31904.085485238629</v>
      </c>
      <c r="W324" s="200">
        <f t="shared" si="360"/>
        <v>31904.085485238629</v>
      </c>
      <c r="X324" s="200">
        <f t="shared" si="361"/>
        <v>31904.085485238629</v>
      </c>
      <c r="Y324" s="65">
        <v>12649.860420108354</v>
      </c>
      <c r="Z324" s="65">
        <v>11483.28010470351</v>
      </c>
      <c r="AA324" s="65">
        <v>6418.9462725616968</v>
      </c>
      <c r="AB324" s="200">
        <f t="shared" si="297"/>
        <v>43387.365589942143</v>
      </c>
      <c r="AC324" s="200">
        <f t="shared" si="298"/>
        <v>43387.365589942143</v>
      </c>
      <c r="AD324" s="200">
        <f t="shared" si="299"/>
        <v>43387.365589942143</v>
      </c>
      <c r="AE324" s="199">
        <f t="shared" si="338"/>
        <v>46210.178124728744</v>
      </c>
      <c r="AF324" s="199">
        <f t="shared" si="300"/>
        <v>45043.597809323895</v>
      </c>
      <c r="AG324" s="199">
        <f t="shared" si="339"/>
        <v>39979.263977182083</v>
      </c>
      <c r="AH324" s="199">
        <f t="shared" si="310"/>
        <v>43094.721050955413</v>
      </c>
      <c r="AI324" s="200">
        <f t="shared" si="301"/>
        <v>43387.365589942143</v>
      </c>
      <c r="AJ324" s="200">
        <f t="shared" si="302"/>
        <v>43387.365589942143</v>
      </c>
      <c r="AK324" s="200">
        <f t="shared" si="303"/>
        <v>43387.365589942143</v>
      </c>
      <c r="AL324" s="4"/>
      <c r="AM324" s="4"/>
      <c r="AN324" s="4"/>
      <c r="AO324" s="4"/>
      <c r="AP324" s="63"/>
      <c r="AQ324" s="18"/>
      <c r="AR324" s="18"/>
      <c r="AS324" s="66">
        <v>3395.12</v>
      </c>
      <c r="AT324" s="18"/>
      <c r="AU324" s="133">
        <f t="shared" si="313"/>
        <v>109.161</v>
      </c>
      <c r="AV324" s="133">
        <f t="shared" si="313"/>
        <v>3327.41</v>
      </c>
      <c r="AW324" s="63"/>
      <c r="AX324" s="63"/>
      <c r="AY324" s="63"/>
      <c r="AZ324" s="64"/>
      <c r="BA324" s="65">
        <v>1570</v>
      </c>
      <c r="BB324" s="5"/>
      <c r="BC324" s="65">
        <v>570.10748354622444</v>
      </c>
      <c r="BD324" s="65">
        <v>0</v>
      </c>
      <c r="BE324" s="65">
        <v>0</v>
      </c>
      <c r="BF324" s="65">
        <v>0</v>
      </c>
      <c r="BG324" s="65">
        <v>0</v>
      </c>
      <c r="BH324" s="65">
        <v>0</v>
      </c>
      <c r="BI324" s="65">
        <v>1446.3619659709991</v>
      </c>
      <c r="BJ324" s="65">
        <v>0</v>
      </c>
      <c r="BK324" s="65">
        <v>12.751667915526451</v>
      </c>
      <c r="BL324" s="65">
        <v>0</v>
      </c>
      <c r="BM324" s="65">
        <v>0</v>
      </c>
      <c r="BN324" s="65">
        <v>66.583287540729913</v>
      </c>
      <c r="BO324" s="65">
        <v>212.18019192</v>
      </c>
      <c r="BP324" s="62"/>
      <c r="BQ324" s="65">
        <v>166.81891601444002</v>
      </c>
      <c r="BR324" s="65">
        <v>217.95432078577269</v>
      </c>
      <c r="BS324" s="65">
        <v>788.65932846075634</v>
      </c>
      <c r="BT324" s="65">
        <v>245.9762237253068</v>
      </c>
      <c r="BU324" s="65">
        <v>292.26161818640878</v>
      </c>
      <c r="BV324" s="144">
        <f t="shared" si="294"/>
        <v>1225.5472591749647</v>
      </c>
      <c r="BW324" s="144">
        <f t="shared" si="295"/>
        <v>2638.9945860491371</v>
      </c>
      <c r="BX324" s="144">
        <f t="shared" si="296"/>
        <v>698.9248902436417</v>
      </c>
      <c r="BY324" s="5"/>
      <c r="BZ324" s="66">
        <v>7254</v>
      </c>
      <c r="CA324" s="4"/>
      <c r="CB324" s="5"/>
      <c r="CC324" s="5"/>
      <c r="CD324" s="188">
        <v>1.4538432884059718E-2</v>
      </c>
      <c r="CE324" s="5"/>
      <c r="CF324" s="133">
        <f t="shared" si="311"/>
        <v>1762.6666666666667</v>
      </c>
      <c r="CG324" s="70"/>
      <c r="CH324" s="70">
        <v>2480</v>
      </c>
      <c r="CI324" s="70"/>
      <c r="CJ324" s="63"/>
      <c r="CK324" s="8">
        <f t="shared" si="335"/>
        <v>28481.493944633457</v>
      </c>
      <c r="CL324" s="202">
        <f t="shared" si="315"/>
        <v>14905.871645308685</v>
      </c>
      <c r="CM324" s="202">
        <f t="shared" si="316"/>
        <v>14905.871645308685</v>
      </c>
      <c r="CN324" s="202">
        <f t="shared" si="317"/>
        <v>14905.871645308685</v>
      </c>
      <c r="CO324" s="9">
        <f t="shared" si="318"/>
        <v>17728.684180095286</v>
      </c>
      <c r="CP324" s="9">
        <f t="shared" si="319"/>
        <v>16562.103864690438</v>
      </c>
      <c r="CQ324" s="9">
        <f t="shared" si="320"/>
        <v>11497.770032548626</v>
      </c>
      <c r="CR324" s="202">
        <f t="shared" si="321"/>
        <v>14905.871645308685</v>
      </c>
      <c r="CS324" s="202">
        <f t="shared" si="322"/>
        <v>14905.871645308685</v>
      </c>
      <c r="CT324" s="202">
        <f t="shared" si="323"/>
        <v>14905.871645308685</v>
      </c>
      <c r="CU324" s="203">
        <f t="shared" si="324"/>
        <v>0.34355327737999597</v>
      </c>
      <c r="CV324" s="203">
        <f t="shared" si="325"/>
        <v>0.34355327737999597</v>
      </c>
      <c r="CW324" s="203">
        <f t="shared" si="326"/>
        <v>0.34355327737999597</v>
      </c>
      <c r="CX324" s="19">
        <f t="shared" si="327"/>
        <v>0.38365323181059163</v>
      </c>
      <c r="CY324" s="19">
        <f t="shared" si="328"/>
        <v>0.36769051918987988</v>
      </c>
      <c r="CZ324" s="19">
        <f t="shared" si="329"/>
        <v>0.28759333936489945</v>
      </c>
      <c r="DA324" s="203">
        <f t="shared" si="330"/>
        <v>0.34355327737999597</v>
      </c>
      <c r="DB324" s="203">
        <f t="shared" si="331"/>
        <v>0.34355327737999597</v>
      </c>
      <c r="DC324" s="203">
        <f t="shared" si="332"/>
        <v>0.34355327737999597</v>
      </c>
      <c r="DD324" s="65"/>
      <c r="DE324" s="66"/>
      <c r="DF324" s="66"/>
      <c r="DG324" s="66"/>
      <c r="DH324" s="66"/>
      <c r="DI324" s="66"/>
      <c r="DJ324" s="66"/>
      <c r="DK324" s="70"/>
      <c r="DL324" s="70"/>
      <c r="DM324" s="8">
        <f t="shared" si="333"/>
        <v>0</v>
      </c>
      <c r="DN324" s="8">
        <f t="shared" si="334"/>
        <v>28481.493944633457</v>
      </c>
      <c r="DO324" s="202">
        <f t="shared" si="340"/>
        <v>14905.871645308685</v>
      </c>
      <c r="DP324" s="202">
        <f t="shared" si="341"/>
        <v>14905.871645308685</v>
      </c>
      <c r="DQ324" s="202">
        <f t="shared" si="342"/>
        <v>14905.871645308685</v>
      </c>
      <c r="DR324" s="9">
        <f t="shared" si="343"/>
        <v>17728.684180095286</v>
      </c>
      <c r="DS324" s="9">
        <f t="shared" si="336"/>
        <v>16562.103864690438</v>
      </c>
      <c r="DT324" s="9">
        <f t="shared" si="344"/>
        <v>11497.770032548626</v>
      </c>
      <c r="DU324" s="202">
        <f t="shared" si="345"/>
        <v>14905.871645308685</v>
      </c>
      <c r="DV324" s="202">
        <f t="shared" si="346"/>
        <v>14905.871645308685</v>
      </c>
      <c r="DW324" s="202">
        <f t="shared" si="347"/>
        <v>14905.871645308685</v>
      </c>
      <c r="DX324" s="203">
        <f t="shared" si="348"/>
        <v>0.34355327737999597</v>
      </c>
      <c r="DY324" s="203">
        <f t="shared" si="349"/>
        <v>0.34355327737999597</v>
      </c>
      <c r="DZ324" s="203">
        <f t="shared" si="350"/>
        <v>0.34355327737999597</v>
      </c>
      <c r="EA324" s="19">
        <f t="shared" si="351"/>
        <v>0.38365323181059163</v>
      </c>
      <c r="EB324" s="19">
        <f t="shared" si="337"/>
        <v>0.36769051918987988</v>
      </c>
      <c r="EC324" s="19">
        <f t="shared" si="352"/>
        <v>0.28759333936489945</v>
      </c>
      <c r="ED324" s="203">
        <f t="shared" si="353"/>
        <v>0.34355327737999597</v>
      </c>
      <c r="EE324" s="203">
        <f t="shared" si="354"/>
        <v>0.34355327737999597</v>
      </c>
      <c r="EF324" s="203">
        <f t="shared" si="355"/>
        <v>0.34355327737999597</v>
      </c>
      <c r="EH324" s="58">
        <f t="shared" si="288"/>
        <v>23628.932147025611</v>
      </c>
      <c r="EI324" s="68">
        <f t="shared" si="289"/>
        <v>0.52457914767488867</v>
      </c>
      <c r="EJ324" s="58">
        <f t="shared" si="290"/>
        <v>20001.932147025611</v>
      </c>
      <c r="EK324" s="68">
        <f t="shared" si="289"/>
        <v>0.44405716061351719</v>
      </c>
      <c r="EL324" s="58">
        <f t="shared" si="291"/>
        <v>6658.6495901153012</v>
      </c>
      <c r="EM324" s="58">
        <f t="shared" si="292"/>
        <v>7357.5744803589432</v>
      </c>
      <c r="EN324" s="68">
        <f t="shared" si="293"/>
        <v>0.1633434014641687</v>
      </c>
      <c r="EO324" s="139">
        <f t="shared" si="312"/>
        <v>0.28868615856523006</v>
      </c>
      <c r="EP324">
        <f>+(SUM(M324:O324)*EO324*(1-'[1]Tier 3 Data'!$A$2))</f>
        <v>1755.9189041929051</v>
      </c>
    </row>
    <row r="325" spans="1:146" x14ac:dyDescent="0.2">
      <c r="A325" s="43">
        <v>0</v>
      </c>
      <c r="B325" s="43">
        <v>0</v>
      </c>
      <c r="C325" s="43">
        <v>0</v>
      </c>
      <c r="D325" s="70">
        <v>2034</v>
      </c>
      <c r="E325" s="70">
        <v>6</v>
      </c>
      <c r="F325" s="2">
        <v>720</v>
      </c>
      <c r="G325" s="133">
        <f t="shared" si="305"/>
        <v>40780.585784923314</v>
      </c>
      <c r="H325" s="65">
        <v>40780.585784923314</v>
      </c>
      <c r="I325" s="133">
        <f t="shared" si="306"/>
        <v>40780.585784923314</v>
      </c>
      <c r="J325" s="133">
        <f t="shared" si="362"/>
        <v>4532.2694999999985</v>
      </c>
      <c r="K325" s="65">
        <v>4532.2694999999985</v>
      </c>
      <c r="L325" s="133">
        <f t="shared" si="363"/>
        <v>4532.2694999999985</v>
      </c>
      <c r="M325" s="65">
        <v>1630.7561929849653</v>
      </c>
      <c r="N325" s="65">
        <v>3511.538810303055</v>
      </c>
      <c r="O325" s="65">
        <v>932.30900873092116</v>
      </c>
      <c r="P325" s="200">
        <f t="shared" si="356"/>
        <v>34425.935081317635</v>
      </c>
      <c r="Q325" s="200">
        <f t="shared" si="357"/>
        <v>34425.935081317635</v>
      </c>
      <c r="R325" s="200">
        <f t="shared" si="358"/>
        <v>34425.935081317635</v>
      </c>
      <c r="S325" s="133">
        <f t="shared" si="307"/>
        <v>35968.623582304041</v>
      </c>
      <c r="T325" s="133">
        <f t="shared" si="308"/>
        <v>35968.623582304041</v>
      </c>
      <c r="U325" s="133">
        <f t="shared" si="309"/>
        <v>35968.623582304041</v>
      </c>
      <c r="V325" s="200">
        <f t="shared" si="359"/>
        <v>34425.935081317635</v>
      </c>
      <c r="W325" s="200">
        <f t="shared" si="360"/>
        <v>34425.935081317635</v>
      </c>
      <c r="X325" s="200">
        <f t="shared" si="361"/>
        <v>34425.935081317635</v>
      </c>
      <c r="Y325" s="65">
        <v>13342.517671024152</v>
      </c>
      <c r="Z325" s="65">
        <v>12434.744227446245</v>
      </c>
      <c r="AA325" s="65">
        <v>7005.3952631003494</v>
      </c>
      <c r="AB325" s="200">
        <f t="shared" si="297"/>
        <v>46860.67930876388</v>
      </c>
      <c r="AC325" s="200">
        <f t="shared" si="298"/>
        <v>46860.67930876388</v>
      </c>
      <c r="AD325" s="200">
        <f t="shared" si="299"/>
        <v>46860.67930876388</v>
      </c>
      <c r="AE325" s="199">
        <f t="shared" si="338"/>
        <v>49311.141253328191</v>
      </c>
      <c r="AF325" s="199">
        <f t="shared" si="300"/>
        <v>48403.367809750285</v>
      </c>
      <c r="AG325" s="199">
        <f t="shared" si="339"/>
        <v>42974.018845404389</v>
      </c>
      <c r="AH325" s="199">
        <f t="shared" si="310"/>
        <v>46142.58004936629</v>
      </c>
      <c r="AI325" s="200">
        <f t="shared" si="301"/>
        <v>46860.67930876388</v>
      </c>
      <c r="AJ325" s="200">
        <f t="shared" si="302"/>
        <v>46860.67930876388</v>
      </c>
      <c r="AK325" s="200">
        <f t="shared" si="303"/>
        <v>46860.67930876388</v>
      </c>
      <c r="AL325" s="4"/>
      <c r="AM325" s="4"/>
      <c r="AN325" s="4"/>
      <c r="AO325" s="4"/>
      <c r="AP325" s="63"/>
      <c r="AQ325" s="18"/>
      <c r="AR325" s="18"/>
      <c r="AS325" s="66">
        <v>3285.6</v>
      </c>
      <c r="AT325" s="18"/>
      <c r="AU325" s="133">
        <f t="shared" si="313"/>
        <v>128.934</v>
      </c>
      <c r="AV325" s="133">
        <f t="shared" si="313"/>
        <v>3110.2840000000001</v>
      </c>
      <c r="AW325" s="63"/>
      <c r="AX325" s="63"/>
      <c r="AY325" s="63"/>
      <c r="AZ325" s="64"/>
      <c r="BA325" s="65">
        <v>2058.0909999999999</v>
      </c>
      <c r="BB325" s="5"/>
      <c r="BC325" s="65">
        <v>605.91554170888298</v>
      </c>
      <c r="BD325" s="65">
        <v>0</v>
      </c>
      <c r="BE325" s="65">
        <v>0</v>
      </c>
      <c r="BF325" s="65">
        <v>0</v>
      </c>
      <c r="BG325" s="65">
        <v>0</v>
      </c>
      <c r="BH325" s="65">
        <v>0</v>
      </c>
      <c r="BI325" s="65">
        <v>1537.2069643204168</v>
      </c>
      <c r="BJ325" s="65">
        <v>0</v>
      </c>
      <c r="BK325" s="65">
        <v>11.763509963764358</v>
      </c>
      <c r="BL325" s="65">
        <v>0</v>
      </c>
      <c r="BM325" s="65">
        <v>0</v>
      </c>
      <c r="BN325" s="65">
        <v>28.53569466031281</v>
      </c>
      <c r="BO325" s="65">
        <v>205.33566960000002</v>
      </c>
      <c r="BP325" s="62"/>
      <c r="BQ325" s="65">
        <v>162.19114626433716</v>
      </c>
      <c r="BR325" s="65">
        <v>211.90802859092108</v>
      </c>
      <c r="BS325" s="65">
        <v>766.78104832743134</v>
      </c>
      <c r="BT325" s="65">
        <v>257.47064259333257</v>
      </c>
      <c r="BU325" s="65">
        <v>284.61947143556472</v>
      </c>
      <c r="BV325" s="144">
        <f t="shared" si="294"/>
        <v>1141.5293350894756</v>
      </c>
      <c r="BW325" s="144">
        <f t="shared" si="295"/>
        <v>2458.0771672121382</v>
      </c>
      <c r="BX325" s="144">
        <f t="shared" si="296"/>
        <v>652.6163061116448</v>
      </c>
      <c r="BY325" s="5"/>
      <c r="BZ325" s="66">
        <v>7020</v>
      </c>
      <c r="CA325" s="4"/>
      <c r="CB325" s="5"/>
      <c r="CC325" s="5"/>
      <c r="CD325" s="188">
        <v>2.1777775833862054</v>
      </c>
      <c r="CE325" s="5"/>
      <c r="CF325" s="133">
        <f t="shared" si="311"/>
        <v>680.66666666666663</v>
      </c>
      <c r="CG325" s="70"/>
      <c r="CH325" s="70">
        <v>4416</v>
      </c>
      <c r="CI325" s="70"/>
      <c r="CJ325" s="63"/>
      <c r="CK325" s="8">
        <f t="shared" si="335"/>
        <v>29025.703970128277</v>
      </c>
      <c r="CL325" s="202">
        <f t="shared" si="315"/>
        <v>17834.975338635602</v>
      </c>
      <c r="CM325" s="202">
        <f t="shared" si="316"/>
        <v>17834.975338635602</v>
      </c>
      <c r="CN325" s="202">
        <f t="shared" si="317"/>
        <v>17834.975338635602</v>
      </c>
      <c r="CO325" s="9">
        <f t="shared" si="318"/>
        <v>20285.437283199914</v>
      </c>
      <c r="CP325" s="9">
        <f t="shared" si="319"/>
        <v>19377.663839622008</v>
      </c>
      <c r="CQ325" s="9">
        <f t="shared" si="320"/>
        <v>13948.314875276112</v>
      </c>
      <c r="CR325" s="202">
        <f t="shared" si="321"/>
        <v>17834.975338635602</v>
      </c>
      <c r="CS325" s="202">
        <f t="shared" si="322"/>
        <v>17834.975338635602</v>
      </c>
      <c r="CT325" s="202">
        <f t="shared" si="323"/>
        <v>17834.975338635602</v>
      </c>
      <c r="CU325" s="203">
        <f t="shared" si="324"/>
        <v>0.3805957489673033</v>
      </c>
      <c r="CV325" s="203">
        <f t="shared" si="325"/>
        <v>0.3805957489673033</v>
      </c>
      <c r="CW325" s="203">
        <f t="shared" si="326"/>
        <v>0.3805957489673033</v>
      </c>
      <c r="CX325" s="19">
        <f t="shared" si="327"/>
        <v>0.41137634959585884</v>
      </c>
      <c r="CY325" s="19">
        <f t="shared" si="328"/>
        <v>0.40033709876936718</v>
      </c>
      <c r="CZ325" s="19">
        <f t="shared" si="329"/>
        <v>0.32457552842460613</v>
      </c>
      <c r="DA325" s="203">
        <f t="shared" si="330"/>
        <v>0.3805957489673033</v>
      </c>
      <c r="DB325" s="203">
        <f t="shared" si="331"/>
        <v>0.3805957489673033</v>
      </c>
      <c r="DC325" s="203">
        <f t="shared" si="332"/>
        <v>0.3805957489673033</v>
      </c>
      <c r="DD325" s="65"/>
      <c r="DE325" s="66"/>
      <c r="DF325" s="66"/>
      <c r="DG325" s="66"/>
      <c r="DH325" s="66"/>
      <c r="DI325" s="66"/>
      <c r="DJ325" s="66"/>
      <c r="DK325" s="70"/>
      <c r="DL325" s="70"/>
      <c r="DM325" s="8">
        <f t="shared" si="333"/>
        <v>0</v>
      </c>
      <c r="DN325" s="8">
        <f t="shared" si="334"/>
        <v>29025.703970128277</v>
      </c>
      <c r="DO325" s="202">
        <f t="shared" si="340"/>
        <v>17834.975338635602</v>
      </c>
      <c r="DP325" s="202">
        <f t="shared" si="341"/>
        <v>17834.975338635602</v>
      </c>
      <c r="DQ325" s="202">
        <f t="shared" si="342"/>
        <v>17834.975338635602</v>
      </c>
      <c r="DR325" s="9">
        <f t="shared" si="343"/>
        <v>20285.437283199914</v>
      </c>
      <c r="DS325" s="9">
        <f t="shared" si="336"/>
        <v>19377.663839622008</v>
      </c>
      <c r="DT325" s="9">
        <f t="shared" si="344"/>
        <v>13948.314875276112</v>
      </c>
      <c r="DU325" s="202">
        <f t="shared" si="345"/>
        <v>17834.975338635602</v>
      </c>
      <c r="DV325" s="202">
        <f t="shared" si="346"/>
        <v>17834.975338635602</v>
      </c>
      <c r="DW325" s="202">
        <f t="shared" si="347"/>
        <v>17834.975338635602</v>
      </c>
      <c r="DX325" s="203">
        <f t="shared" si="348"/>
        <v>0.3805957489673033</v>
      </c>
      <c r="DY325" s="203">
        <f t="shared" si="349"/>
        <v>0.3805957489673033</v>
      </c>
      <c r="DZ325" s="203">
        <f t="shared" si="350"/>
        <v>0.3805957489673033</v>
      </c>
      <c r="EA325" s="19">
        <f t="shared" si="351"/>
        <v>0.41137634959585884</v>
      </c>
      <c r="EB325" s="19">
        <f t="shared" si="337"/>
        <v>0.40033709876936718</v>
      </c>
      <c r="EC325" s="19">
        <f t="shared" si="352"/>
        <v>0.32457552842460613</v>
      </c>
      <c r="ED325" s="203">
        <f t="shared" si="353"/>
        <v>0.3805957489673033</v>
      </c>
      <c r="EE325" s="203">
        <f t="shared" si="354"/>
        <v>0.3805957489673033</v>
      </c>
      <c r="EF325" s="203">
        <f t="shared" si="355"/>
        <v>0.3805957489673033</v>
      </c>
      <c r="EH325" s="58">
        <f t="shared" si="288"/>
        <v>24371.996857455411</v>
      </c>
      <c r="EI325" s="68">
        <f t="shared" si="289"/>
        <v>0.50351861782117491</v>
      </c>
      <c r="EJ325" s="58">
        <f t="shared" si="290"/>
        <v>20861.996857455411</v>
      </c>
      <c r="EK325" s="68">
        <f t="shared" si="289"/>
        <v>0.43100300250704887</v>
      </c>
      <c r="EL325" s="58">
        <f t="shared" si="291"/>
        <v>6529.8048846771017</v>
      </c>
      <c r="EM325" s="58">
        <f t="shared" si="292"/>
        <v>7182.4211907887466</v>
      </c>
      <c r="EN325" s="68">
        <f t="shared" si="293"/>
        <v>0.14838680686474739</v>
      </c>
      <c r="EO325" s="139">
        <f t="shared" si="312"/>
        <v>0.24029016665052916</v>
      </c>
      <c r="EP325">
        <f>+(SUM(M325:O325)*EO325*(1-'[1]Tier 3 Data'!$A$2))</f>
        <v>1361.8698804882761</v>
      </c>
    </row>
    <row r="326" spans="1:146" x14ac:dyDescent="0.2">
      <c r="A326" s="43">
        <v>0</v>
      </c>
      <c r="B326" s="43">
        <v>0</v>
      </c>
      <c r="C326" s="43">
        <v>0</v>
      </c>
      <c r="D326" s="70">
        <v>2034</v>
      </c>
      <c r="E326" s="70">
        <v>7</v>
      </c>
      <c r="F326" s="2">
        <v>744</v>
      </c>
      <c r="G326" s="133">
        <f t="shared" si="305"/>
        <v>46824.71282298446</v>
      </c>
      <c r="H326" s="65">
        <v>46824.71282298446</v>
      </c>
      <c r="I326" s="133">
        <f t="shared" si="306"/>
        <v>46824.71282298446</v>
      </c>
      <c r="J326" s="133">
        <f t="shared" si="362"/>
        <v>4572.2972499999987</v>
      </c>
      <c r="K326" s="65">
        <v>4572.2972499999987</v>
      </c>
      <c r="L326" s="133">
        <f t="shared" si="363"/>
        <v>4572.2972499999987</v>
      </c>
      <c r="M326" s="65">
        <v>1709.2251160000674</v>
      </c>
      <c r="N326" s="65">
        <v>3680.5074579497937</v>
      </c>
      <c r="O326" s="65">
        <v>979.43542875755008</v>
      </c>
      <c r="P326" s="200">
        <f t="shared" si="356"/>
        <v>40341.665172172245</v>
      </c>
      <c r="Q326" s="200">
        <f t="shared" si="357"/>
        <v>40341.665172172245</v>
      </c>
      <c r="R326" s="200">
        <f t="shared" si="358"/>
        <v>40341.665172172245</v>
      </c>
      <c r="S326" s="133">
        <f t="shared" si="307"/>
        <v>41958.584944357201</v>
      </c>
      <c r="T326" s="133">
        <f t="shared" si="308"/>
        <v>41958.584944357201</v>
      </c>
      <c r="U326" s="133">
        <f t="shared" si="309"/>
        <v>41958.584944357201</v>
      </c>
      <c r="V326" s="200">
        <f t="shared" si="359"/>
        <v>40341.665172172245</v>
      </c>
      <c r="W326" s="200">
        <f t="shared" si="360"/>
        <v>40341.665172172245</v>
      </c>
      <c r="X326" s="200">
        <f t="shared" si="361"/>
        <v>40341.665172172245</v>
      </c>
      <c r="Y326" s="65">
        <v>14666.942119288313</v>
      </c>
      <c r="Z326" s="65">
        <v>14738.145468737619</v>
      </c>
      <c r="AA326" s="65">
        <v>7986.3445985738999</v>
      </c>
      <c r="AB326" s="200">
        <f t="shared" si="297"/>
        <v>55079.810640909862</v>
      </c>
      <c r="AC326" s="200">
        <f t="shared" si="298"/>
        <v>55079.810640909862</v>
      </c>
      <c r="AD326" s="200">
        <f t="shared" si="299"/>
        <v>55079.810640909862</v>
      </c>
      <c r="AE326" s="199">
        <f t="shared" si="338"/>
        <v>56625.52706364551</v>
      </c>
      <c r="AF326" s="199">
        <f t="shared" si="300"/>
        <v>56696.730413094818</v>
      </c>
      <c r="AG326" s="199">
        <f t="shared" si="339"/>
        <v>49944.929542931102</v>
      </c>
      <c r="AH326" s="199">
        <f t="shared" si="310"/>
        <v>53320.82997801296</v>
      </c>
      <c r="AI326" s="200">
        <f t="shared" si="301"/>
        <v>55079.810640909862</v>
      </c>
      <c r="AJ326" s="200">
        <f t="shared" si="302"/>
        <v>55079.810640909862</v>
      </c>
      <c r="AK326" s="200">
        <f t="shared" si="303"/>
        <v>55079.810640909862</v>
      </c>
      <c r="AL326" s="4"/>
      <c r="AM326" s="4"/>
      <c r="AN326" s="4"/>
      <c r="AO326" s="4"/>
      <c r="AP326" s="63"/>
      <c r="AQ326" s="18"/>
      <c r="AR326" s="18"/>
      <c r="AS326" s="66">
        <v>3395.12</v>
      </c>
      <c r="AT326" s="18"/>
      <c r="AU326" s="133">
        <f t="shared" si="313"/>
        <v>118.521</v>
      </c>
      <c r="AV326" s="133">
        <f t="shared" si="313"/>
        <v>3084.53</v>
      </c>
      <c r="AW326" s="63"/>
      <c r="AX326" s="63"/>
      <c r="AY326" s="63"/>
      <c r="AZ326" s="64"/>
      <c r="BA326" s="65">
        <v>1516.482</v>
      </c>
      <c r="BB326" s="5"/>
      <c r="BC326" s="65">
        <v>586.79739986786444</v>
      </c>
      <c r="BD326" s="65">
        <v>0</v>
      </c>
      <c r="BE326" s="65">
        <v>0</v>
      </c>
      <c r="BF326" s="65">
        <v>0</v>
      </c>
      <c r="BG326" s="65">
        <v>0</v>
      </c>
      <c r="BH326" s="65">
        <v>0</v>
      </c>
      <c r="BI326" s="65">
        <v>1488.7042626072459</v>
      </c>
      <c r="BJ326" s="65">
        <v>0</v>
      </c>
      <c r="BK326" s="65">
        <v>9.5733821057653241</v>
      </c>
      <c r="BL326" s="65">
        <v>0</v>
      </c>
      <c r="BM326" s="65">
        <v>0</v>
      </c>
      <c r="BN326" s="65">
        <v>28.53569466031281</v>
      </c>
      <c r="BO326" s="65">
        <v>212.18019192</v>
      </c>
      <c r="BP326" s="62"/>
      <c r="BQ326" s="65">
        <v>164.06553061711216</v>
      </c>
      <c r="BR326" s="65">
        <v>214.35689918724074</v>
      </c>
      <c r="BS326" s="65">
        <v>775.64219234278482</v>
      </c>
      <c r="BT326" s="65">
        <v>266.03316535227742</v>
      </c>
      <c r="BU326" s="65">
        <v>292.63601724499415</v>
      </c>
      <c r="BV326" s="144">
        <f t="shared" si="294"/>
        <v>1196.4575812000471</v>
      </c>
      <c r="BW326" s="144">
        <f t="shared" si="295"/>
        <v>2576.3552205648552</v>
      </c>
      <c r="BX326" s="144">
        <f t="shared" si="296"/>
        <v>685.60480013028507</v>
      </c>
      <c r="BY326" s="5"/>
      <c r="BZ326" s="66">
        <v>7254</v>
      </c>
      <c r="CA326" s="4"/>
      <c r="CB326" s="5"/>
      <c r="CC326" s="5"/>
      <c r="CD326" s="188">
        <v>2.1042112926473342</v>
      </c>
      <c r="CE326" s="5"/>
      <c r="CF326" s="133">
        <f t="shared" si="311"/>
        <v>971.33333333333337</v>
      </c>
      <c r="CG326" s="70"/>
      <c r="CH326" s="70">
        <v>6560</v>
      </c>
      <c r="CI326" s="70"/>
      <c r="CJ326" s="63"/>
      <c r="CK326" s="8">
        <f t="shared" si="335"/>
        <v>31399.032882426767</v>
      </c>
      <c r="CL326" s="202">
        <f t="shared" si="315"/>
        <v>23680.777758483095</v>
      </c>
      <c r="CM326" s="202">
        <f t="shared" si="316"/>
        <v>23680.777758483095</v>
      </c>
      <c r="CN326" s="202">
        <f t="shared" si="317"/>
        <v>23680.777758483095</v>
      </c>
      <c r="CO326" s="9">
        <f t="shared" si="318"/>
        <v>25226.494181218743</v>
      </c>
      <c r="CP326" s="9">
        <f t="shared" si="319"/>
        <v>25297.697530668051</v>
      </c>
      <c r="CQ326" s="9">
        <f t="shared" si="320"/>
        <v>18545.896660504335</v>
      </c>
      <c r="CR326" s="202">
        <f t="shared" si="321"/>
        <v>23680.777758483095</v>
      </c>
      <c r="CS326" s="202">
        <f t="shared" si="322"/>
        <v>23680.777758483095</v>
      </c>
      <c r="CT326" s="202">
        <f t="shared" si="323"/>
        <v>23680.777758483095</v>
      </c>
      <c r="CU326" s="203">
        <f t="shared" si="324"/>
        <v>0.42993571479155529</v>
      </c>
      <c r="CV326" s="203">
        <f t="shared" si="325"/>
        <v>0.42993571479155529</v>
      </c>
      <c r="CW326" s="203">
        <f t="shared" si="326"/>
        <v>0.42993571479155529</v>
      </c>
      <c r="CX326" s="19">
        <f t="shared" si="327"/>
        <v>0.44549685432269565</v>
      </c>
      <c r="CY326" s="19">
        <f t="shared" si="328"/>
        <v>0.44619323453659387</v>
      </c>
      <c r="CZ326" s="19">
        <f t="shared" si="329"/>
        <v>0.37132691606988577</v>
      </c>
      <c r="DA326" s="203">
        <f t="shared" si="330"/>
        <v>0.42993571479155529</v>
      </c>
      <c r="DB326" s="203">
        <f t="shared" si="331"/>
        <v>0.42993571479155529</v>
      </c>
      <c r="DC326" s="203">
        <f t="shared" si="332"/>
        <v>0.42993571479155529</v>
      </c>
      <c r="DD326" s="65"/>
      <c r="DE326" s="66"/>
      <c r="DF326" s="66"/>
      <c r="DG326" s="66"/>
      <c r="DH326" s="66"/>
      <c r="DI326" s="66"/>
      <c r="DJ326" s="66"/>
      <c r="DK326" s="70"/>
      <c r="DL326" s="70"/>
      <c r="DM326" s="8">
        <f t="shared" si="333"/>
        <v>0</v>
      </c>
      <c r="DN326" s="8">
        <f t="shared" si="334"/>
        <v>31399.032882426767</v>
      </c>
      <c r="DO326" s="202">
        <f t="shared" si="340"/>
        <v>23680.777758483095</v>
      </c>
      <c r="DP326" s="202">
        <f t="shared" si="341"/>
        <v>23680.777758483095</v>
      </c>
      <c r="DQ326" s="202">
        <f t="shared" si="342"/>
        <v>23680.777758483095</v>
      </c>
      <c r="DR326" s="9">
        <f t="shared" si="343"/>
        <v>25226.494181218743</v>
      </c>
      <c r="DS326" s="9">
        <f t="shared" si="336"/>
        <v>25297.697530668051</v>
      </c>
      <c r="DT326" s="9">
        <f t="shared" si="344"/>
        <v>18545.896660504335</v>
      </c>
      <c r="DU326" s="202">
        <f t="shared" si="345"/>
        <v>23680.777758483095</v>
      </c>
      <c r="DV326" s="202">
        <f t="shared" si="346"/>
        <v>23680.777758483095</v>
      </c>
      <c r="DW326" s="202">
        <f t="shared" si="347"/>
        <v>23680.777758483095</v>
      </c>
      <c r="DX326" s="203">
        <f t="shared" si="348"/>
        <v>0.42993571479155529</v>
      </c>
      <c r="DY326" s="203">
        <f t="shared" si="349"/>
        <v>0.42993571479155529</v>
      </c>
      <c r="DZ326" s="203">
        <f t="shared" si="350"/>
        <v>0.42993571479155529</v>
      </c>
      <c r="EA326" s="19">
        <f t="shared" si="351"/>
        <v>0.44549685432269565</v>
      </c>
      <c r="EB326" s="19">
        <f t="shared" si="337"/>
        <v>0.44619323453659387</v>
      </c>
      <c r="EC326" s="19">
        <f t="shared" si="352"/>
        <v>0.37132691606988577</v>
      </c>
      <c r="ED326" s="203">
        <f t="shared" si="353"/>
        <v>0.42993571479155529</v>
      </c>
      <c r="EE326" s="203">
        <f t="shared" si="354"/>
        <v>0.42993571479155529</v>
      </c>
      <c r="EF326" s="203">
        <f t="shared" si="355"/>
        <v>0.42993571479155529</v>
      </c>
      <c r="EH326" s="58">
        <f t="shared" si="288"/>
        <v>26573.471089934068</v>
      </c>
      <c r="EI326" s="68">
        <f t="shared" si="289"/>
        <v>0.46869494759783525</v>
      </c>
      <c r="EJ326" s="58">
        <f t="shared" si="290"/>
        <v>22946.471089934072</v>
      </c>
      <c r="EK326" s="68">
        <f t="shared" si="289"/>
        <v>0.40472300470847428</v>
      </c>
      <c r="EL326" s="58">
        <f t="shared" si="291"/>
        <v>6614.8799564704532</v>
      </c>
      <c r="EM326" s="58">
        <f t="shared" si="292"/>
        <v>7300.4847566007384</v>
      </c>
      <c r="EN326" s="68">
        <f t="shared" si="293"/>
        <v>0.12876377003416409</v>
      </c>
      <c r="EO326" s="139">
        <f t="shared" si="312"/>
        <v>0.25197746931178833</v>
      </c>
      <c r="EP326">
        <f>+(SUM(M326:O326)*EO326*(1-'[1]Tier 3 Data'!$A$2))</f>
        <v>1497.3594170025942</v>
      </c>
    </row>
    <row r="327" spans="1:146" x14ac:dyDescent="0.2">
      <c r="A327" s="43">
        <v>0</v>
      </c>
      <c r="B327" s="43">
        <v>0</v>
      </c>
      <c r="C327" s="43">
        <v>0</v>
      </c>
      <c r="D327" s="70">
        <v>2034</v>
      </c>
      <c r="E327" s="70">
        <v>8</v>
      </c>
      <c r="F327" s="2">
        <v>744</v>
      </c>
      <c r="G327" s="133">
        <f t="shared" si="305"/>
        <v>44719.895308861735</v>
      </c>
      <c r="H327" s="65">
        <v>44719.895308861735</v>
      </c>
      <c r="I327" s="133">
        <f t="shared" si="306"/>
        <v>44719.895308861735</v>
      </c>
      <c r="J327" s="133">
        <f t="shared" si="362"/>
        <v>4612.3249999999989</v>
      </c>
      <c r="K327" s="65">
        <v>4612.3249999999989</v>
      </c>
      <c r="L327" s="133">
        <f t="shared" si="363"/>
        <v>4612.3249999999989</v>
      </c>
      <c r="M327" s="65">
        <v>1523.4196774399222</v>
      </c>
      <c r="N327" s="65">
        <v>3280.4090180505418</v>
      </c>
      <c r="O327" s="65">
        <v>897.26315479375808</v>
      </c>
      <c r="P327" s="200">
        <f t="shared" si="356"/>
        <v>38397.242753776474</v>
      </c>
      <c r="Q327" s="200">
        <f t="shared" si="357"/>
        <v>38397.242753776474</v>
      </c>
      <c r="R327" s="200">
        <f t="shared" si="358"/>
        <v>38397.242753776474</v>
      </c>
      <c r="S327" s="133">
        <f t="shared" si="307"/>
        <v>39838.391362423608</v>
      </c>
      <c r="T327" s="133">
        <f t="shared" si="308"/>
        <v>39838.391362423608</v>
      </c>
      <c r="U327" s="133">
        <f t="shared" si="309"/>
        <v>39838.391362423608</v>
      </c>
      <c r="V327" s="200">
        <f t="shared" si="359"/>
        <v>38397.242753776474</v>
      </c>
      <c r="W327" s="200">
        <f t="shared" si="360"/>
        <v>38397.242753776474</v>
      </c>
      <c r="X327" s="200">
        <f t="shared" si="361"/>
        <v>38397.242753776474</v>
      </c>
      <c r="Y327" s="65">
        <v>14122.268870765331</v>
      </c>
      <c r="Z327" s="65">
        <v>13669.441542272545</v>
      </c>
      <c r="AA327" s="65">
        <v>7597.871959886892</v>
      </c>
      <c r="AB327" s="200">
        <f t="shared" si="297"/>
        <v>52066.684296049018</v>
      </c>
      <c r="AC327" s="200">
        <f t="shared" si="298"/>
        <v>52066.684296049018</v>
      </c>
      <c r="AD327" s="200">
        <f t="shared" si="299"/>
        <v>52066.684296049018</v>
      </c>
      <c r="AE327" s="199">
        <f t="shared" si="338"/>
        <v>53960.660233188937</v>
      </c>
      <c r="AF327" s="199">
        <f t="shared" si="300"/>
        <v>53507.832904696152</v>
      </c>
      <c r="AG327" s="199">
        <f t="shared" si="339"/>
        <v>47436.2633223105</v>
      </c>
      <c r="AH327" s="199">
        <f t="shared" si="310"/>
        <v>50698.461777749719</v>
      </c>
      <c r="AI327" s="200">
        <f t="shared" si="301"/>
        <v>52066.684296049018</v>
      </c>
      <c r="AJ327" s="200">
        <f t="shared" si="302"/>
        <v>52066.684296049018</v>
      </c>
      <c r="AK327" s="200">
        <f t="shared" si="303"/>
        <v>52066.684296049018</v>
      </c>
      <c r="AL327" s="4"/>
      <c r="AM327" s="4"/>
      <c r="AN327" s="4"/>
      <c r="AO327" s="4"/>
      <c r="AP327" s="63"/>
      <c r="AQ327" s="18"/>
      <c r="AR327" s="18"/>
      <c r="AS327" s="66">
        <v>3395.12</v>
      </c>
      <c r="AT327" s="18"/>
      <c r="AU327" s="133">
        <f t="shared" si="313"/>
        <v>107.64</v>
      </c>
      <c r="AV327" s="133">
        <f t="shared" si="313"/>
        <v>3021.9279999999999</v>
      </c>
      <c r="AW327" s="63"/>
      <c r="AX327" s="63"/>
      <c r="AY327" s="63"/>
      <c r="AZ327" s="64"/>
      <c r="BA327" s="65">
        <v>1498.2090000000001</v>
      </c>
      <c r="BB327" s="5"/>
      <c r="BC327" s="65">
        <v>569.06141954142743</v>
      </c>
      <c r="BD327" s="65">
        <v>0</v>
      </c>
      <c r="BE327" s="65">
        <v>0</v>
      </c>
      <c r="BF327" s="65">
        <v>0</v>
      </c>
      <c r="BG327" s="65">
        <v>0</v>
      </c>
      <c r="BH327" s="65">
        <v>0</v>
      </c>
      <c r="BI327" s="65">
        <v>1443.7081029115327</v>
      </c>
      <c r="BJ327" s="65">
        <v>0</v>
      </c>
      <c r="BK327" s="65">
        <v>11.152893841525399</v>
      </c>
      <c r="BL327" s="65">
        <v>0</v>
      </c>
      <c r="BM327" s="65">
        <v>0</v>
      </c>
      <c r="BN327" s="65">
        <v>23.779745550260678</v>
      </c>
      <c r="BO327" s="65">
        <v>212.18019192</v>
      </c>
      <c r="BP327" s="62"/>
      <c r="BQ327" s="65">
        <v>155.71094566453087</v>
      </c>
      <c r="BR327" s="65">
        <v>203.44142829377284</v>
      </c>
      <c r="BS327" s="65">
        <v>736.14498239361399</v>
      </c>
      <c r="BT327" s="65">
        <v>252.49258951238426</v>
      </c>
      <c r="BU327" s="65">
        <v>272.29256543348527</v>
      </c>
      <c r="BV327" s="144">
        <f t="shared" si="294"/>
        <v>1066.3937742079454</v>
      </c>
      <c r="BW327" s="144">
        <f t="shared" si="295"/>
        <v>2296.2863126353791</v>
      </c>
      <c r="BX327" s="144">
        <f t="shared" si="296"/>
        <v>628.08420835563061</v>
      </c>
      <c r="BY327" s="5"/>
      <c r="BZ327" s="66">
        <v>7254</v>
      </c>
      <c r="CA327" s="4"/>
      <c r="CB327" s="5"/>
      <c r="CC327" s="5"/>
      <c r="CD327" s="188">
        <v>16.868963591035975</v>
      </c>
      <c r="CE327" s="5"/>
      <c r="CF327" s="133">
        <f t="shared" si="311"/>
        <v>598.33333333333337</v>
      </c>
      <c r="CG327" s="70"/>
      <c r="CH327" s="70">
        <v>7312</v>
      </c>
      <c r="CI327" s="70"/>
      <c r="CJ327" s="63"/>
      <c r="CK327" s="8">
        <f t="shared" si="335"/>
        <v>31074.82845718586</v>
      </c>
      <c r="CL327" s="202">
        <f t="shared" si="315"/>
        <v>20991.855838863157</v>
      </c>
      <c r="CM327" s="202">
        <f t="shared" si="316"/>
        <v>20991.855838863157</v>
      </c>
      <c r="CN327" s="202">
        <f t="shared" si="317"/>
        <v>20991.855838863157</v>
      </c>
      <c r="CO327" s="9">
        <f t="shared" si="318"/>
        <v>22885.831776003077</v>
      </c>
      <c r="CP327" s="9">
        <f t="shared" si="319"/>
        <v>22433.004447510291</v>
      </c>
      <c r="CQ327" s="9">
        <f t="shared" si="320"/>
        <v>16361.43486512464</v>
      </c>
      <c r="CR327" s="202">
        <f t="shared" si="321"/>
        <v>20991.855838863157</v>
      </c>
      <c r="CS327" s="202">
        <f t="shared" si="322"/>
        <v>20991.855838863157</v>
      </c>
      <c r="CT327" s="202">
        <f t="shared" si="323"/>
        <v>20991.855838863157</v>
      </c>
      <c r="CU327" s="203">
        <f t="shared" si="324"/>
        <v>0.40317251084214106</v>
      </c>
      <c r="CV327" s="203">
        <f t="shared" si="325"/>
        <v>0.40317251084214106</v>
      </c>
      <c r="CW327" s="203">
        <f t="shared" si="326"/>
        <v>0.40317251084214106</v>
      </c>
      <c r="CX327" s="19">
        <f t="shared" si="327"/>
        <v>0.4241206774917658</v>
      </c>
      <c r="CY327" s="19">
        <f t="shared" si="328"/>
        <v>0.4192471126137019</v>
      </c>
      <c r="CZ327" s="19">
        <f t="shared" si="329"/>
        <v>0.34491407457529299</v>
      </c>
      <c r="DA327" s="203">
        <f t="shared" si="330"/>
        <v>0.40317251084214106</v>
      </c>
      <c r="DB327" s="203">
        <f t="shared" si="331"/>
        <v>0.40317251084214106</v>
      </c>
      <c r="DC327" s="203">
        <f t="shared" si="332"/>
        <v>0.40317251084214106</v>
      </c>
      <c r="DD327" s="65"/>
      <c r="DE327" s="66"/>
      <c r="DF327" s="66"/>
      <c r="DG327" s="66"/>
      <c r="DH327" s="66"/>
      <c r="DI327" s="66"/>
      <c r="DJ327" s="66"/>
      <c r="DK327" s="70"/>
      <c r="DL327" s="70"/>
      <c r="DM327" s="8">
        <f t="shared" si="333"/>
        <v>0</v>
      </c>
      <c r="DN327" s="8">
        <f t="shared" si="334"/>
        <v>31074.82845718586</v>
      </c>
      <c r="DO327" s="202">
        <f t="shared" si="340"/>
        <v>20991.855838863157</v>
      </c>
      <c r="DP327" s="202">
        <f t="shared" si="341"/>
        <v>20991.855838863157</v>
      </c>
      <c r="DQ327" s="202">
        <f t="shared" si="342"/>
        <v>20991.855838863157</v>
      </c>
      <c r="DR327" s="9">
        <f t="shared" si="343"/>
        <v>22885.831776003077</v>
      </c>
      <c r="DS327" s="9">
        <f t="shared" si="336"/>
        <v>22433.004447510291</v>
      </c>
      <c r="DT327" s="9">
        <f t="shared" si="344"/>
        <v>16361.43486512464</v>
      </c>
      <c r="DU327" s="202">
        <f t="shared" si="345"/>
        <v>20991.855838863157</v>
      </c>
      <c r="DV327" s="202">
        <f t="shared" si="346"/>
        <v>20991.855838863157</v>
      </c>
      <c r="DW327" s="202">
        <f t="shared" si="347"/>
        <v>20991.855838863157</v>
      </c>
      <c r="DX327" s="203">
        <f t="shared" si="348"/>
        <v>0.40317251084214106</v>
      </c>
      <c r="DY327" s="203">
        <f t="shared" si="349"/>
        <v>0.40317251084214106</v>
      </c>
      <c r="DZ327" s="203">
        <f t="shared" si="350"/>
        <v>0.40317251084214106</v>
      </c>
      <c r="EA327" s="19">
        <f t="shared" si="351"/>
        <v>0.4241206774917658</v>
      </c>
      <c r="EB327" s="19">
        <f t="shared" si="337"/>
        <v>0.4192471126137019</v>
      </c>
      <c r="EC327" s="19">
        <f t="shared" si="352"/>
        <v>0.34491407457529299</v>
      </c>
      <c r="ED327" s="203">
        <f t="shared" si="353"/>
        <v>0.40317251084214106</v>
      </c>
      <c r="EE327" s="203">
        <f t="shared" si="354"/>
        <v>0.40317251084214106</v>
      </c>
      <c r="EF327" s="203">
        <f t="shared" si="355"/>
        <v>0.40317251084214106</v>
      </c>
      <c r="EH327" s="58">
        <f t="shared" si="288"/>
        <v>26364.565719386876</v>
      </c>
      <c r="EI327" s="68">
        <f t="shared" si="289"/>
        <v>0.4927234815572763</v>
      </c>
      <c r="EJ327" s="58">
        <f t="shared" si="290"/>
        <v>22737.565719386876</v>
      </c>
      <c r="EK327" s="68">
        <f t="shared" si="289"/>
        <v>0.42493901331951156</v>
      </c>
      <c r="EL327" s="58">
        <f t="shared" si="291"/>
        <v>6176.2511776979127</v>
      </c>
      <c r="EM327" s="58">
        <f t="shared" si="292"/>
        <v>6804.3353860535435</v>
      </c>
      <c r="EN327" s="68">
        <f t="shared" si="293"/>
        <v>0.12716522080370699</v>
      </c>
      <c r="EO327" s="139">
        <f t="shared" si="312"/>
        <v>0.28519905910129462</v>
      </c>
      <c r="EP327">
        <f>+(SUM(M327:O327)*EO327*(1-'[1]Tier 3 Data'!$A$2))</f>
        <v>1517.007647437194</v>
      </c>
    </row>
    <row r="328" spans="1:146" x14ac:dyDescent="0.2">
      <c r="A328" s="43">
        <v>0</v>
      </c>
      <c r="B328" s="43">
        <v>0</v>
      </c>
      <c r="C328" s="43">
        <v>0</v>
      </c>
      <c r="D328" s="70">
        <v>2034</v>
      </c>
      <c r="E328" s="70">
        <v>9</v>
      </c>
      <c r="F328" s="2">
        <v>720</v>
      </c>
      <c r="G328" s="133">
        <f t="shared" si="305"/>
        <v>38848.149614764821</v>
      </c>
      <c r="H328" s="65">
        <v>38848.149614764821</v>
      </c>
      <c r="I328" s="133">
        <f t="shared" si="306"/>
        <v>38848.149614764821</v>
      </c>
      <c r="J328" s="133">
        <f t="shared" si="362"/>
        <v>4652.3527499999991</v>
      </c>
      <c r="K328" s="65">
        <v>4652.3527499999991</v>
      </c>
      <c r="L328" s="133">
        <f t="shared" si="363"/>
        <v>4652.3527499999991</v>
      </c>
      <c r="M328" s="65">
        <v>1305.6369062084025</v>
      </c>
      <c r="N328" s="65">
        <v>2811.4531700307239</v>
      </c>
      <c r="O328" s="65">
        <v>770.7097435307802</v>
      </c>
      <c r="P328" s="200">
        <f t="shared" si="356"/>
        <v>32729.45691883385</v>
      </c>
      <c r="Q328" s="200">
        <f t="shared" si="357"/>
        <v>32729.45691883385</v>
      </c>
      <c r="R328" s="200">
        <f t="shared" si="358"/>
        <v>32729.45691883385</v>
      </c>
      <c r="S328" s="133">
        <f t="shared" si="307"/>
        <v>33964.58394170559</v>
      </c>
      <c r="T328" s="133">
        <f t="shared" si="308"/>
        <v>33964.58394170559</v>
      </c>
      <c r="U328" s="133">
        <f t="shared" si="309"/>
        <v>33964.58394170559</v>
      </c>
      <c r="V328" s="200">
        <f t="shared" si="359"/>
        <v>32729.45691883385</v>
      </c>
      <c r="W328" s="200">
        <f t="shared" si="360"/>
        <v>32729.45691883385</v>
      </c>
      <c r="X328" s="200">
        <f t="shared" si="361"/>
        <v>32729.45691883385</v>
      </c>
      <c r="Y328" s="65">
        <v>13421.850886537006</v>
      </c>
      <c r="Z328" s="65">
        <v>12543.839538180844</v>
      </c>
      <c r="AA328" s="65">
        <v>7018.3583746166578</v>
      </c>
      <c r="AB328" s="200">
        <f t="shared" si="297"/>
        <v>45273.296457014694</v>
      </c>
      <c r="AC328" s="200">
        <f t="shared" si="298"/>
        <v>45273.296457014694</v>
      </c>
      <c r="AD328" s="200">
        <f t="shared" si="299"/>
        <v>45273.296457014694</v>
      </c>
      <c r="AE328" s="199">
        <f t="shared" si="338"/>
        <v>47386.434828242593</v>
      </c>
      <c r="AF328" s="199">
        <f t="shared" si="300"/>
        <v>46508.423479886435</v>
      </c>
      <c r="AG328" s="199">
        <f t="shared" si="339"/>
        <v>40982.942316322245</v>
      </c>
      <c r="AH328" s="199">
        <f t="shared" si="310"/>
        <v>44184.688572282423</v>
      </c>
      <c r="AI328" s="200">
        <f t="shared" si="301"/>
        <v>45273.296457014694</v>
      </c>
      <c r="AJ328" s="200">
        <f t="shared" si="302"/>
        <v>45273.296457014694</v>
      </c>
      <c r="AK328" s="200">
        <f t="shared" si="303"/>
        <v>45273.296457014694</v>
      </c>
      <c r="AL328" s="4"/>
      <c r="AM328" s="4"/>
      <c r="AN328" s="4"/>
      <c r="AO328" s="4"/>
      <c r="AP328" s="63"/>
      <c r="AQ328" s="18"/>
      <c r="AR328" s="18"/>
      <c r="AS328" s="66">
        <v>3285.6</v>
      </c>
      <c r="AT328" s="18"/>
      <c r="AU328" s="133">
        <f t="shared" si="313"/>
        <v>102.375</v>
      </c>
      <c r="AV328" s="133">
        <f t="shared" si="313"/>
        <v>2969.6280000000002</v>
      </c>
      <c r="AW328" s="63"/>
      <c r="AX328" s="63"/>
      <c r="AY328" s="63"/>
      <c r="AZ328" s="64"/>
      <c r="BA328" s="65">
        <v>2037.9549999999999</v>
      </c>
      <c r="BB328" s="5"/>
      <c r="BC328" s="65">
        <v>529.48077460711397</v>
      </c>
      <c r="BD328" s="65">
        <v>0</v>
      </c>
      <c r="BE328" s="65">
        <v>0</v>
      </c>
      <c r="BF328" s="65">
        <v>0</v>
      </c>
      <c r="BG328" s="65">
        <v>0</v>
      </c>
      <c r="BH328" s="65">
        <v>0</v>
      </c>
      <c r="BI328" s="65">
        <v>1343.2920566854839</v>
      </c>
      <c r="BJ328" s="65">
        <v>0</v>
      </c>
      <c r="BK328" s="65">
        <v>13.355863258351745</v>
      </c>
      <c r="BL328" s="65">
        <v>0</v>
      </c>
      <c r="BM328" s="65">
        <v>0</v>
      </c>
      <c r="BN328" s="65">
        <v>4.7559491100521356</v>
      </c>
      <c r="BO328" s="65">
        <v>205.33566960000002</v>
      </c>
      <c r="BP328" s="62"/>
      <c r="BQ328" s="65">
        <v>124.32265919706155</v>
      </c>
      <c r="BR328" s="65">
        <v>162.43165246080821</v>
      </c>
      <c r="BS328" s="65">
        <v>587.75268762605981</v>
      </c>
      <c r="BT328" s="65">
        <v>217.47324313335</v>
      </c>
      <c r="BU328" s="65">
        <v>223.57382637211322</v>
      </c>
      <c r="BV328" s="144">
        <f t="shared" si="294"/>
        <v>913.94583434588162</v>
      </c>
      <c r="BW328" s="144">
        <f t="shared" si="295"/>
        <v>1968.0172190215067</v>
      </c>
      <c r="BX328" s="144">
        <f t="shared" si="296"/>
        <v>539.49682047154613</v>
      </c>
      <c r="BY328" s="5"/>
      <c r="BZ328" s="66">
        <v>7020</v>
      </c>
      <c r="CA328" s="4"/>
      <c r="CB328" s="5"/>
      <c r="CC328" s="5"/>
      <c r="CD328" s="188">
        <v>2.2241810746462862</v>
      </c>
      <c r="CE328" s="5"/>
      <c r="CF328" s="64"/>
      <c r="CG328" s="70"/>
      <c r="CH328" s="70">
        <v>4800</v>
      </c>
      <c r="CI328" s="70"/>
      <c r="CJ328" s="63"/>
      <c r="CK328" s="8">
        <f t="shared" si="335"/>
        <v>27051.016436963979</v>
      </c>
      <c r="CL328" s="202">
        <f t="shared" si="315"/>
        <v>18222.280020050715</v>
      </c>
      <c r="CM328" s="202">
        <f t="shared" si="316"/>
        <v>18222.280020050715</v>
      </c>
      <c r="CN328" s="202">
        <f t="shared" si="317"/>
        <v>18222.280020050715</v>
      </c>
      <c r="CO328" s="9">
        <f t="shared" si="318"/>
        <v>20335.418391278614</v>
      </c>
      <c r="CP328" s="9">
        <f t="shared" si="319"/>
        <v>19457.407042922456</v>
      </c>
      <c r="CQ328" s="9">
        <f t="shared" si="320"/>
        <v>13931.925879358267</v>
      </c>
      <c r="CR328" s="202">
        <f t="shared" si="321"/>
        <v>18222.280020050715</v>
      </c>
      <c r="CS328" s="202">
        <f t="shared" si="322"/>
        <v>18222.280020050715</v>
      </c>
      <c r="CT328" s="202">
        <f t="shared" si="323"/>
        <v>18222.280020050715</v>
      </c>
      <c r="CU328" s="203">
        <f t="shared" si="324"/>
        <v>0.40249510077871381</v>
      </c>
      <c r="CV328" s="203">
        <f t="shared" si="325"/>
        <v>0.40249510077871381</v>
      </c>
      <c r="CW328" s="203">
        <f t="shared" si="326"/>
        <v>0.40249510077871381</v>
      </c>
      <c r="CX328" s="19">
        <f t="shared" si="327"/>
        <v>0.42914007911729596</v>
      </c>
      <c r="CY328" s="19">
        <f t="shared" si="328"/>
        <v>0.41836307462318584</v>
      </c>
      <c r="CZ328" s="19">
        <f t="shared" si="329"/>
        <v>0.33994450110063495</v>
      </c>
      <c r="DA328" s="203">
        <f t="shared" si="330"/>
        <v>0.40249510077871381</v>
      </c>
      <c r="DB328" s="203">
        <f t="shared" si="331"/>
        <v>0.40249510077871381</v>
      </c>
      <c r="DC328" s="203">
        <f t="shared" si="332"/>
        <v>0.40249510077871381</v>
      </c>
      <c r="DD328" s="65"/>
      <c r="DE328" s="66"/>
      <c r="DF328" s="66"/>
      <c r="DG328" s="66"/>
      <c r="DH328" s="66"/>
      <c r="DI328" s="66"/>
      <c r="DJ328" s="66"/>
      <c r="DK328" s="70"/>
      <c r="DL328" s="70"/>
      <c r="DM328" s="8">
        <f t="shared" si="333"/>
        <v>0</v>
      </c>
      <c r="DN328" s="8">
        <f t="shared" si="334"/>
        <v>27051.016436963979</v>
      </c>
      <c r="DO328" s="202">
        <f t="shared" si="340"/>
        <v>18222.280020050715</v>
      </c>
      <c r="DP328" s="202">
        <f t="shared" si="341"/>
        <v>18222.280020050715</v>
      </c>
      <c r="DQ328" s="202">
        <f t="shared" si="342"/>
        <v>18222.280020050715</v>
      </c>
      <c r="DR328" s="9">
        <f t="shared" si="343"/>
        <v>20335.418391278614</v>
      </c>
      <c r="DS328" s="9">
        <f t="shared" si="336"/>
        <v>19457.407042922456</v>
      </c>
      <c r="DT328" s="9">
        <f t="shared" si="344"/>
        <v>13931.925879358267</v>
      </c>
      <c r="DU328" s="202">
        <f t="shared" si="345"/>
        <v>18222.280020050715</v>
      </c>
      <c r="DV328" s="202">
        <f t="shared" si="346"/>
        <v>18222.280020050715</v>
      </c>
      <c r="DW328" s="202">
        <f t="shared" si="347"/>
        <v>18222.280020050715</v>
      </c>
      <c r="DX328" s="203">
        <f t="shared" si="348"/>
        <v>0.40249510077871381</v>
      </c>
      <c r="DY328" s="203">
        <f t="shared" si="349"/>
        <v>0.40249510077871381</v>
      </c>
      <c r="DZ328" s="203">
        <f t="shared" si="350"/>
        <v>0.40249510077871381</v>
      </c>
      <c r="EA328" s="19">
        <f t="shared" si="351"/>
        <v>0.42914007911729596</v>
      </c>
      <c r="EB328" s="19">
        <f t="shared" si="337"/>
        <v>0.41836307462318584</v>
      </c>
      <c r="EC328" s="19">
        <f t="shared" si="352"/>
        <v>0.33994450110063495</v>
      </c>
      <c r="ED328" s="203">
        <f t="shared" si="353"/>
        <v>0.40249510077871381</v>
      </c>
      <c r="EE328" s="203">
        <f t="shared" si="354"/>
        <v>0.40249510077871381</v>
      </c>
      <c r="EF328" s="203">
        <f t="shared" si="355"/>
        <v>0.40249510077871381</v>
      </c>
      <c r="EH328" s="58">
        <f t="shared" si="288"/>
        <v>22624.846421543451</v>
      </c>
      <c r="EI328" s="68">
        <f t="shared" si="289"/>
        <v>0.48646771334504707</v>
      </c>
      <c r="EJ328" s="58">
        <f t="shared" si="290"/>
        <v>19114.846421543451</v>
      </c>
      <c r="EK328" s="68">
        <f t="shared" si="289"/>
        <v>0.41099751381188132</v>
      </c>
      <c r="EL328" s="58">
        <f t="shared" si="291"/>
        <v>5379.7916010719009</v>
      </c>
      <c r="EM328" s="58">
        <f t="shared" si="292"/>
        <v>5919.2884215434469</v>
      </c>
      <c r="EN328" s="68">
        <f t="shared" si="293"/>
        <v>0.12727346959209163</v>
      </c>
      <c r="EO328" s="139">
        <f t="shared" si="312"/>
        <v>0.31860645638858931</v>
      </c>
      <c r="EP328">
        <f>+(SUM(M328:O328)*EO328*(1-'[1]Tier 3 Data'!$A$2))</f>
        <v>1452.9465132460596</v>
      </c>
    </row>
    <row r="329" spans="1:146" x14ac:dyDescent="0.2">
      <c r="A329" s="43">
        <v>0</v>
      </c>
      <c r="B329" s="43">
        <v>0</v>
      </c>
      <c r="C329" s="43">
        <v>0</v>
      </c>
      <c r="D329" s="70">
        <v>2034</v>
      </c>
      <c r="E329" s="70">
        <v>10</v>
      </c>
      <c r="F329" s="2">
        <v>744</v>
      </c>
      <c r="G329" s="133">
        <f t="shared" si="305"/>
        <v>40826.461247273182</v>
      </c>
      <c r="H329" s="65">
        <v>40826.461247273182</v>
      </c>
      <c r="I329" s="133">
        <f t="shared" si="306"/>
        <v>40826.461247273182</v>
      </c>
      <c r="J329" s="133">
        <f t="shared" si="362"/>
        <v>4692.3804999999993</v>
      </c>
      <c r="K329" s="65">
        <v>4692.3804999999993</v>
      </c>
      <c r="L329" s="133">
        <f t="shared" si="363"/>
        <v>4692.3804999999993</v>
      </c>
      <c r="M329" s="65">
        <v>957.87478015852639</v>
      </c>
      <c r="N329" s="65">
        <v>2062.6102665784465</v>
      </c>
      <c r="O329" s="65">
        <v>566.69246346594389</v>
      </c>
      <c r="P329" s="200">
        <f t="shared" si="356"/>
        <v>35057.927494212308</v>
      </c>
      <c r="Q329" s="200">
        <f t="shared" si="357"/>
        <v>35057.927494212308</v>
      </c>
      <c r="R329" s="200">
        <f t="shared" si="358"/>
        <v>35057.927494212308</v>
      </c>
      <c r="S329" s="133">
        <f t="shared" si="307"/>
        <v>35964.073008233398</v>
      </c>
      <c r="T329" s="133">
        <f t="shared" si="308"/>
        <v>35964.073008233398</v>
      </c>
      <c r="U329" s="133">
        <f t="shared" si="309"/>
        <v>35964.073008233398</v>
      </c>
      <c r="V329" s="200">
        <f t="shared" si="359"/>
        <v>35057.927494212308</v>
      </c>
      <c r="W329" s="200">
        <f t="shared" si="360"/>
        <v>35057.927494212308</v>
      </c>
      <c r="X329" s="200">
        <f t="shared" si="361"/>
        <v>35057.927494212308</v>
      </c>
      <c r="Y329" s="65">
        <v>14704.192286110421</v>
      </c>
      <c r="Z329" s="65">
        <v>14765.391009842537</v>
      </c>
      <c r="AA329" s="65">
        <v>7978.5643451765573</v>
      </c>
      <c r="AB329" s="200">
        <f t="shared" si="297"/>
        <v>49823.318504054841</v>
      </c>
      <c r="AC329" s="200">
        <f t="shared" si="298"/>
        <v>49823.318504054841</v>
      </c>
      <c r="AD329" s="200">
        <f t="shared" si="299"/>
        <v>49823.318504054841</v>
      </c>
      <c r="AE329" s="199">
        <f t="shared" si="338"/>
        <v>50668.265294343815</v>
      </c>
      <c r="AF329" s="199">
        <f t="shared" si="300"/>
        <v>50729.464018075931</v>
      </c>
      <c r="AG329" s="199">
        <f t="shared" si="339"/>
        <v>43942.637353409955</v>
      </c>
      <c r="AH329" s="199">
        <f t="shared" si="310"/>
        <v>47336.050685742943</v>
      </c>
      <c r="AI329" s="200">
        <f t="shared" si="301"/>
        <v>49823.318504054841</v>
      </c>
      <c r="AJ329" s="200">
        <f t="shared" si="302"/>
        <v>49823.318504054841</v>
      </c>
      <c r="AK329" s="200">
        <f t="shared" si="303"/>
        <v>49823.318504054841</v>
      </c>
      <c r="AL329" s="4"/>
      <c r="AM329" s="4"/>
      <c r="AN329" s="4"/>
      <c r="AO329" s="4"/>
      <c r="AP329" s="63"/>
      <c r="AQ329" s="18"/>
      <c r="AR329" s="18"/>
      <c r="AS329" s="66">
        <v>3395.12</v>
      </c>
      <c r="AT329" s="18"/>
      <c r="AU329" s="133">
        <f t="shared" si="313"/>
        <v>118.17</v>
      </c>
      <c r="AV329" s="133">
        <f t="shared" si="313"/>
        <v>3225.1860000000001</v>
      </c>
      <c r="AW329" s="63"/>
      <c r="AX329" s="63"/>
      <c r="AY329" s="63"/>
      <c r="AZ329" s="64"/>
      <c r="BA329" s="65">
        <v>1760</v>
      </c>
      <c r="BB329" s="5"/>
      <c r="BC329" s="65">
        <v>387.84712854806463</v>
      </c>
      <c r="BD329" s="65">
        <v>0</v>
      </c>
      <c r="BE329" s="65">
        <v>0</v>
      </c>
      <c r="BF329" s="65">
        <v>0</v>
      </c>
      <c r="BG329" s="65">
        <v>0</v>
      </c>
      <c r="BH329" s="65">
        <v>0</v>
      </c>
      <c r="BI329" s="65">
        <v>983.96767545238163</v>
      </c>
      <c r="BJ329" s="65">
        <v>0</v>
      </c>
      <c r="BK329" s="65">
        <v>16.565610887239799</v>
      </c>
      <c r="BL329" s="65">
        <v>0</v>
      </c>
      <c r="BM329" s="65">
        <v>0</v>
      </c>
      <c r="BN329" s="65">
        <v>33.291643770364956</v>
      </c>
      <c r="BO329" s="65">
        <v>212.18019192</v>
      </c>
      <c r="BP329" s="62"/>
      <c r="BQ329" s="65">
        <v>98.090712525054641</v>
      </c>
      <c r="BR329" s="65">
        <v>128.15871655135305</v>
      </c>
      <c r="BS329" s="65">
        <v>463.73738598327094</v>
      </c>
      <c r="BT329" s="65">
        <v>153.07763336599123</v>
      </c>
      <c r="BU329" s="65">
        <v>152.62947334972188</v>
      </c>
      <c r="BV329" s="144">
        <f t="shared" si="294"/>
        <v>670.51234611096845</v>
      </c>
      <c r="BW329" s="144">
        <f t="shared" si="295"/>
        <v>1443.8271866049124</v>
      </c>
      <c r="BX329" s="144">
        <f t="shared" si="296"/>
        <v>396.6847244261607</v>
      </c>
      <c r="BY329" s="5"/>
      <c r="BZ329" s="66">
        <v>7254</v>
      </c>
      <c r="CA329" s="4"/>
      <c r="CB329" s="5"/>
      <c r="CC329" s="5"/>
      <c r="CD329" s="188">
        <v>0</v>
      </c>
      <c r="CE329" s="5"/>
      <c r="CF329" s="64"/>
      <c r="CG329" s="70"/>
      <c r="CH329" s="70">
        <v>2832</v>
      </c>
      <c r="CI329" s="70"/>
      <c r="CJ329" s="63"/>
      <c r="CK329" s="8">
        <f t="shared" si="335"/>
        <v>23725.046429495487</v>
      </c>
      <c r="CL329" s="202">
        <f t="shared" si="315"/>
        <v>26098.272074559354</v>
      </c>
      <c r="CM329" s="202">
        <f t="shared" si="316"/>
        <v>26098.272074559354</v>
      </c>
      <c r="CN329" s="202">
        <f t="shared" si="317"/>
        <v>26098.272074559354</v>
      </c>
      <c r="CO329" s="9">
        <f t="shared" si="318"/>
        <v>26943.218864848328</v>
      </c>
      <c r="CP329" s="9">
        <f t="shared" si="319"/>
        <v>27004.417588580443</v>
      </c>
      <c r="CQ329" s="9">
        <f t="shared" si="320"/>
        <v>20217.590923914468</v>
      </c>
      <c r="CR329" s="202">
        <f t="shared" si="321"/>
        <v>26098.272074559354</v>
      </c>
      <c r="CS329" s="202">
        <f t="shared" si="322"/>
        <v>26098.272074559354</v>
      </c>
      <c r="CT329" s="202">
        <f t="shared" si="323"/>
        <v>26098.272074559354</v>
      </c>
      <c r="CU329" s="203">
        <f t="shared" si="324"/>
        <v>0.52381641484670194</v>
      </c>
      <c r="CV329" s="203">
        <f t="shared" si="325"/>
        <v>0.52381641484670194</v>
      </c>
      <c r="CW329" s="203">
        <f t="shared" si="326"/>
        <v>0.52381641484670194</v>
      </c>
      <c r="CX329" s="19">
        <f t="shared" si="327"/>
        <v>0.53175727861076083</v>
      </c>
      <c r="CY329" s="19">
        <f t="shared" si="328"/>
        <v>0.53232215461527888</v>
      </c>
      <c r="CZ329" s="19">
        <f t="shared" si="329"/>
        <v>0.46009052122461147</v>
      </c>
      <c r="DA329" s="203">
        <f t="shared" si="330"/>
        <v>0.52381641484670194</v>
      </c>
      <c r="DB329" s="203">
        <f t="shared" si="331"/>
        <v>0.52381641484670194</v>
      </c>
      <c r="DC329" s="203">
        <f t="shared" si="332"/>
        <v>0.52381641484670194</v>
      </c>
      <c r="DD329" s="65"/>
      <c r="DE329" s="66"/>
      <c r="DF329" s="66"/>
      <c r="DG329" s="66"/>
      <c r="DH329" s="66"/>
      <c r="DI329" s="66"/>
      <c r="DJ329" s="66"/>
      <c r="DK329" s="70"/>
      <c r="DL329" s="70"/>
      <c r="DM329" s="8">
        <f t="shared" si="333"/>
        <v>0</v>
      </c>
      <c r="DN329" s="8">
        <f t="shared" si="334"/>
        <v>23725.046429495487</v>
      </c>
      <c r="DO329" s="202">
        <f t="shared" si="340"/>
        <v>26098.272074559354</v>
      </c>
      <c r="DP329" s="202">
        <f t="shared" si="341"/>
        <v>26098.272074559354</v>
      </c>
      <c r="DQ329" s="202">
        <f t="shared" si="342"/>
        <v>26098.272074559354</v>
      </c>
      <c r="DR329" s="9">
        <f t="shared" si="343"/>
        <v>26943.218864848328</v>
      </c>
      <c r="DS329" s="9">
        <f t="shared" si="336"/>
        <v>27004.417588580443</v>
      </c>
      <c r="DT329" s="9">
        <f t="shared" si="344"/>
        <v>20217.590923914468</v>
      </c>
      <c r="DU329" s="202">
        <f t="shared" si="345"/>
        <v>26098.272074559354</v>
      </c>
      <c r="DV329" s="202">
        <f t="shared" si="346"/>
        <v>26098.272074559354</v>
      </c>
      <c r="DW329" s="202">
        <f t="shared" si="347"/>
        <v>26098.272074559354</v>
      </c>
      <c r="DX329" s="203">
        <f t="shared" si="348"/>
        <v>0.52381641484670194</v>
      </c>
      <c r="DY329" s="203">
        <f t="shared" si="349"/>
        <v>0.52381641484670194</v>
      </c>
      <c r="DZ329" s="203">
        <f t="shared" si="350"/>
        <v>0.52381641484670194</v>
      </c>
      <c r="EA329" s="19">
        <f t="shared" si="351"/>
        <v>0.53175727861076083</v>
      </c>
      <c r="EB329" s="19">
        <f t="shared" si="337"/>
        <v>0.53232215461527888</v>
      </c>
      <c r="EC329" s="19">
        <f t="shared" si="352"/>
        <v>0.46009052122461147</v>
      </c>
      <c r="ED329" s="203">
        <f t="shared" si="353"/>
        <v>0.52381641484670194</v>
      </c>
      <c r="EE329" s="203">
        <f t="shared" si="354"/>
        <v>0.52381641484670194</v>
      </c>
      <c r="EF329" s="203">
        <f t="shared" si="355"/>
        <v>0.52381641484670194</v>
      </c>
      <c r="EH329" s="58">
        <f t="shared" ref="EH329:EH392" si="364">SUMIF($AL$1:$DL$1,1,$AL329:$DL329)-0.5*BZ329</f>
        <v>19427.534083384518</v>
      </c>
      <c r="EI329" s="68">
        <f t="shared" ref="EI329:EK392" si="365">+EH329/$AF329</f>
        <v>0.38296351951327728</v>
      </c>
      <c r="EJ329" s="58">
        <f t="shared" ref="EJ329:EJ392" si="366">SUMIF($AL$2:$DL$2,1,$AL329:$DL329)</f>
        <v>15800.534083384517</v>
      </c>
      <c r="EK329" s="68">
        <f t="shared" si="365"/>
        <v>0.31146660800032239</v>
      </c>
      <c r="EL329" s="58">
        <f t="shared" ref="EL329:EL392" si="367">+EM329-BX329</f>
        <v>4073.3733589583553</v>
      </c>
      <c r="EM329" s="58">
        <f t="shared" ref="EM329:EM392" si="368">SUMIF($AL$3:$DL$3,1,$AL329:$DL329)</f>
        <v>4470.0580833845161</v>
      </c>
      <c r="EN329" s="68">
        <f t="shared" ref="EN329:EN392" si="369">+EM329/$AF329</f>
        <v>8.8115618209404778E-2</v>
      </c>
      <c r="EO329" s="139">
        <f t="shared" si="312"/>
        <v>0.35739486552628164</v>
      </c>
      <c r="EP329">
        <f>+(SUM(M329:O329)*EO329*(1-'[1]Tier 3 Data'!$A$2))</f>
        <v>1196.1422226780558</v>
      </c>
    </row>
    <row r="330" spans="1:146" x14ac:dyDescent="0.2">
      <c r="A330" s="43">
        <v>0</v>
      </c>
      <c r="B330" s="43">
        <v>0</v>
      </c>
      <c r="C330" s="43">
        <v>0</v>
      </c>
      <c r="D330" s="70">
        <v>2034</v>
      </c>
      <c r="E330" s="70">
        <v>11</v>
      </c>
      <c r="F330" s="2">
        <v>721</v>
      </c>
      <c r="G330" s="133">
        <f t="shared" si="305"/>
        <v>43203.725957118484</v>
      </c>
      <c r="H330" s="65">
        <v>43203.725957118484</v>
      </c>
      <c r="I330" s="133">
        <f t="shared" si="306"/>
        <v>43203.725957118484</v>
      </c>
      <c r="J330" s="133">
        <f t="shared" si="362"/>
        <v>4732.4082499999995</v>
      </c>
      <c r="K330" s="65">
        <v>4732.4082499999995</v>
      </c>
      <c r="L330" s="133">
        <f t="shared" si="363"/>
        <v>4732.4082499999995</v>
      </c>
      <c r="M330" s="65">
        <v>391.15101618171565</v>
      </c>
      <c r="N330" s="65">
        <v>842.27303867993726</v>
      </c>
      <c r="O330" s="65">
        <v>232.06635906271944</v>
      </c>
      <c r="P330" s="200">
        <f t="shared" si="356"/>
        <v>38031.670582941173</v>
      </c>
      <c r="Q330" s="200">
        <f t="shared" si="357"/>
        <v>38031.670582941173</v>
      </c>
      <c r="R330" s="200">
        <f t="shared" si="358"/>
        <v>38031.670582941173</v>
      </c>
      <c r="S330" s="133">
        <f t="shared" si="307"/>
        <v>38401.69779939967</v>
      </c>
      <c r="T330" s="133">
        <f t="shared" si="308"/>
        <v>38401.69779939967</v>
      </c>
      <c r="U330" s="133">
        <f t="shared" si="309"/>
        <v>38401.69779939967</v>
      </c>
      <c r="V330" s="200">
        <f t="shared" si="359"/>
        <v>38031.670582941173</v>
      </c>
      <c r="W330" s="200">
        <f t="shared" si="360"/>
        <v>38031.670582941173</v>
      </c>
      <c r="X330" s="200">
        <f t="shared" si="361"/>
        <v>38031.670582941173</v>
      </c>
      <c r="Y330" s="65">
        <v>20315.157944970659</v>
      </c>
      <c r="Z330" s="65">
        <v>23027.094263302046</v>
      </c>
      <c r="AA330" s="65">
        <v>11716.434447056439</v>
      </c>
      <c r="AB330" s="200">
        <f t="shared" si="297"/>
        <v>61058.764846243219</v>
      </c>
      <c r="AC330" s="200">
        <f t="shared" si="298"/>
        <v>61058.764846243219</v>
      </c>
      <c r="AD330" s="200">
        <f t="shared" si="299"/>
        <v>61058.764846243219</v>
      </c>
      <c r="AE330" s="199">
        <f t="shared" si="338"/>
        <v>58716.855744370332</v>
      </c>
      <c r="AF330" s="199">
        <f t="shared" si="300"/>
        <v>61428.792062701716</v>
      </c>
      <c r="AG330" s="199">
        <f t="shared" si="339"/>
        <v>50118.132246456109</v>
      </c>
      <c r="AH330" s="199">
        <f t="shared" si="310"/>
        <v>55773.462154578912</v>
      </c>
      <c r="AI330" s="200">
        <f t="shared" si="301"/>
        <v>61058.764846243219</v>
      </c>
      <c r="AJ330" s="200">
        <f t="shared" si="302"/>
        <v>61058.764846243219</v>
      </c>
      <c r="AK330" s="200">
        <f t="shared" si="303"/>
        <v>61058.764846243219</v>
      </c>
      <c r="AL330" s="4"/>
      <c r="AM330" s="4"/>
      <c r="AN330" s="4"/>
      <c r="AO330" s="4"/>
      <c r="AP330" s="63"/>
      <c r="AQ330" s="18"/>
      <c r="AR330" s="18"/>
      <c r="AS330" s="66">
        <v>3285.6</v>
      </c>
      <c r="AT330" s="18"/>
      <c r="AU330" s="133">
        <f t="shared" si="313"/>
        <v>104.364</v>
      </c>
      <c r="AV330" s="133">
        <f t="shared" si="313"/>
        <v>3268.3739999999998</v>
      </c>
      <c r="AW330" s="63"/>
      <c r="AX330" s="63"/>
      <c r="AY330" s="63"/>
      <c r="AZ330" s="64"/>
      <c r="BA330" s="65">
        <v>2363</v>
      </c>
      <c r="BB330" s="5"/>
      <c r="BC330" s="65">
        <v>283.87477427119757</v>
      </c>
      <c r="BD330" s="65">
        <v>0</v>
      </c>
      <c r="BE330" s="65">
        <v>0</v>
      </c>
      <c r="BF330" s="65">
        <v>0</v>
      </c>
      <c r="BG330" s="65">
        <v>0</v>
      </c>
      <c r="BH330" s="65">
        <v>0</v>
      </c>
      <c r="BI330" s="65">
        <v>720.18994392164086</v>
      </c>
      <c r="BJ330" s="65">
        <v>0</v>
      </c>
      <c r="BK330" s="65">
        <v>19.844702933795372</v>
      </c>
      <c r="BL330" s="65">
        <v>0</v>
      </c>
      <c r="BM330" s="65">
        <v>0</v>
      </c>
      <c r="BN330" s="65">
        <v>61.827338430677763</v>
      </c>
      <c r="BO330" s="65">
        <v>205.33566960000002</v>
      </c>
      <c r="BP330" s="62"/>
      <c r="BQ330" s="65">
        <v>60.461181446931207</v>
      </c>
      <c r="BR330" s="65">
        <v>78.994505208557015</v>
      </c>
      <c r="BS330" s="65">
        <v>285.83857877137672</v>
      </c>
      <c r="BT330" s="65">
        <v>105.58413700648541</v>
      </c>
      <c r="BU330" s="65">
        <v>117.4281925152227</v>
      </c>
      <c r="BV330" s="144">
        <f t="shared" si="294"/>
        <v>273.80571132720092</v>
      </c>
      <c r="BW330" s="144">
        <f t="shared" si="295"/>
        <v>589.59112707595602</v>
      </c>
      <c r="BX330" s="144">
        <f t="shared" si="296"/>
        <v>162.44645134390359</v>
      </c>
      <c r="BY330" s="5"/>
      <c r="BZ330" s="66">
        <v>7029.75</v>
      </c>
      <c r="CA330" s="4"/>
      <c r="CB330" s="5"/>
      <c r="CC330" s="5"/>
      <c r="CD330" s="188">
        <v>3.0642236760841479</v>
      </c>
      <c r="CE330" s="5"/>
      <c r="CF330" s="64"/>
      <c r="CG330" s="70"/>
      <c r="CH330" s="70">
        <v>4074</v>
      </c>
      <c r="CI330" s="70"/>
      <c r="CJ330" s="63"/>
      <c r="CK330" s="8">
        <f t="shared" si="335"/>
        <v>23093.374537529024</v>
      </c>
      <c r="CL330" s="202">
        <f t="shared" si="315"/>
        <v>37965.390308714195</v>
      </c>
      <c r="CM330" s="202">
        <f t="shared" si="316"/>
        <v>37965.390308714195</v>
      </c>
      <c r="CN330" s="202">
        <f t="shared" si="317"/>
        <v>37965.390308714195</v>
      </c>
      <c r="CO330" s="9">
        <f t="shared" si="318"/>
        <v>35623.481206841308</v>
      </c>
      <c r="CP330" s="9">
        <f t="shared" si="319"/>
        <v>38335.417525172692</v>
      </c>
      <c r="CQ330" s="9">
        <f t="shared" si="320"/>
        <v>27024.757708927085</v>
      </c>
      <c r="CR330" s="202">
        <f t="shared" si="321"/>
        <v>37965.390308714195</v>
      </c>
      <c r="CS330" s="202">
        <f t="shared" si="322"/>
        <v>37965.390308714195</v>
      </c>
      <c r="CT330" s="202">
        <f t="shared" si="323"/>
        <v>37965.390308714195</v>
      </c>
      <c r="CU330" s="203">
        <f t="shared" si="324"/>
        <v>0.62178444657892717</v>
      </c>
      <c r="CV330" s="203">
        <f t="shared" si="325"/>
        <v>0.62178444657892717</v>
      </c>
      <c r="CW330" s="203">
        <f t="shared" si="326"/>
        <v>0.62178444657892717</v>
      </c>
      <c r="CX330" s="19">
        <f t="shared" si="327"/>
        <v>0.60669940096812536</v>
      </c>
      <c r="CY330" s="19">
        <f t="shared" si="328"/>
        <v>0.62406269499883527</v>
      </c>
      <c r="CZ330" s="19">
        <f t="shared" si="329"/>
        <v>0.53922116602495751</v>
      </c>
      <c r="DA330" s="203">
        <f t="shared" si="330"/>
        <v>0.62178444657892717</v>
      </c>
      <c r="DB330" s="203">
        <f t="shared" si="331"/>
        <v>0.62178444657892717</v>
      </c>
      <c r="DC330" s="203">
        <f t="shared" si="332"/>
        <v>0.62178444657892717</v>
      </c>
      <c r="DD330" s="65"/>
      <c r="DE330" s="66"/>
      <c r="DF330" s="66"/>
      <c r="DG330" s="66"/>
      <c r="DH330" s="66"/>
      <c r="DI330" s="66"/>
      <c r="DJ330" s="66"/>
      <c r="DK330" s="70"/>
      <c r="DL330" s="70"/>
      <c r="DM330" s="8">
        <f t="shared" si="333"/>
        <v>0</v>
      </c>
      <c r="DN330" s="8">
        <f t="shared" si="334"/>
        <v>23093.374537529024</v>
      </c>
      <c r="DO330" s="202">
        <f t="shared" si="340"/>
        <v>37965.390308714195</v>
      </c>
      <c r="DP330" s="202">
        <f t="shared" si="341"/>
        <v>37965.390308714195</v>
      </c>
      <c r="DQ330" s="202">
        <f t="shared" si="342"/>
        <v>37965.390308714195</v>
      </c>
      <c r="DR330" s="9">
        <f t="shared" si="343"/>
        <v>35623.481206841308</v>
      </c>
      <c r="DS330" s="9">
        <f t="shared" si="336"/>
        <v>38335.417525172692</v>
      </c>
      <c r="DT330" s="9">
        <f t="shared" si="344"/>
        <v>27024.757708927085</v>
      </c>
      <c r="DU330" s="202">
        <f t="shared" si="345"/>
        <v>37965.390308714195</v>
      </c>
      <c r="DV330" s="202">
        <f t="shared" si="346"/>
        <v>37965.390308714195</v>
      </c>
      <c r="DW330" s="202">
        <f t="shared" si="347"/>
        <v>37965.390308714195</v>
      </c>
      <c r="DX330" s="203">
        <f t="shared" si="348"/>
        <v>0.62178444657892717</v>
      </c>
      <c r="DY330" s="203">
        <f t="shared" si="349"/>
        <v>0.62178444657892717</v>
      </c>
      <c r="DZ330" s="203">
        <f t="shared" si="350"/>
        <v>0.62178444657892717</v>
      </c>
      <c r="EA330" s="19">
        <f t="shared" si="351"/>
        <v>0.60669940096812536</v>
      </c>
      <c r="EB330" s="19">
        <f t="shared" si="337"/>
        <v>0.62406269499883527</v>
      </c>
      <c r="EC330" s="19">
        <f t="shared" si="352"/>
        <v>0.53922116602495751</v>
      </c>
      <c r="ED330" s="203">
        <f t="shared" si="353"/>
        <v>0.62178444657892717</v>
      </c>
      <c r="EE330" s="203">
        <f t="shared" si="354"/>
        <v>0.62178444657892717</v>
      </c>
      <c r="EF330" s="203">
        <f t="shared" si="355"/>
        <v>0.62178444657892717</v>
      </c>
      <c r="EH330" s="58">
        <f t="shared" si="364"/>
        <v>19301.62960252574</v>
      </c>
      <c r="EI330" s="68">
        <f t="shared" si="365"/>
        <v>0.31421144636580423</v>
      </c>
      <c r="EJ330" s="58">
        <f t="shared" si="366"/>
        <v>15786.75460252574</v>
      </c>
      <c r="EK330" s="68">
        <f t="shared" si="365"/>
        <v>0.25699275653038811</v>
      </c>
      <c r="EL330" s="58">
        <f t="shared" si="367"/>
        <v>2528.9701511818407</v>
      </c>
      <c r="EM330" s="58">
        <f t="shared" si="368"/>
        <v>2691.4166025257441</v>
      </c>
      <c r="EN330" s="68">
        <f t="shared" si="369"/>
        <v>4.381360127965004E-2</v>
      </c>
      <c r="EO330" s="139">
        <f t="shared" si="312"/>
        <v>0.4050825009776523</v>
      </c>
      <c r="EP330">
        <f>+(SUM(M330:O330)*EO330*(1-'[1]Tier 3 Data'!$A$2))</f>
        <v>553.87033905516523</v>
      </c>
    </row>
    <row r="331" spans="1:146" x14ac:dyDescent="0.2">
      <c r="A331" s="43">
        <v>0</v>
      </c>
      <c r="B331" s="43">
        <v>0</v>
      </c>
      <c r="C331" s="43">
        <v>0</v>
      </c>
      <c r="D331" s="70">
        <v>2034</v>
      </c>
      <c r="E331" s="70">
        <v>12</v>
      </c>
      <c r="F331" s="2">
        <v>744</v>
      </c>
      <c r="G331" s="133">
        <f t="shared" si="305"/>
        <v>49050.035304803518</v>
      </c>
      <c r="H331" s="65">
        <v>49050.035304803518</v>
      </c>
      <c r="I331" s="133">
        <f t="shared" si="306"/>
        <v>49050.035304803518</v>
      </c>
      <c r="J331" s="133">
        <f t="shared" si="362"/>
        <v>4772.4359999999997</v>
      </c>
      <c r="K331" s="65">
        <v>4772.4359999999997</v>
      </c>
      <c r="L331" s="133">
        <f t="shared" si="363"/>
        <v>4772.4359999999997</v>
      </c>
      <c r="M331" s="65">
        <v>248.30627982623952</v>
      </c>
      <c r="N331" s="65">
        <v>534.68270867382159</v>
      </c>
      <c r="O331" s="65">
        <v>147.58293111485372</v>
      </c>
      <c r="P331" s="200">
        <f t="shared" si="356"/>
        <v>43998.427728919043</v>
      </c>
      <c r="Q331" s="200">
        <f t="shared" si="357"/>
        <v>43998.427728919043</v>
      </c>
      <c r="R331" s="200">
        <f t="shared" si="358"/>
        <v>43998.427728919043</v>
      </c>
      <c r="S331" s="133">
        <f t="shared" si="307"/>
        <v>44233.324425469058</v>
      </c>
      <c r="T331" s="133">
        <f t="shared" si="308"/>
        <v>44233.324425469058</v>
      </c>
      <c r="U331" s="133">
        <f t="shared" si="309"/>
        <v>44233.324425469058</v>
      </c>
      <c r="V331" s="200">
        <f t="shared" si="359"/>
        <v>43998.427728919043</v>
      </c>
      <c r="W331" s="200">
        <f t="shared" si="360"/>
        <v>43998.427728919043</v>
      </c>
      <c r="X331" s="200">
        <f t="shared" si="361"/>
        <v>43998.427728919043</v>
      </c>
      <c r="Y331" s="65">
        <v>22204.466328648814</v>
      </c>
      <c r="Z331" s="65">
        <v>24573.998652983715</v>
      </c>
      <c r="AA331" s="65">
        <v>12692.137105387064</v>
      </c>
      <c r="AB331" s="200">
        <f t="shared" si="297"/>
        <v>68572.426381902755</v>
      </c>
      <c r="AC331" s="200">
        <f t="shared" si="298"/>
        <v>68572.426381902755</v>
      </c>
      <c r="AD331" s="200">
        <f t="shared" si="299"/>
        <v>68572.426381902755</v>
      </c>
      <c r="AE331" s="199">
        <f t="shared" si="338"/>
        <v>66437.790754117872</v>
      </c>
      <c r="AF331" s="199">
        <f t="shared" si="300"/>
        <v>68807.32307845277</v>
      </c>
      <c r="AG331" s="199">
        <f t="shared" si="339"/>
        <v>56925.461530856119</v>
      </c>
      <c r="AH331" s="199">
        <f t="shared" si="310"/>
        <v>62866.392304654444</v>
      </c>
      <c r="AI331" s="200">
        <f t="shared" si="301"/>
        <v>68572.426381902755</v>
      </c>
      <c r="AJ331" s="200">
        <f t="shared" si="302"/>
        <v>68572.426381902755</v>
      </c>
      <c r="AK331" s="200">
        <f t="shared" si="303"/>
        <v>68572.426381902755</v>
      </c>
      <c r="AL331" s="4"/>
      <c r="AM331" s="4"/>
      <c r="AN331" s="4"/>
      <c r="AO331" s="4"/>
      <c r="AP331" s="63"/>
      <c r="AQ331" s="18"/>
      <c r="AR331" s="18"/>
      <c r="AS331" s="66">
        <v>3395.12</v>
      </c>
      <c r="AT331" s="18"/>
      <c r="AU331" s="133">
        <f t="shared" si="313"/>
        <v>105.066</v>
      </c>
      <c r="AV331" s="133">
        <f t="shared" si="313"/>
        <v>3218.8470000000002</v>
      </c>
      <c r="AW331" s="63"/>
      <c r="AX331" s="63"/>
      <c r="AY331" s="63"/>
      <c r="AZ331" s="64"/>
      <c r="BA331" s="65">
        <v>2225.2240000000002</v>
      </c>
      <c r="BB331" s="5"/>
      <c r="BC331" s="65">
        <v>133.02629953839877</v>
      </c>
      <c r="BD331" s="65">
        <v>0</v>
      </c>
      <c r="BE331" s="65">
        <v>0</v>
      </c>
      <c r="BF331" s="65">
        <v>0</v>
      </c>
      <c r="BG331" s="65">
        <v>0</v>
      </c>
      <c r="BH331" s="65">
        <v>0</v>
      </c>
      <c r="BI331" s="65">
        <v>337.48755397736403</v>
      </c>
      <c r="BJ331" s="65">
        <v>0</v>
      </c>
      <c r="BK331" s="65">
        <v>20.28324216774827</v>
      </c>
      <c r="BL331" s="65">
        <v>0</v>
      </c>
      <c r="BM331" s="65">
        <v>0</v>
      </c>
      <c r="BN331" s="65">
        <v>38.047592880417085</v>
      </c>
      <c r="BO331" s="65">
        <v>212.18019192</v>
      </c>
      <c r="BP331" s="62"/>
      <c r="BQ331" s="65">
        <v>55.088779004898861</v>
      </c>
      <c r="BR331" s="65">
        <v>71.615382748819059</v>
      </c>
      <c r="BS331" s="65">
        <v>260.43970615574949</v>
      </c>
      <c r="BT331" s="65">
        <v>97.211482263154522</v>
      </c>
      <c r="BU331" s="65">
        <v>103.34775823316293</v>
      </c>
      <c r="BV331" s="144">
        <f t="shared" si="294"/>
        <v>173.81439587836766</v>
      </c>
      <c r="BW331" s="144">
        <f t="shared" si="295"/>
        <v>374.27789607167512</v>
      </c>
      <c r="BX331" s="144">
        <f t="shared" si="296"/>
        <v>103.30805178039761</v>
      </c>
      <c r="BY331" s="5"/>
      <c r="BZ331" s="66">
        <v>7254</v>
      </c>
      <c r="CA331" s="4"/>
      <c r="CB331" s="5"/>
      <c r="CC331" s="5"/>
      <c r="CD331" s="188">
        <v>4.9023166732340453</v>
      </c>
      <c r="CE331" s="5"/>
      <c r="CF331" s="64"/>
      <c r="CG331" s="70"/>
      <c r="CH331" s="70">
        <v>7440</v>
      </c>
      <c r="CI331" s="70"/>
      <c r="CJ331" s="63"/>
      <c r="CK331" s="8">
        <f t="shared" si="335"/>
        <v>25623.287649293386</v>
      </c>
      <c r="CL331" s="202">
        <f t="shared" si="315"/>
        <v>42949.138732609368</v>
      </c>
      <c r="CM331" s="202">
        <f t="shared" si="316"/>
        <v>42949.138732609368</v>
      </c>
      <c r="CN331" s="202">
        <f t="shared" si="317"/>
        <v>42949.138732609368</v>
      </c>
      <c r="CO331" s="9">
        <f t="shared" si="318"/>
        <v>40814.503104824485</v>
      </c>
      <c r="CP331" s="9">
        <f t="shared" si="319"/>
        <v>43184.035429159383</v>
      </c>
      <c r="CQ331" s="9">
        <f t="shared" si="320"/>
        <v>31302.173881562732</v>
      </c>
      <c r="CR331" s="202">
        <f t="shared" si="321"/>
        <v>42949.138732609368</v>
      </c>
      <c r="CS331" s="202">
        <f t="shared" si="322"/>
        <v>42949.138732609368</v>
      </c>
      <c r="CT331" s="202">
        <f t="shared" si="323"/>
        <v>42949.138732609368</v>
      </c>
      <c r="CU331" s="203">
        <f t="shared" si="324"/>
        <v>0.62633249250086709</v>
      </c>
      <c r="CV331" s="203">
        <f t="shared" si="325"/>
        <v>0.62633249250086709</v>
      </c>
      <c r="CW331" s="203">
        <f t="shared" si="326"/>
        <v>0.62633249250086709</v>
      </c>
      <c r="CX331" s="19">
        <f t="shared" si="327"/>
        <v>0.6143266150416774</v>
      </c>
      <c r="CY331" s="19">
        <f t="shared" si="328"/>
        <v>0.62760813089504708</v>
      </c>
      <c r="CZ331" s="19">
        <f t="shared" si="329"/>
        <v>0.54988001923525154</v>
      </c>
      <c r="DA331" s="203">
        <f t="shared" si="330"/>
        <v>0.62633249250086709</v>
      </c>
      <c r="DB331" s="203">
        <f t="shared" si="331"/>
        <v>0.62633249250086709</v>
      </c>
      <c r="DC331" s="203">
        <f t="shared" si="332"/>
        <v>0.62633249250086709</v>
      </c>
      <c r="DD331" s="65"/>
      <c r="DE331" s="66"/>
      <c r="DF331" s="66"/>
      <c r="DG331" s="66"/>
      <c r="DH331" s="66"/>
      <c r="DI331" s="66"/>
      <c r="DJ331" s="66"/>
      <c r="DK331" s="70"/>
      <c r="DL331" s="70"/>
      <c r="DM331" s="8">
        <f t="shared" si="333"/>
        <v>0</v>
      </c>
      <c r="DN331" s="8">
        <f t="shared" si="334"/>
        <v>25623.287649293386</v>
      </c>
      <c r="DO331" s="202">
        <f t="shared" si="340"/>
        <v>42949.138732609368</v>
      </c>
      <c r="DP331" s="202">
        <f t="shared" si="341"/>
        <v>42949.138732609368</v>
      </c>
      <c r="DQ331" s="202">
        <f t="shared" si="342"/>
        <v>42949.138732609368</v>
      </c>
      <c r="DR331" s="9">
        <f t="shared" si="343"/>
        <v>40814.503104824485</v>
      </c>
      <c r="DS331" s="9">
        <f t="shared" si="336"/>
        <v>43184.035429159383</v>
      </c>
      <c r="DT331" s="9">
        <f t="shared" si="344"/>
        <v>31302.173881562732</v>
      </c>
      <c r="DU331" s="202">
        <f t="shared" si="345"/>
        <v>42949.138732609368</v>
      </c>
      <c r="DV331" s="202">
        <f t="shared" si="346"/>
        <v>42949.138732609368</v>
      </c>
      <c r="DW331" s="202">
        <f t="shared" si="347"/>
        <v>42949.138732609368</v>
      </c>
      <c r="DX331" s="203">
        <f t="shared" si="348"/>
        <v>0.62633249250086709</v>
      </c>
      <c r="DY331" s="203">
        <f t="shared" si="349"/>
        <v>0.62633249250086709</v>
      </c>
      <c r="DZ331" s="203">
        <f t="shared" si="350"/>
        <v>0.62633249250086709</v>
      </c>
      <c r="EA331" s="19">
        <f t="shared" si="351"/>
        <v>0.6143266150416774</v>
      </c>
      <c r="EB331" s="19">
        <f t="shared" si="337"/>
        <v>0.62760813089504708</v>
      </c>
      <c r="EC331" s="19">
        <f t="shared" si="352"/>
        <v>0.54988001923525154</v>
      </c>
      <c r="ED331" s="203">
        <f t="shared" si="353"/>
        <v>0.62633249250086709</v>
      </c>
      <c r="EE331" s="203">
        <f t="shared" si="354"/>
        <v>0.62633249250086709</v>
      </c>
      <c r="EF331" s="203">
        <f t="shared" si="355"/>
        <v>0.62633249250086709</v>
      </c>
      <c r="EH331" s="58">
        <f t="shared" si="364"/>
        <v>21817.570936741788</v>
      </c>
      <c r="EI331" s="68">
        <f t="shared" si="365"/>
        <v>0.31708210638954548</v>
      </c>
      <c r="EJ331" s="58">
        <f t="shared" si="366"/>
        <v>18190.570936741788</v>
      </c>
      <c r="EK331" s="68">
        <f t="shared" si="365"/>
        <v>0.26436969384786635</v>
      </c>
      <c r="EL331" s="58">
        <f t="shared" si="367"/>
        <v>1703.0058849613879</v>
      </c>
      <c r="EM331" s="58">
        <f t="shared" si="368"/>
        <v>1806.3139367417855</v>
      </c>
      <c r="EN331" s="68">
        <f t="shared" si="369"/>
        <v>2.6251768793305059E-2</v>
      </c>
      <c r="EO331" s="139">
        <f t="shared" si="312"/>
        <v>0.32946562535829382</v>
      </c>
      <c r="EP331">
        <f>+(SUM(M331:O331)*EO331*(1-'[1]Tier 3 Data'!$A$2))</f>
        <v>286.04983165453058</v>
      </c>
    </row>
    <row r="332" spans="1:146" x14ac:dyDescent="0.2">
      <c r="A332" s="43">
        <v>0</v>
      </c>
      <c r="B332" s="43">
        <v>0</v>
      </c>
      <c r="C332" s="43">
        <v>0</v>
      </c>
      <c r="D332" s="70">
        <v>2035</v>
      </c>
      <c r="E332" s="70">
        <v>1</v>
      </c>
      <c r="F332" s="2">
        <v>744</v>
      </c>
      <c r="G332" s="133">
        <f t="shared" si="305"/>
        <v>50745.24959383424</v>
      </c>
      <c r="H332" s="65">
        <v>50745.24959383424</v>
      </c>
      <c r="I332" s="133">
        <f t="shared" si="306"/>
        <v>50745.24959383424</v>
      </c>
      <c r="J332" s="133">
        <f t="shared" si="362"/>
        <v>4812.2013124999994</v>
      </c>
      <c r="K332" s="65">
        <v>4812.2013124999994</v>
      </c>
      <c r="L332" s="133">
        <f t="shared" si="363"/>
        <v>4812.2013124999994</v>
      </c>
      <c r="M332" s="65">
        <v>350.79787520860157</v>
      </c>
      <c r="N332" s="65">
        <v>755.37984075477868</v>
      </c>
      <c r="O332" s="65">
        <v>208.6544988070074</v>
      </c>
      <c r="P332" s="200">
        <f t="shared" si="356"/>
        <v>45538.598616903124</v>
      </c>
      <c r="Q332" s="200">
        <f t="shared" si="357"/>
        <v>45538.598616903124</v>
      </c>
      <c r="R332" s="200">
        <f t="shared" si="358"/>
        <v>45538.598616903124</v>
      </c>
      <c r="S332" s="133">
        <f t="shared" si="307"/>
        <v>45870.451931692136</v>
      </c>
      <c r="T332" s="133">
        <f t="shared" si="308"/>
        <v>45870.451931692136</v>
      </c>
      <c r="U332" s="133">
        <f t="shared" si="309"/>
        <v>45870.451931692136</v>
      </c>
      <c r="V332" s="200">
        <f t="shared" si="359"/>
        <v>45538.598616903124</v>
      </c>
      <c r="W332" s="200">
        <f t="shared" si="360"/>
        <v>45538.598616903124</v>
      </c>
      <c r="X332" s="200">
        <f t="shared" si="361"/>
        <v>45538.598616903124</v>
      </c>
      <c r="Y332" s="65">
        <v>23191.208129951996</v>
      </c>
      <c r="Z332" s="65">
        <v>26276.878228445614</v>
      </c>
      <c r="AA332" s="65">
        <v>13488.790654025222</v>
      </c>
      <c r="AB332" s="200">
        <f t="shared" si="297"/>
        <v>71815.476845348734</v>
      </c>
      <c r="AC332" s="200">
        <f t="shared" si="298"/>
        <v>71815.476845348734</v>
      </c>
      <c r="AD332" s="200">
        <f t="shared" si="299"/>
        <v>71815.476845348734</v>
      </c>
      <c r="AE332" s="199">
        <f t="shared" si="338"/>
        <v>69061.660061644128</v>
      </c>
      <c r="AF332" s="199">
        <f t="shared" si="300"/>
        <v>72147.330160137746</v>
      </c>
      <c r="AG332" s="199">
        <f t="shared" si="339"/>
        <v>59359.242585717358</v>
      </c>
      <c r="AH332" s="199">
        <f t="shared" si="310"/>
        <v>65753.286372927556</v>
      </c>
      <c r="AI332" s="200">
        <f t="shared" si="301"/>
        <v>71815.476845348734</v>
      </c>
      <c r="AJ332" s="200">
        <f t="shared" si="302"/>
        <v>71815.476845348734</v>
      </c>
      <c r="AK332" s="200">
        <f t="shared" si="303"/>
        <v>71815.476845348734</v>
      </c>
      <c r="AL332" s="4"/>
      <c r="AM332" s="4"/>
      <c r="AN332" s="4"/>
      <c r="AO332" s="4"/>
      <c r="AP332" s="63"/>
      <c r="AQ332" s="18"/>
      <c r="AR332" s="18"/>
      <c r="AS332" s="66">
        <v>3395.12</v>
      </c>
      <c r="AT332" s="18"/>
      <c r="AU332" s="133">
        <f t="shared" si="313"/>
        <v>98.513999999999996</v>
      </c>
      <c r="AV332" s="133">
        <f t="shared" si="313"/>
        <v>3278.6750000000002</v>
      </c>
      <c r="AW332" s="63"/>
      <c r="AX332" s="63"/>
      <c r="AY332" s="63"/>
      <c r="AZ332" s="64"/>
      <c r="BA332" s="65">
        <v>1660.8</v>
      </c>
      <c r="BB332" s="5"/>
      <c r="BC332" s="65">
        <v>187.65082722949612</v>
      </c>
      <c r="BD332" s="65">
        <v>0</v>
      </c>
      <c r="BE332" s="65">
        <v>0</v>
      </c>
      <c r="BF332" s="65">
        <v>0</v>
      </c>
      <c r="BG332" s="65">
        <v>0</v>
      </c>
      <c r="BH332" s="65">
        <v>0</v>
      </c>
      <c r="BI332" s="65">
        <v>476.06991176380893</v>
      </c>
      <c r="BJ332" s="65">
        <v>0</v>
      </c>
      <c r="BK332" s="65">
        <v>22.517673403701547</v>
      </c>
      <c r="BL332" s="65">
        <v>0</v>
      </c>
      <c r="BM332" s="65">
        <v>0</v>
      </c>
      <c r="BN332" s="65">
        <v>33.291643770364956</v>
      </c>
      <c r="BO332" s="65">
        <v>212.18019192</v>
      </c>
      <c r="BP332" s="62"/>
      <c r="BQ332" s="65">
        <v>77.950105595431495</v>
      </c>
      <c r="BR332" s="65">
        <v>101.84439753561855</v>
      </c>
      <c r="BS332" s="65">
        <v>368.52003580163392</v>
      </c>
      <c r="BT332" s="65">
        <v>125.98864004900514</v>
      </c>
      <c r="BU332" s="65">
        <v>144.00108533608739</v>
      </c>
      <c r="BV332" s="144">
        <f t="shared" ref="BV332:BV395" si="370">+M332*0.7</f>
        <v>245.55851264602109</v>
      </c>
      <c r="BW332" s="144">
        <f t="shared" ref="BW332:BW395" si="371">+N332*0.7</f>
        <v>528.76588852834504</v>
      </c>
      <c r="BX332" s="144">
        <f t="shared" ref="BX332:BX395" si="372">+O332*0.7</f>
        <v>146.05814916490516</v>
      </c>
      <c r="BY332" s="5"/>
      <c r="BZ332" s="18"/>
      <c r="CA332" s="4"/>
      <c r="CB332" s="5"/>
      <c r="CC332" s="5"/>
      <c r="CD332" s="188">
        <v>2.5304839482857915</v>
      </c>
      <c r="CE332" s="5"/>
      <c r="CF332" s="64"/>
      <c r="CG332" s="70"/>
      <c r="CH332" s="70">
        <v>7440</v>
      </c>
      <c r="CI332" s="70"/>
      <c r="CJ332" s="63"/>
      <c r="CK332" s="8">
        <f t="shared" si="335"/>
        <v>18546.036546692703</v>
      </c>
      <c r="CL332" s="202">
        <f t="shared" si="315"/>
        <v>53269.440298656031</v>
      </c>
      <c r="CM332" s="202">
        <f t="shared" si="316"/>
        <v>53269.440298656031</v>
      </c>
      <c r="CN332" s="202">
        <f t="shared" si="317"/>
        <v>53269.440298656031</v>
      </c>
      <c r="CO332" s="9">
        <f t="shared" si="318"/>
        <v>50515.623514951425</v>
      </c>
      <c r="CP332" s="9">
        <f t="shared" si="319"/>
        <v>53601.293613445043</v>
      </c>
      <c r="CQ332" s="9">
        <f t="shared" si="320"/>
        <v>40813.206039024655</v>
      </c>
      <c r="CR332" s="202">
        <f t="shared" si="321"/>
        <v>53269.440298656031</v>
      </c>
      <c r="CS332" s="202">
        <f t="shared" si="322"/>
        <v>53269.440298656031</v>
      </c>
      <c r="CT332" s="202">
        <f t="shared" si="323"/>
        <v>53269.440298656031</v>
      </c>
      <c r="CU332" s="203">
        <f t="shared" si="324"/>
        <v>0.74175432147264408</v>
      </c>
      <c r="CV332" s="203">
        <f t="shared" si="325"/>
        <v>0.74175432147264408</v>
      </c>
      <c r="CW332" s="203">
        <f t="shared" si="326"/>
        <v>0.74175432147264408</v>
      </c>
      <c r="CX332" s="19">
        <f t="shared" si="327"/>
        <v>0.73145683827845154</v>
      </c>
      <c r="CY332" s="19">
        <f t="shared" si="328"/>
        <v>0.74294216424186399</v>
      </c>
      <c r="CZ332" s="19">
        <f t="shared" si="329"/>
        <v>0.6875627831687473</v>
      </c>
      <c r="DA332" s="203">
        <f t="shared" si="330"/>
        <v>0.74175432147264408</v>
      </c>
      <c r="DB332" s="203">
        <f t="shared" si="331"/>
        <v>0.74175432147264408</v>
      </c>
      <c r="DC332" s="203">
        <f t="shared" si="332"/>
        <v>0.74175432147264408</v>
      </c>
      <c r="DD332" s="65"/>
      <c r="DE332" s="66"/>
      <c r="DF332" s="66"/>
      <c r="DG332" s="66"/>
      <c r="DH332" s="66"/>
      <c r="DI332" s="66"/>
      <c r="DJ332" s="66"/>
      <c r="DK332" s="70"/>
      <c r="DL332" s="70"/>
      <c r="DM332" s="8">
        <f t="shared" si="333"/>
        <v>0</v>
      </c>
      <c r="DN332" s="8">
        <f t="shared" si="334"/>
        <v>18546.036546692703</v>
      </c>
      <c r="DO332" s="202">
        <f t="shared" si="340"/>
        <v>53269.440298656031</v>
      </c>
      <c r="DP332" s="202">
        <f t="shared" si="341"/>
        <v>53269.440298656031</v>
      </c>
      <c r="DQ332" s="202">
        <f t="shared" si="342"/>
        <v>53269.440298656031</v>
      </c>
      <c r="DR332" s="9">
        <f t="shared" si="343"/>
        <v>50515.623514951425</v>
      </c>
      <c r="DS332" s="9">
        <f t="shared" si="336"/>
        <v>53601.293613445043</v>
      </c>
      <c r="DT332" s="9">
        <f t="shared" si="344"/>
        <v>40813.206039024655</v>
      </c>
      <c r="DU332" s="202">
        <f t="shared" si="345"/>
        <v>53269.440298656031</v>
      </c>
      <c r="DV332" s="202">
        <f t="shared" si="346"/>
        <v>53269.440298656031</v>
      </c>
      <c r="DW332" s="202">
        <f t="shared" si="347"/>
        <v>53269.440298656031</v>
      </c>
      <c r="DX332" s="203">
        <f t="shared" si="348"/>
        <v>0.74175432147264408</v>
      </c>
      <c r="DY332" s="203">
        <f t="shared" si="349"/>
        <v>0.74175432147264408</v>
      </c>
      <c r="DZ332" s="203">
        <f t="shared" si="350"/>
        <v>0.74175432147264408</v>
      </c>
      <c r="EA332" s="19">
        <f t="shared" si="351"/>
        <v>0.73145683827845154</v>
      </c>
      <c r="EB332" s="19">
        <f t="shared" si="337"/>
        <v>0.74294216424186399</v>
      </c>
      <c r="EC332" s="19">
        <f t="shared" si="352"/>
        <v>0.6875627831687473</v>
      </c>
      <c r="ED332" s="203">
        <f t="shared" si="353"/>
        <v>0.74175432147264408</v>
      </c>
      <c r="EE332" s="203">
        <f t="shared" si="354"/>
        <v>0.74175432147264408</v>
      </c>
      <c r="EF332" s="203">
        <f t="shared" si="355"/>
        <v>0.74175432147264408</v>
      </c>
      <c r="EH332" s="58">
        <f t="shared" si="364"/>
        <v>18297.947550098397</v>
      </c>
      <c r="EI332" s="68">
        <f t="shared" si="365"/>
        <v>0.25361919158317281</v>
      </c>
      <c r="EJ332" s="58">
        <f t="shared" si="366"/>
        <v>18297.947550098397</v>
      </c>
      <c r="EK332" s="68">
        <f t="shared" si="365"/>
        <v>0.25361919158317281</v>
      </c>
      <c r="EL332" s="58">
        <f t="shared" si="367"/>
        <v>2278.7804009334932</v>
      </c>
      <c r="EM332" s="58">
        <f t="shared" si="368"/>
        <v>2424.8385500983982</v>
      </c>
      <c r="EN332" s="68">
        <f t="shared" si="369"/>
        <v>3.3609539600651085E-2</v>
      </c>
      <c r="EO332" s="139">
        <f t="shared" si="312"/>
        <v>0.32527353469126524</v>
      </c>
      <c r="EP332">
        <f>+(SUM(M332:O332)*EO332*(1-'[1]Tier 3 Data'!$A$2))</f>
        <v>399.02555384868015</v>
      </c>
    </row>
    <row r="333" spans="1:146" x14ac:dyDescent="0.2">
      <c r="A333" s="43">
        <v>0</v>
      </c>
      <c r="B333" s="43">
        <v>0</v>
      </c>
      <c r="C333" s="43">
        <v>0</v>
      </c>
      <c r="D333" s="70">
        <v>2035</v>
      </c>
      <c r="E333" s="70">
        <v>2</v>
      </c>
      <c r="F333" s="2">
        <v>672</v>
      </c>
      <c r="G333" s="133">
        <f t="shared" si="305"/>
        <v>45887.420753315833</v>
      </c>
      <c r="H333" s="65">
        <v>45887.420753315833</v>
      </c>
      <c r="I333" s="133">
        <f t="shared" si="306"/>
        <v>45887.420753315833</v>
      </c>
      <c r="J333" s="133">
        <f t="shared" si="362"/>
        <v>4851.9666249999991</v>
      </c>
      <c r="K333" s="65">
        <v>4851.9666249999991</v>
      </c>
      <c r="L333" s="133">
        <f t="shared" si="363"/>
        <v>4851.9666249999991</v>
      </c>
      <c r="M333" s="65">
        <v>758.12758719225985</v>
      </c>
      <c r="N333" s="65">
        <v>1632.4907776153254</v>
      </c>
      <c r="O333" s="65">
        <v>451.09730662168118</v>
      </c>
      <c r="P333" s="200">
        <f t="shared" si="356"/>
        <v>40182.939426887053</v>
      </c>
      <c r="Q333" s="200">
        <f t="shared" si="357"/>
        <v>40182.939426887053</v>
      </c>
      <c r="R333" s="200">
        <f t="shared" si="358"/>
        <v>40182.939426887053</v>
      </c>
      <c r="S333" s="133">
        <f t="shared" si="307"/>
        <v>40900.124936329325</v>
      </c>
      <c r="T333" s="133">
        <f t="shared" si="308"/>
        <v>40900.124936329325</v>
      </c>
      <c r="U333" s="133">
        <f t="shared" si="309"/>
        <v>40900.124936329325</v>
      </c>
      <c r="V333" s="200">
        <f t="shared" si="359"/>
        <v>40182.939426887053</v>
      </c>
      <c r="W333" s="200">
        <f t="shared" si="360"/>
        <v>40182.939426887053</v>
      </c>
      <c r="X333" s="200">
        <f t="shared" si="361"/>
        <v>40182.939426887053</v>
      </c>
      <c r="Y333" s="65">
        <v>21714.595139385961</v>
      </c>
      <c r="Z333" s="65">
        <v>23580.635412348263</v>
      </c>
      <c r="AA333" s="65">
        <v>12424.874031342919</v>
      </c>
      <c r="AB333" s="200">
        <f t="shared" ref="AB333:AB396" si="373">+P333+$Z333</f>
        <v>63763.574839235313</v>
      </c>
      <c r="AC333" s="200">
        <f t="shared" ref="AC333:AC396" si="374">+Q333+$Z333</f>
        <v>63763.574839235313</v>
      </c>
      <c r="AD333" s="200">
        <f t="shared" ref="AD333:AD396" si="375">+R333+$Z333</f>
        <v>63763.574839235313</v>
      </c>
      <c r="AE333" s="199">
        <f t="shared" si="338"/>
        <v>62614.72007571529</v>
      </c>
      <c r="AF333" s="199">
        <f t="shared" ref="AF333:AF396" si="376">+T333+$Z333</f>
        <v>64480.760348677592</v>
      </c>
      <c r="AG333" s="199">
        <f t="shared" si="339"/>
        <v>53324.998967672247</v>
      </c>
      <c r="AH333" s="199">
        <f t="shared" si="310"/>
        <v>58902.879658174919</v>
      </c>
      <c r="AI333" s="200">
        <f t="shared" ref="AI333:AI396" si="377">+V333+$Z333</f>
        <v>63763.574839235313</v>
      </c>
      <c r="AJ333" s="200">
        <f t="shared" ref="AJ333:AJ396" si="378">+W333+$Z333</f>
        <v>63763.574839235313</v>
      </c>
      <c r="AK333" s="200">
        <f t="shared" ref="AK333:AK396" si="379">+X333+$Z333</f>
        <v>63763.574839235313</v>
      </c>
      <c r="AL333" s="4"/>
      <c r="AM333" s="4"/>
      <c r="AN333" s="4"/>
      <c r="AO333" s="4"/>
      <c r="AP333" s="63"/>
      <c r="AQ333" s="18"/>
      <c r="AR333" s="18"/>
      <c r="AS333" s="66">
        <v>3066.56</v>
      </c>
      <c r="AT333" s="18"/>
      <c r="AU333" s="133">
        <f t="shared" si="313"/>
        <v>92.897999999999996</v>
      </c>
      <c r="AV333" s="133">
        <f t="shared" si="313"/>
        <v>3057.587</v>
      </c>
      <c r="AW333" s="63"/>
      <c r="AX333" s="63"/>
      <c r="AY333" s="63"/>
      <c r="AZ333" s="64"/>
      <c r="BA333" s="65">
        <v>853.7</v>
      </c>
      <c r="BB333" s="5"/>
      <c r="BC333" s="65">
        <v>233.87491436180096</v>
      </c>
      <c r="BD333" s="65">
        <v>0</v>
      </c>
      <c r="BE333" s="65">
        <v>0</v>
      </c>
      <c r="BF333" s="65">
        <v>0</v>
      </c>
      <c r="BG333" s="65">
        <v>0</v>
      </c>
      <c r="BH333" s="65">
        <v>0</v>
      </c>
      <c r="BI333" s="65">
        <v>593.34036245852292</v>
      </c>
      <c r="BJ333" s="65">
        <v>0</v>
      </c>
      <c r="BK333" s="65">
        <v>19.256201566846642</v>
      </c>
      <c r="BL333" s="65">
        <v>0</v>
      </c>
      <c r="BM333" s="65">
        <v>0</v>
      </c>
      <c r="BN333" s="65">
        <v>19.023796440208542</v>
      </c>
      <c r="BO333" s="65">
        <v>191.64662496000003</v>
      </c>
      <c r="BP333" s="62"/>
      <c r="BQ333" s="65">
        <v>96.976991513033667</v>
      </c>
      <c r="BR333" s="65">
        <v>126.70358911131189</v>
      </c>
      <c r="BS333" s="65">
        <v>458.47206341575799</v>
      </c>
      <c r="BT333" s="65">
        <v>161.59676327806366</v>
      </c>
      <c r="BU333" s="65">
        <v>174.32929599246879</v>
      </c>
      <c r="BV333" s="144">
        <f t="shared" si="370"/>
        <v>530.68931103458192</v>
      </c>
      <c r="BW333" s="144">
        <f t="shared" si="371"/>
        <v>1142.7435443307277</v>
      </c>
      <c r="BX333" s="144">
        <f t="shared" si="372"/>
        <v>315.7681146351768</v>
      </c>
      <c r="BY333" s="5"/>
      <c r="BZ333" s="18"/>
      <c r="CA333" s="4"/>
      <c r="CB333" s="5"/>
      <c r="CC333" s="5"/>
      <c r="CD333" s="188">
        <v>3.1195892150124847</v>
      </c>
      <c r="CE333" s="5"/>
      <c r="CF333" s="64"/>
      <c r="CG333" s="70"/>
      <c r="CH333" s="70">
        <v>6720</v>
      </c>
      <c r="CI333" s="70"/>
      <c r="CJ333" s="63"/>
      <c r="CK333" s="8">
        <f t="shared" si="335"/>
        <v>17858.28616231351</v>
      </c>
      <c r="CL333" s="202">
        <f t="shared" si="315"/>
        <v>45905.288676921802</v>
      </c>
      <c r="CM333" s="202">
        <f t="shared" si="316"/>
        <v>45905.288676921802</v>
      </c>
      <c r="CN333" s="202">
        <f t="shared" si="317"/>
        <v>45905.288676921802</v>
      </c>
      <c r="CO333" s="9">
        <f t="shared" si="318"/>
        <v>44756.433913401779</v>
      </c>
      <c r="CP333" s="9">
        <f t="shared" si="319"/>
        <v>46622.474186364081</v>
      </c>
      <c r="CQ333" s="9">
        <f t="shared" si="320"/>
        <v>35466.712805358737</v>
      </c>
      <c r="CR333" s="202">
        <f t="shared" si="321"/>
        <v>45905.288676921802</v>
      </c>
      <c r="CS333" s="202">
        <f t="shared" si="322"/>
        <v>45905.288676921802</v>
      </c>
      <c r="CT333" s="202">
        <f t="shared" si="323"/>
        <v>45905.288676921802</v>
      </c>
      <c r="CU333" s="203">
        <f t="shared" si="324"/>
        <v>0.71992965878498927</v>
      </c>
      <c r="CV333" s="203">
        <f t="shared" si="325"/>
        <v>0.71992965878498927</v>
      </c>
      <c r="CW333" s="203">
        <f t="shared" si="326"/>
        <v>0.71992965878498927</v>
      </c>
      <c r="CX333" s="19">
        <f t="shared" si="327"/>
        <v>0.71479092870304584</v>
      </c>
      <c r="CY333" s="19">
        <f t="shared" si="328"/>
        <v>0.72304473356478094</v>
      </c>
      <c r="CZ333" s="19">
        <f t="shared" si="329"/>
        <v>0.66510480059943522</v>
      </c>
      <c r="DA333" s="203">
        <f t="shared" si="330"/>
        <v>0.71992965878498927</v>
      </c>
      <c r="DB333" s="203">
        <f t="shared" si="331"/>
        <v>0.71992965878498927</v>
      </c>
      <c r="DC333" s="203">
        <f t="shared" si="332"/>
        <v>0.71992965878498927</v>
      </c>
      <c r="DD333" s="65"/>
      <c r="DE333" s="66"/>
      <c r="DF333" s="66"/>
      <c r="DG333" s="66"/>
      <c r="DH333" s="66"/>
      <c r="DI333" s="66"/>
      <c r="DJ333" s="66"/>
      <c r="DK333" s="70"/>
      <c r="DL333" s="70"/>
      <c r="DM333" s="8">
        <f t="shared" si="333"/>
        <v>0</v>
      </c>
      <c r="DN333" s="8">
        <f t="shared" si="334"/>
        <v>17858.28616231351</v>
      </c>
      <c r="DO333" s="202">
        <f t="shared" si="340"/>
        <v>45905.288676921802</v>
      </c>
      <c r="DP333" s="202">
        <f t="shared" si="341"/>
        <v>45905.288676921802</v>
      </c>
      <c r="DQ333" s="202">
        <f t="shared" si="342"/>
        <v>45905.288676921802</v>
      </c>
      <c r="DR333" s="9">
        <f t="shared" si="343"/>
        <v>44756.433913401779</v>
      </c>
      <c r="DS333" s="9">
        <f t="shared" si="336"/>
        <v>46622.474186364081</v>
      </c>
      <c r="DT333" s="9">
        <f t="shared" si="344"/>
        <v>35466.712805358737</v>
      </c>
      <c r="DU333" s="202">
        <f t="shared" si="345"/>
        <v>45905.288676921802</v>
      </c>
      <c r="DV333" s="202">
        <f t="shared" si="346"/>
        <v>45905.288676921802</v>
      </c>
      <c r="DW333" s="202">
        <f t="shared" si="347"/>
        <v>45905.288676921802</v>
      </c>
      <c r="DX333" s="203">
        <f t="shared" si="348"/>
        <v>0.71992965878498927</v>
      </c>
      <c r="DY333" s="203">
        <f t="shared" si="349"/>
        <v>0.71992965878498927</v>
      </c>
      <c r="DZ333" s="203">
        <f t="shared" si="350"/>
        <v>0.71992965878498927</v>
      </c>
      <c r="EA333" s="19">
        <f t="shared" si="351"/>
        <v>0.71479092870304584</v>
      </c>
      <c r="EB333" s="19">
        <f t="shared" si="337"/>
        <v>0.72304473356478094</v>
      </c>
      <c r="EC333" s="19">
        <f t="shared" si="352"/>
        <v>0.66510480059943522</v>
      </c>
      <c r="ED333" s="203">
        <f t="shared" si="353"/>
        <v>0.71992965878498927</v>
      </c>
      <c r="EE333" s="203">
        <f t="shared" si="354"/>
        <v>0.71992965878498927</v>
      </c>
      <c r="EF333" s="203">
        <f t="shared" si="355"/>
        <v>0.71992965878498927</v>
      </c>
      <c r="EH333" s="58">
        <f t="shared" si="364"/>
        <v>17324.47726206392</v>
      </c>
      <c r="EI333" s="68">
        <f t="shared" si="365"/>
        <v>0.26867669004494332</v>
      </c>
      <c r="EJ333" s="58">
        <f t="shared" si="366"/>
        <v>17324.47726206392</v>
      </c>
      <c r="EK333" s="68">
        <f t="shared" si="365"/>
        <v>0.26867669004494332</v>
      </c>
      <c r="EL333" s="58">
        <f t="shared" si="367"/>
        <v>3217.9641474287428</v>
      </c>
      <c r="EM333" s="58">
        <f t="shared" si="368"/>
        <v>3533.7322620639197</v>
      </c>
      <c r="EN333" s="68">
        <f t="shared" si="369"/>
        <v>5.4802893808251929E-2</v>
      </c>
      <c r="EO333" s="139">
        <f t="shared" si="312"/>
        <v>0.3126447604730192</v>
      </c>
      <c r="EP333">
        <f>+(SUM(M333:O333)*EO333*(1-'[1]Tier 3 Data'!$A$2))</f>
        <v>828.92153189285727</v>
      </c>
    </row>
    <row r="334" spans="1:146" x14ac:dyDescent="0.2">
      <c r="A334" s="43">
        <v>0</v>
      </c>
      <c r="B334" s="43">
        <v>0</v>
      </c>
      <c r="C334" s="43">
        <v>0</v>
      </c>
      <c r="D334" s="70">
        <v>2035</v>
      </c>
      <c r="E334" s="70">
        <v>3</v>
      </c>
      <c r="F334" s="2">
        <v>743</v>
      </c>
      <c r="G334" s="133">
        <f t="shared" si="305"/>
        <v>48083.938157716606</v>
      </c>
      <c r="H334" s="65">
        <v>48083.938157716606</v>
      </c>
      <c r="I334" s="133">
        <f t="shared" si="306"/>
        <v>48083.938157716606</v>
      </c>
      <c r="J334" s="133">
        <f t="shared" si="362"/>
        <v>4891.7319374999988</v>
      </c>
      <c r="K334" s="65">
        <v>4891.7319374999988</v>
      </c>
      <c r="L334" s="133">
        <f t="shared" si="363"/>
        <v>4891.7319374999988</v>
      </c>
      <c r="M334" s="65">
        <v>1050.2026341606518</v>
      </c>
      <c r="N334" s="65">
        <v>2261.4216180208796</v>
      </c>
      <c r="O334" s="65">
        <v>625.21529729976442</v>
      </c>
      <c r="P334" s="200">
        <f t="shared" si="356"/>
        <v>42011.154355372215</v>
      </c>
      <c r="Q334" s="200">
        <f t="shared" si="357"/>
        <v>42011.154355372215</v>
      </c>
      <c r="R334" s="200">
        <f t="shared" si="358"/>
        <v>42011.154355372215</v>
      </c>
      <c r="S334" s="133">
        <f t="shared" si="307"/>
        <v>43004.64163102668</v>
      </c>
      <c r="T334" s="133">
        <f t="shared" si="308"/>
        <v>43004.64163102668</v>
      </c>
      <c r="U334" s="133">
        <f t="shared" si="309"/>
        <v>43004.64163102668</v>
      </c>
      <c r="V334" s="200">
        <f t="shared" si="359"/>
        <v>42011.154355372215</v>
      </c>
      <c r="W334" s="200">
        <f t="shared" si="360"/>
        <v>42011.154355372215</v>
      </c>
      <c r="X334" s="200">
        <f t="shared" si="361"/>
        <v>42011.154355372215</v>
      </c>
      <c r="Y334" s="65">
        <v>19875.833238227682</v>
      </c>
      <c r="Z334" s="65">
        <v>21075.212961132198</v>
      </c>
      <c r="AA334" s="65">
        <v>11320.920557541625</v>
      </c>
      <c r="AB334" s="200">
        <f t="shared" si="373"/>
        <v>63086.367316504417</v>
      </c>
      <c r="AC334" s="200">
        <f t="shared" si="374"/>
        <v>63086.367316504417</v>
      </c>
      <c r="AD334" s="200">
        <f t="shared" si="375"/>
        <v>63086.367316504417</v>
      </c>
      <c r="AE334" s="199">
        <f t="shared" si="338"/>
        <v>62880.474869254365</v>
      </c>
      <c r="AF334" s="199">
        <f t="shared" si="376"/>
        <v>64079.854592158881</v>
      </c>
      <c r="AG334" s="199">
        <f t="shared" si="339"/>
        <v>54325.562188568307</v>
      </c>
      <c r="AH334" s="199">
        <f t="shared" si="310"/>
        <v>59202.708390363594</v>
      </c>
      <c r="AI334" s="200">
        <f t="shared" si="377"/>
        <v>63086.367316504417</v>
      </c>
      <c r="AJ334" s="200">
        <f t="shared" si="378"/>
        <v>63086.367316504417</v>
      </c>
      <c r="AK334" s="200">
        <f t="shared" si="379"/>
        <v>63086.367316504417</v>
      </c>
      <c r="AL334" s="4"/>
      <c r="AM334" s="4"/>
      <c r="AN334" s="4"/>
      <c r="AO334" s="4"/>
      <c r="AP334" s="63"/>
      <c r="AQ334" s="18"/>
      <c r="AR334" s="18"/>
      <c r="AS334" s="66">
        <v>3395.12</v>
      </c>
      <c r="AT334" s="18"/>
      <c r="AU334" s="133">
        <f t="shared" si="313"/>
        <v>87.516000000000005</v>
      </c>
      <c r="AV334" s="133">
        <f t="shared" si="313"/>
        <v>3232.7139999999999</v>
      </c>
      <c r="AW334" s="63"/>
      <c r="AX334" s="63"/>
      <c r="AY334" s="63"/>
      <c r="AZ334" s="64"/>
      <c r="BA334" s="65">
        <v>2416.2429999999999</v>
      </c>
      <c r="BB334" s="5"/>
      <c r="BC334" s="65">
        <v>449.53123898462314</v>
      </c>
      <c r="BD334" s="65">
        <v>0</v>
      </c>
      <c r="BE334" s="65">
        <v>0</v>
      </c>
      <c r="BF334" s="65">
        <v>0</v>
      </c>
      <c r="BG334" s="65">
        <v>0</v>
      </c>
      <c r="BH334" s="65">
        <v>0</v>
      </c>
      <c r="BI334" s="65">
        <v>1140.4601857510293</v>
      </c>
      <c r="BJ334" s="65">
        <v>0</v>
      </c>
      <c r="BK334" s="65">
        <v>19.397174608663349</v>
      </c>
      <c r="BL334" s="65">
        <v>0</v>
      </c>
      <c r="BM334" s="65">
        <v>0</v>
      </c>
      <c r="BN334" s="65">
        <v>33.291643770364956</v>
      </c>
      <c r="BO334" s="65">
        <v>212.18019192</v>
      </c>
      <c r="BP334" s="62"/>
      <c r="BQ334" s="65">
        <v>134.96790193147064</v>
      </c>
      <c r="BR334" s="65">
        <v>176.33992050350639</v>
      </c>
      <c r="BS334" s="65">
        <v>638.07922112235246</v>
      </c>
      <c r="BT334" s="65">
        <v>213.86948669827228</v>
      </c>
      <c r="BU334" s="65">
        <v>248.5359696085051</v>
      </c>
      <c r="BV334" s="144">
        <f t="shared" si="370"/>
        <v>735.14184391245624</v>
      </c>
      <c r="BW334" s="144">
        <f t="shared" si="371"/>
        <v>1582.9951326146156</v>
      </c>
      <c r="BX334" s="144">
        <f t="shared" si="372"/>
        <v>437.65070810983508</v>
      </c>
      <c r="BY334" s="5"/>
      <c r="BZ334" s="18"/>
      <c r="CA334" s="4"/>
      <c r="CB334" s="5"/>
      <c r="CC334" s="5"/>
      <c r="CD334" s="188">
        <v>13.157281760074044</v>
      </c>
      <c r="CE334" s="5"/>
      <c r="CF334" s="64"/>
      <c r="CG334" s="70"/>
      <c r="CH334" s="70">
        <v>5942</v>
      </c>
      <c r="CI334" s="70"/>
      <c r="CJ334" s="63"/>
      <c r="CK334" s="8">
        <f t="shared" si="335"/>
        <v>21109.190901295769</v>
      </c>
      <c r="CL334" s="202">
        <f t="shared" si="315"/>
        <v>41977.176415208647</v>
      </c>
      <c r="CM334" s="202">
        <f t="shared" si="316"/>
        <v>41977.176415208647</v>
      </c>
      <c r="CN334" s="202">
        <f t="shared" si="317"/>
        <v>41977.176415208647</v>
      </c>
      <c r="CO334" s="9">
        <f t="shared" si="318"/>
        <v>41771.283967958596</v>
      </c>
      <c r="CP334" s="9">
        <f t="shared" si="319"/>
        <v>42970.663690863112</v>
      </c>
      <c r="CQ334" s="9">
        <f t="shared" si="320"/>
        <v>33216.371287272537</v>
      </c>
      <c r="CR334" s="202">
        <f t="shared" si="321"/>
        <v>41977.176415208647</v>
      </c>
      <c r="CS334" s="202">
        <f t="shared" si="322"/>
        <v>41977.176415208647</v>
      </c>
      <c r="CT334" s="202">
        <f t="shared" si="323"/>
        <v>41977.176415208647</v>
      </c>
      <c r="CU334" s="203">
        <f t="shared" si="324"/>
        <v>0.66539219487166024</v>
      </c>
      <c r="CV334" s="203">
        <f t="shared" si="325"/>
        <v>0.66539219487166024</v>
      </c>
      <c r="CW334" s="203">
        <f t="shared" si="326"/>
        <v>0.66539219487166024</v>
      </c>
      <c r="CX334" s="19">
        <f t="shared" si="327"/>
        <v>0.66429657305884648</v>
      </c>
      <c r="CY334" s="19">
        <f t="shared" si="328"/>
        <v>0.6705799188271131</v>
      </c>
      <c r="CZ334" s="19">
        <f t="shared" si="329"/>
        <v>0.61143170818878778</v>
      </c>
      <c r="DA334" s="203">
        <f t="shared" si="330"/>
        <v>0.66539219487166024</v>
      </c>
      <c r="DB334" s="203">
        <f t="shared" si="331"/>
        <v>0.66539219487166024</v>
      </c>
      <c r="DC334" s="203">
        <f t="shared" si="332"/>
        <v>0.66539219487166024</v>
      </c>
      <c r="DD334" s="65"/>
      <c r="DE334" s="66"/>
      <c r="DF334" s="66"/>
      <c r="DG334" s="66"/>
      <c r="DH334" s="66"/>
      <c r="DI334" s="66"/>
      <c r="DJ334" s="66"/>
      <c r="DK334" s="70"/>
      <c r="DL334" s="70"/>
      <c r="DM334" s="8">
        <f t="shared" si="333"/>
        <v>0</v>
      </c>
      <c r="DN334" s="8">
        <f t="shared" si="334"/>
        <v>21109.190901295769</v>
      </c>
      <c r="DO334" s="202">
        <f t="shared" si="340"/>
        <v>41977.176415208647</v>
      </c>
      <c r="DP334" s="202">
        <f t="shared" si="341"/>
        <v>41977.176415208647</v>
      </c>
      <c r="DQ334" s="202">
        <f t="shared" si="342"/>
        <v>41977.176415208647</v>
      </c>
      <c r="DR334" s="9">
        <f t="shared" si="343"/>
        <v>41771.283967958596</v>
      </c>
      <c r="DS334" s="9">
        <f t="shared" si="336"/>
        <v>42970.663690863112</v>
      </c>
      <c r="DT334" s="9">
        <f t="shared" si="344"/>
        <v>33216.371287272537</v>
      </c>
      <c r="DU334" s="202">
        <f t="shared" si="345"/>
        <v>41977.176415208647</v>
      </c>
      <c r="DV334" s="202">
        <f t="shared" si="346"/>
        <v>41977.176415208647</v>
      </c>
      <c r="DW334" s="202">
        <f t="shared" si="347"/>
        <v>41977.176415208647</v>
      </c>
      <c r="DX334" s="203">
        <f t="shared" si="348"/>
        <v>0.66539219487166024</v>
      </c>
      <c r="DY334" s="203">
        <f t="shared" si="349"/>
        <v>0.66539219487166024</v>
      </c>
      <c r="DZ334" s="203">
        <f t="shared" si="350"/>
        <v>0.66539219487166024</v>
      </c>
      <c r="EA334" s="19">
        <f t="shared" si="351"/>
        <v>0.66429657305884648</v>
      </c>
      <c r="EB334" s="19">
        <f t="shared" si="337"/>
        <v>0.6705799188271131</v>
      </c>
      <c r="EC334" s="19">
        <f t="shared" si="352"/>
        <v>0.61143170818878778</v>
      </c>
      <c r="ED334" s="203">
        <f t="shared" si="353"/>
        <v>0.66539219487166024</v>
      </c>
      <c r="EE334" s="203">
        <f t="shared" si="354"/>
        <v>0.66539219487166024</v>
      </c>
      <c r="EF334" s="203">
        <f t="shared" si="355"/>
        <v>0.66539219487166024</v>
      </c>
      <c r="EH334" s="58">
        <f t="shared" si="364"/>
        <v>20360.891775623237</v>
      </c>
      <c r="EI334" s="68">
        <f t="shared" si="365"/>
        <v>0.31774247780697512</v>
      </c>
      <c r="EJ334" s="58">
        <f t="shared" si="366"/>
        <v>20360.891775623237</v>
      </c>
      <c r="EK334" s="68">
        <f t="shared" si="365"/>
        <v>0.31774247780697512</v>
      </c>
      <c r="EL334" s="58">
        <f t="shared" si="367"/>
        <v>4849.6480675134035</v>
      </c>
      <c r="EM334" s="58">
        <f t="shared" si="368"/>
        <v>5287.2987756232387</v>
      </c>
      <c r="EN334" s="68">
        <f t="shared" si="369"/>
        <v>8.2511091969147785E-2</v>
      </c>
      <c r="EO334" s="139">
        <f t="shared" si="312"/>
        <v>0.32861286969700848</v>
      </c>
      <c r="EP334">
        <f>+(SUM(M334:O334)*EO334*(1-'[1]Tier 3 Data'!$A$2))</f>
        <v>1207.0185003849811</v>
      </c>
    </row>
    <row r="335" spans="1:146" x14ac:dyDescent="0.2">
      <c r="A335" s="43">
        <v>0</v>
      </c>
      <c r="B335" s="43">
        <v>0</v>
      </c>
      <c r="C335" s="43">
        <v>0</v>
      </c>
      <c r="D335" s="70">
        <v>2035</v>
      </c>
      <c r="E335" s="70">
        <v>4</v>
      </c>
      <c r="F335" s="2">
        <v>720</v>
      </c>
      <c r="G335" s="133">
        <f t="shared" si="305"/>
        <v>40410.626910460778</v>
      </c>
      <c r="H335" s="65">
        <v>40410.626910460778</v>
      </c>
      <c r="I335" s="133">
        <f t="shared" si="306"/>
        <v>40410.626910460778</v>
      </c>
      <c r="J335" s="133">
        <f t="shared" si="362"/>
        <v>4931.4972499999985</v>
      </c>
      <c r="K335" s="65">
        <v>4931.4972499999985</v>
      </c>
      <c r="L335" s="133">
        <f t="shared" si="363"/>
        <v>4931.4972499999985</v>
      </c>
      <c r="M335" s="65">
        <v>1418.2286880453187</v>
      </c>
      <c r="N335" s="65">
        <v>3053.8992287010965</v>
      </c>
      <c r="O335" s="65">
        <v>845.0264661660193</v>
      </c>
      <c r="P335" s="200">
        <f t="shared" si="356"/>
        <v>33883.983345587047</v>
      </c>
      <c r="Q335" s="200">
        <f t="shared" si="357"/>
        <v>33883.983345587047</v>
      </c>
      <c r="R335" s="200">
        <f t="shared" si="358"/>
        <v>33883.983345587047</v>
      </c>
      <c r="S335" s="133">
        <f t="shared" si="307"/>
        <v>35225.621720610972</v>
      </c>
      <c r="T335" s="133">
        <f t="shared" si="308"/>
        <v>35225.621720610972</v>
      </c>
      <c r="U335" s="133">
        <f t="shared" si="309"/>
        <v>35225.621720610972</v>
      </c>
      <c r="V335" s="200">
        <f t="shared" si="359"/>
        <v>33883.983345587047</v>
      </c>
      <c r="W335" s="200">
        <f t="shared" si="360"/>
        <v>33883.983345587047</v>
      </c>
      <c r="X335" s="200">
        <f t="shared" si="361"/>
        <v>33883.983345587047</v>
      </c>
      <c r="Y335" s="65">
        <v>17080.774750421122</v>
      </c>
      <c r="Z335" s="65">
        <v>16895.483185404555</v>
      </c>
      <c r="AA335" s="65">
        <v>9466.9711575762867</v>
      </c>
      <c r="AB335" s="200">
        <f t="shared" si="373"/>
        <v>50779.466530991602</v>
      </c>
      <c r="AC335" s="200">
        <f t="shared" si="374"/>
        <v>50779.466530991602</v>
      </c>
      <c r="AD335" s="200">
        <f t="shared" si="375"/>
        <v>50779.466530991602</v>
      </c>
      <c r="AE335" s="199">
        <f t="shared" si="338"/>
        <v>52306.396471032094</v>
      </c>
      <c r="AF335" s="199">
        <f t="shared" si="376"/>
        <v>52121.104906015527</v>
      </c>
      <c r="AG335" s="199">
        <f t="shared" si="339"/>
        <v>44692.592878187257</v>
      </c>
      <c r="AH335" s="199">
        <f t="shared" si="310"/>
        <v>48499.494674609676</v>
      </c>
      <c r="AI335" s="200">
        <f t="shared" si="377"/>
        <v>50779.466530991602</v>
      </c>
      <c r="AJ335" s="200">
        <f t="shared" si="378"/>
        <v>50779.466530991602</v>
      </c>
      <c r="AK335" s="200">
        <f t="shared" si="379"/>
        <v>50779.466530991602</v>
      </c>
      <c r="AL335" s="4"/>
      <c r="AM335" s="4"/>
      <c r="AN335" s="4"/>
      <c r="AO335" s="4"/>
      <c r="AP335" s="63"/>
      <c r="AQ335" s="18"/>
      <c r="AR335" s="18"/>
      <c r="AS335" s="66">
        <v>3285.6</v>
      </c>
      <c r="AT335" s="18"/>
      <c r="AU335" s="133">
        <f t="shared" si="313"/>
        <v>96.057000000000002</v>
      </c>
      <c r="AV335" s="133">
        <f t="shared" si="313"/>
        <v>3017.9659999999999</v>
      </c>
      <c r="AW335" s="63"/>
      <c r="AX335" s="63"/>
      <c r="AY335" s="63"/>
      <c r="AZ335" s="64"/>
      <c r="BA335" s="65">
        <v>1366.578</v>
      </c>
      <c r="BB335" s="5"/>
      <c r="BC335" s="65">
        <v>567.6650303146555</v>
      </c>
      <c r="BD335" s="65">
        <v>0</v>
      </c>
      <c r="BE335" s="65">
        <v>0</v>
      </c>
      <c r="BF335" s="65">
        <v>0</v>
      </c>
      <c r="BG335" s="65">
        <v>0</v>
      </c>
      <c r="BH335" s="65">
        <v>0</v>
      </c>
      <c r="BI335" s="65">
        <v>1440.1654652062136</v>
      </c>
      <c r="BJ335" s="65">
        <v>0</v>
      </c>
      <c r="BK335" s="65">
        <v>19.984033847071771</v>
      </c>
      <c r="BL335" s="65">
        <v>0</v>
      </c>
      <c r="BM335" s="65">
        <v>0</v>
      </c>
      <c r="BN335" s="65">
        <v>104.63088042114697</v>
      </c>
      <c r="BO335" s="65">
        <v>205.33566960000002</v>
      </c>
      <c r="BP335" s="62"/>
      <c r="BQ335" s="65">
        <v>144.12767982081726</v>
      </c>
      <c r="BR335" s="65">
        <v>188.30750534563603</v>
      </c>
      <c r="BS335" s="65">
        <v>681.38346528618968</v>
      </c>
      <c r="BT335" s="65">
        <v>236.81474963106658</v>
      </c>
      <c r="BU335" s="65">
        <v>254.28472303998632</v>
      </c>
      <c r="BV335" s="144">
        <f t="shared" si="370"/>
        <v>992.76008163172298</v>
      </c>
      <c r="BW335" s="144">
        <f t="shared" si="371"/>
        <v>2137.7294600907676</v>
      </c>
      <c r="BX335" s="144">
        <f t="shared" si="372"/>
        <v>591.51852631621352</v>
      </c>
      <c r="BY335" s="5"/>
      <c r="BZ335" s="18"/>
      <c r="CA335" s="4"/>
      <c r="CB335" s="5"/>
      <c r="CC335" s="5"/>
      <c r="CD335" s="188">
        <v>2.3725527527096357</v>
      </c>
      <c r="CE335" s="5"/>
      <c r="CF335" s="64"/>
      <c r="CG335" s="70"/>
      <c r="CH335" s="70">
        <v>4704</v>
      </c>
      <c r="CI335" s="70"/>
      <c r="CJ335" s="63"/>
      <c r="CK335" s="8">
        <f t="shared" si="335"/>
        <v>20037.280823304194</v>
      </c>
      <c r="CL335" s="202">
        <f t="shared" si="315"/>
        <v>30742.185707687408</v>
      </c>
      <c r="CM335" s="202">
        <f t="shared" si="316"/>
        <v>30742.185707687408</v>
      </c>
      <c r="CN335" s="202">
        <f t="shared" si="317"/>
        <v>30742.185707687408</v>
      </c>
      <c r="CO335" s="9">
        <f t="shared" si="318"/>
        <v>32269.1156477279</v>
      </c>
      <c r="CP335" s="9">
        <f t="shared" si="319"/>
        <v>32083.824082711333</v>
      </c>
      <c r="CQ335" s="9">
        <f t="shared" si="320"/>
        <v>24655.312054883063</v>
      </c>
      <c r="CR335" s="202">
        <f t="shared" si="321"/>
        <v>30742.185707687408</v>
      </c>
      <c r="CS335" s="202">
        <f t="shared" si="322"/>
        <v>30742.185707687408</v>
      </c>
      <c r="CT335" s="202">
        <f t="shared" si="323"/>
        <v>30742.185707687408</v>
      </c>
      <c r="CU335" s="203">
        <f t="shared" si="324"/>
        <v>0.60540584231866457</v>
      </c>
      <c r="CV335" s="203">
        <f t="shared" si="325"/>
        <v>0.60540584231866457</v>
      </c>
      <c r="CW335" s="203">
        <f t="shared" si="326"/>
        <v>0.60540584231866457</v>
      </c>
      <c r="CX335" s="19">
        <f t="shared" si="327"/>
        <v>0.61692484714749796</v>
      </c>
      <c r="CY335" s="19">
        <f t="shared" si="328"/>
        <v>0.61556300735689884</v>
      </c>
      <c r="CZ335" s="19">
        <f t="shared" si="329"/>
        <v>0.55166439150404223</v>
      </c>
      <c r="DA335" s="203">
        <f t="shared" si="330"/>
        <v>0.60540584231866457</v>
      </c>
      <c r="DB335" s="203">
        <f t="shared" si="331"/>
        <v>0.60540584231866457</v>
      </c>
      <c r="DC335" s="203">
        <f t="shared" si="332"/>
        <v>0.60540584231866457</v>
      </c>
      <c r="DD335" s="65"/>
      <c r="DE335" s="66"/>
      <c r="DF335" s="66"/>
      <c r="DG335" s="66"/>
      <c r="DH335" s="66"/>
      <c r="DI335" s="66"/>
      <c r="DJ335" s="66"/>
      <c r="DK335" s="70"/>
      <c r="DL335" s="70"/>
      <c r="DM335" s="8">
        <f t="shared" si="333"/>
        <v>0</v>
      </c>
      <c r="DN335" s="8">
        <f t="shared" si="334"/>
        <v>20037.280823304194</v>
      </c>
      <c r="DO335" s="202">
        <f t="shared" si="340"/>
        <v>30742.185707687408</v>
      </c>
      <c r="DP335" s="202">
        <f t="shared" si="341"/>
        <v>30742.185707687408</v>
      </c>
      <c r="DQ335" s="202">
        <f t="shared" si="342"/>
        <v>30742.185707687408</v>
      </c>
      <c r="DR335" s="9">
        <f t="shared" si="343"/>
        <v>32269.1156477279</v>
      </c>
      <c r="DS335" s="9">
        <f t="shared" si="336"/>
        <v>32083.824082711333</v>
      </c>
      <c r="DT335" s="9">
        <f t="shared" si="344"/>
        <v>24655.312054883063</v>
      </c>
      <c r="DU335" s="202">
        <f t="shared" si="345"/>
        <v>30742.185707687408</v>
      </c>
      <c r="DV335" s="202">
        <f t="shared" si="346"/>
        <v>30742.185707687408</v>
      </c>
      <c r="DW335" s="202">
        <f t="shared" si="347"/>
        <v>30742.185707687408</v>
      </c>
      <c r="DX335" s="203">
        <f t="shared" si="348"/>
        <v>0.60540584231866457</v>
      </c>
      <c r="DY335" s="203">
        <f t="shared" si="349"/>
        <v>0.60540584231866457</v>
      </c>
      <c r="DZ335" s="203">
        <f t="shared" si="350"/>
        <v>0.60540584231866457</v>
      </c>
      <c r="EA335" s="19">
        <f t="shared" si="351"/>
        <v>0.61692484714749796</v>
      </c>
      <c r="EB335" s="19">
        <f t="shared" si="337"/>
        <v>0.61556300735689884</v>
      </c>
      <c r="EC335" s="19">
        <f t="shared" si="352"/>
        <v>0.55166439150404223</v>
      </c>
      <c r="ED335" s="203">
        <f t="shared" si="353"/>
        <v>0.60540584231866457</v>
      </c>
      <c r="EE335" s="203">
        <f t="shared" si="354"/>
        <v>0.60540584231866457</v>
      </c>
      <c r="EF335" s="203">
        <f t="shared" si="355"/>
        <v>0.60540584231866457</v>
      </c>
      <c r="EH335" s="58">
        <f t="shared" si="364"/>
        <v>19042.14818891976</v>
      </c>
      <c r="EI335" s="68">
        <f t="shared" si="365"/>
        <v>0.36534429236019555</v>
      </c>
      <c r="EJ335" s="58">
        <f t="shared" si="366"/>
        <v>19042.14818891976</v>
      </c>
      <c r="EK335" s="68">
        <f t="shared" si="365"/>
        <v>0.36534429236019555</v>
      </c>
      <c r="EL335" s="58">
        <f t="shared" si="367"/>
        <v>5980.4286626035519</v>
      </c>
      <c r="EM335" s="58">
        <f t="shared" si="368"/>
        <v>6571.9471889197657</v>
      </c>
      <c r="EN335" s="68">
        <f t="shared" si="369"/>
        <v>0.12608994381009886</v>
      </c>
      <c r="EO335" s="139">
        <f t="shared" si="312"/>
        <v>0.35351678044029999</v>
      </c>
      <c r="EP335">
        <f>+(SUM(M335:O335)*EO335*(1-'[1]Tier 3 Data'!$A$2))</f>
        <v>1753.7631775483014</v>
      </c>
    </row>
    <row r="336" spans="1:146" x14ac:dyDescent="0.2">
      <c r="A336" s="43">
        <v>0</v>
      </c>
      <c r="B336" s="43">
        <v>0</v>
      </c>
      <c r="C336" s="43">
        <v>0</v>
      </c>
      <c r="D336" s="70">
        <v>2035</v>
      </c>
      <c r="E336" s="70">
        <v>5</v>
      </c>
      <c r="F336" s="2">
        <v>744</v>
      </c>
      <c r="G336" s="133">
        <f t="shared" si="305"/>
        <v>38524.117792900317</v>
      </c>
      <c r="H336" s="65">
        <v>38524.117792900317</v>
      </c>
      <c r="I336" s="133">
        <f t="shared" si="306"/>
        <v>38524.117792900317</v>
      </c>
      <c r="J336" s="133">
        <f t="shared" si="362"/>
        <v>4971.2625624999982</v>
      </c>
      <c r="K336" s="65">
        <v>4971.2625624999982</v>
      </c>
      <c r="L336" s="133">
        <f t="shared" si="363"/>
        <v>4971.2625624999982</v>
      </c>
      <c r="M336" s="65">
        <v>1750.7817988213781</v>
      </c>
      <c r="N336" s="65">
        <v>3769.9922657844818</v>
      </c>
      <c r="O336" s="65">
        <v>1044.1472038849631</v>
      </c>
      <c r="P336" s="200">
        <f t="shared" si="356"/>
        <v>31583.37884985307</v>
      </c>
      <c r="Q336" s="200">
        <f t="shared" si="357"/>
        <v>31583.37884985307</v>
      </c>
      <c r="R336" s="200">
        <f t="shared" si="358"/>
        <v>31583.37884985307</v>
      </c>
      <c r="S336" s="133">
        <f t="shared" si="307"/>
        <v>33239.61106923483</v>
      </c>
      <c r="T336" s="133">
        <f t="shared" si="308"/>
        <v>33239.61106923483</v>
      </c>
      <c r="U336" s="133">
        <f t="shared" si="309"/>
        <v>33239.61106923483</v>
      </c>
      <c r="V336" s="200">
        <f t="shared" si="359"/>
        <v>31583.37884985307</v>
      </c>
      <c r="W336" s="200">
        <f t="shared" si="360"/>
        <v>31583.37884985307</v>
      </c>
      <c r="X336" s="200">
        <f t="shared" si="361"/>
        <v>31583.37884985307</v>
      </c>
      <c r="Y336" s="65">
        <v>13898.844058350953</v>
      </c>
      <c r="Z336" s="65">
        <v>12858.773477188328</v>
      </c>
      <c r="AA336" s="65">
        <v>7553.8042422163126</v>
      </c>
      <c r="AB336" s="200">
        <f t="shared" si="373"/>
        <v>44442.152327041396</v>
      </c>
      <c r="AC336" s="200">
        <f t="shared" si="374"/>
        <v>44442.152327041396</v>
      </c>
      <c r="AD336" s="200">
        <f t="shared" si="375"/>
        <v>44442.152327041396</v>
      </c>
      <c r="AE336" s="199">
        <f t="shared" si="338"/>
        <v>47138.455127585781</v>
      </c>
      <c r="AF336" s="199">
        <f t="shared" si="376"/>
        <v>46098.384546423156</v>
      </c>
      <c r="AG336" s="199">
        <f t="shared" si="339"/>
        <v>40793.415311451143</v>
      </c>
      <c r="AH336" s="199">
        <f t="shared" si="310"/>
        <v>43965.935219518462</v>
      </c>
      <c r="AI336" s="200">
        <f t="shared" si="377"/>
        <v>44442.152327041396</v>
      </c>
      <c r="AJ336" s="200">
        <f t="shared" si="378"/>
        <v>44442.152327041396</v>
      </c>
      <c r="AK336" s="200">
        <f t="shared" si="379"/>
        <v>44442.152327041396</v>
      </c>
      <c r="AL336" s="4"/>
      <c r="AM336" s="4"/>
      <c r="AN336" s="4"/>
      <c r="AO336" s="4"/>
      <c r="AP336" s="63"/>
      <c r="AQ336" s="18"/>
      <c r="AR336" s="18"/>
      <c r="AS336" s="66">
        <v>3395.12</v>
      </c>
      <c r="AT336" s="18"/>
      <c r="AU336" s="133">
        <f t="shared" si="313"/>
        <v>109.161</v>
      </c>
      <c r="AV336" s="133">
        <f t="shared" si="313"/>
        <v>3327.41</v>
      </c>
      <c r="AW336" s="63"/>
      <c r="AX336" s="63"/>
      <c r="AY336" s="63"/>
      <c r="AZ336" s="64"/>
      <c r="BA336" s="65">
        <v>1570</v>
      </c>
      <c r="BB336" s="5"/>
      <c r="BC336" s="65">
        <v>570.10748354622444</v>
      </c>
      <c r="BD336" s="65">
        <v>0</v>
      </c>
      <c r="BE336" s="65">
        <v>0</v>
      </c>
      <c r="BF336" s="65">
        <v>0</v>
      </c>
      <c r="BG336" s="65">
        <v>0</v>
      </c>
      <c r="BH336" s="65">
        <v>0</v>
      </c>
      <c r="BI336" s="65">
        <v>1446.3619659709991</v>
      </c>
      <c r="BJ336" s="65">
        <v>0</v>
      </c>
      <c r="BK336" s="65">
        <v>12.751667915526451</v>
      </c>
      <c r="BL336" s="65">
        <v>0</v>
      </c>
      <c r="BM336" s="65">
        <v>0</v>
      </c>
      <c r="BN336" s="65">
        <v>66.583287540729913</v>
      </c>
      <c r="BO336" s="65">
        <v>212.18019192</v>
      </c>
      <c r="BP336" s="62"/>
      <c r="BQ336" s="65">
        <v>165.98482143436783</v>
      </c>
      <c r="BR336" s="65">
        <v>216.86454918184384</v>
      </c>
      <c r="BS336" s="65">
        <v>784.71603181845251</v>
      </c>
      <c r="BT336" s="65">
        <v>244.74634260668026</v>
      </c>
      <c r="BU336" s="65">
        <v>290.80031009547673</v>
      </c>
      <c r="BV336" s="144">
        <f t="shared" si="370"/>
        <v>1225.5472591749647</v>
      </c>
      <c r="BW336" s="144">
        <f t="shared" si="371"/>
        <v>2638.9945860491371</v>
      </c>
      <c r="BX336" s="144">
        <f t="shared" si="372"/>
        <v>730.90304271947412</v>
      </c>
      <c r="BY336" s="5"/>
      <c r="BZ336" s="18"/>
      <c r="CA336" s="4"/>
      <c r="CB336" s="5"/>
      <c r="CC336" s="5"/>
      <c r="CD336" s="188">
        <v>1.4538432884059718E-2</v>
      </c>
      <c r="CE336" s="5"/>
      <c r="CF336" s="64"/>
      <c r="CG336" s="70"/>
      <c r="CH336" s="70">
        <v>2480</v>
      </c>
      <c r="CI336" s="70"/>
      <c r="CJ336" s="63"/>
      <c r="CK336" s="8">
        <f t="shared" si="335"/>
        <v>19488.247078406759</v>
      </c>
      <c r="CL336" s="202">
        <f t="shared" si="315"/>
        <v>24953.905248634637</v>
      </c>
      <c r="CM336" s="202">
        <f t="shared" si="316"/>
        <v>24953.905248634637</v>
      </c>
      <c r="CN336" s="202">
        <f t="shared" si="317"/>
        <v>24953.905248634637</v>
      </c>
      <c r="CO336" s="9">
        <f t="shared" si="318"/>
        <v>27650.208049179022</v>
      </c>
      <c r="CP336" s="9">
        <f t="shared" si="319"/>
        <v>26610.137468016397</v>
      </c>
      <c r="CQ336" s="9">
        <f t="shared" si="320"/>
        <v>21305.168233044384</v>
      </c>
      <c r="CR336" s="202">
        <f t="shared" si="321"/>
        <v>24953.905248634637</v>
      </c>
      <c r="CS336" s="202">
        <f t="shared" si="322"/>
        <v>24953.905248634637</v>
      </c>
      <c r="CT336" s="202">
        <f t="shared" si="323"/>
        <v>24953.905248634637</v>
      </c>
      <c r="CU336" s="203">
        <f t="shared" si="324"/>
        <v>0.56149182571095047</v>
      </c>
      <c r="CV336" s="203">
        <f t="shared" si="325"/>
        <v>0.56149182571095047</v>
      </c>
      <c r="CW336" s="203">
        <f t="shared" si="326"/>
        <v>0.56149182571095047</v>
      </c>
      <c r="CX336" s="19">
        <f t="shared" si="327"/>
        <v>0.58657433669263193</v>
      </c>
      <c r="CY336" s="19">
        <f t="shared" si="328"/>
        <v>0.5772466373787738</v>
      </c>
      <c r="CZ336" s="19">
        <f t="shared" si="329"/>
        <v>0.52226978472831609</v>
      </c>
      <c r="DA336" s="203">
        <f t="shared" si="330"/>
        <v>0.56149182571095047</v>
      </c>
      <c r="DB336" s="203">
        <f t="shared" si="331"/>
        <v>0.56149182571095047</v>
      </c>
      <c r="DC336" s="203">
        <f t="shared" si="332"/>
        <v>0.56149182571095047</v>
      </c>
      <c r="DD336" s="65"/>
      <c r="DE336" s="66"/>
      <c r="DF336" s="66"/>
      <c r="DG336" s="66"/>
      <c r="DH336" s="66"/>
      <c r="DI336" s="66"/>
      <c r="DJ336" s="66"/>
      <c r="DK336" s="70"/>
      <c r="DL336" s="70"/>
      <c r="DM336" s="8">
        <f t="shared" si="333"/>
        <v>0</v>
      </c>
      <c r="DN336" s="8">
        <f t="shared" si="334"/>
        <v>19488.247078406759</v>
      </c>
      <c r="DO336" s="202">
        <f t="shared" si="340"/>
        <v>24953.905248634637</v>
      </c>
      <c r="DP336" s="202">
        <f t="shared" si="341"/>
        <v>24953.905248634637</v>
      </c>
      <c r="DQ336" s="202">
        <f t="shared" si="342"/>
        <v>24953.905248634637</v>
      </c>
      <c r="DR336" s="9">
        <f t="shared" si="343"/>
        <v>27650.208049179022</v>
      </c>
      <c r="DS336" s="9">
        <f t="shared" si="336"/>
        <v>26610.137468016397</v>
      </c>
      <c r="DT336" s="9">
        <f t="shared" si="344"/>
        <v>21305.168233044384</v>
      </c>
      <c r="DU336" s="202">
        <f t="shared" si="345"/>
        <v>24953.905248634637</v>
      </c>
      <c r="DV336" s="202">
        <f t="shared" si="346"/>
        <v>24953.905248634637</v>
      </c>
      <c r="DW336" s="202">
        <f t="shared" si="347"/>
        <v>24953.905248634637</v>
      </c>
      <c r="DX336" s="203">
        <f t="shared" si="348"/>
        <v>0.56149182571095047</v>
      </c>
      <c r="DY336" s="203">
        <f t="shared" si="349"/>
        <v>0.56149182571095047</v>
      </c>
      <c r="DZ336" s="203">
        <f t="shared" si="350"/>
        <v>0.56149182571095047</v>
      </c>
      <c r="EA336" s="19">
        <f t="shared" si="351"/>
        <v>0.58657433669263193</v>
      </c>
      <c r="EB336" s="19">
        <f t="shared" si="337"/>
        <v>0.5772466373787738</v>
      </c>
      <c r="EC336" s="19">
        <f t="shared" si="352"/>
        <v>0.52226978472831609</v>
      </c>
      <c r="ED336" s="203">
        <f t="shared" si="353"/>
        <v>0.56149182571095047</v>
      </c>
      <c r="EE336" s="203">
        <f t="shared" si="354"/>
        <v>0.56149182571095047</v>
      </c>
      <c r="EF336" s="203">
        <f t="shared" si="355"/>
        <v>0.56149182571095047</v>
      </c>
      <c r="EH336" s="58">
        <f t="shared" si="364"/>
        <v>18262.685280798913</v>
      </c>
      <c r="EI336" s="68">
        <f t="shared" si="365"/>
        <v>0.39616757638019967</v>
      </c>
      <c r="EJ336" s="58">
        <f t="shared" si="366"/>
        <v>18262.685280798913</v>
      </c>
      <c r="EK336" s="68">
        <f t="shared" si="365"/>
        <v>0.39616757638019967</v>
      </c>
      <c r="EL336" s="58">
        <f t="shared" si="367"/>
        <v>6650.091238079438</v>
      </c>
      <c r="EM336" s="58">
        <f t="shared" si="368"/>
        <v>7380.9942807989119</v>
      </c>
      <c r="EN336" s="68">
        <f t="shared" si="369"/>
        <v>0.1601139465823562</v>
      </c>
      <c r="EO336" s="139">
        <f t="shared" si="312"/>
        <v>0.28868615856523006</v>
      </c>
      <c r="EP336">
        <f>+(SUM(M336:O336)*EO336*(1-'[1]Tier 3 Data'!$A$2))</f>
        <v>1768.223374830779</v>
      </c>
    </row>
    <row r="337" spans="1:146" x14ac:dyDescent="0.2">
      <c r="A337" s="43">
        <v>0</v>
      </c>
      <c r="B337" s="43">
        <v>0</v>
      </c>
      <c r="C337" s="43">
        <v>0</v>
      </c>
      <c r="D337" s="70">
        <v>2035</v>
      </c>
      <c r="E337" s="70">
        <v>6</v>
      </c>
      <c r="F337" s="2">
        <v>720</v>
      </c>
      <c r="G337" s="133">
        <f t="shared" si="305"/>
        <v>40964.320522286624</v>
      </c>
      <c r="H337" s="65">
        <v>40964.320522286624</v>
      </c>
      <c r="I337" s="133">
        <f t="shared" si="306"/>
        <v>40964.320522286624</v>
      </c>
      <c r="J337" s="133">
        <f t="shared" si="362"/>
        <v>5011.0278749999979</v>
      </c>
      <c r="K337" s="65">
        <v>5011.0278749999979</v>
      </c>
      <c r="L337" s="133">
        <f t="shared" si="363"/>
        <v>5011.0278749999979</v>
      </c>
      <c r="M337" s="65">
        <v>1630.7561929849653</v>
      </c>
      <c r="N337" s="65">
        <v>3511.538810303055</v>
      </c>
      <c r="O337" s="65">
        <v>974.35306094716725</v>
      </c>
      <c r="P337" s="200">
        <f t="shared" si="356"/>
        <v>34118.298228016065</v>
      </c>
      <c r="Q337" s="200">
        <f t="shared" si="357"/>
        <v>34118.298228016065</v>
      </c>
      <c r="R337" s="200">
        <f t="shared" si="358"/>
        <v>34118.298228016065</v>
      </c>
      <c r="S337" s="133">
        <f t="shared" si="307"/>
        <v>35660.98672900247</v>
      </c>
      <c r="T337" s="133">
        <f t="shared" si="308"/>
        <v>35660.98672900247</v>
      </c>
      <c r="U337" s="133">
        <f t="shared" si="309"/>
        <v>35660.98672900247</v>
      </c>
      <c r="V337" s="200">
        <f t="shared" si="359"/>
        <v>34118.298228016065</v>
      </c>
      <c r="W337" s="200">
        <f t="shared" si="360"/>
        <v>34118.298228016065</v>
      </c>
      <c r="X337" s="200">
        <f t="shared" si="361"/>
        <v>34118.298228016065</v>
      </c>
      <c r="Y337" s="65">
        <v>14619.219141334459</v>
      </c>
      <c r="Z337" s="65">
        <v>13879.949160382714</v>
      </c>
      <c r="AA337" s="65">
        <v>8198.7899113140047</v>
      </c>
      <c r="AB337" s="200">
        <f t="shared" si="373"/>
        <v>47998.247388398777</v>
      </c>
      <c r="AC337" s="200">
        <f t="shared" si="374"/>
        <v>47998.247388398777</v>
      </c>
      <c r="AD337" s="200">
        <f t="shared" si="375"/>
        <v>47998.247388398777</v>
      </c>
      <c r="AE337" s="199">
        <f t="shared" si="338"/>
        <v>50280.205870336926</v>
      </c>
      <c r="AF337" s="199">
        <f t="shared" si="376"/>
        <v>49540.935889385182</v>
      </c>
      <c r="AG337" s="199">
        <f t="shared" si="339"/>
        <v>43859.776640316471</v>
      </c>
      <c r="AH337" s="199">
        <f t="shared" si="310"/>
        <v>47069.991255326699</v>
      </c>
      <c r="AI337" s="200">
        <f t="shared" si="377"/>
        <v>47998.247388398777</v>
      </c>
      <c r="AJ337" s="200">
        <f t="shared" si="378"/>
        <v>47998.247388398777</v>
      </c>
      <c r="AK337" s="200">
        <f t="shared" si="379"/>
        <v>47998.247388398777</v>
      </c>
      <c r="AL337" s="4"/>
      <c r="AM337" s="4"/>
      <c r="AN337" s="4"/>
      <c r="AO337" s="4"/>
      <c r="AP337" s="63"/>
      <c r="AQ337" s="18"/>
      <c r="AR337" s="18"/>
      <c r="AS337" s="66">
        <v>3285.6</v>
      </c>
      <c r="AT337" s="18"/>
      <c r="AU337" s="133">
        <f t="shared" si="313"/>
        <v>128.934</v>
      </c>
      <c r="AV337" s="133">
        <f t="shared" si="313"/>
        <v>3110.2840000000001</v>
      </c>
      <c r="AW337" s="63"/>
      <c r="AX337" s="63"/>
      <c r="AY337" s="63"/>
      <c r="AZ337" s="64"/>
      <c r="BA337" s="65">
        <v>2058.0909999999999</v>
      </c>
      <c r="BB337" s="5"/>
      <c r="BC337" s="65">
        <v>605.91554170888298</v>
      </c>
      <c r="BD337" s="65">
        <v>0</v>
      </c>
      <c r="BE337" s="65">
        <v>0</v>
      </c>
      <c r="BF337" s="65">
        <v>0</v>
      </c>
      <c r="BG337" s="65">
        <v>0</v>
      </c>
      <c r="BH337" s="65">
        <v>0</v>
      </c>
      <c r="BI337" s="65">
        <v>1537.2069643204168</v>
      </c>
      <c r="BJ337" s="65">
        <v>0</v>
      </c>
      <c r="BK337" s="65">
        <v>11.763509963764358</v>
      </c>
      <c r="BL337" s="65">
        <v>0</v>
      </c>
      <c r="BM337" s="65">
        <v>0</v>
      </c>
      <c r="BN337" s="65">
        <v>28.53569466031281</v>
      </c>
      <c r="BO337" s="65">
        <v>205.33566960000002</v>
      </c>
      <c r="BP337" s="62"/>
      <c r="BQ337" s="65">
        <v>161.38019053301548</v>
      </c>
      <c r="BR337" s="65">
        <v>210.84848844796647</v>
      </c>
      <c r="BS337" s="65">
        <v>762.94714308579421</v>
      </c>
      <c r="BT337" s="65">
        <v>256.18328938036592</v>
      </c>
      <c r="BU337" s="65">
        <v>283.1963740783869</v>
      </c>
      <c r="BV337" s="144">
        <f t="shared" si="370"/>
        <v>1141.5293350894756</v>
      </c>
      <c r="BW337" s="144">
        <f t="shared" si="371"/>
        <v>2458.0771672121382</v>
      </c>
      <c r="BX337" s="144">
        <f t="shared" si="372"/>
        <v>682.04714266301698</v>
      </c>
      <c r="BY337" s="5"/>
      <c r="BZ337" s="18"/>
      <c r="CA337" s="4"/>
      <c r="CB337" s="5"/>
      <c r="CC337" s="5"/>
      <c r="CD337" s="188">
        <v>2.1777775833862054</v>
      </c>
      <c r="CE337" s="5"/>
      <c r="CF337" s="64"/>
      <c r="CG337" s="70"/>
      <c r="CH337" s="70">
        <v>4368</v>
      </c>
      <c r="CI337" s="70"/>
      <c r="CJ337" s="63"/>
      <c r="CK337" s="8">
        <f t="shared" si="335"/>
        <v>21298.053288326922</v>
      </c>
      <c r="CL337" s="202">
        <f t="shared" si="315"/>
        <v>26700.194100071854</v>
      </c>
      <c r="CM337" s="202">
        <f t="shared" si="316"/>
        <v>26700.194100071854</v>
      </c>
      <c r="CN337" s="202">
        <f t="shared" si="317"/>
        <v>26700.194100071854</v>
      </c>
      <c r="CO337" s="9">
        <f t="shared" si="318"/>
        <v>28982.152582010003</v>
      </c>
      <c r="CP337" s="9">
        <f t="shared" si="319"/>
        <v>28242.88260105826</v>
      </c>
      <c r="CQ337" s="9">
        <f t="shared" si="320"/>
        <v>22561.723351989549</v>
      </c>
      <c r="CR337" s="202">
        <f t="shared" si="321"/>
        <v>26700.194100071854</v>
      </c>
      <c r="CS337" s="202">
        <f t="shared" si="322"/>
        <v>26700.194100071854</v>
      </c>
      <c r="CT337" s="202">
        <f t="shared" si="323"/>
        <v>26700.194100071854</v>
      </c>
      <c r="CU337" s="203">
        <f t="shared" si="324"/>
        <v>0.55627435485332566</v>
      </c>
      <c r="CV337" s="203">
        <f t="shared" si="325"/>
        <v>0.55627435485332566</v>
      </c>
      <c r="CW337" s="203">
        <f t="shared" si="326"/>
        <v>0.55627435485332566</v>
      </c>
      <c r="CX337" s="19">
        <f t="shared" si="327"/>
        <v>0.57641276682019671</v>
      </c>
      <c r="CY337" s="19">
        <f t="shared" si="328"/>
        <v>0.57009182596224794</v>
      </c>
      <c r="CZ337" s="19">
        <f t="shared" si="329"/>
        <v>0.51440579684235155</v>
      </c>
      <c r="DA337" s="203">
        <f t="shared" si="330"/>
        <v>0.55627435485332566</v>
      </c>
      <c r="DB337" s="203">
        <f t="shared" si="331"/>
        <v>0.55627435485332566</v>
      </c>
      <c r="DC337" s="203">
        <f t="shared" si="332"/>
        <v>0.55627435485332566</v>
      </c>
      <c r="DD337" s="65"/>
      <c r="DE337" s="66"/>
      <c r="DF337" s="66"/>
      <c r="DG337" s="66"/>
      <c r="DH337" s="66"/>
      <c r="DI337" s="66"/>
      <c r="DJ337" s="66"/>
      <c r="DK337" s="70"/>
      <c r="DL337" s="70"/>
      <c r="DM337" s="8">
        <f t="shared" si="333"/>
        <v>0</v>
      </c>
      <c r="DN337" s="8">
        <f t="shared" si="334"/>
        <v>21298.053288326922</v>
      </c>
      <c r="DO337" s="202">
        <f t="shared" si="340"/>
        <v>26700.194100071854</v>
      </c>
      <c r="DP337" s="202">
        <f t="shared" si="341"/>
        <v>26700.194100071854</v>
      </c>
      <c r="DQ337" s="202">
        <f t="shared" si="342"/>
        <v>26700.194100071854</v>
      </c>
      <c r="DR337" s="9">
        <f t="shared" si="343"/>
        <v>28982.152582010003</v>
      </c>
      <c r="DS337" s="9">
        <f t="shared" si="336"/>
        <v>28242.88260105826</v>
      </c>
      <c r="DT337" s="9">
        <f t="shared" si="344"/>
        <v>22561.723351989549</v>
      </c>
      <c r="DU337" s="202">
        <f t="shared" si="345"/>
        <v>26700.194100071854</v>
      </c>
      <c r="DV337" s="202">
        <f t="shared" si="346"/>
        <v>26700.194100071854</v>
      </c>
      <c r="DW337" s="202">
        <f t="shared" si="347"/>
        <v>26700.194100071854</v>
      </c>
      <c r="DX337" s="203">
        <f t="shared" si="348"/>
        <v>0.55627435485332566</v>
      </c>
      <c r="DY337" s="203">
        <f t="shared" si="349"/>
        <v>0.55627435485332566</v>
      </c>
      <c r="DZ337" s="203">
        <f t="shared" si="350"/>
        <v>0.55627435485332566</v>
      </c>
      <c r="EA337" s="19">
        <f t="shared" si="351"/>
        <v>0.57641276682019671</v>
      </c>
      <c r="EB337" s="19">
        <f t="shared" si="337"/>
        <v>0.57009182596224794</v>
      </c>
      <c r="EC337" s="19">
        <f t="shared" si="352"/>
        <v>0.51440579684235155</v>
      </c>
      <c r="ED337" s="203">
        <f t="shared" si="353"/>
        <v>0.55627435485332566</v>
      </c>
      <c r="EE337" s="203">
        <f t="shared" si="354"/>
        <v>0.55627435485332566</v>
      </c>
      <c r="EF337" s="203">
        <f t="shared" si="355"/>
        <v>0.55627435485332566</v>
      </c>
      <c r="EH337" s="58">
        <f t="shared" si="364"/>
        <v>20154.34617565406</v>
      </c>
      <c r="EI337" s="68">
        <f t="shared" si="365"/>
        <v>0.40682207176413882</v>
      </c>
      <c r="EJ337" s="58">
        <f t="shared" si="366"/>
        <v>20154.34617565406</v>
      </c>
      <c r="EK337" s="68">
        <f t="shared" si="365"/>
        <v>0.40682207176413882</v>
      </c>
      <c r="EL337" s="58">
        <f t="shared" si="367"/>
        <v>6521.3900329910448</v>
      </c>
      <c r="EM337" s="58">
        <f t="shared" si="368"/>
        <v>7203.4371756540622</v>
      </c>
      <c r="EN337" s="68">
        <f t="shared" si="369"/>
        <v>0.14540373625031772</v>
      </c>
      <c r="EO337" s="139">
        <f t="shared" si="312"/>
        <v>0.24029016665052916</v>
      </c>
      <c r="EP337">
        <f>+(SUM(M337:O337)*EO337*(1-'[1]Tier 3 Data'!$A$2))</f>
        <v>1371.2957670569633</v>
      </c>
    </row>
    <row r="338" spans="1:146" x14ac:dyDescent="0.2">
      <c r="A338" s="43">
        <v>0</v>
      </c>
      <c r="B338" s="43">
        <v>0</v>
      </c>
      <c r="C338" s="43">
        <v>0</v>
      </c>
      <c r="D338" s="70">
        <v>2035</v>
      </c>
      <c r="E338" s="70">
        <v>7</v>
      </c>
      <c r="F338" s="2">
        <v>744</v>
      </c>
      <c r="G338" s="133">
        <f t="shared" si="305"/>
        <v>47036.469220790306</v>
      </c>
      <c r="H338" s="65">
        <v>47036.469220790306</v>
      </c>
      <c r="I338" s="133">
        <f t="shared" si="306"/>
        <v>47036.469220790306</v>
      </c>
      <c r="J338" s="133">
        <f t="shared" si="362"/>
        <v>5050.7931874999977</v>
      </c>
      <c r="K338" s="65">
        <v>5050.7931874999977</v>
      </c>
      <c r="L338" s="133">
        <f t="shared" si="363"/>
        <v>5050.7931874999977</v>
      </c>
      <c r="M338" s="65">
        <v>1709.2251160000674</v>
      </c>
      <c r="N338" s="65">
        <v>3680.5074579497937</v>
      </c>
      <c r="O338" s="65">
        <v>1023.0018944678345</v>
      </c>
      <c r="P338" s="200">
        <f t="shared" si="356"/>
        <v>40061.855692764999</v>
      </c>
      <c r="Q338" s="200">
        <f t="shared" si="357"/>
        <v>40061.855692764999</v>
      </c>
      <c r="R338" s="200">
        <f t="shared" si="358"/>
        <v>40061.855692764999</v>
      </c>
      <c r="S338" s="133">
        <f t="shared" si="307"/>
        <v>41678.775464949955</v>
      </c>
      <c r="T338" s="133">
        <f t="shared" si="308"/>
        <v>41678.775464949955</v>
      </c>
      <c r="U338" s="133">
        <f t="shared" si="309"/>
        <v>41678.775464949955</v>
      </c>
      <c r="V338" s="200">
        <f t="shared" si="359"/>
        <v>40061.855692764999</v>
      </c>
      <c r="W338" s="200">
        <f t="shared" si="360"/>
        <v>40061.855692764999</v>
      </c>
      <c r="X338" s="200">
        <f t="shared" si="361"/>
        <v>40061.855692764999</v>
      </c>
      <c r="Y338" s="65">
        <v>16000.936025937497</v>
      </c>
      <c r="Z338" s="65">
        <v>16344.425584654855</v>
      </c>
      <c r="AA338" s="65">
        <v>9283.1352570528343</v>
      </c>
      <c r="AB338" s="200">
        <f t="shared" si="373"/>
        <v>56406.281277419854</v>
      </c>
      <c r="AC338" s="200">
        <f t="shared" si="374"/>
        <v>56406.281277419854</v>
      </c>
      <c r="AD338" s="200">
        <f t="shared" si="375"/>
        <v>56406.281277419854</v>
      </c>
      <c r="AE338" s="199">
        <f t="shared" si="338"/>
        <v>57679.71149088745</v>
      </c>
      <c r="AF338" s="199">
        <f t="shared" si="376"/>
        <v>58023.20104960481</v>
      </c>
      <c r="AG338" s="199">
        <f t="shared" si="339"/>
        <v>50961.910722002787</v>
      </c>
      <c r="AH338" s="199">
        <f t="shared" si="310"/>
        <v>54492.555885803798</v>
      </c>
      <c r="AI338" s="200">
        <f t="shared" si="377"/>
        <v>56406.281277419854</v>
      </c>
      <c r="AJ338" s="200">
        <f t="shared" si="378"/>
        <v>56406.281277419854</v>
      </c>
      <c r="AK338" s="200">
        <f t="shared" si="379"/>
        <v>56406.281277419854</v>
      </c>
      <c r="AL338" s="4"/>
      <c r="AM338" s="4"/>
      <c r="AN338" s="4"/>
      <c r="AO338" s="4"/>
      <c r="AP338" s="63"/>
      <c r="AQ338" s="18"/>
      <c r="AR338" s="18"/>
      <c r="AS338" s="66">
        <v>3395.12</v>
      </c>
      <c r="AT338" s="18"/>
      <c r="AU338" s="133">
        <f t="shared" si="313"/>
        <v>118.521</v>
      </c>
      <c r="AV338" s="133">
        <f t="shared" si="313"/>
        <v>3084.53</v>
      </c>
      <c r="AW338" s="63"/>
      <c r="AX338" s="63"/>
      <c r="AY338" s="63"/>
      <c r="AZ338" s="64"/>
      <c r="BA338" s="65">
        <v>1516.482</v>
      </c>
      <c r="BB338" s="5"/>
      <c r="BC338" s="65">
        <v>586.79739986786444</v>
      </c>
      <c r="BD338" s="65">
        <v>0</v>
      </c>
      <c r="BE338" s="65">
        <v>0</v>
      </c>
      <c r="BF338" s="65">
        <v>0</v>
      </c>
      <c r="BG338" s="65">
        <v>0</v>
      </c>
      <c r="BH338" s="65">
        <v>0</v>
      </c>
      <c r="BI338" s="65">
        <v>1488.7042626072459</v>
      </c>
      <c r="BJ338" s="65">
        <v>0</v>
      </c>
      <c r="BK338" s="65">
        <v>9.5733821057653241</v>
      </c>
      <c r="BL338" s="65">
        <v>0</v>
      </c>
      <c r="BM338" s="65">
        <v>0</v>
      </c>
      <c r="BN338" s="65">
        <v>28.53569466031281</v>
      </c>
      <c r="BO338" s="65">
        <v>212.18019192</v>
      </c>
      <c r="BP338" s="62"/>
      <c r="BQ338" s="65">
        <v>163.24520296402659</v>
      </c>
      <c r="BR338" s="65">
        <v>213.28511469130453</v>
      </c>
      <c r="BS338" s="65">
        <v>771.76398138107095</v>
      </c>
      <c r="BT338" s="65">
        <v>264.70299952551602</v>
      </c>
      <c r="BU338" s="65">
        <v>291.1728371587692</v>
      </c>
      <c r="BV338" s="144">
        <f t="shared" si="370"/>
        <v>1196.4575812000471</v>
      </c>
      <c r="BW338" s="144">
        <f t="shared" si="371"/>
        <v>2576.3552205648552</v>
      </c>
      <c r="BX338" s="144">
        <f t="shared" si="372"/>
        <v>716.10132612748407</v>
      </c>
      <c r="BY338" s="5"/>
      <c r="BZ338" s="18"/>
      <c r="CA338" s="4"/>
      <c r="CB338" s="5"/>
      <c r="CC338" s="5"/>
      <c r="CD338" s="188">
        <v>2.1042112926473342</v>
      </c>
      <c r="CE338" s="5"/>
      <c r="CF338" s="64"/>
      <c r="CG338" s="70"/>
      <c r="CH338" s="70">
        <v>6640</v>
      </c>
      <c r="CI338" s="70"/>
      <c r="CJ338" s="63"/>
      <c r="CK338" s="8">
        <f t="shared" si="335"/>
        <v>23275.632406066914</v>
      </c>
      <c r="CL338" s="202">
        <f t="shared" si="315"/>
        <v>33130.64887135294</v>
      </c>
      <c r="CM338" s="202">
        <f t="shared" si="316"/>
        <v>33130.64887135294</v>
      </c>
      <c r="CN338" s="202">
        <f t="shared" si="317"/>
        <v>33130.64887135294</v>
      </c>
      <c r="CO338" s="9">
        <f t="shared" si="318"/>
        <v>34404.079084820536</v>
      </c>
      <c r="CP338" s="9">
        <f t="shared" si="319"/>
        <v>34747.568643537896</v>
      </c>
      <c r="CQ338" s="9">
        <f t="shared" si="320"/>
        <v>27686.278315935873</v>
      </c>
      <c r="CR338" s="202">
        <f t="shared" si="321"/>
        <v>33130.64887135294</v>
      </c>
      <c r="CS338" s="202">
        <f t="shared" si="322"/>
        <v>33130.64887135294</v>
      </c>
      <c r="CT338" s="202">
        <f t="shared" si="323"/>
        <v>33130.64887135294</v>
      </c>
      <c r="CU338" s="203">
        <f t="shared" si="324"/>
        <v>0.58735743823295716</v>
      </c>
      <c r="CV338" s="203">
        <f t="shared" si="325"/>
        <v>0.58735743823295716</v>
      </c>
      <c r="CW338" s="203">
        <f t="shared" si="326"/>
        <v>0.58735743823295716</v>
      </c>
      <c r="CX338" s="19">
        <f t="shared" si="327"/>
        <v>0.59646760005475885</v>
      </c>
      <c r="CY338" s="19">
        <f t="shared" si="328"/>
        <v>0.59885645767512441</v>
      </c>
      <c r="CZ338" s="19">
        <f t="shared" si="329"/>
        <v>0.54327394565255838</v>
      </c>
      <c r="DA338" s="203">
        <f t="shared" si="330"/>
        <v>0.58735743823295716</v>
      </c>
      <c r="DB338" s="203">
        <f t="shared" si="331"/>
        <v>0.58735743823295716</v>
      </c>
      <c r="DC338" s="203">
        <f t="shared" si="332"/>
        <v>0.58735743823295716</v>
      </c>
      <c r="DD338" s="65"/>
      <c r="DE338" s="66"/>
      <c r="DF338" s="66"/>
      <c r="DG338" s="66"/>
      <c r="DH338" s="66"/>
      <c r="DI338" s="66"/>
      <c r="DJ338" s="66"/>
      <c r="DK338" s="70"/>
      <c r="DL338" s="70"/>
      <c r="DM338" s="8">
        <f t="shared" si="333"/>
        <v>0</v>
      </c>
      <c r="DN338" s="8">
        <f t="shared" si="334"/>
        <v>23275.632406066914</v>
      </c>
      <c r="DO338" s="202">
        <f t="shared" si="340"/>
        <v>33130.64887135294</v>
      </c>
      <c r="DP338" s="202">
        <f t="shared" si="341"/>
        <v>33130.64887135294</v>
      </c>
      <c r="DQ338" s="202">
        <f t="shared" si="342"/>
        <v>33130.64887135294</v>
      </c>
      <c r="DR338" s="9">
        <f t="shared" si="343"/>
        <v>34404.079084820536</v>
      </c>
      <c r="DS338" s="9">
        <f t="shared" si="336"/>
        <v>34747.568643537896</v>
      </c>
      <c r="DT338" s="9">
        <f t="shared" si="344"/>
        <v>27686.278315935873</v>
      </c>
      <c r="DU338" s="202">
        <f t="shared" si="345"/>
        <v>33130.64887135294</v>
      </c>
      <c r="DV338" s="202">
        <f t="shared" si="346"/>
        <v>33130.64887135294</v>
      </c>
      <c r="DW338" s="202">
        <f t="shared" si="347"/>
        <v>33130.64887135294</v>
      </c>
      <c r="DX338" s="203">
        <f t="shared" si="348"/>
        <v>0.58735743823295716</v>
      </c>
      <c r="DY338" s="203">
        <f t="shared" si="349"/>
        <v>0.58735743823295716</v>
      </c>
      <c r="DZ338" s="203">
        <f t="shared" si="350"/>
        <v>0.58735743823295716</v>
      </c>
      <c r="EA338" s="19">
        <f t="shared" si="351"/>
        <v>0.59646760005475885</v>
      </c>
      <c r="EB338" s="19">
        <f t="shared" si="337"/>
        <v>0.59885645767512441</v>
      </c>
      <c r="EC338" s="19">
        <f t="shared" si="352"/>
        <v>0.54327394565255838</v>
      </c>
      <c r="ED338" s="203">
        <f t="shared" si="353"/>
        <v>0.58735743823295716</v>
      </c>
      <c r="EE338" s="203">
        <f t="shared" si="354"/>
        <v>0.58735743823295716</v>
      </c>
      <c r="EF338" s="203">
        <f t="shared" si="355"/>
        <v>0.58735743823295716</v>
      </c>
      <c r="EH338" s="58">
        <f t="shared" si="364"/>
        <v>22077.070613574215</v>
      </c>
      <c r="EI338" s="68">
        <f t="shared" si="365"/>
        <v>0.38048694684562873</v>
      </c>
      <c r="EJ338" s="58">
        <f t="shared" si="366"/>
        <v>22077.070613574215</v>
      </c>
      <c r="EK338" s="68">
        <f t="shared" si="365"/>
        <v>0.38048694684562873</v>
      </c>
      <c r="EL338" s="58">
        <f t="shared" si="367"/>
        <v>6606.3162874467316</v>
      </c>
      <c r="EM338" s="58">
        <f t="shared" si="368"/>
        <v>7322.4176135742155</v>
      </c>
      <c r="EN338" s="68">
        <f t="shared" si="369"/>
        <v>0.12619809802141357</v>
      </c>
      <c r="EO338" s="139">
        <f t="shared" si="312"/>
        <v>0.25197746931178833</v>
      </c>
      <c r="EP338">
        <f>+(SUM(M338:O338)*EO338*(1-'[1]Tier 3 Data'!$A$2))</f>
        <v>1507.6016743381024</v>
      </c>
    </row>
    <row r="339" spans="1:146" x14ac:dyDescent="0.2">
      <c r="A339" s="43">
        <v>0</v>
      </c>
      <c r="B339" s="43">
        <v>0</v>
      </c>
      <c r="C339" s="43">
        <v>0</v>
      </c>
      <c r="D339" s="70">
        <v>2035</v>
      </c>
      <c r="E339" s="70">
        <v>8</v>
      </c>
      <c r="F339" s="2">
        <v>744</v>
      </c>
      <c r="G339" s="133">
        <f t="shared" si="305"/>
        <v>44921.89561030484</v>
      </c>
      <c r="H339" s="65">
        <v>44921.89561030484</v>
      </c>
      <c r="I339" s="133">
        <f t="shared" si="306"/>
        <v>44921.89561030484</v>
      </c>
      <c r="J339" s="133">
        <f t="shared" si="362"/>
        <v>5090.5584999999974</v>
      </c>
      <c r="K339" s="65">
        <v>5090.5584999999974</v>
      </c>
      <c r="L339" s="133">
        <f t="shared" si="363"/>
        <v>5090.5584999999974</v>
      </c>
      <c r="M339" s="65">
        <v>1523.4196774399222</v>
      </c>
      <c r="N339" s="65">
        <v>3280.4090180505418</v>
      </c>
      <c r="O339" s="65">
        <v>913.98146445137809</v>
      </c>
      <c r="P339" s="200">
        <f t="shared" si="356"/>
        <v>38115.994062322286</v>
      </c>
      <c r="Q339" s="200">
        <f t="shared" si="357"/>
        <v>38115.994062322286</v>
      </c>
      <c r="R339" s="200">
        <f t="shared" si="358"/>
        <v>38115.994062322286</v>
      </c>
      <c r="S339" s="133">
        <f t="shared" si="307"/>
        <v>39557.142670969428</v>
      </c>
      <c r="T339" s="133">
        <f t="shared" si="308"/>
        <v>39557.142670969428</v>
      </c>
      <c r="U339" s="133">
        <f t="shared" si="309"/>
        <v>39557.142670969428</v>
      </c>
      <c r="V339" s="200">
        <f t="shared" si="359"/>
        <v>38115.994062322286</v>
      </c>
      <c r="W339" s="200">
        <f t="shared" si="360"/>
        <v>38115.994062322286</v>
      </c>
      <c r="X339" s="200">
        <f t="shared" si="361"/>
        <v>38115.994062322286</v>
      </c>
      <c r="Y339" s="65">
        <v>15388.997838857615</v>
      </c>
      <c r="Z339" s="65">
        <v>15181.587558395184</v>
      </c>
      <c r="AA339" s="65">
        <v>8844.4631466691699</v>
      </c>
      <c r="AB339" s="200">
        <f t="shared" si="373"/>
        <v>53297.581620717472</v>
      </c>
      <c r="AC339" s="200">
        <f t="shared" si="374"/>
        <v>53297.581620717472</v>
      </c>
      <c r="AD339" s="200">
        <f t="shared" si="375"/>
        <v>53297.581620717472</v>
      </c>
      <c r="AE339" s="199">
        <f t="shared" si="338"/>
        <v>54946.140509827041</v>
      </c>
      <c r="AF339" s="199">
        <f t="shared" si="376"/>
        <v>54738.730229364613</v>
      </c>
      <c r="AG339" s="199">
        <f t="shared" si="339"/>
        <v>48401.6058176386</v>
      </c>
      <c r="AH339" s="199">
        <f t="shared" si="310"/>
        <v>51673.873163732816</v>
      </c>
      <c r="AI339" s="200">
        <f t="shared" si="377"/>
        <v>53297.581620717472</v>
      </c>
      <c r="AJ339" s="200">
        <f t="shared" si="378"/>
        <v>53297.581620717472</v>
      </c>
      <c r="AK339" s="200">
        <f t="shared" si="379"/>
        <v>53297.581620717472</v>
      </c>
      <c r="AL339" s="4"/>
      <c r="AM339" s="4"/>
      <c r="AN339" s="4"/>
      <c r="AO339" s="4"/>
      <c r="AP339" s="63"/>
      <c r="AQ339" s="18"/>
      <c r="AR339" s="18"/>
      <c r="AS339" s="66">
        <v>3395.12</v>
      </c>
      <c r="AT339" s="18"/>
      <c r="AU339" s="133">
        <f t="shared" si="313"/>
        <v>107.64</v>
      </c>
      <c r="AV339" s="133">
        <f t="shared" si="313"/>
        <v>3021.9279999999999</v>
      </c>
      <c r="AW339" s="63"/>
      <c r="AX339" s="63"/>
      <c r="AY339" s="63"/>
      <c r="AZ339" s="64"/>
      <c r="BA339" s="65">
        <v>1498.2090000000001</v>
      </c>
      <c r="BB339" s="5"/>
      <c r="BC339" s="65">
        <v>569.06141954142743</v>
      </c>
      <c r="BD339" s="65">
        <v>0</v>
      </c>
      <c r="BE339" s="65">
        <v>0</v>
      </c>
      <c r="BF339" s="65">
        <v>0</v>
      </c>
      <c r="BG339" s="65">
        <v>0</v>
      </c>
      <c r="BH339" s="65">
        <v>0</v>
      </c>
      <c r="BI339" s="65">
        <v>1443.7081029115327</v>
      </c>
      <c r="BJ339" s="65">
        <v>0</v>
      </c>
      <c r="BK339" s="65">
        <v>11.152893841525399</v>
      </c>
      <c r="BL339" s="65">
        <v>0</v>
      </c>
      <c r="BM339" s="65">
        <v>0</v>
      </c>
      <c r="BN339" s="65">
        <v>23.779745550260678</v>
      </c>
      <c r="BO339" s="65">
        <v>212.18019192</v>
      </c>
      <c r="BP339" s="62"/>
      <c r="BQ339" s="65">
        <v>154.93239093620821</v>
      </c>
      <c r="BR339" s="65">
        <v>202.42422115230397</v>
      </c>
      <c r="BS339" s="65">
        <v>732.46425748164586</v>
      </c>
      <c r="BT339" s="65">
        <v>251.23012656482234</v>
      </c>
      <c r="BU339" s="65">
        <v>270.93110260631784</v>
      </c>
      <c r="BV339" s="144">
        <f t="shared" si="370"/>
        <v>1066.3937742079454</v>
      </c>
      <c r="BW339" s="144">
        <f t="shared" si="371"/>
        <v>2296.2863126353791</v>
      </c>
      <c r="BX339" s="144">
        <f t="shared" si="372"/>
        <v>639.78702511596464</v>
      </c>
      <c r="BY339" s="5"/>
      <c r="BZ339" s="18"/>
      <c r="CA339" s="4"/>
      <c r="CB339" s="5"/>
      <c r="CC339" s="5"/>
      <c r="CD339" s="188">
        <v>16.868963591035975</v>
      </c>
      <c r="CE339" s="5"/>
      <c r="CF339" s="64"/>
      <c r="CG339" s="70"/>
      <c r="CH339" s="70">
        <v>7312</v>
      </c>
      <c r="CI339" s="70"/>
      <c r="CJ339" s="63"/>
      <c r="CK339" s="8">
        <f t="shared" si="335"/>
        <v>23226.097528056369</v>
      </c>
      <c r="CL339" s="202">
        <f t="shared" si="315"/>
        <v>30071.484092661103</v>
      </c>
      <c r="CM339" s="202">
        <f t="shared" si="316"/>
        <v>30071.484092661103</v>
      </c>
      <c r="CN339" s="202">
        <f t="shared" si="317"/>
        <v>30071.484092661103</v>
      </c>
      <c r="CO339" s="9">
        <f t="shared" si="318"/>
        <v>31720.042981770672</v>
      </c>
      <c r="CP339" s="9">
        <f t="shared" si="319"/>
        <v>31512.632701308245</v>
      </c>
      <c r="CQ339" s="9">
        <f t="shared" si="320"/>
        <v>25175.508289582231</v>
      </c>
      <c r="CR339" s="202">
        <f t="shared" si="321"/>
        <v>30071.484092661103</v>
      </c>
      <c r="CS339" s="202">
        <f t="shared" si="322"/>
        <v>30071.484092661103</v>
      </c>
      <c r="CT339" s="202">
        <f t="shared" si="323"/>
        <v>30071.484092661103</v>
      </c>
      <c r="CU339" s="203">
        <f t="shared" si="324"/>
        <v>0.56421854760051482</v>
      </c>
      <c r="CV339" s="203">
        <f t="shared" si="325"/>
        <v>0.56421854760051482</v>
      </c>
      <c r="CW339" s="203">
        <f t="shared" si="326"/>
        <v>0.56421854760051482</v>
      </c>
      <c r="CX339" s="19">
        <f t="shared" si="327"/>
        <v>0.57729337652200674</v>
      </c>
      <c r="CY339" s="19">
        <f t="shared" si="328"/>
        <v>0.57569170072570075</v>
      </c>
      <c r="CZ339" s="19">
        <f t="shared" si="329"/>
        <v>0.52013787278949586</v>
      </c>
      <c r="DA339" s="203">
        <f t="shared" si="330"/>
        <v>0.56421854760051482</v>
      </c>
      <c r="DB339" s="203">
        <f t="shared" si="331"/>
        <v>0.56421854760051482</v>
      </c>
      <c r="DC339" s="203">
        <f t="shared" si="332"/>
        <v>0.56421854760051482</v>
      </c>
      <c r="DD339" s="65"/>
      <c r="DE339" s="66"/>
      <c r="DF339" s="66"/>
      <c r="DG339" s="66"/>
      <c r="DH339" s="66"/>
      <c r="DI339" s="66"/>
      <c r="DJ339" s="66"/>
      <c r="DK339" s="70"/>
      <c r="DL339" s="70"/>
      <c r="DM339" s="8">
        <f t="shared" si="333"/>
        <v>0</v>
      </c>
      <c r="DN339" s="8">
        <f t="shared" si="334"/>
        <v>23226.097528056369</v>
      </c>
      <c r="DO339" s="202">
        <f t="shared" si="340"/>
        <v>30071.484092661103</v>
      </c>
      <c r="DP339" s="202">
        <f t="shared" si="341"/>
        <v>30071.484092661103</v>
      </c>
      <c r="DQ339" s="202">
        <f t="shared" si="342"/>
        <v>30071.484092661103</v>
      </c>
      <c r="DR339" s="9">
        <f t="shared" si="343"/>
        <v>31720.042981770672</v>
      </c>
      <c r="DS339" s="9">
        <f t="shared" si="336"/>
        <v>31512.632701308245</v>
      </c>
      <c r="DT339" s="9">
        <f t="shared" si="344"/>
        <v>25175.508289582231</v>
      </c>
      <c r="DU339" s="202">
        <f t="shared" si="345"/>
        <v>30071.484092661103</v>
      </c>
      <c r="DV339" s="202">
        <f t="shared" si="346"/>
        <v>30071.484092661103</v>
      </c>
      <c r="DW339" s="202">
        <f t="shared" si="347"/>
        <v>30071.484092661103</v>
      </c>
      <c r="DX339" s="203">
        <f t="shared" si="348"/>
        <v>0.56421854760051482</v>
      </c>
      <c r="DY339" s="203">
        <f t="shared" si="349"/>
        <v>0.56421854760051482</v>
      </c>
      <c r="DZ339" s="203">
        <f t="shared" si="350"/>
        <v>0.56421854760051482</v>
      </c>
      <c r="EA339" s="19">
        <f t="shared" si="351"/>
        <v>0.57729337652200674</v>
      </c>
      <c r="EB339" s="19">
        <f t="shared" si="337"/>
        <v>0.57569170072570075</v>
      </c>
      <c r="EC339" s="19">
        <f t="shared" si="352"/>
        <v>0.52013787278949586</v>
      </c>
      <c r="ED339" s="203">
        <f t="shared" si="353"/>
        <v>0.56421854760051482</v>
      </c>
      <c r="EE339" s="203">
        <f t="shared" si="354"/>
        <v>0.56421854760051482</v>
      </c>
      <c r="EF339" s="203">
        <f t="shared" si="355"/>
        <v>0.56421854760051482</v>
      </c>
      <c r="EH339" s="58">
        <f t="shared" si="364"/>
        <v>22142.834790257388</v>
      </c>
      <c r="EI339" s="68">
        <f t="shared" si="365"/>
        <v>0.40451860497083392</v>
      </c>
      <c r="EJ339" s="58">
        <f t="shared" si="366"/>
        <v>22142.834790257388</v>
      </c>
      <c r="EK339" s="68">
        <f t="shared" si="365"/>
        <v>0.40451860497083392</v>
      </c>
      <c r="EL339" s="58">
        <f t="shared" si="367"/>
        <v>6168.1507651414231</v>
      </c>
      <c r="EM339" s="58">
        <f t="shared" si="368"/>
        <v>6807.9377902573879</v>
      </c>
      <c r="EN339" s="68">
        <f t="shared" si="369"/>
        <v>0.12437149641087704</v>
      </c>
      <c r="EO339" s="139">
        <f t="shared" si="312"/>
        <v>0.28519905910129462</v>
      </c>
      <c r="EP339">
        <f>+(SUM(M339:O339)*EO339*(1-'[1]Tier 3 Data'!$A$2))</f>
        <v>1521.4562345269755</v>
      </c>
    </row>
    <row r="340" spans="1:146" x14ac:dyDescent="0.2">
      <c r="A340" s="43">
        <v>0</v>
      </c>
      <c r="B340" s="43">
        <v>0</v>
      </c>
      <c r="C340" s="43">
        <v>0</v>
      </c>
      <c r="D340" s="70">
        <v>2035</v>
      </c>
      <c r="E340" s="70">
        <v>9</v>
      </c>
      <c r="F340" s="2">
        <v>720</v>
      </c>
      <c r="G340" s="133">
        <f t="shared" si="305"/>
        <v>39023.600365568316</v>
      </c>
      <c r="H340" s="65">
        <v>39023.600365568316</v>
      </c>
      <c r="I340" s="133">
        <f t="shared" si="306"/>
        <v>39023.600365568316</v>
      </c>
      <c r="J340" s="133">
        <f t="shared" si="362"/>
        <v>5130.3238124999971</v>
      </c>
      <c r="K340" s="65">
        <v>5130.3238124999971</v>
      </c>
      <c r="L340" s="133">
        <f t="shared" si="363"/>
        <v>5130.3238124999971</v>
      </c>
      <c r="M340" s="65">
        <v>1305.6369062084025</v>
      </c>
      <c r="N340" s="65">
        <v>2811.4531700307239</v>
      </c>
      <c r="O340" s="65">
        <v>784.65878071570376</v>
      </c>
      <c r="P340" s="200">
        <f t="shared" si="356"/>
        <v>32422.75189598187</v>
      </c>
      <c r="Q340" s="200">
        <f t="shared" si="357"/>
        <v>32422.75189598187</v>
      </c>
      <c r="R340" s="200">
        <f t="shared" si="358"/>
        <v>32422.75189598187</v>
      </c>
      <c r="S340" s="133">
        <f t="shared" si="307"/>
        <v>33657.878918853603</v>
      </c>
      <c r="T340" s="133">
        <f t="shared" si="308"/>
        <v>33657.878918853603</v>
      </c>
      <c r="U340" s="133">
        <f t="shared" si="309"/>
        <v>33657.878918853603</v>
      </c>
      <c r="V340" s="200">
        <f t="shared" si="359"/>
        <v>32422.75189598187</v>
      </c>
      <c r="W340" s="200">
        <f t="shared" si="360"/>
        <v>32422.75189598187</v>
      </c>
      <c r="X340" s="200">
        <f t="shared" si="361"/>
        <v>32422.75189598187</v>
      </c>
      <c r="Y340" s="65">
        <v>14601.956389624253</v>
      </c>
      <c r="Z340" s="65">
        <v>13952.004449860719</v>
      </c>
      <c r="AA340" s="65">
        <v>8195.7516908547259</v>
      </c>
      <c r="AB340" s="200">
        <f t="shared" si="373"/>
        <v>46374.756345842587</v>
      </c>
      <c r="AC340" s="200">
        <f t="shared" si="374"/>
        <v>46374.756345842587</v>
      </c>
      <c r="AD340" s="200">
        <f t="shared" si="375"/>
        <v>46374.756345842587</v>
      </c>
      <c r="AE340" s="199">
        <f t="shared" si="338"/>
        <v>48259.835308477857</v>
      </c>
      <c r="AF340" s="199">
        <f t="shared" si="376"/>
        <v>47609.88336871432</v>
      </c>
      <c r="AG340" s="199">
        <f t="shared" si="339"/>
        <v>41853.630609708329</v>
      </c>
      <c r="AH340" s="199">
        <f t="shared" si="310"/>
        <v>45056.732959093089</v>
      </c>
      <c r="AI340" s="200">
        <f t="shared" si="377"/>
        <v>46374.756345842587</v>
      </c>
      <c r="AJ340" s="200">
        <f t="shared" si="378"/>
        <v>46374.756345842587</v>
      </c>
      <c r="AK340" s="200">
        <f t="shared" si="379"/>
        <v>46374.756345842587</v>
      </c>
      <c r="AL340" s="4"/>
      <c r="AM340" s="4"/>
      <c r="AN340" s="4"/>
      <c r="AO340" s="4"/>
      <c r="AP340" s="63"/>
      <c r="AQ340" s="18"/>
      <c r="AR340" s="18"/>
      <c r="AS340" s="66">
        <v>3285.6</v>
      </c>
      <c r="AT340" s="18"/>
      <c r="AU340" s="133">
        <f t="shared" si="313"/>
        <v>102.375</v>
      </c>
      <c r="AV340" s="133">
        <f t="shared" si="313"/>
        <v>2969.6280000000002</v>
      </c>
      <c r="AW340" s="63"/>
      <c r="AX340" s="63"/>
      <c r="AY340" s="63"/>
      <c r="AZ340" s="64"/>
      <c r="BA340" s="65">
        <v>2037.9549999999999</v>
      </c>
      <c r="BB340" s="5"/>
      <c r="BC340" s="65">
        <v>529.48077460711397</v>
      </c>
      <c r="BD340" s="65">
        <v>0</v>
      </c>
      <c r="BE340" s="65">
        <v>0</v>
      </c>
      <c r="BF340" s="65">
        <v>0</v>
      </c>
      <c r="BG340" s="65">
        <v>0</v>
      </c>
      <c r="BH340" s="65">
        <v>0</v>
      </c>
      <c r="BI340" s="65">
        <v>1343.2920566854839</v>
      </c>
      <c r="BJ340" s="65">
        <v>0</v>
      </c>
      <c r="BK340" s="65">
        <v>13.355863258351745</v>
      </c>
      <c r="BL340" s="65">
        <v>0</v>
      </c>
      <c r="BM340" s="65">
        <v>0</v>
      </c>
      <c r="BN340" s="65">
        <v>4.7559491100521356</v>
      </c>
      <c r="BO340" s="65">
        <v>205.33566960000002</v>
      </c>
      <c r="BP340" s="62"/>
      <c r="BQ340" s="65">
        <v>123.70104590107624</v>
      </c>
      <c r="BR340" s="65">
        <v>161.61949419850416</v>
      </c>
      <c r="BS340" s="65">
        <v>584.8139241879295</v>
      </c>
      <c r="BT340" s="65">
        <v>216.38587691768325</v>
      </c>
      <c r="BU340" s="65">
        <v>222.45595724025264</v>
      </c>
      <c r="BV340" s="144">
        <f t="shared" si="370"/>
        <v>913.94583434588162</v>
      </c>
      <c r="BW340" s="144">
        <f t="shared" si="371"/>
        <v>1968.0172190215067</v>
      </c>
      <c r="BX340" s="144">
        <f t="shared" si="372"/>
        <v>549.2611465009926</v>
      </c>
      <c r="BY340" s="5"/>
      <c r="BZ340" s="18"/>
      <c r="CA340" s="4"/>
      <c r="CB340" s="5"/>
      <c r="CC340" s="5"/>
      <c r="CD340" s="188">
        <v>2.2241810746462862</v>
      </c>
      <c r="CE340" s="5"/>
      <c r="CF340" s="64"/>
      <c r="CG340" s="70"/>
      <c r="CH340" s="70">
        <v>4800</v>
      </c>
      <c r="CI340" s="70"/>
      <c r="CJ340" s="63"/>
      <c r="CK340" s="8">
        <f t="shared" si="335"/>
        <v>20034.202992649476</v>
      </c>
      <c r="CL340" s="202">
        <f t="shared" si="315"/>
        <v>26340.553353193111</v>
      </c>
      <c r="CM340" s="202">
        <f t="shared" si="316"/>
        <v>26340.553353193111</v>
      </c>
      <c r="CN340" s="202">
        <f t="shared" si="317"/>
        <v>26340.553353193111</v>
      </c>
      <c r="CO340" s="9">
        <f t="shared" si="318"/>
        <v>28225.632315828381</v>
      </c>
      <c r="CP340" s="9">
        <f t="shared" si="319"/>
        <v>27575.680376064844</v>
      </c>
      <c r="CQ340" s="9">
        <f t="shared" si="320"/>
        <v>21819.427617058853</v>
      </c>
      <c r="CR340" s="202">
        <f t="shared" si="321"/>
        <v>26340.553353193111</v>
      </c>
      <c r="CS340" s="202">
        <f t="shared" si="322"/>
        <v>26340.553353193111</v>
      </c>
      <c r="CT340" s="202">
        <f t="shared" si="323"/>
        <v>26340.553353193111</v>
      </c>
      <c r="CU340" s="203">
        <f t="shared" si="324"/>
        <v>0.56799335303795062</v>
      </c>
      <c r="CV340" s="203">
        <f t="shared" si="325"/>
        <v>0.56799335303795062</v>
      </c>
      <c r="CW340" s="203">
        <f t="shared" si="326"/>
        <v>0.56799335303795062</v>
      </c>
      <c r="CX340" s="19">
        <f t="shared" si="327"/>
        <v>0.58486797842159133</v>
      </c>
      <c r="CY340" s="19">
        <f t="shared" si="328"/>
        <v>0.57920075465224796</v>
      </c>
      <c r="CZ340" s="19">
        <f t="shared" si="329"/>
        <v>0.52132699837986429</v>
      </c>
      <c r="DA340" s="203">
        <f t="shared" si="330"/>
        <v>0.56799335303795062</v>
      </c>
      <c r="DB340" s="203">
        <f t="shared" si="331"/>
        <v>0.56799335303795062</v>
      </c>
      <c r="DC340" s="203">
        <f t="shared" si="332"/>
        <v>0.56799335303795062</v>
      </c>
      <c r="DD340" s="65"/>
      <c r="DE340" s="66"/>
      <c r="DF340" s="66"/>
      <c r="DG340" s="66"/>
      <c r="DH340" s="66"/>
      <c r="DI340" s="66"/>
      <c r="DJ340" s="66"/>
      <c r="DK340" s="70"/>
      <c r="DL340" s="70"/>
      <c r="DM340" s="8">
        <f t="shared" si="333"/>
        <v>0</v>
      </c>
      <c r="DN340" s="8">
        <f t="shared" si="334"/>
        <v>20034.202992649476</v>
      </c>
      <c r="DO340" s="202">
        <f t="shared" si="340"/>
        <v>26340.553353193111</v>
      </c>
      <c r="DP340" s="202">
        <f t="shared" si="341"/>
        <v>26340.553353193111</v>
      </c>
      <c r="DQ340" s="202">
        <f t="shared" si="342"/>
        <v>26340.553353193111</v>
      </c>
      <c r="DR340" s="9">
        <f t="shared" si="343"/>
        <v>28225.632315828381</v>
      </c>
      <c r="DS340" s="9">
        <f t="shared" si="336"/>
        <v>27575.680376064844</v>
      </c>
      <c r="DT340" s="9">
        <f t="shared" si="344"/>
        <v>21819.427617058853</v>
      </c>
      <c r="DU340" s="202">
        <f t="shared" si="345"/>
        <v>26340.553353193111</v>
      </c>
      <c r="DV340" s="202">
        <f t="shared" si="346"/>
        <v>26340.553353193111</v>
      </c>
      <c r="DW340" s="202">
        <f t="shared" si="347"/>
        <v>26340.553353193111</v>
      </c>
      <c r="DX340" s="203">
        <f t="shared" si="348"/>
        <v>0.56799335303795062</v>
      </c>
      <c r="DY340" s="203">
        <f t="shared" si="349"/>
        <v>0.56799335303795062</v>
      </c>
      <c r="DZ340" s="203">
        <f t="shared" si="350"/>
        <v>0.56799335303795062</v>
      </c>
      <c r="EA340" s="19">
        <f t="shared" si="351"/>
        <v>0.58486797842159133</v>
      </c>
      <c r="EB340" s="19">
        <f t="shared" si="337"/>
        <v>0.57920075465224796</v>
      </c>
      <c r="EC340" s="19">
        <f t="shared" si="352"/>
        <v>0.52132699837986429</v>
      </c>
      <c r="ED340" s="203">
        <f t="shared" si="353"/>
        <v>0.56799335303795062</v>
      </c>
      <c r="EE340" s="203">
        <f t="shared" si="354"/>
        <v>0.56799335303795062</v>
      </c>
      <c r="EF340" s="203">
        <f t="shared" si="355"/>
        <v>0.56799335303795062</v>
      </c>
      <c r="EH340" s="58">
        <f t="shared" si="364"/>
        <v>19118.032977228948</v>
      </c>
      <c r="EI340" s="68">
        <f t="shared" si="365"/>
        <v>0.40155597167019946</v>
      </c>
      <c r="EJ340" s="58">
        <f t="shared" si="366"/>
        <v>19118.032977228948</v>
      </c>
      <c r="EK340" s="68">
        <f t="shared" si="365"/>
        <v>0.40155597167019946</v>
      </c>
      <c r="EL340" s="58">
        <f t="shared" si="367"/>
        <v>5373.2138307279538</v>
      </c>
      <c r="EM340" s="58">
        <f t="shared" si="368"/>
        <v>5922.474977228946</v>
      </c>
      <c r="EN340" s="68">
        <f t="shared" si="369"/>
        <v>0.12439591442311235</v>
      </c>
      <c r="EO340" s="139">
        <f t="shared" si="312"/>
        <v>0.31860645638858931</v>
      </c>
      <c r="EP340">
        <f>+(SUM(M340:O340)*EO340*(1-'[1]Tier 3 Data'!$A$2))</f>
        <v>1457.0930015819765</v>
      </c>
    </row>
    <row r="341" spans="1:146" x14ac:dyDescent="0.2">
      <c r="A341" s="43">
        <v>0</v>
      </c>
      <c r="B341" s="43">
        <v>0</v>
      </c>
      <c r="C341" s="43">
        <v>0</v>
      </c>
      <c r="D341" s="70">
        <v>2035</v>
      </c>
      <c r="E341" s="70">
        <v>10</v>
      </c>
      <c r="F341" s="2">
        <v>744</v>
      </c>
      <c r="G341" s="133">
        <f t="shared" ref="G341:G404" si="380">+H341</f>
        <v>41009.959762351784</v>
      </c>
      <c r="H341" s="65">
        <v>41009.959762351784</v>
      </c>
      <c r="I341" s="133">
        <f t="shared" ref="I341:I404" si="381">+H341</f>
        <v>41009.959762351784</v>
      </c>
      <c r="J341" s="133">
        <f t="shared" si="362"/>
        <v>5170.0891249999968</v>
      </c>
      <c r="K341" s="65">
        <v>5170.0891249999968</v>
      </c>
      <c r="L341" s="133">
        <f t="shared" si="363"/>
        <v>5170.0891249999968</v>
      </c>
      <c r="M341" s="65">
        <v>957.87478015852639</v>
      </c>
      <c r="N341" s="65">
        <v>2062.6102665784465</v>
      </c>
      <c r="O341" s="65">
        <v>576.64662652609854</v>
      </c>
      <c r="P341" s="200">
        <f t="shared" si="356"/>
        <v>34760.731135372866</v>
      </c>
      <c r="Q341" s="200">
        <f t="shared" si="357"/>
        <v>34760.731135372866</v>
      </c>
      <c r="R341" s="200">
        <f t="shared" si="358"/>
        <v>34760.731135372866</v>
      </c>
      <c r="S341" s="133">
        <f t="shared" ref="S341:S404" si="382">+$H341-J341-(30%*SUM($O341:$O341))</f>
        <v>35666.876649393955</v>
      </c>
      <c r="T341" s="133">
        <f t="shared" ref="T341:T404" si="383">+$H341-K341-(30%*SUM($O341:$O341))</f>
        <v>35666.876649393955</v>
      </c>
      <c r="U341" s="133">
        <f t="shared" ref="U341:U404" si="384">+$H341-L341-(30%*SUM($O341:$O341))</f>
        <v>35666.876649393955</v>
      </c>
      <c r="V341" s="200">
        <f t="shared" si="359"/>
        <v>34760.731135372866</v>
      </c>
      <c r="W341" s="200">
        <f t="shared" si="360"/>
        <v>34760.731135372866</v>
      </c>
      <c r="X341" s="200">
        <f t="shared" si="361"/>
        <v>34760.731135372866</v>
      </c>
      <c r="Y341" s="65">
        <v>15931.058697992394</v>
      </c>
      <c r="Z341" s="65">
        <v>16317.577687418487</v>
      </c>
      <c r="AA341" s="65">
        <v>9253.2216614324461</v>
      </c>
      <c r="AB341" s="200">
        <f t="shared" si="373"/>
        <v>51078.308822791354</v>
      </c>
      <c r="AC341" s="200">
        <f t="shared" si="374"/>
        <v>51078.308822791354</v>
      </c>
      <c r="AD341" s="200">
        <f t="shared" si="375"/>
        <v>51078.308822791354</v>
      </c>
      <c r="AE341" s="199">
        <f t="shared" si="338"/>
        <v>51597.935347386345</v>
      </c>
      <c r="AF341" s="199">
        <f t="shared" si="376"/>
        <v>51984.454336812443</v>
      </c>
      <c r="AG341" s="199">
        <f t="shared" si="339"/>
        <v>44920.098310826404</v>
      </c>
      <c r="AH341" s="199">
        <f t="shared" ref="AH341:AH404" si="385">+(MIN(AE341:AG341)+MAX(AE341:AG341))/2</f>
        <v>48452.276323819424</v>
      </c>
      <c r="AI341" s="200">
        <f t="shared" si="377"/>
        <v>51078.308822791354</v>
      </c>
      <c r="AJ341" s="200">
        <f t="shared" si="378"/>
        <v>51078.308822791354</v>
      </c>
      <c r="AK341" s="200">
        <f t="shared" si="379"/>
        <v>51078.308822791354</v>
      </c>
      <c r="AL341" s="4"/>
      <c r="AM341" s="4"/>
      <c r="AN341" s="4"/>
      <c r="AO341" s="4"/>
      <c r="AP341" s="63"/>
      <c r="AQ341" s="18"/>
      <c r="AR341" s="18"/>
      <c r="AS341" s="66">
        <v>3395.12</v>
      </c>
      <c r="AT341" s="62"/>
      <c r="AU341" s="133">
        <f t="shared" si="313"/>
        <v>118.17</v>
      </c>
      <c r="AV341" s="133">
        <f t="shared" si="313"/>
        <v>3225.1860000000001</v>
      </c>
      <c r="AW341" s="63"/>
      <c r="AX341" s="63"/>
      <c r="AY341" s="63"/>
      <c r="AZ341" s="64"/>
      <c r="BA341" s="65">
        <v>1760</v>
      </c>
      <c r="BB341" s="5"/>
      <c r="BC341" s="65">
        <v>387.84712854806463</v>
      </c>
      <c r="BD341" s="65">
        <v>0</v>
      </c>
      <c r="BE341" s="65">
        <v>0</v>
      </c>
      <c r="BF341" s="65">
        <v>0</v>
      </c>
      <c r="BG341" s="65">
        <v>0</v>
      </c>
      <c r="BH341" s="65">
        <v>0</v>
      </c>
      <c r="BI341" s="65">
        <v>983.96767545238163</v>
      </c>
      <c r="BJ341" s="65">
        <v>0</v>
      </c>
      <c r="BK341" s="65">
        <v>16.565610887239799</v>
      </c>
      <c r="BL341" s="65">
        <v>0</v>
      </c>
      <c r="BM341" s="65">
        <v>0</v>
      </c>
      <c r="BN341" s="65">
        <v>33.291643770364956</v>
      </c>
      <c r="BO341" s="65">
        <v>212.18019192</v>
      </c>
      <c r="BP341" s="62"/>
      <c r="BQ341" s="65">
        <v>97.600258962429365</v>
      </c>
      <c r="BR341" s="65">
        <v>127.51792296859628</v>
      </c>
      <c r="BS341" s="65">
        <v>461.4186990533546</v>
      </c>
      <c r="BT341" s="65">
        <v>152.31224519916128</v>
      </c>
      <c r="BU341" s="65">
        <v>151.86632598297328</v>
      </c>
      <c r="BV341" s="144">
        <f t="shared" si="370"/>
        <v>670.51234611096845</v>
      </c>
      <c r="BW341" s="144">
        <f t="shared" si="371"/>
        <v>1443.8271866049124</v>
      </c>
      <c r="BX341" s="144">
        <f t="shared" si="372"/>
        <v>403.65263856826897</v>
      </c>
      <c r="BY341" s="5"/>
      <c r="BZ341" s="18"/>
      <c r="CA341" s="4"/>
      <c r="CB341" s="5"/>
      <c r="CC341" s="5"/>
      <c r="CD341" s="188">
        <v>0</v>
      </c>
      <c r="CE341" s="5"/>
      <c r="CF341" s="64"/>
      <c r="CG341" s="70"/>
      <c r="CH341" s="70">
        <v>2848</v>
      </c>
      <c r="CI341" s="70"/>
      <c r="CJ341" s="63"/>
      <c r="CK341" s="8">
        <f t="shared" si="335"/>
        <v>16489.035874028719</v>
      </c>
      <c r="CL341" s="202">
        <f t="shared" si="315"/>
        <v>34589.272948762635</v>
      </c>
      <c r="CM341" s="202">
        <f t="shared" si="316"/>
        <v>34589.272948762635</v>
      </c>
      <c r="CN341" s="202">
        <f t="shared" si="317"/>
        <v>34589.272948762635</v>
      </c>
      <c r="CO341" s="9">
        <f t="shared" si="318"/>
        <v>35108.899473357626</v>
      </c>
      <c r="CP341" s="9">
        <f t="shared" si="319"/>
        <v>35495.418462783724</v>
      </c>
      <c r="CQ341" s="9">
        <f t="shared" si="320"/>
        <v>28431.062436797685</v>
      </c>
      <c r="CR341" s="202">
        <f t="shared" si="321"/>
        <v>34589.272948762635</v>
      </c>
      <c r="CS341" s="202">
        <f t="shared" si="322"/>
        <v>34589.272948762635</v>
      </c>
      <c r="CT341" s="202">
        <f t="shared" si="323"/>
        <v>34589.272948762635</v>
      </c>
      <c r="CU341" s="203">
        <f t="shared" si="324"/>
        <v>0.67718124867377671</v>
      </c>
      <c r="CV341" s="203">
        <f t="shared" si="325"/>
        <v>0.67718124867377671</v>
      </c>
      <c r="CW341" s="203">
        <f t="shared" si="326"/>
        <v>0.67718124867377671</v>
      </c>
      <c r="CX341" s="19">
        <f t="shared" si="327"/>
        <v>0.68043225444942224</v>
      </c>
      <c r="CY341" s="19">
        <f t="shared" si="328"/>
        <v>0.68280833021359388</v>
      </c>
      <c r="CZ341" s="19">
        <f t="shared" si="329"/>
        <v>0.63292520510680583</v>
      </c>
      <c r="DA341" s="203">
        <f t="shared" si="330"/>
        <v>0.67718124867377671</v>
      </c>
      <c r="DB341" s="203">
        <f t="shared" si="331"/>
        <v>0.67718124867377671</v>
      </c>
      <c r="DC341" s="203">
        <f t="shared" si="332"/>
        <v>0.67718124867377671</v>
      </c>
      <c r="DD341" s="65"/>
      <c r="DE341" s="66"/>
      <c r="DF341" s="66"/>
      <c r="DG341" s="66"/>
      <c r="DH341" s="66"/>
      <c r="DI341" s="66"/>
      <c r="DJ341" s="66"/>
      <c r="DK341" s="70"/>
      <c r="DL341" s="70"/>
      <c r="DM341" s="8">
        <f t="shared" si="333"/>
        <v>0</v>
      </c>
      <c r="DN341" s="8">
        <f t="shared" si="334"/>
        <v>16489.035874028719</v>
      </c>
      <c r="DO341" s="202">
        <f t="shared" si="340"/>
        <v>34589.272948762635</v>
      </c>
      <c r="DP341" s="202">
        <f t="shared" si="341"/>
        <v>34589.272948762635</v>
      </c>
      <c r="DQ341" s="202">
        <f t="shared" si="342"/>
        <v>34589.272948762635</v>
      </c>
      <c r="DR341" s="9">
        <f t="shared" si="343"/>
        <v>35108.899473357626</v>
      </c>
      <c r="DS341" s="9">
        <f t="shared" si="336"/>
        <v>35495.418462783724</v>
      </c>
      <c r="DT341" s="9">
        <f t="shared" si="344"/>
        <v>28431.062436797685</v>
      </c>
      <c r="DU341" s="202">
        <f t="shared" si="345"/>
        <v>34589.272948762635</v>
      </c>
      <c r="DV341" s="202">
        <f t="shared" si="346"/>
        <v>34589.272948762635</v>
      </c>
      <c r="DW341" s="202">
        <f t="shared" si="347"/>
        <v>34589.272948762635</v>
      </c>
      <c r="DX341" s="203">
        <f t="shared" si="348"/>
        <v>0.67718124867377671</v>
      </c>
      <c r="DY341" s="203">
        <f t="shared" si="349"/>
        <v>0.67718124867377671</v>
      </c>
      <c r="DZ341" s="203">
        <f t="shared" si="350"/>
        <v>0.67718124867377671</v>
      </c>
      <c r="EA341" s="19">
        <f t="shared" si="351"/>
        <v>0.68043225444942224</v>
      </c>
      <c r="EB341" s="19">
        <f t="shared" si="337"/>
        <v>0.68280833021359388</v>
      </c>
      <c r="EC341" s="19">
        <f t="shared" si="352"/>
        <v>0.63292520510680583</v>
      </c>
      <c r="ED341" s="203">
        <f t="shared" si="353"/>
        <v>0.67718124867377671</v>
      </c>
      <c r="EE341" s="203">
        <f t="shared" si="354"/>
        <v>0.67718124867377671</v>
      </c>
      <c r="EF341" s="203">
        <f t="shared" si="355"/>
        <v>0.67718124867377671</v>
      </c>
      <c r="EH341" s="58">
        <f t="shared" si="364"/>
        <v>15818.523527917749</v>
      </c>
      <c r="EI341" s="68">
        <f t="shared" si="365"/>
        <v>0.30429334557265836</v>
      </c>
      <c r="EJ341" s="58">
        <f t="shared" si="366"/>
        <v>15818.523527917749</v>
      </c>
      <c r="EK341" s="68">
        <f t="shared" si="365"/>
        <v>0.30429334557265836</v>
      </c>
      <c r="EL341" s="58">
        <f t="shared" si="367"/>
        <v>4068.394889349478</v>
      </c>
      <c r="EM341" s="58">
        <f t="shared" si="368"/>
        <v>4472.0475279177472</v>
      </c>
      <c r="EN341" s="68">
        <f t="shared" si="369"/>
        <v>8.6026632095489677E-2</v>
      </c>
      <c r="EO341" s="139">
        <f t="shared" si="312"/>
        <v>0.35739486552628164</v>
      </c>
      <c r="EP341">
        <f>+(SUM(M341:O341)*EO341*(1-'[1]Tier 3 Data'!$A$2))</f>
        <v>1199.4614324728896</v>
      </c>
    </row>
    <row r="342" spans="1:146" x14ac:dyDescent="0.2">
      <c r="A342" s="43">
        <v>0</v>
      </c>
      <c r="B342" s="43">
        <v>0</v>
      </c>
      <c r="C342" s="43">
        <v>0</v>
      </c>
      <c r="D342" s="70">
        <v>2035</v>
      </c>
      <c r="E342" s="70">
        <v>11</v>
      </c>
      <c r="F342" s="2">
        <v>721</v>
      </c>
      <c r="G342" s="133">
        <f t="shared" si="380"/>
        <v>43396.991346293355</v>
      </c>
      <c r="H342" s="65">
        <v>43396.991346293355</v>
      </c>
      <c r="I342" s="133">
        <f t="shared" si="381"/>
        <v>43396.991346293355</v>
      </c>
      <c r="J342" s="133">
        <f t="shared" si="362"/>
        <v>5209.8544374999965</v>
      </c>
      <c r="K342" s="65">
        <v>5209.8544374999965</v>
      </c>
      <c r="L342" s="133">
        <f t="shared" si="363"/>
        <v>5209.8544374999965</v>
      </c>
      <c r="M342" s="65">
        <v>391.15101618171565</v>
      </c>
      <c r="N342" s="65">
        <v>842.27303867993726</v>
      </c>
      <c r="O342" s="65">
        <v>235.98623810682309</v>
      </c>
      <c r="P342" s="200">
        <f t="shared" si="356"/>
        <v>37746.313820902811</v>
      </c>
      <c r="Q342" s="200">
        <f t="shared" si="357"/>
        <v>37746.313820902811</v>
      </c>
      <c r="R342" s="200">
        <f t="shared" si="358"/>
        <v>37746.313820902811</v>
      </c>
      <c r="S342" s="133">
        <f t="shared" si="382"/>
        <v>38116.341037361308</v>
      </c>
      <c r="T342" s="133">
        <f t="shared" si="383"/>
        <v>38116.341037361308</v>
      </c>
      <c r="U342" s="133">
        <f t="shared" si="384"/>
        <v>38116.341037361308</v>
      </c>
      <c r="V342" s="200">
        <f t="shared" si="359"/>
        <v>37746.313820902811</v>
      </c>
      <c r="W342" s="200">
        <f t="shared" si="360"/>
        <v>37746.313820902811</v>
      </c>
      <c r="X342" s="200">
        <f t="shared" si="361"/>
        <v>37746.313820902811</v>
      </c>
      <c r="Y342" s="65">
        <v>21885.206504461032</v>
      </c>
      <c r="Z342" s="65">
        <v>25209.288083308555</v>
      </c>
      <c r="AA342" s="65">
        <v>13445.801247704956</v>
      </c>
      <c r="AB342" s="200">
        <f t="shared" si="373"/>
        <v>62955.601904211362</v>
      </c>
      <c r="AC342" s="200">
        <f t="shared" si="374"/>
        <v>62955.601904211362</v>
      </c>
      <c r="AD342" s="200">
        <f t="shared" si="375"/>
        <v>62955.601904211362</v>
      </c>
      <c r="AE342" s="199">
        <f t="shared" si="338"/>
        <v>60001.547541822336</v>
      </c>
      <c r="AF342" s="199">
        <f t="shared" si="376"/>
        <v>63325.629120669866</v>
      </c>
      <c r="AG342" s="199">
        <f t="shared" si="339"/>
        <v>51562.142285066264</v>
      </c>
      <c r="AH342" s="199">
        <f t="shared" si="385"/>
        <v>57443.885702868065</v>
      </c>
      <c r="AI342" s="200">
        <f t="shared" si="377"/>
        <v>62955.601904211362</v>
      </c>
      <c r="AJ342" s="200">
        <f t="shared" si="378"/>
        <v>62955.601904211362</v>
      </c>
      <c r="AK342" s="200">
        <f t="shared" si="379"/>
        <v>62955.601904211362</v>
      </c>
      <c r="AL342" s="4"/>
      <c r="AM342" s="4"/>
      <c r="AN342" s="4"/>
      <c r="AO342" s="4"/>
      <c r="AP342" s="63"/>
      <c r="AQ342" s="18"/>
      <c r="AR342" s="18"/>
      <c r="AS342" s="62"/>
      <c r="AT342" s="10">
        <v>3285.6</v>
      </c>
      <c r="AU342" s="133">
        <f t="shared" si="313"/>
        <v>104.364</v>
      </c>
      <c r="AV342" s="133">
        <f t="shared" si="313"/>
        <v>3268.3739999999998</v>
      </c>
      <c r="AW342" s="63"/>
      <c r="AX342" s="63"/>
      <c r="AY342" s="63"/>
      <c r="AZ342" s="64"/>
      <c r="BA342" s="65">
        <v>2363</v>
      </c>
      <c r="BB342" s="5"/>
      <c r="BC342" s="65">
        <v>283.87477427119757</v>
      </c>
      <c r="BD342" s="65">
        <v>0</v>
      </c>
      <c r="BE342" s="65">
        <v>0</v>
      </c>
      <c r="BF342" s="65">
        <v>0</v>
      </c>
      <c r="BG342" s="65">
        <v>0</v>
      </c>
      <c r="BH342" s="65">
        <v>0</v>
      </c>
      <c r="BI342" s="65">
        <v>720.18994392164086</v>
      </c>
      <c r="BJ342" s="65">
        <v>0</v>
      </c>
      <c r="BK342" s="65">
        <v>19.844702933795372</v>
      </c>
      <c r="BL342" s="65">
        <v>0</v>
      </c>
      <c r="BM342" s="65">
        <v>0</v>
      </c>
      <c r="BN342" s="65">
        <v>61.827338430677763</v>
      </c>
      <c r="BO342" s="65">
        <v>205.33566960000002</v>
      </c>
      <c r="BP342" s="62"/>
      <c r="BQ342" s="65">
        <v>60.158875539696552</v>
      </c>
      <c r="BR342" s="65">
        <v>78.599532682514237</v>
      </c>
      <c r="BS342" s="65">
        <v>284.40938587751981</v>
      </c>
      <c r="BT342" s="65">
        <v>105.05621632145298</v>
      </c>
      <c r="BU342" s="65">
        <v>116.84105155264659</v>
      </c>
      <c r="BV342" s="144">
        <f t="shared" si="370"/>
        <v>273.80571132720092</v>
      </c>
      <c r="BW342" s="144">
        <f t="shared" si="371"/>
        <v>589.59112707595602</v>
      </c>
      <c r="BX342" s="144">
        <f t="shared" si="372"/>
        <v>165.19036667477616</v>
      </c>
      <c r="BY342" s="5"/>
      <c r="BZ342" s="18"/>
      <c r="CA342" s="4"/>
      <c r="CB342" s="5"/>
      <c r="CC342" s="5"/>
      <c r="CD342" s="188">
        <v>3.0642236760841479</v>
      </c>
      <c r="CE342" s="5"/>
      <c r="CF342" s="64"/>
      <c r="CG342" s="70"/>
      <c r="CH342" s="70">
        <v>4042</v>
      </c>
      <c r="CI342" s="70"/>
      <c r="CJ342" s="63"/>
      <c r="CK342" s="8">
        <f t="shared" si="335"/>
        <v>16031.126919885157</v>
      </c>
      <c r="CL342" s="202">
        <f t="shared" si="315"/>
        <v>46924.474984326203</v>
      </c>
      <c r="CM342" s="202">
        <f t="shared" si="316"/>
        <v>46924.474984326203</v>
      </c>
      <c r="CN342" s="202">
        <f t="shared" si="317"/>
        <v>46924.474984326203</v>
      </c>
      <c r="CO342" s="9">
        <f t="shared" si="318"/>
        <v>43970.420621937177</v>
      </c>
      <c r="CP342" s="9">
        <f t="shared" si="319"/>
        <v>47294.502200784707</v>
      </c>
      <c r="CQ342" s="9">
        <f t="shared" si="320"/>
        <v>35531.015365181105</v>
      </c>
      <c r="CR342" s="202">
        <f t="shared" si="321"/>
        <v>46924.474984326203</v>
      </c>
      <c r="CS342" s="202">
        <f t="shared" si="322"/>
        <v>46924.474984326203</v>
      </c>
      <c r="CT342" s="202">
        <f t="shared" si="323"/>
        <v>46924.474984326203</v>
      </c>
      <c r="CU342" s="203">
        <f t="shared" si="324"/>
        <v>0.74535821380475487</v>
      </c>
      <c r="CV342" s="203">
        <f t="shared" si="325"/>
        <v>0.74535821380475487</v>
      </c>
      <c r="CW342" s="203">
        <f t="shared" si="326"/>
        <v>0.74535821380475487</v>
      </c>
      <c r="CX342" s="19">
        <f t="shared" si="327"/>
        <v>0.73282144250177672</v>
      </c>
      <c r="CY342" s="19">
        <f t="shared" si="328"/>
        <v>0.74684614835271323</v>
      </c>
      <c r="CZ342" s="19">
        <f t="shared" si="329"/>
        <v>0.68909113916843234</v>
      </c>
      <c r="DA342" s="203">
        <f t="shared" si="330"/>
        <v>0.74535821380475487</v>
      </c>
      <c r="DB342" s="203">
        <f t="shared" si="331"/>
        <v>0.74535821380475487</v>
      </c>
      <c r="DC342" s="203">
        <f t="shared" si="332"/>
        <v>0.74535821380475487</v>
      </c>
      <c r="DD342" s="65"/>
      <c r="DE342" s="66"/>
      <c r="DF342" s="66"/>
      <c r="DG342" s="66"/>
      <c r="DH342" s="66"/>
      <c r="DI342" s="66"/>
      <c r="DJ342" s="66"/>
      <c r="DK342" s="70"/>
      <c r="DL342" s="70"/>
      <c r="DM342" s="8">
        <f t="shared" si="333"/>
        <v>0</v>
      </c>
      <c r="DN342" s="8">
        <f t="shared" si="334"/>
        <v>16031.126919885157</v>
      </c>
      <c r="DO342" s="202">
        <f t="shared" si="340"/>
        <v>46924.474984326203</v>
      </c>
      <c r="DP342" s="202">
        <f t="shared" si="341"/>
        <v>46924.474984326203</v>
      </c>
      <c r="DQ342" s="202">
        <f t="shared" si="342"/>
        <v>46924.474984326203</v>
      </c>
      <c r="DR342" s="9">
        <f t="shared" si="343"/>
        <v>43970.420621937177</v>
      </c>
      <c r="DS342" s="9">
        <f t="shared" si="336"/>
        <v>47294.502200784707</v>
      </c>
      <c r="DT342" s="9">
        <f t="shared" si="344"/>
        <v>35531.015365181105</v>
      </c>
      <c r="DU342" s="202">
        <f t="shared" si="345"/>
        <v>46924.474984326203</v>
      </c>
      <c r="DV342" s="202">
        <f t="shared" si="346"/>
        <v>46924.474984326203</v>
      </c>
      <c r="DW342" s="202">
        <f t="shared" si="347"/>
        <v>46924.474984326203</v>
      </c>
      <c r="DX342" s="203">
        <f t="shared" si="348"/>
        <v>0.74535821380475487</v>
      </c>
      <c r="DY342" s="203">
        <f t="shared" si="349"/>
        <v>0.74535821380475487</v>
      </c>
      <c r="DZ342" s="203">
        <f t="shared" si="350"/>
        <v>0.74535821380475487</v>
      </c>
      <c r="EA342" s="19">
        <f t="shared" si="351"/>
        <v>0.73282144250177672</v>
      </c>
      <c r="EB342" s="19">
        <f t="shared" si="337"/>
        <v>0.74684614835271323</v>
      </c>
      <c r="EC342" s="19">
        <f t="shared" si="352"/>
        <v>0.68909113916843234</v>
      </c>
      <c r="ED342" s="203">
        <f t="shared" si="353"/>
        <v>0.74535821380475487</v>
      </c>
      <c r="EE342" s="203">
        <f t="shared" si="354"/>
        <v>0.74535821380475487</v>
      </c>
      <c r="EF342" s="203">
        <f t="shared" si="355"/>
        <v>0.74535821380475487</v>
      </c>
      <c r="EH342" s="58">
        <f t="shared" si="364"/>
        <v>15754.256984881871</v>
      </c>
      <c r="EI342" s="68">
        <f t="shared" si="365"/>
        <v>0.24878168924088251</v>
      </c>
      <c r="EJ342" s="58">
        <f t="shared" si="366"/>
        <v>15754.256984881871</v>
      </c>
      <c r="EK342" s="68">
        <f t="shared" si="365"/>
        <v>0.24878168924088251</v>
      </c>
      <c r="EL342" s="58">
        <f t="shared" si="367"/>
        <v>2525.728618207098</v>
      </c>
      <c r="EM342" s="58">
        <f t="shared" si="368"/>
        <v>2690.9189848818742</v>
      </c>
      <c r="EN342" s="68">
        <f t="shared" si="369"/>
        <v>4.2493363623031771E-2</v>
      </c>
      <c r="EO342" s="139">
        <f t="shared" si="312"/>
        <v>0.4050825009776523</v>
      </c>
      <c r="EP342">
        <f>+(SUM(M342:O342)*EO342*(1-'[1]Tier 3 Data'!$A$2))</f>
        <v>555.35182587663076</v>
      </c>
    </row>
    <row r="343" spans="1:146" x14ac:dyDescent="0.2">
      <c r="A343" s="43">
        <v>0</v>
      </c>
      <c r="B343" s="43">
        <v>0</v>
      </c>
      <c r="C343" s="43">
        <v>0</v>
      </c>
      <c r="D343" s="70">
        <v>2035</v>
      </c>
      <c r="E343" s="70">
        <v>12</v>
      </c>
      <c r="F343" s="2">
        <v>744</v>
      </c>
      <c r="G343" s="133">
        <f t="shared" si="380"/>
        <v>49271.676260968481</v>
      </c>
      <c r="H343" s="65">
        <v>49271.676260968481</v>
      </c>
      <c r="I343" s="133">
        <f t="shared" si="381"/>
        <v>49271.676260968481</v>
      </c>
      <c r="J343" s="133">
        <f t="shared" si="362"/>
        <v>5249.6197499999962</v>
      </c>
      <c r="K343" s="65">
        <v>5249.6197499999962</v>
      </c>
      <c r="L343" s="133">
        <f t="shared" si="363"/>
        <v>5249.6197499999962</v>
      </c>
      <c r="M343" s="65">
        <v>248.30627982623952</v>
      </c>
      <c r="N343" s="65">
        <v>534.68270867382159</v>
      </c>
      <c r="O343" s="65">
        <v>150.01272790334266</v>
      </c>
      <c r="P343" s="200">
        <f t="shared" si="356"/>
        <v>43742.155996047462</v>
      </c>
      <c r="Q343" s="200">
        <f t="shared" si="357"/>
        <v>43742.155996047462</v>
      </c>
      <c r="R343" s="200">
        <f t="shared" si="358"/>
        <v>43742.155996047462</v>
      </c>
      <c r="S343" s="133">
        <f t="shared" si="382"/>
        <v>43977.052692597477</v>
      </c>
      <c r="T343" s="133">
        <f t="shared" si="383"/>
        <v>43977.052692597477</v>
      </c>
      <c r="U343" s="133">
        <f t="shared" si="384"/>
        <v>43977.052692597477</v>
      </c>
      <c r="V343" s="200">
        <f t="shared" si="359"/>
        <v>43742.155996047462</v>
      </c>
      <c r="W343" s="200">
        <f t="shared" si="360"/>
        <v>43742.155996047462</v>
      </c>
      <c r="X343" s="200">
        <f t="shared" si="361"/>
        <v>43742.155996047462</v>
      </c>
      <c r="Y343" s="65">
        <v>23890.782977776293</v>
      </c>
      <c r="Z343" s="65">
        <v>26916.098174271694</v>
      </c>
      <c r="AA343" s="65">
        <v>14580.420873087513</v>
      </c>
      <c r="AB343" s="200">
        <f t="shared" si="373"/>
        <v>70658.254170319153</v>
      </c>
      <c r="AC343" s="200">
        <f t="shared" si="374"/>
        <v>70658.254170319153</v>
      </c>
      <c r="AD343" s="200">
        <f t="shared" si="375"/>
        <v>70658.254170319153</v>
      </c>
      <c r="AE343" s="199">
        <f t="shared" si="338"/>
        <v>67867.835670373766</v>
      </c>
      <c r="AF343" s="199">
        <f t="shared" si="376"/>
        <v>70893.150866869168</v>
      </c>
      <c r="AG343" s="199">
        <f t="shared" si="339"/>
        <v>58557.473565684988</v>
      </c>
      <c r="AH343" s="199">
        <f t="shared" si="385"/>
        <v>64725.312216277074</v>
      </c>
      <c r="AI343" s="200">
        <f t="shared" si="377"/>
        <v>70658.254170319153</v>
      </c>
      <c r="AJ343" s="200">
        <f t="shared" si="378"/>
        <v>70658.254170319153</v>
      </c>
      <c r="AK343" s="200">
        <f t="shared" si="379"/>
        <v>70658.254170319153</v>
      </c>
      <c r="AL343" s="4"/>
      <c r="AM343" s="4"/>
      <c r="AN343" s="4"/>
      <c r="AO343" s="4"/>
      <c r="AP343" s="63"/>
      <c r="AQ343" s="18"/>
      <c r="AR343" s="18"/>
      <c r="AS343" s="62"/>
      <c r="AT343" s="10">
        <v>3395.12</v>
      </c>
      <c r="AU343" s="133">
        <f t="shared" si="313"/>
        <v>105.066</v>
      </c>
      <c r="AV343" s="133">
        <f t="shared" si="313"/>
        <v>3218.8470000000002</v>
      </c>
      <c r="AW343" s="63"/>
      <c r="AX343" s="63"/>
      <c r="AY343" s="63"/>
      <c r="AZ343" s="64"/>
      <c r="BA343" s="65">
        <v>2225.2240000000002</v>
      </c>
      <c r="BB343" s="5"/>
      <c r="BC343" s="65">
        <v>130.0991562018809</v>
      </c>
      <c r="BD343" s="65">
        <v>0</v>
      </c>
      <c r="BE343" s="65">
        <v>0</v>
      </c>
      <c r="BF343" s="65">
        <v>0</v>
      </c>
      <c r="BG343" s="65">
        <v>0</v>
      </c>
      <c r="BH343" s="65">
        <v>0</v>
      </c>
      <c r="BI343" s="65">
        <v>337.48755397736392</v>
      </c>
      <c r="BJ343" s="65">
        <v>0</v>
      </c>
      <c r="BK343" s="65">
        <v>20.28324216774827</v>
      </c>
      <c r="BL343" s="65">
        <v>0</v>
      </c>
      <c r="BM343" s="65">
        <v>0</v>
      </c>
      <c r="BN343" s="65">
        <v>38.047592880417085</v>
      </c>
      <c r="BO343" s="65">
        <v>212.18019192</v>
      </c>
      <c r="BP343" s="62"/>
      <c r="BQ343" s="65">
        <v>54.813335109874366</v>
      </c>
      <c r="BR343" s="65">
        <v>71.257305835074959</v>
      </c>
      <c r="BS343" s="65">
        <v>259.13750762497074</v>
      </c>
      <c r="BT343" s="65">
        <v>96.725424851838753</v>
      </c>
      <c r="BU343" s="65">
        <v>102.83101944199711</v>
      </c>
      <c r="BV343" s="144">
        <f t="shared" si="370"/>
        <v>173.81439587836766</v>
      </c>
      <c r="BW343" s="144">
        <f t="shared" si="371"/>
        <v>374.27789607167512</v>
      </c>
      <c r="BX343" s="144">
        <f t="shared" si="372"/>
        <v>105.00890953233986</v>
      </c>
      <c r="BY343" s="5"/>
      <c r="BZ343" s="18"/>
      <c r="CA343" s="4"/>
      <c r="CB343" s="5"/>
      <c r="CC343" s="5"/>
      <c r="CD343" s="188">
        <v>4.9023166732340453</v>
      </c>
      <c r="CE343" s="5"/>
      <c r="CF343" s="64"/>
      <c r="CG343" s="70"/>
      <c r="CH343" s="70">
        <v>7440</v>
      </c>
      <c r="CI343" s="70"/>
      <c r="CJ343" s="63"/>
      <c r="CK343" s="8">
        <f t="shared" si="335"/>
        <v>18365.122848166786</v>
      </c>
      <c r="CL343" s="202">
        <f t="shared" si="315"/>
        <v>52293.131322152367</v>
      </c>
      <c r="CM343" s="202">
        <f t="shared" si="316"/>
        <v>52293.131322152367</v>
      </c>
      <c r="CN343" s="202">
        <f t="shared" si="317"/>
        <v>52293.131322152367</v>
      </c>
      <c r="CO343" s="9">
        <f t="shared" si="318"/>
        <v>49502.71282220698</v>
      </c>
      <c r="CP343" s="9">
        <f t="shared" si="319"/>
        <v>52528.028018702382</v>
      </c>
      <c r="CQ343" s="9">
        <f t="shared" si="320"/>
        <v>40192.350717518202</v>
      </c>
      <c r="CR343" s="202">
        <f t="shared" si="321"/>
        <v>52293.131322152367</v>
      </c>
      <c r="CS343" s="202">
        <f t="shared" si="322"/>
        <v>52293.131322152367</v>
      </c>
      <c r="CT343" s="202">
        <f t="shared" si="323"/>
        <v>52293.131322152367</v>
      </c>
      <c r="CU343" s="203">
        <f t="shared" si="324"/>
        <v>0.74008524462126779</v>
      </c>
      <c r="CV343" s="203">
        <f t="shared" si="325"/>
        <v>0.74008524462126779</v>
      </c>
      <c r="CW343" s="203">
        <f t="shared" si="326"/>
        <v>0.74008524462126779</v>
      </c>
      <c r="CX343" s="19">
        <f t="shared" si="327"/>
        <v>0.72939872523172733</v>
      </c>
      <c r="CY343" s="19">
        <f t="shared" si="328"/>
        <v>0.7409464437170411</v>
      </c>
      <c r="CZ343" s="19">
        <f t="shared" si="329"/>
        <v>0.68637439886189267</v>
      </c>
      <c r="DA343" s="203">
        <f t="shared" si="330"/>
        <v>0.74008524462126779</v>
      </c>
      <c r="DB343" s="203">
        <f t="shared" si="331"/>
        <v>0.74008524462126779</v>
      </c>
      <c r="DC343" s="203">
        <f t="shared" si="332"/>
        <v>0.74008524462126779</v>
      </c>
      <c r="DD343" s="65"/>
      <c r="DE343" s="66"/>
      <c r="DF343" s="66"/>
      <c r="DG343" s="66"/>
      <c r="DH343" s="66"/>
      <c r="DI343" s="66"/>
      <c r="DJ343" s="66"/>
      <c r="DK343" s="70"/>
      <c r="DL343" s="70"/>
      <c r="DM343" s="8">
        <f t="shared" si="333"/>
        <v>0</v>
      </c>
      <c r="DN343" s="8">
        <f t="shared" si="334"/>
        <v>18365.122848166786</v>
      </c>
      <c r="DO343" s="202">
        <f t="shared" si="340"/>
        <v>52293.131322152367</v>
      </c>
      <c r="DP343" s="202">
        <f t="shared" si="341"/>
        <v>52293.131322152367</v>
      </c>
      <c r="DQ343" s="202">
        <f t="shared" si="342"/>
        <v>52293.131322152367</v>
      </c>
      <c r="DR343" s="9">
        <f t="shared" si="343"/>
        <v>49502.71282220698</v>
      </c>
      <c r="DS343" s="9">
        <f t="shared" si="336"/>
        <v>52528.028018702382</v>
      </c>
      <c r="DT343" s="9">
        <f t="shared" si="344"/>
        <v>40192.350717518202</v>
      </c>
      <c r="DU343" s="202">
        <f t="shared" si="345"/>
        <v>52293.131322152367</v>
      </c>
      <c r="DV343" s="202">
        <f t="shared" si="346"/>
        <v>52293.131322152367</v>
      </c>
      <c r="DW343" s="202">
        <f t="shared" si="347"/>
        <v>52293.131322152367</v>
      </c>
      <c r="DX343" s="203">
        <f t="shared" si="348"/>
        <v>0.74008524462126779</v>
      </c>
      <c r="DY343" s="203">
        <f t="shared" si="349"/>
        <v>0.74008524462126779</v>
      </c>
      <c r="DZ343" s="203">
        <f t="shared" si="350"/>
        <v>0.74008524462126779</v>
      </c>
      <c r="EA343" s="19">
        <f t="shared" si="351"/>
        <v>0.72939872523172733</v>
      </c>
      <c r="EB343" s="19">
        <f t="shared" si="337"/>
        <v>0.7409464437170411</v>
      </c>
      <c r="EC343" s="19">
        <f t="shared" si="352"/>
        <v>0.68637439886189267</v>
      </c>
      <c r="ED343" s="203">
        <f t="shared" si="353"/>
        <v>0.74008524462126779</v>
      </c>
      <c r="EE343" s="203">
        <f t="shared" si="354"/>
        <v>0.74008524462126779</v>
      </c>
      <c r="EF343" s="203">
        <f t="shared" si="355"/>
        <v>0.74008524462126779</v>
      </c>
      <c r="EH343" s="58">
        <f t="shared" si="364"/>
        <v>18186.406135615183</v>
      </c>
      <c r="EI343" s="68">
        <f t="shared" si="365"/>
        <v>0.2565326256942308</v>
      </c>
      <c r="EJ343" s="58">
        <f t="shared" si="366"/>
        <v>18186.406135615183</v>
      </c>
      <c r="EK343" s="68">
        <f t="shared" si="365"/>
        <v>0.2565326256942308</v>
      </c>
      <c r="EL343" s="58">
        <f t="shared" si="367"/>
        <v>1697.1402260828413</v>
      </c>
      <c r="EM343" s="58">
        <f t="shared" si="368"/>
        <v>1802.1491356151812</v>
      </c>
      <c r="EN343" s="68">
        <f t="shared" si="369"/>
        <v>2.5420638151624153E-2</v>
      </c>
      <c r="EO343" s="139">
        <f t="shared" si="312"/>
        <v>0.32946562535829382</v>
      </c>
      <c r="EP343">
        <f>+(SUM(M343:O343)*EO343*(1-'[1]Tier 3 Data'!$A$2))</f>
        <v>286.79673036020995</v>
      </c>
    </row>
    <row r="344" spans="1:146" x14ac:dyDescent="0.2">
      <c r="A344" s="43">
        <v>0</v>
      </c>
      <c r="B344" s="43">
        <v>0</v>
      </c>
      <c r="C344" s="43">
        <v>0</v>
      </c>
      <c r="D344" s="70">
        <v>2036</v>
      </c>
      <c r="E344" s="70">
        <v>1</v>
      </c>
      <c r="F344" s="2">
        <v>744</v>
      </c>
      <c r="G344" s="133">
        <f t="shared" si="380"/>
        <v>50973.688747769083</v>
      </c>
      <c r="H344" s="65">
        <v>50973.688747769083</v>
      </c>
      <c r="I344" s="133">
        <f t="shared" si="381"/>
        <v>50973.688747769083</v>
      </c>
      <c r="J344" s="133">
        <f t="shared" si="362"/>
        <v>5289.0538124999966</v>
      </c>
      <c r="K344" s="65">
        <v>5289.0538124999966</v>
      </c>
      <c r="L344" s="133">
        <f t="shared" si="363"/>
        <v>5289.0538124999966</v>
      </c>
      <c r="M344" s="65">
        <v>350.79787520860157</v>
      </c>
      <c r="N344" s="65">
        <v>755.37984075477868</v>
      </c>
      <c r="O344" s="65">
        <v>212.05300926766608</v>
      </c>
      <c r="P344" s="200">
        <f t="shared" si="356"/>
        <v>45289.165717699776</v>
      </c>
      <c r="Q344" s="200">
        <f t="shared" si="357"/>
        <v>45289.165717699776</v>
      </c>
      <c r="R344" s="200">
        <f t="shared" si="358"/>
        <v>45289.165717699776</v>
      </c>
      <c r="S344" s="133">
        <f t="shared" si="382"/>
        <v>45621.019032488788</v>
      </c>
      <c r="T344" s="133">
        <f t="shared" si="383"/>
        <v>45621.019032488788</v>
      </c>
      <c r="U344" s="133">
        <f t="shared" si="384"/>
        <v>45621.019032488788</v>
      </c>
      <c r="V344" s="200">
        <f t="shared" si="359"/>
        <v>45289.165717699776</v>
      </c>
      <c r="W344" s="200">
        <f t="shared" si="360"/>
        <v>45289.165717699776</v>
      </c>
      <c r="X344" s="200">
        <f t="shared" si="361"/>
        <v>45289.165717699776</v>
      </c>
      <c r="Y344" s="65">
        <v>24903.298349579192</v>
      </c>
      <c r="Z344" s="65">
        <v>28734.140264334445</v>
      </c>
      <c r="AA344" s="65">
        <v>15440.160197975027</v>
      </c>
      <c r="AB344" s="200">
        <f t="shared" si="373"/>
        <v>74023.305982034217</v>
      </c>
      <c r="AC344" s="200">
        <f t="shared" si="374"/>
        <v>74023.305982034217</v>
      </c>
      <c r="AD344" s="200">
        <f t="shared" si="375"/>
        <v>74023.305982034217</v>
      </c>
      <c r="AE344" s="199">
        <f t="shared" si="338"/>
        <v>70524.31738206798</v>
      </c>
      <c r="AF344" s="199">
        <f t="shared" si="376"/>
        <v>74355.159296823229</v>
      </c>
      <c r="AG344" s="199">
        <f t="shared" si="339"/>
        <v>61061.179230463815</v>
      </c>
      <c r="AH344" s="199">
        <f t="shared" si="385"/>
        <v>67708.169263643518</v>
      </c>
      <c r="AI344" s="200">
        <f t="shared" si="377"/>
        <v>74023.305982034217</v>
      </c>
      <c r="AJ344" s="200">
        <f t="shared" si="378"/>
        <v>74023.305982034217</v>
      </c>
      <c r="AK344" s="200">
        <f t="shared" si="379"/>
        <v>74023.305982034217</v>
      </c>
      <c r="AL344" s="4"/>
      <c r="AM344" s="4"/>
      <c r="AN344" s="4"/>
      <c r="AO344" s="4"/>
      <c r="AP344" s="63"/>
      <c r="AQ344" s="18"/>
      <c r="AR344" s="18"/>
      <c r="AS344" s="62"/>
      <c r="AT344" s="10">
        <v>3395.12</v>
      </c>
      <c r="AU344" s="133">
        <f t="shared" si="313"/>
        <v>98.513999999999996</v>
      </c>
      <c r="AV344" s="133">
        <f t="shared" si="313"/>
        <v>3278.6750000000002</v>
      </c>
      <c r="AW344" s="63"/>
      <c r="AX344" s="63"/>
      <c r="AY344" s="63"/>
      <c r="AZ344" s="64"/>
      <c r="BA344" s="65">
        <f>+BA331</f>
        <v>2225.2240000000002</v>
      </c>
      <c r="BB344" s="5"/>
      <c r="BC344" s="65">
        <v>183.40064947172468</v>
      </c>
      <c r="BD344" s="65">
        <v>0</v>
      </c>
      <c r="BE344" s="65">
        <v>0</v>
      </c>
      <c r="BF344" s="65">
        <v>0</v>
      </c>
      <c r="BG344" s="65">
        <v>0</v>
      </c>
      <c r="BH344" s="65">
        <v>0</v>
      </c>
      <c r="BI344" s="65">
        <v>476.06991176380893</v>
      </c>
      <c r="BJ344" s="65">
        <v>0</v>
      </c>
      <c r="BK344" s="65">
        <v>22.517673403701547</v>
      </c>
      <c r="BL344" s="65">
        <v>0</v>
      </c>
      <c r="BM344" s="65">
        <v>0</v>
      </c>
      <c r="BN344" s="65">
        <v>33.291643770364956</v>
      </c>
      <c r="BO344" s="65">
        <v>212.18019192</v>
      </c>
      <c r="BP344" s="62"/>
      <c r="BQ344" s="65">
        <v>77.560355067454338</v>
      </c>
      <c r="BR344" s="65">
        <v>101.33517554794047</v>
      </c>
      <c r="BS344" s="65">
        <v>366.67743562262575</v>
      </c>
      <c r="BT344" s="65">
        <v>125.35869684876012</v>
      </c>
      <c r="BU344" s="65">
        <v>143.28107990940694</v>
      </c>
      <c r="BV344" s="144">
        <f t="shared" si="370"/>
        <v>245.55851264602109</v>
      </c>
      <c r="BW344" s="144">
        <f t="shared" si="371"/>
        <v>528.76588852834504</v>
      </c>
      <c r="BX344" s="144">
        <f t="shared" si="372"/>
        <v>148.43710648736624</v>
      </c>
      <c r="BY344" s="5"/>
      <c r="BZ344" s="18"/>
      <c r="CA344" s="4"/>
      <c r="CB344" s="5"/>
      <c r="CC344" s="5"/>
      <c r="CD344" s="188">
        <v>2.5304839482857915</v>
      </c>
      <c r="CE344" s="5"/>
      <c r="CF344" s="64"/>
      <c r="CG344" s="70"/>
      <c r="CH344" s="70"/>
      <c r="CI344" s="70"/>
      <c r="CJ344" s="63"/>
      <c r="CK344" s="8">
        <f t="shared" si="335"/>
        <v>11664.497804935805</v>
      </c>
      <c r="CL344" s="202">
        <f t="shared" si="315"/>
        <v>62358.808177098414</v>
      </c>
      <c r="CM344" s="202">
        <f t="shared" si="316"/>
        <v>62358.808177098414</v>
      </c>
      <c r="CN344" s="202">
        <f t="shared" si="317"/>
        <v>62358.808177098414</v>
      </c>
      <c r="CO344" s="9">
        <f t="shared" si="318"/>
        <v>58859.819577132177</v>
      </c>
      <c r="CP344" s="9">
        <f t="shared" si="319"/>
        <v>62690.661491887426</v>
      </c>
      <c r="CQ344" s="9">
        <f t="shared" si="320"/>
        <v>49396.681425528011</v>
      </c>
      <c r="CR344" s="202">
        <f t="shared" si="321"/>
        <v>62358.808177098414</v>
      </c>
      <c r="CS344" s="202">
        <f t="shared" si="322"/>
        <v>62358.808177098414</v>
      </c>
      <c r="CT344" s="202">
        <f t="shared" si="323"/>
        <v>62358.808177098414</v>
      </c>
      <c r="CU344" s="203">
        <f t="shared" si="324"/>
        <v>0.84242128002541761</v>
      </c>
      <c r="CV344" s="203">
        <f t="shared" si="325"/>
        <v>0.84242128002541761</v>
      </c>
      <c r="CW344" s="203">
        <f t="shared" si="326"/>
        <v>0.84242128002541761</v>
      </c>
      <c r="CX344" s="19">
        <f t="shared" si="327"/>
        <v>0.83460318032228553</v>
      </c>
      <c r="CY344" s="19">
        <f t="shared" si="328"/>
        <v>0.84312456707447114</v>
      </c>
      <c r="CZ344" s="19">
        <f t="shared" si="329"/>
        <v>0.80897031547801634</v>
      </c>
      <c r="DA344" s="203">
        <f t="shared" si="330"/>
        <v>0.84242128002541761</v>
      </c>
      <c r="DB344" s="203">
        <f t="shared" si="331"/>
        <v>0.84242128002541761</v>
      </c>
      <c r="DC344" s="203">
        <f t="shared" si="332"/>
        <v>0.84242128002541761</v>
      </c>
      <c r="DD344" s="65"/>
      <c r="DE344" s="66"/>
      <c r="DF344" s="66"/>
      <c r="DG344" s="66"/>
      <c r="DH344" s="66"/>
      <c r="DI344" s="66"/>
      <c r="DJ344" s="66"/>
      <c r="DK344" s="70"/>
      <c r="DL344" s="70"/>
      <c r="DM344" s="8">
        <f t="shared" si="333"/>
        <v>0</v>
      </c>
      <c r="DN344" s="8">
        <f t="shared" si="334"/>
        <v>11664.497804935805</v>
      </c>
      <c r="DO344" s="202">
        <f t="shared" si="340"/>
        <v>62358.808177098414</v>
      </c>
      <c r="DP344" s="202">
        <f t="shared" si="341"/>
        <v>62358.808177098414</v>
      </c>
      <c r="DQ344" s="202">
        <f t="shared" si="342"/>
        <v>62358.808177098414</v>
      </c>
      <c r="DR344" s="9">
        <f t="shared" si="343"/>
        <v>58859.819577132177</v>
      </c>
      <c r="DS344" s="9">
        <f t="shared" si="336"/>
        <v>62690.661491887426</v>
      </c>
      <c r="DT344" s="9">
        <f t="shared" si="344"/>
        <v>49396.681425528011</v>
      </c>
      <c r="DU344" s="202">
        <f t="shared" si="345"/>
        <v>62358.808177098414</v>
      </c>
      <c r="DV344" s="202">
        <f t="shared" si="346"/>
        <v>62358.808177098414</v>
      </c>
      <c r="DW344" s="202">
        <f t="shared" si="347"/>
        <v>62358.808177098414</v>
      </c>
      <c r="DX344" s="203">
        <f t="shared" si="348"/>
        <v>0.84242128002541761</v>
      </c>
      <c r="DY344" s="203">
        <f t="shared" si="349"/>
        <v>0.84242128002541761</v>
      </c>
      <c r="DZ344" s="203">
        <f t="shared" si="350"/>
        <v>0.84242128002541761</v>
      </c>
      <c r="EA344" s="19">
        <f t="shared" si="351"/>
        <v>0.83460318032228553</v>
      </c>
      <c r="EB344" s="19">
        <f t="shared" si="337"/>
        <v>0.84312456707447114</v>
      </c>
      <c r="EC344" s="19">
        <f t="shared" si="352"/>
        <v>0.80897031547801634</v>
      </c>
      <c r="ED344" s="203">
        <f t="shared" si="353"/>
        <v>0.84242128002541761</v>
      </c>
      <c r="EE344" s="203">
        <f t="shared" si="354"/>
        <v>0.84242128002541761</v>
      </c>
      <c r="EF344" s="203">
        <f t="shared" si="355"/>
        <v>0.84242128002541761</v>
      </c>
      <c r="EH344" s="58">
        <f t="shared" si="364"/>
        <v>11416.408808341499</v>
      </c>
      <c r="EI344" s="68">
        <f t="shared" si="365"/>
        <v>0.15353889247641295</v>
      </c>
      <c r="EJ344" s="58">
        <f t="shared" si="366"/>
        <v>11416.408808341499</v>
      </c>
      <c r="EK344" s="68">
        <f t="shared" si="365"/>
        <v>0.15353889247641295</v>
      </c>
      <c r="EL344" s="58">
        <f t="shared" si="367"/>
        <v>2270.4387018541329</v>
      </c>
      <c r="EM344" s="58">
        <f t="shared" si="368"/>
        <v>2418.8758083414991</v>
      </c>
      <c r="EN344" s="68">
        <f t="shared" si="369"/>
        <v>3.2531378201819602E-2</v>
      </c>
      <c r="EO344" s="139">
        <f t="shared" si="312"/>
        <v>0.32527353469126524</v>
      </c>
      <c r="EP344">
        <f>+(SUM(M344:O344)*EO344*(1-'[1]Tier 3 Data'!$A$2))</f>
        <v>400.05693450971887</v>
      </c>
    </row>
    <row r="345" spans="1:146" x14ac:dyDescent="0.2">
      <c r="A345" s="43">
        <v>0</v>
      </c>
      <c r="B345" s="43">
        <v>0</v>
      </c>
      <c r="C345" s="43">
        <v>0</v>
      </c>
      <c r="D345" s="70">
        <v>2036</v>
      </c>
      <c r="E345" s="70">
        <v>2</v>
      </c>
      <c r="F345" s="2">
        <f>29*24</f>
        <v>696</v>
      </c>
      <c r="G345" s="133">
        <f t="shared" si="380"/>
        <v>46091.5670215477</v>
      </c>
      <c r="H345" s="65">
        <v>46091.5670215477</v>
      </c>
      <c r="I345" s="133">
        <f t="shared" si="381"/>
        <v>46091.5670215477</v>
      </c>
      <c r="J345" s="133">
        <f t="shared" si="362"/>
        <v>5328.4878749999971</v>
      </c>
      <c r="K345" s="65">
        <v>5328.4878749999971</v>
      </c>
      <c r="L345" s="133">
        <f t="shared" si="363"/>
        <v>5328.4878749999971</v>
      </c>
      <c r="M345" s="65">
        <v>785.20357244912623</v>
      </c>
      <c r="N345" s="65">
        <v>1690.7940196730158</v>
      </c>
      <c r="O345" s="65">
        <v>474.77758173149681</v>
      </c>
      <c r="P345" s="200">
        <f t="shared" si="356"/>
        <v>39877.846594391609</v>
      </c>
      <c r="Q345" s="200">
        <f t="shared" si="357"/>
        <v>39877.846594391609</v>
      </c>
      <c r="R345" s="200">
        <f t="shared" si="358"/>
        <v>39877.846594391609</v>
      </c>
      <c r="S345" s="133">
        <f t="shared" si="382"/>
        <v>40620.645872028254</v>
      </c>
      <c r="T345" s="133">
        <f t="shared" si="383"/>
        <v>40620.645872028254</v>
      </c>
      <c r="U345" s="133">
        <f t="shared" si="384"/>
        <v>40620.645872028254</v>
      </c>
      <c r="V345" s="200">
        <f t="shared" si="359"/>
        <v>39877.846594391609</v>
      </c>
      <c r="W345" s="200">
        <f t="shared" si="360"/>
        <v>39877.846594391609</v>
      </c>
      <c r="X345" s="200">
        <f t="shared" si="361"/>
        <v>39877.846594391609</v>
      </c>
      <c r="Y345" s="65">
        <v>23314.859735836159</v>
      </c>
      <c r="Z345" s="65">
        <v>25853.800560760104</v>
      </c>
      <c r="AA345" s="65">
        <v>14246.441566924423</v>
      </c>
      <c r="AB345" s="200">
        <f t="shared" si="373"/>
        <v>65731.647155151717</v>
      </c>
      <c r="AC345" s="200">
        <f t="shared" si="374"/>
        <v>65731.647155151717</v>
      </c>
      <c r="AD345" s="200">
        <f t="shared" si="375"/>
        <v>65731.647155151717</v>
      </c>
      <c r="AE345" s="199">
        <f t="shared" si="338"/>
        <v>63935.505607864412</v>
      </c>
      <c r="AF345" s="199">
        <f t="shared" si="376"/>
        <v>66474.446432788362</v>
      </c>
      <c r="AG345" s="199">
        <f t="shared" si="339"/>
        <v>54867.087438952673</v>
      </c>
      <c r="AH345" s="199">
        <f t="shared" si="385"/>
        <v>60670.766935870517</v>
      </c>
      <c r="AI345" s="200">
        <f t="shared" si="377"/>
        <v>65731.647155151717</v>
      </c>
      <c r="AJ345" s="200">
        <f t="shared" si="378"/>
        <v>65731.647155151717</v>
      </c>
      <c r="AK345" s="200">
        <f t="shared" si="379"/>
        <v>65731.647155151717</v>
      </c>
      <c r="AL345" s="4"/>
      <c r="AM345" s="4"/>
      <c r="AN345" s="4"/>
      <c r="AO345" s="4"/>
      <c r="AP345" s="63"/>
      <c r="AQ345" s="18"/>
      <c r="AR345" s="18"/>
      <c r="AS345" s="62"/>
      <c r="AT345" s="10">
        <v>3176.08</v>
      </c>
      <c r="AU345" s="133">
        <f t="shared" si="313"/>
        <v>92.897999999999996</v>
      </c>
      <c r="AV345" s="133">
        <f t="shared" si="313"/>
        <v>3057.587</v>
      </c>
      <c r="AW345" s="63"/>
      <c r="AX345" s="63"/>
      <c r="AY345" s="63"/>
      <c r="AZ345" s="64"/>
      <c r="BA345" s="65">
        <f t="shared" ref="BA345:BA367" si="386">+BA332</f>
        <v>1660.8</v>
      </c>
      <c r="BB345" s="5"/>
      <c r="BC345" s="65">
        <v>228.57778898379473</v>
      </c>
      <c r="BD345" s="65">
        <v>0</v>
      </c>
      <c r="BE345" s="65">
        <v>0</v>
      </c>
      <c r="BF345" s="65">
        <v>0</v>
      </c>
      <c r="BG345" s="65">
        <v>0</v>
      </c>
      <c r="BH345" s="65">
        <v>0</v>
      </c>
      <c r="BI345" s="65">
        <v>593.34036245852303</v>
      </c>
      <c r="BJ345" s="65">
        <v>0</v>
      </c>
      <c r="BK345" s="65">
        <v>19.256201566846642</v>
      </c>
      <c r="BL345" s="65">
        <v>0</v>
      </c>
      <c r="BM345" s="65">
        <v>0</v>
      </c>
      <c r="BN345" s="65">
        <v>19.023796440208542</v>
      </c>
      <c r="BO345" s="65">
        <v>191.64662496000003</v>
      </c>
      <c r="BP345" s="62"/>
      <c r="BQ345" s="65">
        <v>96.492106555468496</v>
      </c>
      <c r="BR345" s="65">
        <v>126.07007116575532</v>
      </c>
      <c r="BS345" s="65">
        <v>456.17970309867917</v>
      </c>
      <c r="BT345" s="65">
        <v>160.78877946167333</v>
      </c>
      <c r="BU345" s="65">
        <v>173.45764951250644</v>
      </c>
      <c r="BV345" s="144">
        <f t="shared" si="370"/>
        <v>549.64250071438835</v>
      </c>
      <c r="BW345" s="144">
        <f t="shared" si="371"/>
        <v>1183.5558137711109</v>
      </c>
      <c r="BX345" s="144">
        <f t="shared" si="372"/>
        <v>332.34430721204774</v>
      </c>
      <c r="BY345" s="5"/>
      <c r="BZ345" s="18"/>
      <c r="CA345" s="4"/>
      <c r="CB345" s="5"/>
      <c r="CC345" s="5"/>
      <c r="CD345" s="188">
        <v>3.1195892150124847</v>
      </c>
      <c r="CE345" s="5"/>
      <c r="CF345" s="64"/>
      <c r="CG345" s="70"/>
      <c r="CH345" s="70"/>
      <c r="CI345" s="70"/>
      <c r="CJ345" s="63"/>
      <c r="CK345" s="8">
        <f t="shared" si="335"/>
        <v>12120.860295116012</v>
      </c>
      <c r="CL345" s="202">
        <f t="shared" si="315"/>
        <v>53610.786860035703</v>
      </c>
      <c r="CM345" s="202">
        <f t="shared" si="316"/>
        <v>53610.786860035703</v>
      </c>
      <c r="CN345" s="202">
        <f t="shared" si="317"/>
        <v>53610.786860035703</v>
      </c>
      <c r="CO345" s="9">
        <f t="shared" si="318"/>
        <v>51814.645312748398</v>
      </c>
      <c r="CP345" s="9">
        <f t="shared" si="319"/>
        <v>54353.586137672348</v>
      </c>
      <c r="CQ345" s="9">
        <f t="shared" si="320"/>
        <v>42746.227143836659</v>
      </c>
      <c r="CR345" s="202">
        <f t="shared" si="321"/>
        <v>53610.786860035703</v>
      </c>
      <c r="CS345" s="202">
        <f t="shared" si="322"/>
        <v>53610.786860035703</v>
      </c>
      <c r="CT345" s="202">
        <f t="shared" si="323"/>
        <v>53610.786860035703</v>
      </c>
      <c r="CU345" s="203">
        <f t="shared" si="324"/>
        <v>0.81560084343381556</v>
      </c>
      <c r="CV345" s="203">
        <f t="shared" si="325"/>
        <v>0.81560084343381556</v>
      </c>
      <c r="CW345" s="203">
        <f t="shared" si="326"/>
        <v>0.81560084343381556</v>
      </c>
      <c r="CX345" s="19">
        <f t="shared" si="327"/>
        <v>0.81042051392450265</v>
      </c>
      <c r="CY345" s="19">
        <f t="shared" si="328"/>
        <v>0.81766135792689465</v>
      </c>
      <c r="CZ345" s="19">
        <f t="shared" si="329"/>
        <v>0.77908686498800994</v>
      </c>
      <c r="DA345" s="203">
        <f t="shared" si="330"/>
        <v>0.81560084343381556</v>
      </c>
      <c r="DB345" s="203">
        <f t="shared" si="331"/>
        <v>0.81560084343381556</v>
      </c>
      <c r="DC345" s="203">
        <f t="shared" si="332"/>
        <v>0.81560084343381556</v>
      </c>
      <c r="DD345" s="65"/>
      <c r="DE345" s="66"/>
      <c r="DF345" s="66"/>
      <c r="DG345" s="66"/>
      <c r="DH345" s="66"/>
      <c r="DI345" s="66"/>
      <c r="DJ345" s="66"/>
      <c r="DK345" s="70"/>
      <c r="DL345" s="70"/>
      <c r="DM345" s="8">
        <f t="shared" si="333"/>
        <v>0</v>
      </c>
      <c r="DN345" s="8">
        <f t="shared" si="334"/>
        <v>12120.860295116012</v>
      </c>
      <c r="DO345" s="202">
        <f t="shared" si="340"/>
        <v>53610.786860035703</v>
      </c>
      <c r="DP345" s="202">
        <f t="shared" si="341"/>
        <v>53610.786860035703</v>
      </c>
      <c r="DQ345" s="202">
        <f t="shared" si="342"/>
        <v>53610.786860035703</v>
      </c>
      <c r="DR345" s="9">
        <f t="shared" si="343"/>
        <v>51814.645312748398</v>
      </c>
      <c r="DS345" s="9">
        <f t="shared" si="336"/>
        <v>54353.586137672348</v>
      </c>
      <c r="DT345" s="9">
        <f t="shared" si="344"/>
        <v>42746.227143836659</v>
      </c>
      <c r="DU345" s="202">
        <f t="shared" si="345"/>
        <v>53610.786860035703</v>
      </c>
      <c r="DV345" s="202">
        <f t="shared" si="346"/>
        <v>53610.786860035703</v>
      </c>
      <c r="DW345" s="202">
        <f t="shared" si="347"/>
        <v>53610.786860035703</v>
      </c>
      <c r="DX345" s="203">
        <f t="shared" si="348"/>
        <v>0.81560084343381556</v>
      </c>
      <c r="DY345" s="203">
        <f t="shared" si="349"/>
        <v>0.81560084343381556</v>
      </c>
      <c r="DZ345" s="203">
        <f t="shared" si="350"/>
        <v>0.81560084343381556</v>
      </c>
      <c r="EA345" s="19">
        <f t="shared" si="351"/>
        <v>0.81042051392450265</v>
      </c>
      <c r="EB345" s="19">
        <f t="shared" si="337"/>
        <v>0.81766135792689465</v>
      </c>
      <c r="EC345" s="19">
        <f t="shared" si="352"/>
        <v>0.77908686498800994</v>
      </c>
      <c r="ED345" s="203">
        <f t="shared" si="353"/>
        <v>0.81560084343381556</v>
      </c>
      <c r="EE345" s="203">
        <f t="shared" si="354"/>
        <v>0.81560084343381556</v>
      </c>
      <c r="EF345" s="203">
        <f t="shared" si="355"/>
        <v>0.81560084343381556</v>
      </c>
      <c r="EH345" s="58">
        <f t="shared" si="364"/>
        <v>11568.098205186612</v>
      </c>
      <c r="EI345" s="68">
        <f t="shared" si="365"/>
        <v>0.17402323488143673</v>
      </c>
      <c r="EJ345" s="58">
        <f t="shared" si="366"/>
        <v>11568.098205186612</v>
      </c>
      <c r="EK345" s="68">
        <f t="shared" si="365"/>
        <v>0.17402323488143673</v>
      </c>
      <c r="EL345" s="58">
        <f t="shared" si="367"/>
        <v>3248.3888979745666</v>
      </c>
      <c r="EM345" s="58">
        <f t="shared" si="368"/>
        <v>3580.7332051866142</v>
      </c>
      <c r="EN345" s="68">
        <f t="shared" si="369"/>
        <v>5.3866311001281635E-2</v>
      </c>
      <c r="EO345" s="139">
        <f t="shared" ref="EO345:EO408" si="387">+EO333</f>
        <v>0.3126447604730192</v>
      </c>
      <c r="EP345">
        <f>+(SUM(M345:O345)*EO345*(1-'[1]Tier 3 Data'!$A$2))</f>
        <v>860.73392281077599</v>
      </c>
    </row>
    <row r="346" spans="1:146" x14ac:dyDescent="0.2">
      <c r="A346" s="43">
        <v>0</v>
      </c>
      <c r="B346" s="43">
        <v>0</v>
      </c>
      <c r="C346" s="43">
        <v>0</v>
      </c>
      <c r="D346" s="70">
        <v>2036</v>
      </c>
      <c r="E346" s="70">
        <v>3</v>
      </c>
      <c r="F346" s="2">
        <v>743</v>
      </c>
      <c r="G346" s="133">
        <f t="shared" si="380"/>
        <v>48296.702315658993</v>
      </c>
      <c r="H346" s="65">
        <v>48296.702315658993</v>
      </c>
      <c r="I346" s="133">
        <f t="shared" si="381"/>
        <v>48296.702315658993</v>
      </c>
      <c r="J346" s="133">
        <f t="shared" si="362"/>
        <v>5367.9219374999975</v>
      </c>
      <c r="K346" s="65">
        <v>5367.9219374999975</v>
      </c>
      <c r="L346" s="133">
        <f t="shared" si="363"/>
        <v>5367.9219374999975</v>
      </c>
      <c r="M346" s="65">
        <v>1050.2026341606518</v>
      </c>
      <c r="N346" s="65">
        <v>2261.4216180208796</v>
      </c>
      <c r="O346" s="65">
        <v>635.26694700900907</v>
      </c>
      <c r="P346" s="200">
        <f t="shared" si="356"/>
        <v>41744.713018401839</v>
      </c>
      <c r="Q346" s="200">
        <f t="shared" si="357"/>
        <v>41744.713018401839</v>
      </c>
      <c r="R346" s="200">
        <f t="shared" si="358"/>
        <v>41744.713018401839</v>
      </c>
      <c r="S346" s="133">
        <f t="shared" si="382"/>
        <v>42738.200294056296</v>
      </c>
      <c r="T346" s="133">
        <f t="shared" si="383"/>
        <v>42738.200294056296</v>
      </c>
      <c r="U346" s="133">
        <f t="shared" si="384"/>
        <v>42738.200294056296</v>
      </c>
      <c r="V346" s="200">
        <f t="shared" si="359"/>
        <v>41744.713018401839</v>
      </c>
      <c r="W346" s="200">
        <f t="shared" si="360"/>
        <v>41744.713018401839</v>
      </c>
      <c r="X346" s="200">
        <f t="shared" si="361"/>
        <v>41744.713018401839</v>
      </c>
      <c r="Y346" s="65">
        <v>21325.783404950027</v>
      </c>
      <c r="Z346" s="65">
        <v>23138.037089353016</v>
      </c>
      <c r="AA346" s="65">
        <v>12979.721781431885</v>
      </c>
      <c r="AB346" s="200">
        <f t="shared" si="373"/>
        <v>64882.750107754851</v>
      </c>
      <c r="AC346" s="200">
        <f t="shared" si="374"/>
        <v>64882.750107754851</v>
      </c>
      <c r="AD346" s="200">
        <f t="shared" si="375"/>
        <v>64882.750107754851</v>
      </c>
      <c r="AE346" s="199">
        <f t="shared" si="338"/>
        <v>64063.98369900632</v>
      </c>
      <c r="AF346" s="199">
        <f t="shared" si="376"/>
        <v>65876.237383409316</v>
      </c>
      <c r="AG346" s="199">
        <f t="shared" si="339"/>
        <v>55717.922075488183</v>
      </c>
      <c r="AH346" s="199">
        <f t="shared" si="385"/>
        <v>60797.079729448749</v>
      </c>
      <c r="AI346" s="200">
        <f t="shared" si="377"/>
        <v>64882.750107754851</v>
      </c>
      <c r="AJ346" s="200">
        <f t="shared" si="378"/>
        <v>64882.750107754851</v>
      </c>
      <c r="AK346" s="200">
        <f t="shared" si="379"/>
        <v>64882.750107754851</v>
      </c>
      <c r="AL346" s="4"/>
      <c r="AM346" s="4"/>
      <c r="AN346" s="4"/>
      <c r="AO346" s="4"/>
      <c r="AP346" s="63"/>
      <c r="AQ346" s="18"/>
      <c r="AR346" s="18"/>
      <c r="AS346" s="62"/>
      <c r="AT346" s="10">
        <v>3395.12</v>
      </c>
      <c r="AU346" s="133">
        <f t="shared" si="313"/>
        <v>87.516000000000005</v>
      </c>
      <c r="AV346" s="133">
        <f t="shared" si="313"/>
        <v>3232.7139999999999</v>
      </c>
      <c r="AW346" s="63"/>
      <c r="AX346" s="63"/>
      <c r="AY346" s="63"/>
      <c r="AZ346" s="64"/>
      <c r="BA346" s="65">
        <f t="shared" si="386"/>
        <v>853.7</v>
      </c>
      <c r="BB346" s="5"/>
      <c r="BC346" s="65">
        <v>439.34962826878427</v>
      </c>
      <c r="BD346" s="65">
        <v>0</v>
      </c>
      <c r="BE346" s="65">
        <v>0</v>
      </c>
      <c r="BF346" s="65">
        <v>0</v>
      </c>
      <c r="BG346" s="65">
        <v>0</v>
      </c>
      <c r="BH346" s="65">
        <v>0</v>
      </c>
      <c r="BI346" s="65">
        <v>1140.460185751029</v>
      </c>
      <c r="BJ346" s="65">
        <v>0</v>
      </c>
      <c r="BK346" s="65">
        <v>19.397174608663349</v>
      </c>
      <c r="BL346" s="65">
        <v>0</v>
      </c>
      <c r="BM346" s="65">
        <v>0</v>
      </c>
      <c r="BN346" s="65">
        <v>33.291643770364956</v>
      </c>
      <c r="BO346" s="65">
        <v>212.18019192</v>
      </c>
      <c r="BP346" s="62"/>
      <c r="BQ346" s="65">
        <v>134.29306242181329</v>
      </c>
      <c r="BR346" s="65">
        <v>175.45822090098886</v>
      </c>
      <c r="BS346" s="65">
        <v>634.88882501674073</v>
      </c>
      <c r="BT346" s="65">
        <v>212.80013926478091</v>
      </c>
      <c r="BU346" s="65">
        <v>247.29328976046259</v>
      </c>
      <c r="BV346" s="144">
        <f t="shared" si="370"/>
        <v>735.14184391245624</v>
      </c>
      <c r="BW346" s="144">
        <f t="shared" si="371"/>
        <v>1582.9951326146156</v>
      </c>
      <c r="BX346" s="144">
        <f t="shared" si="372"/>
        <v>444.68686290630632</v>
      </c>
      <c r="BY346" s="5"/>
      <c r="BZ346" s="18"/>
      <c r="CA346" s="4"/>
      <c r="CB346" s="5"/>
      <c r="CC346" s="5"/>
      <c r="CD346" s="188">
        <v>13.157281760074044</v>
      </c>
      <c r="CE346" s="5"/>
      <c r="CF346" s="64"/>
      <c r="CG346" s="70"/>
      <c r="CH346" s="70"/>
      <c r="CI346" s="70"/>
      <c r="CJ346" s="63"/>
      <c r="CK346" s="8">
        <f t="shared" si="335"/>
        <v>13594.443482877077</v>
      </c>
      <c r="CL346" s="202">
        <f t="shared" si="315"/>
        <v>51288.306624877776</v>
      </c>
      <c r="CM346" s="202">
        <f t="shared" si="316"/>
        <v>51288.306624877776</v>
      </c>
      <c r="CN346" s="202">
        <f t="shared" si="317"/>
        <v>51288.306624877776</v>
      </c>
      <c r="CO346" s="9">
        <f t="shared" si="318"/>
        <v>50469.540216129244</v>
      </c>
      <c r="CP346" s="9">
        <f t="shared" si="319"/>
        <v>52281.793900532241</v>
      </c>
      <c r="CQ346" s="9">
        <f t="shared" si="320"/>
        <v>42123.478592611107</v>
      </c>
      <c r="CR346" s="202">
        <f t="shared" si="321"/>
        <v>51288.306624877776</v>
      </c>
      <c r="CS346" s="202">
        <f t="shared" si="322"/>
        <v>51288.306624877776</v>
      </c>
      <c r="CT346" s="202">
        <f t="shared" si="323"/>
        <v>51288.306624877776</v>
      </c>
      <c r="CU346" s="203">
        <f t="shared" si="324"/>
        <v>0.79047676831977787</v>
      </c>
      <c r="CV346" s="203">
        <f t="shared" si="325"/>
        <v>0.79047676831977787</v>
      </c>
      <c r="CW346" s="203">
        <f t="shared" si="326"/>
        <v>0.79047676831977787</v>
      </c>
      <c r="CX346" s="19">
        <f t="shared" si="327"/>
        <v>0.78779896756423629</v>
      </c>
      <c r="CY346" s="19">
        <f t="shared" si="328"/>
        <v>0.79363661279323783</v>
      </c>
      <c r="CZ346" s="19">
        <f t="shared" si="329"/>
        <v>0.7560130927987776</v>
      </c>
      <c r="DA346" s="203">
        <f t="shared" si="330"/>
        <v>0.79047676831977787</v>
      </c>
      <c r="DB346" s="203">
        <f t="shared" si="331"/>
        <v>0.79047676831977787</v>
      </c>
      <c r="DC346" s="203">
        <f t="shared" si="332"/>
        <v>0.79047676831977787</v>
      </c>
      <c r="DD346" s="65"/>
      <c r="DE346" s="66"/>
      <c r="DF346" s="66"/>
      <c r="DG346" s="66"/>
      <c r="DH346" s="66"/>
      <c r="DI346" s="66"/>
      <c r="DJ346" s="66"/>
      <c r="DK346" s="70"/>
      <c r="DL346" s="70"/>
      <c r="DM346" s="8">
        <f t="shared" si="333"/>
        <v>0</v>
      </c>
      <c r="DN346" s="8">
        <f t="shared" si="334"/>
        <v>13594.443482877077</v>
      </c>
      <c r="DO346" s="202">
        <f t="shared" si="340"/>
        <v>51288.306624877776</v>
      </c>
      <c r="DP346" s="202">
        <f t="shared" si="341"/>
        <v>51288.306624877776</v>
      </c>
      <c r="DQ346" s="202">
        <f t="shared" si="342"/>
        <v>51288.306624877776</v>
      </c>
      <c r="DR346" s="9">
        <f t="shared" si="343"/>
        <v>50469.540216129244</v>
      </c>
      <c r="DS346" s="9">
        <f t="shared" si="336"/>
        <v>52281.793900532241</v>
      </c>
      <c r="DT346" s="9">
        <f t="shared" si="344"/>
        <v>42123.478592611107</v>
      </c>
      <c r="DU346" s="202">
        <f t="shared" si="345"/>
        <v>51288.306624877776</v>
      </c>
      <c r="DV346" s="202">
        <f t="shared" si="346"/>
        <v>51288.306624877776</v>
      </c>
      <c r="DW346" s="202">
        <f t="shared" si="347"/>
        <v>51288.306624877776</v>
      </c>
      <c r="DX346" s="203">
        <f t="shared" si="348"/>
        <v>0.79047676831977787</v>
      </c>
      <c r="DY346" s="203">
        <f t="shared" si="349"/>
        <v>0.79047676831977787</v>
      </c>
      <c r="DZ346" s="203">
        <f t="shared" si="350"/>
        <v>0.79047676831977787</v>
      </c>
      <c r="EA346" s="19">
        <f t="shared" si="351"/>
        <v>0.78779896756423629</v>
      </c>
      <c r="EB346" s="19">
        <f t="shared" si="337"/>
        <v>0.79363661279323783</v>
      </c>
      <c r="EC346" s="19">
        <f t="shared" si="352"/>
        <v>0.7560130927987776</v>
      </c>
      <c r="ED346" s="203">
        <f t="shared" si="353"/>
        <v>0.79047676831977787</v>
      </c>
      <c r="EE346" s="203">
        <f t="shared" si="354"/>
        <v>0.79047676831977787</v>
      </c>
      <c r="EF346" s="203">
        <f t="shared" si="355"/>
        <v>0.79047676831977787</v>
      </c>
      <c r="EH346" s="58">
        <f t="shared" si="364"/>
        <v>12846.14435720455</v>
      </c>
      <c r="EI346" s="68">
        <f t="shared" si="365"/>
        <v>0.1950042210583175</v>
      </c>
      <c r="EJ346" s="58">
        <f t="shared" si="366"/>
        <v>12846.14435720455</v>
      </c>
      <c r="EK346" s="68">
        <f t="shared" si="365"/>
        <v>0.1950042210583175</v>
      </c>
      <c r="EL346" s="58">
        <f t="shared" si="367"/>
        <v>4832.4074942982434</v>
      </c>
      <c r="EM346" s="58">
        <f t="shared" si="368"/>
        <v>5277.0943572045499</v>
      </c>
      <c r="EN346" s="68">
        <f t="shared" si="369"/>
        <v>8.0106189527660646E-2</v>
      </c>
      <c r="EO346" s="139">
        <f t="shared" si="387"/>
        <v>0.32861286969700848</v>
      </c>
      <c r="EP346">
        <f>+(SUM(M346:O346)*EO346*(1-'[1]Tier 3 Data'!$A$2))</f>
        <v>1210.1002940435633</v>
      </c>
    </row>
    <row r="347" spans="1:146" x14ac:dyDescent="0.2">
      <c r="A347" s="43">
        <v>0</v>
      </c>
      <c r="B347" s="43">
        <v>0</v>
      </c>
      <c r="C347" s="43">
        <v>0</v>
      </c>
      <c r="D347" s="70">
        <v>2036</v>
      </c>
      <c r="E347" s="70">
        <v>4</v>
      </c>
      <c r="F347" s="2">
        <v>720</v>
      </c>
      <c r="G347" s="133">
        <f t="shared" si="380"/>
        <v>40591.111182913417</v>
      </c>
      <c r="H347" s="65">
        <v>40591.111182913417</v>
      </c>
      <c r="I347" s="133">
        <f t="shared" si="381"/>
        <v>40591.111182913417</v>
      </c>
      <c r="J347" s="133">
        <f t="shared" si="362"/>
        <v>5407.3559999999979</v>
      </c>
      <c r="K347" s="65">
        <v>5407.3559999999979</v>
      </c>
      <c r="L347" s="133">
        <f t="shared" si="363"/>
        <v>5407.3559999999979</v>
      </c>
      <c r="M347" s="65">
        <v>1418.2286880453187</v>
      </c>
      <c r="N347" s="65">
        <v>3053.8992287010965</v>
      </c>
      <c r="O347" s="65">
        <v>858.44256492712157</v>
      </c>
      <c r="P347" s="200">
        <f t="shared" si="356"/>
        <v>33584.584038411354</v>
      </c>
      <c r="Q347" s="200">
        <f t="shared" si="357"/>
        <v>33584.584038411354</v>
      </c>
      <c r="R347" s="200">
        <f t="shared" si="358"/>
        <v>33584.584038411354</v>
      </c>
      <c r="S347" s="133">
        <f t="shared" si="382"/>
        <v>34926.22241343528</v>
      </c>
      <c r="T347" s="133">
        <f t="shared" si="383"/>
        <v>34926.22241343528</v>
      </c>
      <c r="U347" s="133">
        <f t="shared" si="384"/>
        <v>34926.22241343528</v>
      </c>
      <c r="V347" s="200">
        <f t="shared" si="359"/>
        <v>33584.584038411354</v>
      </c>
      <c r="W347" s="200">
        <f t="shared" si="360"/>
        <v>33584.584038411354</v>
      </c>
      <c r="X347" s="200">
        <f t="shared" si="361"/>
        <v>33584.584038411354</v>
      </c>
      <c r="Y347" s="65">
        <v>18328.543702628063</v>
      </c>
      <c r="Z347" s="65">
        <v>18627.525389820621</v>
      </c>
      <c r="AA347" s="65">
        <v>10889.545205702958</v>
      </c>
      <c r="AB347" s="200">
        <f t="shared" si="373"/>
        <v>52212.109428231975</v>
      </c>
      <c r="AC347" s="200">
        <f t="shared" si="374"/>
        <v>52212.109428231975</v>
      </c>
      <c r="AD347" s="200">
        <f t="shared" si="375"/>
        <v>52212.109428231975</v>
      </c>
      <c r="AE347" s="199">
        <f t="shared" si="338"/>
        <v>53254.766116063343</v>
      </c>
      <c r="AF347" s="199">
        <f t="shared" si="376"/>
        <v>53553.747803255901</v>
      </c>
      <c r="AG347" s="199">
        <f t="shared" si="339"/>
        <v>45815.767619138234</v>
      </c>
      <c r="AH347" s="199">
        <f t="shared" si="385"/>
        <v>49684.757711197068</v>
      </c>
      <c r="AI347" s="200">
        <f t="shared" si="377"/>
        <v>52212.109428231975</v>
      </c>
      <c r="AJ347" s="200">
        <f t="shared" si="378"/>
        <v>52212.109428231975</v>
      </c>
      <c r="AK347" s="200">
        <f t="shared" si="379"/>
        <v>52212.109428231975</v>
      </c>
      <c r="AL347" s="4"/>
      <c r="AM347" s="4"/>
      <c r="AN347" s="4"/>
      <c r="AO347" s="4"/>
      <c r="AP347" s="63"/>
      <c r="AQ347" s="18"/>
      <c r="AR347" s="18"/>
      <c r="AS347" s="62"/>
      <c r="AT347" s="10">
        <v>3285.6</v>
      </c>
      <c r="AU347" s="133">
        <f t="shared" si="313"/>
        <v>96.057000000000002</v>
      </c>
      <c r="AV347" s="133">
        <f t="shared" si="313"/>
        <v>3017.9659999999999</v>
      </c>
      <c r="AW347" s="63"/>
      <c r="AX347" s="63"/>
      <c r="AY347" s="63"/>
      <c r="AZ347" s="64"/>
      <c r="BA347" s="65">
        <f t="shared" si="386"/>
        <v>2416.2429999999999</v>
      </c>
      <c r="BB347" s="5"/>
      <c r="BC347" s="65">
        <v>554.80776066480053</v>
      </c>
      <c r="BD347" s="65">
        <v>0</v>
      </c>
      <c r="BE347" s="65">
        <v>0</v>
      </c>
      <c r="BF347" s="65">
        <v>0</v>
      </c>
      <c r="BG347" s="65">
        <v>0</v>
      </c>
      <c r="BH347" s="65">
        <v>0</v>
      </c>
      <c r="BI347" s="65">
        <v>1440.1654652062136</v>
      </c>
      <c r="BJ347" s="65">
        <v>0</v>
      </c>
      <c r="BK347" s="65">
        <v>19.984033847071771</v>
      </c>
      <c r="BL347" s="65">
        <v>0</v>
      </c>
      <c r="BM347" s="65">
        <v>0</v>
      </c>
      <c r="BN347" s="65">
        <v>104.63088042114697</v>
      </c>
      <c r="BO347" s="65">
        <v>205.33566960000002</v>
      </c>
      <c r="BP347" s="62"/>
      <c r="BQ347" s="65">
        <v>143.40704142171319</v>
      </c>
      <c r="BR347" s="65">
        <v>187.36596781890785</v>
      </c>
      <c r="BS347" s="65">
        <v>677.9765479597587</v>
      </c>
      <c r="BT347" s="65">
        <v>235.63067588291125</v>
      </c>
      <c r="BU347" s="65">
        <v>253.0132994247864</v>
      </c>
      <c r="BV347" s="144">
        <f t="shared" si="370"/>
        <v>992.76008163172298</v>
      </c>
      <c r="BW347" s="144">
        <f t="shared" si="371"/>
        <v>2137.7294600907676</v>
      </c>
      <c r="BX347" s="144">
        <f t="shared" si="372"/>
        <v>600.90979544898505</v>
      </c>
      <c r="BY347" s="5"/>
      <c r="BZ347" s="18"/>
      <c r="CA347" s="4"/>
      <c r="CB347" s="5"/>
      <c r="CC347" s="5"/>
      <c r="CD347" s="188">
        <v>2.3725527527096357</v>
      </c>
      <c r="CE347" s="5"/>
      <c r="CF347" s="64"/>
      <c r="CG347" s="70"/>
      <c r="CH347" s="70"/>
      <c r="CI347" s="70"/>
      <c r="CJ347" s="63"/>
      <c r="CK347" s="8">
        <f t="shared" si="335"/>
        <v>16371.955232171493</v>
      </c>
      <c r="CL347" s="202">
        <f t="shared" si="315"/>
        <v>35840.154196060481</v>
      </c>
      <c r="CM347" s="202">
        <f t="shared" si="316"/>
        <v>35840.154196060481</v>
      </c>
      <c r="CN347" s="202">
        <f t="shared" si="317"/>
        <v>35840.154196060481</v>
      </c>
      <c r="CO347" s="9">
        <f t="shared" si="318"/>
        <v>36882.810883891849</v>
      </c>
      <c r="CP347" s="9">
        <f t="shared" si="319"/>
        <v>37181.792571084407</v>
      </c>
      <c r="CQ347" s="9">
        <f t="shared" si="320"/>
        <v>29443.81238696674</v>
      </c>
      <c r="CR347" s="202">
        <f t="shared" si="321"/>
        <v>35840.154196060481</v>
      </c>
      <c r="CS347" s="202">
        <f t="shared" si="322"/>
        <v>35840.154196060481</v>
      </c>
      <c r="CT347" s="202">
        <f t="shared" si="323"/>
        <v>35840.154196060481</v>
      </c>
      <c r="CU347" s="203">
        <f t="shared" si="324"/>
        <v>0.6864337524099553</v>
      </c>
      <c r="CV347" s="203">
        <f t="shared" si="325"/>
        <v>0.6864337524099553</v>
      </c>
      <c r="CW347" s="203">
        <f t="shared" si="326"/>
        <v>0.6864337524099553</v>
      </c>
      <c r="CX347" s="19">
        <f t="shared" si="327"/>
        <v>0.69257295776136762</v>
      </c>
      <c r="CY347" s="19">
        <f t="shared" si="328"/>
        <v>0.69428927192325962</v>
      </c>
      <c r="CZ347" s="19">
        <f t="shared" si="329"/>
        <v>0.64265675152995638</v>
      </c>
      <c r="DA347" s="203">
        <f t="shared" si="330"/>
        <v>0.6864337524099553</v>
      </c>
      <c r="DB347" s="203">
        <f t="shared" si="331"/>
        <v>0.6864337524099553</v>
      </c>
      <c r="DC347" s="203">
        <f t="shared" si="332"/>
        <v>0.6864337524099553</v>
      </c>
      <c r="DD347" s="65"/>
      <c r="DE347" s="66"/>
      <c r="DF347" s="66"/>
      <c r="DG347" s="66"/>
      <c r="DH347" s="66"/>
      <c r="DI347" s="66"/>
      <c r="DJ347" s="66"/>
      <c r="DK347" s="70"/>
      <c r="DL347" s="70"/>
      <c r="DM347" s="8">
        <f t="shared" si="333"/>
        <v>0</v>
      </c>
      <c r="DN347" s="8">
        <f t="shared" si="334"/>
        <v>16371.955232171493</v>
      </c>
      <c r="DO347" s="202">
        <f t="shared" si="340"/>
        <v>35840.154196060481</v>
      </c>
      <c r="DP347" s="202">
        <f t="shared" si="341"/>
        <v>35840.154196060481</v>
      </c>
      <c r="DQ347" s="202">
        <f t="shared" si="342"/>
        <v>35840.154196060481</v>
      </c>
      <c r="DR347" s="9">
        <f t="shared" si="343"/>
        <v>36882.810883891849</v>
      </c>
      <c r="DS347" s="9">
        <f t="shared" si="336"/>
        <v>37181.792571084407</v>
      </c>
      <c r="DT347" s="9">
        <f t="shared" si="344"/>
        <v>29443.81238696674</v>
      </c>
      <c r="DU347" s="202">
        <f t="shared" si="345"/>
        <v>35840.154196060481</v>
      </c>
      <c r="DV347" s="202">
        <f t="shared" si="346"/>
        <v>35840.154196060481</v>
      </c>
      <c r="DW347" s="202">
        <f t="shared" si="347"/>
        <v>35840.154196060481</v>
      </c>
      <c r="DX347" s="203">
        <f t="shared" si="348"/>
        <v>0.6864337524099553</v>
      </c>
      <c r="DY347" s="203">
        <f t="shared" si="349"/>
        <v>0.6864337524099553</v>
      </c>
      <c r="DZ347" s="203">
        <f t="shared" si="350"/>
        <v>0.6864337524099553</v>
      </c>
      <c r="EA347" s="19">
        <f t="shared" si="351"/>
        <v>0.69257295776136762</v>
      </c>
      <c r="EB347" s="19">
        <f t="shared" si="337"/>
        <v>0.69428927192325962</v>
      </c>
      <c r="EC347" s="19">
        <f t="shared" si="352"/>
        <v>0.64265675152995638</v>
      </c>
      <c r="ED347" s="203">
        <f t="shared" si="353"/>
        <v>0.6864337524099553</v>
      </c>
      <c r="EE347" s="203">
        <f t="shared" si="354"/>
        <v>0.6864337524099553</v>
      </c>
      <c r="EF347" s="203">
        <f t="shared" si="355"/>
        <v>0.6864337524099553</v>
      </c>
      <c r="EH347" s="58">
        <f t="shared" si="364"/>
        <v>15376.822597787061</v>
      </c>
      <c r="EI347" s="68">
        <f t="shared" si="365"/>
        <v>0.28712878609874243</v>
      </c>
      <c r="EJ347" s="58">
        <f t="shared" si="366"/>
        <v>15376.822597787061</v>
      </c>
      <c r="EK347" s="68">
        <f t="shared" si="365"/>
        <v>0.28712878609874243</v>
      </c>
      <c r="EL347" s="58">
        <f t="shared" si="367"/>
        <v>5960.0468023380781</v>
      </c>
      <c r="EM347" s="58">
        <f t="shared" si="368"/>
        <v>6560.9565977870634</v>
      </c>
      <c r="EN347" s="68">
        <f t="shared" si="369"/>
        <v>0.12251162368487267</v>
      </c>
      <c r="EO347" s="139">
        <f t="shared" si="387"/>
        <v>0.35351678044029999</v>
      </c>
      <c r="EP347">
        <f>+(SUM(M347:O347)*EO347*(1-'[1]Tier 3 Data'!$A$2))</f>
        <v>1758.1882249137091</v>
      </c>
    </row>
    <row r="348" spans="1:146" x14ac:dyDescent="0.2">
      <c r="A348" s="43">
        <v>0</v>
      </c>
      <c r="B348" s="43">
        <v>0</v>
      </c>
      <c r="C348" s="43">
        <v>0</v>
      </c>
      <c r="D348" s="70">
        <v>2036</v>
      </c>
      <c r="E348" s="70">
        <v>5</v>
      </c>
      <c r="F348" s="2">
        <v>744</v>
      </c>
      <c r="G348" s="133">
        <f t="shared" si="380"/>
        <v>38696.136892504401</v>
      </c>
      <c r="H348" s="65">
        <v>38696.136892504401</v>
      </c>
      <c r="I348" s="133">
        <f t="shared" si="381"/>
        <v>38696.136892504401</v>
      </c>
      <c r="J348" s="133">
        <f t="shared" si="362"/>
        <v>5446.7900624999984</v>
      </c>
      <c r="K348" s="65">
        <v>5446.7900624999984</v>
      </c>
      <c r="L348" s="133">
        <f t="shared" si="363"/>
        <v>5446.7900624999984</v>
      </c>
      <c r="M348" s="65">
        <v>1750.7817988213781</v>
      </c>
      <c r="N348" s="65">
        <v>3769.9922657844818</v>
      </c>
      <c r="O348" s="65">
        <v>1060.4937320447639</v>
      </c>
      <c r="P348" s="200">
        <f t="shared" si="356"/>
        <v>31274.966491009218</v>
      </c>
      <c r="Q348" s="200">
        <f t="shared" si="357"/>
        <v>31274.966491009218</v>
      </c>
      <c r="R348" s="200">
        <f t="shared" si="358"/>
        <v>31274.966491009218</v>
      </c>
      <c r="S348" s="133">
        <f t="shared" si="382"/>
        <v>32931.198710390978</v>
      </c>
      <c r="T348" s="133">
        <f t="shared" si="383"/>
        <v>32931.198710390978</v>
      </c>
      <c r="U348" s="133">
        <f t="shared" si="384"/>
        <v>32931.198710390978</v>
      </c>
      <c r="V348" s="200">
        <f t="shared" si="359"/>
        <v>31274.966491009218</v>
      </c>
      <c r="W348" s="200">
        <f t="shared" si="360"/>
        <v>31274.966491009218</v>
      </c>
      <c r="X348" s="200">
        <f t="shared" si="361"/>
        <v>31274.966491009218</v>
      </c>
      <c r="Y348" s="65">
        <v>14909.096679641931</v>
      </c>
      <c r="Z348" s="65">
        <v>14230.483474640356</v>
      </c>
      <c r="AA348" s="65">
        <v>8705.4120891471721</v>
      </c>
      <c r="AB348" s="200">
        <f t="shared" si="373"/>
        <v>45505.449965649575</v>
      </c>
      <c r="AC348" s="200">
        <f t="shared" si="374"/>
        <v>45505.449965649575</v>
      </c>
      <c r="AD348" s="200">
        <f t="shared" si="375"/>
        <v>45505.449965649575</v>
      </c>
      <c r="AE348" s="199">
        <f t="shared" si="338"/>
        <v>47840.295390032908</v>
      </c>
      <c r="AF348" s="199">
        <f t="shared" si="376"/>
        <v>47161.682185031335</v>
      </c>
      <c r="AG348" s="199">
        <f t="shared" si="339"/>
        <v>41636.610799538146</v>
      </c>
      <c r="AH348" s="199">
        <f t="shared" si="385"/>
        <v>44738.453094785524</v>
      </c>
      <c r="AI348" s="200">
        <f t="shared" si="377"/>
        <v>45505.449965649575</v>
      </c>
      <c r="AJ348" s="200">
        <f t="shared" si="378"/>
        <v>45505.449965649575</v>
      </c>
      <c r="AK348" s="200">
        <f t="shared" si="379"/>
        <v>45505.449965649575</v>
      </c>
      <c r="AL348" s="4"/>
      <c r="AM348" s="4"/>
      <c r="AN348" s="4"/>
      <c r="AO348" s="4"/>
      <c r="AP348" s="63"/>
      <c r="AQ348" s="18"/>
      <c r="AR348" s="18"/>
      <c r="AS348" s="62"/>
      <c r="AT348" s="10">
        <v>3395.12</v>
      </c>
      <c r="AU348" s="133">
        <f t="shared" si="313"/>
        <v>109.161</v>
      </c>
      <c r="AV348" s="133">
        <f t="shared" si="313"/>
        <v>3327.41</v>
      </c>
      <c r="AW348" s="63"/>
      <c r="AX348" s="63"/>
      <c r="AY348" s="63"/>
      <c r="AZ348" s="64"/>
      <c r="BA348" s="65">
        <f t="shared" si="386"/>
        <v>1366.578</v>
      </c>
      <c r="BB348" s="5"/>
      <c r="BC348" s="65">
        <v>557.19489380771086</v>
      </c>
      <c r="BD348" s="65">
        <v>0</v>
      </c>
      <c r="BE348" s="65">
        <v>0</v>
      </c>
      <c r="BF348" s="65">
        <v>0</v>
      </c>
      <c r="BG348" s="65">
        <v>0</v>
      </c>
      <c r="BH348" s="65">
        <v>0</v>
      </c>
      <c r="BI348" s="65">
        <v>1446.3619659709991</v>
      </c>
      <c r="BJ348" s="65">
        <v>0</v>
      </c>
      <c r="BK348" s="65">
        <v>12.751667915526451</v>
      </c>
      <c r="BL348" s="65">
        <v>0</v>
      </c>
      <c r="BM348" s="65">
        <v>0</v>
      </c>
      <c r="BN348" s="65">
        <v>0</v>
      </c>
      <c r="BO348" s="65">
        <v>212.18019192</v>
      </c>
      <c r="BP348" s="62"/>
      <c r="BQ348" s="65">
        <v>165.15489732719598</v>
      </c>
      <c r="BR348" s="65">
        <v>215.78022643593462</v>
      </c>
      <c r="BS348" s="65">
        <v>780.79245165936027</v>
      </c>
      <c r="BT348" s="65">
        <v>243.52261089364686</v>
      </c>
      <c r="BU348" s="65">
        <v>289.34630854499937</v>
      </c>
      <c r="BV348" s="144">
        <f t="shared" si="370"/>
        <v>1225.5472591749647</v>
      </c>
      <c r="BW348" s="144">
        <f t="shared" si="371"/>
        <v>2638.9945860491371</v>
      </c>
      <c r="BX348" s="144">
        <f t="shared" si="372"/>
        <v>742.34561243133464</v>
      </c>
      <c r="BY348" s="5"/>
      <c r="BZ348" s="18"/>
      <c r="CA348" s="4"/>
      <c r="CB348" s="5"/>
      <c r="CC348" s="5"/>
      <c r="CD348" s="188">
        <v>1.4538432884059718E-2</v>
      </c>
      <c r="CE348" s="5"/>
      <c r="CF348" s="64"/>
      <c r="CG348" s="70"/>
      <c r="CH348" s="70"/>
      <c r="CI348" s="70"/>
      <c r="CJ348" s="63"/>
      <c r="CK348" s="8">
        <f t="shared" si="335"/>
        <v>16728.256210563693</v>
      </c>
      <c r="CL348" s="202">
        <f t="shared" si="315"/>
        <v>28777.193755085882</v>
      </c>
      <c r="CM348" s="202">
        <f t="shared" si="316"/>
        <v>28777.193755085882</v>
      </c>
      <c r="CN348" s="202">
        <f t="shared" si="317"/>
        <v>28777.193755085882</v>
      </c>
      <c r="CO348" s="9">
        <f t="shared" si="318"/>
        <v>31112.039179469215</v>
      </c>
      <c r="CP348" s="9">
        <f t="shared" si="319"/>
        <v>30433.425974467642</v>
      </c>
      <c r="CQ348" s="9">
        <f t="shared" si="320"/>
        <v>24908.354588974453</v>
      </c>
      <c r="CR348" s="202">
        <f t="shared" si="321"/>
        <v>28777.193755085882</v>
      </c>
      <c r="CS348" s="202">
        <f t="shared" si="322"/>
        <v>28777.193755085882</v>
      </c>
      <c r="CT348" s="202">
        <f t="shared" si="323"/>
        <v>28777.193755085882</v>
      </c>
      <c r="CU348" s="203">
        <f t="shared" si="324"/>
        <v>0.63239004947338717</v>
      </c>
      <c r="CV348" s="203">
        <f t="shared" si="325"/>
        <v>0.63239004947338717</v>
      </c>
      <c r="CW348" s="203">
        <f t="shared" si="326"/>
        <v>0.63239004947338717</v>
      </c>
      <c r="CX348" s="19">
        <f t="shared" si="327"/>
        <v>0.65033125163251237</v>
      </c>
      <c r="CY348" s="19">
        <f t="shared" si="328"/>
        <v>0.64529984013434782</v>
      </c>
      <c r="CZ348" s="19">
        <f t="shared" si="329"/>
        <v>0.59823203931984659</v>
      </c>
      <c r="DA348" s="203">
        <f t="shared" si="330"/>
        <v>0.63239004947338717</v>
      </c>
      <c r="DB348" s="203">
        <f t="shared" si="331"/>
        <v>0.63239004947338717</v>
      </c>
      <c r="DC348" s="203">
        <f t="shared" si="332"/>
        <v>0.63239004947338717</v>
      </c>
      <c r="DD348" s="65"/>
      <c r="DE348" s="66"/>
      <c r="DF348" s="66"/>
      <c r="DG348" s="66"/>
      <c r="DH348" s="66"/>
      <c r="DI348" s="66"/>
      <c r="DJ348" s="66"/>
      <c r="DK348" s="70"/>
      <c r="DL348" s="70"/>
      <c r="DM348" s="8">
        <f t="shared" si="333"/>
        <v>0</v>
      </c>
      <c r="DN348" s="8">
        <f t="shared" si="334"/>
        <v>16728.256210563693</v>
      </c>
      <c r="DO348" s="202">
        <f t="shared" si="340"/>
        <v>28777.193755085882</v>
      </c>
      <c r="DP348" s="202">
        <f t="shared" si="341"/>
        <v>28777.193755085882</v>
      </c>
      <c r="DQ348" s="202">
        <f t="shared" si="342"/>
        <v>28777.193755085882</v>
      </c>
      <c r="DR348" s="9">
        <f t="shared" si="343"/>
        <v>31112.039179469215</v>
      </c>
      <c r="DS348" s="9">
        <f t="shared" si="336"/>
        <v>30433.425974467642</v>
      </c>
      <c r="DT348" s="9">
        <f t="shared" si="344"/>
        <v>24908.354588974453</v>
      </c>
      <c r="DU348" s="202">
        <f t="shared" si="345"/>
        <v>28777.193755085882</v>
      </c>
      <c r="DV348" s="202">
        <f t="shared" si="346"/>
        <v>28777.193755085882</v>
      </c>
      <c r="DW348" s="202">
        <f t="shared" si="347"/>
        <v>28777.193755085882</v>
      </c>
      <c r="DX348" s="203">
        <f t="shared" si="348"/>
        <v>0.63239004947338717</v>
      </c>
      <c r="DY348" s="203">
        <f t="shared" si="349"/>
        <v>0.63239004947338717</v>
      </c>
      <c r="DZ348" s="203">
        <f t="shared" si="350"/>
        <v>0.63239004947338717</v>
      </c>
      <c r="EA348" s="19">
        <f t="shared" si="351"/>
        <v>0.65033125163251237</v>
      </c>
      <c r="EB348" s="19">
        <f t="shared" si="337"/>
        <v>0.64529984013434782</v>
      </c>
      <c r="EC348" s="19">
        <f t="shared" si="352"/>
        <v>0.59823203931984659</v>
      </c>
      <c r="ED348" s="203">
        <f t="shared" si="353"/>
        <v>0.63239004947338717</v>
      </c>
      <c r="EE348" s="203">
        <f t="shared" si="354"/>
        <v>0.63239004947338717</v>
      </c>
      <c r="EF348" s="203">
        <f t="shared" si="355"/>
        <v>0.63239004947338717</v>
      </c>
      <c r="EH348" s="58">
        <f t="shared" si="364"/>
        <v>15502.694412955845</v>
      </c>
      <c r="EI348" s="68">
        <f t="shared" si="365"/>
        <v>0.32871377132252189</v>
      </c>
      <c r="EJ348" s="58">
        <f t="shared" si="366"/>
        <v>15502.694412955845</v>
      </c>
      <c r="EK348" s="68">
        <f t="shared" si="365"/>
        <v>0.32871377132252189</v>
      </c>
      <c r="EL348" s="58">
        <f t="shared" si="367"/>
        <v>6562.0798005245106</v>
      </c>
      <c r="EM348" s="58">
        <f t="shared" si="368"/>
        <v>7304.4254129558449</v>
      </c>
      <c r="EN348" s="68">
        <f t="shared" si="369"/>
        <v>0.15488051050210841</v>
      </c>
      <c r="EO348" s="139">
        <f t="shared" si="387"/>
        <v>0.28868615856523006</v>
      </c>
      <c r="EP348">
        <f>+(SUM(M348:O348)*EO348*(1-'[1]Tier 3 Data'!$A$2))</f>
        <v>1772.6262171509479</v>
      </c>
    </row>
    <row r="349" spans="1:146" x14ac:dyDescent="0.2">
      <c r="A349" s="43">
        <v>0</v>
      </c>
      <c r="B349" s="43">
        <v>0</v>
      </c>
      <c r="C349" s="43">
        <v>0</v>
      </c>
      <c r="D349" s="70">
        <v>2036</v>
      </c>
      <c r="E349" s="70">
        <v>6</v>
      </c>
      <c r="F349" s="2">
        <v>720</v>
      </c>
      <c r="G349" s="133">
        <f t="shared" si="380"/>
        <v>41148.055259649933</v>
      </c>
      <c r="H349" s="65">
        <v>41148.055259649933</v>
      </c>
      <c r="I349" s="133">
        <f t="shared" si="381"/>
        <v>41148.055259649933</v>
      </c>
      <c r="J349" s="133">
        <f t="shared" si="362"/>
        <v>5486.2241249999988</v>
      </c>
      <c r="K349" s="65">
        <v>5486.2241249999988</v>
      </c>
      <c r="L349" s="133">
        <f t="shared" si="363"/>
        <v>5486.2241249999988</v>
      </c>
      <c r="M349" s="65">
        <v>1630.7561929849653</v>
      </c>
      <c r="N349" s="65">
        <v>3511.538810303055</v>
      </c>
      <c r="O349" s="65">
        <v>989.18383719142571</v>
      </c>
      <c r="P349" s="200">
        <f t="shared" si="356"/>
        <v>33822.387482506099</v>
      </c>
      <c r="Q349" s="200">
        <f t="shared" si="357"/>
        <v>33822.387482506099</v>
      </c>
      <c r="R349" s="200">
        <f t="shared" si="358"/>
        <v>33822.387482506099</v>
      </c>
      <c r="S349" s="133">
        <f t="shared" si="382"/>
        <v>35365.075983492505</v>
      </c>
      <c r="T349" s="133">
        <f t="shared" si="383"/>
        <v>35365.075983492505</v>
      </c>
      <c r="U349" s="133">
        <f t="shared" si="384"/>
        <v>35365.075983492505</v>
      </c>
      <c r="V349" s="200">
        <f t="shared" si="359"/>
        <v>33822.387482506099</v>
      </c>
      <c r="W349" s="200">
        <f t="shared" si="360"/>
        <v>33822.387482506099</v>
      </c>
      <c r="X349" s="200">
        <f t="shared" si="361"/>
        <v>33822.387482506099</v>
      </c>
      <c r="Y349" s="65">
        <v>15659.011850922217</v>
      </c>
      <c r="Z349" s="65">
        <v>15326.362364645076</v>
      </c>
      <c r="AA349" s="65">
        <v>9401.9452042531229</v>
      </c>
      <c r="AB349" s="200">
        <f t="shared" si="373"/>
        <v>49148.749847151179</v>
      </c>
      <c r="AC349" s="200">
        <f t="shared" si="374"/>
        <v>49148.749847151179</v>
      </c>
      <c r="AD349" s="200">
        <f t="shared" si="375"/>
        <v>49148.749847151179</v>
      </c>
      <c r="AE349" s="199">
        <f t="shared" si="338"/>
        <v>51024.08783441472</v>
      </c>
      <c r="AF349" s="199">
        <f t="shared" si="376"/>
        <v>50691.438348137584</v>
      </c>
      <c r="AG349" s="199">
        <f t="shared" si="339"/>
        <v>44767.021187745631</v>
      </c>
      <c r="AH349" s="199">
        <f t="shared" si="385"/>
        <v>47895.554511080176</v>
      </c>
      <c r="AI349" s="200">
        <f t="shared" si="377"/>
        <v>49148.749847151179</v>
      </c>
      <c r="AJ349" s="200">
        <f t="shared" si="378"/>
        <v>49148.749847151179</v>
      </c>
      <c r="AK349" s="200">
        <f t="shared" si="379"/>
        <v>49148.749847151179</v>
      </c>
      <c r="AL349" s="4"/>
      <c r="AM349" s="4"/>
      <c r="AN349" s="4"/>
      <c r="AO349" s="4"/>
      <c r="AP349" s="63"/>
      <c r="AQ349" s="18"/>
      <c r="AR349" s="18"/>
      <c r="AS349" s="62"/>
      <c r="AT349" s="10">
        <v>3285.6</v>
      </c>
      <c r="AU349" s="133">
        <f t="shared" si="313"/>
        <v>128.934</v>
      </c>
      <c r="AV349" s="133">
        <f t="shared" si="313"/>
        <v>3110.2840000000001</v>
      </c>
      <c r="AW349" s="63"/>
      <c r="AX349" s="63"/>
      <c r="AY349" s="63"/>
      <c r="AZ349" s="64"/>
      <c r="BA349" s="65">
        <f t="shared" si="386"/>
        <v>1570</v>
      </c>
      <c r="BB349" s="5"/>
      <c r="BC349" s="65">
        <v>592.1919211073623</v>
      </c>
      <c r="BD349" s="65">
        <v>0</v>
      </c>
      <c r="BE349" s="65">
        <v>0</v>
      </c>
      <c r="BF349" s="65">
        <v>0</v>
      </c>
      <c r="BG349" s="65">
        <v>0</v>
      </c>
      <c r="BH349" s="65">
        <v>0</v>
      </c>
      <c r="BI349" s="65">
        <v>1537.2069643204161</v>
      </c>
      <c r="BJ349" s="65">
        <v>0</v>
      </c>
      <c r="BK349" s="65">
        <v>11.763509963764358</v>
      </c>
      <c r="BL349" s="65">
        <v>0</v>
      </c>
      <c r="BM349" s="65">
        <v>0</v>
      </c>
      <c r="BN349" s="65">
        <v>0</v>
      </c>
      <c r="BO349" s="65">
        <v>205.33566960000002</v>
      </c>
      <c r="BP349" s="62"/>
      <c r="BQ349" s="65">
        <v>160.57328958035041</v>
      </c>
      <c r="BR349" s="65">
        <v>209.79424600572665</v>
      </c>
      <c r="BS349" s="65">
        <v>759.13240737036529</v>
      </c>
      <c r="BT349" s="65">
        <v>254.90237293346408</v>
      </c>
      <c r="BU349" s="65">
        <v>281.78039220799496</v>
      </c>
      <c r="BV349" s="144">
        <f t="shared" si="370"/>
        <v>1141.5293350894756</v>
      </c>
      <c r="BW349" s="144">
        <f t="shared" si="371"/>
        <v>2458.0771672121382</v>
      </c>
      <c r="BX349" s="144">
        <f t="shared" si="372"/>
        <v>692.42868603399791</v>
      </c>
      <c r="BY349" s="5"/>
      <c r="BZ349" s="18"/>
      <c r="CA349" s="4"/>
      <c r="CB349" s="5"/>
      <c r="CC349" s="5"/>
      <c r="CD349" s="188">
        <v>2.1777775833862054</v>
      </c>
      <c r="CE349" s="5"/>
      <c r="CF349" s="64"/>
      <c r="CG349" s="70"/>
      <c r="CH349" s="70"/>
      <c r="CI349" s="70"/>
      <c r="CJ349" s="63"/>
      <c r="CK349" s="8">
        <f t="shared" si="335"/>
        <v>16401.711739008442</v>
      </c>
      <c r="CL349" s="202">
        <f t="shared" si="315"/>
        <v>32747.038108142737</v>
      </c>
      <c r="CM349" s="202">
        <f t="shared" si="316"/>
        <v>32747.038108142737</v>
      </c>
      <c r="CN349" s="202">
        <f t="shared" si="317"/>
        <v>32747.038108142737</v>
      </c>
      <c r="CO349" s="9">
        <f t="shared" si="318"/>
        <v>34622.376095406275</v>
      </c>
      <c r="CP349" s="9">
        <f t="shared" si="319"/>
        <v>34289.726609129139</v>
      </c>
      <c r="CQ349" s="9">
        <f t="shared" si="320"/>
        <v>28365.309448737189</v>
      </c>
      <c r="CR349" s="202">
        <f t="shared" si="321"/>
        <v>32747.038108142737</v>
      </c>
      <c r="CS349" s="202">
        <f t="shared" si="322"/>
        <v>32747.038108142737</v>
      </c>
      <c r="CT349" s="202">
        <f t="shared" si="323"/>
        <v>32747.038108142737</v>
      </c>
      <c r="CU349" s="203">
        <f t="shared" si="324"/>
        <v>0.66628425361750809</v>
      </c>
      <c r="CV349" s="203">
        <f t="shared" si="325"/>
        <v>0.66628425361750809</v>
      </c>
      <c r="CW349" s="203">
        <f t="shared" si="326"/>
        <v>0.66628425361750809</v>
      </c>
      <c r="CX349" s="19">
        <f t="shared" si="327"/>
        <v>0.67854963341557628</v>
      </c>
      <c r="CY349" s="19">
        <f t="shared" si="328"/>
        <v>0.67644019831583557</v>
      </c>
      <c r="CZ349" s="19">
        <f t="shared" si="329"/>
        <v>0.63362065860441508</v>
      </c>
      <c r="DA349" s="203">
        <f t="shared" si="330"/>
        <v>0.66628425361750809</v>
      </c>
      <c r="DB349" s="203">
        <f t="shared" si="331"/>
        <v>0.66628425361750809</v>
      </c>
      <c r="DC349" s="203">
        <f t="shared" si="332"/>
        <v>0.66628425361750809</v>
      </c>
      <c r="DD349" s="65"/>
      <c r="DE349" s="66"/>
      <c r="DF349" s="66"/>
      <c r="DG349" s="66"/>
      <c r="DH349" s="66"/>
      <c r="DI349" s="66"/>
      <c r="DJ349" s="66"/>
      <c r="DK349" s="70"/>
      <c r="DL349" s="70"/>
      <c r="DM349" s="8">
        <f t="shared" si="333"/>
        <v>0</v>
      </c>
      <c r="DN349" s="8">
        <f t="shared" si="334"/>
        <v>16401.711739008442</v>
      </c>
      <c r="DO349" s="202">
        <f t="shared" si="340"/>
        <v>32747.038108142737</v>
      </c>
      <c r="DP349" s="202">
        <f t="shared" si="341"/>
        <v>32747.038108142737</v>
      </c>
      <c r="DQ349" s="202">
        <f t="shared" si="342"/>
        <v>32747.038108142737</v>
      </c>
      <c r="DR349" s="9">
        <f t="shared" si="343"/>
        <v>34622.376095406275</v>
      </c>
      <c r="DS349" s="9">
        <f t="shared" si="336"/>
        <v>34289.726609129139</v>
      </c>
      <c r="DT349" s="9">
        <f t="shared" si="344"/>
        <v>28365.309448737189</v>
      </c>
      <c r="DU349" s="202">
        <f t="shared" si="345"/>
        <v>32747.038108142737</v>
      </c>
      <c r="DV349" s="202">
        <f t="shared" si="346"/>
        <v>32747.038108142737</v>
      </c>
      <c r="DW349" s="202">
        <f t="shared" si="347"/>
        <v>32747.038108142737</v>
      </c>
      <c r="DX349" s="203">
        <f t="shared" si="348"/>
        <v>0.66628425361750809</v>
      </c>
      <c r="DY349" s="203">
        <f t="shared" si="349"/>
        <v>0.66628425361750809</v>
      </c>
      <c r="DZ349" s="203">
        <f t="shared" si="350"/>
        <v>0.66628425361750809</v>
      </c>
      <c r="EA349" s="19">
        <f t="shared" si="351"/>
        <v>0.67854963341557628</v>
      </c>
      <c r="EB349" s="19">
        <f t="shared" si="337"/>
        <v>0.67644019831583557</v>
      </c>
      <c r="EC349" s="19">
        <f t="shared" si="352"/>
        <v>0.63362065860441508</v>
      </c>
      <c r="ED349" s="203">
        <f t="shared" si="353"/>
        <v>0.66628425361750809</v>
      </c>
      <c r="EE349" s="203">
        <f t="shared" si="354"/>
        <v>0.66628425361750809</v>
      </c>
      <c r="EF349" s="203">
        <f t="shared" si="355"/>
        <v>0.66628425361750809</v>
      </c>
      <c r="EH349" s="58">
        <f t="shared" si="364"/>
        <v>15258.004626335582</v>
      </c>
      <c r="EI349" s="68">
        <f t="shared" si="365"/>
        <v>0.30099766594798477</v>
      </c>
      <c r="EJ349" s="58">
        <f t="shared" si="366"/>
        <v>15258.004626335582</v>
      </c>
      <c r="EK349" s="68">
        <f t="shared" si="365"/>
        <v>0.30099766594798477</v>
      </c>
      <c r="EL349" s="58">
        <f t="shared" si="367"/>
        <v>6470.7579403015825</v>
      </c>
      <c r="EM349" s="58">
        <f t="shared" si="368"/>
        <v>7163.1866263355805</v>
      </c>
      <c r="EN349" s="68">
        <f t="shared" si="369"/>
        <v>0.14130959506693022</v>
      </c>
      <c r="EO349" s="139">
        <f t="shared" si="387"/>
        <v>0.24029016665052916</v>
      </c>
      <c r="EP349">
        <f>+(SUM(M349:O349)*EO349*(1-'[1]Tier 3 Data'!$A$2))</f>
        <v>1374.6206895426683</v>
      </c>
    </row>
    <row r="350" spans="1:146" x14ac:dyDescent="0.2">
      <c r="A350" s="43">
        <v>0</v>
      </c>
      <c r="B350" s="43">
        <v>0</v>
      </c>
      <c r="C350" s="43">
        <v>0</v>
      </c>
      <c r="D350" s="70">
        <v>2036</v>
      </c>
      <c r="E350" s="70">
        <v>7</v>
      </c>
      <c r="F350" s="2">
        <v>744</v>
      </c>
      <c r="G350" s="133">
        <f t="shared" si="380"/>
        <v>47248.225618596145</v>
      </c>
      <c r="H350" s="65">
        <v>47248.225618596145</v>
      </c>
      <c r="I350" s="133">
        <f t="shared" si="381"/>
        <v>47248.225618596145</v>
      </c>
      <c r="J350" s="133">
        <f t="shared" si="362"/>
        <v>5525.6581874999993</v>
      </c>
      <c r="K350" s="65">
        <v>5525.6581874999993</v>
      </c>
      <c r="L350" s="133">
        <f t="shared" si="363"/>
        <v>5525.6581874999993</v>
      </c>
      <c r="M350" s="65">
        <v>1709.2251160000674</v>
      </c>
      <c r="N350" s="65">
        <v>3680.5074579497937</v>
      </c>
      <c r="O350" s="65">
        <v>1038.1562799817227</v>
      </c>
      <c r="P350" s="200">
        <f t="shared" si="356"/>
        <v>39794.200774916673</v>
      </c>
      <c r="Q350" s="200">
        <f t="shared" si="357"/>
        <v>39794.200774916673</v>
      </c>
      <c r="R350" s="200">
        <f t="shared" si="358"/>
        <v>39794.200774916673</v>
      </c>
      <c r="S350" s="133">
        <f t="shared" si="382"/>
        <v>41411.120547101629</v>
      </c>
      <c r="T350" s="133">
        <f t="shared" si="383"/>
        <v>41411.120547101629</v>
      </c>
      <c r="U350" s="133">
        <f t="shared" si="384"/>
        <v>41411.120547101629</v>
      </c>
      <c r="V350" s="200">
        <f t="shared" si="359"/>
        <v>39794.200774916673</v>
      </c>
      <c r="W350" s="200">
        <f t="shared" si="360"/>
        <v>39794.200774916673</v>
      </c>
      <c r="X350" s="200">
        <f t="shared" si="361"/>
        <v>39794.200774916673</v>
      </c>
      <c r="Y350" s="65">
        <v>17094.164005877094</v>
      </c>
      <c r="Z350" s="65">
        <v>17963.033268241274</v>
      </c>
      <c r="AA350" s="65">
        <v>10582.697327706448</v>
      </c>
      <c r="AB350" s="200">
        <f t="shared" si="373"/>
        <v>57757.234043157951</v>
      </c>
      <c r="AC350" s="200">
        <f t="shared" si="374"/>
        <v>57757.234043157951</v>
      </c>
      <c r="AD350" s="200">
        <f t="shared" si="375"/>
        <v>57757.234043157951</v>
      </c>
      <c r="AE350" s="199">
        <f t="shared" si="338"/>
        <v>58505.284552978723</v>
      </c>
      <c r="AF350" s="199">
        <f t="shared" si="376"/>
        <v>59374.153815342899</v>
      </c>
      <c r="AG350" s="199">
        <f t="shared" si="339"/>
        <v>51993.817874808075</v>
      </c>
      <c r="AH350" s="199">
        <f t="shared" si="385"/>
        <v>55683.985845075484</v>
      </c>
      <c r="AI350" s="200">
        <f t="shared" si="377"/>
        <v>57757.234043157951</v>
      </c>
      <c r="AJ350" s="200">
        <f t="shared" si="378"/>
        <v>57757.234043157951</v>
      </c>
      <c r="AK350" s="200">
        <f t="shared" si="379"/>
        <v>57757.234043157951</v>
      </c>
      <c r="AL350" s="4"/>
      <c r="AM350" s="4"/>
      <c r="AN350" s="4"/>
      <c r="AO350" s="4"/>
      <c r="AP350" s="63"/>
      <c r="AQ350" s="18"/>
      <c r="AR350" s="18"/>
      <c r="AS350" s="62"/>
      <c r="AT350" s="10">
        <v>3395.12</v>
      </c>
      <c r="AU350" s="133">
        <f t="shared" si="313"/>
        <v>118.521</v>
      </c>
      <c r="AV350" s="133">
        <f t="shared" si="313"/>
        <v>3084.53</v>
      </c>
      <c r="AW350" s="63"/>
      <c r="AX350" s="63"/>
      <c r="AY350" s="63"/>
      <c r="AZ350" s="64"/>
      <c r="BA350" s="65">
        <f t="shared" si="386"/>
        <v>2058.0909999999999</v>
      </c>
      <c r="BB350" s="5"/>
      <c r="BC350" s="65">
        <v>540.52170318370111</v>
      </c>
      <c r="BD350" s="65">
        <v>0</v>
      </c>
      <c r="BE350" s="65">
        <v>0</v>
      </c>
      <c r="BF350" s="65">
        <v>0</v>
      </c>
      <c r="BG350" s="65">
        <v>0</v>
      </c>
      <c r="BH350" s="65">
        <v>0</v>
      </c>
      <c r="BI350" s="65">
        <v>1488.7042626072459</v>
      </c>
      <c r="BJ350" s="65">
        <v>0</v>
      </c>
      <c r="BK350" s="65">
        <v>9.5733821057653241</v>
      </c>
      <c r="BL350" s="65">
        <v>0</v>
      </c>
      <c r="BM350" s="65">
        <v>0</v>
      </c>
      <c r="BN350" s="65">
        <v>0</v>
      </c>
      <c r="BO350" s="65">
        <v>212.18019192</v>
      </c>
      <c r="BP350" s="62"/>
      <c r="BQ350" s="65">
        <v>162.42897694920646</v>
      </c>
      <c r="BR350" s="65">
        <v>212.21868911784802</v>
      </c>
      <c r="BS350" s="65">
        <v>767.90516147416554</v>
      </c>
      <c r="BT350" s="65">
        <v>263.37948452788845</v>
      </c>
      <c r="BU350" s="65">
        <v>289.71697297297533</v>
      </c>
      <c r="BV350" s="144">
        <f t="shared" si="370"/>
        <v>1196.4575812000471</v>
      </c>
      <c r="BW350" s="144">
        <f t="shared" si="371"/>
        <v>2576.3552205648552</v>
      </c>
      <c r="BX350" s="144">
        <f t="shared" si="372"/>
        <v>726.70939598720588</v>
      </c>
      <c r="BY350" s="5"/>
      <c r="BZ350" s="18"/>
      <c r="CA350" s="4"/>
      <c r="CB350" s="5"/>
      <c r="CC350" s="5"/>
      <c r="CD350" s="188">
        <v>2.1042112926473342</v>
      </c>
      <c r="CE350" s="5"/>
      <c r="CF350" s="64"/>
      <c r="CG350" s="70"/>
      <c r="CH350" s="70"/>
      <c r="CI350" s="70"/>
      <c r="CJ350" s="63"/>
      <c r="CK350" s="8">
        <f t="shared" si="335"/>
        <v>17104.517233903556</v>
      </c>
      <c r="CL350" s="202">
        <f t="shared" si="315"/>
        <v>40652.716809254394</v>
      </c>
      <c r="CM350" s="202">
        <f t="shared" si="316"/>
        <v>40652.716809254394</v>
      </c>
      <c r="CN350" s="202">
        <f t="shared" si="317"/>
        <v>40652.716809254394</v>
      </c>
      <c r="CO350" s="9">
        <f t="shared" si="318"/>
        <v>41400.767319075167</v>
      </c>
      <c r="CP350" s="9">
        <f t="shared" si="319"/>
        <v>42269.636581439343</v>
      </c>
      <c r="CQ350" s="9">
        <f t="shared" si="320"/>
        <v>34889.300640904519</v>
      </c>
      <c r="CR350" s="202">
        <f t="shared" si="321"/>
        <v>40652.716809254394</v>
      </c>
      <c r="CS350" s="202">
        <f t="shared" si="322"/>
        <v>40652.716809254394</v>
      </c>
      <c r="CT350" s="202">
        <f t="shared" si="323"/>
        <v>40652.716809254394</v>
      </c>
      <c r="CU350" s="203">
        <f t="shared" si="324"/>
        <v>0.70385497994722979</v>
      </c>
      <c r="CV350" s="203">
        <f t="shared" si="325"/>
        <v>0.70385497994722979</v>
      </c>
      <c r="CW350" s="203">
        <f t="shared" si="326"/>
        <v>0.70385497994722979</v>
      </c>
      <c r="CX350" s="19">
        <f t="shared" si="327"/>
        <v>0.70764150000134129</v>
      </c>
      <c r="CY350" s="19">
        <f t="shared" si="328"/>
        <v>0.7119198146873873</v>
      </c>
      <c r="CZ350" s="19">
        <f t="shared" si="329"/>
        <v>0.67102786575342066</v>
      </c>
      <c r="DA350" s="203">
        <f t="shared" si="330"/>
        <v>0.70385497994722979</v>
      </c>
      <c r="DB350" s="203">
        <f t="shared" si="331"/>
        <v>0.70385497994722979</v>
      </c>
      <c r="DC350" s="203">
        <f t="shared" si="332"/>
        <v>0.70385497994722979</v>
      </c>
      <c r="DD350" s="65"/>
      <c r="DE350" s="66"/>
      <c r="DF350" s="66"/>
      <c r="DG350" s="66"/>
      <c r="DH350" s="66"/>
      <c r="DI350" s="66"/>
      <c r="DJ350" s="66"/>
      <c r="DK350" s="70"/>
      <c r="DL350" s="70"/>
      <c r="DM350" s="8">
        <f t="shared" si="333"/>
        <v>0</v>
      </c>
      <c r="DN350" s="8">
        <f t="shared" si="334"/>
        <v>17104.517233903556</v>
      </c>
      <c r="DO350" s="202">
        <f t="shared" si="340"/>
        <v>40652.716809254394</v>
      </c>
      <c r="DP350" s="202">
        <f t="shared" si="341"/>
        <v>40652.716809254394</v>
      </c>
      <c r="DQ350" s="202">
        <f t="shared" si="342"/>
        <v>40652.716809254394</v>
      </c>
      <c r="DR350" s="9">
        <f t="shared" si="343"/>
        <v>41400.767319075167</v>
      </c>
      <c r="DS350" s="9">
        <f t="shared" si="336"/>
        <v>42269.636581439343</v>
      </c>
      <c r="DT350" s="9">
        <f t="shared" si="344"/>
        <v>34889.300640904519</v>
      </c>
      <c r="DU350" s="202">
        <f t="shared" si="345"/>
        <v>40652.716809254394</v>
      </c>
      <c r="DV350" s="202">
        <f t="shared" si="346"/>
        <v>40652.716809254394</v>
      </c>
      <c r="DW350" s="202">
        <f t="shared" si="347"/>
        <v>40652.716809254394</v>
      </c>
      <c r="DX350" s="203">
        <f t="shared" si="348"/>
        <v>0.70385497994722979</v>
      </c>
      <c r="DY350" s="203">
        <f t="shared" si="349"/>
        <v>0.70385497994722979</v>
      </c>
      <c r="DZ350" s="203">
        <f t="shared" si="350"/>
        <v>0.70385497994722979</v>
      </c>
      <c r="EA350" s="19">
        <f t="shared" si="351"/>
        <v>0.70764150000134129</v>
      </c>
      <c r="EB350" s="19">
        <f t="shared" si="337"/>
        <v>0.7119198146873873</v>
      </c>
      <c r="EC350" s="19">
        <f t="shared" si="352"/>
        <v>0.67102786575342066</v>
      </c>
      <c r="ED350" s="203">
        <f t="shared" si="353"/>
        <v>0.70385497994722979</v>
      </c>
      <c r="EE350" s="203">
        <f t="shared" si="354"/>
        <v>0.70385497994722979</v>
      </c>
      <c r="EF350" s="203">
        <f t="shared" si="355"/>
        <v>0.70385497994722979</v>
      </c>
      <c r="EH350" s="58">
        <f t="shared" si="364"/>
        <v>15905.955441410859</v>
      </c>
      <c r="EI350" s="68">
        <f t="shared" si="365"/>
        <v>0.26789359374921473</v>
      </c>
      <c r="EJ350" s="58">
        <f t="shared" si="366"/>
        <v>15905.955441410859</v>
      </c>
      <c r="EK350" s="68">
        <f t="shared" si="365"/>
        <v>0.26789359374921473</v>
      </c>
      <c r="EL350" s="58">
        <f t="shared" si="367"/>
        <v>6522.9840454236528</v>
      </c>
      <c r="EM350" s="58">
        <f t="shared" si="368"/>
        <v>7249.6934414108582</v>
      </c>
      <c r="EN350" s="68">
        <f t="shared" si="369"/>
        <v>0.12210184020403608</v>
      </c>
      <c r="EO350" s="139">
        <f t="shared" si="387"/>
        <v>0.25197746931178833</v>
      </c>
      <c r="EP350">
        <f>+(SUM(M350:O350)*EO350*(1-'[1]Tier 3 Data'!$A$2))</f>
        <v>1511.1643942802461</v>
      </c>
    </row>
    <row r="351" spans="1:146" x14ac:dyDescent="0.2">
      <c r="A351" s="43">
        <v>0</v>
      </c>
      <c r="B351" s="43">
        <v>0</v>
      </c>
      <c r="C351" s="43">
        <v>0</v>
      </c>
      <c r="D351" s="70">
        <v>2036</v>
      </c>
      <c r="E351" s="70">
        <v>8</v>
      </c>
      <c r="F351" s="2">
        <v>744</v>
      </c>
      <c r="G351" s="133">
        <f t="shared" si="380"/>
        <v>45123.895911747932</v>
      </c>
      <c r="H351" s="65">
        <v>45123.895911747932</v>
      </c>
      <c r="I351" s="133">
        <f t="shared" si="381"/>
        <v>45123.895911747932</v>
      </c>
      <c r="J351" s="133">
        <f t="shared" si="362"/>
        <v>5565.0922499999997</v>
      </c>
      <c r="K351" s="65">
        <v>5565.0922499999997</v>
      </c>
      <c r="L351" s="133">
        <f t="shared" si="363"/>
        <v>5565.0922499999997</v>
      </c>
      <c r="M351" s="65">
        <v>1523.4196774399222</v>
      </c>
      <c r="N351" s="65">
        <v>3280.4090180505418</v>
      </c>
      <c r="O351" s="65">
        <v>948.49661056332934</v>
      </c>
      <c r="P351" s="200">
        <f t="shared" si="356"/>
        <v>37833.10606993179</v>
      </c>
      <c r="Q351" s="200">
        <f t="shared" si="357"/>
        <v>37833.10606993179</v>
      </c>
      <c r="R351" s="200">
        <f t="shared" si="358"/>
        <v>37833.10606993179</v>
      </c>
      <c r="S351" s="133">
        <f t="shared" si="382"/>
        <v>39274.254678578931</v>
      </c>
      <c r="T351" s="133">
        <f t="shared" si="383"/>
        <v>39274.254678578931</v>
      </c>
      <c r="U351" s="133">
        <f t="shared" si="384"/>
        <v>39274.254678578931</v>
      </c>
      <c r="V351" s="200">
        <f t="shared" si="359"/>
        <v>37833.10606993179</v>
      </c>
      <c r="W351" s="200">
        <f t="shared" si="360"/>
        <v>37833.10606993179</v>
      </c>
      <c r="X351" s="200">
        <f t="shared" si="361"/>
        <v>37833.10606993179</v>
      </c>
      <c r="Y351" s="65">
        <v>16426.301407261926</v>
      </c>
      <c r="Z351" s="65">
        <v>16711.924068230106</v>
      </c>
      <c r="AA351" s="65">
        <v>10086.836513075352</v>
      </c>
      <c r="AB351" s="200">
        <f t="shared" si="373"/>
        <v>54545.030138161892</v>
      </c>
      <c r="AC351" s="200">
        <f t="shared" si="374"/>
        <v>54545.030138161892</v>
      </c>
      <c r="AD351" s="200">
        <f t="shared" si="375"/>
        <v>54545.030138161892</v>
      </c>
      <c r="AE351" s="199">
        <f t="shared" si="338"/>
        <v>55700.556085840857</v>
      </c>
      <c r="AF351" s="199">
        <f t="shared" si="376"/>
        <v>55986.178746809033</v>
      </c>
      <c r="AG351" s="199">
        <f t="shared" si="339"/>
        <v>49361.091191654283</v>
      </c>
      <c r="AH351" s="199">
        <f t="shared" si="385"/>
        <v>52673.634969231658</v>
      </c>
      <c r="AI351" s="200">
        <f t="shared" si="377"/>
        <v>54545.030138161892</v>
      </c>
      <c r="AJ351" s="200">
        <f t="shared" si="378"/>
        <v>54545.030138161892</v>
      </c>
      <c r="AK351" s="200">
        <f t="shared" si="379"/>
        <v>54545.030138161892</v>
      </c>
      <c r="AL351" s="4"/>
      <c r="AM351" s="4"/>
      <c r="AN351" s="4"/>
      <c r="AO351" s="4"/>
      <c r="AP351" s="63"/>
      <c r="AQ351" s="18"/>
      <c r="AR351" s="18"/>
      <c r="AS351" s="62"/>
      <c r="AT351" s="10">
        <v>3395.12</v>
      </c>
      <c r="AU351" s="133">
        <f t="shared" si="313"/>
        <v>107.64</v>
      </c>
      <c r="AV351" s="133">
        <f t="shared" si="313"/>
        <v>3021.9279999999999</v>
      </c>
      <c r="AW351" s="63"/>
      <c r="AX351" s="63"/>
      <c r="AY351" s="63"/>
      <c r="AZ351" s="64"/>
      <c r="BA351" s="65">
        <f t="shared" si="386"/>
        <v>1516.482</v>
      </c>
      <c r="BB351" s="5"/>
      <c r="BC351" s="65">
        <v>524.18440806985609</v>
      </c>
      <c r="BD351" s="65">
        <v>0</v>
      </c>
      <c r="BE351" s="65">
        <v>0</v>
      </c>
      <c r="BF351" s="65">
        <v>0</v>
      </c>
      <c r="BG351" s="65">
        <v>0</v>
      </c>
      <c r="BH351" s="65">
        <v>0</v>
      </c>
      <c r="BI351" s="65">
        <v>1443.7081029115327</v>
      </c>
      <c r="BJ351" s="65">
        <v>0</v>
      </c>
      <c r="BK351" s="65">
        <v>11.152893841525399</v>
      </c>
      <c r="BL351" s="65">
        <v>0</v>
      </c>
      <c r="BM351" s="65">
        <v>0</v>
      </c>
      <c r="BN351" s="65">
        <v>0</v>
      </c>
      <c r="BO351" s="65">
        <v>212.18019192</v>
      </c>
      <c r="BP351" s="62"/>
      <c r="BQ351" s="65">
        <v>154.15772898152716</v>
      </c>
      <c r="BR351" s="65">
        <v>201.41210004654246</v>
      </c>
      <c r="BS351" s="65">
        <v>728.80193619423767</v>
      </c>
      <c r="BT351" s="65">
        <v>249.97397593199824</v>
      </c>
      <c r="BU351" s="65">
        <v>269.57644709328622</v>
      </c>
      <c r="BV351" s="144">
        <f t="shared" si="370"/>
        <v>1066.3937742079454</v>
      </c>
      <c r="BW351" s="144">
        <f t="shared" si="371"/>
        <v>2296.2863126353791</v>
      </c>
      <c r="BX351" s="144">
        <f t="shared" si="372"/>
        <v>663.94762739433054</v>
      </c>
      <c r="BY351" s="5"/>
      <c r="BZ351" s="18"/>
      <c r="CA351" s="4"/>
      <c r="CB351" s="5"/>
      <c r="CC351" s="5"/>
      <c r="CD351" s="188">
        <v>16.868963591035975</v>
      </c>
      <c r="CE351" s="5"/>
      <c r="CF351" s="64"/>
      <c r="CG351" s="70"/>
      <c r="CH351" s="70"/>
      <c r="CI351" s="70"/>
      <c r="CJ351" s="63"/>
      <c r="CK351" s="8">
        <f t="shared" si="335"/>
        <v>15879.814462819195</v>
      </c>
      <c r="CL351" s="202">
        <f t="shared" si="315"/>
        <v>38665.215675342697</v>
      </c>
      <c r="CM351" s="202">
        <f t="shared" si="316"/>
        <v>38665.215675342697</v>
      </c>
      <c r="CN351" s="202">
        <f t="shared" si="317"/>
        <v>38665.215675342697</v>
      </c>
      <c r="CO351" s="9">
        <f t="shared" si="318"/>
        <v>39820.741623021662</v>
      </c>
      <c r="CP351" s="9">
        <f t="shared" si="319"/>
        <v>40106.364283989838</v>
      </c>
      <c r="CQ351" s="9">
        <f t="shared" si="320"/>
        <v>33481.276728835088</v>
      </c>
      <c r="CR351" s="202">
        <f t="shared" si="321"/>
        <v>38665.215675342697</v>
      </c>
      <c r="CS351" s="202">
        <f t="shared" si="322"/>
        <v>38665.215675342697</v>
      </c>
      <c r="CT351" s="202">
        <f t="shared" si="323"/>
        <v>38665.215675342697</v>
      </c>
      <c r="CU351" s="203">
        <f t="shared" si="324"/>
        <v>0.70886780294014284</v>
      </c>
      <c r="CV351" s="203">
        <f t="shared" si="325"/>
        <v>0.70886780294014284</v>
      </c>
      <c r="CW351" s="203">
        <f t="shared" si="326"/>
        <v>0.70886780294014284</v>
      </c>
      <c r="CX351" s="19">
        <f t="shared" si="327"/>
        <v>0.71490743398779355</v>
      </c>
      <c r="CY351" s="19">
        <f t="shared" si="328"/>
        <v>0.71636188040920235</v>
      </c>
      <c r="CZ351" s="19">
        <f t="shared" si="329"/>
        <v>0.6782928804964492</v>
      </c>
      <c r="DA351" s="203">
        <f t="shared" si="330"/>
        <v>0.70886780294014284</v>
      </c>
      <c r="DB351" s="203">
        <f t="shared" si="331"/>
        <v>0.70886780294014284</v>
      </c>
      <c r="DC351" s="203">
        <f t="shared" si="332"/>
        <v>0.70886780294014284</v>
      </c>
      <c r="DD351" s="65"/>
      <c r="DE351" s="66"/>
      <c r="DF351" s="66"/>
      <c r="DG351" s="66"/>
      <c r="DH351" s="66"/>
      <c r="DI351" s="66"/>
      <c r="DJ351" s="66"/>
      <c r="DK351" s="70"/>
      <c r="DL351" s="70"/>
      <c r="DM351" s="8">
        <f t="shared" si="333"/>
        <v>0</v>
      </c>
      <c r="DN351" s="8">
        <f t="shared" si="334"/>
        <v>15879.814462819195</v>
      </c>
      <c r="DO351" s="202">
        <f t="shared" si="340"/>
        <v>38665.215675342697</v>
      </c>
      <c r="DP351" s="202">
        <f t="shared" si="341"/>
        <v>38665.215675342697</v>
      </c>
      <c r="DQ351" s="202">
        <f t="shared" si="342"/>
        <v>38665.215675342697</v>
      </c>
      <c r="DR351" s="9">
        <f t="shared" si="343"/>
        <v>39820.741623021662</v>
      </c>
      <c r="DS351" s="9">
        <f t="shared" si="336"/>
        <v>40106.364283989838</v>
      </c>
      <c r="DT351" s="9">
        <f t="shared" si="344"/>
        <v>33481.276728835088</v>
      </c>
      <c r="DU351" s="202">
        <f t="shared" si="345"/>
        <v>38665.215675342697</v>
      </c>
      <c r="DV351" s="202">
        <f t="shared" si="346"/>
        <v>38665.215675342697</v>
      </c>
      <c r="DW351" s="202">
        <f t="shared" si="347"/>
        <v>38665.215675342697</v>
      </c>
      <c r="DX351" s="203">
        <f t="shared" si="348"/>
        <v>0.70886780294014284</v>
      </c>
      <c r="DY351" s="203">
        <f t="shared" si="349"/>
        <v>0.70886780294014284</v>
      </c>
      <c r="DZ351" s="203">
        <f t="shared" si="350"/>
        <v>0.70886780294014284</v>
      </c>
      <c r="EA351" s="19">
        <f t="shared" si="351"/>
        <v>0.71490743398779355</v>
      </c>
      <c r="EB351" s="19">
        <f t="shared" si="337"/>
        <v>0.71636188040920235</v>
      </c>
      <c r="EC351" s="19">
        <f t="shared" si="352"/>
        <v>0.6782928804964492</v>
      </c>
      <c r="ED351" s="203">
        <f t="shared" si="353"/>
        <v>0.70886780294014284</v>
      </c>
      <c r="EE351" s="203">
        <f t="shared" si="354"/>
        <v>0.70886780294014284</v>
      </c>
      <c r="EF351" s="203">
        <f t="shared" si="355"/>
        <v>0.70886780294014284</v>
      </c>
      <c r="EH351" s="58">
        <f t="shared" si="364"/>
        <v>14796.551725020214</v>
      </c>
      <c r="EI351" s="68">
        <f t="shared" si="365"/>
        <v>0.26428936670130487</v>
      </c>
      <c r="EJ351" s="58">
        <f t="shared" si="366"/>
        <v>14796.551725020214</v>
      </c>
      <c r="EK351" s="68">
        <f t="shared" si="365"/>
        <v>0.26428936670130487</v>
      </c>
      <c r="EL351" s="58">
        <f t="shared" si="367"/>
        <v>6091.4340976258845</v>
      </c>
      <c r="EM351" s="58">
        <f t="shared" si="368"/>
        <v>6755.3817250202155</v>
      </c>
      <c r="EN351" s="68">
        <f t="shared" si="369"/>
        <v>0.12066159677678025</v>
      </c>
      <c r="EO351" s="139">
        <f t="shared" si="387"/>
        <v>0.28519905910129462</v>
      </c>
      <c r="EP351">
        <f>+(SUM(M351:O351)*EO351*(1-'[1]Tier 3 Data'!$A$2))</f>
        <v>1530.6403946807243</v>
      </c>
    </row>
    <row r="352" spans="1:146" x14ac:dyDescent="0.2">
      <c r="A352" s="43">
        <v>0</v>
      </c>
      <c r="B352" s="43">
        <v>0</v>
      </c>
      <c r="C352" s="43">
        <v>0</v>
      </c>
      <c r="D352" s="70">
        <v>2036</v>
      </c>
      <c r="E352" s="70">
        <v>9</v>
      </c>
      <c r="F352" s="2">
        <v>720</v>
      </c>
      <c r="G352" s="133">
        <f t="shared" si="380"/>
        <v>39199.051116371797</v>
      </c>
      <c r="H352" s="65">
        <v>39199.051116371797</v>
      </c>
      <c r="I352" s="133">
        <f t="shared" si="381"/>
        <v>39199.051116371797</v>
      </c>
      <c r="J352" s="133">
        <f t="shared" si="362"/>
        <v>5604.5263125000001</v>
      </c>
      <c r="K352" s="65">
        <v>5604.5263125000001</v>
      </c>
      <c r="L352" s="133">
        <f t="shared" si="363"/>
        <v>5604.5263125000001</v>
      </c>
      <c r="M352" s="65">
        <v>1305.6369062084025</v>
      </c>
      <c r="N352" s="65">
        <v>2811.4531700307239</v>
      </c>
      <c r="O352" s="65">
        <v>813.94430173380454</v>
      </c>
      <c r="P352" s="200">
        <f t="shared" si="356"/>
        <v>32115.214490479921</v>
      </c>
      <c r="Q352" s="200">
        <f t="shared" si="357"/>
        <v>32115.214490479921</v>
      </c>
      <c r="R352" s="200">
        <f t="shared" si="358"/>
        <v>32115.214490479921</v>
      </c>
      <c r="S352" s="133">
        <f t="shared" si="382"/>
        <v>33350.341513351654</v>
      </c>
      <c r="T352" s="133">
        <f t="shared" si="383"/>
        <v>33350.341513351654</v>
      </c>
      <c r="U352" s="133">
        <f t="shared" si="384"/>
        <v>33350.341513351654</v>
      </c>
      <c r="V352" s="200">
        <f t="shared" si="359"/>
        <v>32115.214490479921</v>
      </c>
      <c r="W352" s="200">
        <f t="shared" si="360"/>
        <v>32115.214490479921</v>
      </c>
      <c r="X352" s="200">
        <f t="shared" si="361"/>
        <v>32115.214490479921</v>
      </c>
      <c r="Y352" s="65">
        <v>15561.166237544021</v>
      </c>
      <c r="Z352" s="65">
        <v>15380.489429665782</v>
      </c>
      <c r="AA352" s="65">
        <v>9361.9379541659164</v>
      </c>
      <c r="AB352" s="200">
        <f t="shared" si="373"/>
        <v>47495.703920145701</v>
      </c>
      <c r="AC352" s="200">
        <f t="shared" si="374"/>
        <v>47495.703920145701</v>
      </c>
      <c r="AD352" s="200">
        <f t="shared" si="375"/>
        <v>47495.703920145701</v>
      </c>
      <c r="AE352" s="199">
        <f t="shared" si="338"/>
        <v>48911.507750895675</v>
      </c>
      <c r="AF352" s="199">
        <f t="shared" si="376"/>
        <v>48730.830943017434</v>
      </c>
      <c r="AG352" s="199">
        <f t="shared" si="339"/>
        <v>42712.279467517568</v>
      </c>
      <c r="AH352" s="199">
        <f t="shared" si="385"/>
        <v>45811.893609206621</v>
      </c>
      <c r="AI352" s="200">
        <f t="shared" si="377"/>
        <v>47495.703920145701</v>
      </c>
      <c r="AJ352" s="200">
        <f t="shared" si="378"/>
        <v>47495.703920145701</v>
      </c>
      <c r="AK352" s="200">
        <f t="shared" si="379"/>
        <v>47495.703920145701</v>
      </c>
      <c r="AL352" s="4"/>
      <c r="AM352" s="4"/>
      <c r="AN352" s="4"/>
      <c r="AO352" s="4"/>
      <c r="AP352" s="63"/>
      <c r="AQ352" s="18"/>
      <c r="AR352" s="18"/>
      <c r="AS352" s="62"/>
      <c r="AT352" s="10">
        <v>3285.6</v>
      </c>
      <c r="AU352" s="133">
        <f t="shared" si="313"/>
        <v>102.375</v>
      </c>
      <c r="AV352" s="133">
        <f t="shared" si="313"/>
        <v>2969.6280000000002</v>
      </c>
      <c r="AW352" s="63"/>
      <c r="AX352" s="63"/>
      <c r="AY352" s="63"/>
      <c r="AZ352" s="64"/>
      <c r="BA352" s="65">
        <f t="shared" si="386"/>
        <v>1498.2090000000001</v>
      </c>
      <c r="BB352" s="5"/>
      <c r="BC352" s="65">
        <v>487.7251503808784</v>
      </c>
      <c r="BD352" s="65">
        <v>0</v>
      </c>
      <c r="BE352" s="65">
        <v>0</v>
      </c>
      <c r="BF352" s="65">
        <v>0</v>
      </c>
      <c r="BG352" s="65">
        <v>0</v>
      </c>
      <c r="BH352" s="65">
        <v>0</v>
      </c>
      <c r="BI352" s="65">
        <v>1343.2920566854837</v>
      </c>
      <c r="BJ352" s="65">
        <v>0</v>
      </c>
      <c r="BK352" s="65">
        <v>13.355863258351745</v>
      </c>
      <c r="BL352" s="65">
        <v>0</v>
      </c>
      <c r="BM352" s="65">
        <v>0</v>
      </c>
      <c r="BN352" s="65">
        <v>0</v>
      </c>
      <c r="BO352" s="65">
        <v>205.33566960000002</v>
      </c>
      <c r="BP352" s="62"/>
      <c r="BQ352" s="65">
        <v>123.08254067157085</v>
      </c>
      <c r="BR352" s="65">
        <v>160.81139672751164</v>
      </c>
      <c r="BS352" s="65">
        <v>581.88985456698981</v>
      </c>
      <c r="BT352" s="65">
        <v>215.30394753309483</v>
      </c>
      <c r="BU352" s="65">
        <v>221.34367745405137</v>
      </c>
      <c r="BV352" s="144">
        <f t="shared" si="370"/>
        <v>913.94583434588162</v>
      </c>
      <c r="BW352" s="144">
        <f t="shared" si="371"/>
        <v>1968.0172190215067</v>
      </c>
      <c r="BX352" s="144">
        <f t="shared" si="372"/>
        <v>569.7610112136631</v>
      </c>
      <c r="BY352" s="5"/>
      <c r="BZ352" s="18"/>
      <c r="CA352" s="4"/>
      <c r="CB352" s="5"/>
      <c r="CC352" s="5"/>
      <c r="CD352" s="188">
        <v>2.2241810746462862</v>
      </c>
      <c r="CE352" s="5"/>
      <c r="CF352" s="64"/>
      <c r="CG352" s="70"/>
      <c r="CH352" s="70"/>
      <c r="CI352" s="70"/>
      <c r="CJ352" s="63"/>
      <c r="CK352" s="8">
        <f t="shared" si="335"/>
        <v>14661.900402533627</v>
      </c>
      <c r="CL352" s="202">
        <f t="shared" si="315"/>
        <v>32833.803517612076</v>
      </c>
      <c r="CM352" s="202">
        <f t="shared" si="316"/>
        <v>32833.803517612076</v>
      </c>
      <c r="CN352" s="202">
        <f t="shared" si="317"/>
        <v>32833.803517612076</v>
      </c>
      <c r="CO352" s="9">
        <f t="shared" si="318"/>
        <v>34249.607348362049</v>
      </c>
      <c r="CP352" s="9">
        <f t="shared" si="319"/>
        <v>34068.930540483809</v>
      </c>
      <c r="CQ352" s="9">
        <f t="shared" si="320"/>
        <v>28050.379064983943</v>
      </c>
      <c r="CR352" s="202">
        <f t="shared" si="321"/>
        <v>32833.803517612076</v>
      </c>
      <c r="CS352" s="202">
        <f t="shared" si="322"/>
        <v>32833.803517612076</v>
      </c>
      <c r="CT352" s="202">
        <f t="shared" si="323"/>
        <v>32833.803517612076</v>
      </c>
      <c r="CU352" s="203">
        <f t="shared" si="324"/>
        <v>0.69130049262593085</v>
      </c>
      <c r="CV352" s="203">
        <f t="shared" si="325"/>
        <v>0.69130049262593085</v>
      </c>
      <c r="CW352" s="203">
        <f t="shared" si="326"/>
        <v>0.69130049262593085</v>
      </c>
      <c r="CX352" s="19">
        <f t="shared" si="327"/>
        <v>0.70023618005795096</v>
      </c>
      <c r="CY352" s="19">
        <f t="shared" si="328"/>
        <v>0.69912476108445043</v>
      </c>
      <c r="CZ352" s="19">
        <f t="shared" si="329"/>
        <v>0.65672868352334335</v>
      </c>
      <c r="DA352" s="203">
        <f t="shared" si="330"/>
        <v>0.69130049262593085</v>
      </c>
      <c r="DB352" s="203">
        <f t="shared" si="331"/>
        <v>0.69130049262593085</v>
      </c>
      <c r="DC352" s="203">
        <f t="shared" si="332"/>
        <v>0.69130049262593085</v>
      </c>
      <c r="DD352" s="65"/>
      <c r="DE352" s="66"/>
      <c r="DF352" s="66"/>
      <c r="DG352" s="66"/>
      <c r="DH352" s="66"/>
      <c r="DI352" s="66"/>
      <c r="DJ352" s="66"/>
      <c r="DK352" s="70"/>
      <c r="DL352" s="70"/>
      <c r="DM352" s="8">
        <f t="shared" si="333"/>
        <v>0</v>
      </c>
      <c r="DN352" s="8">
        <f t="shared" si="334"/>
        <v>14661.900402533627</v>
      </c>
      <c r="DO352" s="202">
        <f t="shared" si="340"/>
        <v>32833.803517612076</v>
      </c>
      <c r="DP352" s="202">
        <f t="shared" si="341"/>
        <v>32833.803517612076</v>
      </c>
      <c r="DQ352" s="202">
        <f t="shared" si="342"/>
        <v>32833.803517612076</v>
      </c>
      <c r="DR352" s="9">
        <f t="shared" si="343"/>
        <v>34249.607348362049</v>
      </c>
      <c r="DS352" s="9">
        <f t="shared" si="336"/>
        <v>34068.930540483809</v>
      </c>
      <c r="DT352" s="9">
        <f t="shared" si="344"/>
        <v>28050.379064983943</v>
      </c>
      <c r="DU352" s="202">
        <f t="shared" si="345"/>
        <v>32833.803517612076</v>
      </c>
      <c r="DV352" s="202">
        <f t="shared" si="346"/>
        <v>32833.803517612076</v>
      </c>
      <c r="DW352" s="202">
        <f t="shared" si="347"/>
        <v>32833.803517612076</v>
      </c>
      <c r="DX352" s="203">
        <f t="shared" si="348"/>
        <v>0.69130049262593085</v>
      </c>
      <c r="DY352" s="203">
        <f t="shared" si="349"/>
        <v>0.69130049262593085</v>
      </c>
      <c r="DZ352" s="203">
        <f t="shared" si="350"/>
        <v>0.69130049262593085</v>
      </c>
      <c r="EA352" s="19">
        <f t="shared" si="351"/>
        <v>0.70023618005795096</v>
      </c>
      <c r="EB352" s="19">
        <f t="shared" si="337"/>
        <v>0.69912476108445043</v>
      </c>
      <c r="EC352" s="19">
        <f t="shared" si="352"/>
        <v>0.65672868352334335</v>
      </c>
      <c r="ED352" s="203">
        <f t="shared" si="353"/>
        <v>0.69130049262593085</v>
      </c>
      <c r="EE352" s="203">
        <f t="shared" si="354"/>
        <v>0.69130049262593085</v>
      </c>
      <c r="EF352" s="203">
        <f t="shared" si="355"/>
        <v>0.69130049262593085</v>
      </c>
      <c r="EH352" s="58">
        <f t="shared" si="364"/>
        <v>13745.730387113101</v>
      </c>
      <c r="EI352" s="68">
        <f t="shared" si="365"/>
        <v>0.28207461520995686</v>
      </c>
      <c r="EJ352" s="58">
        <f t="shared" si="366"/>
        <v>13745.730387113101</v>
      </c>
      <c r="EK352" s="68">
        <f t="shared" si="365"/>
        <v>0.28207461520995686</v>
      </c>
      <c r="EL352" s="58">
        <f t="shared" si="367"/>
        <v>5320.15737589944</v>
      </c>
      <c r="EM352" s="58">
        <f t="shared" si="368"/>
        <v>5889.9183871131027</v>
      </c>
      <c r="EN352" s="68">
        <f t="shared" si="369"/>
        <v>0.12086636474556278</v>
      </c>
      <c r="EO352" s="139">
        <f t="shared" si="387"/>
        <v>0.31860645638858931</v>
      </c>
      <c r="EP352">
        <f>+(SUM(M352:O352)*EO352*(1-'[1]Tier 3 Data'!$A$2))</f>
        <v>1465.7984104000172</v>
      </c>
    </row>
    <row r="353" spans="1:146" x14ac:dyDescent="0.2">
      <c r="A353" s="43">
        <v>0</v>
      </c>
      <c r="B353" s="43">
        <v>0</v>
      </c>
      <c r="C353" s="43">
        <v>0</v>
      </c>
      <c r="D353" s="70">
        <v>2036</v>
      </c>
      <c r="E353" s="70">
        <v>10</v>
      </c>
      <c r="F353" s="2">
        <v>744</v>
      </c>
      <c r="G353" s="133">
        <f t="shared" si="380"/>
        <v>41193.458277430378</v>
      </c>
      <c r="H353" s="65">
        <v>41193.458277430378</v>
      </c>
      <c r="I353" s="133">
        <f t="shared" si="381"/>
        <v>41193.458277430378</v>
      </c>
      <c r="J353" s="133">
        <f t="shared" si="362"/>
        <v>5643.9603750000006</v>
      </c>
      <c r="K353" s="65">
        <v>5643.9603750000006</v>
      </c>
      <c r="L353" s="133">
        <f t="shared" si="363"/>
        <v>5643.9603750000006</v>
      </c>
      <c r="M353" s="65">
        <v>957.87478015852639</v>
      </c>
      <c r="N353" s="65">
        <v>2062.6102665784465</v>
      </c>
      <c r="O353" s="65">
        <v>597.91410015251859</v>
      </c>
      <c r="P353" s="200">
        <f t="shared" si="356"/>
        <v>34463.978158363527</v>
      </c>
      <c r="Q353" s="200">
        <f t="shared" si="357"/>
        <v>34463.978158363527</v>
      </c>
      <c r="R353" s="200">
        <f t="shared" si="358"/>
        <v>34463.978158363527</v>
      </c>
      <c r="S353" s="133">
        <f t="shared" si="382"/>
        <v>35370.123672384623</v>
      </c>
      <c r="T353" s="133">
        <f t="shared" si="383"/>
        <v>35370.123672384623</v>
      </c>
      <c r="U353" s="133">
        <f t="shared" si="384"/>
        <v>35370.123672384623</v>
      </c>
      <c r="V353" s="200">
        <f t="shared" si="359"/>
        <v>34463.978158363527</v>
      </c>
      <c r="W353" s="200">
        <f t="shared" si="360"/>
        <v>34463.978158363527</v>
      </c>
      <c r="X353" s="200">
        <f t="shared" si="361"/>
        <v>34463.978158363527</v>
      </c>
      <c r="Y353" s="65">
        <v>16939.614966296118</v>
      </c>
      <c r="Z353" s="65">
        <v>17914.668069445823</v>
      </c>
      <c r="AA353" s="65">
        <v>10509.682692210672</v>
      </c>
      <c r="AB353" s="200">
        <f t="shared" si="373"/>
        <v>52378.646227809353</v>
      </c>
      <c r="AC353" s="200">
        <f t="shared" si="374"/>
        <v>52378.646227809353</v>
      </c>
      <c r="AD353" s="200">
        <f t="shared" si="375"/>
        <v>52378.646227809353</v>
      </c>
      <c r="AE353" s="199">
        <f t="shared" si="338"/>
        <v>52309.738638680741</v>
      </c>
      <c r="AF353" s="199">
        <f t="shared" si="376"/>
        <v>53284.791741830442</v>
      </c>
      <c r="AG353" s="199">
        <f t="shared" si="339"/>
        <v>45879.806364595293</v>
      </c>
      <c r="AH353" s="199">
        <f t="shared" si="385"/>
        <v>49582.299053212868</v>
      </c>
      <c r="AI353" s="200">
        <f t="shared" si="377"/>
        <v>52378.646227809353</v>
      </c>
      <c r="AJ353" s="200">
        <f t="shared" si="378"/>
        <v>52378.646227809353</v>
      </c>
      <c r="AK353" s="200">
        <f t="shared" si="379"/>
        <v>52378.646227809353</v>
      </c>
      <c r="AL353" s="4"/>
      <c r="AM353" s="4"/>
      <c r="AN353" s="4"/>
      <c r="AO353" s="4"/>
      <c r="AP353" s="63"/>
      <c r="AQ353" s="18"/>
      <c r="AR353" s="18"/>
      <c r="AS353" s="62"/>
      <c r="AT353" s="10">
        <v>3395.12</v>
      </c>
      <c r="AU353" s="133">
        <f t="shared" ref="AU353:AV416" si="388">+AU341</f>
        <v>118.17</v>
      </c>
      <c r="AV353" s="133">
        <f t="shared" si="388"/>
        <v>3225.1860000000001</v>
      </c>
      <c r="AW353" s="63"/>
      <c r="AX353" s="63"/>
      <c r="AY353" s="63"/>
      <c r="AZ353" s="64"/>
      <c r="BA353" s="65">
        <f t="shared" si="386"/>
        <v>2037.9549999999999</v>
      </c>
      <c r="BB353" s="5"/>
      <c r="BC353" s="65">
        <v>357.26093971260713</v>
      </c>
      <c r="BD353" s="65">
        <v>0</v>
      </c>
      <c r="BE353" s="65">
        <v>0</v>
      </c>
      <c r="BF353" s="65">
        <v>0</v>
      </c>
      <c r="BG353" s="65">
        <v>0</v>
      </c>
      <c r="BH353" s="65">
        <v>0</v>
      </c>
      <c r="BI353" s="65">
        <v>983.96767545238163</v>
      </c>
      <c r="BJ353" s="65">
        <v>0</v>
      </c>
      <c r="BK353" s="65">
        <v>16.565610887239799</v>
      </c>
      <c r="BL353" s="65">
        <v>0</v>
      </c>
      <c r="BM353" s="65">
        <v>0</v>
      </c>
      <c r="BN353" s="65">
        <v>0</v>
      </c>
      <c r="BO353" s="65">
        <v>212.18019192</v>
      </c>
      <c r="BP353" s="62"/>
      <c r="BQ353" s="65">
        <v>97.112257667617214</v>
      </c>
      <c r="BR353" s="65">
        <v>126.8803333537533</v>
      </c>
      <c r="BS353" s="65">
        <v>459.11160555808783</v>
      </c>
      <c r="BT353" s="65">
        <v>151.55068397316546</v>
      </c>
      <c r="BU353" s="65">
        <v>151.10699435305841</v>
      </c>
      <c r="BV353" s="144">
        <f t="shared" si="370"/>
        <v>670.51234611096845</v>
      </c>
      <c r="BW353" s="144">
        <f t="shared" si="371"/>
        <v>1443.8271866049124</v>
      </c>
      <c r="BX353" s="144">
        <f t="shared" si="372"/>
        <v>418.53987010676298</v>
      </c>
      <c r="BY353" s="5"/>
      <c r="BZ353" s="18"/>
      <c r="CA353" s="4"/>
      <c r="CB353" s="5"/>
      <c r="CC353" s="5"/>
      <c r="CD353" s="188">
        <v>0</v>
      </c>
      <c r="CE353" s="5"/>
      <c r="CF353" s="64"/>
      <c r="CG353" s="70"/>
      <c r="CH353" s="70"/>
      <c r="CI353" s="70"/>
      <c r="CJ353" s="63"/>
      <c r="CK353" s="8">
        <f t="shared" si="335"/>
        <v>13865.046695700556</v>
      </c>
      <c r="CL353" s="202">
        <f t="shared" si="315"/>
        <v>38513.599532108798</v>
      </c>
      <c r="CM353" s="202">
        <f t="shared" si="316"/>
        <v>38513.599532108798</v>
      </c>
      <c r="CN353" s="202">
        <f t="shared" si="317"/>
        <v>38513.599532108798</v>
      </c>
      <c r="CO353" s="9">
        <f t="shared" si="318"/>
        <v>38444.691942980186</v>
      </c>
      <c r="CP353" s="9">
        <f t="shared" si="319"/>
        <v>39419.745046129887</v>
      </c>
      <c r="CQ353" s="9">
        <f t="shared" si="320"/>
        <v>32014.759668894738</v>
      </c>
      <c r="CR353" s="202">
        <f t="shared" si="321"/>
        <v>38513.599532108798</v>
      </c>
      <c r="CS353" s="202">
        <f t="shared" si="322"/>
        <v>38513.599532108798</v>
      </c>
      <c r="CT353" s="202">
        <f t="shared" si="323"/>
        <v>38513.599532108798</v>
      </c>
      <c r="CU353" s="203">
        <f t="shared" si="324"/>
        <v>0.73529199980851745</v>
      </c>
      <c r="CV353" s="203">
        <f t="shared" si="325"/>
        <v>0.73529199980851745</v>
      </c>
      <c r="CW353" s="203">
        <f t="shared" si="326"/>
        <v>0.73529199980851745</v>
      </c>
      <c r="CX353" s="19">
        <f t="shared" si="327"/>
        <v>0.73494330010955233</v>
      </c>
      <c r="CY353" s="19">
        <f t="shared" si="328"/>
        <v>0.7397935462921964</v>
      </c>
      <c r="CZ353" s="19">
        <f t="shared" si="329"/>
        <v>0.69779631183448088</v>
      </c>
      <c r="DA353" s="203">
        <f t="shared" si="330"/>
        <v>0.73529199980851745</v>
      </c>
      <c r="DB353" s="203">
        <f t="shared" si="331"/>
        <v>0.73529199980851745</v>
      </c>
      <c r="DC353" s="203">
        <f t="shared" si="332"/>
        <v>0.73529199980851745</v>
      </c>
      <c r="DD353" s="65"/>
      <c r="DE353" s="66"/>
      <c r="DF353" s="66"/>
      <c r="DG353" s="66"/>
      <c r="DH353" s="66"/>
      <c r="DI353" s="66"/>
      <c r="DJ353" s="66"/>
      <c r="DK353" s="70"/>
      <c r="DL353" s="70"/>
      <c r="DM353" s="8">
        <f t="shared" si="333"/>
        <v>0</v>
      </c>
      <c r="DN353" s="8">
        <f t="shared" si="334"/>
        <v>13865.046695700556</v>
      </c>
      <c r="DO353" s="202">
        <f t="shared" si="340"/>
        <v>38513.599532108798</v>
      </c>
      <c r="DP353" s="202">
        <f t="shared" si="341"/>
        <v>38513.599532108798</v>
      </c>
      <c r="DQ353" s="202">
        <f t="shared" si="342"/>
        <v>38513.599532108798</v>
      </c>
      <c r="DR353" s="9">
        <f t="shared" si="343"/>
        <v>38444.691942980186</v>
      </c>
      <c r="DS353" s="9">
        <f t="shared" si="336"/>
        <v>39419.745046129887</v>
      </c>
      <c r="DT353" s="9">
        <f t="shared" si="344"/>
        <v>32014.759668894738</v>
      </c>
      <c r="DU353" s="202">
        <f t="shared" si="345"/>
        <v>38513.599532108798</v>
      </c>
      <c r="DV353" s="202">
        <f t="shared" si="346"/>
        <v>38513.599532108798</v>
      </c>
      <c r="DW353" s="202">
        <f t="shared" si="347"/>
        <v>38513.599532108798</v>
      </c>
      <c r="DX353" s="203">
        <f t="shared" si="348"/>
        <v>0.73529199980851745</v>
      </c>
      <c r="DY353" s="203">
        <f t="shared" si="349"/>
        <v>0.73529199980851745</v>
      </c>
      <c r="DZ353" s="203">
        <f t="shared" si="350"/>
        <v>0.73529199980851745</v>
      </c>
      <c r="EA353" s="19">
        <f t="shared" si="351"/>
        <v>0.73494330010955233</v>
      </c>
      <c r="EB353" s="19">
        <f t="shared" si="337"/>
        <v>0.7397935462921964</v>
      </c>
      <c r="EC353" s="19">
        <f t="shared" si="352"/>
        <v>0.69779631183448088</v>
      </c>
      <c r="ED353" s="203">
        <f t="shared" si="353"/>
        <v>0.73529199980851745</v>
      </c>
      <c r="EE353" s="203">
        <f t="shared" si="354"/>
        <v>0.73529199980851745</v>
      </c>
      <c r="EF353" s="203">
        <f t="shared" si="355"/>
        <v>0.73529199980851745</v>
      </c>
      <c r="EH353" s="58">
        <f t="shared" si="364"/>
        <v>13194.534349589587</v>
      </c>
      <c r="EI353" s="68">
        <f t="shared" si="365"/>
        <v>0.24762289423065179</v>
      </c>
      <c r="EJ353" s="58">
        <f t="shared" si="366"/>
        <v>13194.534349589587</v>
      </c>
      <c r="EK353" s="68">
        <f t="shared" si="365"/>
        <v>0.24762289423065179</v>
      </c>
      <c r="EL353" s="58">
        <f t="shared" si="367"/>
        <v>3999.5634794828234</v>
      </c>
      <c r="EM353" s="58">
        <f t="shared" si="368"/>
        <v>4418.1033495895863</v>
      </c>
      <c r="EN353" s="68">
        <f t="shared" si="369"/>
        <v>8.2914903205321508E-2</v>
      </c>
      <c r="EO353" s="139">
        <f t="shared" si="387"/>
        <v>0.35739486552628164</v>
      </c>
      <c r="EP353">
        <f>+(SUM(M353:O353)*EO353*(1-'[1]Tier 3 Data'!$A$2))</f>
        <v>1206.5530589959424</v>
      </c>
    </row>
    <row r="354" spans="1:146" x14ac:dyDescent="0.2">
      <c r="A354" s="43">
        <v>0</v>
      </c>
      <c r="B354" s="43">
        <v>0</v>
      </c>
      <c r="C354" s="43">
        <v>0</v>
      </c>
      <c r="D354" s="70">
        <v>2036</v>
      </c>
      <c r="E354" s="70">
        <v>11</v>
      </c>
      <c r="F354" s="2">
        <v>721</v>
      </c>
      <c r="G354" s="133">
        <f t="shared" si="380"/>
        <v>43590.256735468218</v>
      </c>
      <c r="H354" s="65">
        <v>43590.256735468218</v>
      </c>
      <c r="I354" s="133">
        <f t="shared" si="381"/>
        <v>43590.256735468218</v>
      </c>
      <c r="J354" s="133">
        <f t="shared" si="362"/>
        <v>5683.394437500001</v>
      </c>
      <c r="K354" s="65">
        <v>5683.394437500001</v>
      </c>
      <c r="L354" s="133">
        <f t="shared" si="363"/>
        <v>5683.394437500001</v>
      </c>
      <c r="M354" s="65">
        <v>391.15101618171565</v>
      </c>
      <c r="N354" s="65">
        <v>842.27303867993726</v>
      </c>
      <c r="O354" s="65">
        <v>244.55797138332133</v>
      </c>
      <c r="P354" s="200">
        <f t="shared" si="356"/>
        <v>37463.467690094723</v>
      </c>
      <c r="Q354" s="200">
        <f t="shared" si="357"/>
        <v>37463.467690094723</v>
      </c>
      <c r="R354" s="200">
        <f t="shared" si="358"/>
        <v>37463.467690094723</v>
      </c>
      <c r="S354" s="133">
        <f t="shared" si="382"/>
        <v>37833.49490655322</v>
      </c>
      <c r="T354" s="133">
        <f t="shared" si="383"/>
        <v>37833.49490655322</v>
      </c>
      <c r="U354" s="133">
        <f t="shared" si="384"/>
        <v>37833.49490655322</v>
      </c>
      <c r="V354" s="200">
        <f t="shared" si="359"/>
        <v>37463.467690094723</v>
      </c>
      <c r="W354" s="200">
        <f t="shared" si="360"/>
        <v>37463.467690094723</v>
      </c>
      <c r="X354" s="200">
        <f t="shared" si="361"/>
        <v>37463.467690094723</v>
      </c>
      <c r="Y354" s="65">
        <v>23210.216731166947</v>
      </c>
      <c r="Z354" s="65">
        <v>27519.266979948417</v>
      </c>
      <c r="AA354" s="65">
        <v>15146.204702620764</v>
      </c>
      <c r="AB354" s="200">
        <f t="shared" si="373"/>
        <v>64982.734670043137</v>
      </c>
      <c r="AC354" s="200">
        <f t="shared" si="374"/>
        <v>64982.734670043137</v>
      </c>
      <c r="AD354" s="200">
        <f t="shared" si="375"/>
        <v>64982.734670043137</v>
      </c>
      <c r="AE354" s="199">
        <f t="shared" si="338"/>
        <v>61043.711637720167</v>
      </c>
      <c r="AF354" s="199">
        <f t="shared" si="376"/>
        <v>65352.761886501641</v>
      </c>
      <c r="AG354" s="199">
        <f t="shared" si="339"/>
        <v>52979.699609173986</v>
      </c>
      <c r="AH354" s="199">
        <f t="shared" si="385"/>
        <v>59166.230747837813</v>
      </c>
      <c r="AI354" s="200">
        <f t="shared" si="377"/>
        <v>64982.734670043137</v>
      </c>
      <c r="AJ354" s="200">
        <f t="shared" si="378"/>
        <v>64982.734670043137</v>
      </c>
      <c r="AK354" s="200">
        <f t="shared" si="379"/>
        <v>64982.734670043137</v>
      </c>
      <c r="AL354" s="4"/>
      <c r="AM354" s="4"/>
      <c r="AN354" s="4"/>
      <c r="AO354" s="4"/>
      <c r="AP354" s="63"/>
      <c r="AQ354" s="18"/>
      <c r="AR354" s="18"/>
      <c r="AS354" s="62"/>
      <c r="AT354" s="10">
        <v>3285.6</v>
      </c>
      <c r="AU354" s="133">
        <f t="shared" si="388"/>
        <v>104.364</v>
      </c>
      <c r="AV354" s="133">
        <f t="shared" si="388"/>
        <v>3268.3739999999998</v>
      </c>
      <c r="AW354" s="63"/>
      <c r="AX354" s="63"/>
      <c r="AY354" s="63"/>
      <c r="AZ354" s="64"/>
      <c r="BA354" s="65">
        <f t="shared" si="386"/>
        <v>1760</v>
      </c>
      <c r="BB354" s="5"/>
      <c r="BC354" s="65">
        <v>261.48799656322313</v>
      </c>
      <c r="BD354" s="65">
        <v>0</v>
      </c>
      <c r="BE354" s="65">
        <v>0</v>
      </c>
      <c r="BF354" s="65">
        <v>0</v>
      </c>
      <c r="BG354" s="65">
        <v>0</v>
      </c>
      <c r="BH354" s="65">
        <v>0</v>
      </c>
      <c r="BI354" s="65">
        <v>720.18994392164097</v>
      </c>
      <c r="BJ354" s="65">
        <v>0</v>
      </c>
      <c r="BK354" s="65">
        <v>19.844702933795372</v>
      </c>
      <c r="BL354" s="65">
        <v>0</v>
      </c>
      <c r="BM354" s="65">
        <v>0</v>
      </c>
      <c r="BN354" s="65">
        <v>0</v>
      </c>
      <c r="BO354" s="65">
        <v>205.33566960000002</v>
      </c>
      <c r="BP354" s="62"/>
      <c r="BQ354" s="65">
        <v>59.858081161998072</v>
      </c>
      <c r="BR354" s="65">
        <v>78.206535019101665</v>
      </c>
      <c r="BS354" s="65">
        <v>282.98733894813222</v>
      </c>
      <c r="BT354" s="65">
        <v>104.53093523984572</v>
      </c>
      <c r="BU354" s="65">
        <v>116.25684629488336</v>
      </c>
      <c r="BV354" s="144">
        <f t="shared" si="370"/>
        <v>273.80571132720092</v>
      </c>
      <c r="BW354" s="144">
        <f t="shared" si="371"/>
        <v>589.59112707595602</v>
      </c>
      <c r="BX354" s="144">
        <f t="shared" si="372"/>
        <v>171.19057996832493</v>
      </c>
      <c r="BY354" s="5"/>
      <c r="BZ354" s="18"/>
      <c r="CA354" s="4"/>
      <c r="CB354" s="5"/>
      <c r="CC354" s="5"/>
      <c r="CD354" s="188">
        <v>3.0642236760841479</v>
      </c>
      <c r="CE354" s="5"/>
      <c r="CF354" s="64"/>
      <c r="CG354" s="70"/>
      <c r="CH354" s="70"/>
      <c r="CI354" s="70"/>
      <c r="CJ354" s="63"/>
      <c r="CK354" s="8">
        <f t="shared" si="335"/>
        <v>11304.687691730185</v>
      </c>
      <c r="CL354" s="202">
        <f t="shared" si="315"/>
        <v>53678.046978312952</v>
      </c>
      <c r="CM354" s="202">
        <f t="shared" si="316"/>
        <v>53678.046978312952</v>
      </c>
      <c r="CN354" s="202">
        <f t="shared" si="317"/>
        <v>53678.046978312952</v>
      </c>
      <c r="CO354" s="9">
        <f t="shared" si="318"/>
        <v>49739.023945989982</v>
      </c>
      <c r="CP354" s="9">
        <f t="shared" si="319"/>
        <v>54048.074194771456</v>
      </c>
      <c r="CQ354" s="9">
        <f t="shared" si="320"/>
        <v>41675.0119174438</v>
      </c>
      <c r="CR354" s="202">
        <f t="shared" si="321"/>
        <v>53678.046978312952</v>
      </c>
      <c r="CS354" s="202">
        <f t="shared" si="322"/>
        <v>53678.046978312952</v>
      </c>
      <c r="CT354" s="202">
        <f t="shared" si="323"/>
        <v>53678.046978312952</v>
      </c>
      <c r="CU354" s="203">
        <f t="shared" si="324"/>
        <v>0.82603551929399466</v>
      </c>
      <c r="CV354" s="203">
        <f t="shared" si="325"/>
        <v>0.82603551929399466</v>
      </c>
      <c r="CW354" s="203">
        <f t="shared" si="326"/>
        <v>0.82603551929399466</v>
      </c>
      <c r="CX354" s="19">
        <f t="shared" si="327"/>
        <v>0.81480995521994459</v>
      </c>
      <c r="CY354" s="19">
        <f t="shared" si="328"/>
        <v>0.82702050586074582</v>
      </c>
      <c r="CZ354" s="19">
        <f t="shared" si="329"/>
        <v>0.78662227654887151</v>
      </c>
      <c r="DA354" s="203">
        <f t="shared" si="330"/>
        <v>0.82603551929399466</v>
      </c>
      <c r="DB354" s="203">
        <f t="shared" si="331"/>
        <v>0.82603551929399466</v>
      </c>
      <c r="DC354" s="203">
        <f t="shared" si="332"/>
        <v>0.82603551929399466</v>
      </c>
      <c r="DD354" s="65"/>
      <c r="DE354" s="66"/>
      <c r="DF354" s="66"/>
      <c r="DG354" s="66"/>
      <c r="DH354" s="66"/>
      <c r="DI354" s="66"/>
      <c r="DJ354" s="66"/>
      <c r="DK354" s="70"/>
      <c r="DL354" s="70"/>
      <c r="DM354" s="8">
        <f t="shared" si="333"/>
        <v>0</v>
      </c>
      <c r="DN354" s="8">
        <f t="shared" si="334"/>
        <v>11304.687691730185</v>
      </c>
      <c r="DO354" s="202">
        <f t="shared" si="340"/>
        <v>53678.046978312952</v>
      </c>
      <c r="DP354" s="202">
        <f t="shared" si="341"/>
        <v>53678.046978312952</v>
      </c>
      <c r="DQ354" s="202">
        <f t="shared" si="342"/>
        <v>53678.046978312952</v>
      </c>
      <c r="DR354" s="9">
        <f t="shared" si="343"/>
        <v>49739.023945989982</v>
      </c>
      <c r="DS354" s="9">
        <f t="shared" si="336"/>
        <v>54048.074194771456</v>
      </c>
      <c r="DT354" s="9">
        <f t="shared" si="344"/>
        <v>41675.0119174438</v>
      </c>
      <c r="DU354" s="202">
        <f t="shared" si="345"/>
        <v>53678.046978312952</v>
      </c>
      <c r="DV354" s="202">
        <f t="shared" si="346"/>
        <v>53678.046978312952</v>
      </c>
      <c r="DW354" s="202">
        <f t="shared" si="347"/>
        <v>53678.046978312952</v>
      </c>
      <c r="DX354" s="203">
        <f t="shared" si="348"/>
        <v>0.82603551929399466</v>
      </c>
      <c r="DY354" s="203">
        <f t="shared" si="349"/>
        <v>0.82603551929399466</v>
      </c>
      <c r="DZ354" s="203">
        <f t="shared" si="350"/>
        <v>0.82603551929399466</v>
      </c>
      <c r="EA354" s="19">
        <f t="shared" si="351"/>
        <v>0.81480995521994459</v>
      </c>
      <c r="EB354" s="19">
        <f t="shared" si="337"/>
        <v>0.82702050586074582</v>
      </c>
      <c r="EC354" s="19">
        <f t="shared" si="352"/>
        <v>0.78662227654887151</v>
      </c>
      <c r="ED354" s="203">
        <f t="shared" si="353"/>
        <v>0.82603551929399466</v>
      </c>
      <c r="EE354" s="203">
        <f t="shared" si="354"/>
        <v>0.82603551929399466</v>
      </c>
      <c r="EF354" s="203">
        <f t="shared" si="355"/>
        <v>0.82603551929399466</v>
      </c>
      <c r="EH354" s="58">
        <f t="shared" si="364"/>
        <v>11027.817756726899</v>
      </c>
      <c r="EI354" s="68">
        <f t="shared" si="365"/>
        <v>0.16874294885775368</v>
      </c>
      <c r="EJ354" s="58">
        <f t="shared" si="366"/>
        <v>11027.817756726899</v>
      </c>
      <c r="EK354" s="68">
        <f t="shared" si="365"/>
        <v>0.16874294885775368</v>
      </c>
      <c r="EL354" s="58">
        <f t="shared" si="367"/>
        <v>2438.289176758577</v>
      </c>
      <c r="EM354" s="58">
        <f t="shared" si="368"/>
        <v>2609.479756726902</v>
      </c>
      <c r="EN354" s="68">
        <f t="shared" si="369"/>
        <v>3.9929142723283739E-2</v>
      </c>
      <c r="EO354" s="139">
        <f t="shared" si="387"/>
        <v>0.4050825009776523</v>
      </c>
      <c r="EP354">
        <f>+(SUM(M354:O354)*EO354*(1-'[1]Tier 3 Data'!$A$2))</f>
        <v>558.59144366671308</v>
      </c>
    </row>
    <row r="355" spans="1:146" x14ac:dyDescent="0.2">
      <c r="A355" s="43">
        <v>0</v>
      </c>
      <c r="B355" s="43">
        <v>0</v>
      </c>
      <c r="C355" s="43">
        <v>0</v>
      </c>
      <c r="D355" s="70">
        <v>2036</v>
      </c>
      <c r="E355" s="70">
        <v>12</v>
      </c>
      <c r="F355" s="2">
        <v>744</v>
      </c>
      <c r="G355" s="133">
        <f t="shared" si="380"/>
        <v>49493.317217133445</v>
      </c>
      <c r="H355" s="65">
        <v>49493.317217133445</v>
      </c>
      <c r="I355" s="133">
        <f t="shared" si="381"/>
        <v>49493.317217133445</v>
      </c>
      <c r="J355" s="133">
        <f t="shared" si="362"/>
        <v>5722.8285000000014</v>
      </c>
      <c r="K355" s="65">
        <v>5722.8285000000014</v>
      </c>
      <c r="L355" s="133">
        <f t="shared" si="363"/>
        <v>5722.8285000000014</v>
      </c>
      <c r="M355" s="65">
        <v>248.30627982623952</v>
      </c>
      <c r="N355" s="65">
        <v>534.68270867382159</v>
      </c>
      <c r="O355" s="65">
        <v>155.40851063030055</v>
      </c>
      <c r="P355" s="200">
        <f t="shared" si="356"/>
        <v>43488.96946739433</v>
      </c>
      <c r="Q355" s="200">
        <f t="shared" si="357"/>
        <v>43488.96946739433</v>
      </c>
      <c r="R355" s="200">
        <f t="shared" si="358"/>
        <v>43488.96946739433</v>
      </c>
      <c r="S355" s="133">
        <f t="shared" si="382"/>
        <v>43723.866163944353</v>
      </c>
      <c r="T355" s="133">
        <f t="shared" si="383"/>
        <v>43723.866163944353</v>
      </c>
      <c r="U355" s="133">
        <f t="shared" si="384"/>
        <v>43723.866163944353</v>
      </c>
      <c r="V355" s="200">
        <f t="shared" si="359"/>
        <v>43488.96946739433</v>
      </c>
      <c r="W355" s="200">
        <f t="shared" si="360"/>
        <v>43488.96946739433</v>
      </c>
      <c r="X355" s="200">
        <f t="shared" si="361"/>
        <v>43488.96946739433</v>
      </c>
      <c r="Y355" s="65">
        <v>25314.959054154369</v>
      </c>
      <c r="Z355" s="65">
        <v>29410.143504119616</v>
      </c>
      <c r="AA355" s="65">
        <v>16426.877465034981</v>
      </c>
      <c r="AB355" s="200">
        <f t="shared" si="373"/>
        <v>72899.11297151394</v>
      </c>
      <c r="AC355" s="200">
        <f t="shared" si="374"/>
        <v>72899.11297151394</v>
      </c>
      <c r="AD355" s="200">
        <f t="shared" si="375"/>
        <v>72899.11297151394</v>
      </c>
      <c r="AE355" s="199">
        <f t="shared" si="338"/>
        <v>69038.825218098718</v>
      </c>
      <c r="AF355" s="199">
        <f t="shared" si="376"/>
        <v>73134.009668063969</v>
      </c>
      <c r="AG355" s="199">
        <f t="shared" si="339"/>
        <v>60150.743628979333</v>
      </c>
      <c r="AH355" s="199">
        <f t="shared" si="385"/>
        <v>66642.376648521647</v>
      </c>
      <c r="AI355" s="200">
        <f t="shared" si="377"/>
        <v>72899.11297151394</v>
      </c>
      <c r="AJ355" s="200">
        <f t="shared" si="378"/>
        <v>72899.11297151394</v>
      </c>
      <c r="AK355" s="200">
        <f t="shared" si="379"/>
        <v>72899.11297151394</v>
      </c>
      <c r="AL355" s="4"/>
      <c r="AM355" s="4"/>
      <c r="AN355" s="4"/>
      <c r="AO355" s="4"/>
      <c r="AP355" s="63"/>
      <c r="AQ355" s="18"/>
      <c r="AR355" s="18"/>
      <c r="AS355" s="62"/>
      <c r="AT355" s="10">
        <v>3395.12</v>
      </c>
      <c r="AU355" s="133">
        <f t="shared" si="388"/>
        <v>105.066</v>
      </c>
      <c r="AV355" s="133">
        <f t="shared" si="388"/>
        <v>3218.8470000000002</v>
      </c>
      <c r="AW355" s="63"/>
      <c r="AX355" s="63"/>
      <c r="AY355" s="63"/>
      <c r="AZ355" s="64"/>
      <c r="BA355" s="65">
        <f t="shared" si="386"/>
        <v>2363</v>
      </c>
      <c r="BB355" s="5"/>
      <c r="BC355" s="65">
        <v>122.53565201705359</v>
      </c>
      <c r="BD355" s="65">
        <v>0</v>
      </c>
      <c r="BE355" s="65">
        <v>0</v>
      </c>
      <c r="BF355" s="65">
        <v>0</v>
      </c>
      <c r="BG355" s="65">
        <v>0</v>
      </c>
      <c r="BH355" s="65">
        <v>0</v>
      </c>
      <c r="BI355" s="65">
        <v>337.48755397736397</v>
      </c>
      <c r="BJ355" s="65">
        <v>0</v>
      </c>
      <c r="BK355" s="65">
        <v>20.28324216774827</v>
      </c>
      <c r="BL355" s="65">
        <v>0</v>
      </c>
      <c r="BM355" s="65">
        <v>0</v>
      </c>
      <c r="BN355" s="65">
        <v>0</v>
      </c>
      <c r="BO355" s="65">
        <v>212.18019192</v>
      </c>
      <c r="BP355" s="62"/>
      <c r="BQ355" s="65">
        <v>54.539268434324995</v>
      </c>
      <c r="BR355" s="65">
        <v>70.901019305899581</v>
      </c>
      <c r="BS355" s="65">
        <v>257.84182008684587</v>
      </c>
      <c r="BT355" s="65">
        <v>96.241797727579552</v>
      </c>
      <c r="BU355" s="65">
        <v>102.31686434478713</v>
      </c>
      <c r="BV355" s="144">
        <f t="shared" si="370"/>
        <v>173.81439587836766</v>
      </c>
      <c r="BW355" s="144">
        <f t="shared" si="371"/>
        <v>374.27789607167512</v>
      </c>
      <c r="BX355" s="144">
        <f t="shared" si="372"/>
        <v>108.78595744121039</v>
      </c>
      <c r="BY355" s="5"/>
      <c r="BZ355" s="18"/>
      <c r="CA355" s="4"/>
      <c r="CB355" s="5"/>
      <c r="CC355" s="5"/>
      <c r="CD355" s="188">
        <v>4.9023166732340453</v>
      </c>
      <c r="CE355" s="5"/>
      <c r="CF355" s="64"/>
      <c r="CG355" s="70"/>
      <c r="CH355" s="70"/>
      <c r="CI355" s="70"/>
      <c r="CJ355" s="63"/>
      <c r="CK355" s="8">
        <f t="shared" si="335"/>
        <v>11018.14097604609</v>
      </c>
      <c r="CL355" s="202">
        <f t="shared" si="315"/>
        <v>61880.971995467851</v>
      </c>
      <c r="CM355" s="202">
        <f t="shared" si="316"/>
        <v>61880.971995467851</v>
      </c>
      <c r="CN355" s="202">
        <f t="shared" si="317"/>
        <v>61880.971995467851</v>
      </c>
      <c r="CO355" s="9">
        <f t="shared" si="318"/>
        <v>58020.68424205263</v>
      </c>
      <c r="CP355" s="9">
        <f t="shared" si="319"/>
        <v>62115.868692017881</v>
      </c>
      <c r="CQ355" s="9">
        <f t="shared" si="320"/>
        <v>49132.602652933245</v>
      </c>
      <c r="CR355" s="202">
        <f t="shared" si="321"/>
        <v>61880.971995467851</v>
      </c>
      <c r="CS355" s="202">
        <f t="shared" si="322"/>
        <v>61880.971995467851</v>
      </c>
      <c r="CT355" s="202">
        <f t="shared" si="323"/>
        <v>61880.971995467851</v>
      </c>
      <c r="CU355" s="203">
        <f t="shared" si="324"/>
        <v>0.84885768115791016</v>
      </c>
      <c r="CV355" s="203">
        <f t="shared" si="325"/>
        <v>0.84885768115791016</v>
      </c>
      <c r="CW355" s="203">
        <f t="shared" si="326"/>
        <v>0.84885768115791016</v>
      </c>
      <c r="CX355" s="19">
        <f t="shared" si="327"/>
        <v>0.84040659815344521</v>
      </c>
      <c r="CY355" s="19">
        <f t="shared" si="328"/>
        <v>0.84934313015169638</v>
      </c>
      <c r="CZ355" s="19">
        <f t="shared" si="329"/>
        <v>0.81682452599409283</v>
      </c>
      <c r="DA355" s="203">
        <f t="shared" si="330"/>
        <v>0.84885768115791016</v>
      </c>
      <c r="DB355" s="203">
        <f t="shared" si="331"/>
        <v>0.84885768115791016</v>
      </c>
      <c r="DC355" s="203">
        <f t="shared" si="332"/>
        <v>0.84885768115791016</v>
      </c>
      <c r="DD355" s="65"/>
      <c r="DE355" s="66"/>
      <c r="DF355" s="66"/>
      <c r="DG355" s="66"/>
      <c r="DH355" s="66"/>
      <c r="DI355" s="66"/>
      <c r="DJ355" s="66"/>
      <c r="DK355" s="70"/>
      <c r="DL355" s="70"/>
      <c r="DM355" s="8">
        <f t="shared" si="333"/>
        <v>0</v>
      </c>
      <c r="DN355" s="8">
        <f t="shared" si="334"/>
        <v>11018.14097604609</v>
      </c>
      <c r="DO355" s="202">
        <f t="shared" si="340"/>
        <v>61880.971995467851</v>
      </c>
      <c r="DP355" s="202">
        <f t="shared" si="341"/>
        <v>61880.971995467851</v>
      </c>
      <c r="DQ355" s="202">
        <f t="shared" si="342"/>
        <v>61880.971995467851</v>
      </c>
      <c r="DR355" s="9">
        <f t="shared" si="343"/>
        <v>58020.68424205263</v>
      </c>
      <c r="DS355" s="9">
        <f t="shared" si="336"/>
        <v>62115.868692017881</v>
      </c>
      <c r="DT355" s="9">
        <f t="shared" si="344"/>
        <v>49132.602652933245</v>
      </c>
      <c r="DU355" s="202">
        <f t="shared" si="345"/>
        <v>61880.971995467851</v>
      </c>
      <c r="DV355" s="202">
        <f t="shared" si="346"/>
        <v>61880.971995467851</v>
      </c>
      <c r="DW355" s="202">
        <f t="shared" si="347"/>
        <v>61880.971995467851</v>
      </c>
      <c r="DX355" s="203">
        <f t="shared" si="348"/>
        <v>0.84885768115791016</v>
      </c>
      <c r="DY355" s="203">
        <f t="shared" si="349"/>
        <v>0.84885768115791016</v>
      </c>
      <c r="DZ355" s="203">
        <f t="shared" si="350"/>
        <v>0.84885768115791016</v>
      </c>
      <c r="EA355" s="19">
        <f t="shared" si="351"/>
        <v>0.84040659815344521</v>
      </c>
      <c r="EB355" s="19">
        <f t="shared" si="337"/>
        <v>0.84934313015169638</v>
      </c>
      <c r="EC355" s="19">
        <f t="shared" si="352"/>
        <v>0.81682452599409283</v>
      </c>
      <c r="ED355" s="203">
        <f t="shared" si="353"/>
        <v>0.84885768115791016</v>
      </c>
      <c r="EE355" s="203">
        <f t="shared" si="354"/>
        <v>0.84885768115791016</v>
      </c>
      <c r="EF355" s="203">
        <f t="shared" si="355"/>
        <v>0.84885768115791016</v>
      </c>
      <c r="EH355" s="58">
        <f t="shared" si="364"/>
        <v>10839.424263494489</v>
      </c>
      <c r="EI355" s="68">
        <f t="shared" si="365"/>
        <v>0.14821318170153372</v>
      </c>
      <c r="EJ355" s="58">
        <f t="shared" si="366"/>
        <v>10839.424263494489</v>
      </c>
      <c r="EK355" s="68">
        <f t="shared" si="365"/>
        <v>0.14821318170153372</v>
      </c>
      <c r="EL355" s="58">
        <f t="shared" si="367"/>
        <v>1648.6053060532779</v>
      </c>
      <c r="EM355" s="58">
        <f t="shared" si="368"/>
        <v>1757.3912634944884</v>
      </c>
      <c r="EN355" s="68">
        <f t="shared" si="369"/>
        <v>2.4029740355695318E-2</v>
      </c>
      <c r="EO355" s="139">
        <f t="shared" si="387"/>
        <v>0.32946562535829382</v>
      </c>
      <c r="EP355">
        <f>+(SUM(M355:O355)*EO355*(1-'[1]Tier 3 Data'!$A$2))</f>
        <v>288.4553477203055</v>
      </c>
    </row>
    <row r="356" spans="1:146" x14ac:dyDescent="0.2">
      <c r="A356" s="43">
        <v>0</v>
      </c>
      <c r="B356" s="43">
        <v>0</v>
      </c>
      <c r="C356" s="43">
        <v>0</v>
      </c>
      <c r="D356" s="70">
        <v>2037</v>
      </c>
      <c r="E356" s="70">
        <v>1</v>
      </c>
      <c r="F356" s="2">
        <v>744</v>
      </c>
      <c r="G356" s="133">
        <f t="shared" si="380"/>
        <v>51202.127901703934</v>
      </c>
      <c r="H356" s="65">
        <v>51202.127901703934</v>
      </c>
      <c r="I356" s="133">
        <f t="shared" si="381"/>
        <v>51202.127901703934</v>
      </c>
      <c r="J356" s="133">
        <f t="shared" si="362"/>
        <v>5762.5450000000019</v>
      </c>
      <c r="K356" s="65">
        <v>5762.5450000000019</v>
      </c>
      <c r="L356" s="133">
        <f t="shared" si="363"/>
        <v>5762.5450000000019</v>
      </c>
      <c r="M356" s="65">
        <v>350.79787520860157</v>
      </c>
      <c r="N356" s="65">
        <v>755.37984075477868</v>
      </c>
      <c r="O356" s="65">
        <v>219.64931607627824</v>
      </c>
      <c r="P356" s="200">
        <f t="shared" si="356"/>
        <v>45041.834792092035</v>
      </c>
      <c r="Q356" s="200">
        <f t="shared" si="357"/>
        <v>45041.834792092035</v>
      </c>
      <c r="R356" s="200">
        <f t="shared" si="358"/>
        <v>45041.834792092035</v>
      </c>
      <c r="S356" s="133">
        <f t="shared" si="382"/>
        <v>45373.688106881054</v>
      </c>
      <c r="T356" s="133">
        <f t="shared" si="383"/>
        <v>45373.688106881054</v>
      </c>
      <c r="U356" s="133">
        <f t="shared" si="384"/>
        <v>45373.688106881054</v>
      </c>
      <c r="V356" s="200">
        <f t="shared" si="359"/>
        <v>45041.834792092035</v>
      </c>
      <c r="W356" s="200">
        <f t="shared" si="360"/>
        <v>45041.834792092035</v>
      </c>
      <c r="X356" s="200">
        <f t="shared" si="361"/>
        <v>45041.834792092035</v>
      </c>
      <c r="Y356" s="65">
        <v>26351.12033342247</v>
      </c>
      <c r="Z356" s="65">
        <v>31343.871488521818</v>
      </c>
      <c r="AA356" s="65">
        <v>17347.312010104815</v>
      </c>
      <c r="AB356" s="200">
        <f t="shared" si="373"/>
        <v>76385.706280613857</v>
      </c>
      <c r="AC356" s="200">
        <f t="shared" si="374"/>
        <v>76385.706280613857</v>
      </c>
      <c r="AD356" s="200">
        <f t="shared" si="375"/>
        <v>76385.706280613857</v>
      </c>
      <c r="AE356" s="199">
        <f t="shared" si="338"/>
        <v>71724.808440303517</v>
      </c>
      <c r="AF356" s="199">
        <f t="shared" si="376"/>
        <v>76717.559595402869</v>
      </c>
      <c r="AG356" s="199">
        <f t="shared" si="339"/>
        <v>62721.000116985873</v>
      </c>
      <c r="AH356" s="199">
        <f t="shared" si="385"/>
        <v>69719.279856194364</v>
      </c>
      <c r="AI356" s="200">
        <f t="shared" si="377"/>
        <v>76385.706280613857</v>
      </c>
      <c r="AJ356" s="200">
        <f t="shared" si="378"/>
        <v>76385.706280613857</v>
      </c>
      <c r="AK356" s="200">
        <f t="shared" si="379"/>
        <v>76385.706280613857</v>
      </c>
      <c r="AL356" s="4"/>
      <c r="AM356" s="4"/>
      <c r="AN356" s="4"/>
      <c r="AO356" s="4"/>
      <c r="AP356" s="63"/>
      <c r="AQ356" s="18"/>
      <c r="AR356" s="18"/>
      <c r="AS356" s="62"/>
      <c r="AT356" s="10">
        <v>3395.12</v>
      </c>
      <c r="AU356" s="133">
        <f t="shared" si="388"/>
        <v>98.513999999999996</v>
      </c>
      <c r="AV356" s="133">
        <f t="shared" si="388"/>
        <v>3278.6750000000002</v>
      </c>
      <c r="AW356" s="63"/>
      <c r="AX356" s="63"/>
      <c r="AY356" s="63"/>
      <c r="AZ356" s="64"/>
      <c r="BA356" s="65">
        <f t="shared" si="386"/>
        <v>2225.2240000000002</v>
      </c>
      <c r="BB356" s="5"/>
      <c r="BC356" s="65">
        <v>172.79357376320434</v>
      </c>
      <c r="BD356" s="65">
        <v>0</v>
      </c>
      <c r="BE356" s="65">
        <v>0</v>
      </c>
      <c r="BF356" s="65">
        <v>0</v>
      </c>
      <c r="BG356" s="65">
        <v>0</v>
      </c>
      <c r="BH356" s="65">
        <v>0</v>
      </c>
      <c r="BI356" s="65">
        <v>476.06991176380893</v>
      </c>
      <c r="BJ356" s="65">
        <v>0</v>
      </c>
      <c r="BK356" s="65">
        <v>22.517673403701547</v>
      </c>
      <c r="BL356" s="65">
        <v>0</v>
      </c>
      <c r="BM356" s="65">
        <v>0</v>
      </c>
      <c r="BN356" s="65">
        <v>0</v>
      </c>
      <c r="BO356" s="65">
        <v>212.18019192</v>
      </c>
      <c r="BP356" s="62"/>
      <c r="BQ356" s="65">
        <v>77.172553292117072</v>
      </c>
      <c r="BR356" s="65">
        <v>100.82849967020076</v>
      </c>
      <c r="BS356" s="65">
        <v>364.84404844451262</v>
      </c>
      <c r="BT356" s="65">
        <v>124.73190336451631</v>
      </c>
      <c r="BU356" s="65">
        <v>142.56467450985991</v>
      </c>
      <c r="BV356" s="144">
        <f t="shared" si="370"/>
        <v>245.55851264602109</v>
      </c>
      <c r="BW356" s="144">
        <f t="shared" si="371"/>
        <v>528.76588852834504</v>
      </c>
      <c r="BX356" s="144">
        <f t="shared" si="372"/>
        <v>153.75452125339476</v>
      </c>
      <c r="BY356" s="5"/>
      <c r="BZ356" s="18"/>
      <c r="CA356" s="4"/>
      <c r="CB356" s="5"/>
      <c r="CC356" s="5"/>
      <c r="CD356" s="188">
        <v>2.5304839482857915</v>
      </c>
      <c r="CE356" s="5"/>
      <c r="CF356" s="64"/>
      <c r="CG356" s="70"/>
      <c r="CH356" s="70"/>
      <c r="CI356" s="70"/>
      <c r="CJ356" s="63"/>
      <c r="CK356" s="8">
        <f t="shared" si="335"/>
        <v>11621.845436507969</v>
      </c>
      <c r="CL356" s="202">
        <f t="shared" si="315"/>
        <v>64763.86084410589</v>
      </c>
      <c r="CM356" s="202">
        <f t="shared" si="316"/>
        <v>64763.86084410589</v>
      </c>
      <c r="CN356" s="202">
        <f t="shared" si="317"/>
        <v>64763.86084410589</v>
      </c>
      <c r="CO356" s="9">
        <f t="shared" si="318"/>
        <v>60102.96300379555</v>
      </c>
      <c r="CP356" s="9">
        <f t="shared" si="319"/>
        <v>65095.714158894902</v>
      </c>
      <c r="CQ356" s="9">
        <f t="shared" si="320"/>
        <v>51099.154680477906</v>
      </c>
      <c r="CR356" s="202">
        <f t="shared" si="321"/>
        <v>64763.86084410589</v>
      </c>
      <c r="CS356" s="202">
        <f t="shared" si="322"/>
        <v>64763.86084410589</v>
      </c>
      <c r="CT356" s="202">
        <f t="shared" si="323"/>
        <v>64763.86084410589</v>
      </c>
      <c r="CU356" s="203">
        <f t="shared" si="324"/>
        <v>0.84785313899156145</v>
      </c>
      <c r="CV356" s="203">
        <f t="shared" si="325"/>
        <v>0.84785313899156145</v>
      </c>
      <c r="CW356" s="203">
        <f t="shared" si="326"/>
        <v>0.84785313899156145</v>
      </c>
      <c r="CX356" s="19">
        <f t="shared" si="327"/>
        <v>0.83796616973636373</v>
      </c>
      <c r="CY356" s="19">
        <f t="shared" si="328"/>
        <v>0.84851127306708041</v>
      </c>
      <c r="CZ356" s="19">
        <f t="shared" si="329"/>
        <v>0.81470567409908723</v>
      </c>
      <c r="DA356" s="203">
        <f t="shared" si="330"/>
        <v>0.84785313899156145</v>
      </c>
      <c r="DB356" s="203">
        <f t="shared" si="331"/>
        <v>0.84785313899156145</v>
      </c>
      <c r="DC356" s="203">
        <f t="shared" si="332"/>
        <v>0.84785313899156145</v>
      </c>
      <c r="DD356" s="65"/>
      <c r="DE356" s="66"/>
      <c r="DF356" s="66"/>
      <c r="DG356" s="66"/>
      <c r="DH356" s="66"/>
      <c r="DI356" s="66"/>
      <c r="DJ356" s="66"/>
      <c r="DK356" s="70"/>
      <c r="DL356" s="70"/>
      <c r="DM356" s="8">
        <f t="shared" si="333"/>
        <v>0</v>
      </c>
      <c r="DN356" s="8">
        <f t="shared" si="334"/>
        <v>11621.845436507969</v>
      </c>
      <c r="DO356" s="202">
        <f t="shared" si="340"/>
        <v>64763.86084410589</v>
      </c>
      <c r="DP356" s="202">
        <f t="shared" si="341"/>
        <v>64763.86084410589</v>
      </c>
      <c r="DQ356" s="202">
        <f t="shared" si="342"/>
        <v>64763.86084410589</v>
      </c>
      <c r="DR356" s="9">
        <f t="shared" si="343"/>
        <v>60102.96300379555</v>
      </c>
      <c r="DS356" s="9">
        <f t="shared" si="336"/>
        <v>65095.714158894902</v>
      </c>
      <c r="DT356" s="9">
        <f t="shared" si="344"/>
        <v>51099.154680477906</v>
      </c>
      <c r="DU356" s="202">
        <f t="shared" si="345"/>
        <v>64763.86084410589</v>
      </c>
      <c r="DV356" s="202">
        <f t="shared" si="346"/>
        <v>64763.86084410589</v>
      </c>
      <c r="DW356" s="202">
        <f t="shared" si="347"/>
        <v>64763.86084410589</v>
      </c>
      <c r="DX356" s="203">
        <f t="shared" si="348"/>
        <v>0.84785313899156145</v>
      </c>
      <c r="DY356" s="203">
        <f t="shared" si="349"/>
        <v>0.84785313899156145</v>
      </c>
      <c r="DZ356" s="203">
        <f t="shared" si="350"/>
        <v>0.84785313899156145</v>
      </c>
      <c r="EA356" s="19">
        <f t="shared" si="351"/>
        <v>0.83796616973636373</v>
      </c>
      <c r="EB356" s="19">
        <f t="shared" si="337"/>
        <v>0.84851127306708041</v>
      </c>
      <c r="EC356" s="19">
        <f t="shared" si="352"/>
        <v>0.81470567409908723</v>
      </c>
      <c r="ED356" s="203">
        <f t="shared" si="353"/>
        <v>0.84785313899156145</v>
      </c>
      <c r="EE356" s="203">
        <f t="shared" si="354"/>
        <v>0.84785313899156145</v>
      </c>
      <c r="EF356" s="203">
        <f t="shared" si="355"/>
        <v>0.84785313899156145</v>
      </c>
      <c r="EH356" s="58">
        <f t="shared" si="364"/>
        <v>11373.756439913663</v>
      </c>
      <c r="EI356" s="68">
        <f t="shared" si="365"/>
        <v>0.14825493016067223</v>
      </c>
      <c r="EJ356" s="58">
        <f t="shared" si="366"/>
        <v>11373.756439913663</v>
      </c>
      <c r="EK356" s="68">
        <f t="shared" si="365"/>
        <v>0.14825493016067223</v>
      </c>
      <c r="EL356" s="58">
        <f t="shared" si="367"/>
        <v>2222.4689186602668</v>
      </c>
      <c r="EM356" s="58">
        <f t="shared" si="368"/>
        <v>2376.2234399136614</v>
      </c>
      <c r="EN356" s="68">
        <f t="shared" si="369"/>
        <v>3.0973657822870208E-2</v>
      </c>
      <c r="EO356" s="139">
        <f t="shared" si="387"/>
        <v>0.32527353469126524</v>
      </c>
      <c r="EP356">
        <f>+(SUM(M356:O356)*EO356*(1-'[1]Tier 3 Data'!$A$2))</f>
        <v>402.36226327901761</v>
      </c>
    </row>
    <row r="357" spans="1:146" x14ac:dyDescent="0.2">
      <c r="A357" s="43">
        <v>0</v>
      </c>
      <c r="B357" s="43">
        <v>0</v>
      </c>
      <c r="C357" s="43">
        <v>0</v>
      </c>
      <c r="D357" s="70">
        <v>2037</v>
      </c>
      <c r="E357" s="70">
        <v>2</v>
      </c>
      <c r="F357" s="2">
        <v>672</v>
      </c>
      <c r="G357" s="133">
        <f t="shared" si="380"/>
        <v>46295.713289779575</v>
      </c>
      <c r="H357" s="65">
        <v>46295.713289779575</v>
      </c>
      <c r="I357" s="133">
        <f t="shared" si="381"/>
        <v>46295.713289779575</v>
      </c>
      <c r="J357" s="133">
        <f t="shared" si="362"/>
        <v>5802.2615000000023</v>
      </c>
      <c r="K357" s="65">
        <v>5802.2615000000023</v>
      </c>
      <c r="L357" s="133">
        <f t="shared" si="363"/>
        <v>5802.2615000000023</v>
      </c>
      <c r="M357" s="65">
        <v>758.12758719225985</v>
      </c>
      <c r="N357" s="65">
        <v>1632.4907776153254</v>
      </c>
      <c r="O357" s="65">
        <v>474.79462212141664</v>
      </c>
      <c r="P357" s="200">
        <f t="shared" si="356"/>
        <v>39633.827893700873</v>
      </c>
      <c r="Q357" s="200">
        <f t="shared" si="357"/>
        <v>39633.827893700873</v>
      </c>
      <c r="R357" s="200">
        <f t="shared" si="358"/>
        <v>39633.827893700873</v>
      </c>
      <c r="S357" s="133">
        <f t="shared" si="382"/>
        <v>40351.013403143152</v>
      </c>
      <c r="T357" s="133">
        <f t="shared" si="383"/>
        <v>40351.013403143152</v>
      </c>
      <c r="U357" s="133">
        <f t="shared" si="384"/>
        <v>40351.013403143152</v>
      </c>
      <c r="V357" s="200">
        <f t="shared" si="359"/>
        <v>39633.827893700873</v>
      </c>
      <c r="W357" s="200">
        <f t="shared" si="360"/>
        <v>39633.827893700873</v>
      </c>
      <c r="X357" s="200">
        <f t="shared" si="361"/>
        <v>39633.827893700873</v>
      </c>
      <c r="Y357" s="65">
        <v>24648.627068155682</v>
      </c>
      <c r="Z357" s="65">
        <v>28230.650638806044</v>
      </c>
      <c r="AA357" s="65">
        <v>16021.385890845539</v>
      </c>
      <c r="AB357" s="200">
        <f t="shared" si="373"/>
        <v>67864.47853250691</v>
      </c>
      <c r="AC357" s="200">
        <f t="shared" si="374"/>
        <v>67864.47853250691</v>
      </c>
      <c r="AD357" s="200">
        <f t="shared" si="375"/>
        <v>67864.47853250691</v>
      </c>
      <c r="AE357" s="199">
        <f t="shared" si="338"/>
        <v>64999.64047129883</v>
      </c>
      <c r="AF357" s="199">
        <f t="shared" si="376"/>
        <v>68581.664041949203</v>
      </c>
      <c r="AG357" s="199">
        <f t="shared" si="339"/>
        <v>56372.399293988688</v>
      </c>
      <c r="AH357" s="199">
        <f t="shared" si="385"/>
        <v>62477.031667968942</v>
      </c>
      <c r="AI357" s="200">
        <f t="shared" si="377"/>
        <v>67864.47853250691</v>
      </c>
      <c r="AJ357" s="200">
        <f t="shared" si="378"/>
        <v>67864.47853250691</v>
      </c>
      <c r="AK357" s="200">
        <f t="shared" si="379"/>
        <v>67864.47853250691</v>
      </c>
      <c r="AL357" s="4"/>
      <c r="AM357" s="4"/>
      <c r="AN357" s="4"/>
      <c r="AO357" s="4"/>
      <c r="AP357" s="63"/>
      <c r="AQ357" s="18"/>
      <c r="AR357" s="18"/>
      <c r="AS357" s="62"/>
      <c r="AT357" s="10">
        <v>3066.56</v>
      </c>
      <c r="AU357" s="133">
        <f t="shared" si="388"/>
        <v>92.897999999999996</v>
      </c>
      <c r="AV357" s="133">
        <f t="shared" si="388"/>
        <v>3057.587</v>
      </c>
      <c r="AW357" s="63"/>
      <c r="AX357" s="63"/>
      <c r="AY357" s="63"/>
      <c r="AZ357" s="64"/>
      <c r="BA357" s="65">
        <f t="shared" si="386"/>
        <v>2225.2240000000002</v>
      </c>
      <c r="BB357" s="5"/>
      <c r="BC357" s="65">
        <v>215.16013450715587</v>
      </c>
      <c r="BD357" s="65">
        <v>0</v>
      </c>
      <c r="BE357" s="65">
        <v>0</v>
      </c>
      <c r="BF357" s="65">
        <v>0</v>
      </c>
      <c r="BG357" s="65">
        <v>0</v>
      </c>
      <c r="BH357" s="65">
        <v>0</v>
      </c>
      <c r="BI357" s="65">
        <v>593.34036245852303</v>
      </c>
      <c r="BJ357" s="65">
        <v>0</v>
      </c>
      <c r="BK357" s="65">
        <v>19.256201566846642</v>
      </c>
      <c r="BL357" s="65">
        <v>0</v>
      </c>
      <c r="BM357" s="65">
        <v>0</v>
      </c>
      <c r="BN357" s="65">
        <v>0</v>
      </c>
      <c r="BO357" s="65">
        <v>191.64662496000003</v>
      </c>
      <c r="BP357" s="62"/>
      <c r="BQ357" s="65">
        <v>96.009646022691157</v>
      </c>
      <c r="BR357" s="65">
        <v>125.43972080992654</v>
      </c>
      <c r="BS357" s="65">
        <v>453.89880458318578</v>
      </c>
      <c r="BT357" s="65">
        <v>159.98483556436497</v>
      </c>
      <c r="BU357" s="65">
        <v>172.59036126494391</v>
      </c>
      <c r="BV357" s="144">
        <f t="shared" si="370"/>
        <v>530.68931103458192</v>
      </c>
      <c r="BW357" s="144">
        <f t="shared" si="371"/>
        <v>1142.7435443307277</v>
      </c>
      <c r="BX357" s="144">
        <f t="shared" si="372"/>
        <v>332.3562354849916</v>
      </c>
      <c r="BY357" s="5"/>
      <c r="BZ357" s="18"/>
      <c r="CA357" s="4"/>
      <c r="CB357" s="5"/>
      <c r="CC357" s="5"/>
      <c r="CD357" s="188">
        <v>3.1195892150124847</v>
      </c>
      <c r="CE357" s="5"/>
      <c r="CF357" s="64"/>
      <c r="CG357" s="70"/>
      <c r="CH357" s="70"/>
      <c r="CI357" s="70"/>
      <c r="CJ357" s="63"/>
      <c r="CK357" s="8">
        <f t="shared" si="335"/>
        <v>12478.50437180295</v>
      </c>
      <c r="CL357" s="202">
        <f t="shared" si="315"/>
        <v>55385.974160703961</v>
      </c>
      <c r="CM357" s="202">
        <f t="shared" si="316"/>
        <v>55385.974160703961</v>
      </c>
      <c r="CN357" s="202">
        <f t="shared" si="317"/>
        <v>55385.974160703961</v>
      </c>
      <c r="CO357" s="9">
        <f t="shared" si="318"/>
        <v>52521.136099495881</v>
      </c>
      <c r="CP357" s="9">
        <f t="shared" si="319"/>
        <v>56103.159670146255</v>
      </c>
      <c r="CQ357" s="9">
        <f t="shared" si="320"/>
        <v>43893.89492218574</v>
      </c>
      <c r="CR357" s="202">
        <f t="shared" si="321"/>
        <v>55385.974160703961</v>
      </c>
      <c r="CS357" s="202">
        <f t="shared" si="322"/>
        <v>55385.974160703961</v>
      </c>
      <c r="CT357" s="202">
        <f t="shared" si="323"/>
        <v>55385.974160703961</v>
      </c>
      <c r="CU357" s="203">
        <f t="shared" si="324"/>
        <v>0.8161261289906504</v>
      </c>
      <c r="CV357" s="203">
        <f t="shared" si="325"/>
        <v>0.8161261289906504</v>
      </c>
      <c r="CW357" s="203">
        <f t="shared" si="326"/>
        <v>0.8161261289906504</v>
      </c>
      <c r="CX357" s="19">
        <f t="shared" si="327"/>
        <v>0.80802194779349679</v>
      </c>
      <c r="CY357" s="19">
        <f t="shared" si="328"/>
        <v>0.81804897057950876</v>
      </c>
      <c r="CZ357" s="19">
        <f t="shared" si="329"/>
        <v>0.77864159538915345</v>
      </c>
      <c r="DA357" s="203">
        <f t="shared" si="330"/>
        <v>0.8161261289906504</v>
      </c>
      <c r="DB357" s="203">
        <f t="shared" si="331"/>
        <v>0.8161261289906504</v>
      </c>
      <c r="DC357" s="203">
        <f t="shared" si="332"/>
        <v>0.8161261289906504</v>
      </c>
      <c r="DD357" s="65"/>
      <c r="DE357" s="66"/>
      <c r="DF357" s="66"/>
      <c r="DG357" s="66"/>
      <c r="DH357" s="66"/>
      <c r="DI357" s="66"/>
      <c r="DJ357" s="66"/>
      <c r="DK357" s="70"/>
      <c r="DL357" s="70"/>
      <c r="DM357" s="8">
        <f t="shared" si="333"/>
        <v>0</v>
      </c>
      <c r="DN357" s="8">
        <f t="shared" si="334"/>
        <v>12478.50437180295</v>
      </c>
      <c r="DO357" s="202">
        <f t="shared" si="340"/>
        <v>55385.974160703961</v>
      </c>
      <c r="DP357" s="202">
        <f t="shared" si="341"/>
        <v>55385.974160703961</v>
      </c>
      <c r="DQ357" s="202">
        <f t="shared" si="342"/>
        <v>55385.974160703961</v>
      </c>
      <c r="DR357" s="9">
        <f t="shared" si="343"/>
        <v>52521.136099495881</v>
      </c>
      <c r="DS357" s="9">
        <f t="shared" si="336"/>
        <v>56103.159670146255</v>
      </c>
      <c r="DT357" s="9">
        <f t="shared" si="344"/>
        <v>43893.89492218574</v>
      </c>
      <c r="DU357" s="202">
        <f t="shared" si="345"/>
        <v>55385.974160703961</v>
      </c>
      <c r="DV357" s="202">
        <f t="shared" si="346"/>
        <v>55385.974160703961</v>
      </c>
      <c r="DW357" s="202">
        <f t="shared" si="347"/>
        <v>55385.974160703961</v>
      </c>
      <c r="DX357" s="203">
        <f t="shared" si="348"/>
        <v>0.8161261289906504</v>
      </c>
      <c r="DY357" s="203">
        <f t="shared" si="349"/>
        <v>0.8161261289906504</v>
      </c>
      <c r="DZ357" s="203">
        <f t="shared" si="350"/>
        <v>0.8161261289906504</v>
      </c>
      <c r="EA357" s="19">
        <f t="shared" si="351"/>
        <v>0.80802194779349679</v>
      </c>
      <c r="EB357" s="19">
        <f t="shared" si="337"/>
        <v>0.81804897057950876</v>
      </c>
      <c r="EC357" s="19">
        <f t="shared" si="352"/>
        <v>0.77864159538915345</v>
      </c>
      <c r="ED357" s="203">
        <f t="shared" si="353"/>
        <v>0.8161261289906504</v>
      </c>
      <c r="EE357" s="203">
        <f t="shared" si="354"/>
        <v>0.8161261289906504</v>
      </c>
      <c r="EF357" s="203">
        <f t="shared" si="355"/>
        <v>0.8161261289906504</v>
      </c>
      <c r="EH357" s="58">
        <f t="shared" si="364"/>
        <v>11944.695471553356</v>
      </c>
      <c r="EI357" s="68">
        <f t="shared" si="365"/>
        <v>0.17416747812137029</v>
      </c>
      <c r="EJ357" s="58">
        <f t="shared" si="366"/>
        <v>11944.695471553356</v>
      </c>
      <c r="EK357" s="68">
        <f t="shared" si="365"/>
        <v>0.17416747812137029</v>
      </c>
      <c r="EL357" s="58">
        <f t="shared" si="367"/>
        <v>3170.0702360683654</v>
      </c>
      <c r="EM357" s="58">
        <f t="shared" si="368"/>
        <v>3502.4264715533568</v>
      </c>
      <c r="EN357" s="68">
        <f t="shared" si="369"/>
        <v>5.1069429715368743E-2</v>
      </c>
      <c r="EO357" s="139">
        <f t="shared" si="387"/>
        <v>0.3126447604730192</v>
      </c>
      <c r="EP357">
        <f>+(SUM(M357:O357)*EO357*(1-'[1]Tier 3 Data'!$A$2))</f>
        <v>835.83398103873162</v>
      </c>
    </row>
    <row r="358" spans="1:146" x14ac:dyDescent="0.2">
      <c r="A358" s="43">
        <v>0</v>
      </c>
      <c r="B358" s="43">
        <v>0</v>
      </c>
      <c r="C358" s="43">
        <v>0</v>
      </c>
      <c r="D358" s="70">
        <v>2037</v>
      </c>
      <c r="E358" s="70">
        <v>3</v>
      </c>
      <c r="F358" s="2">
        <v>743</v>
      </c>
      <c r="G358" s="133">
        <f t="shared" si="380"/>
        <v>48509.466473601395</v>
      </c>
      <c r="H358" s="65">
        <v>48509.466473601395</v>
      </c>
      <c r="I358" s="133">
        <f t="shared" si="381"/>
        <v>48509.466473601395</v>
      </c>
      <c r="J358" s="133">
        <f t="shared" si="362"/>
        <v>5841.9780000000028</v>
      </c>
      <c r="K358" s="65">
        <v>5841.9780000000028</v>
      </c>
      <c r="L358" s="133">
        <f t="shared" si="363"/>
        <v>5841.9780000000028</v>
      </c>
      <c r="M358" s="65">
        <v>1050.2026341606518</v>
      </c>
      <c r="N358" s="65">
        <v>2261.4216180208796</v>
      </c>
      <c r="O358" s="65">
        <v>657.91287428628868</v>
      </c>
      <c r="P358" s="200">
        <f t="shared" si="356"/>
        <v>41476.627335661047</v>
      </c>
      <c r="Q358" s="200">
        <f t="shared" si="357"/>
        <v>41476.627335661047</v>
      </c>
      <c r="R358" s="200">
        <f t="shared" si="358"/>
        <v>41476.627335661047</v>
      </c>
      <c r="S358" s="133">
        <f t="shared" si="382"/>
        <v>42470.114611315505</v>
      </c>
      <c r="T358" s="133">
        <f t="shared" si="383"/>
        <v>42470.114611315505</v>
      </c>
      <c r="U358" s="133">
        <f t="shared" si="384"/>
        <v>42470.114611315505</v>
      </c>
      <c r="V358" s="200">
        <f t="shared" si="359"/>
        <v>41476.627335661047</v>
      </c>
      <c r="W358" s="200">
        <f t="shared" si="360"/>
        <v>41476.627335661047</v>
      </c>
      <c r="X358" s="200">
        <f t="shared" si="361"/>
        <v>41476.627335661047</v>
      </c>
      <c r="Y358" s="65">
        <v>22523.52222335817</v>
      </c>
      <c r="Z358" s="65">
        <v>25270.983565256633</v>
      </c>
      <c r="AA358" s="65">
        <v>14592.168804518484</v>
      </c>
      <c r="AB358" s="200">
        <f t="shared" si="373"/>
        <v>66747.610900917673</v>
      </c>
      <c r="AC358" s="200">
        <f t="shared" si="374"/>
        <v>66747.610900917673</v>
      </c>
      <c r="AD358" s="200">
        <f t="shared" si="375"/>
        <v>66747.610900917673</v>
      </c>
      <c r="AE358" s="199">
        <f t="shared" si="338"/>
        <v>64993.636834673671</v>
      </c>
      <c r="AF358" s="199">
        <f t="shared" si="376"/>
        <v>67741.098176572137</v>
      </c>
      <c r="AG358" s="199">
        <f t="shared" si="339"/>
        <v>57062.28341583399</v>
      </c>
      <c r="AH358" s="199">
        <f t="shared" si="385"/>
        <v>62401.690796203067</v>
      </c>
      <c r="AI358" s="200">
        <f t="shared" si="377"/>
        <v>66747.610900917673</v>
      </c>
      <c r="AJ358" s="200">
        <f t="shared" si="378"/>
        <v>66747.610900917673</v>
      </c>
      <c r="AK358" s="200">
        <f t="shared" si="379"/>
        <v>66747.610900917673</v>
      </c>
      <c r="AL358" s="4"/>
      <c r="AM358" s="4"/>
      <c r="AN358" s="4"/>
      <c r="AO358" s="4"/>
      <c r="AP358" s="63"/>
      <c r="AQ358" s="18"/>
      <c r="AR358" s="18"/>
      <c r="AS358" s="62"/>
      <c r="AT358" s="10">
        <v>3395.12</v>
      </c>
      <c r="AU358" s="133">
        <f t="shared" si="388"/>
        <v>87.516000000000005</v>
      </c>
      <c r="AV358" s="133">
        <f t="shared" si="388"/>
        <v>3232.7139999999999</v>
      </c>
      <c r="AW358" s="63"/>
      <c r="AX358" s="63"/>
      <c r="AY358" s="63"/>
      <c r="AZ358" s="64"/>
      <c r="BA358" s="65">
        <f t="shared" si="386"/>
        <v>1660.8</v>
      </c>
      <c r="BB358" s="5"/>
      <c r="BC358" s="65">
        <v>413.55953933337935</v>
      </c>
      <c r="BD358" s="65">
        <v>0</v>
      </c>
      <c r="BE358" s="65">
        <v>0</v>
      </c>
      <c r="BF358" s="65">
        <v>0</v>
      </c>
      <c r="BG358" s="65">
        <v>0</v>
      </c>
      <c r="BH358" s="65">
        <v>0</v>
      </c>
      <c r="BI358" s="65">
        <v>1140.4601857510293</v>
      </c>
      <c r="BJ358" s="65">
        <v>0</v>
      </c>
      <c r="BK358" s="65">
        <v>19.397174608663349</v>
      </c>
      <c r="BL358" s="65">
        <v>0</v>
      </c>
      <c r="BM358" s="65">
        <v>0</v>
      </c>
      <c r="BN358" s="65">
        <v>0</v>
      </c>
      <c r="BO358" s="65">
        <v>212.18019192</v>
      </c>
      <c r="BP358" s="62"/>
      <c r="BQ358" s="65">
        <v>133.62159710970423</v>
      </c>
      <c r="BR358" s="65">
        <v>174.58092979648393</v>
      </c>
      <c r="BS358" s="65">
        <v>631.71438089165702</v>
      </c>
      <c r="BT358" s="65">
        <v>211.73613856845699</v>
      </c>
      <c r="BU358" s="65">
        <v>246.05682331166028</v>
      </c>
      <c r="BV358" s="144">
        <f t="shared" si="370"/>
        <v>735.14184391245624</v>
      </c>
      <c r="BW358" s="144">
        <f t="shared" si="371"/>
        <v>1582.9951326146156</v>
      </c>
      <c r="BX358" s="144">
        <f t="shared" si="372"/>
        <v>460.53901200040207</v>
      </c>
      <c r="BY358" s="5"/>
      <c r="BZ358" s="18"/>
      <c r="CA358" s="4"/>
      <c r="CB358" s="5"/>
      <c r="CC358" s="5"/>
      <c r="CD358" s="188">
        <v>13.157281760074044</v>
      </c>
      <c r="CE358" s="5"/>
      <c r="CF358" s="64"/>
      <c r="CG358" s="70"/>
      <c r="CH358" s="70"/>
      <c r="CI358" s="70"/>
      <c r="CJ358" s="63"/>
      <c r="CK358" s="8">
        <f t="shared" si="335"/>
        <v>14351.290231578581</v>
      </c>
      <c r="CL358" s="202">
        <f t="shared" si="315"/>
        <v>52396.320669339089</v>
      </c>
      <c r="CM358" s="202">
        <f t="shared" si="316"/>
        <v>52396.320669339089</v>
      </c>
      <c r="CN358" s="202">
        <f t="shared" si="317"/>
        <v>52396.320669339089</v>
      </c>
      <c r="CO358" s="9">
        <f t="shared" si="318"/>
        <v>50642.346603095088</v>
      </c>
      <c r="CP358" s="9">
        <f t="shared" si="319"/>
        <v>53389.807944993554</v>
      </c>
      <c r="CQ358" s="9">
        <f t="shared" si="320"/>
        <v>42710.993184255407</v>
      </c>
      <c r="CR358" s="202">
        <f t="shared" si="321"/>
        <v>52396.320669339089</v>
      </c>
      <c r="CS358" s="202">
        <f t="shared" si="322"/>
        <v>52396.320669339089</v>
      </c>
      <c r="CT358" s="202">
        <f t="shared" si="323"/>
        <v>52396.320669339089</v>
      </c>
      <c r="CU358" s="203">
        <f t="shared" si="324"/>
        <v>0.78499170175720434</v>
      </c>
      <c r="CV358" s="203">
        <f t="shared" si="325"/>
        <v>0.78499170175720434</v>
      </c>
      <c r="CW358" s="203">
        <f t="shared" si="326"/>
        <v>0.78499170175720434</v>
      </c>
      <c r="CX358" s="19">
        <f t="shared" si="327"/>
        <v>0.77918930328388292</v>
      </c>
      <c r="CY358" s="19">
        <f t="shared" si="328"/>
        <v>0.78814500181011393</v>
      </c>
      <c r="CZ358" s="19">
        <f t="shared" si="329"/>
        <v>0.74849779271895911</v>
      </c>
      <c r="DA358" s="203">
        <f t="shared" si="330"/>
        <v>0.78499170175720434</v>
      </c>
      <c r="DB358" s="203">
        <f t="shared" si="331"/>
        <v>0.78499170175720434</v>
      </c>
      <c r="DC358" s="203">
        <f t="shared" si="332"/>
        <v>0.78499170175720434</v>
      </c>
      <c r="DD358" s="65"/>
      <c r="DE358" s="66"/>
      <c r="DF358" s="66"/>
      <c r="DG358" s="66"/>
      <c r="DH358" s="66"/>
      <c r="DI358" s="66"/>
      <c r="DJ358" s="66"/>
      <c r="DK358" s="70"/>
      <c r="DL358" s="70"/>
      <c r="DM358" s="8">
        <f t="shared" si="333"/>
        <v>0</v>
      </c>
      <c r="DN358" s="8">
        <f t="shared" si="334"/>
        <v>14351.290231578581</v>
      </c>
      <c r="DO358" s="202">
        <f t="shared" si="340"/>
        <v>52396.320669339089</v>
      </c>
      <c r="DP358" s="202">
        <f t="shared" si="341"/>
        <v>52396.320669339089</v>
      </c>
      <c r="DQ358" s="202">
        <f t="shared" si="342"/>
        <v>52396.320669339089</v>
      </c>
      <c r="DR358" s="9">
        <f t="shared" si="343"/>
        <v>50642.346603095088</v>
      </c>
      <c r="DS358" s="9">
        <f t="shared" si="336"/>
        <v>53389.807944993554</v>
      </c>
      <c r="DT358" s="9">
        <f t="shared" si="344"/>
        <v>42710.993184255407</v>
      </c>
      <c r="DU358" s="202">
        <f t="shared" si="345"/>
        <v>52396.320669339089</v>
      </c>
      <c r="DV358" s="202">
        <f t="shared" si="346"/>
        <v>52396.320669339089</v>
      </c>
      <c r="DW358" s="202">
        <f t="shared" si="347"/>
        <v>52396.320669339089</v>
      </c>
      <c r="DX358" s="203">
        <f t="shared" si="348"/>
        <v>0.78499170175720434</v>
      </c>
      <c r="DY358" s="203">
        <f t="shared" si="349"/>
        <v>0.78499170175720434</v>
      </c>
      <c r="DZ358" s="203">
        <f t="shared" si="350"/>
        <v>0.78499170175720434</v>
      </c>
      <c r="EA358" s="19">
        <f t="shared" si="351"/>
        <v>0.77918930328388292</v>
      </c>
      <c r="EB358" s="19">
        <f t="shared" si="337"/>
        <v>0.78814500181011393</v>
      </c>
      <c r="EC358" s="19">
        <f t="shared" si="352"/>
        <v>0.74849779271895911</v>
      </c>
      <c r="ED358" s="203">
        <f t="shared" si="353"/>
        <v>0.78499170175720434</v>
      </c>
      <c r="EE358" s="203">
        <f t="shared" si="354"/>
        <v>0.78499170175720434</v>
      </c>
      <c r="EF358" s="203">
        <f t="shared" si="355"/>
        <v>0.78499170175720434</v>
      </c>
      <c r="EH358" s="58">
        <f t="shared" si="364"/>
        <v>13602.991105906051</v>
      </c>
      <c r="EI358" s="68">
        <f t="shared" si="365"/>
        <v>0.2008085412263152</v>
      </c>
      <c r="EJ358" s="58">
        <f t="shared" si="366"/>
        <v>13602.991105906051</v>
      </c>
      <c r="EK358" s="68">
        <f t="shared" si="365"/>
        <v>0.2008085412263152</v>
      </c>
      <c r="EL358" s="58">
        <f t="shared" si="367"/>
        <v>4766.3020939056496</v>
      </c>
      <c r="EM358" s="58">
        <f t="shared" si="368"/>
        <v>5226.8411059060518</v>
      </c>
      <c r="EN358" s="68">
        <f t="shared" si="369"/>
        <v>7.7159084316612461E-2</v>
      </c>
      <c r="EO358" s="139">
        <f t="shared" si="387"/>
        <v>0.32861286969700848</v>
      </c>
      <c r="EP358">
        <f>+(SUM(M358:O358)*EO358*(1-'[1]Tier 3 Data'!$A$2))</f>
        <v>1217.0434404020809</v>
      </c>
    </row>
    <row r="359" spans="1:146" x14ac:dyDescent="0.2">
      <c r="A359" s="43">
        <v>0</v>
      </c>
      <c r="B359" s="43">
        <v>0</v>
      </c>
      <c r="C359" s="43">
        <v>0</v>
      </c>
      <c r="D359" s="70">
        <v>2037</v>
      </c>
      <c r="E359" s="70">
        <v>4</v>
      </c>
      <c r="F359" s="2">
        <v>720</v>
      </c>
      <c r="G359" s="133">
        <f t="shared" si="380"/>
        <v>40771.595455366063</v>
      </c>
      <c r="H359" s="65">
        <v>40771.595455366063</v>
      </c>
      <c r="I359" s="133">
        <f t="shared" si="381"/>
        <v>40771.595455366063</v>
      </c>
      <c r="J359" s="133">
        <f t="shared" si="362"/>
        <v>5881.6945000000032</v>
      </c>
      <c r="K359" s="65">
        <v>5881.6945000000032</v>
      </c>
      <c r="L359" s="133">
        <f t="shared" si="363"/>
        <v>5881.6945000000032</v>
      </c>
      <c r="M359" s="65">
        <v>1418.2286880453187</v>
      </c>
      <c r="N359" s="65">
        <v>3053.8992287010965</v>
      </c>
      <c r="O359" s="65">
        <v>888.90131102531257</v>
      </c>
      <c r="P359" s="200">
        <f t="shared" si="356"/>
        <v>33281.592187034541</v>
      </c>
      <c r="Q359" s="200">
        <f t="shared" si="357"/>
        <v>33281.592187034541</v>
      </c>
      <c r="R359" s="200">
        <f t="shared" si="358"/>
        <v>33281.592187034541</v>
      </c>
      <c r="S359" s="133">
        <f t="shared" si="382"/>
        <v>34623.230562058467</v>
      </c>
      <c r="T359" s="133">
        <f t="shared" si="383"/>
        <v>34623.230562058467</v>
      </c>
      <c r="U359" s="133">
        <f t="shared" si="384"/>
        <v>34623.230562058467</v>
      </c>
      <c r="V359" s="200">
        <f t="shared" si="359"/>
        <v>33281.592187034541</v>
      </c>
      <c r="W359" s="200">
        <f t="shared" si="360"/>
        <v>33281.592187034541</v>
      </c>
      <c r="X359" s="200">
        <f t="shared" si="361"/>
        <v>33281.592187034541</v>
      </c>
      <c r="Y359" s="65">
        <v>19341.391283966641</v>
      </c>
      <c r="Z359" s="65">
        <v>20387.819696029786</v>
      </c>
      <c r="AA359" s="65">
        <v>12266.627069755346</v>
      </c>
      <c r="AB359" s="200">
        <f t="shared" si="373"/>
        <v>53669.411883064327</v>
      </c>
      <c r="AC359" s="200">
        <f t="shared" si="374"/>
        <v>53669.411883064327</v>
      </c>
      <c r="AD359" s="200">
        <f t="shared" si="375"/>
        <v>53669.411883064327</v>
      </c>
      <c r="AE359" s="199">
        <f t="shared" si="338"/>
        <v>53964.621846025111</v>
      </c>
      <c r="AF359" s="199">
        <f t="shared" si="376"/>
        <v>55011.050258088253</v>
      </c>
      <c r="AG359" s="199">
        <f t="shared" si="339"/>
        <v>46889.857631813815</v>
      </c>
      <c r="AH359" s="199">
        <f t="shared" si="385"/>
        <v>50950.453944951034</v>
      </c>
      <c r="AI359" s="200">
        <f t="shared" si="377"/>
        <v>53669.411883064327</v>
      </c>
      <c r="AJ359" s="200">
        <f t="shared" si="378"/>
        <v>53669.411883064327</v>
      </c>
      <c r="AK359" s="200">
        <f t="shared" si="379"/>
        <v>53669.411883064327</v>
      </c>
      <c r="AL359" s="4"/>
      <c r="AM359" s="4"/>
      <c r="AN359" s="4"/>
      <c r="AO359" s="4"/>
      <c r="AP359" s="63"/>
      <c r="AQ359" s="18"/>
      <c r="AR359" s="18"/>
      <c r="AS359" s="62"/>
      <c r="AT359" s="10">
        <v>3285.6</v>
      </c>
      <c r="AU359" s="133">
        <f t="shared" si="388"/>
        <v>96.057000000000002</v>
      </c>
      <c r="AV359" s="133">
        <f t="shared" si="388"/>
        <v>3017.9659999999999</v>
      </c>
      <c r="AW359" s="63"/>
      <c r="AX359" s="63"/>
      <c r="AY359" s="63"/>
      <c r="AZ359" s="64"/>
      <c r="BA359" s="65">
        <f t="shared" si="386"/>
        <v>853.7</v>
      </c>
      <c r="BB359" s="5"/>
      <c r="BC359" s="65">
        <v>522.24020951884972</v>
      </c>
      <c r="BD359" s="65">
        <v>0</v>
      </c>
      <c r="BE359" s="65">
        <v>0</v>
      </c>
      <c r="BF359" s="65">
        <v>0</v>
      </c>
      <c r="BG359" s="65">
        <v>0</v>
      </c>
      <c r="BH359" s="65">
        <v>0</v>
      </c>
      <c r="BI359" s="65">
        <v>1440.1654652062136</v>
      </c>
      <c r="BJ359" s="65">
        <v>0</v>
      </c>
      <c r="BK359" s="65">
        <v>19.984033847071771</v>
      </c>
      <c r="BL359" s="65">
        <v>0</v>
      </c>
      <c r="BM359" s="65">
        <v>0</v>
      </c>
      <c r="BN359" s="65">
        <v>0</v>
      </c>
      <c r="BO359" s="65">
        <v>205.33566960000002</v>
      </c>
      <c r="BP359" s="62"/>
      <c r="BQ359" s="65">
        <v>142.69000621460461</v>
      </c>
      <c r="BR359" s="65">
        <v>186.42913797981331</v>
      </c>
      <c r="BS359" s="65">
        <v>674.58666521995985</v>
      </c>
      <c r="BT359" s="65">
        <v>234.45252250349668</v>
      </c>
      <c r="BU359" s="65">
        <v>251.74823292766246</v>
      </c>
      <c r="BV359" s="144">
        <f t="shared" si="370"/>
        <v>992.76008163172298</v>
      </c>
      <c r="BW359" s="144">
        <f t="shared" si="371"/>
        <v>2137.7294600907676</v>
      </c>
      <c r="BX359" s="144">
        <f t="shared" si="372"/>
        <v>622.23091771771874</v>
      </c>
      <c r="BY359" s="5"/>
      <c r="BZ359" s="18"/>
      <c r="CA359" s="4"/>
      <c r="CB359" s="5"/>
      <c r="CC359" s="5"/>
      <c r="CD359" s="188">
        <v>2.3725527527096357</v>
      </c>
      <c r="CE359" s="5"/>
      <c r="CF359" s="64"/>
      <c r="CG359" s="70"/>
      <c r="CH359" s="70"/>
      <c r="CI359" s="70"/>
      <c r="CJ359" s="63"/>
      <c r="CK359" s="8">
        <f t="shared" si="335"/>
        <v>14686.047955210592</v>
      </c>
      <c r="CL359" s="202">
        <f t="shared" si="315"/>
        <v>38983.363927853738</v>
      </c>
      <c r="CM359" s="202">
        <f t="shared" si="316"/>
        <v>38983.363927853738</v>
      </c>
      <c r="CN359" s="202">
        <f t="shared" si="317"/>
        <v>38983.363927853738</v>
      </c>
      <c r="CO359" s="9">
        <f t="shared" si="318"/>
        <v>39278.573890814521</v>
      </c>
      <c r="CP359" s="9">
        <f t="shared" si="319"/>
        <v>40325.002302877663</v>
      </c>
      <c r="CQ359" s="9">
        <f t="shared" si="320"/>
        <v>32203.809676603225</v>
      </c>
      <c r="CR359" s="202">
        <f t="shared" si="321"/>
        <v>38983.363927853738</v>
      </c>
      <c r="CS359" s="202">
        <f t="shared" si="322"/>
        <v>38983.363927853738</v>
      </c>
      <c r="CT359" s="202">
        <f t="shared" si="323"/>
        <v>38983.363927853738</v>
      </c>
      <c r="CU359" s="203">
        <f t="shared" si="324"/>
        <v>0.72636092999847368</v>
      </c>
      <c r="CV359" s="203">
        <f t="shared" si="325"/>
        <v>0.72636092999847368</v>
      </c>
      <c r="CW359" s="203">
        <f t="shared" si="326"/>
        <v>0.72636092999847368</v>
      </c>
      <c r="CX359" s="19">
        <f t="shared" si="327"/>
        <v>0.72785785477912457</v>
      </c>
      <c r="CY359" s="19">
        <f t="shared" si="328"/>
        <v>0.73303458330081039</v>
      </c>
      <c r="CZ359" s="19">
        <f t="shared" si="329"/>
        <v>0.686796917351986</v>
      </c>
      <c r="DA359" s="203">
        <f t="shared" si="330"/>
        <v>0.72636092999847368</v>
      </c>
      <c r="DB359" s="203">
        <f t="shared" si="331"/>
        <v>0.72636092999847368</v>
      </c>
      <c r="DC359" s="203">
        <f t="shared" si="332"/>
        <v>0.72636092999847368</v>
      </c>
      <c r="DD359" s="65"/>
      <c r="DE359" s="66"/>
      <c r="DF359" s="66"/>
      <c r="DG359" s="66"/>
      <c r="DH359" s="66"/>
      <c r="DI359" s="66"/>
      <c r="DJ359" s="66"/>
      <c r="DK359" s="70"/>
      <c r="DL359" s="70"/>
      <c r="DM359" s="8">
        <f t="shared" si="333"/>
        <v>0</v>
      </c>
      <c r="DN359" s="8">
        <f t="shared" si="334"/>
        <v>14686.047955210592</v>
      </c>
      <c r="DO359" s="202">
        <f t="shared" si="340"/>
        <v>38983.363927853738</v>
      </c>
      <c r="DP359" s="202">
        <f t="shared" si="341"/>
        <v>38983.363927853738</v>
      </c>
      <c r="DQ359" s="202">
        <f t="shared" si="342"/>
        <v>38983.363927853738</v>
      </c>
      <c r="DR359" s="9">
        <f t="shared" si="343"/>
        <v>39278.573890814521</v>
      </c>
      <c r="DS359" s="9">
        <f t="shared" si="336"/>
        <v>40325.002302877663</v>
      </c>
      <c r="DT359" s="9">
        <f t="shared" si="344"/>
        <v>32203.809676603225</v>
      </c>
      <c r="DU359" s="202">
        <f t="shared" si="345"/>
        <v>38983.363927853738</v>
      </c>
      <c r="DV359" s="202">
        <f t="shared" si="346"/>
        <v>38983.363927853738</v>
      </c>
      <c r="DW359" s="202">
        <f t="shared" si="347"/>
        <v>38983.363927853738</v>
      </c>
      <c r="DX359" s="203">
        <f t="shared" si="348"/>
        <v>0.72636092999847368</v>
      </c>
      <c r="DY359" s="203">
        <f t="shared" si="349"/>
        <v>0.72636092999847368</v>
      </c>
      <c r="DZ359" s="203">
        <f t="shared" si="350"/>
        <v>0.72636092999847368</v>
      </c>
      <c r="EA359" s="19">
        <f t="shared" si="351"/>
        <v>0.72785785477912457</v>
      </c>
      <c r="EB359" s="19">
        <f t="shared" si="337"/>
        <v>0.73303458330081039</v>
      </c>
      <c r="EC359" s="19">
        <f t="shared" si="352"/>
        <v>0.686796917351986</v>
      </c>
      <c r="ED359" s="203">
        <f t="shared" si="353"/>
        <v>0.72636092999847368</v>
      </c>
      <c r="EE359" s="203">
        <f t="shared" si="354"/>
        <v>0.72636092999847368</v>
      </c>
      <c r="EF359" s="203">
        <f t="shared" si="355"/>
        <v>0.72636092999847368</v>
      </c>
      <c r="EH359" s="58">
        <f t="shared" si="364"/>
        <v>13690.91532082616</v>
      </c>
      <c r="EI359" s="68">
        <f t="shared" si="365"/>
        <v>0.24887573054130502</v>
      </c>
      <c r="EJ359" s="58">
        <f t="shared" si="366"/>
        <v>13690.91532082616</v>
      </c>
      <c r="EK359" s="68">
        <f t="shared" si="365"/>
        <v>0.24887573054130502</v>
      </c>
      <c r="EL359" s="58">
        <f t="shared" si="367"/>
        <v>5815.3614031084398</v>
      </c>
      <c r="EM359" s="58">
        <f t="shared" si="368"/>
        <v>6437.5923208261584</v>
      </c>
      <c r="EN359" s="68">
        <f t="shared" si="369"/>
        <v>0.11702362144739532</v>
      </c>
      <c r="EO359" s="139">
        <f t="shared" si="387"/>
        <v>0.35351678044029999</v>
      </c>
      <c r="EP359">
        <f>+(SUM(M359:O359)*EO359*(1-'[1]Tier 3 Data'!$A$2))</f>
        <v>1768.2344683541792</v>
      </c>
    </row>
    <row r="360" spans="1:146" x14ac:dyDescent="0.2">
      <c r="A360" s="43">
        <v>0</v>
      </c>
      <c r="B360" s="43">
        <v>0</v>
      </c>
      <c r="C360" s="43">
        <v>0</v>
      </c>
      <c r="D360" s="70">
        <v>2037</v>
      </c>
      <c r="E360" s="70">
        <v>5</v>
      </c>
      <c r="F360" s="2">
        <v>744</v>
      </c>
      <c r="G360" s="133">
        <f t="shared" si="380"/>
        <v>38868.155992108492</v>
      </c>
      <c r="H360" s="65">
        <v>38868.155992108492</v>
      </c>
      <c r="I360" s="133">
        <f t="shared" si="381"/>
        <v>38868.155992108492</v>
      </c>
      <c r="J360" s="133">
        <f t="shared" si="362"/>
        <v>5921.4110000000037</v>
      </c>
      <c r="K360" s="65">
        <v>5921.4110000000037</v>
      </c>
      <c r="L360" s="133">
        <f t="shared" si="363"/>
        <v>5921.4110000000037</v>
      </c>
      <c r="M360" s="65">
        <v>1750.7817988213781</v>
      </c>
      <c r="N360" s="65">
        <v>3769.9922657844818</v>
      </c>
      <c r="O360" s="65">
        <v>1097.9267625111645</v>
      </c>
      <c r="P360" s="200">
        <f t="shared" si="356"/>
        <v>30961.134743973384</v>
      </c>
      <c r="Q360" s="200">
        <f t="shared" si="357"/>
        <v>30961.134743973384</v>
      </c>
      <c r="R360" s="200">
        <f t="shared" si="358"/>
        <v>30961.134743973384</v>
      </c>
      <c r="S360" s="133">
        <f t="shared" si="382"/>
        <v>32617.366963355144</v>
      </c>
      <c r="T360" s="133">
        <f t="shared" si="383"/>
        <v>32617.366963355144</v>
      </c>
      <c r="U360" s="133">
        <f t="shared" si="384"/>
        <v>32617.366963355144</v>
      </c>
      <c r="V360" s="200">
        <f t="shared" si="359"/>
        <v>30961.134743973384</v>
      </c>
      <c r="W360" s="200">
        <f t="shared" si="360"/>
        <v>30961.134743973384</v>
      </c>
      <c r="X360" s="200">
        <f t="shared" si="361"/>
        <v>30961.134743973384</v>
      </c>
      <c r="Y360" s="65">
        <v>15717.745511386524</v>
      </c>
      <c r="Z360" s="65">
        <v>15604.041359977919</v>
      </c>
      <c r="AA360" s="65">
        <v>9815.7212568435407</v>
      </c>
      <c r="AB360" s="200">
        <f t="shared" si="373"/>
        <v>46565.1761039513</v>
      </c>
      <c r="AC360" s="200">
        <f t="shared" si="374"/>
        <v>46565.1761039513</v>
      </c>
      <c r="AD360" s="200">
        <f t="shared" si="375"/>
        <v>46565.1761039513</v>
      </c>
      <c r="AE360" s="199">
        <f t="shared" si="338"/>
        <v>48335.112474741669</v>
      </c>
      <c r="AF360" s="199">
        <f t="shared" si="376"/>
        <v>48221.40832333306</v>
      </c>
      <c r="AG360" s="199">
        <f t="shared" si="339"/>
        <v>42433.088220198682</v>
      </c>
      <c r="AH360" s="199">
        <f t="shared" si="385"/>
        <v>45384.100347470172</v>
      </c>
      <c r="AI360" s="200">
        <f t="shared" si="377"/>
        <v>46565.1761039513</v>
      </c>
      <c r="AJ360" s="200">
        <f t="shared" si="378"/>
        <v>46565.1761039513</v>
      </c>
      <c r="AK360" s="200">
        <f t="shared" si="379"/>
        <v>46565.1761039513</v>
      </c>
      <c r="AL360" s="4"/>
      <c r="AM360" s="4"/>
      <c r="AN360" s="4"/>
      <c r="AO360" s="4"/>
      <c r="AP360" s="63"/>
      <c r="AQ360" s="18"/>
      <c r="AR360" s="18"/>
      <c r="AS360" s="62"/>
      <c r="AT360" s="10">
        <v>3395.12</v>
      </c>
      <c r="AU360" s="133">
        <f t="shared" si="388"/>
        <v>109.161</v>
      </c>
      <c r="AV360" s="133">
        <f t="shared" si="388"/>
        <v>3327.41</v>
      </c>
      <c r="AW360" s="63"/>
      <c r="AX360" s="63"/>
      <c r="AY360" s="63"/>
      <c r="AZ360" s="64"/>
      <c r="BA360" s="65">
        <f t="shared" si="386"/>
        <v>2416.2429999999999</v>
      </c>
      <c r="BB360" s="5"/>
      <c r="BC360" s="65">
        <v>524.48721650232994</v>
      </c>
      <c r="BD360" s="65">
        <v>0</v>
      </c>
      <c r="BE360" s="65">
        <v>0</v>
      </c>
      <c r="BF360" s="65">
        <v>0</v>
      </c>
      <c r="BG360" s="65">
        <v>0</v>
      </c>
      <c r="BH360" s="65">
        <v>0</v>
      </c>
      <c r="BI360" s="65">
        <v>1446.3619659709991</v>
      </c>
      <c r="BJ360" s="65">
        <v>0</v>
      </c>
      <c r="BK360" s="65">
        <v>12.751667915526451</v>
      </c>
      <c r="BL360" s="65">
        <v>0</v>
      </c>
      <c r="BM360" s="65">
        <v>0</v>
      </c>
      <c r="BN360" s="65">
        <v>0</v>
      </c>
      <c r="BO360" s="65">
        <v>212.18019192</v>
      </c>
      <c r="BP360" s="62"/>
      <c r="BQ360" s="65">
        <v>164.32912284055999</v>
      </c>
      <c r="BR360" s="65">
        <v>214.70132530375494</v>
      </c>
      <c r="BS360" s="65">
        <v>776.88848940106345</v>
      </c>
      <c r="BT360" s="65">
        <v>242.30499783917861</v>
      </c>
      <c r="BU360" s="65">
        <v>287.89957700227438</v>
      </c>
      <c r="BV360" s="144">
        <f t="shared" si="370"/>
        <v>1225.5472591749647</v>
      </c>
      <c r="BW360" s="144">
        <f t="shared" si="371"/>
        <v>2638.9945860491371</v>
      </c>
      <c r="BX360" s="144">
        <f t="shared" si="372"/>
        <v>768.54873375781506</v>
      </c>
      <c r="BY360" s="5"/>
      <c r="BZ360" s="18"/>
      <c r="CA360" s="4"/>
      <c r="CB360" s="5"/>
      <c r="CC360" s="5"/>
      <c r="CD360" s="188">
        <v>1.4538432884059718E-2</v>
      </c>
      <c r="CE360" s="5"/>
      <c r="CF360" s="64"/>
      <c r="CG360" s="70"/>
      <c r="CH360" s="70"/>
      <c r="CI360" s="70"/>
      <c r="CJ360" s="63"/>
      <c r="CK360" s="8">
        <f t="shared" si="335"/>
        <v>17762.943672110483</v>
      </c>
      <c r="CL360" s="202">
        <f t="shared" ref="CL360:CL423" si="389">+AB360-$CK360</f>
        <v>28802.232431840817</v>
      </c>
      <c r="CM360" s="202">
        <f t="shared" ref="CM360:CM423" si="390">+AC360-$CK360</f>
        <v>28802.232431840817</v>
      </c>
      <c r="CN360" s="202">
        <f t="shared" ref="CN360:CN423" si="391">+AD360-$CK360</f>
        <v>28802.232431840817</v>
      </c>
      <c r="CO360" s="9">
        <f t="shared" ref="CO360:CO423" si="392">+AE360-$CK360</f>
        <v>30572.168802631186</v>
      </c>
      <c r="CP360" s="9">
        <f t="shared" ref="CP360:CP423" si="393">+AF360-$CK360</f>
        <v>30458.464651222577</v>
      </c>
      <c r="CQ360" s="9">
        <f t="shared" ref="CQ360:CQ423" si="394">+AG360-$CK360</f>
        <v>24670.144548088199</v>
      </c>
      <c r="CR360" s="202">
        <f t="shared" ref="CR360:CR423" si="395">+AI360-$CK360</f>
        <v>28802.232431840817</v>
      </c>
      <c r="CS360" s="202">
        <f t="shared" ref="CS360:CS423" si="396">+AJ360-$CK360</f>
        <v>28802.232431840817</v>
      </c>
      <c r="CT360" s="202">
        <f t="shared" ref="CT360:CT423" si="397">+AK360-$CK360</f>
        <v>28802.232431840817</v>
      </c>
      <c r="CU360" s="203">
        <f t="shared" ref="CU360:CU423" si="398">+CL360/AB360</f>
        <v>0.61853588543385318</v>
      </c>
      <c r="CV360" s="203">
        <f t="shared" ref="CV360:CV423" si="399">+CM360/AC360</f>
        <v>0.61853588543385318</v>
      </c>
      <c r="CW360" s="203">
        <f t="shared" ref="CW360:CW423" si="400">+CN360/AD360</f>
        <v>0.61853588543385318</v>
      </c>
      <c r="CX360" s="19">
        <f t="shared" ref="CX360:CX423" si="401">+CO360/AE360</f>
        <v>0.63250434802664812</v>
      </c>
      <c r="CY360" s="19">
        <f t="shared" ref="CY360:CY423" si="402">+CP360/AF360</f>
        <v>0.63163780798340008</v>
      </c>
      <c r="CZ360" s="19">
        <f t="shared" ref="CZ360:CZ423" si="403">+CQ360/AG360</f>
        <v>0.58138932570891466</v>
      </c>
      <c r="DA360" s="203">
        <f t="shared" ref="DA360:DA423" si="404">+CR360/AI360</f>
        <v>0.61853588543385318</v>
      </c>
      <c r="DB360" s="203">
        <f t="shared" ref="DB360:DB423" si="405">+CS360/AJ360</f>
        <v>0.61853588543385318</v>
      </c>
      <c r="DC360" s="203">
        <f t="shared" ref="DC360:DC423" si="406">+CT360/AK360</f>
        <v>0.61853588543385318</v>
      </c>
      <c r="DD360" s="65"/>
      <c r="DE360" s="66"/>
      <c r="DF360" s="66"/>
      <c r="DG360" s="66"/>
      <c r="DH360" s="66"/>
      <c r="DI360" s="66"/>
      <c r="DJ360" s="66"/>
      <c r="DK360" s="70"/>
      <c r="DL360" s="70"/>
      <c r="DM360" s="8">
        <f t="shared" ref="DM360:DM379" si="407">+SUM(DD360:DL360)</f>
        <v>0</v>
      </c>
      <c r="DN360" s="8">
        <f t="shared" ref="DN360:DN379" si="408">+DM360+CK360</f>
        <v>17762.943672110483</v>
      </c>
      <c r="DO360" s="202">
        <f t="shared" si="340"/>
        <v>28802.232431840817</v>
      </c>
      <c r="DP360" s="202">
        <f t="shared" si="341"/>
        <v>28802.232431840817</v>
      </c>
      <c r="DQ360" s="202">
        <f t="shared" si="342"/>
        <v>28802.232431840817</v>
      </c>
      <c r="DR360" s="9">
        <f t="shared" si="343"/>
        <v>30572.168802631186</v>
      </c>
      <c r="DS360" s="9">
        <f t="shared" si="336"/>
        <v>30458.464651222577</v>
      </c>
      <c r="DT360" s="9">
        <f t="shared" si="344"/>
        <v>24670.144548088199</v>
      </c>
      <c r="DU360" s="202">
        <f t="shared" si="345"/>
        <v>28802.232431840817</v>
      </c>
      <c r="DV360" s="202">
        <f t="shared" si="346"/>
        <v>28802.232431840817</v>
      </c>
      <c r="DW360" s="202">
        <f t="shared" si="347"/>
        <v>28802.232431840817</v>
      </c>
      <c r="DX360" s="203">
        <f t="shared" si="348"/>
        <v>0.61853588543385318</v>
      </c>
      <c r="DY360" s="203">
        <f t="shared" si="349"/>
        <v>0.61853588543385318</v>
      </c>
      <c r="DZ360" s="203">
        <f t="shared" si="350"/>
        <v>0.61853588543385318</v>
      </c>
      <c r="EA360" s="19">
        <f t="shared" si="351"/>
        <v>0.63250434802664812</v>
      </c>
      <c r="EB360" s="19">
        <f t="shared" si="337"/>
        <v>0.63163780798340008</v>
      </c>
      <c r="EC360" s="19">
        <f t="shared" si="352"/>
        <v>0.58138932570891466</v>
      </c>
      <c r="ED360" s="203">
        <f t="shared" si="353"/>
        <v>0.61853588543385318</v>
      </c>
      <c r="EE360" s="203">
        <f t="shared" si="354"/>
        <v>0.61853588543385318</v>
      </c>
      <c r="EF360" s="203">
        <f t="shared" si="355"/>
        <v>0.61853588543385318</v>
      </c>
      <c r="EH360" s="58">
        <f t="shared" si="364"/>
        <v>16537.381874502636</v>
      </c>
      <c r="EI360" s="68">
        <f t="shared" si="365"/>
        <v>0.34294688706759807</v>
      </c>
      <c r="EJ360" s="58">
        <f t="shared" si="366"/>
        <v>16537.381874502636</v>
      </c>
      <c r="EK360" s="68">
        <f t="shared" si="365"/>
        <v>0.34294688706759807</v>
      </c>
      <c r="EL360" s="58">
        <f t="shared" si="367"/>
        <v>6520.8991407448248</v>
      </c>
      <c r="EM360" s="58">
        <f t="shared" si="368"/>
        <v>7289.4478745026399</v>
      </c>
      <c r="EN360" s="68">
        <f t="shared" si="369"/>
        <v>0.15116621699693225</v>
      </c>
      <c r="EO360" s="139">
        <f t="shared" si="387"/>
        <v>0.28868615856523006</v>
      </c>
      <c r="EP360">
        <f>+(SUM(M360:O360)*EO360*(1-'[1]Tier 3 Data'!$A$2))</f>
        <v>1782.7085862692388</v>
      </c>
    </row>
    <row r="361" spans="1:146" x14ac:dyDescent="0.2">
      <c r="A361" s="43">
        <v>0</v>
      </c>
      <c r="B361" s="43">
        <v>0</v>
      </c>
      <c r="C361" s="43">
        <v>0</v>
      </c>
      <c r="D361" s="70">
        <v>2037</v>
      </c>
      <c r="E361" s="70">
        <v>6</v>
      </c>
      <c r="F361" s="2">
        <v>720</v>
      </c>
      <c r="G361" s="133">
        <f t="shared" si="380"/>
        <v>41331.789997013249</v>
      </c>
      <c r="H361" s="65">
        <v>41331.789997013249</v>
      </c>
      <c r="I361" s="133">
        <f t="shared" si="381"/>
        <v>41331.789997013249</v>
      </c>
      <c r="J361" s="133">
        <f t="shared" si="362"/>
        <v>5961.1275000000041</v>
      </c>
      <c r="K361" s="65">
        <v>5961.1275000000041</v>
      </c>
      <c r="L361" s="133">
        <f t="shared" si="363"/>
        <v>5961.1275000000041</v>
      </c>
      <c r="M361" s="65">
        <v>1630.7561929849653</v>
      </c>
      <c r="N361" s="65">
        <v>3511.538810303055</v>
      </c>
      <c r="O361" s="65">
        <v>1023.7428404251092</v>
      </c>
      <c r="P361" s="200">
        <f t="shared" si="356"/>
        <v>33520.851143899308</v>
      </c>
      <c r="Q361" s="200">
        <f t="shared" si="357"/>
        <v>33520.851143899308</v>
      </c>
      <c r="R361" s="200">
        <f t="shared" si="358"/>
        <v>33520.851143899308</v>
      </c>
      <c r="S361" s="133">
        <f t="shared" si="382"/>
        <v>35063.539644885714</v>
      </c>
      <c r="T361" s="133">
        <f t="shared" si="383"/>
        <v>35063.539644885714</v>
      </c>
      <c r="U361" s="133">
        <f t="shared" si="384"/>
        <v>35063.539644885714</v>
      </c>
      <c r="V361" s="200">
        <f t="shared" si="359"/>
        <v>33520.851143899308</v>
      </c>
      <c r="W361" s="200">
        <f t="shared" si="360"/>
        <v>33520.851143899308</v>
      </c>
      <c r="X361" s="200">
        <f t="shared" si="361"/>
        <v>33520.851143899308</v>
      </c>
      <c r="Y361" s="65">
        <v>16496.827311658311</v>
      </c>
      <c r="Z361" s="65">
        <v>16772.618214003109</v>
      </c>
      <c r="AA361" s="65">
        <v>10561.948116526703</v>
      </c>
      <c r="AB361" s="200">
        <f t="shared" si="373"/>
        <v>50293.469357902417</v>
      </c>
      <c r="AC361" s="200">
        <f t="shared" si="374"/>
        <v>50293.469357902417</v>
      </c>
      <c r="AD361" s="200">
        <f t="shared" si="375"/>
        <v>50293.469357902417</v>
      </c>
      <c r="AE361" s="199">
        <f t="shared" si="338"/>
        <v>51560.366956544021</v>
      </c>
      <c r="AF361" s="199">
        <f t="shared" si="376"/>
        <v>51836.157858888822</v>
      </c>
      <c r="AG361" s="199">
        <f t="shared" si="339"/>
        <v>45625.487761412413</v>
      </c>
      <c r="AH361" s="199">
        <f t="shared" si="385"/>
        <v>48730.822810150617</v>
      </c>
      <c r="AI361" s="200">
        <f t="shared" si="377"/>
        <v>50293.469357902417</v>
      </c>
      <c r="AJ361" s="200">
        <f t="shared" si="378"/>
        <v>50293.469357902417</v>
      </c>
      <c r="AK361" s="200">
        <f t="shared" si="379"/>
        <v>50293.469357902417</v>
      </c>
      <c r="AL361" s="4"/>
      <c r="AM361" s="4"/>
      <c r="AN361" s="4"/>
      <c r="AO361" s="4"/>
      <c r="AP361" s="63"/>
      <c r="AQ361" s="18"/>
      <c r="AR361" s="18"/>
      <c r="AS361" s="62"/>
      <c r="AT361" s="10">
        <v>3285.6</v>
      </c>
      <c r="AU361" s="133">
        <f t="shared" si="388"/>
        <v>128.934</v>
      </c>
      <c r="AV361" s="133">
        <f t="shared" si="388"/>
        <v>3110.2840000000001</v>
      </c>
      <c r="AW361" s="63"/>
      <c r="AX361" s="63"/>
      <c r="AY361" s="63"/>
      <c r="AZ361" s="64"/>
      <c r="BA361" s="65">
        <f t="shared" si="386"/>
        <v>1366.578</v>
      </c>
      <c r="BB361" s="5"/>
      <c r="BC361" s="65">
        <v>557.42989713031307</v>
      </c>
      <c r="BD361" s="65">
        <v>0</v>
      </c>
      <c r="BE361" s="65">
        <v>0</v>
      </c>
      <c r="BF361" s="65">
        <v>0</v>
      </c>
      <c r="BG361" s="65">
        <v>0</v>
      </c>
      <c r="BH361" s="65">
        <v>0</v>
      </c>
      <c r="BI361" s="65">
        <v>1537.2069643204168</v>
      </c>
      <c r="BJ361" s="65">
        <v>0</v>
      </c>
      <c r="BK361" s="65">
        <v>11.763509963764358</v>
      </c>
      <c r="BL361" s="65">
        <v>0</v>
      </c>
      <c r="BM361" s="65">
        <v>0</v>
      </c>
      <c r="BN361" s="65">
        <v>0</v>
      </c>
      <c r="BO361" s="65">
        <v>205.33566960000002</v>
      </c>
      <c r="BP361" s="62"/>
      <c r="BQ361" s="65">
        <v>159.77042313244866</v>
      </c>
      <c r="BR361" s="65">
        <v>208.74527477569802</v>
      </c>
      <c r="BS361" s="65">
        <v>755.33674533351348</v>
      </c>
      <c r="BT361" s="65">
        <v>253.62786106879676</v>
      </c>
      <c r="BU361" s="65">
        <v>280.37149024695498</v>
      </c>
      <c r="BV361" s="144">
        <f t="shared" si="370"/>
        <v>1141.5293350894756</v>
      </c>
      <c r="BW361" s="144">
        <f t="shared" si="371"/>
        <v>2458.0771672121382</v>
      </c>
      <c r="BX361" s="144">
        <f t="shared" si="372"/>
        <v>716.61998829757636</v>
      </c>
      <c r="BY361" s="5"/>
      <c r="BZ361" s="18"/>
      <c r="CA361" s="4"/>
      <c r="CB361" s="5"/>
      <c r="CC361" s="5"/>
      <c r="CD361" s="188">
        <v>2.1777775833862054</v>
      </c>
      <c r="CE361" s="5"/>
      <c r="CF361" s="64"/>
      <c r="CG361" s="70"/>
      <c r="CH361" s="70"/>
      <c r="CI361" s="70"/>
      <c r="CJ361" s="63"/>
      <c r="CK361" s="8">
        <f t="shared" ref="CK361:CK379" si="409">+SUM(AL361:CI361)</f>
        <v>16179.388103754483</v>
      </c>
      <c r="CL361" s="202">
        <f t="shared" si="389"/>
        <v>34114.081254147932</v>
      </c>
      <c r="CM361" s="202">
        <f t="shared" si="390"/>
        <v>34114.081254147932</v>
      </c>
      <c r="CN361" s="202">
        <f t="shared" si="391"/>
        <v>34114.081254147932</v>
      </c>
      <c r="CO361" s="9">
        <f t="shared" si="392"/>
        <v>35380.978852789536</v>
      </c>
      <c r="CP361" s="9">
        <f t="shared" si="393"/>
        <v>35656.769755134337</v>
      </c>
      <c r="CQ361" s="9">
        <f t="shared" si="394"/>
        <v>29446.099657657927</v>
      </c>
      <c r="CR361" s="202">
        <f t="shared" si="395"/>
        <v>34114.081254147932</v>
      </c>
      <c r="CS361" s="202">
        <f t="shared" si="396"/>
        <v>34114.081254147932</v>
      </c>
      <c r="CT361" s="202">
        <f t="shared" si="397"/>
        <v>34114.081254147932</v>
      </c>
      <c r="CU361" s="203">
        <f t="shared" si="398"/>
        <v>0.67830041732421709</v>
      </c>
      <c r="CV361" s="203">
        <f t="shared" si="399"/>
        <v>0.67830041732421709</v>
      </c>
      <c r="CW361" s="203">
        <f t="shared" si="400"/>
        <v>0.67830041732421709</v>
      </c>
      <c r="CX361" s="19">
        <f t="shared" si="401"/>
        <v>0.68620494657474496</v>
      </c>
      <c r="CY361" s="19">
        <f t="shared" si="402"/>
        <v>0.68787447272232471</v>
      </c>
      <c r="CZ361" s="19">
        <f t="shared" si="403"/>
        <v>0.64538706548496028</v>
      </c>
      <c r="DA361" s="203">
        <f t="shared" si="404"/>
        <v>0.67830041732421709</v>
      </c>
      <c r="DB361" s="203">
        <f t="shared" si="405"/>
        <v>0.67830041732421709</v>
      </c>
      <c r="DC361" s="203">
        <f t="shared" si="406"/>
        <v>0.67830041732421709</v>
      </c>
      <c r="DD361" s="65"/>
      <c r="DE361" s="66"/>
      <c r="DF361" s="66"/>
      <c r="DG361" s="66"/>
      <c r="DH361" s="66"/>
      <c r="DI361" s="66"/>
      <c r="DJ361" s="66"/>
      <c r="DK361" s="70"/>
      <c r="DL361" s="70"/>
      <c r="DM361" s="8">
        <f t="shared" si="407"/>
        <v>0</v>
      </c>
      <c r="DN361" s="8">
        <f t="shared" si="408"/>
        <v>16179.388103754483</v>
      </c>
      <c r="DO361" s="202">
        <f t="shared" si="340"/>
        <v>34114.081254147932</v>
      </c>
      <c r="DP361" s="202">
        <f t="shared" si="341"/>
        <v>34114.081254147932</v>
      </c>
      <c r="DQ361" s="202">
        <f t="shared" si="342"/>
        <v>34114.081254147932</v>
      </c>
      <c r="DR361" s="9">
        <f t="shared" si="343"/>
        <v>35380.978852789536</v>
      </c>
      <c r="DS361" s="9">
        <f t="shared" ref="DS361:DS424" si="410">+AF361-$DN361</f>
        <v>35656.769755134337</v>
      </c>
      <c r="DT361" s="9">
        <f t="shared" si="344"/>
        <v>29446.099657657927</v>
      </c>
      <c r="DU361" s="202">
        <f t="shared" si="345"/>
        <v>34114.081254147932</v>
      </c>
      <c r="DV361" s="202">
        <f t="shared" si="346"/>
        <v>34114.081254147932</v>
      </c>
      <c r="DW361" s="202">
        <f t="shared" si="347"/>
        <v>34114.081254147932</v>
      </c>
      <c r="DX361" s="203">
        <f t="shared" si="348"/>
        <v>0.67830041732421709</v>
      </c>
      <c r="DY361" s="203">
        <f t="shared" si="349"/>
        <v>0.67830041732421709</v>
      </c>
      <c r="DZ361" s="203">
        <f t="shared" si="350"/>
        <v>0.67830041732421709</v>
      </c>
      <c r="EA361" s="19">
        <f t="shared" si="351"/>
        <v>0.68620494657474496</v>
      </c>
      <c r="EB361" s="19">
        <f t="shared" ref="EB361:EB424" si="411">+DS361/AF361</f>
        <v>0.68787447272232471</v>
      </c>
      <c r="EC361" s="19">
        <f t="shared" si="352"/>
        <v>0.64538706548496028</v>
      </c>
      <c r="ED361" s="203">
        <f t="shared" si="353"/>
        <v>0.67830041732421709</v>
      </c>
      <c r="EE361" s="203">
        <f t="shared" si="354"/>
        <v>0.67830041732421709</v>
      </c>
      <c r="EF361" s="203">
        <f t="shared" si="355"/>
        <v>0.67830041732421709</v>
      </c>
      <c r="EH361" s="58">
        <f t="shared" si="364"/>
        <v>15035.680991081621</v>
      </c>
      <c r="EI361" s="68">
        <f t="shared" si="365"/>
        <v>0.29006164060254158</v>
      </c>
      <c r="EJ361" s="58">
        <f t="shared" si="366"/>
        <v>15035.680991081621</v>
      </c>
      <c r="EK361" s="68">
        <f t="shared" si="365"/>
        <v>0.29006164060254158</v>
      </c>
      <c r="EL361" s="58">
        <f t="shared" si="367"/>
        <v>6427.6650027840442</v>
      </c>
      <c r="EM361" s="58">
        <f t="shared" si="368"/>
        <v>7144.2849910816203</v>
      </c>
      <c r="EN361" s="68">
        <f t="shared" si="369"/>
        <v>0.13782435439235635</v>
      </c>
      <c r="EO361" s="139">
        <f t="shared" si="387"/>
        <v>0.24029016665052916</v>
      </c>
      <c r="EP361">
        <f>+(SUM(M361:O361)*EO361*(1-'[1]Tier 3 Data'!$A$2))</f>
        <v>1382.3684975496644</v>
      </c>
    </row>
    <row r="362" spans="1:146" x14ac:dyDescent="0.2">
      <c r="A362" s="43">
        <v>0</v>
      </c>
      <c r="B362" s="43">
        <v>0</v>
      </c>
      <c r="C362" s="43">
        <v>0</v>
      </c>
      <c r="D362" s="70">
        <v>2037</v>
      </c>
      <c r="E362" s="70">
        <v>7</v>
      </c>
      <c r="F362" s="2">
        <v>744</v>
      </c>
      <c r="G362" s="133">
        <f t="shared" si="380"/>
        <v>47459.982016401998</v>
      </c>
      <c r="H362" s="65">
        <v>47459.982016401998</v>
      </c>
      <c r="I362" s="133">
        <f t="shared" si="381"/>
        <v>47459.982016401998</v>
      </c>
      <c r="J362" s="133">
        <f t="shared" si="362"/>
        <v>6000.8440000000046</v>
      </c>
      <c r="K362" s="65">
        <v>6000.8440000000046</v>
      </c>
      <c r="L362" s="133">
        <f t="shared" si="363"/>
        <v>6000.8440000000046</v>
      </c>
      <c r="M362" s="65">
        <v>1709.2251160000674</v>
      </c>
      <c r="N362" s="65">
        <v>3680.5074579497937</v>
      </c>
      <c r="O362" s="65">
        <v>1074.0743720665196</v>
      </c>
      <c r="P362" s="200">
        <f t="shared" si="356"/>
        <v>39519.995932597078</v>
      </c>
      <c r="Q362" s="200">
        <f t="shared" si="357"/>
        <v>39519.995932597078</v>
      </c>
      <c r="R362" s="200">
        <f t="shared" si="358"/>
        <v>39519.995932597078</v>
      </c>
      <c r="S362" s="133">
        <f t="shared" si="382"/>
        <v>41136.915704782041</v>
      </c>
      <c r="T362" s="133">
        <f t="shared" si="383"/>
        <v>41136.915704782041</v>
      </c>
      <c r="U362" s="133">
        <f t="shared" si="384"/>
        <v>41136.915704782041</v>
      </c>
      <c r="V362" s="200">
        <f t="shared" si="359"/>
        <v>39519.995932597078</v>
      </c>
      <c r="W362" s="200">
        <f t="shared" si="360"/>
        <v>39519.995932597078</v>
      </c>
      <c r="X362" s="200">
        <f t="shared" si="361"/>
        <v>39519.995932597078</v>
      </c>
      <c r="Y362" s="65">
        <v>17981.134926006765</v>
      </c>
      <c r="Z362" s="65">
        <v>19587.24039252329</v>
      </c>
      <c r="AA362" s="65">
        <v>11837.252291943467</v>
      </c>
      <c r="AB362" s="200">
        <f t="shared" si="373"/>
        <v>59107.236325120364</v>
      </c>
      <c r="AC362" s="200">
        <f t="shared" si="374"/>
        <v>59107.236325120364</v>
      </c>
      <c r="AD362" s="200">
        <f t="shared" si="375"/>
        <v>59107.236325120364</v>
      </c>
      <c r="AE362" s="199">
        <f t="shared" si="338"/>
        <v>59118.050630788806</v>
      </c>
      <c r="AF362" s="199">
        <f t="shared" si="376"/>
        <v>60724.156097305327</v>
      </c>
      <c r="AG362" s="199">
        <f t="shared" si="339"/>
        <v>52974.167996725504</v>
      </c>
      <c r="AH362" s="199">
        <f t="shared" si="385"/>
        <v>56849.162047015416</v>
      </c>
      <c r="AI362" s="200">
        <f t="shared" si="377"/>
        <v>59107.236325120364</v>
      </c>
      <c r="AJ362" s="200">
        <f t="shared" si="378"/>
        <v>59107.236325120364</v>
      </c>
      <c r="AK362" s="200">
        <f t="shared" si="379"/>
        <v>59107.236325120364</v>
      </c>
      <c r="AL362" s="4"/>
      <c r="AM362" s="4"/>
      <c r="AN362" s="4"/>
      <c r="AO362" s="4"/>
      <c r="AP362" s="63"/>
      <c r="AQ362" s="18"/>
      <c r="AR362" s="18"/>
      <c r="AS362" s="62"/>
      <c r="AT362" s="10">
        <v>3395.12</v>
      </c>
      <c r="AU362" s="133">
        <f t="shared" si="388"/>
        <v>118.521</v>
      </c>
      <c r="AV362" s="133">
        <f t="shared" si="388"/>
        <v>3084.53</v>
      </c>
      <c r="AW362" s="63"/>
      <c r="AX362" s="63"/>
      <c r="AY362" s="63"/>
      <c r="AZ362" s="64"/>
      <c r="BA362" s="65">
        <f t="shared" si="386"/>
        <v>1570</v>
      </c>
      <c r="BB362" s="5"/>
      <c r="BC362" s="65">
        <v>539.84159792658988</v>
      </c>
      <c r="BD362" s="65">
        <v>0</v>
      </c>
      <c r="BE362" s="65">
        <v>0</v>
      </c>
      <c r="BF362" s="65">
        <v>0</v>
      </c>
      <c r="BG362" s="65">
        <v>0</v>
      </c>
      <c r="BH362" s="65">
        <v>0</v>
      </c>
      <c r="BI362" s="65">
        <v>1488.7042626072457</v>
      </c>
      <c r="BJ362" s="65">
        <v>0</v>
      </c>
      <c r="BK362" s="65">
        <v>9.5733821057653241</v>
      </c>
      <c r="BL362" s="65">
        <v>0</v>
      </c>
      <c r="BM362" s="65">
        <v>0</v>
      </c>
      <c r="BN362" s="65">
        <v>0</v>
      </c>
      <c r="BO362" s="65">
        <v>212.18019192</v>
      </c>
      <c r="BP362" s="62"/>
      <c r="BQ362" s="65">
        <v>161.61683206446043</v>
      </c>
      <c r="BR362" s="65">
        <v>211.15759567225876</v>
      </c>
      <c r="BS362" s="65">
        <v>764.06563566679472</v>
      </c>
      <c r="BT362" s="65">
        <v>262.06258710524901</v>
      </c>
      <c r="BU362" s="65">
        <v>288.26838810811046</v>
      </c>
      <c r="BV362" s="144">
        <f t="shared" si="370"/>
        <v>1196.4575812000471</v>
      </c>
      <c r="BW362" s="144">
        <f t="shared" si="371"/>
        <v>2576.3552205648552</v>
      </c>
      <c r="BX362" s="144">
        <f t="shared" si="372"/>
        <v>751.85206044656366</v>
      </c>
      <c r="BY362" s="5"/>
      <c r="BZ362" s="18"/>
      <c r="CA362" s="4"/>
      <c r="CB362" s="5"/>
      <c r="CC362" s="5"/>
      <c r="CD362" s="188">
        <v>2.1042112926473342</v>
      </c>
      <c r="CE362" s="5"/>
      <c r="CF362" s="64"/>
      <c r="CG362" s="70"/>
      <c r="CH362" s="70"/>
      <c r="CI362" s="70"/>
      <c r="CJ362" s="63"/>
      <c r="CK362" s="8">
        <f t="shared" si="409"/>
        <v>16632.410546680592</v>
      </c>
      <c r="CL362" s="202">
        <f t="shared" si="389"/>
        <v>42474.825778439772</v>
      </c>
      <c r="CM362" s="202">
        <f t="shared" si="390"/>
        <v>42474.825778439772</v>
      </c>
      <c r="CN362" s="202">
        <f t="shared" si="391"/>
        <v>42474.825778439772</v>
      </c>
      <c r="CO362" s="9">
        <f t="shared" si="392"/>
        <v>42485.640084108214</v>
      </c>
      <c r="CP362" s="9">
        <f t="shared" si="393"/>
        <v>44091.745550624735</v>
      </c>
      <c r="CQ362" s="9">
        <f t="shared" si="394"/>
        <v>36341.757450044912</v>
      </c>
      <c r="CR362" s="202">
        <f t="shared" si="395"/>
        <v>42474.825778439772</v>
      </c>
      <c r="CS362" s="202">
        <f t="shared" si="396"/>
        <v>42474.825778439772</v>
      </c>
      <c r="CT362" s="202">
        <f t="shared" si="397"/>
        <v>42474.825778439772</v>
      </c>
      <c r="CU362" s="203">
        <f t="shared" si="398"/>
        <v>0.71860618799373843</v>
      </c>
      <c r="CV362" s="203">
        <f t="shared" si="399"/>
        <v>0.71860618799373843</v>
      </c>
      <c r="CW362" s="203">
        <f t="shared" si="400"/>
        <v>0.71860618799373843</v>
      </c>
      <c r="CX362" s="19">
        <f t="shared" si="401"/>
        <v>0.71865766260536346</v>
      </c>
      <c r="CY362" s="19">
        <f t="shared" si="402"/>
        <v>0.72609894289797028</v>
      </c>
      <c r="CZ362" s="19">
        <f t="shared" si="403"/>
        <v>0.68602790424743065</v>
      </c>
      <c r="DA362" s="203">
        <f t="shared" si="404"/>
        <v>0.71860618799373843</v>
      </c>
      <c r="DB362" s="203">
        <f t="shared" si="405"/>
        <v>0.71860618799373843</v>
      </c>
      <c r="DC362" s="203">
        <f t="shared" si="406"/>
        <v>0.71860618799373843</v>
      </c>
      <c r="DD362" s="65"/>
      <c r="DE362" s="66"/>
      <c r="DF362" s="66"/>
      <c r="DG362" s="66"/>
      <c r="DH362" s="66"/>
      <c r="DI362" s="66"/>
      <c r="DJ362" s="66"/>
      <c r="DK362" s="70"/>
      <c r="DL362" s="70"/>
      <c r="DM362" s="8">
        <f t="shared" si="407"/>
        <v>0</v>
      </c>
      <c r="DN362" s="8">
        <f t="shared" si="408"/>
        <v>16632.410546680592</v>
      </c>
      <c r="DO362" s="202">
        <f t="shared" si="340"/>
        <v>42474.825778439772</v>
      </c>
      <c r="DP362" s="202">
        <f t="shared" si="341"/>
        <v>42474.825778439772</v>
      </c>
      <c r="DQ362" s="202">
        <f t="shared" si="342"/>
        <v>42474.825778439772</v>
      </c>
      <c r="DR362" s="9">
        <f t="shared" si="343"/>
        <v>42485.640084108214</v>
      </c>
      <c r="DS362" s="9">
        <f t="shared" si="410"/>
        <v>44091.745550624735</v>
      </c>
      <c r="DT362" s="9">
        <f t="shared" si="344"/>
        <v>36341.757450044912</v>
      </c>
      <c r="DU362" s="202">
        <f t="shared" si="345"/>
        <v>42474.825778439772</v>
      </c>
      <c r="DV362" s="202">
        <f t="shared" si="346"/>
        <v>42474.825778439772</v>
      </c>
      <c r="DW362" s="202">
        <f t="shared" si="347"/>
        <v>42474.825778439772</v>
      </c>
      <c r="DX362" s="203">
        <f t="shared" si="348"/>
        <v>0.71860618799373843</v>
      </c>
      <c r="DY362" s="203">
        <f t="shared" si="349"/>
        <v>0.71860618799373843</v>
      </c>
      <c r="DZ362" s="203">
        <f t="shared" si="350"/>
        <v>0.71860618799373843</v>
      </c>
      <c r="EA362" s="19">
        <f t="shared" si="351"/>
        <v>0.71865766260536346</v>
      </c>
      <c r="EB362" s="19">
        <f t="shared" si="411"/>
        <v>0.72609894289797028</v>
      </c>
      <c r="EC362" s="19">
        <f t="shared" si="352"/>
        <v>0.68602790424743065</v>
      </c>
      <c r="ED362" s="203">
        <f t="shared" si="353"/>
        <v>0.71860618799373843</v>
      </c>
      <c r="EE362" s="203">
        <f t="shared" si="354"/>
        <v>0.71860618799373843</v>
      </c>
      <c r="EF362" s="203">
        <f t="shared" si="355"/>
        <v>0.71860618799373843</v>
      </c>
      <c r="EH362" s="58">
        <f t="shared" si="364"/>
        <v>15433.848754187895</v>
      </c>
      <c r="EI362" s="68">
        <f t="shared" si="365"/>
        <v>0.25416324813895241</v>
      </c>
      <c r="EJ362" s="58">
        <f t="shared" si="366"/>
        <v>15433.848754187895</v>
      </c>
      <c r="EK362" s="68">
        <f t="shared" si="365"/>
        <v>0.25416324813895241</v>
      </c>
      <c r="EL362" s="58">
        <f t="shared" si="367"/>
        <v>6513.8256937413298</v>
      </c>
      <c r="EM362" s="58">
        <f t="shared" si="368"/>
        <v>7265.6777541878937</v>
      </c>
      <c r="EN362" s="68">
        <f t="shared" si="369"/>
        <v>0.11965053483073951</v>
      </c>
      <c r="EO362" s="139">
        <f t="shared" si="387"/>
        <v>0.25197746931178833</v>
      </c>
      <c r="EP362">
        <f>+(SUM(M362:O362)*EO362*(1-'[1]Tier 3 Data'!$A$2))</f>
        <v>1519.6085573798966</v>
      </c>
    </row>
    <row r="363" spans="1:146" x14ac:dyDescent="0.2">
      <c r="A363" s="43">
        <v>0</v>
      </c>
      <c r="B363" s="43">
        <v>0</v>
      </c>
      <c r="C363" s="43">
        <v>0</v>
      </c>
      <c r="D363" s="70">
        <v>2037</v>
      </c>
      <c r="E363" s="70">
        <v>8</v>
      </c>
      <c r="F363" s="2">
        <v>744</v>
      </c>
      <c r="G363" s="133">
        <f t="shared" si="380"/>
        <v>45325.896213191038</v>
      </c>
      <c r="H363" s="65">
        <v>45325.896213191038</v>
      </c>
      <c r="I363" s="133">
        <f t="shared" si="381"/>
        <v>45325.896213191038</v>
      </c>
      <c r="J363" s="133">
        <f t="shared" si="362"/>
        <v>6040.560500000005</v>
      </c>
      <c r="K363" s="65">
        <v>6040.560500000005</v>
      </c>
      <c r="L363" s="133">
        <f t="shared" si="363"/>
        <v>6040.560500000005</v>
      </c>
      <c r="M363" s="65">
        <v>1523.4196774399222</v>
      </c>
      <c r="N363" s="65">
        <v>3280.4090180505418</v>
      </c>
      <c r="O363" s="65">
        <v>958.64196631426898</v>
      </c>
      <c r="P363" s="200">
        <f t="shared" si="356"/>
        <v>37556.594514649609</v>
      </c>
      <c r="Q363" s="200">
        <f t="shared" si="357"/>
        <v>37556.594514649609</v>
      </c>
      <c r="R363" s="200">
        <f t="shared" si="358"/>
        <v>37556.594514649609</v>
      </c>
      <c r="S363" s="133">
        <f t="shared" si="382"/>
        <v>38997.74312329675</v>
      </c>
      <c r="T363" s="133">
        <f t="shared" si="383"/>
        <v>38997.74312329675</v>
      </c>
      <c r="U363" s="133">
        <f t="shared" si="384"/>
        <v>38997.74312329675</v>
      </c>
      <c r="V363" s="200">
        <f t="shared" si="359"/>
        <v>37556.594514649609</v>
      </c>
      <c r="W363" s="200">
        <f t="shared" si="360"/>
        <v>37556.594514649609</v>
      </c>
      <c r="X363" s="200">
        <f t="shared" si="361"/>
        <v>37556.594514649609</v>
      </c>
      <c r="Y363" s="65">
        <v>17260.014434558874</v>
      </c>
      <c r="Z363" s="65">
        <v>18233.562525829082</v>
      </c>
      <c r="AA363" s="65">
        <v>11282.394561400562</v>
      </c>
      <c r="AB363" s="200">
        <f t="shared" si="373"/>
        <v>55790.157040478691</v>
      </c>
      <c r="AC363" s="200">
        <f t="shared" si="374"/>
        <v>55790.157040478691</v>
      </c>
      <c r="AD363" s="200">
        <f t="shared" si="375"/>
        <v>55790.157040478691</v>
      </c>
      <c r="AE363" s="199">
        <f t="shared" si="338"/>
        <v>56257.757557855628</v>
      </c>
      <c r="AF363" s="199">
        <f t="shared" si="376"/>
        <v>57231.305649125832</v>
      </c>
      <c r="AG363" s="199">
        <f t="shared" si="339"/>
        <v>50280.137684697314</v>
      </c>
      <c r="AH363" s="199">
        <f t="shared" si="385"/>
        <v>53755.721666911573</v>
      </c>
      <c r="AI363" s="200">
        <f t="shared" si="377"/>
        <v>55790.157040478691</v>
      </c>
      <c r="AJ363" s="200">
        <f t="shared" si="378"/>
        <v>55790.157040478691</v>
      </c>
      <c r="AK363" s="200">
        <f t="shared" si="379"/>
        <v>55790.157040478691</v>
      </c>
      <c r="AL363" s="4"/>
      <c r="AM363" s="4"/>
      <c r="AN363" s="4"/>
      <c r="AO363" s="4"/>
      <c r="AP363" s="63"/>
      <c r="AQ363" s="18"/>
      <c r="AR363" s="18"/>
      <c r="AS363" s="62"/>
      <c r="AT363" s="10">
        <v>3395.12</v>
      </c>
      <c r="AU363" s="133">
        <f t="shared" si="388"/>
        <v>107.64</v>
      </c>
      <c r="AV363" s="133">
        <f t="shared" si="388"/>
        <v>3021.9279999999999</v>
      </c>
      <c r="AW363" s="63"/>
      <c r="AX363" s="63"/>
      <c r="AY363" s="63"/>
      <c r="AZ363" s="64"/>
      <c r="BA363" s="65">
        <f t="shared" si="386"/>
        <v>2058.0909999999999</v>
      </c>
      <c r="BB363" s="5"/>
      <c r="BC363" s="65">
        <v>496.43408807161325</v>
      </c>
      <c r="BD363" s="65">
        <v>0</v>
      </c>
      <c r="BE363" s="65">
        <v>0</v>
      </c>
      <c r="BF363" s="65">
        <v>0</v>
      </c>
      <c r="BG363" s="65">
        <v>0</v>
      </c>
      <c r="BH363" s="65">
        <v>0</v>
      </c>
      <c r="BI363" s="65">
        <v>1443.7081029115329</v>
      </c>
      <c r="BJ363" s="65">
        <v>0</v>
      </c>
      <c r="BK363" s="65">
        <v>11.152893841525399</v>
      </c>
      <c r="BL363" s="65">
        <v>0</v>
      </c>
      <c r="BM363" s="65">
        <v>0</v>
      </c>
      <c r="BN363" s="65">
        <v>0</v>
      </c>
      <c r="BO363" s="65">
        <v>212.18019192</v>
      </c>
      <c r="BP363" s="62"/>
      <c r="BQ363" s="65">
        <v>153.38694033661952</v>
      </c>
      <c r="BR363" s="65">
        <v>200.40503954630975</v>
      </c>
      <c r="BS363" s="65">
        <v>725.15792651326649</v>
      </c>
      <c r="BT363" s="65">
        <v>248.72410605233824</v>
      </c>
      <c r="BU363" s="65">
        <v>268.22856485781978</v>
      </c>
      <c r="BV363" s="144">
        <f t="shared" si="370"/>
        <v>1066.3937742079454</v>
      </c>
      <c r="BW363" s="144">
        <f t="shared" si="371"/>
        <v>2296.2863126353791</v>
      </c>
      <c r="BX363" s="144">
        <f t="shared" si="372"/>
        <v>671.04937641998822</v>
      </c>
      <c r="BY363" s="5"/>
      <c r="BZ363" s="18"/>
      <c r="CA363" s="4"/>
      <c r="CB363" s="5"/>
      <c r="CC363" s="5"/>
      <c r="CD363" s="188">
        <v>16.868963591035975</v>
      </c>
      <c r="CE363" s="5"/>
      <c r="CF363" s="64"/>
      <c r="CG363" s="70"/>
      <c r="CH363" s="70"/>
      <c r="CI363" s="70"/>
      <c r="CJ363" s="63"/>
      <c r="CK363" s="8">
        <f t="shared" si="409"/>
        <v>16392.755280905374</v>
      </c>
      <c r="CL363" s="202">
        <f t="shared" si="389"/>
        <v>39397.401759573317</v>
      </c>
      <c r="CM363" s="202">
        <f t="shared" si="390"/>
        <v>39397.401759573317</v>
      </c>
      <c r="CN363" s="202">
        <f t="shared" si="391"/>
        <v>39397.401759573317</v>
      </c>
      <c r="CO363" s="9">
        <f t="shared" si="392"/>
        <v>39865.002276950254</v>
      </c>
      <c r="CP363" s="9">
        <f t="shared" si="393"/>
        <v>40838.550368220458</v>
      </c>
      <c r="CQ363" s="9">
        <f t="shared" si="394"/>
        <v>33887.38240379194</v>
      </c>
      <c r="CR363" s="202">
        <f t="shared" si="395"/>
        <v>39397.401759573317</v>
      </c>
      <c r="CS363" s="202">
        <f t="shared" si="396"/>
        <v>39397.401759573317</v>
      </c>
      <c r="CT363" s="202">
        <f t="shared" si="397"/>
        <v>39397.401759573317</v>
      </c>
      <c r="CU363" s="203">
        <f t="shared" si="398"/>
        <v>0.7061711930831891</v>
      </c>
      <c r="CV363" s="203">
        <f t="shared" si="399"/>
        <v>0.7061711930831891</v>
      </c>
      <c r="CW363" s="203">
        <f t="shared" si="400"/>
        <v>0.7061711930831891</v>
      </c>
      <c r="CX363" s="19">
        <f t="shared" si="401"/>
        <v>0.70861342519656922</v>
      </c>
      <c r="CY363" s="19">
        <f t="shared" si="402"/>
        <v>0.71357013272759817</v>
      </c>
      <c r="CZ363" s="19">
        <f t="shared" si="403"/>
        <v>0.67397155147619092</v>
      </c>
      <c r="DA363" s="203">
        <f t="shared" si="404"/>
        <v>0.7061711930831891</v>
      </c>
      <c r="DB363" s="203">
        <f t="shared" si="405"/>
        <v>0.7061711930831891</v>
      </c>
      <c r="DC363" s="203">
        <f t="shared" si="406"/>
        <v>0.7061711930831891</v>
      </c>
      <c r="DD363" s="65"/>
      <c r="DE363" s="66"/>
      <c r="DF363" s="66"/>
      <c r="DG363" s="66"/>
      <c r="DH363" s="66"/>
      <c r="DI363" s="66"/>
      <c r="DJ363" s="66"/>
      <c r="DK363" s="70"/>
      <c r="DL363" s="70"/>
      <c r="DM363" s="8">
        <f t="shared" si="407"/>
        <v>0</v>
      </c>
      <c r="DN363" s="8">
        <f t="shared" si="408"/>
        <v>16392.755280905374</v>
      </c>
      <c r="DO363" s="202">
        <f t="shared" si="340"/>
        <v>39397.401759573317</v>
      </c>
      <c r="DP363" s="202">
        <f t="shared" si="341"/>
        <v>39397.401759573317</v>
      </c>
      <c r="DQ363" s="202">
        <f t="shared" si="342"/>
        <v>39397.401759573317</v>
      </c>
      <c r="DR363" s="9">
        <f t="shared" si="343"/>
        <v>39865.002276950254</v>
      </c>
      <c r="DS363" s="9">
        <f t="shared" si="410"/>
        <v>40838.550368220458</v>
      </c>
      <c r="DT363" s="9">
        <f t="shared" si="344"/>
        <v>33887.38240379194</v>
      </c>
      <c r="DU363" s="202">
        <f t="shared" si="345"/>
        <v>39397.401759573317</v>
      </c>
      <c r="DV363" s="202">
        <f t="shared" si="346"/>
        <v>39397.401759573317</v>
      </c>
      <c r="DW363" s="202">
        <f t="shared" si="347"/>
        <v>39397.401759573317</v>
      </c>
      <c r="DX363" s="203">
        <f t="shared" si="348"/>
        <v>0.7061711930831891</v>
      </c>
      <c r="DY363" s="203">
        <f t="shared" si="349"/>
        <v>0.7061711930831891</v>
      </c>
      <c r="DZ363" s="203">
        <f t="shared" si="350"/>
        <v>0.7061711930831891</v>
      </c>
      <c r="EA363" s="19">
        <f t="shared" si="351"/>
        <v>0.70861342519656922</v>
      </c>
      <c r="EB363" s="19">
        <f t="shared" si="411"/>
        <v>0.71357013272759817</v>
      </c>
      <c r="EC363" s="19">
        <f t="shared" si="352"/>
        <v>0.67397155147619092</v>
      </c>
      <c r="ED363" s="203">
        <f t="shared" si="353"/>
        <v>0.7061711930831891</v>
      </c>
      <c r="EE363" s="203">
        <f t="shared" si="354"/>
        <v>0.7061711930831891</v>
      </c>
      <c r="EF363" s="203">
        <f t="shared" si="355"/>
        <v>0.7061711930831891</v>
      </c>
      <c r="EH363" s="58">
        <f t="shared" si="364"/>
        <v>15309.492543106389</v>
      </c>
      <c r="EI363" s="68">
        <f t="shared" si="365"/>
        <v>0.2675020667353975</v>
      </c>
      <c r="EJ363" s="58">
        <f t="shared" si="366"/>
        <v>15309.492543106389</v>
      </c>
      <c r="EK363" s="68">
        <f t="shared" si="365"/>
        <v>0.2675020667353975</v>
      </c>
      <c r="EL363" s="58">
        <f t="shared" si="367"/>
        <v>6055.6641666864043</v>
      </c>
      <c r="EM363" s="58">
        <f t="shared" si="368"/>
        <v>6726.7135431063925</v>
      </c>
      <c r="EN363" s="68">
        <f t="shared" si="369"/>
        <v>0.11753555972227131</v>
      </c>
      <c r="EO363" s="139">
        <f t="shared" si="387"/>
        <v>0.28519905910129462</v>
      </c>
      <c r="EP363">
        <f>+(SUM(M363:O363)*EO363*(1-'[1]Tier 3 Data'!$A$2))</f>
        <v>1533.3399797188745</v>
      </c>
    </row>
    <row r="364" spans="1:146" x14ac:dyDescent="0.2">
      <c r="A364" s="43">
        <v>0</v>
      </c>
      <c r="B364" s="43">
        <v>0</v>
      </c>
      <c r="C364" s="43">
        <v>0</v>
      </c>
      <c r="D364" s="70">
        <v>2037</v>
      </c>
      <c r="E364" s="70">
        <v>9</v>
      </c>
      <c r="F364" s="2">
        <v>720</v>
      </c>
      <c r="G364" s="133">
        <f t="shared" si="380"/>
        <v>39374.501867175291</v>
      </c>
      <c r="H364" s="65">
        <v>39374.501867175291</v>
      </c>
      <c r="I364" s="133">
        <f t="shared" si="381"/>
        <v>39374.501867175291</v>
      </c>
      <c r="J364" s="133">
        <f t="shared" si="362"/>
        <v>6080.2770000000055</v>
      </c>
      <c r="K364" s="65">
        <v>6080.2770000000055</v>
      </c>
      <c r="L364" s="133">
        <f t="shared" si="363"/>
        <v>6080.2770000000055</v>
      </c>
      <c r="M364" s="65">
        <v>1305.6369062084025</v>
      </c>
      <c r="N364" s="65">
        <v>2811.4531700307239</v>
      </c>
      <c r="O364" s="65">
        <v>822.40914940814082</v>
      </c>
      <c r="P364" s="200">
        <f t="shared" si="356"/>
        <v>31812.375099481109</v>
      </c>
      <c r="Q364" s="200">
        <f t="shared" si="357"/>
        <v>31812.375099481109</v>
      </c>
      <c r="R364" s="200">
        <f t="shared" si="358"/>
        <v>31812.375099481109</v>
      </c>
      <c r="S364" s="133">
        <f t="shared" si="382"/>
        <v>33047.502122352846</v>
      </c>
      <c r="T364" s="133">
        <f t="shared" si="383"/>
        <v>33047.502122352846</v>
      </c>
      <c r="U364" s="133">
        <f t="shared" si="384"/>
        <v>33047.502122352846</v>
      </c>
      <c r="V364" s="200">
        <f t="shared" si="359"/>
        <v>31812.375099481109</v>
      </c>
      <c r="W364" s="200">
        <f t="shared" si="360"/>
        <v>31812.375099481109</v>
      </c>
      <c r="X364" s="200">
        <f t="shared" si="361"/>
        <v>31812.375099481109</v>
      </c>
      <c r="Y364" s="65">
        <v>16319.670539366429</v>
      </c>
      <c r="Z364" s="65">
        <v>16789.407348358553</v>
      </c>
      <c r="AA364" s="65">
        <v>10479.495633708404</v>
      </c>
      <c r="AB364" s="200">
        <f t="shared" si="373"/>
        <v>48601.782447839665</v>
      </c>
      <c r="AC364" s="200">
        <f t="shared" si="374"/>
        <v>48601.782447839665</v>
      </c>
      <c r="AD364" s="200">
        <f t="shared" si="375"/>
        <v>48601.782447839665</v>
      </c>
      <c r="AE364" s="199">
        <f t="shared" si="338"/>
        <v>49367.172661719276</v>
      </c>
      <c r="AF364" s="199">
        <f t="shared" si="376"/>
        <v>49836.909470711398</v>
      </c>
      <c r="AG364" s="199">
        <f t="shared" si="339"/>
        <v>43526.997756061246</v>
      </c>
      <c r="AH364" s="199">
        <f t="shared" si="385"/>
        <v>46681.953613386322</v>
      </c>
      <c r="AI364" s="200">
        <f t="shared" si="377"/>
        <v>48601.782447839665</v>
      </c>
      <c r="AJ364" s="200">
        <f t="shared" si="378"/>
        <v>48601.782447839665</v>
      </c>
      <c r="AK364" s="200">
        <f t="shared" si="379"/>
        <v>48601.782447839665</v>
      </c>
      <c r="AL364" s="4"/>
      <c r="AM364" s="4"/>
      <c r="AN364" s="4"/>
      <c r="AO364" s="4"/>
      <c r="AP364" s="63"/>
      <c r="AQ364" s="18"/>
      <c r="AR364" s="18"/>
      <c r="AS364" s="62"/>
      <c r="AT364" s="10">
        <v>3285.6</v>
      </c>
      <c r="AU364" s="133">
        <f t="shared" si="388"/>
        <v>102.375</v>
      </c>
      <c r="AV364" s="133">
        <f t="shared" si="388"/>
        <v>2969.6280000000002</v>
      </c>
      <c r="AW364" s="63"/>
      <c r="AX364" s="63"/>
      <c r="AY364" s="63"/>
      <c r="AZ364" s="64"/>
      <c r="BA364" s="65">
        <f t="shared" si="386"/>
        <v>1516.482</v>
      </c>
      <c r="BB364" s="5"/>
      <c r="BC364" s="65">
        <v>461.90498330628509</v>
      </c>
      <c r="BD364" s="65">
        <v>0</v>
      </c>
      <c r="BE364" s="65">
        <v>0</v>
      </c>
      <c r="BF364" s="65">
        <v>0</v>
      </c>
      <c r="BG364" s="65">
        <v>0</v>
      </c>
      <c r="BH364" s="65">
        <v>0</v>
      </c>
      <c r="BI364" s="65">
        <v>1343.2920566854834</v>
      </c>
      <c r="BJ364" s="65">
        <v>0</v>
      </c>
      <c r="BK364" s="65">
        <v>13.355863258351745</v>
      </c>
      <c r="BL364" s="65">
        <v>0</v>
      </c>
      <c r="BM364" s="65">
        <v>0</v>
      </c>
      <c r="BN364" s="65">
        <v>0</v>
      </c>
      <c r="BO364" s="65">
        <v>205.33566960000002</v>
      </c>
      <c r="BP364" s="62"/>
      <c r="BQ364" s="65">
        <v>122.46712796821299</v>
      </c>
      <c r="BR364" s="65">
        <v>160.00733974387407</v>
      </c>
      <c r="BS364" s="65">
        <v>578.98040529415482</v>
      </c>
      <c r="BT364" s="65">
        <v>214.22742779542935</v>
      </c>
      <c r="BU364" s="65">
        <v>220.23695906678111</v>
      </c>
      <c r="BV364" s="144">
        <f t="shared" si="370"/>
        <v>913.94583434588162</v>
      </c>
      <c r="BW364" s="144">
        <f t="shared" si="371"/>
        <v>1968.0172190215067</v>
      </c>
      <c r="BX364" s="144">
        <f t="shared" si="372"/>
        <v>575.68640458569848</v>
      </c>
      <c r="BY364" s="5"/>
      <c r="BZ364" s="18"/>
      <c r="CA364" s="4"/>
      <c r="CB364" s="5"/>
      <c r="CC364" s="5"/>
      <c r="CD364" s="188">
        <v>2.2241810746462862</v>
      </c>
      <c r="CE364" s="5"/>
      <c r="CF364" s="64"/>
      <c r="CG364" s="70"/>
      <c r="CH364" s="70"/>
      <c r="CI364" s="70"/>
      <c r="CJ364" s="63"/>
      <c r="CK364" s="8">
        <f t="shared" si="409"/>
        <v>14653.766471746301</v>
      </c>
      <c r="CL364" s="202">
        <f t="shared" si="389"/>
        <v>33948.01597609336</v>
      </c>
      <c r="CM364" s="202">
        <f t="shared" si="390"/>
        <v>33948.01597609336</v>
      </c>
      <c r="CN364" s="202">
        <f t="shared" si="391"/>
        <v>33948.01597609336</v>
      </c>
      <c r="CO364" s="9">
        <f t="shared" si="392"/>
        <v>34713.406189972971</v>
      </c>
      <c r="CP364" s="9">
        <f t="shared" si="393"/>
        <v>35183.142998965093</v>
      </c>
      <c r="CQ364" s="9">
        <f t="shared" si="394"/>
        <v>28873.231284314945</v>
      </c>
      <c r="CR364" s="202">
        <f t="shared" si="395"/>
        <v>33948.01597609336</v>
      </c>
      <c r="CS364" s="202">
        <f t="shared" si="396"/>
        <v>33948.01597609336</v>
      </c>
      <c r="CT364" s="202">
        <f t="shared" si="397"/>
        <v>33948.01597609336</v>
      </c>
      <c r="CU364" s="203">
        <f t="shared" si="398"/>
        <v>0.69849322938982739</v>
      </c>
      <c r="CV364" s="203">
        <f t="shared" si="399"/>
        <v>0.69849322938982739</v>
      </c>
      <c r="CW364" s="203">
        <f t="shared" si="400"/>
        <v>0.69849322938982739</v>
      </c>
      <c r="CX364" s="19">
        <f t="shared" si="401"/>
        <v>0.70316779994351886</v>
      </c>
      <c r="CY364" s="19">
        <f t="shared" si="402"/>
        <v>0.70596558600091042</v>
      </c>
      <c r="CZ364" s="19">
        <f t="shared" si="403"/>
        <v>0.66334074879525251</v>
      </c>
      <c r="DA364" s="203">
        <f t="shared" si="404"/>
        <v>0.69849322938982739</v>
      </c>
      <c r="DB364" s="203">
        <f t="shared" si="405"/>
        <v>0.69849322938982739</v>
      </c>
      <c r="DC364" s="203">
        <f t="shared" si="406"/>
        <v>0.69849322938982739</v>
      </c>
      <c r="DD364" s="65"/>
      <c r="DE364" s="66"/>
      <c r="DF364" s="66"/>
      <c r="DG364" s="66"/>
      <c r="DH364" s="66"/>
      <c r="DI364" s="66"/>
      <c r="DJ364" s="66"/>
      <c r="DK364" s="70"/>
      <c r="DL364" s="70"/>
      <c r="DM364" s="8">
        <f t="shared" si="407"/>
        <v>0</v>
      </c>
      <c r="DN364" s="8">
        <f t="shared" si="408"/>
        <v>14653.766471746301</v>
      </c>
      <c r="DO364" s="202">
        <f t="shared" si="340"/>
        <v>33948.01597609336</v>
      </c>
      <c r="DP364" s="202">
        <f t="shared" si="341"/>
        <v>33948.01597609336</v>
      </c>
      <c r="DQ364" s="202">
        <f t="shared" si="342"/>
        <v>33948.01597609336</v>
      </c>
      <c r="DR364" s="9">
        <f t="shared" si="343"/>
        <v>34713.406189972971</v>
      </c>
      <c r="DS364" s="9">
        <f t="shared" si="410"/>
        <v>35183.142998965093</v>
      </c>
      <c r="DT364" s="9">
        <f t="shared" si="344"/>
        <v>28873.231284314945</v>
      </c>
      <c r="DU364" s="202">
        <f t="shared" si="345"/>
        <v>33948.01597609336</v>
      </c>
      <c r="DV364" s="202">
        <f t="shared" si="346"/>
        <v>33948.01597609336</v>
      </c>
      <c r="DW364" s="202">
        <f t="shared" si="347"/>
        <v>33948.01597609336</v>
      </c>
      <c r="DX364" s="203">
        <f t="shared" si="348"/>
        <v>0.69849322938982739</v>
      </c>
      <c r="DY364" s="203">
        <f t="shared" si="349"/>
        <v>0.69849322938982739</v>
      </c>
      <c r="DZ364" s="203">
        <f t="shared" si="350"/>
        <v>0.69849322938982739</v>
      </c>
      <c r="EA364" s="19">
        <f t="shared" si="351"/>
        <v>0.70316779994351886</v>
      </c>
      <c r="EB364" s="19">
        <f t="shared" si="411"/>
        <v>0.70596558600091042</v>
      </c>
      <c r="EC364" s="19">
        <f t="shared" si="352"/>
        <v>0.66334074879525251</v>
      </c>
      <c r="ED364" s="203">
        <f t="shared" si="353"/>
        <v>0.69849322938982739</v>
      </c>
      <c r="EE364" s="203">
        <f t="shared" si="354"/>
        <v>0.69849322938982739</v>
      </c>
      <c r="EF364" s="203">
        <f t="shared" si="355"/>
        <v>0.69849322938982739</v>
      </c>
      <c r="EH364" s="58">
        <f t="shared" si="364"/>
        <v>13737.596456325775</v>
      </c>
      <c r="EI364" s="68">
        <f t="shared" si="365"/>
        <v>0.27565105064147705</v>
      </c>
      <c r="EJ364" s="58">
        <f t="shared" si="366"/>
        <v>13737.596456325775</v>
      </c>
      <c r="EK364" s="68">
        <f t="shared" si="365"/>
        <v>0.27565105064147705</v>
      </c>
      <c r="EL364" s="58">
        <f t="shared" si="367"/>
        <v>5287.8250517400793</v>
      </c>
      <c r="EM364" s="58">
        <f t="shared" si="368"/>
        <v>5863.5114563257775</v>
      </c>
      <c r="EN364" s="68">
        <f t="shared" si="369"/>
        <v>0.11765399417015814</v>
      </c>
      <c r="EO364" s="139">
        <f t="shared" si="387"/>
        <v>0.31860645638858931</v>
      </c>
      <c r="EP364">
        <f>+(SUM(M364:O364)*EO364*(1-'[1]Tier 3 Data'!$A$2))</f>
        <v>1468.3146695282737</v>
      </c>
    </row>
    <row r="365" spans="1:146" x14ac:dyDescent="0.2">
      <c r="A365" s="43">
        <v>0</v>
      </c>
      <c r="B365" s="43">
        <v>0</v>
      </c>
      <c r="C365" s="43">
        <v>0</v>
      </c>
      <c r="D365" s="70">
        <v>2037</v>
      </c>
      <c r="E365" s="70">
        <v>10</v>
      </c>
      <c r="F365" s="2">
        <v>744</v>
      </c>
      <c r="G365" s="133">
        <f t="shared" si="380"/>
        <v>41376.95679250898</v>
      </c>
      <c r="H365" s="65">
        <v>41376.95679250898</v>
      </c>
      <c r="I365" s="133">
        <f t="shared" si="381"/>
        <v>41376.95679250898</v>
      </c>
      <c r="J365" s="133">
        <f t="shared" si="362"/>
        <v>6119.993500000006</v>
      </c>
      <c r="K365" s="65">
        <v>6119.993500000006</v>
      </c>
      <c r="L365" s="133">
        <f t="shared" si="363"/>
        <v>6119.993500000006</v>
      </c>
      <c r="M365" s="65">
        <v>957.87478015852639</v>
      </c>
      <c r="N365" s="65">
        <v>2062.6102665784465</v>
      </c>
      <c r="O365" s="65">
        <v>603.95469441810587</v>
      </c>
      <c r="P365" s="200">
        <f t="shared" si="356"/>
        <v>34169.631370162453</v>
      </c>
      <c r="Q365" s="200">
        <f t="shared" si="357"/>
        <v>34169.631370162453</v>
      </c>
      <c r="R365" s="200">
        <f t="shared" si="358"/>
        <v>34169.631370162453</v>
      </c>
      <c r="S365" s="133">
        <f t="shared" si="382"/>
        <v>35075.776884183542</v>
      </c>
      <c r="T365" s="133">
        <f t="shared" si="383"/>
        <v>35075.776884183542</v>
      </c>
      <c r="U365" s="133">
        <f t="shared" si="384"/>
        <v>35075.776884183542</v>
      </c>
      <c r="V365" s="200">
        <f t="shared" si="359"/>
        <v>34169.631370162453</v>
      </c>
      <c r="W365" s="200">
        <f t="shared" si="360"/>
        <v>34169.631370162453</v>
      </c>
      <c r="X365" s="200">
        <f t="shared" si="361"/>
        <v>34169.631370162453</v>
      </c>
      <c r="Y365" s="65">
        <v>17741.141943501261</v>
      </c>
      <c r="Z365" s="65">
        <v>19490.406585133165</v>
      </c>
      <c r="AA365" s="65">
        <v>11715.692697332483</v>
      </c>
      <c r="AB365" s="200">
        <f t="shared" si="373"/>
        <v>53660.037955295615</v>
      </c>
      <c r="AC365" s="200">
        <f t="shared" si="374"/>
        <v>53660.037955295615</v>
      </c>
      <c r="AD365" s="200">
        <f t="shared" si="375"/>
        <v>53660.037955295615</v>
      </c>
      <c r="AE365" s="199">
        <f t="shared" si="338"/>
        <v>52816.9188276848</v>
      </c>
      <c r="AF365" s="199">
        <f t="shared" si="376"/>
        <v>54566.183469316704</v>
      </c>
      <c r="AG365" s="199">
        <f t="shared" si="339"/>
        <v>46791.469581516023</v>
      </c>
      <c r="AH365" s="199">
        <f t="shared" si="385"/>
        <v>50678.826525416363</v>
      </c>
      <c r="AI365" s="200">
        <f t="shared" si="377"/>
        <v>53660.037955295615</v>
      </c>
      <c r="AJ365" s="200">
        <f t="shared" si="378"/>
        <v>53660.037955295615</v>
      </c>
      <c r="AK365" s="200">
        <f t="shared" si="379"/>
        <v>53660.037955295615</v>
      </c>
      <c r="AL365" s="4"/>
      <c r="AM365" s="4"/>
      <c r="AN365" s="4"/>
      <c r="AO365" s="4"/>
      <c r="AP365" s="63"/>
      <c r="AQ365" s="18"/>
      <c r="AR365" s="18"/>
      <c r="AS365" s="62"/>
      <c r="AT365" s="10">
        <v>3395.12</v>
      </c>
      <c r="AU365" s="133">
        <f t="shared" si="388"/>
        <v>118.17</v>
      </c>
      <c r="AV365" s="133">
        <f t="shared" si="388"/>
        <v>3225.1860000000001</v>
      </c>
      <c r="AW365" s="63"/>
      <c r="AX365" s="63"/>
      <c r="AY365" s="63"/>
      <c r="AZ365" s="64"/>
      <c r="BA365" s="65">
        <f t="shared" si="386"/>
        <v>1498.2090000000001</v>
      </c>
      <c r="BB365" s="5"/>
      <c r="BC365" s="65">
        <v>338.34754731239559</v>
      </c>
      <c r="BD365" s="65">
        <v>0</v>
      </c>
      <c r="BE365" s="65">
        <v>0</v>
      </c>
      <c r="BF365" s="65">
        <v>0</v>
      </c>
      <c r="BG365" s="65">
        <v>0</v>
      </c>
      <c r="BH365" s="65">
        <v>0</v>
      </c>
      <c r="BI365" s="65">
        <v>983.96767545238163</v>
      </c>
      <c r="BJ365" s="65">
        <v>0</v>
      </c>
      <c r="BK365" s="65">
        <v>16.565610887239799</v>
      </c>
      <c r="BL365" s="65">
        <v>0</v>
      </c>
      <c r="BM365" s="65">
        <v>0</v>
      </c>
      <c r="BN365" s="65">
        <v>0</v>
      </c>
      <c r="BO365" s="65">
        <v>212.18019192</v>
      </c>
      <c r="BP365" s="62"/>
      <c r="BQ365" s="65">
        <v>96.626696379279124</v>
      </c>
      <c r="BR365" s="65">
        <v>126.24593168698453</v>
      </c>
      <c r="BS365" s="65">
        <v>456.8160475302974</v>
      </c>
      <c r="BT365" s="65">
        <v>150.79293055329964</v>
      </c>
      <c r="BU365" s="65">
        <v>150.35145938129313</v>
      </c>
      <c r="BV365" s="144">
        <f t="shared" si="370"/>
        <v>670.51234611096845</v>
      </c>
      <c r="BW365" s="144">
        <f t="shared" si="371"/>
        <v>1443.8271866049124</v>
      </c>
      <c r="BX365" s="144">
        <f t="shared" si="372"/>
        <v>422.76828609267409</v>
      </c>
      <c r="BY365" s="5"/>
      <c r="BZ365" s="18"/>
      <c r="CA365" s="4"/>
      <c r="CB365" s="5"/>
      <c r="CC365" s="5"/>
      <c r="CD365" s="188">
        <v>0</v>
      </c>
      <c r="CE365" s="5"/>
      <c r="CF365" s="64"/>
      <c r="CG365" s="70"/>
      <c r="CH365" s="70"/>
      <c r="CI365" s="70"/>
      <c r="CJ365" s="63"/>
      <c r="CK365" s="8">
        <f t="shared" si="409"/>
        <v>13305.686909911727</v>
      </c>
      <c r="CL365" s="202">
        <f t="shared" si="389"/>
        <v>40354.35104538389</v>
      </c>
      <c r="CM365" s="202">
        <f t="shared" si="390"/>
        <v>40354.35104538389</v>
      </c>
      <c r="CN365" s="202">
        <f t="shared" si="391"/>
        <v>40354.35104538389</v>
      </c>
      <c r="CO365" s="9">
        <f t="shared" si="392"/>
        <v>39511.231917773075</v>
      </c>
      <c r="CP365" s="9">
        <f t="shared" si="393"/>
        <v>41260.496559404979</v>
      </c>
      <c r="CQ365" s="9">
        <f t="shared" si="394"/>
        <v>33485.782671604298</v>
      </c>
      <c r="CR365" s="202">
        <f t="shared" si="395"/>
        <v>40354.35104538389</v>
      </c>
      <c r="CS365" s="202">
        <f t="shared" si="396"/>
        <v>40354.35104538389</v>
      </c>
      <c r="CT365" s="202">
        <f t="shared" si="397"/>
        <v>40354.35104538389</v>
      </c>
      <c r="CU365" s="203">
        <f t="shared" si="398"/>
        <v>0.7520373183299508</v>
      </c>
      <c r="CV365" s="203">
        <f t="shared" si="399"/>
        <v>0.7520373183299508</v>
      </c>
      <c r="CW365" s="203">
        <f t="shared" si="400"/>
        <v>0.7520373183299508</v>
      </c>
      <c r="CX365" s="19">
        <f t="shared" si="401"/>
        <v>0.74807907759024095</v>
      </c>
      <c r="CY365" s="19">
        <f t="shared" si="402"/>
        <v>0.75615507510446112</v>
      </c>
      <c r="CZ365" s="19">
        <f t="shared" si="403"/>
        <v>0.71563861898520376</v>
      </c>
      <c r="DA365" s="203">
        <f t="shared" si="404"/>
        <v>0.7520373183299508</v>
      </c>
      <c r="DB365" s="203">
        <f t="shared" si="405"/>
        <v>0.7520373183299508</v>
      </c>
      <c r="DC365" s="203">
        <f t="shared" si="406"/>
        <v>0.7520373183299508</v>
      </c>
      <c r="DD365" s="65"/>
      <c r="DE365" s="66"/>
      <c r="DF365" s="66"/>
      <c r="DG365" s="66"/>
      <c r="DH365" s="66"/>
      <c r="DI365" s="66"/>
      <c r="DJ365" s="66"/>
      <c r="DK365" s="70"/>
      <c r="DL365" s="70"/>
      <c r="DM365" s="8">
        <f t="shared" si="407"/>
        <v>0</v>
      </c>
      <c r="DN365" s="8">
        <f t="shared" si="408"/>
        <v>13305.686909911727</v>
      </c>
      <c r="DO365" s="202">
        <f t="shared" si="340"/>
        <v>40354.35104538389</v>
      </c>
      <c r="DP365" s="202">
        <f t="shared" si="341"/>
        <v>40354.35104538389</v>
      </c>
      <c r="DQ365" s="202">
        <f t="shared" si="342"/>
        <v>40354.35104538389</v>
      </c>
      <c r="DR365" s="9">
        <f t="shared" si="343"/>
        <v>39511.231917773075</v>
      </c>
      <c r="DS365" s="9">
        <f t="shared" si="410"/>
        <v>41260.496559404979</v>
      </c>
      <c r="DT365" s="9">
        <f t="shared" si="344"/>
        <v>33485.782671604298</v>
      </c>
      <c r="DU365" s="202">
        <f t="shared" si="345"/>
        <v>40354.35104538389</v>
      </c>
      <c r="DV365" s="202">
        <f t="shared" si="346"/>
        <v>40354.35104538389</v>
      </c>
      <c r="DW365" s="202">
        <f t="shared" si="347"/>
        <v>40354.35104538389</v>
      </c>
      <c r="DX365" s="203">
        <f t="shared" si="348"/>
        <v>0.7520373183299508</v>
      </c>
      <c r="DY365" s="203">
        <f t="shared" si="349"/>
        <v>0.7520373183299508</v>
      </c>
      <c r="DZ365" s="203">
        <f t="shared" si="350"/>
        <v>0.7520373183299508</v>
      </c>
      <c r="EA365" s="19">
        <f t="shared" si="351"/>
        <v>0.74807907759024095</v>
      </c>
      <c r="EB365" s="19">
        <f t="shared" si="411"/>
        <v>0.75615507510446112</v>
      </c>
      <c r="EC365" s="19">
        <f t="shared" si="352"/>
        <v>0.71563861898520376</v>
      </c>
      <c r="ED365" s="203">
        <f t="shared" si="353"/>
        <v>0.7520373183299508</v>
      </c>
      <c r="EE365" s="203">
        <f t="shared" si="354"/>
        <v>0.7520373183299508</v>
      </c>
      <c r="EF365" s="203">
        <f t="shared" si="355"/>
        <v>0.7520373183299508</v>
      </c>
      <c r="EH365" s="58">
        <f t="shared" si="364"/>
        <v>12635.174563800758</v>
      </c>
      <c r="EI365" s="68">
        <f t="shared" si="365"/>
        <v>0.23155686838361503</v>
      </c>
      <c r="EJ365" s="58">
        <f t="shared" si="366"/>
        <v>12635.174563800758</v>
      </c>
      <c r="EK365" s="68">
        <f t="shared" si="365"/>
        <v>0.23155686838361503</v>
      </c>
      <c r="EL365" s="58">
        <f t="shared" si="367"/>
        <v>3975.7212777080831</v>
      </c>
      <c r="EM365" s="58">
        <f t="shared" si="368"/>
        <v>4398.4895638007574</v>
      </c>
      <c r="EN365" s="68">
        <f t="shared" si="369"/>
        <v>8.0608341726411695E-2</v>
      </c>
      <c r="EO365" s="139">
        <f t="shared" si="387"/>
        <v>0.35739486552628164</v>
      </c>
      <c r="EP365">
        <f>+(SUM(M365:O365)*EO365*(1-'[1]Tier 3 Data'!$A$2))</f>
        <v>1208.5672915870491</v>
      </c>
    </row>
    <row r="366" spans="1:146" x14ac:dyDescent="0.2">
      <c r="A366" s="43">
        <v>0</v>
      </c>
      <c r="B366" s="43">
        <v>0</v>
      </c>
      <c r="C366" s="43">
        <v>0</v>
      </c>
      <c r="D366" s="70">
        <v>2037</v>
      </c>
      <c r="E366" s="70">
        <v>11</v>
      </c>
      <c r="F366" s="2">
        <v>721</v>
      </c>
      <c r="G366" s="133">
        <f t="shared" si="380"/>
        <v>43783.522124643088</v>
      </c>
      <c r="H366" s="65">
        <v>43783.522124643088</v>
      </c>
      <c r="I366" s="133">
        <f t="shared" si="381"/>
        <v>43783.522124643088</v>
      </c>
      <c r="J366" s="133">
        <f t="shared" si="362"/>
        <v>6159.7100000000064</v>
      </c>
      <c r="K366" s="65">
        <v>6159.7100000000064</v>
      </c>
      <c r="L366" s="133">
        <f t="shared" si="363"/>
        <v>6159.7100000000064</v>
      </c>
      <c r="M366" s="65">
        <v>391.15101618171565</v>
      </c>
      <c r="N366" s="65">
        <v>842.27303867993726</v>
      </c>
      <c r="O366" s="65">
        <v>246.9367147023242</v>
      </c>
      <c r="P366" s="200">
        <f t="shared" si="356"/>
        <v>37179.703893773891</v>
      </c>
      <c r="Q366" s="200">
        <f t="shared" si="357"/>
        <v>37179.703893773891</v>
      </c>
      <c r="R366" s="200">
        <f t="shared" si="358"/>
        <v>37179.703893773891</v>
      </c>
      <c r="S366" s="133">
        <f t="shared" si="382"/>
        <v>37549.731110232387</v>
      </c>
      <c r="T366" s="133">
        <f t="shared" si="383"/>
        <v>37549.731110232387</v>
      </c>
      <c r="U366" s="133">
        <f t="shared" si="384"/>
        <v>37549.731110232387</v>
      </c>
      <c r="V366" s="200">
        <f t="shared" si="359"/>
        <v>37179.703893773891</v>
      </c>
      <c r="W366" s="200">
        <f t="shared" si="360"/>
        <v>37179.703893773891</v>
      </c>
      <c r="X366" s="200">
        <f t="shared" si="361"/>
        <v>37179.703893773891</v>
      </c>
      <c r="Y366" s="65">
        <v>24275.665484743291</v>
      </c>
      <c r="Z366" s="65">
        <v>29801.570314727491</v>
      </c>
      <c r="AA366" s="65">
        <v>16786.498956312316</v>
      </c>
      <c r="AB366" s="200">
        <f t="shared" si="373"/>
        <v>66981.274208501389</v>
      </c>
      <c r="AC366" s="200">
        <f t="shared" si="374"/>
        <v>66981.274208501389</v>
      </c>
      <c r="AD366" s="200">
        <f t="shared" si="375"/>
        <v>66981.274208501389</v>
      </c>
      <c r="AE366" s="199">
        <f t="shared" si="338"/>
        <v>61825.396594975682</v>
      </c>
      <c r="AF366" s="199">
        <f t="shared" si="376"/>
        <v>67351.301424959878</v>
      </c>
      <c r="AG366" s="199">
        <f t="shared" si="339"/>
        <v>54336.230066544704</v>
      </c>
      <c r="AH366" s="199">
        <f t="shared" si="385"/>
        <v>60843.765745752287</v>
      </c>
      <c r="AI366" s="200">
        <f t="shared" si="377"/>
        <v>66981.274208501389</v>
      </c>
      <c r="AJ366" s="200">
        <f t="shared" si="378"/>
        <v>66981.274208501389</v>
      </c>
      <c r="AK366" s="200">
        <f t="shared" si="379"/>
        <v>66981.274208501389</v>
      </c>
      <c r="AL366" s="4"/>
      <c r="AM366" s="4"/>
      <c r="AN366" s="4"/>
      <c r="AO366" s="4"/>
      <c r="AP366" s="63"/>
      <c r="AQ366" s="18"/>
      <c r="AR366" s="18"/>
      <c r="AS366" s="62"/>
      <c r="AT366" s="10">
        <v>3285.6</v>
      </c>
      <c r="AU366" s="133">
        <f t="shared" si="388"/>
        <v>104.364</v>
      </c>
      <c r="AV366" s="133">
        <f t="shared" si="388"/>
        <v>3268.3739999999998</v>
      </c>
      <c r="AW366" s="63"/>
      <c r="AX366" s="63"/>
      <c r="AY366" s="63"/>
      <c r="AZ366" s="64"/>
      <c r="BA366" s="65">
        <f t="shared" si="386"/>
        <v>2037.9549999999999</v>
      </c>
      <c r="BB366" s="5"/>
      <c r="BC366" s="65">
        <v>231.9230614954034</v>
      </c>
      <c r="BD366" s="65">
        <v>0</v>
      </c>
      <c r="BE366" s="65">
        <v>0</v>
      </c>
      <c r="BF366" s="65">
        <v>0</v>
      </c>
      <c r="BG366" s="65">
        <v>0</v>
      </c>
      <c r="BH366" s="65">
        <v>0</v>
      </c>
      <c r="BI366" s="65">
        <v>720.18994392164086</v>
      </c>
      <c r="BJ366" s="65">
        <v>0</v>
      </c>
      <c r="BK366" s="65">
        <v>19.844702933795372</v>
      </c>
      <c r="BL366" s="65">
        <v>0</v>
      </c>
      <c r="BM366" s="65">
        <v>0</v>
      </c>
      <c r="BN366" s="65">
        <v>0</v>
      </c>
      <c r="BO366" s="65">
        <v>205.33566960000002</v>
      </c>
      <c r="BP366" s="62"/>
      <c r="BQ366" s="65">
        <v>59.558790756188081</v>
      </c>
      <c r="BR366" s="65">
        <v>77.815502344006163</v>
      </c>
      <c r="BS366" s="65">
        <v>281.57240225339154</v>
      </c>
      <c r="BT366" s="65">
        <v>104.00828056364649</v>
      </c>
      <c r="BU366" s="65">
        <v>115.67556206340895</v>
      </c>
      <c r="BV366" s="144">
        <f t="shared" si="370"/>
        <v>273.80571132720092</v>
      </c>
      <c r="BW366" s="144">
        <f t="shared" si="371"/>
        <v>589.59112707595602</v>
      </c>
      <c r="BX366" s="144">
        <f t="shared" si="372"/>
        <v>172.85570029162693</v>
      </c>
      <c r="BY366" s="5"/>
      <c r="BZ366" s="18"/>
      <c r="CA366" s="4"/>
      <c r="CB366" s="5"/>
      <c r="CC366" s="5"/>
      <c r="CD366" s="188">
        <v>3.0642236760841479</v>
      </c>
      <c r="CE366" s="5"/>
      <c r="CF366" s="64"/>
      <c r="CG366" s="70"/>
      <c r="CH366" s="70"/>
      <c r="CI366" s="70"/>
      <c r="CJ366" s="63"/>
      <c r="CK366" s="8">
        <f t="shared" si="409"/>
        <v>11551.533678302349</v>
      </c>
      <c r="CL366" s="202">
        <f t="shared" si="389"/>
        <v>55429.740530199037</v>
      </c>
      <c r="CM366" s="202">
        <f t="shared" si="390"/>
        <v>55429.740530199037</v>
      </c>
      <c r="CN366" s="202">
        <f t="shared" si="391"/>
        <v>55429.740530199037</v>
      </c>
      <c r="CO366" s="9">
        <f t="shared" si="392"/>
        <v>50273.86291667333</v>
      </c>
      <c r="CP366" s="9">
        <f t="shared" si="393"/>
        <v>55799.767746657526</v>
      </c>
      <c r="CQ366" s="9">
        <f t="shared" si="394"/>
        <v>42784.696388242359</v>
      </c>
      <c r="CR366" s="202">
        <f t="shared" si="395"/>
        <v>55429.740530199037</v>
      </c>
      <c r="CS366" s="202">
        <f t="shared" si="396"/>
        <v>55429.740530199037</v>
      </c>
      <c r="CT366" s="202">
        <f t="shared" si="397"/>
        <v>55429.740530199037</v>
      </c>
      <c r="CU366" s="203">
        <f t="shared" si="398"/>
        <v>0.82754084906858627</v>
      </c>
      <c r="CV366" s="203">
        <f t="shared" si="399"/>
        <v>0.82754084906858627</v>
      </c>
      <c r="CW366" s="203">
        <f t="shared" si="400"/>
        <v>0.82754084906858627</v>
      </c>
      <c r="CX366" s="19">
        <f t="shared" si="401"/>
        <v>0.81315876137475351</v>
      </c>
      <c r="CY366" s="19">
        <f t="shared" si="402"/>
        <v>0.82848833750937079</v>
      </c>
      <c r="CZ366" s="19">
        <f t="shared" si="403"/>
        <v>0.78740641991254512</v>
      </c>
      <c r="DA366" s="203">
        <f t="shared" si="404"/>
        <v>0.82754084906858627</v>
      </c>
      <c r="DB366" s="203">
        <f t="shared" si="405"/>
        <v>0.82754084906858627</v>
      </c>
      <c r="DC366" s="203">
        <f t="shared" si="406"/>
        <v>0.82754084906858627</v>
      </c>
      <c r="DD366" s="65"/>
      <c r="DE366" s="66"/>
      <c r="DF366" s="66"/>
      <c r="DG366" s="66"/>
      <c r="DH366" s="66"/>
      <c r="DI366" s="66"/>
      <c r="DJ366" s="66"/>
      <c r="DK366" s="70"/>
      <c r="DL366" s="70"/>
      <c r="DM366" s="8">
        <f t="shared" si="407"/>
        <v>0</v>
      </c>
      <c r="DN366" s="8">
        <f t="shared" si="408"/>
        <v>11551.533678302349</v>
      </c>
      <c r="DO366" s="202">
        <f t="shared" si="340"/>
        <v>55429.740530199037</v>
      </c>
      <c r="DP366" s="202">
        <f t="shared" si="341"/>
        <v>55429.740530199037</v>
      </c>
      <c r="DQ366" s="202">
        <f t="shared" si="342"/>
        <v>55429.740530199037</v>
      </c>
      <c r="DR366" s="9">
        <f t="shared" si="343"/>
        <v>50273.86291667333</v>
      </c>
      <c r="DS366" s="9">
        <f t="shared" si="410"/>
        <v>55799.767746657526</v>
      </c>
      <c r="DT366" s="9">
        <f t="shared" si="344"/>
        <v>42784.696388242359</v>
      </c>
      <c r="DU366" s="202">
        <f t="shared" si="345"/>
        <v>55429.740530199037</v>
      </c>
      <c r="DV366" s="202">
        <f t="shared" si="346"/>
        <v>55429.740530199037</v>
      </c>
      <c r="DW366" s="202">
        <f t="shared" si="347"/>
        <v>55429.740530199037</v>
      </c>
      <c r="DX366" s="203">
        <f t="shared" si="348"/>
        <v>0.82754084906858627</v>
      </c>
      <c r="DY366" s="203">
        <f t="shared" si="349"/>
        <v>0.82754084906858627</v>
      </c>
      <c r="DZ366" s="203">
        <f t="shared" si="350"/>
        <v>0.82754084906858627</v>
      </c>
      <c r="EA366" s="19">
        <f t="shared" si="351"/>
        <v>0.81315876137475351</v>
      </c>
      <c r="EB366" s="19">
        <f t="shared" si="411"/>
        <v>0.82848833750937079</v>
      </c>
      <c r="EC366" s="19">
        <f t="shared" si="352"/>
        <v>0.78740641991254512</v>
      </c>
      <c r="ED366" s="203">
        <f t="shared" si="353"/>
        <v>0.82754084906858627</v>
      </c>
      <c r="EE366" s="203">
        <f t="shared" si="354"/>
        <v>0.82754084906858627</v>
      </c>
      <c r="EF366" s="203">
        <f t="shared" si="355"/>
        <v>0.82754084906858627</v>
      </c>
      <c r="EH366" s="58">
        <f t="shared" si="364"/>
        <v>11274.663743299063</v>
      </c>
      <c r="EI366" s="68">
        <f t="shared" si="365"/>
        <v>0.16740082975027351</v>
      </c>
      <c r="EJ366" s="58">
        <f t="shared" si="366"/>
        <v>11274.663743299063</v>
      </c>
      <c r="EK366" s="68">
        <f t="shared" si="365"/>
        <v>0.16740082975027351</v>
      </c>
      <c r="EL366" s="58">
        <f t="shared" si="367"/>
        <v>2405.5150430074368</v>
      </c>
      <c r="EM366" s="58">
        <f t="shared" si="368"/>
        <v>2578.3707432990636</v>
      </c>
      <c r="EN366" s="68">
        <f t="shared" si="369"/>
        <v>3.8282419029003929E-2</v>
      </c>
      <c r="EO366" s="139">
        <f t="shared" si="387"/>
        <v>0.4050825009776523</v>
      </c>
      <c r="EP366">
        <f>+(SUM(M366:O366)*EO366*(1-'[1]Tier 3 Data'!$A$2))</f>
        <v>559.49047061093802</v>
      </c>
    </row>
    <row r="367" spans="1:146" x14ac:dyDescent="0.2">
      <c r="A367" s="43">
        <v>0</v>
      </c>
      <c r="B367" s="43">
        <v>0</v>
      </c>
      <c r="C367" s="43">
        <v>0</v>
      </c>
      <c r="D367" s="70">
        <v>2037</v>
      </c>
      <c r="E367" s="70">
        <v>12</v>
      </c>
      <c r="F367" s="2">
        <v>744</v>
      </c>
      <c r="G367" s="133">
        <f t="shared" si="380"/>
        <v>49714.958173298415</v>
      </c>
      <c r="H367" s="65">
        <v>49714.958173298415</v>
      </c>
      <c r="I367" s="133">
        <f t="shared" si="381"/>
        <v>49714.958173298415</v>
      </c>
      <c r="J367" s="133">
        <f t="shared" si="362"/>
        <v>6199.4265000000069</v>
      </c>
      <c r="K367" s="65">
        <v>6199.4265000000069</v>
      </c>
      <c r="L367" s="133">
        <f t="shared" si="363"/>
        <v>6199.4265000000069</v>
      </c>
      <c r="M367" s="65">
        <v>248.30627982623952</v>
      </c>
      <c r="N367" s="65">
        <v>534.68270867382159</v>
      </c>
      <c r="O367" s="65">
        <v>156.88301094322392</v>
      </c>
      <c r="P367" s="200">
        <f t="shared" si="356"/>
        <v>43233.570073465424</v>
      </c>
      <c r="Q367" s="200">
        <f t="shared" si="357"/>
        <v>43233.570073465424</v>
      </c>
      <c r="R367" s="200">
        <f t="shared" si="358"/>
        <v>43233.570073465424</v>
      </c>
      <c r="S367" s="133">
        <f t="shared" si="382"/>
        <v>43468.466770015439</v>
      </c>
      <c r="T367" s="133">
        <f t="shared" si="383"/>
        <v>43468.466770015439</v>
      </c>
      <c r="U367" s="133">
        <f t="shared" si="384"/>
        <v>43468.466770015439</v>
      </c>
      <c r="V367" s="200">
        <f t="shared" si="359"/>
        <v>43233.570073465424</v>
      </c>
      <c r="W367" s="200">
        <f t="shared" si="360"/>
        <v>43233.570073465424</v>
      </c>
      <c r="X367" s="200">
        <f t="shared" si="361"/>
        <v>43233.570073465424</v>
      </c>
      <c r="Y367" s="65">
        <v>26449.148242022718</v>
      </c>
      <c r="Z367" s="65">
        <v>31854.039985721476</v>
      </c>
      <c r="AA367" s="65">
        <v>18202.916707905035</v>
      </c>
      <c r="AB367" s="200">
        <f t="shared" si="373"/>
        <v>75087.610059186904</v>
      </c>
      <c r="AC367" s="200">
        <f t="shared" si="374"/>
        <v>75087.610059186904</v>
      </c>
      <c r="AD367" s="200">
        <f t="shared" si="375"/>
        <v>75087.610059186904</v>
      </c>
      <c r="AE367" s="199">
        <f t="shared" si="338"/>
        <v>69917.61501203815</v>
      </c>
      <c r="AF367" s="199">
        <f t="shared" si="376"/>
        <v>75322.506755736918</v>
      </c>
      <c r="AG367" s="199">
        <f t="shared" si="339"/>
        <v>61671.383477920477</v>
      </c>
      <c r="AH367" s="199">
        <f t="shared" si="385"/>
        <v>68496.945116828691</v>
      </c>
      <c r="AI367" s="200">
        <f t="shared" si="377"/>
        <v>75087.610059186904</v>
      </c>
      <c r="AJ367" s="200">
        <f t="shared" si="378"/>
        <v>75087.610059186904</v>
      </c>
      <c r="AK367" s="200">
        <f t="shared" si="379"/>
        <v>75087.610059186904</v>
      </c>
      <c r="AL367" s="4"/>
      <c r="AM367" s="4"/>
      <c r="AN367" s="4"/>
      <c r="AO367" s="4"/>
      <c r="AP367" s="63"/>
      <c r="AQ367" s="18"/>
      <c r="AR367" s="18"/>
      <c r="AS367" s="62"/>
      <c r="AT367" s="10">
        <v>3395.12</v>
      </c>
      <c r="AU367" s="133">
        <f t="shared" si="388"/>
        <v>105.066</v>
      </c>
      <c r="AV367" s="133">
        <f t="shared" si="388"/>
        <v>3218.8470000000002</v>
      </c>
      <c r="AW367" s="63"/>
      <c r="AX367" s="63"/>
      <c r="AY367" s="63"/>
      <c r="AZ367" s="64"/>
      <c r="BA367" s="65">
        <f t="shared" si="386"/>
        <v>1760</v>
      </c>
      <c r="BB367" s="5"/>
      <c r="BC367" s="65">
        <v>96.123476553884757</v>
      </c>
      <c r="BD367" s="65">
        <v>0</v>
      </c>
      <c r="BE367" s="65">
        <v>0</v>
      </c>
      <c r="BF367" s="65">
        <v>0</v>
      </c>
      <c r="BG367" s="65">
        <v>0</v>
      </c>
      <c r="BH367" s="65">
        <v>0</v>
      </c>
      <c r="BI367" s="65">
        <v>337.48755397736397</v>
      </c>
      <c r="BJ367" s="65">
        <v>0</v>
      </c>
      <c r="BK367" s="65">
        <v>20.28324216774827</v>
      </c>
      <c r="BL367" s="65">
        <v>0</v>
      </c>
      <c r="BM367" s="65">
        <v>0</v>
      </c>
      <c r="BN367" s="65">
        <v>0</v>
      </c>
      <c r="BO367" s="65">
        <v>212.18019192</v>
      </c>
      <c r="BP367" s="62"/>
      <c r="BQ367" s="65">
        <v>54.266572092153368</v>
      </c>
      <c r="BR367" s="65">
        <v>70.546514209370088</v>
      </c>
      <c r="BS367" s="65">
        <v>256.55261098641165</v>
      </c>
      <c r="BT367" s="65">
        <v>95.760588738941649</v>
      </c>
      <c r="BU367" s="65">
        <v>101.8052800230632</v>
      </c>
      <c r="BV367" s="144">
        <f t="shared" si="370"/>
        <v>173.81439587836766</v>
      </c>
      <c r="BW367" s="144">
        <f t="shared" si="371"/>
        <v>374.27789607167512</v>
      </c>
      <c r="BX367" s="144">
        <f t="shared" si="372"/>
        <v>109.81810766025674</v>
      </c>
      <c r="BY367" s="5"/>
      <c r="BZ367" s="18"/>
      <c r="CA367" s="4"/>
      <c r="CB367" s="5"/>
      <c r="CC367" s="5"/>
      <c r="CD367" s="188">
        <v>4.9023166732340453</v>
      </c>
      <c r="CE367" s="5"/>
      <c r="CF367" s="64"/>
      <c r="CG367" s="70"/>
      <c r="CH367" s="70"/>
      <c r="CI367" s="70"/>
      <c r="CJ367" s="63"/>
      <c r="CK367" s="8">
        <f t="shared" si="409"/>
        <v>10386.85174695247</v>
      </c>
      <c r="CL367" s="202">
        <f t="shared" si="389"/>
        <v>64700.758312234437</v>
      </c>
      <c r="CM367" s="202">
        <f t="shared" si="390"/>
        <v>64700.758312234437</v>
      </c>
      <c r="CN367" s="202">
        <f t="shared" si="391"/>
        <v>64700.758312234437</v>
      </c>
      <c r="CO367" s="9">
        <f t="shared" si="392"/>
        <v>59530.763265085683</v>
      </c>
      <c r="CP367" s="9">
        <f t="shared" si="393"/>
        <v>64935.655008784452</v>
      </c>
      <c r="CQ367" s="9">
        <f t="shared" si="394"/>
        <v>51284.53173096801</v>
      </c>
      <c r="CR367" s="202">
        <f t="shared" si="395"/>
        <v>64700.758312234437</v>
      </c>
      <c r="CS367" s="202">
        <f t="shared" si="396"/>
        <v>64700.758312234437</v>
      </c>
      <c r="CT367" s="202">
        <f t="shared" si="397"/>
        <v>64700.758312234437</v>
      </c>
      <c r="CU367" s="203">
        <f t="shared" si="398"/>
        <v>0.86167023109717888</v>
      </c>
      <c r="CV367" s="203">
        <f t="shared" si="399"/>
        <v>0.86167023109717888</v>
      </c>
      <c r="CW367" s="203">
        <f t="shared" si="400"/>
        <v>0.86167023109717888</v>
      </c>
      <c r="CX367" s="19">
        <f t="shared" si="401"/>
        <v>0.85144156096909063</v>
      </c>
      <c r="CY367" s="19">
        <f t="shared" si="402"/>
        <v>0.86210161883438174</v>
      </c>
      <c r="CZ367" s="19">
        <f t="shared" si="403"/>
        <v>0.83157744870972194</v>
      </c>
      <c r="DA367" s="203">
        <f t="shared" si="404"/>
        <v>0.86167023109717888</v>
      </c>
      <c r="DB367" s="203">
        <f t="shared" si="405"/>
        <v>0.86167023109717888</v>
      </c>
      <c r="DC367" s="203">
        <f t="shared" si="406"/>
        <v>0.86167023109717888</v>
      </c>
      <c r="DD367" s="65"/>
      <c r="DE367" s="66"/>
      <c r="DF367" s="66"/>
      <c r="DG367" s="66"/>
      <c r="DH367" s="66"/>
      <c r="DI367" s="66"/>
      <c r="DJ367" s="66"/>
      <c r="DK367" s="70"/>
      <c r="DL367" s="70"/>
      <c r="DM367" s="8">
        <f t="shared" si="407"/>
        <v>0</v>
      </c>
      <c r="DN367" s="8">
        <f t="shared" si="408"/>
        <v>10386.85174695247</v>
      </c>
      <c r="DO367" s="202">
        <f t="shared" si="340"/>
        <v>64700.758312234437</v>
      </c>
      <c r="DP367" s="202">
        <f t="shared" si="341"/>
        <v>64700.758312234437</v>
      </c>
      <c r="DQ367" s="202">
        <f t="shared" si="342"/>
        <v>64700.758312234437</v>
      </c>
      <c r="DR367" s="9">
        <f t="shared" si="343"/>
        <v>59530.763265085683</v>
      </c>
      <c r="DS367" s="9">
        <f t="shared" si="410"/>
        <v>64935.655008784452</v>
      </c>
      <c r="DT367" s="9">
        <f t="shared" si="344"/>
        <v>51284.53173096801</v>
      </c>
      <c r="DU367" s="202">
        <f t="shared" si="345"/>
        <v>64700.758312234437</v>
      </c>
      <c r="DV367" s="202">
        <f t="shared" si="346"/>
        <v>64700.758312234437</v>
      </c>
      <c r="DW367" s="202">
        <f t="shared" si="347"/>
        <v>64700.758312234437</v>
      </c>
      <c r="DX367" s="203">
        <f t="shared" si="348"/>
        <v>0.86167023109717888</v>
      </c>
      <c r="DY367" s="203">
        <f t="shared" si="349"/>
        <v>0.86167023109717888</v>
      </c>
      <c r="DZ367" s="203">
        <f t="shared" si="350"/>
        <v>0.86167023109717888</v>
      </c>
      <c r="EA367" s="19">
        <f t="shared" si="351"/>
        <v>0.85144156096909063</v>
      </c>
      <c r="EB367" s="19">
        <f t="shared" si="411"/>
        <v>0.86210161883438174</v>
      </c>
      <c r="EC367" s="19">
        <f t="shared" si="352"/>
        <v>0.83157744870972194</v>
      </c>
      <c r="ED367" s="203">
        <f t="shared" si="353"/>
        <v>0.86167023109717888</v>
      </c>
      <c r="EE367" s="203">
        <f t="shared" si="354"/>
        <v>0.86167023109717888</v>
      </c>
      <c r="EF367" s="203">
        <f t="shared" si="355"/>
        <v>0.86167023109717888</v>
      </c>
      <c r="EH367" s="58">
        <f t="shared" si="364"/>
        <v>10208.13503440087</v>
      </c>
      <c r="EI367" s="68">
        <f t="shared" si="365"/>
        <v>0.13552569443160983</v>
      </c>
      <c r="EJ367" s="58">
        <f t="shared" si="366"/>
        <v>10208.13503440087</v>
      </c>
      <c r="EK367" s="68">
        <f t="shared" si="365"/>
        <v>0.13552569443160983</v>
      </c>
      <c r="EL367" s="58">
        <f t="shared" si="367"/>
        <v>1619.2839267406121</v>
      </c>
      <c r="EM367" s="58">
        <f t="shared" si="368"/>
        <v>1729.1020344008689</v>
      </c>
      <c r="EN367" s="68">
        <f t="shared" si="369"/>
        <v>2.2955981005892006E-2</v>
      </c>
      <c r="EO367" s="139">
        <f t="shared" si="387"/>
        <v>0.32946562535829382</v>
      </c>
      <c r="EP367">
        <f>+(SUM(M367:O367)*EO367*(1-'[1]Tier 3 Data'!$A$2))</f>
        <v>288.90859647775869</v>
      </c>
    </row>
    <row r="368" spans="1:146" x14ac:dyDescent="0.2">
      <c r="A368" s="43">
        <v>0</v>
      </c>
      <c r="B368" s="43">
        <v>0</v>
      </c>
      <c r="C368" s="43">
        <v>0</v>
      </c>
      <c r="D368" s="70">
        <v>2038</v>
      </c>
      <c r="E368" s="70">
        <v>1</v>
      </c>
      <c r="F368" s="2">
        <v>744</v>
      </c>
      <c r="G368" s="133">
        <f t="shared" si="380"/>
        <v>51430.567055638778</v>
      </c>
      <c r="H368" s="65">
        <v>51430.567055638778</v>
      </c>
      <c r="I368" s="133">
        <f t="shared" si="381"/>
        <v>51430.567055638778</v>
      </c>
      <c r="J368" s="133">
        <f t="shared" si="362"/>
        <v>6239.0443125000065</v>
      </c>
      <c r="K368" s="65">
        <v>6239.0443125000065</v>
      </c>
      <c r="L368" s="133">
        <f t="shared" si="363"/>
        <v>6239.0443125000065</v>
      </c>
      <c r="M368" s="65">
        <v>350.79787520860157</v>
      </c>
      <c r="N368" s="65">
        <v>755.37984075477868</v>
      </c>
      <c r="O368" s="65">
        <v>221.71167156273478</v>
      </c>
      <c r="P368" s="200">
        <f t="shared" si="356"/>
        <v>44793.155926880936</v>
      </c>
      <c r="Q368" s="200">
        <f t="shared" si="357"/>
        <v>44793.155926880936</v>
      </c>
      <c r="R368" s="200">
        <f t="shared" si="358"/>
        <v>44793.155926880936</v>
      </c>
      <c r="S368" s="133">
        <f t="shared" si="382"/>
        <v>45125.009241669948</v>
      </c>
      <c r="T368" s="133">
        <f t="shared" si="383"/>
        <v>45125.009241669948</v>
      </c>
      <c r="U368" s="133">
        <f t="shared" si="384"/>
        <v>45125.009241669948</v>
      </c>
      <c r="V368" s="200">
        <f t="shared" si="359"/>
        <v>44793.155926880936</v>
      </c>
      <c r="W368" s="200">
        <f t="shared" si="360"/>
        <v>44793.155926880936</v>
      </c>
      <c r="X368" s="200">
        <f t="shared" si="361"/>
        <v>44793.155926880936</v>
      </c>
      <c r="Y368" s="65">
        <v>27513.25220223828</v>
      </c>
      <c r="Z368" s="65">
        <v>33897.865224123096</v>
      </c>
      <c r="AA368" s="65">
        <v>19177.016659442041</v>
      </c>
      <c r="AB368" s="200">
        <f>+P368+$Y368</f>
        <v>72306.408129119212</v>
      </c>
      <c r="AC368" s="200">
        <f t="shared" si="374"/>
        <v>78691.021151004039</v>
      </c>
      <c r="AD368" s="200">
        <f t="shared" si="375"/>
        <v>78691.021151004039</v>
      </c>
      <c r="AE368" s="199">
        <f t="shared" si="338"/>
        <v>72638.261443908224</v>
      </c>
      <c r="AF368" s="199">
        <f t="shared" si="376"/>
        <v>79022.874465793051</v>
      </c>
      <c r="AG368" s="199">
        <f t="shared" si="339"/>
        <v>64302.025901111992</v>
      </c>
      <c r="AH368" s="199">
        <f t="shared" si="385"/>
        <v>71662.450183452514</v>
      </c>
      <c r="AI368" s="200">
        <f t="shared" si="377"/>
        <v>78691.021151004039</v>
      </c>
      <c r="AJ368" s="200">
        <f t="shared" si="378"/>
        <v>78691.021151004039</v>
      </c>
      <c r="AK368" s="200">
        <f t="shared" si="379"/>
        <v>78691.021151004039</v>
      </c>
      <c r="AL368" s="4"/>
      <c r="AM368" s="4"/>
      <c r="AN368" s="4"/>
      <c r="AO368" s="4"/>
      <c r="AP368" s="63"/>
      <c r="AQ368" s="18"/>
      <c r="AR368" s="18"/>
      <c r="AS368" s="62"/>
      <c r="AT368" s="10">
        <v>3395.12</v>
      </c>
      <c r="AU368" s="133">
        <f t="shared" si="388"/>
        <v>98.513999999999996</v>
      </c>
      <c r="AV368" s="133">
        <f t="shared" si="388"/>
        <v>3278.6750000000002</v>
      </c>
      <c r="AW368" s="63"/>
      <c r="AX368" s="63"/>
      <c r="AY368" s="63"/>
      <c r="AZ368" s="64"/>
      <c r="BA368" s="62"/>
      <c r="BB368" s="5"/>
      <c r="BC368" s="65">
        <v>135.15919715793663</v>
      </c>
      <c r="BD368" s="65">
        <v>0</v>
      </c>
      <c r="BE368" s="65">
        <v>0</v>
      </c>
      <c r="BF368" s="65">
        <v>0</v>
      </c>
      <c r="BG368" s="65">
        <v>0</v>
      </c>
      <c r="BH368" s="65">
        <v>0</v>
      </c>
      <c r="BI368" s="65">
        <v>476.06991176380905</v>
      </c>
      <c r="BJ368" s="65">
        <v>0</v>
      </c>
      <c r="BK368" s="65">
        <v>22.517673403701547</v>
      </c>
      <c r="BL368" s="65">
        <v>0</v>
      </c>
      <c r="BM368" s="65">
        <v>0</v>
      </c>
      <c r="BN368" s="65">
        <v>0</v>
      </c>
      <c r="BO368" s="65">
        <v>212.18019192</v>
      </c>
      <c r="BP368" s="62"/>
      <c r="BQ368" s="65">
        <v>76.786690525656482</v>
      </c>
      <c r="BR368" s="65">
        <v>100.32435717184975</v>
      </c>
      <c r="BS368" s="65">
        <v>363.01982820229006</v>
      </c>
      <c r="BT368" s="65">
        <v>124.10824384769373</v>
      </c>
      <c r="BU368" s="65">
        <v>141.8518511373106</v>
      </c>
      <c r="BV368" s="144">
        <f t="shared" si="370"/>
        <v>245.55851264602109</v>
      </c>
      <c r="BW368" s="144">
        <f t="shared" si="371"/>
        <v>528.76588852834504</v>
      </c>
      <c r="BX368" s="144">
        <f t="shared" si="372"/>
        <v>155.19817009391434</v>
      </c>
      <c r="BY368" s="5"/>
      <c r="BZ368" s="18"/>
      <c r="CA368" s="4"/>
      <c r="CB368" s="5"/>
      <c r="CC368" s="5"/>
      <c r="CD368" s="188">
        <v>2.5304839482857915</v>
      </c>
      <c r="CE368" s="5"/>
      <c r="CF368" s="64"/>
      <c r="CG368" s="70"/>
      <c r="CH368" s="70"/>
      <c r="CI368" s="70"/>
      <c r="CJ368" s="63"/>
      <c r="CK368" s="8">
        <f t="shared" si="409"/>
        <v>9356.3800003468132</v>
      </c>
      <c r="CL368" s="202">
        <f t="shared" si="389"/>
        <v>62950.028128772399</v>
      </c>
      <c r="CM368" s="202">
        <f t="shared" si="390"/>
        <v>69334.641150657233</v>
      </c>
      <c r="CN368" s="202">
        <f t="shared" si="391"/>
        <v>69334.641150657233</v>
      </c>
      <c r="CO368" s="9">
        <f t="shared" si="392"/>
        <v>63281.881443561411</v>
      </c>
      <c r="CP368" s="9">
        <f t="shared" si="393"/>
        <v>69666.494465446245</v>
      </c>
      <c r="CQ368" s="9">
        <f t="shared" si="394"/>
        <v>54945.645900765179</v>
      </c>
      <c r="CR368" s="202">
        <f t="shared" si="395"/>
        <v>69334.641150657233</v>
      </c>
      <c r="CS368" s="202">
        <f t="shared" si="396"/>
        <v>69334.641150657233</v>
      </c>
      <c r="CT368" s="202">
        <f t="shared" si="397"/>
        <v>69334.641150657233</v>
      </c>
      <c r="CU368" s="203">
        <f t="shared" si="398"/>
        <v>0.87060095719816544</v>
      </c>
      <c r="CV368" s="203">
        <f t="shared" si="399"/>
        <v>0.88109977652479066</v>
      </c>
      <c r="CW368" s="203">
        <f t="shared" si="400"/>
        <v>0.88109977652479066</v>
      </c>
      <c r="CX368" s="19">
        <f t="shared" si="401"/>
        <v>0.87119212637582366</v>
      </c>
      <c r="CY368" s="19">
        <f t="shared" si="402"/>
        <v>0.88159909312844675</v>
      </c>
      <c r="CZ368" s="19">
        <f t="shared" si="403"/>
        <v>0.85449323144599387</v>
      </c>
      <c r="DA368" s="203">
        <f t="shared" si="404"/>
        <v>0.88109977652479066</v>
      </c>
      <c r="DB368" s="203">
        <f t="shared" si="405"/>
        <v>0.88109977652479066</v>
      </c>
      <c r="DC368" s="203">
        <f t="shared" si="406"/>
        <v>0.88109977652479066</v>
      </c>
      <c r="DD368" s="65"/>
      <c r="DE368" s="66"/>
      <c r="DF368" s="66"/>
      <c r="DG368" s="66"/>
      <c r="DH368" s="66"/>
      <c r="DI368" s="66"/>
      <c r="DJ368" s="66"/>
      <c r="DK368" s="70"/>
      <c r="DL368" s="70"/>
      <c r="DM368" s="8">
        <f t="shared" si="407"/>
        <v>0</v>
      </c>
      <c r="DN368" s="8">
        <f t="shared" si="408"/>
        <v>9356.3800003468132</v>
      </c>
      <c r="DO368" s="202">
        <f t="shared" si="340"/>
        <v>62950.028128772399</v>
      </c>
      <c r="DP368" s="202">
        <f t="shared" si="341"/>
        <v>69334.641150657233</v>
      </c>
      <c r="DQ368" s="202">
        <f t="shared" si="342"/>
        <v>69334.641150657233</v>
      </c>
      <c r="DR368" s="9">
        <f t="shared" si="343"/>
        <v>63281.881443561411</v>
      </c>
      <c r="DS368" s="9">
        <f t="shared" si="410"/>
        <v>69666.494465446245</v>
      </c>
      <c r="DT368" s="9">
        <f t="shared" si="344"/>
        <v>54945.645900765179</v>
      </c>
      <c r="DU368" s="202">
        <f t="shared" si="345"/>
        <v>69334.641150657233</v>
      </c>
      <c r="DV368" s="202">
        <f t="shared" si="346"/>
        <v>69334.641150657233</v>
      </c>
      <c r="DW368" s="202">
        <f t="shared" si="347"/>
        <v>69334.641150657233</v>
      </c>
      <c r="DX368" s="203">
        <f t="shared" si="348"/>
        <v>0.87060095719816544</v>
      </c>
      <c r="DY368" s="203">
        <f t="shared" si="349"/>
        <v>0.88109977652479066</v>
      </c>
      <c r="DZ368" s="203">
        <f t="shared" si="350"/>
        <v>0.88109977652479066</v>
      </c>
      <c r="EA368" s="19">
        <f t="shared" si="351"/>
        <v>0.87119212637582366</v>
      </c>
      <c r="EB368" s="19">
        <f t="shared" si="411"/>
        <v>0.88159909312844675</v>
      </c>
      <c r="EC368" s="19">
        <f t="shared" si="352"/>
        <v>0.85449323144599387</v>
      </c>
      <c r="ED368" s="203">
        <f t="shared" si="353"/>
        <v>0.88109977652479066</v>
      </c>
      <c r="EE368" s="203">
        <f t="shared" si="354"/>
        <v>0.88109977652479066</v>
      </c>
      <c r="EF368" s="203">
        <f t="shared" si="355"/>
        <v>0.88109977652479066</v>
      </c>
      <c r="EH368" s="58">
        <f t="shared" si="364"/>
        <v>9108.2910037525071</v>
      </c>
      <c r="EI368" s="68">
        <f t="shared" si="365"/>
        <v>0.11526144885675159</v>
      </c>
      <c r="EJ368" s="58">
        <f t="shared" si="366"/>
        <v>9108.2910037525071</v>
      </c>
      <c r="EK368" s="68">
        <f t="shared" si="365"/>
        <v>0.11526144885675159</v>
      </c>
      <c r="EL368" s="58">
        <f t="shared" si="367"/>
        <v>2180.7838336585928</v>
      </c>
      <c r="EM368" s="58">
        <f t="shared" si="368"/>
        <v>2335.9820037525074</v>
      </c>
      <c r="EN368" s="68">
        <f t="shared" si="369"/>
        <v>2.9560833107427562E-2</v>
      </c>
      <c r="EO368" s="139">
        <f t="shared" si="387"/>
        <v>0.32527353469126524</v>
      </c>
      <c r="EP368">
        <f>+(SUM(M368:O368)*EO368*(1-'[1]Tier 3 Data'!$A$2))</f>
        <v>402.98814735074296</v>
      </c>
    </row>
    <row r="369" spans="1:146" x14ac:dyDescent="0.2">
      <c r="A369" s="43">
        <v>0</v>
      </c>
      <c r="B369" s="43">
        <v>0</v>
      </c>
      <c r="C369" s="43">
        <v>0</v>
      </c>
      <c r="D369" s="70">
        <v>2038</v>
      </c>
      <c r="E369" s="70">
        <v>2</v>
      </c>
      <c r="F369" s="2">
        <v>672</v>
      </c>
      <c r="G369" s="133">
        <f t="shared" si="380"/>
        <v>46499.859558011442</v>
      </c>
      <c r="H369" s="65">
        <v>46499.859558011442</v>
      </c>
      <c r="I369" s="133">
        <f t="shared" si="381"/>
        <v>46499.859558011442</v>
      </c>
      <c r="J369" s="133">
        <f t="shared" si="362"/>
        <v>6278.6621250000062</v>
      </c>
      <c r="K369" s="65">
        <v>6278.6621250000062</v>
      </c>
      <c r="L369" s="133">
        <f t="shared" si="363"/>
        <v>6278.6621250000062</v>
      </c>
      <c r="M369" s="65">
        <v>758.12758719225985</v>
      </c>
      <c r="N369" s="65">
        <v>1632.4907776153254</v>
      </c>
      <c r="O369" s="65">
        <v>479.22980110534871</v>
      </c>
      <c r="P369" s="200">
        <f t="shared" si="356"/>
        <v>39360.242983237549</v>
      </c>
      <c r="Q369" s="200">
        <f t="shared" si="357"/>
        <v>39360.242983237549</v>
      </c>
      <c r="R369" s="200">
        <f t="shared" si="358"/>
        <v>39360.242983237549</v>
      </c>
      <c r="S369" s="133">
        <f t="shared" si="382"/>
        <v>40077.428492679828</v>
      </c>
      <c r="T369" s="133">
        <f t="shared" si="383"/>
        <v>40077.428492679828</v>
      </c>
      <c r="U369" s="133">
        <f t="shared" si="384"/>
        <v>40077.428492679828</v>
      </c>
      <c r="V369" s="200">
        <f t="shared" si="359"/>
        <v>39360.242983237549</v>
      </c>
      <c r="W369" s="200">
        <f t="shared" si="360"/>
        <v>39360.242983237549</v>
      </c>
      <c r="X369" s="200">
        <f t="shared" si="361"/>
        <v>39360.242983237549</v>
      </c>
      <c r="Y369" s="65">
        <v>25716.104499980149</v>
      </c>
      <c r="Z369" s="65">
        <v>30547.495053535127</v>
      </c>
      <c r="AA369" s="65">
        <v>17711.8751188723</v>
      </c>
      <c r="AB369" s="200">
        <f t="shared" ref="AB369:AB379" si="412">+P369+$Y369</f>
        <v>65076.347483217702</v>
      </c>
      <c r="AC369" s="200">
        <f t="shared" si="374"/>
        <v>69907.738036772673</v>
      </c>
      <c r="AD369" s="200">
        <f t="shared" si="375"/>
        <v>69907.738036772673</v>
      </c>
      <c r="AE369" s="199">
        <f t="shared" ref="AE369:AE432" si="413">+S369+$Y369</f>
        <v>65793.532992659981</v>
      </c>
      <c r="AF369" s="199">
        <f t="shared" si="376"/>
        <v>70624.923546214952</v>
      </c>
      <c r="AG369" s="199">
        <f t="shared" ref="AG369:AG432" si="414">+U369+$AA369</f>
        <v>57789.303611552124</v>
      </c>
      <c r="AH369" s="199">
        <f t="shared" si="385"/>
        <v>64207.113578883538</v>
      </c>
      <c r="AI369" s="200">
        <f t="shared" si="377"/>
        <v>69907.738036772673</v>
      </c>
      <c r="AJ369" s="200">
        <f t="shared" si="378"/>
        <v>69907.738036772673</v>
      </c>
      <c r="AK369" s="200">
        <f t="shared" si="379"/>
        <v>69907.738036772673</v>
      </c>
      <c r="AL369" s="4"/>
      <c r="AM369" s="4"/>
      <c r="AN369" s="4"/>
      <c r="AO369" s="4"/>
      <c r="AP369" s="63"/>
      <c r="AQ369" s="18"/>
      <c r="AR369" s="18"/>
      <c r="AS369" s="62"/>
      <c r="AT369" s="10">
        <v>3066.56</v>
      </c>
      <c r="AU369" s="133">
        <f t="shared" si="388"/>
        <v>92.897999999999996</v>
      </c>
      <c r="AV369" s="133">
        <f t="shared" si="388"/>
        <v>3057.587</v>
      </c>
      <c r="AW369" s="63"/>
      <c r="AX369" s="63"/>
      <c r="AY369" s="63"/>
      <c r="AZ369" s="64"/>
      <c r="BA369" s="62"/>
      <c r="BB369" s="5"/>
      <c r="BC369" s="65">
        <v>168.24548155604126</v>
      </c>
      <c r="BD369" s="65">
        <v>0</v>
      </c>
      <c r="BE369" s="65">
        <v>0</v>
      </c>
      <c r="BF369" s="65">
        <v>0</v>
      </c>
      <c r="BG369" s="65">
        <v>0</v>
      </c>
      <c r="BH369" s="65">
        <v>0</v>
      </c>
      <c r="BI369" s="65">
        <v>593.34036245852326</v>
      </c>
      <c r="BJ369" s="65">
        <v>0</v>
      </c>
      <c r="BK369" s="65">
        <v>19.256201566846642</v>
      </c>
      <c r="BL369" s="65">
        <v>0</v>
      </c>
      <c r="BM369" s="65">
        <v>0</v>
      </c>
      <c r="BN369" s="65">
        <v>0</v>
      </c>
      <c r="BO369" s="65">
        <v>191.64662496000003</v>
      </c>
      <c r="BP369" s="62"/>
      <c r="BQ369" s="65">
        <v>95.529597792577704</v>
      </c>
      <c r="BR369" s="65">
        <v>124.8125222058769</v>
      </c>
      <c r="BS369" s="65">
        <v>451.62931056026986</v>
      </c>
      <c r="BT369" s="65">
        <v>159.18491138654315</v>
      </c>
      <c r="BU369" s="65">
        <v>171.72740945861918</v>
      </c>
      <c r="BV369" s="144">
        <f t="shared" si="370"/>
        <v>530.68931103458192</v>
      </c>
      <c r="BW369" s="144">
        <f t="shared" si="371"/>
        <v>1142.7435443307277</v>
      </c>
      <c r="BX369" s="144">
        <f t="shared" si="372"/>
        <v>335.46086077374406</v>
      </c>
      <c r="BY369" s="5"/>
      <c r="BZ369" s="18"/>
      <c r="CA369" s="4"/>
      <c r="CB369" s="5"/>
      <c r="CC369" s="5"/>
      <c r="CD369" s="188">
        <v>3.1195892150124847</v>
      </c>
      <c r="CE369" s="5"/>
      <c r="CF369" s="64"/>
      <c r="CG369" s="70"/>
      <c r="CH369" s="70"/>
      <c r="CI369" s="70"/>
      <c r="CJ369" s="63"/>
      <c r="CK369" s="8">
        <f t="shared" si="409"/>
        <v>10204.430727299365</v>
      </c>
      <c r="CL369" s="202">
        <f t="shared" si="389"/>
        <v>54871.916755918341</v>
      </c>
      <c r="CM369" s="202">
        <f t="shared" si="390"/>
        <v>59703.307309473312</v>
      </c>
      <c r="CN369" s="202">
        <f t="shared" si="391"/>
        <v>59703.307309473312</v>
      </c>
      <c r="CO369" s="9">
        <f t="shared" si="392"/>
        <v>55589.10226536062</v>
      </c>
      <c r="CP369" s="9">
        <f t="shared" si="393"/>
        <v>60420.492818915591</v>
      </c>
      <c r="CQ369" s="9">
        <f t="shared" si="394"/>
        <v>47584.872884252763</v>
      </c>
      <c r="CR369" s="202">
        <f t="shared" si="395"/>
        <v>59703.307309473312</v>
      </c>
      <c r="CS369" s="202">
        <f t="shared" si="396"/>
        <v>59703.307309473312</v>
      </c>
      <c r="CT369" s="202">
        <f t="shared" si="397"/>
        <v>59703.307309473312</v>
      </c>
      <c r="CU369" s="203">
        <f t="shared" si="398"/>
        <v>0.84319293995516664</v>
      </c>
      <c r="CV369" s="203">
        <f t="shared" si="399"/>
        <v>0.85403002566137021</v>
      </c>
      <c r="CW369" s="203">
        <f t="shared" si="400"/>
        <v>0.85403002566137021</v>
      </c>
      <c r="CX369" s="19">
        <f t="shared" si="401"/>
        <v>0.84490222270876103</v>
      </c>
      <c r="CY369" s="19">
        <f t="shared" si="402"/>
        <v>0.85551232886472617</v>
      </c>
      <c r="CZ369" s="19">
        <f t="shared" si="403"/>
        <v>0.8234200779457137</v>
      </c>
      <c r="DA369" s="203">
        <f t="shared" si="404"/>
        <v>0.85403002566137021</v>
      </c>
      <c r="DB369" s="203">
        <f t="shared" si="405"/>
        <v>0.85403002566137021</v>
      </c>
      <c r="DC369" s="203">
        <f t="shared" si="406"/>
        <v>0.85403002566137021</v>
      </c>
      <c r="DD369" s="65"/>
      <c r="DE369" s="66"/>
      <c r="DF369" s="66"/>
      <c r="DG369" s="66"/>
      <c r="DH369" s="66"/>
      <c r="DI369" s="66"/>
      <c r="DJ369" s="66"/>
      <c r="DK369" s="70"/>
      <c r="DL369" s="70"/>
      <c r="DM369" s="8">
        <f t="shared" si="407"/>
        <v>0</v>
      </c>
      <c r="DN369" s="8">
        <f t="shared" si="408"/>
        <v>10204.430727299365</v>
      </c>
      <c r="DO369" s="202">
        <f t="shared" si="340"/>
        <v>54871.916755918341</v>
      </c>
      <c r="DP369" s="202">
        <f t="shared" si="341"/>
        <v>59703.307309473312</v>
      </c>
      <c r="DQ369" s="202">
        <f t="shared" si="342"/>
        <v>59703.307309473312</v>
      </c>
      <c r="DR369" s="9">
        <f t="shared" si="343"/>
        <v>55589.10226536062</v>
      </c>
      <c r="DS369" s="9">
        <f t="shared" si="410"/>
        <v>60420.492818915591</v>
      </c>
      <c r="DT369" s="9">
        <f t="shared" si="344"/>
        <v>47584.872884252763</v>
      </c>
      <c r="DU369" s="202">
        <f t="shared" si="345"/>
        <v>59703.307309473312</v>
      </c>
      <c r="DV369" s="202">
        <f t="shared" si="346"/>
        <v>59703.307309473312</v>
      </c>
      <c r="DW369" s="202">
        <f t="shared" si="347"/>
        <v>59703.307309473312</v>
      </c>
      <c r="DX369" s="203">
        <f t="shared" si="348"/>
        <v>0.84319293995516664</v>
      </c>
      <c r="DY369" s="203">
        <f t="shared" si="349"/>
        <v>0.85403002566137021</v>
      </c>
      <c r="DZ369" s="203">
        <f t="shared" si="350"/>
        <v>0.85403002566137021</v>
      </c>
      <c r="EA369" s="19">
        <f t="shared" si="351"/>
        <v>0.84490222270876103</v>
      </c>
      <c r="EB369" s="19">
        <f t="shared" si="411"/>
        <v>0.85551232886472617</v>
      </c>
      <c r="EC369" s="19">
        <f t="shared" si="352"/>
        <v>0.8234200779457137</v>
      </c>
      <c r="ED369" s="203">
        <f t="shared" si="353"/>
        <v>0.85403002566137021</v>
      </c>
      <c r="EE369" s="203">
        <f t="shared" si="354"/>
        <v>0.85403002566137021</v>
      </c>
      <c r="EF369" s="203">
        <f t="shared" si="355"/>
        <v>0.85403002566137021</v>
      </c>
      <c r="EH369" s="58">
        <f t="shared" si="364"/>
        <v>9670.6218270497702</v>
      </c>
      <c r="EI369" s="68">
        <f t="shared" si="365"/>
        <v>0.13692930684337787</v>
      </c>
      <c r="EJ369" s="58">
        <f t="shared" si="366"/>
        <v>9670.6218270497702</v>
      </c>
      <c r="EK369" s="68">
        <f t="shared" si="365"/>
        <v>0.13692930684337787</v>
      </c>
      <c r="EL369" s="58">
        <f t="shared" si="367"/>
        <v>3118.1159662760256</v>
      </c>
      <c r="EM369" s="58">
        <f t="shared" si="368"/>
        <v>3453.5768270497697</v>
      </c>
      <c r="EN369" s="68">
        <f t="shared" si="369"/>
        <v>4.890025579694747E-2</v>
      </c>
      <c r="EO369" s="139">
        <f t="shared" si="387"/>
        <v>0.3126447604730192</v>
      </c>
      <c r="EP369">
        <f>+(SUM(M369:O369)*EO369*(1-'[1]Tier 3 Data'!$A$2))</f>
        <v>837.12771193325523</v>
      </c>
    </row>
    <row r="370" spans="1:146" x14ac:dyDescent="0.2">
      <c r="A370" s="43">
        <v>0</v>
      </c>
      <c r="B370" s="43">
        <v>0</v>
      </c>
      <c r="C370" s="43">
        <v>0</v>
      </c>
      <c r="D370" s="70">
        <v>2038</v>
      </c>
      <c r="E370" s="70">
        <v>3</v>
      </c>
      <c r="F370" s="2">
        <v>743</v>
      </c>
      <c r="G370" s="133">
        <f t="shared" si="380"/>
        <v>48722.230631543782</v>
      </c>
      <c r="H370" s="65">
        <v>48722.230631543782</v>
      </c>
      <c r="I370" s="133">
        <f t="shared" si="381"/>
        <v>48722.230631543782</v>
      </c>
      <c r="J370" s="133">
        <f t="shared" si="362"/>
        <v>6318.2799375000059</v>
      </c>
      <c r="K370" s="65">
        <v>6318.2799375000059</v>
      </c>
      <c r="L370" s="133">
        <f t="shared" si="363"/>
        <v>6318.2799375000059</v>
      </c>
      <c r="M370" s="65">
        <v>1050.2026341606518</v>
      </c>
      <c r="N370" s="65">
        <v>2261.4216180208796</v>
      </c>
      <c r="O370" s="65">
        <v>664.01262744749658</v>
      </c>
      <c r="P370" s="200">
        <f t="shared" si="356"/>
        <v>41211.259630155073</v>
      </c>
      <c r="Q370" s="200">
        <f t="shared" si="357"/>
        <v>41211.259630155073</v>
      </c>
      <c r="R370" s="200">
        <f t="shared" si="358"/>
        <v>41211.259630155073</v>
      </c>
      <c r="S370" s="133">
        <f t="shared" si="382"/>
        <v>42204.74690580953</v>
      </c>
      <c r="T370" s="133">
        <f t="shared" si="383"/>
        <v>42204.74690580953</v>
      </c>
      <c r="U370" s="133">
        <f t="shared" si="384"/>
        <v>42204.74690580953</v>
      </c>
      <c r="V370" s="200">
        <f t="shared" si="359"/>
        <v>41211.259630155073</v>
      </c>
      <c r="W370" s="200">
        <f t="shared" si="360"/>
        <v>41211.259630155073</v>
      </c>
      <c r="X370" s="200">
        <f t="shared" si="361"/>
        <v>41211.259630155073</v>
      </c>
      <c r="Y370" s="65">
        <v>23482.558994926279</v>
      </c>
      <c r="Z370" s="65">
        <v>27343.541538424444</v>
      </c>
      <c r="AA370" s="65">
        <v>16118.023499989715</v>
      </c>
      <c r="AB370" s="200">
        <f t="shared" si="412"/>
        <v>64693.818625081352</v>
      </c>
      <c r="AC370" s="200">
        <f t="shared" si="374"/>
        <v>68554.801168579521</v>
      </c>
      <c r="AD370" s="200">
        <f t="shared" si="375"/>
        <v>68554.801168579521</v>
      </c>
      <c r="AE370" s="199">
        <f t="shared" si="413"/>
        <v>65687.30590073581</v>
      </c>
      <c r="AF370" s="199">
        <f t="shared" si="376"/>
        <v>69548.288444233971</v>
      </c>
      <c r="AG370" s="199">
        <f t="shared" si="414"/>
        <v>58322.770405799245</v>
      </c>
      <c r="AH370" s="199">
        <f t="shared" si="385"/>
        <v>63935.529425016604</v>
      </c>
      <c r="AI370" s="200">
        <f t="shared" si="377"/>
        <v>68554.801168579521</v>
      </c>
      <c r="AJ370" s="200">
        <f t="shared" si="378"/>
        <v>68554.801168579521</v>
      </c>
      <c r="AK370" s="200">
        <f t="shared" si="379"/>
        <v>68554.801168579521</v>
      </c>
      <c r="AL370" s="4"/>
      <c r="AM370" s="4"/>
      <c r="AN370" s="4"/>
      <c r="AO370" s="4"/>
      <c r="AP370" s="63"/>
      <c r="AQ370" s="18"/>
      <c r="AR370" s="18"/>
      <c r="AS370" s="62"/>
      <c r="AT370" s="10">
        <v>3395.12</v>
      </c>
      <c r="AU370" s="133">
        <f t="shared" si="388"/>
        <v>87.516000000000005</v>
      </c>
      <c r="AV370" s="133">
        <f t="shared" si="388"/>
        <v>3232.7139999999999</v>
      </c>
      <c r="AW370" s="63"/>
      <c r="AX370" s="63"/>
      <c r="AY370" s="63"/>
      <c r="AZ370" s="64"/>
      <c r="BA370" s="62"/>
      <c r="BB370" s="5"/>
      <c r="BC370" s="65">
        <v>323.38483151917211</v>
      </c>
      <c r="BD370" s="65">
        <v>0</v>
      </c>
      <c r="BE370" s="65">
        <v>0</v>
      </c>
      <c r="BF370" s="65">
        <v>0</v>
      </c>
      <c r="BG370" s="65">
        <v>0</v>
      </c>
      <c r="BH370" s="65">
        <v>0</v>
      </c>
      <c r="BI370" s="65">
        <v>1140.4601857510293</v>
      </c>
      <c r="BJ370" s="65">
        <v>0</v>
      </c>
      <c r="BK370" s="65">
        <v>19.397174608663349</v>
      </c>
      <c r="BL370" s="65">
        <v>0</v>
      </c>
      <c r="BM370" s="65">
        <v>0</v>
      </c>
      <c r="BN370" s="65">
        <v>0</v>
      </c>
      <c r="BO370" s="65">
        <v>212.18019192</v>
      </c>
      <c r="BP370" s="62"/>
      <c r="BQ370" s="65">
        <v>132.95348912415571</v>
      </c>
      <c r="BR370" s="65">
        <v>173.7080251475015</v>
      </c>
      <c r="BS370" s="65">
        <v>628.5558089871987</v>
      </c>
      <c r="BT370" s="65">
        <v>210.67745787561472</v>
      </c>
      <c r="BU370" s="65">
        <v>244.82653919510199</v>
      </c>
      <c r="BV370" s="144">
        <f t="shared" si="370"/>
        <v>735.14184391245624</v>
      </c>
      <c r="BW370" s="144">
        <f t="shared" si="371"/>
        <v>1582.9951326146156</v>
      </c>
      <c r="BX370" s="144">
        <f t="shared" si="372"/>
        <v>464.80883921324755</v>
      </c>
      <c r="BY370" s="5"/>
      <c r="BZ370" s="18"/>
      <c r="CA370" s="4"/>
      <c r="CB370" s="5"/>
      <c r="CC370" s="5"/>
      <c r="CD370" s="188">
        <v>13.157281760074044</v>
      </c>
      <c r="CE370" s="5"/>
      <c r="CF370" s="64"/>
      <c r="CG370" s="70"/>
      <c r="CH370" s="70"/>
      <c r="CI370" s="70"/>
      <c r="CJ370" s="63"/>
      <c r="CK370" s="8">
        <f t="shared" si="409"/>
        <v>12597.596801628832</v>
      </c>
      <c r="CL370" s="202">
        <f t="shared" si="389"/>
        <v>52096.221823452521</v>
      </c>
      <c r="CM370" s="202">
        <f t="shared" si="390"/>
        <v>55957.204366950689</v>
      </c>
      <c r="CN370" s="202">
        <f t="shared" si="391"/>
        <v>55957.204366950689</v>
      </c>
      <c r="CO370" s="9">
        <f t="shared" si="392"/>
        <v>53089.709099106978</v>
      </c>
      <c r="CP370" s="9">
        <f t="shared" si="393"/>
        <v>56950.691642605139</v>
      </c>
      <c r="CQ370" s="9">
        <f t="shared" si="394"/>
        <v>45725.173604170413</v>
      </c>
      <c r="CR370" s="202">
        <f t="shared" si="395"/>
        <v>55957.204366950689</v>
      </c>
      <c r="CS370" s="202">
        <f t="shared" si="396"/>
        <v>55957.204366950689</v>
      </c>
      <c r="CT370" s="202">
        <f t="shared" si="397"/>
        <v>55957.204366950689</v>
      </c>
      <c r="CU370" s="203">
        <f t="shared" si="398"/>
        <v>0.8052735629251474</v>
      </c>
      <c r="CV370" s="203">
        <f t="shared" si="399"/>
        <v>0.81624048809286542</v>
      </c>
      <c r="CW370" s="203">
        <f t="shared" si="400"/>
        <v>0.81624048809286542</v>
      </c>
      <c r="CX370" s="19">
        <f t="shared" si="401"/>
        <v>0.80821870178895983</v>
      </c>
      <c r="CY370" s="19">
        <f t="shared" si="402"/>
        <v>0.81886546623314838</v>
      </c>
      <c r="CZ370" s="19">
        <f t="shared" si="403"/>
        <v>0.78400208505225244</v>
      </c>
      <c r="DA370" s="203">
        <f t="shared" si="404"/>
        <v>0.81624048809286542</v>
      </c>
      <c r="DB370" s="203">
        <f t="shared" si="405"/>
        <v>0.81624048809286542</v>
      </c>
      <c r="DC370" s="203">
        <f t="shared" si="406"/>
        <v>0.81624048809286542</v>
      </c>
      <c r="DD370" s="65"/>
      <c r="DE370" s="66"/>
      <c r="DF370" s="66"/>
      <c r="DG370" s="66"/>
      <c r="DH370" s="66"/>
      <c r="DI370" s="66"/>
      <c r="DJ370" s="66"/>
      <c r="DK370" s="70"/>
      <c r="DL370" s="70"/>
      <c r="DM370" s="8">
        <f t="shared" si="407"/>
        <v>0</v>
      </c>
      <c r="DN370" s="8">
        <f t="shared" si="408"/>
        <v>12597.596801628832</v>
      </c>
      <c r="DO370" s="202">
        <f t="shared" si="340"/>
        <v>52096.221823452521</v>
      </c>
      <c r="DP370" s="202">
        <f t="shared" si="341"/>
        <v>55957.204366950689</v>
      </c>
      <c r="DQ370" s="202">
        <f t="shared" si="342"/>
        <v>55957.204366950689</v>
      </c>
      <c r="DR370" s="9">
        <f t="shared" si="343"/>
        <v>53089.709099106978</v>
      </c>
      <c r="DS370" s="9">
        <f t="shared" si="410"/>
        <v>56950.691642605139</v>
      </c>
      <c r="DT370" s="9">
        <f t="shared" si="344"/>
        <v>45725.173604170413</v>
      </c>
      <c r="DU370" s="202">
        <f t="shared" si="345"/>
        <v>55957.204366950689</v>
      </c>
      <c r="DV370" s="202">
        <f t="shared" si="346"/>
        <v>55957.204366950689</v>
      </c>
      <c r="DW370" s="202">
        <f t="shared" si="347"/>
        <v>55957.204366950689</v>
      </c>
      <c r="DX370" s="203">
        <f t="shared" si="348"/>
        <v>0.8052735629251474</v>
      </c>
      <c r="DY370" s="203">
        <f t="shared" si="349"/>
        <v>0.81624048809286542</v>
      </c>
      <c r="DZ370" s="203">
        <f t="shared" si="350"/>
        <v>0.81624048809286542</v>
      </c>
      <c r="EA370" s="19">
        <f t="shared" si="351"/>
        <v>0.80821870178895983</v>
      </c>
      <c r="EB370" s="19">
        <f t="shared" si="411"/>
        <v>0.81886546623314838</v>
      </c>
      <c r="EC370" s="19">
        <f t="shared" si="352"/>
        <v>0.78400208505225244</v>
      </c>
      <c r="ED370" s="203">
        <f t="shared" si="353"/>
        <v>0.81624048809286542</v>
      </c>
      <c r="EE370" s="203">
        <f t="shared" si="354"/>
        <v>0.81624048809286542</v>
      </c>
      <c r="EF370" s="203">
        <f t="shared" si="355"/>
        <v>0.81624048809286542</v>
      </c>
      <c r="EH370" s="58">
        <f t="shared" si="364"/>
        <v>11849.297675956301</v>
      </c>
      <c r="EI370" s="68">
        <f t="shared" si="365"/>
        <v>0.17037511549198575</v>
      </c>
      <c r="EJ370" s="58">
        <f t="shared" si="366"/>
        <v>11849.297675956301</v>
      </c>
      <c r="EK370" s="68">
        <f t="shared" si="365"/>
        <v>0.17037511549198575</v>
      </c>
      <c r="EL370" s="58">
        <f t="shared" si="367"/>
        <v>4669.1388367430536</v>
      </c>
      <c r="EM370" s="58">
        <f t="shared" si="368"/>
        <v>5133.9476759563013</v>
      </c>
      <c r="EN370" s="68">
        <f t="shared" si="369"/>
        <v>7.3818461831348506E-2</v>
      </c>
      <c r="EO370" s="139">
        <f t="shared" si="387"/>
        <v>0.32861286969700848</v>
      </c>
      <c r="EP370">
        <f>+(SUM(M370:O370)*EO370*(1-'[1]Tier 3 Data'!$A$2))</f>
        <v>1218.9135991476487</v>
      </c>
    </row>
    <row r="371" spans="1:146" x14ac:dyDescent="0.2">
      <c r="A371" s="43">
        <v>0</v>
      </c>
      <c r="B371" s="43">
        <v>0</v>
      </c>
      <c r="C371" s="43">
        <v>0</v>
      </c>
      <c r="D371" s="70">
        <v>2038</v>
      </c>
      <c r="E371" s="70">
        <v>4</v>
      </c>
      <c r="F371" s="2">
        <v>720</v>
      </c>
      <c r="G371" s="133">
        <f t="shared" si="380"/>
        <v>40952.079727818702</v>
      </c>
      <c r="H371" s="65">
        <v>40952.079727818702</v>
      </c>
      <c r="I371" s="133">
        <f t="shared" si="381"/>
        <v>40952.079727818702</v>
      </c>
      <c r="J371" s="133">
        <f t="shared" si="362"/>
        <v>6357.8977500000055</v>
      </c>
      <c r="K371" s="65">
        <v>6357.8977500000055</v>
      </c>
      <c r="L371" s="133">
        <f t="shared" si="363"/>
        <v>6357.8977500000055</v>
      </c>
      <c r="M371" s="65">
        <v>1418.2286880453187</v>
      </c>
      <c r="N371" s="65">
        <v>3053.8992287010965</v>
      </c>
      <c r="O371" s="65">
        <v>897.04274981359845</v>
      </c>
      <c r="P371" s="200">
        <f t="shared" si="356"/>
        <v>32983.430777850692</v>
      </c>
      <c r="Q371" s="200">
        <f t="shared" si="357"/>
        <v>32983.430777850692</v>
      </c>
      <c r="R371" s="200">
        <f t="shared" si="358"/>
        <v>32983.430777850692</v>
      </c>
      <c r="S371" s="133">
        <f t="shared" si="382"/>
        <v>34325.069152874617</v>
      </c>
      <c r="T371" s="133">
        <f t="shared" si="383"/>
        <v>34325.069152874617</v>
      </c>
      <c r="U371" s="133">
        <f t="shared" si="384"/>
        <v>34325.069152874617</v>
      </c>
      <c r="V371" s="200">
        <f t="shared" si="359"/>
        <v>32983.430777850692</v>
      </c>
      <c r="W371" s="200">
        <f t="shared" si="360"/>
        <v>32983.430777850692</v>
      </c>
      <c r="X371" s="200">
        <f t="shared" si="361"/>
        <v>32983.430777850692</v>
      </c>
      <c r="Y371" s="65">
        <v>20146.242967024769</v>
      </c>
      <c r="Z371" s="65">
        <v>22091.479451434392</v>
      </c>
      <c r="AA371" s="65">
        <v>13556.733372371422</v>
      </c>
      <c r="AB371" s="200">
        <f t="shared" si="412"/>
        <v>53129.673744875457</v>
      </c>
      <c r="AC371" s="200">
        <f t="shared" si="374"/>
        <v>55074.910229285088</v>
      </c>
      <c r="AD371" s="200">
        <f t="shared" si="375"/>
        <v>55074.910229285088</v>
      </c>
      <c r="AE371" s="199">
        <f t="shared" si="413"/>
        <v>54471.31211989939</v>
      </c>
      <c r="AF371" s="199">
        <f t="shared" si="376"/>
        <v>56416.548604309006</v>
      </c>
      <c r="AG371" s="199">
        <f t="shared" si="414"/>
        <v>47881.802525246036</v>
      </c>
      <c r="AH371" s="199">
        <f t="shared" si="385"/>
        <v>52149.175564777521</v>
      </c>
      <c r="AI371" s="200">
        <f t="shared" si="377"/>
        <v>55074.910229285088</v>
      </c>
      <c r="AJ371" s="200">
        <f t="shared" si="378"/>
        <v>55074.910229285088</v>
      </c>
      <c r="AK371" s="200">
        <f t="shared" si="379"/>
        <v>55074.910229285088</v>
      </c>
      <c r="AL371" s="4"/>
      <c r="AM371" s="4"/>
      <c r="AN371" s="4"/>
      <c r="AO371" s="4"/>
      <c r="AP371" s="63"/>
      <c r="AQ371" s="18"/>
      <c r="AR371" s="18"/>
      <c r="AS371" s="62"/>
      <c r="AT371" s="10">
        <v>3285.6</v>
      </c>
      <c r="AU371" s="133">
        <f t="shared" si="388"/>
        <v>96.057000000000002</v>
      </c>
      <c r="AV371" s="133">
        <f t="shared" si="388"/>
        <v>3017.9659999999999</v>
      </c>
      <c r="AW371" s="63"/>
      <c r="AX371" s="63"/>
      <c r="AY371" s="63"/>
      <c r="AZ371" s="64"/>
      <c r="BA371" s="62"/>
      <c r="BB371" s="5"/>
      <c r="BC371" s="65">
        <v>408.36819394860782</v>
      </c>
      <c r="BD371" s="65">
        <v>0</v>
      </c>
      <c r="BE371" s="65">
        <v>0</v>
      </c>
      <c r="BF371" s="65">
        <v>0</v>
      </c>
      <c r="BG371" s="65">
        <v>0</v>
      </c>
      <c r="BH371" s="65">
        <v>0</v>
      </c>
      <c r="BI371" s="65">
        <v>1440.1654652062134</v>
      </c>
      <c r="BJ371" s="65">
        <v>0</v>
      </c>
      <c r="BK371" s="65">
        <v>19.984033847071771</v>
      </c>
      <c r="BL371" s="65">
        <v>0</v>
      </c>
      <c r="BM371" s="65">
        <v>0</v>
      </c>
      <c r="BN371" s="65">
        <v>0</v>
      </c>
      <c r="BO371" s="65">
        <v>205.33566960000002</v>
      </c>
      <c r="BP371" s="62"/>
      <c r="BQ371" s="65">
        <v>141.97655618353159</v>
      </c>
      <c r="BR371" s="65">
        <v>185.49699228991423</v>
      </c>
      <c r="BS371" s="65">
        <v>671.21373189386009</v>
      </c>
      <c r="BT371" s="65">
        <v>233.28025989097921</v>
      </c>
      <c r="BU371" s="65">
        <v>250.48949176302415</v>
      </c>
      <c r="BV371" s="144">
        <f t="shared" si="370"/>
        <v>992.76008163172298</v>
      </c>
      <c r="BW371" s="144">
        <f t="shared" si="371"/>
        <v>2137.7294600907676</v>
      </c>
      <c r="BX371" s="144">
        <f t="shared" si="372"/>
        <v>627.92992486951891</v>
      </c>
      <c r="BY371" s="5"/>
      <c r="BZ371" s="18"/>
      <c r="CA371" s="4"/>
      <c r="CB371" s="5"/>
      <c r="CC371" s="5"/>
      <c r="CD371" s="188">
        <v>2.3725527527096357</v>
      </c>
      <c r="CE371" s="5"/>
      <c r="CF371" s="64"/>
      <c r="CG371" s="70"/>
      <c r="CH371" s="70"/>
      <c r="CI371" s="70"/>
      <c r="CJ371" s="63"/>
      <c r="CK371" s="8">
        <f t="shared" si="409"/>
        <v>13716.725413967921</v>
      </c>
      <c r="CL371" s="202">
        <f t="shared" si="389"/>
        <v>39412.948330907537</v>
      </c>
      <c r="CM371" s="202">
        <f t="shared" si="390"/>
        <v>41358.184815317167</v>
      </c>
      <c r="CN371" s="202">
        <f t="shared" si="391"/>
        <v>41358.184815317167</v>
      </c>
      <c r="CO371" s="9">
        <f t="shared" si="392"/>
        <v>40754.58670593147</v>
      </c>
      <c r="CP371" s="9">
        <f t="shared" si="393"/>
        <v>42699.823190341085</v>
      </c>
      <c r="CQ371" s="9">
        <f t="shared" si="394"/>
        <v>34165.077111278115</v>
      </c>
      <c r="CR371" s="202">
        <f t="shared" si="395"/>
        <v>41358.184815317167</v>
      </c>
      <c r="CS371" s="202">
        <f t="shared" si="396"/>
        <v>41358.184815317167</v>
      </c>
      <c r="CT371" s="202">
        <f t="shared" si="397"/>
        <v>41358.184815317167</v>
      </c>
      <c r="CU371" s="203">
        <f t="shared" si="398"/>
        <v>0.7418255289909258</v>
      </c>
      <c r="CV371" s="203">
        <f t="shared" si="399"/>
        <v>0.75094420750096291</v>
      </c>
      <c r="CW371" s="203">
        <f t="shared" si="400"/>
        <v>0.75094420750096291</v>
      </c>
      <c r="CX371" s="19">
        <f t="shared" si="401"/>
        <v>0.748184413406907</v>
      </c>
      <c r="CY371" s="19">
        <f t="shared" si="402"/>
        <v>0.75686698755406923</v>
      </c>
      <c r="CZ371" s="19">
        <f t="shared" si="403"/>
        <v>0.71352946859643229</v>
      </c>
      <c r="DA371" s="203">
        <f t="shared" si="404"/>
        <v>0.75094420750096291</v>
      </c>
      <c r="DB371" s="203">
        <f t="shared" si="405"/>
        <v>0.75094420750096291</v>
      </c>
      <c r="DC371" s="203">
        <f t="shared" si="406"/>
        <v>0.75094420750096291</v>
      </c>
      <c r="DD371" s="65"/>
      <c r="DE371" s="66"/>
      <c r="DF371" s="66"/>
      <c r="DG371" s="66"/>
      <c r="DH371" s="66"/>
      <c r="DI371" s="66"/>
      <c r="DJ371" s="66"/>
      <c r="DK371" s="70"/>
      <c r="DL371" s="70"/>
      <c r="DM371" s="8">
        <f t="shared" si="407"/>
        <v>0</v>
      </c>
      <c r="DN371" s="8">
        <f t="shared" si="408"/>
        <v>13716.725413967921</v>
      </c>
      <c r="DO371" s="202">
        <f t="shared" si="340"/>
        <v>39412.948330907537</v>
      </c>
      <c r="DP371" s="202">
        <f t="shared" si="341"/>
        <v>41358.184815317167</v>
      </c>
      <c r="DQ371" s="202">
        <f t="shared" si="342"/>
        <v>41358.184815317167</v>
      </c>
      <c r="DR371" s="9">
        <f t="shared" si="343"/>
        <v>40754.58670593147</v>
      </c>
      <c r="DS371" s="9">
        <f t="shared" si="410"/>
        <v>42699.823190341085</v>
      </c>
      <c r="DT371" s="9">
        <f t="shared" si="344"/>
        <v>34165.077111278115</v>
      </c>
      <c r="DU371" s="202">
        <f t="shared" si="345"/>
        <v>41358.184815317167</v>
      </c>
      <c r="DV371" s="202">
        <f t="shared" si="346"/>
        <v>41358.184815317167</v>
      </c>
      <c r="DW371" s="202">
        <f t="shared" si="347"/>
        <v>41358.184815317167</v>
      </c>
      <c r="DX371" s="203">
        <f t="shared" si="348"/>
        <v>0.7418255289909258</v>
      </c>
      <c r="DY371" s="203">
        <f t="shared" si="349"/>
        <v>0.75094420750096291</v>
      </c>
      <c r="DZ371" s="203">
        <f t="shared" si="350"/>
        <v>0.75094420750096291</v>
      </c>
      <c r="EA371" s="19">
        <f t="shared" si="351"/>
        <v>0.748184413406907</v>
      </c>
      <c r="EB371" s="19">
        <f t="shared" si="411"/>
        <v>0.75686698755406923</v>
      </c>
      <c r="EC371" s="19">
        <f t="shared" si="352"/>
        <v>0.71352946859643229</v>
      </c>
      <c r="ED371" s="203">
        <f t="shared" si="353"/>
        <v>0.75094420750096291</v>
      </c>
      <c r="EE371" s="203">
        <f t="shared" si="354"/>
        <v>0.75094420750096291</v>
      </c>
      <c r="EF371" s="203">
        <f t="shared" si="355"/>
        <v>0.75094420750096291</v>
      </c>
      <c r="EH371" s="58">
        <f t="shared" si="364"/>
        <v>12721.592779583489</v>
      </c>
      <c r="EI371" s="68">
        <f t="shared" si="365"/>
        <v>0.22549399235336834</v>
      </c>
      <c r="EJ371" s="58">
        <f t="shared" si="366"/>
        <v>12721.592779583489</v>
      </c>
      <c r="EK371" s="68">
        <f t="shared" si="365"/>
        <v>0.22549399235336834</v>
      </c>
      <c r="EL371" s="58">
        <f t="shared" si="367"/>
        <v>5694.0398547139694</v>
      </c>
      <c r="EM371" s="58">
        <f t="shared" si="368"/>
        <v>6321.9697795834882</v>
      </c>
      <c r="EN371" s="68">
        <f t="shared" si="369"/>
        <v>0.11205878303410829</v>
      </c>
      <c r="EO371" s="139">
        <f t="shared" si="387"/>
        <v>0.35351678044029999</v>
      </c>
      <c r="EP371">
        <f>+(SUM(M371:O371)*EO371*(1-'[1]Tier 3 Data'!$A$2))</f>
        <v>1770.9197685224503</v>
      </c>
    </row>
    <row r="372" spans="1:146" x14ac:dyDescent="0.2">
      <c r="A372" s="43">
        <v>0</v>
      </c>
      <c r="B372" s="43">
        <v>0</v>
      </c>
      <c r="C372" s="43">
        <v>0</v>
      </c>
      <c r="D372" s="70">
        <v>2038</v>
      </c>
      <c r="E372" s="70">
        <v>5</v>
      </c>
      <c r="F372" s="2">
        <v>744</v>
      </c>
      <c r="G372" s="133">
        <f t="shared" si="380"/>
        <v>39040.175091712568</v>
      </c>
      <c r="H372" s="65">
        <v>39040.175091712568</v>
      </c>
      <c r="I372" s="133">
        <f t="shared" si="381"/>
        <v>39040.175091712568</v>
      </c>
      <c r="J372" s="133">
        <f t="shared" si="362"/>
        <v>6397.5155625000052</v>
      </c>
      <c r="K372" s="65">
        <v>6397.5155625000052</v>
      </c>
      <c r="L372" s="133">
        <f t="shared" si="363"/>
        <v>6397.5155625000052</v>
      </c>
      <c r="M372" s="65">
        <v>1750.7817988213781</v>
      </c>
      <c r="N372" s="65">
        <v>3769.9922657844818</v>
      </c>
      <c r="O372" s="65">
        <v>1107.8465060061858</v>
      </c>
      <c r="P372" s="200">
        <f t="shared" si="356"/>
        <v>30654.073358028949</v>
      </c>
      <c r="Q372" s="200">
        <f t="shared" si="357"/>
        <v>30654.073358028949</v>
      </c>
      <c r="R372" s="200">
        <f t="shared" si="358"/>
        <v>30654.073358028949</v>
      </c>
      <c r="S372" s="133">
        <f t="shared" si="382"/>
        <v>32310.305577410709</v>
      </c>
      <c r="T372" s="133">
        <f t="shared" si="383"/>
        <v>32310.305577410709</v>
      </c>
      <c r="U372" s="133">
        <f t="shared" si="384"/>
        <v>32310.305577410709</v>
      </c>
      <c r="V372" s="200">
        <f t="shared" si="359"/>
        <v>30654.073358028949</v>
      </c>
      <c r="W372" s="200">
        <f t="shared" si="360"/>
        <v>30654.073358028949</v>
      </c>
      <c r="X372" s="200">
        <f t="shared" si="361"/>
        <v>30654.073358028949</v>
      </c>
      <c r="Y372" s="65">
        <v>16356.255280834617</v>
      </c>
      <c r="Z372" s="65">
        <v>16928.917913999139</v>
      </c>
      <c r="AA372" s="65">
        <v>10845.221134219564</v>
      </c>
      <c r="AB372" s="200">
        <f t="shared" si="412"/>
        <v>47010.328638863568</v>
      </c>
      <c r="AC372" s="200">
        <f t="shared" si="374"/>
        <v>47582.991272028084</v>
      </c>
      <c r="AD372" s="200">
        <f t="shared" si="375"/>
        <v>47582.991272028084</v>
      </c>
      <c r="AE372" s="199">
        <f t="shared" si="413"/>
        <v>48666.560858245328</v>
      </c>
      <c r="AF372" s="199">
        <f t="shared" si="376"/>
        <v>49239.223491409852</v>
      </c>
      <c r="AG372" s="199">
        <f t="shared" si="414"/>
        <v>43155.526711630271</v>
      </c>
      <c r="AH372" s="199">
        <f t="shared" si="385"/>
        <v>46197.375101520061</v>
      </c>
      <c r="AI372" s="200">
        <f t="shared" si="377"/>
        <v>47582.991272028084</v>
      </c>
      <c r="AJ372" s="200">
        <f t="shared" si="378"/>
        <v>47582.991272028084</v>
      </c>
      <c r="AK372" s="200">
        <f t="shared" si="379"/>
        <v>47582.991272028084</v>
      </c>
      <c r="AL372" s="4"/>
      <c r="AM372" s="4"/>
      <c r="AN372" s="4"/>
      <c r="AO372" s="4"/>
      <c r="AP372" s="63"/>
      <c r="AQ372" s="18"/>
      <c r="AR372" s="18"/>
      <c r="AS372" s="62"/>
      <c r="AT372" s="10">
        <v>3395.12</v>
      </c>
      <c r="AU372" s="133">
        <f t="shared" si="388"/>
        <v>109.161</v>
      </c>
      <c r="AV372" s="133">
        <f t="shared" si="388"/>
        <v>3327.41</v>
      </c>
      <c r="AW372" s="63"/>
      <c r="AX372" s="63"/>
      <c r="AY372" s="63"/>
      <c r="AZ372" s="64"/>
      <c r="BA372" s="62"/>
      <c r="BB372" s="5"/>
      <c r="BC372" s="65">
        <v>410.12525165291441</v>
      </c>
      <c r="BD372" s="65">
        <v>0</v>
      </c>
      <c r="BE372" s="65">
        <v>0</v>
      </c>
      <c r="BF372" s="65">
        <v>0</v>
      </c>
      <c r="BG372" s="65">
        <v>0</v>
      </c>
      <c r="BH372" s="65">
        <v>0</v>
      </c>
      <c r="BI372" s="65">
        <v>1446.3619659709993</v>
      </c>
      <c r="BJ372" s="65">
        <v>0</v>
      </c>
      <c r="BK372" s="65">
        <v>12.751667915526451</v>
      </c>
      <c r="BL372" s="65">
        <v>0</v>
      </c>
      <c r="BM372" s="65">
        <v>0</v>
      </c>
      <c r="BN372" s="65">
        <v>0</v>
      </c>
      <c r="BO372" s="65">
        <v>212.18019192</v>
      </c>
      <c r="BP372" s="62"/>
      <c r="BQ372" s="65">
        <v>163.5074772263572</v>
      </c>
      <c r="BR372" s="65">
        <v>213.62781867723618</v>
      </c>
      <c r="BS372" s="65">
        <v>773.00404695405814</v>
      </c>
      <c r="BT372" s="65">
        <v>241.0934728499827</v>
      </c>
      <c r="BU372" s="65">
        <v>286.46007911726304</v>
      </c>
      <c r="BV372" s="144">
        <f t="shared" si="370"/>
        <v>1225.5472591749647</v>
      </c>
      <c r="BW372" s="144">
        <f t="shared" si="371"/>
        <v>2638.9945860491371</v>
      </c>
      <c r="BX372" s="144">
        <f t="shared" si="372"/>
        <v>775.49255420432996</v>
      </c>
      <c r="BY372" s="5"/>
      <c r="BZ372" s="18"/>
      <c r="CA372" s="4"/>
      <c r="CB372" s="5"/>
      <c r="CC372" s="5"/>
      <c r="CD372" s="188">
        <v>1.4538432884059718E-2</v>
      </c>
      <c r="CE372" s="5"/>
      <c r="CF372" s="64"/>
      <c r="CG372" s="70"/>
      <c r="CH372" s="70"/>
      <c r="CI372" s="70"/>
      <c r="CJ372" s="63"/>
      <c r="CK372" s="8">
        <f t="shared" si="409"/>
        <v>15230.851910145655</v>
      </c>
      <c r="CL372" s="202">
        <f t="shared" si="389"/>
        <v>31779.476728717913</v>
      </c>
      <c r="CM372" s="202">
        <f t="shared" si="390"/>
        <v>32352.13936188243</v>
      </c>
      <c r="CN372" s="202">
        <f t="shared" si="391"/>
        <v>32352.13936188243</v>
      </c>
      <c r="CO372" s="9">
        <f t="shared" si="392"/>
        <v>33435.708948099673</v>
      </c>
      <c r="CP372" s="9">
        <f t="shared" si="393"/>
        <v>34008.371581264197</v>
      </c>
      <c r="CQ372" s="9">
        <f t="shared" si="394"/>
        <v>27924.674801484616</v>
      </c>
      <c r="CR372" s="202">
        <f t="shared" si="395"/>
        <v>32352.13936188243</v>
      </c>
      <c r="CS372" s="202">
        <f t="shared" si="396"/>
        <v>32352.13936188243</v>
      </c>
      <c r="CT372" s="202">
        <f t="shared" si="397"/>
        <v>32352.13936188243</v>
      </c>
      <c r="CU372" s="203">
        <f t="shared" si="398"/>
        <v>0.67601052042945586</v>
      </c>
      <c r="CV372" s="203">
        <f t="shared" si="399"/>
        <v>0.67990974289379758</v>
      </c>
      <c r="CW372" s="203">
        <f t="shared" si="400"/>
        <v>0.67990974289379758</v>
      </c>
      <c r="CX372" s="19">
        <f t="shared" si="401"/>
        <v>0.68703660908956199</v>
      </c>
      <c r="CY372" s="19">
        <f t="shared" si="402"/>
        <v>0.69067643983453986</v>
      </c>
      <c r="CZ372" s="19">
        <f t="shared" si="403"/>
        <v>0.6470706518791951</v>
      </c>
      <c r="DA372" s="203">
        <f t="shared" si="404"/>
        <v>0.67990974289379758</v>
      </c>
      <c r="DB372" s="203">
        <f t="shared" si="405"/>
        <v>0.67990974289379758</v>
      </c>
      <c r="DC372" s="203">
        <f t="shared" si="406"/>
        <v>0.67990974289379758</v>
      </c>
      <c r="DD372" s="65"/>
      <c r="DE372" s="66"/>
      <c r="DF372" s="66"/>
      <c r="DG372" s="66"/>
      <c r="DH372" s="66"/>
      <c r="DI372" s="66"/>
      <c r="DJ372" s="66"/>
      <c r="DK372" s="70"/>
      <c r="DL372" s="70"/>
      <c r="DM372" s="8">
        <f t="shared" si="407"/>
        <v>0</v>
      </c>
      <c r="DN372" s="8">
        <f t="shared" si="408"/>
        <v>15230.851910145655</v>
      </c>
      <c r="DO372" s="202">
        <f t="shared" si="340"/>
        <v>31779.476728717913</v>
      </c>
      <c r="DP372" s="202">
        <f t="shared" si="341"/>
        <v>32352.13936188243</v>
      </c>
      <c r="DQ372" s="202">
        <f t="shared" si="342"/>
        <v>32352.13936188243</v>
      </c>
      <c r="DR372" s="9">
        <f t="shared" si="343"/>
        <v>33435.708948099673</v>
      </c>
      <c r="DS372" s="9">
        <f t="shared" si="410"/>
        <v>34008.371581264197</v>
      </c>
      <c r="DT372" s="9">
        <f t="shared" si="344"/>
        <v>27924.674801484616</v>
      </c>
      <c r="DU372" s="202">
        <f t="shared" si="345"/>
        <v>32352.13936188243</v>
      </c>
      <c r="DV372" s="202">
        <f t="shared" si="346"/>
        <v>32352.13936188243</v>
      </c>
      <c r="DW372" s="202">
        <f t="shared" si="347"/>
        <v>32352.13936188243</v>
      </c>
      <c r="DX372" s="203">
        <f t="shared" si="348"/>
        <v>0.67601052042945586</v>
      </c>
      <c r="DY372" s="203">
        <f t="shared" si="349"/>
        <v>0.67990974289379758</v>
      </c>
      <c r="DZ372" s="203">
        <f t="shared" si="350"/>
        <v>0.67990974289379758</v>
      </c>
      <c r="EA372" s="19">
        <f t="shared" si="351"/>
        <v>0.68703660908956199</v>
      </c>
      <c r="EB372" s="19">
        <f t="shared" si="411"/>
        <v>0.69067643983453986</v>
      </c>
      <c r="EC372" s="19">
        <f t="shared" si="352"/>
        <v>0.6470706518791951</v>
      </c>
      <c r="ED372" s="203">
        <f t="shared" si="353"/>
        <v>0.67990974289379758</v>
      </c>
      <c r="EE372" s="203">
        <f t="shared" si="354"/>
        <v>0.67990974289379758</v>
      </c>
      <c r="EF372" s="203">
        <f t="shared" si="355"/>
        <v>0.67990974289379758</v>
      </c>
      <c r="EH372" s="58">
        <f t="shared" si="364"/>
        <v>14005.290112537807</v>
      </c>
      <c r="EI372" s="68">
        <f t="shared" si="365"/>
        <v>0.28443361043216153</v>
      </c>
      <c r="EJ372" s="58">
        <f t="shared" si="366"/>
        <v>14005.290112537807</v>
      </c>
      <c r="EK372" s="68">
        <f t="shared" si="365"/>
        <v>0.28443361043216153</v>
      </c>
      <c r="EL372" s="58">
        <f t="shared" si="367"/>
        <v>6398.1065583334748</v>
      </c>
      <c r="EM372" s="58">
        <f t="shared" si="368"/>
        <v>7173.599112537805</v>
      </c>
      <c r="EN372" s="68">
        <f t="shared" si="369"/>
        <v>0.14568871326310198</v>
      </c>
      <c r="EO372" s="139">
        <f t="shared" si="387"/>
        <v>0.28868615856523006</v>
      </c>
      <c r="EP372">
        <f>+(SUM(M372:O372)*EO372*(1-'[1]Tier 3 Data'!$A$2))</f>
        <v>1785.3804115056523</v>
      </c>
    </row>
    <row r="373" spans="1:146" x14ac:dyDescent="0.2">
      <c r="A373" s="43">
        <v>0</v>
      </c>
      <c r="B373" s="43">
        <v>0</v>
      </c>
      <c r="C373" s="43">
        <v>0</v>
      </c>
      <c r="D373" s="70">
        <v>2038</v>
      </c>
      <c r="E373" s="70">
        <v>6</v>
      </c>
      <c r="F373" s="2">
        <v>720</v>
      </c>
      <c r="G373" s="133">
        <f t="shared" si="380"/>
        <v>41515.524734376551</v>
      </c>
      <c r="H373" s="65">
        <v>41515.524734376551</v>
      </c>
      <c r="I373" s="133">
        <f t="shared" si="381"/>
        <v>41515.524734376551</v>
      </c>
      <c r="J373" s="133">
        <f t="shared" si="362"/>
        <v>6437.1333750000049</v>
      </c>
      <c r="K373" s="65">
        <v>6437.1333750000049</v>
      </c>
      <c r="L373" s="133">
        <f t="shared" si="363"/>
        <v>6437.1333750000049</v>
      </c>
      <c r="M373" s="65">
        <v>1630.7561929849653</v>
      </c>
      <c r="N373" s="65">
        <v>3511.538810303055</v>
      </c>
      <c r="O373" s="65">
        <v>1032.7427635119511</v>
      </c>
      <c r="P373" s="200">
        <f t="shared" si="356"/>
        <v>33225.880029336557</v>
      </c>
      <c r="Q373" s="200">
        <f t="shared" si="357"/>
        <v>33225.880029336557</v>
      </c>
      <c r="R373" s="200">
        <f t="shared" si="358"/>
        <v>33225.880029336557</v>
      </c>
      <c r="S373" s="133">
        <f t="shared" si="382"/>
        <v>34768.568530322962</v>
      </c>
      <c r="T373" s="133">
        <f t="shared" si="383"/>
        <v>34768.568530322962</v>
      </c>
      <c r="U373" s="133">
        <f t="shared" si="384"/>
        <v>34768.568530322962</v>
      </c>
      <c r="V373" s="200">
        <f t="shared" si="359"/>
        <v>33225.880029336557</v>
      </c>
      <c r="W373" s="200">
        <f t="shared" si="360"/>
        <v>33225.880029336557</v>
      </c>
      <c r="X373" s="200">
        <f t="shared" si="361"/>
        <v>33225.880029336557</v>
      </c>
      <c r="Y373" s="65">
        <v>17168.598838903221</v>
      </c>
      <c r="Z373" s="65">
        <v>18167.200846615277</v>
      </c>
      <c r="AA373" s="65">
        <v>11635.765400586235</v>
      </c>
      <c r="AB373" s="200">
        <f t="shared" si="412"/>
        <v>50394.478868239778</v>
      </c>
      <c r="AC373" s="200">
        <f t="shared" si="374"/>
        <v>51393.080875951833</v>
      </c>
      <c r="AD373" s="200">
        <f t="shared" si="375"/>
        <v>51393.080875951833</v>
      </c>
      <c r="AE373" s="199">
        <f t="shared" si="413"/>
        <v>51937.167369226183</v>
      </c>
      <c r="AF373" s="199">
        <f t="shared" si="376"/>
        <v>52935.769376938239</v>
      </c>
      <c r="AG373" s="199">
        <f t="shared" si="414"/>
        <v>46404.333930909197</v>
      </c>
      <c r="AH373" s="199">
        <f t="shared" si="385"/>
        <v>49670.051653923714</v>
      </c>
      <c r="AI373" s="200">
        <f t="shared" si="377"/>
        <v>51393.080875951833</v>
      </c>
      <c r="AJ373" s="200">
        <f t="shared" si="378"/>
        <v>51393.080875951833</v>
      </c>
      <c r="AK373" s="200">
        <f t="shared" si="379"/>
        <v>51393.080875951833</v>
      </c>
      <c r="AL373" s="4"/>
      <c r="AM373" s="4"/>
      <c r="AN373" s="4"/>
      <c r="AO373" s="4"/>
      <c r="AP373" s="63"/>
      <c r="AQ373" s="18"/>
      <c r="AR373" s="18"/>
      <c r="AS373" s="62"/>
      <c r="AT373" s="10">
        <v>3285.6</v>
      </c>
      <c r="AU373" s="133">
        <f t="shared" si="388"/>
        <v>128.934</v>
      </c>
      <c r="AV373" s="133">
        <f t="shared" si="388"/>
        <v>3110.2840000000001</v>
      </c>
      <c r="AW373" s="63"/>
      <c r="AX373" s="63"/>
      <c r="AY373" s="63"/>
      <c r="AZ373" s="64"/>
      <c r="BA373" s="62"/>
      <c r="BB373" s="5"/>
      <c r="BC373" s="65">
        <v>435.88493607910885</v>
      </c>
      <c r="BD373" s="65">
        <v>0</v>
      </c>
      <c r="BE373" s="65">
        <v>0</v>
      </c>
      <c r="BF373" s="65">
        <v>0</v>
      </c>
      <c r="BG373" s="65">
        <v>0</v>
      </c>
      <c r="BH373" s="65">
        <v>0</v>
      </c>
      <c r="BI373" s="65">
        <v>1515.9617022930806</v>
      </c>
      <c r="BJ373" s="65">
        <v>0</v>
      </c>
      <c r="BK373" s="65">
        <v>11.763509963764358</v>
      </c>
      <c r="BL373" s="65">
        <v>0</v>
      </c>
      <c r="BM373" s="65">
        <v>0</v>
      </c>
      <c r="BN373" s="65">
        <v>0</v>
      </c>
      <c r="BO373" s="65">
        <v>205.33566960000002</v>
      </c>
      <c r="BP373" s="62"/>
      <c r="BQ373" s="65">
        <v>158.97157101678641</v>
      </c>
      <c r="BR373" s="65">
        <v>207.70154840181954</v>
      </c>
      <c r="BS373" s="65">
        <v>751.56006160684592</v>
      </c>
      <c r="BT373" s="65">
        <v>252.35972176345277</v>
      </c>
      <c r="BU373" s="65">
        <v>278.9696327957202</v>
      </c>
      <c r="BV373" s="144">
        <f t="shared" si="370"/>
        <v>1141.5293350894756</v>
      </c>
      <c r="BW373" s="144">
        <f t="shared" si="371"/>
        <v>2458.0771672121382</v>
      </c>
      <c r="BX373" s="144">
        <f t="shared" si="372"/>
        <v>722.91993445836579</v>
      </c>
      <c r="BY373" s="5"/>
      <c r="BZ373" s="18"/>
      <c r="CA373" s="4"/>
      <c r="CB373" s="5"/>
      <c r="CC373" s="5"/>
      <c r="CD373" s="188">
        <v>2.1777775833862054</v>
      </c>
      <c r="CE373" s="5"/>
      <c r="CF373" s="64"/>
      <c r="CG373" s="70"/>
      <c r="CH373" s="70"/>
      <c r="CI373" s="70"/>
      <c r="CJ373" s="63"/>
      <c r="CK373" s="8">
        <f t="shared" si="409"/>
        <v>14668.030567863942</v>
      </c>
      <c r="CL373" s="202">
        <f t="shared" si="389"/>
        <v>35726.448300375836</v>
      </c>
      <c r="CM373" s="202">
        <f t="shared" si="390"/>
        <v>36725.050308087892</v>
      </c>
      <c r="CN373" s="202">
        <f t="shared" si="391"/>
        <v>36725.050308087892</v>
      </c>
      <c r="CO373" s="9">
        <f t="shared" si="392"/>
        <v>37269.136801362241</v>
      </c>
      <c r="CP373" s="9">
        <f t="shared" si="393"/>
        <v>38267.738809074297</v>
      </c>
      <c r="CQ373" s="9">
        <f t="shared" si="394"/>
        <v>31736.303363045256</v>
      </c>
      <c r="CR373" s="202">
        <f t="shared" si="395"/>
        <v>36725.050308087892</v>
      </c>
      <c r="CS373" s="202">
        <f t="shared" si="396"/>
        <v>36725.050308087892</v>
      </c>
      <c r="CT373" s="202">
        <f t="shared" si="397"/>
        <v>36725.050308087892</v>
      </c>
      <c r="CU373" s="203">
        <f t="shared" si="398"/>
        <v>0.70893576246289536</v>
      </c>
      <c r="CV373" s="203">
        <f t="shared" si="399"/>
        <v>0.71459133568449884</v>
      </c>
      <c r="CW373" s="203">
        <f t="shared" si="400"/>
        <v>0.71459133568449884</v>
      </c>
      <c r="CX373" s="19">
        <f t="shared" si="401"/>
        <v>0.71758123688980691</v>
      </c>
      <c r="CY373" s="19">
        <f t="shared" si="402"/>
        <v>0.72290889996482888</v>
      </c>
      <c r="CZ373" s="19">
        <f t="shared" si="403"/>
        <v>0.68390817569533524</v>
      </c>
      <c r="DA373" s="203">
        <f t="shared" si="404"/>
        <v>0.71459133568449884</v>
      </c>
      <c r="DB373" s="203">
        <f t="shared" si="405"/>
        <v>0.71459133568449884</v>
      </c>
      <c r="DC373" s="203">
        <f t="shared" si="406"/>
        <v>0.71459133568449884</v>
      </c>
      <c r="DD373" s="65"/>
      <c r="DE373" s="66"/>
      <c r="DF373" s="66"/>
      <c r="DG373" s="66"/>
      <c r="DH373" s="66"/>
      <c r="DI373" s="66"/>
      <c r="DJ373" s="66"/>
      <c r="DK373" s="70"/>
      <c r="DL373" s="70"/>
      <c r="DM373" s="8">
        <f t="shared" si="407"/>
        <v>0</v>
      </c>
      <c r="DN373" s="8">
        <f t="shared" si="408"/>
        <v>14668.030567863942</v>
      </c>
      <c r="DO373" s="202">
        <f t="shared" si="340"/>
        <v>35726.448300375836</v>
      </c>
      <c r="DP373" s="202">
        <f t="shared" si="341"/>
        <v>36725.050308087892</v>
      </c>
      <c r="DQ373" s="202">
        <f t="shared" si="342"/>
        <v>36725.050308087892</v>
      </c>
      <c r="DR373" s="9">
        <f t="shared" si="343"/>
        <v>37269.136801362241</v>
      </c>
      <c r="DS373" s="9">
        <f t="shared" si="410"/>
        <v>38267.738809074297</v>
      </c>
      <c r="DT373" s="9">
        <f t="shared" si="344"/>
        <v>31736.303363045256</v>
      </c>
      <c r="DU373" s="202">
        <f t="shared" si="345"/>
        <v>36725.050308087892</v>
      </c>
      <c r="DV373" s="202">
        <f t="shared" si="346"/>
        <v>36725.050308087892</v>
      </c>
      <c r="DW373" s="202">
        <f t="shared" si="347"/>
        <v>36725.050308087892</v>
      </c>
      <c r="DX373" s="203">
        <f t="shared" si="348"/>
        <v>0.70893576246289536</v>
      </c>
      <c r="DY373" s="203">
        <f t="shared" si="349"/>
        <v>0.71459133568449884</v>
      </c>
      <c r="DZ373" s="203">
        <f t="shared" si="350"/>
        <v>0.71459133568449884</v>
      </c>
      <c r="EA373" s="19">
        <f t="shared" si="351"/>
        <v>0.71758123688980691</v>
      </c>
      <c r="EB373" s="19">
        <f t="shared" si="411"/>
        <v>0.72290889996482888</v>
      </c>
      <c r="EC373" s="19">
        <f t="shared" si="352"/>
        <v>0.68390817569533524</v>
      </c>
      <c r="ED373" s="203">
        <f t="shared" si="353"/>
        <v>0.71459133568449884</v>
      </c>
      <c r="EE373" s="203">
        <f t="shared" si="354"/>
        <v>0.71459133568449884</v>
      </c>
      <c r="EF373" s="203">
        <f t="shared" si="355"/>
        <v>0.71459133568449884</v>
      </c>
      <c r="EH373" s="58">
        <f t="shared" si="364"/>
        <v>13524.323455191079</v>
      </c>
      <c r="EI373" s="68">
        <f t="shared" si="365"/>
        <v>0.25548553680005687</v>
      </c>
      <c r="EJ373" s="58">
        <f t="shared" si="366"/>
        <v>13524.323455191079</v>
      </c>
      <c r="EK373" s="68">
        <f t="shared" si="365"/>
        <v>0.25548553680005687</v>
      </c>
      <c r="EL373" s="58">
        <f t="shared" si="367"/>
        <v>6276.5855207327177</v>
      </c>
      <c r="EM373" s="58">
        <f t="shared" si="368"/>
        <v>6999.5054551910835</v>
      </c>
      <c r="EN373" s="68">
        <f t="shared" si="369"/>
        <v>0.13222638562877781</v>
      </c>
      <c r="EO373" s="139">
        <f t="shared" si="387"/>
        <v>0.24029016665052916</v>
      </c>
      <c r="EP373">
        <f>+(SUM(M373:O373)*EO373*(1-'[1]Tier 3 Data'!$A$2))</f>
        <v>1384.3861968358121</v>
      </c>
    </row>
    <row r="374" spans="1:146" x14ac:dyDescent="0.2">
      <c r="A374" s="43">
        <v>0</v>
      </c>
      <c r="B374" s="43">
        <v>0</v>
      </c>
      <c r="C374" s="43">
        <v>0</v>
      </c>
      <c r="D374" s="70">
        <v>2038</v>
      </c>
      <c r="E374" s="70">
        <v>7</v>
      </c>
      <c r="F374" s="2">
        <v>744</v>
      </c>
      <c r="G374" s="133">
        <f t="shared" si="380"/>
        <v>47671.738414207837</v>
      </c>
      <c r="H374" s="65">
        <v>47671.738414207837</v>
      </c>
      <c r="I374" s="133">
        <f t="shared" si="381"/>
        <v>47671.738414207837</v>
      </c>
      <c r="J374" s="133">
        <f t="shared" si="362"/>
        <v>6476.7511875000046</v>
      </c>
      <c r="K374" s="65">
        <v>6476.7511875000046</v>
      </c>
      <c r="L374" s="133">
        <f t="shared" si="363"/>
        <v>6476.7511875000046</v>
      </c>
      <c r="M374" s="65">
        <v>1709.2251160000674</v>
      </c>
      <c r="N374" s="65">
        <v>3680.5074579497937</v>
      </c>
      <c r="O374" s="65">
        <v>1083.270674526153</v>
      </c>
      <c r="P374" s="200">
        <f t="shared" si="356"/>
        <v>39253.086252165027</v>
      </c>
      <c r="Q374" s="200">
        <f t="shared" si="357"/>
        <v>39253.086252165027</v>
      </c>
      <c r="R374" s="200">
        <f t="shared" si="358"/>
        <v>39253.086252165027</v>
      </c>
      <c r="S374" s="133">
        <f t="shared" si="382"/>
        <v>40870.006024349983</v>
      </c>
      <c r="T374" s="133">
        <f t="shared" si="383"/>
        <v>40870.006024349983</v>
      </c>
      <c r="U374" s="133">
        <f t="shared" si="384"/>
        <v>40870.006024349983</v>
      </c>
      <c r="V374" s="200">
        <f t="shared" si="359"/>
        <v>39253.086252165027</v>
      </c>
      <c r="W374" s="200">
        <f t="shared" si="360"/>
        <v>39253.086252165027</v>
      </c>
      <c r="X374" s="200">
        <f t="shared" si="361"/>
        <v>39253.086252165027</v>
      </c>
      <c r="Y374" s="65">
        <v>18703.716543273476</v>
      </c>
      <c r="Z374" s="65">
        <v>21152.886861172403</v>
      </c>
      <c r="AA374" s="65">
        <v>13000.261081672754</v>
      </c>
      <c r="AB374" s="200">
        <f t="shared" si="412"/>
        <v>57956.802795438503</v>
      </c>
      <c r="AC374" s="200">
        <f t="shared" si="374"/>
        <v>60405.97311333743</v>
      </c>
      <c r="AD374" s="200">
        <f t="shared" si="375"/>
        <v>60405.97311333743</v>
      </c>
      <c r="AE374" s="199">
        <f t="shared" si="413"/>
        <v>59573.722567623459</v>
      </c>
      <c r="AF374" s="199">
        <f t="shared" si="376"/>
        <v>62022.892885522386</v>
      </c>
      <c r="AG374" s="199">
        <f t="shared" si="414"/>
        <v>53870.267106022737</v>
      </c>
      <c r="AH374" s="199">
        <f t="shared" si="385"/>
        <v>57946.579995772561</v>
      </c>
      <c r="AI374" s="200">
        <f t="shared" si="377"/>
        <v>60405.97311333743</v>
      </c>
      <c r="AJ374" s="200">
        <f t="shared" si="378"/>
        <v>60405.97311333743</v>
      </c>
      <c r="AK374" s="200">
        <f t="shared" si="379"/>
        <v>60405.97311333743</v>
      </c>
      <c r="AL374" s="4"/>
      <c r="AM374" s="4"/>
      <c r="AN374" s="4"/>
      <c r="AO374" s="4"/>
      <c r="AP374" s="63"/>
      <c r="AQ374" s="18"/>
      <c r="AR374" s="18"/>
      <c r="AS374" s="62"/>
      <c r="AT374" s="10">
        <v>3395.12</v>
      </c>
      <c r="AU374" s="133">
        <f t="shared" si="388"/>
        <v>118.521</v>
      </c>
      <c r="AV374" s="133">
        <f t="shared" si="388"/>
        <v>3084.53</v>
      </c>
      <c r="AW374" s="63"/>
      <c r="AX374" s="63"/>
      <c r="AY374" s="63"/>
      <c r="AZ374" s="64"/>
      <c r="BA374" s="62"/>
      <c r="BB374" s="5"/>
      <c r="BC374" s="65">
        <v>422.13168259625354</v>
      </c>
      <c r="BD374" s="65">
        <v>0</v>
      </c>
      <c r="BE374" s="65">
        <v>0</v>
      </c>
      <c r="BF374" s="65">
        <v>0</v>
      </c>
      <c r="BG374" s="65">
        <v>0</v>
      </c>
      <c r="BH374" s="65">
        <v>0</v>
      </c>
      <c r="BI374" s="65">
        <v>1468.1293414193983</v>
      </c>
      <c r="BJ374" s="65">
        <v>0</v>
      </c>
      <c r="BK374" s="65">
        <v>9.5733821057653241</v>
      </c>
      <c r="BL374" s="65">
        <v>0</v>
      </c>
      <c r="BM374" s="65">
        <v>0</v>
      </c>
      <c r="BN374" s="65">
        <v>0</v>
      </c>
      <c r="BO374" s="65">
        <v>212.18019192</v>
      </c>
      <c r="BP374" s="62"/>
      <c r="BQ374" s="65">
        <v>160.80874790413813</v>
      </c>
      <c r="BR374" s="65">
        <v>210.10180769389746</v>
      </c>
      <c r="BS374" s="65">
        <v>760.24530748846075</v>
      </c>
      <c r="BT374" s="65">
        <v>260.75227416972274</v>
      </c>
      <c r="BU374" s="65">
        <v>286.8270461675699</v>
      </c>
      <c r="BV374" s="144">
        <f t="shared" si="370"/>
        <v>1196.4575812000471</v>
      </c>
      <c r="BW374" s="144">
        <f t="shared" si="371"/>
        <v>2576.3552205648552</v>
      </c>
      <c r="BX374" s="144">
        <f t="shared" si="372"/>
        <v>758.28947216830704</v>
      </c>
      <c r="BY374" s="5"/>
      <c r="BZ374" s="18"/>
      <c r="CA374" s="4"/>
      <c r="CB374" s="5"/>
      <c r="CC374" s="5"/>
      <c r="CD374" s="188">
        <v>2.1042112926473342</v>
      </c>
      <c r="CE374" s="5"/>
      <c r="CF374" s="64"/>
      <c r="CG374" s="70"/>
      <c r="CH374" s="70"/>
      <c r="CI374" s="70"/>
      <c r="CJ374" s="63"/>
      <c r="CK374" s="8">
        <f t="shared" si="409"/>
        <v>14922.127266691068</v>
      </c>
      <c r="CL374" s="202">
        <f t="shared" si="389"/>
        <v>43034.675528747437</v>
      </c>
      <c r="CM374" s="202">
        <f t="shared" si="390"/>
        <v>45483.845846646363</v>
      </c>
      <c r="CN374" s="202">
        <f t="shared" si="391"/>
        <v>45483.845846646363</v>
      </c>
      <c r="CO374" s="9">
        <f t="shared" si="392"/>
        <v>44651.595300932393</v>
      </c>
      <c r="CP374" s="9">
        <f t="shared" si="393"/>
        <v>47100.765618831319</v>
      </c>
      <c r="CQ374" s="9">
        <f t="shared" si="394"/>
        <v>38948.13983933167</v>
      </c>
      <c r="CR374" s="202">
        <f t="shared" si="395"/>
        <v>45483.845846646363</v>
      </c>
      <c r="CS374" s="202">
        <f t="shared" si="396"/>
        <v>45483.845846646363</v>
      </c>
      <c r="CT374" s="202">
        <f t="shared" si="397"/>
        <v>45483.845846646363</v>
      </c>
      <c r="CU374" s="203">
        <f t="shared" si="398"/>
        <v>0.74253018546658833</v>
      </c>
      <c r="CV374" s="203">
        <f t="shared" si="399"/>
        <v>0.75296934230836332</v>
      </c>
      <c r="CW374" s="203">
        <f t="shared" si="400"/>
        <v>0.75296934230836332</v>
      </c>
      <c r="CX374" s="19">
        <f t="shared" si="401"/>
        <v>0.74951830062738434</v>
      </c>
      <c r="CY374" s="19">
        <f t="shared" si="402"/>
        <v>0.75940936366458578</v>
      </c>
      <c r="CZ374" s="19">
        <f t="shared" si="403"/>
        <v>0.72299882535717441</v>
      </c>
      <c r="DA374" s="203">
        <f t="shared" si="404"/>
        <v>0.75296934230836332</v>
      </c>
      <c r="DB374" s="203">
        <f t="shared" si="405"/>
        <v>0.75296934230836332</v>
      </c>
      <c r="DC374" s="203">
        <f t="shared" si="406"/>
        <v>0.75296934230836332</v>
      </c>
      <c r="DD374" s="65"/>
      <c r="DE374" s="66"/>
      <c r="DF374" s="66"/>
      <c r="DG374" s="66"/>
      <c r="DH374" s="66"/>
      <c r="DI374" s="66"/>
      <c r="DJ374" s="66"/>
      <c r="DK374" s="70"/>
      <c r="DL374" s="70"/>
      <c r="DM374" s="8">
        <f t="shared" si="407"/>
        <v>0</v>
      </c>
      <c r="DN374" s="8">
        <f t="shared" si="408"/>
        <v>14922.127266691068</v>
      </c>
      <c r="DO374" s="202">
        <f t="shared" si="340"/>
        <v>43034.675528747437</v>
      </c>
      <c r="DP374" s="202">
        <f t="shared" si="341"/>
        <v>45483.845846646363</v>
      </c>
      <c r="DQ374" s="202">
        <f t="shared" si="342"/>
        <v>45483.845846646363</v>
      </c>
      <c r="DR374" s="9">
        <f t="shared" si="343"/>
        <v>44651.595300932393</v>
      </c>
      <c r="DS374" s="9">
        <f t="shared" si="410"/>
        <v>47100.765618831319</v>
      </c>
      <c r="DT374" s="9">
        <f t="shared" si="344"/>
        <v>38948.13983933167</v>
      </c>
      <c r="DU374" s="202">
        <f t="shared" si="345"/>
        <v>45483.845846646363</v>
      </c>
      <c r="DV374" s="202">
        <f t="shared" si="346"/>
        <v>45483.845846646363</v>
      </c>
      <c r="DW374" s="202">
        <f t="shared" si="347"/>
        <v>45483.845846646363</v>
      </c>
      <c r="DX374" s="203">
        <f t="shared" si="348"/>
        <v>0.74253018546658833</v>
      </c>
      <c r="DY374" s="203">
        <f t="shared" si="349"/>
        <v>0.75296934230836332</v>
      </c>
      <c r="DZ374" s="203">
        <f t="shared" si="350"/>
        <v>0.75296934230836332</v>
      </c>
      <c r="EA374" s="19">
        <f t="shared" si="351"/>
        <v>0.74951830062738434</v>
      </c>
      <c r="EB374" s="19">
        <f t="shared" si="411"/>
        <v>0.75940936366458578</v>
      </c>
      <c r="EC374" s="19">
        <f t="shared" si="352"/>
        <v>0.72299882535717441</v>
      </c>
      <c r="ED374" s="203">
        <f t="shared" si="353"/>
        <v>0.75296934230836332</v>
      </c>
      <c r="EE374" s="203">
        <f t="shared" si="354"/>
        <v>0.75296934230836332</v>
      </c>
      <c r="EF374" s="203">
        <f t="shared" si="355"/>
        <v>0.75296934230836332</v>
      </c>
      <c r="EH374" s="58">
        <f t="shared" si="364"/>
        <v>13723.565474198373</v>
      </c>
      <c r="EI374" s="68">
        <f t="shared" si="365"/>
        <v>0.22126612990349212</v>
      </c>
      <c r="EJ374" s="58">
        <f t="shared" si="366"/>
        <v>13723.565474198373</v>
      </c>
      <c r="EK374" s="68">
        <f t="shared" si="365"/>
        <v>0.22126612990349212</v>
      </c>
      <c r="EL374" s="58">
        <f t="shared" si="367"/>
        <v>6367.1050020300609</v>
      </c>
      <c r="EM374" s="58">
        <f t="shared" si="368"/>
        <v>7125.3944741983678</v>
      </c>
      <c r="EN374" s="68">
        <f t="shared" si="369"/>
        <v>0.11488329780666526</v>
      </c>
      <c r="EO374" s="139">
        <f t="shared" si="387"/>
        <v>0.25197746931178833</v>
      </c>
      <c r="EP374">
        <f>+(SUM(M374:O374)*EO374*(1-'[1]Tier 3 Data'!$A$2))</f>
        <v>1521.7705619123069</v>
      </c>
    </row>
    <row r="375" spans="1:146" x14ac:dyDescent="0.2">
      <c r="A375" s="43">
        <v>0</v>
      </c>
      <c r="B375" s="43">
        <v>0</v>
      </c>
      <c r="C375" s="43">
        <v>0</v>
      </c>
      <c r="D375" s="70">
        <v>2038</v>
      </c>
      <c r="E375" s="70">
        <v>8</v>
      </c>
      <c r="F375" s="2">
        <v>744</v>
      </c>
      <c r="G375" s="133">
        <f t="shared" si="380"/>
        <v>45527.896514634136</v>
      </c>
      <c r="H375" s="65">
        <v>45527.896514634136</v>
      </c>
      <c r="I375" s="133">
        <f t="shared" si="381"/>
        <v>45527.896514634136</v>
      </c>
      <c r="J375" s="133">
        <f t="shared" si="362"/>
        <v>6516.3690000000042</v>
      </c>
      <c r="K375" s="65">
        <v>6516.3690000000042</v>
      </c>
      <c r="L375" s="133">
        <f t="shared" si="363"/>
        <v>6516.3690000000042</v>
      </c>
      <c r="M375" s="65">
        <v>1523.4196774399222</v>
      </c>
      <c r="N375" s="65">
        <v>3280.4090180505418</v>
      </c>
      <c r="O375" s="65">
        <v>988.03678133291623</v>
      </c>
      <c r="P375" s="200">
        <f t="shared" si="356"/>
        <v>37273.967871587112</v>
      </c>
      <c r="Q375" s="200">
        <f t="shared" si="357"/>
        <v>37273.967871587112</v>
      </c>
      <c r="R375" s="200">
        <f t="shared" si="358"/>
        <v>37273.967871587112</v>
      </c>
      <c r="S375" s="133">
        <f t="shared" si="382"/>
        <v>38715.116480234254</v>
      </c>
      <c r="T375" s="133">
        <f t="shared" si="383"/>
        <v>38715.116480234254</v>
      </c>
      <c r="U375" s="133">
        <f t="shared" si="384"/>
        <v>38715.116480234254</v>
      </c>
      <c r="V375" s="200">
        <f t="shared" si="359"/>
        <v>37273.967871587112</v>
      </c>
      <c r="W375" s="200">
        <f t="shared" si="360"/>
        <v>37273.967871587112</v>
      </c>
      <c r="X375" s="200">
        <f t="shared" si="361"/>
        <v>37273.967871587112</v>
      </c>
      <c r="Y375" s="65">
        <v>17937.320371572656</v>
      </c>
      <c r="Z375" s="65">
        <v>19696.876166330647</v>
      </c>
      <c r="AA375" s="65">
        <v>12381.079911997658</v>
      </c>
      <c r="AB375" s="200">
        <f t="shared" si="412"/>
        <v>55211.288243159768</v>
      </c>
      <c r="AC375" s="200">
        <f t="shared" si="374"/>
        <v>56970.844037917763</v>
      </c>
      <c r="AD375" s="200">
        <f t="shared" si="375"/>
        <v>56970.844037917763</v>
      </c>
      <c r="AE375" s="199">
        <f t="shared" si="413"/>
        <v>56652.43685180691</v>
      </c>
      <c r="AF375" s="199">
        <f t="shared" si="376"/>
        <v>58411.992646564904</v>
      </c>
      <c r="AG375" s="199">
        <f t="shared" si="414"/>
        <v>51096.196392231912</v>
      </c>
      <c r="AH375" s="199">
        <f t="shared" si="385"/>
        <v>54754.094519398408</v>
      </c>
      <c r="AI375" s="200">
        <f t="shared" si="377"/>
        <v>56970.844037917763</v>
      </c>
      <c r="AJ375" s="200">
        <f t="shared" si="378"/>
        <v>56970.844037917763</v>
      </c>
      <c r="AK375" s="200">
        <f t="shared" si="379"/>
        <v>56970.844037917763</v>
      </c>
      <c r="AL375" s="4"/>
      <c r="AM375" s="4"/>
      <c r="AN375" s="4"/>
      <c r="AO375" s="4"/>
      <c r="AP375" s="63"/>
      <c r="AQ375" s="18"/>
      <c r="AR375" s="18"/>
      <c r="AS375" s="62"/>
      <c r="AT375" s="10">
        <v>3395.12</v>
      </c>
      <c r="AU375" s="133">
        <f t="shared" si="388"/>
        <v>107.64</v>
      </c>
      <c r="AV375" s="133">
        <f t="shared" si="388"/>
        <v>3021.9279999999999</v>
      </c>
      <c r="AW375" s="63"/>
      <c r="AX375" s="63"/>
      <c r="AY375" s="63"/>
      <c r="AZ375" s="64"/>
      <c r="BA375" s="62"/>
      <c r="BB375" s="5"/>
      <c r="BC375" s="65">
        <v>408.9733820120527</v>
      </c>
      <c r="BD375" s="65">
        <v>0</v>
      </c>
      <c r="BE375" s="65">
        <v>0</v>
      </c>
      <c r="BF375" s="65">
        <v>0</v>
      </c>
      <c r="BG375" s="65">
        <v>0</v>
      </c>
      <c r="BH375" s="65">
        <v>0</v>
      </c>
      <c r="BI375" s="65">
        <v>1423.7550597304516</v>
      </c>
      <c r="BJ375" s="65">
        <v>0</v>
      </c>
      <c r="BK375" s="65">
        <v>11.152893841525399</v>
      </c>
      <c r="BL375" s="65">
        <v>0</v>
      </c>
      <c r="BM375" s="65">
        <v>0</v>
      </c>
      <c r="BN375" s="65">
        <v>0</v>
      </c>
      <c r="BO375" s="65">
        <v>212.18019192</v>
      </c>
      <c r="BP375" s="62"/>
      <c r="BQ375" s="65">
        <v>152.62000563493643</v>
      </c>
      <c r="BR375" s="65">
        <v>199.40301434857821</v>
      </c>
      <c r="BS375" s="65">
        <v>721.53213688070014</v>
      </c>
      <c r="BT375" s="65">
        <v>247.48048552207655</v>
      </c>
      <c r="BU375" s="65">
        <v>266.8874220335307</v>
      </c>
      <c r="BV375" s="144">
        <f t="shared" si="370"/>
        <v>1066.3937742079454</v>
      </c>
      <c r="BW375" s="144">
        <f t="shared" si="371"/>
        <v>2296.2863126353791</v>
      </c>
      <c r="BX375" s="144">
        <f t="shared" si="372"/>
        <v>691.62574693304134</v>
      </c>
      <c r="BY375" s="5"/>
      <c r="BZ375" s="18"/>
      <c r="CA375" s="4"/>
      <c r="CB375" s="5"/>
      <c r="CC375" s="5"/>
      <c r="CD375" s="188">
        <v>16.868963591035975</v>
      </c>
      <c r="CE375" s="5"/>
      <c r="CF375" s="64"/>
      <c r="CG375" s="70"/>
      <c r="CH375" s="70"/>
      <c r="CI375" s="70"/>
      <c r="CJ375" s="63"/>
      <c r="CK375" s="8">
        <f t="shared" si="409"/>
        <v>14239.847389291255</v>
      </c>
      <c r="CL375" s="202">
        <f t="shared" si="389"/>
        <v>40971.440853868509</v>
      </c>
      <c r="CM375" s="202">
        <f t="shared" si="390"/>
        <v>42730.996648626504</v>
      </c>
      <c r="CN375" s="202">
        <f t="shared" si="391"/>
        <v>42730.996648626504</v>
      </c>
      <c r="CO375" s="9">
        <f t="shared" si="392"/>
        <v>42412.589462515651</v>
      </c>
      <c r="CP375" s="9">
        <f t="shared" si="393"/>
        <v>44172.145257273645</v>
      </c>
      <c r="CQ375" s="9">
        <f t="shared" si="394"/>
        <v>36856.349002940653</v>
      </c>
      <c r="CR375" s="202">
        <f t="shared" si="395"/>
        <v>42730.996648626504</v>
      </c>
      <c r="CS375" s="202">
        <f t="shared" si="396"/>
        <v>42730.996648626504</v>
      </c>
      <c r="CT375" s="202">
        <f t="shared" si="397"/>
        <v>42730.996648626504</v>
      </c>
      <c r="CU375" s="203">
        <f t="shared" si="398"/>
        <v>0.74208449318232561</v>
      </c>
      <c r="CV375" s="203">
        <f t="shared" si="399"/>
        <v>0.75005026466145164</v>
      </c>
      <c r="CW375" s="203">
        <f t="shared" si="400"/>
        <v>0.75005026466145164</v>
      </c>
      <c r="CX375" s="19">
        <f t="shared" si="401"/>
        <v>0.74864545674283589</v>
      </c>
      <c r="CY375" s="19">
        <f t="shared" si="402"/>
        <v>0.75621705844803644</v>
      </c>
      <c r="CZ375" s="19">
        <f t="shared" si="403"/>
        <v>0.7213129666251219</v>
      </c>
      <c r="DA375" s="203">
        <f t="shared" si="404"/>
        <v>0.75005026466145164</v>
      </c>
      <c r="DB375" s="203">
        <f t="shared" si="405"/>
        <v>0.75005026466145164</v>
      </c>
      <c r="DC375" s="203">
        <f t="shared" si="406"/>
        <v>0.75005026466145164</v>
      </c>
      <c r="DD375" s="65"/>
      <c r="DE375" s="66"/>
      <c r="DF375" s="66"/>
      <c r="DG375" s="66"/>
      <c r="DH375" s="66"/>
      <c r="DI375" s="66"/>
      <c r="DJ375" s="66"/>
      <c r="DK375" s="70"/>
      <c r="DL375" s="70"/>
      <c r="DM375" s="8">
        <f t="shared" si="407"/>
        <v>0</v>
      </c>
      <c r="DN375" s="8">
        <f t="shared" si="408"/>
        <v>14239.847389291255</v>
      </c>
      <c r="DO375" s="202">
        <f t="shared" si="340"/>
        <v>40971.440853868509</v>
      </c>
      <c r="DP375" s="202">
        <f t="shared" si="341"/>
        <v>42730.996648626504</v>
      </c>
      <c r="DQ375" s="202">
        <f t="shared" si="342"/>
        <v>42730.996648626504</v>
      </c>
      <c r="DR375" s="9">
        <f t="shared" si="343"/>
        <v>42412.589462515651</v>
      </c>
      <c r="DS375" s="9">
        <f t="shared" si="410"/>
        <v>44172.145257273645</v>
      </c>
      <c r="DT375" s="9">
        <f t="shared" si="344"/>
        <v>36856.349002940653</v>
      </c>
      <c r="DU375" s="202">
        <f t="shared" si="345"/>
        <v>42730.996648626504</v>
      </c>
      <c r="DV375" s="202">
        <f t="shared" si="346"/>
        <v>42730.996648626504</v>
      </c>
      <c r="DW375" s="202">
        <f t="shared" si="347"/>
        <v>42730.996648626504</v>
      </c>
      <c r="DX375" s="203">
        <f t="shared" si="348"/>
        <v>0.74208449318232561</v>
      </c>
      <c r="DY375" s="203">
        <f t="shared" si="349"/>
        <v>0.75005026466145164</v>
      </c>
      <c r="DZ375" s="203">
        <f t="shared" si="350"/>
        <v>0.75005026466145164</v>
      </c>
      <c r="EA375" s="19">
        <f t="shared" si="351"/>
        <v>0.74864545674283589</v>
      </c>
      <c r="EB375" s="19">
        <f t="shared" si="411"/>
        <v>0.75621705844803644</v>
      </c>
      <c r="EC375" s="19">
        <f t="shared" si="352"/>
        <v>0.7213129666251219</v>
      </c>
      <c r="ED375" s="203">
        <f t="shared" si="353"/>
        <v>0.75005026466145164</v>
      </c>
      <c r="EE375" s="203">
        <f t="shared" si="354"/>
        <v>0.75005026466145164</v>
      </c>
      <c r="EF375" s="203">
        <f t="shared" si="355"/>
        <v>0.75005026466145164</v>
      </c>
      <c r="EH375" s="58">
        <f t="shared" si="364"/>
        <v>13156.584651492274</v>
      </c>
      <c r="EI375" s="68">
        <f t="shared" si="365"/>
        <v>0.22523773039381131</v>
      </c>
      <c r="EJ375" s="58">
        <f t="shared" si="366"/>
        <v>13156.584651492274</v>
      </c>
      <c r="EK375" s="68">
        <f t="shared" si="365"/>
        <v>0.22523773039381131</v>
      </c>
      <c r="EL375" s="58">
        <f t="shared" si="367"/>
        <v>5940.270904559231</v>
      </c>
      <c r="EM375" s="58">
        <f t="shared" si="368"/>
        <v>6631.8966514922722</v>
      </c>
      <c r="EN375" s="68">
        <f t="shared" si="369"/>
        <v>0.11353655903540351</v>
      </c>
      <c r="EO375" s="139">
        <f t="shared" si="387"/>
        <v>0.28519905910129462</v>
      </c>
      <c r="EP375">
        <f>+(SUM(M375:O375)*EO375*(1-'[1]Tier 3 Data'!$A$2))</f>
        <v>1541.1616672744024</v>
      </c>
    </row>
    <row r="376" spans="1:146" x14ac:dyDescent="0.2">
      <c r="A376" s="43">
        <v>0</v>
      </c>
      <c r="B376" s="43">
        <v>0</v>
      </c>
      <c r="C376" s="43">
        <v>0</v>
      </c>
      <c r="D376" s="70">
        <v>2038</v>
      </c>
      <c r="E376" s="70">
        <v>9</v>
      </c>
      <c r="F376" s="2">
        <v>720</v>
      </c>
      <c r="G376" s="133">
        <f t="shared" si="380"/>
        <v>39549.952617978779</v>
      </c>
      <c r="H376" s="65">
        <v>39549.952617978779</v>
      </c>
      <c r="I376" s="133">
        <f t="shared" si="381"/>
        <v>39549.952617978779</v>
      </c>
      <c r="J376" s="133">
        <f t="shared" si="362"/>
        <v>6555.9868125000039</v>
      </c>
      <c r="K376" s="65">
        <v>6555.9868125000039</v>
      </c>
      <c r="L376" s="133">
        <f t="shared" si="363"/>
        <v>6555.9868125000039</v>
      </c>
      <c r="M376" s="65">
        <v>1305.6369062084025</v>
      </c>
      <c r="N376" s="65">
        <v>2811.4531700307239</v>
      </c>
      <c r="O376" s="65">
        <v>847.42248679749366</v>
      </c>
      <c r="P376" s="200">
        <f t="shared" si="356"/>
        <v>31504.612036567785</v>
      </c>
      <c r="Q376" s="200">
        <f t="shared" si="357"/>
        <v>31504.612036567785</v>
      </c>
      <c r="R376" s="200">
        <f t="shared" si="358"/>
        <v>31504.612036567785</v>
      </c>
      <c r="S376" s="133">
        <f t="shared" si="382"/>
        <v>32739.739059439526</v>
      </c>
      <c r="T376" s="133">
        <f t="shared" si="383"/>
        <v>32739.739059439526</v>
      </c>
      <c r="U376" s="133">
        <f t="shared" si="384"/>
        <v>32739.739059439526</v>
      </c>
      <c r="V376" s="200">
        <f t="shared" si="359"/>
        <v>31504.612036567785</v>
      </c>
      <c r="W376" s="200">
        <f t="shared" si="360"/>
        <v>31504.612036567785</v>
      </c>
      <c r="X376" s="200">
        <f t="shared" si="361"/>
        <v>31504.612036567785</v>
      </c>
      <c r="Y376" s="65">
        <v>16928.693930565769</v>
      </c>
      <c r="Z376" s="65">
        <v>18140.341558794968</v>
      </c>
      <c r="AA376" s="65">
        <v>11494.84408028576</v>
      </c>
      <c r="AB376" s="200">
        <f t="shared" si="412"/>
        <v>48433.30596713355</v>
      </c>
      <c r="AC376" s="200">
        <f t="shared" si="374"/>
        <v>49644.953595362749</v>
      </c>
      <c r="AD376" s="200">
        <f t="shared" si="375"/>
        <v>49644.953595362749</v>
      </c>
      <c r="AE376" s="199">
        <f t="shared" si="413"/>
        <v>49668.432990005298</v>
      </c>
      <c r="AF376" s="199">
        <f t="shared" si="376"/>
        <v>50880.080618234497</v>
      </c>
      <c r="AG376" s="199">
        <f t="shared" si="414"/>
        <v>44234.583139725284</v>
      </c>
      <c r="AH376" s="199">
        <f t="shared" si="385"/>
        <v>47557.331878979894</v>
      </c>
      <c r="AI376" s="200">
        <f t="shared" si="377"/>
        <v>49644.953595362749</v>
      </c>
      <c r="AJ376" s="200">
        <f t="shared" si="378"/>
        <v>49644.953595362749</v>
      </c>
      <c r="AK376" s="200">
        <f t="shared" si="379"/>
        <v>49644.953595362749</v>
      </c>
      <c r="AL376" s="4"/>
      <c r="AM376" s="4"/>
      <c r="AN376" s="4"/>
      <c r="AO376" s="4"/>
      <c r="AP376" s="63"/>
      <c r="AQ376" s="18"/>
      <c r="AR376" s="18"/>
      <c r="AS376" s="62"/>
      <c r="AT376" s="10">
        <v>3285.6</v>
      </c>
      <c r="AU376" s="133">
        <f t="shared" si="388"/>
        <v>102.375</v>
      </c>
      <c r="AV376" s="133">
        <f t="shared" si="388"/>
        <v>2969.6280000000002</v>
      </c>
      <c r="AW376" s="63"/>
      <c r="AX376" s="63"/>
      <c r="AY376" s="63"/>
      <c r="AZ376" s="64"/>
      <c r="BA376" s="62"/>
      <c r="BB376" s="5"/>
      <c r="BC376" s="65">
        <v>380.5275417826291</v>
      </c>
      <c r="BD376" s="65">
        <v>0</v>
      </c>
      <c r="BE376" s="65">
        <v>0</v>
      </c>
      <c r="BF376" s="65">
        <v>0</v>
      </c>
      <c r="BG376" s="65">
        <v>0</v>
      </c>
      <c r="BH376" s="65">
        <v>0</v>
      </c>
      <c r="BI376" s="65">
        <v>1324.7268326226722</v>
      </c>
      <c r="BJ376" s="65">
        <v>0</v>
      </c>
      <c r="BK376" s="65">
        <v>13.355863258351745</v>
      </c>
      <c r="BL376" s="65">
        <v>0</v>
      </c>
      <c r="BM376" s="65">
        <v>0</v>
      </c>
      <c r="BN376" s="65">
        <v>0</v>
      </c>
      <c r="BO376" s="65">
        <v>205.33566960000002</v>
      </c>
      <c r="BP376" s="62"/>
      <c r="BQ376" s="65">
        <v>121.85479232837193</v>
      </c>
      <c r="BR376" s="65">
        <v>159.2073030451547</v>
      </c>
      <c r="BS376" s="65">
        <v>576.08550326768409</v>
      </c>
      <c r="BT376" s="65">
        <v>213.1562906564522</v>
      </c>
      <c r="BU376" s="65">
        <v>219.13577427144722</v>
      </c>
      <c r="BV376" s="144">
        <f t="shared" si="370"/>
        <v>913.94583434588162</v>
      </c>
      <c r="BW376" s="144">
        <f t="shared" si="371"/>
        <v>1968.0172190215067</v>
      </c>
      <c r="BX376" s="144">
        <f t="shared" si="372"/>
        <v>593.19574075824551</v>
      </c>
      <c r="BY376" s="5"/>
      <c r="BZ376" s="18"/>
      <c r="CA376" s="4"/>
      <c r="CB376" s="5"/>
      <c r="CC376" s="5"/>
      <c r="CD376" s="188">
        <v>2.2241810746462862</v>
      </c>
      <c r="CE376" s="5"/>
      <c r="CF376" s="64"/>
      <c r="CG376" s="70"/>
      <c r="CH376" s="70"/>
      <c r="CI376" s="70"/>
      <c r="CJ376" s="63"/>
      <c r="CK376" s="8">
        <f t="shared" si="409"/>
        <v>13048.37154603304</v>
      </c>
      <c r="CL376" s="202">
        <f t="shared" si="389"/>
        <v>35384.934421100508</v>
      </c>
      <c r="CM376" s="202">
        <f t="shared" si="390"/>
        <v>36596.582049329707</v>
      </c>
      <c r="CN376" s="202">
        <f t="shared" si="391"/>
        <v>36596.582049329707</v>
      </c>
      <c r="CO376" s="9">
        <f t="shared" si="392"/>
        <v>36620.061443972256</v>
      </c>
      <c r="CP376" s="9">
        <f t="shared" si="393"/>
        <v>37831.709072201455</v>
      </c>
      <c r="CQ376" s="9">
        <f t="shared" si="394"/>
        <v>31186.211593692242</v>
      </c>
      <c r="CR376" s="202">
        <f t="shared" si="395"/>
        <v>36596.582049329707</v>
      </c>
      <c r="CS376" s="202">
        <f t="shared" si="396"/>
        <v>36596.582049329707</v>
      </c>
      <c r="CT376" s="202">
        <f t="shared" si="397"/>
        <v>36596.582049329707</v>
      </c>
      <c r="CU376" s="203">
        <f t="shared" si="398"/>
        <v>0.73059093767236205</v>
      </c>
      <c r="CV376" s="203">
        <f t="shared" si="399"/>
        <v>0.73716620520213627</v>
      </c>
      <c r="CW376" s="203">
        <f t="shared" si="400"/>
        <v>0.73716620520213627</v>
      </c>
      <c r="CX376" s="19">
        <f t="shared" si="401"/>
        <v>0.73729045269741555</v>
      </c>
      <c r="CY376" s="19">
        <f t="shared" si="402"/>
        <v>0.74354656306584654</v>
      </c>
      <c r="CZ376" s="19">
        <f t="shared" si="403"/>
        <v>0.70501877445489414</v>
      </c>
      <c r="DA376" s="203">
        <f t="shared" si="404"/>
        <v>0.73716620520213627</v>
      </c>
      <c r="DB376" s="203">
        <f t="shared" si="405"/>
        <v>0.73716620520213627</v>
      </c>
      <c r="DC376" s="203">
        <f t="shared" si="406"/>
        <v>0.73716620520213627</v>
      </c>
      <c r="DD376" s="65"/>
      <c r="DE376" s="66"/>
      <c r="DF376" s="66"/>
      <c r="DG376" s="66"/>
      <c r="DH376" s="66"/>
      <c r="DI376" s="66"/>
      <c r="DJ376" s="66"/>
      <c r="DK376" s="70"/>
      <c r="DL376" s="70"/>
      <c r="DM376" s="8">
        <f t="shared" si="407"/>
        <v>0</v>
      </c>
      <c r="DN376" s="8">
        <f t="shared" si="408"/>
        <v>13048.37154603304</v>
      </c>
      <c r="DO376" s="202">
        <f t="shared" ref="DO376:DO439" si="415">+AB376-$DN376</f>
        <v>35384.934421100508</v>
      </c>
      <c r="DP376" s="202">
        <f t="shared" ref="DP376:DP439" si="416">+AC376-$DN376</f>
        <v>36596.582049329707</v>
      </c>
      <c r="DQ376" s="202">
        <f t="shared" ref="DQ376:DQ439" si="417">+AD376-$DN376</f>
        <v>36596.582049329707</v>
      </c>
      <c r="DR376" s="9">
        <f t="shared" ref="DR376:DR439" si="418">+AE376-$DN376</f>
        <v>36620.061443972256</v>
      </c>
      <c r="DS376" s="9">
        <f t="shared" si="410"/>
        <v>37831.709072201455</v>
      </c>
      <c r="DT376" s="9">
        <f t="shared" ref="DT376:DT439" si="419">+AG376-$DN376</f>
        <v>31186.211593692242</v>
      </c>
      <c r="DU376" s="202">
        <f t="shared" ref="DU376:DU439" si="420">+AI376-$DN376</f>
        <v>36596.582049329707</v>
      </c>
      <c r="DV376" s="202">
        <f t="shared" ref="DV376:DV439" si="421">+AJ376-$DN376</f>
        <v>36596.582049329707</v>
      </c>
      <c r="DW376" s="202">
        <f t="shared" ref="DW376:DW439" si="422">+AK376-$DN376</f>
        <v>36596.582049329707</v>
      </c>
      <c r="DX376" s="203">
        <f t="shared" ref="DX376:DX439" si="423">+DO376/AB376</f>
        <v>0.73059093767236205</v>
      </c>
      <c r="DY376" s="203">
        <f t="shared" ref="DY376:DY439" si="424">+DP376/AC376</f>
        <v>0.73716620520213627</v>
      </c>
      <c r="DZ376" s="203">
        <f t="shared" ref="DZ376:DZ439" si="425">+DQ376/AD376</f>
        <v>0.73716620520213627</v>
      </c>
      <c r="EA376" s="19">
        <f t="shared" ref="EA376:EA439" si="426">+DR376/AE376</f>
        <v>0.73729045269741555</v>
      </c>
      <c r="EB376" s="19">
        <f t="shared" si="411"/>
        <v>0.74354656306584654</v>
      </c>
      <c r="EC376" s="19">
        <f t="shared" ref="EC376:EC439" si="427">+DT376/AG376</f>
        <v>0.70501877445489414</v>
      </c>
      <c r="ED376" s="203">
        <f t="shared" ref="ED376:ED439" si="428">+DU376/AI376</f>
        <v>0.73716620520213627</v>
      </c>
      <c r="EE376" s="203">
        <f t="shared" ref="EE376:EE439" si="429">+DV376/AJ376</f>
        <v>0.73716620520213627</v>
      </c>
      <c r="EF376" s="203">
        <f t="shared" ref="EF376:EF439" si="430">+DW376/AK376</f>
        <v>0.73716620520213627</v>
      </c>
      <c r="EH376" s="58">
        <f t="shared" si="364"/>
        <v>12132.201530612514</v>
      </c>
      <c r="EI376" s="68">
        <f t="shared" si="365"/>
        <v>0.23844697931285419</v>
      </c>
      <c r="EJ376" s="58">
        <f t="shared" si="366"/>
        <v>12132.201530612514</v>
      </c>
      <c r="EK376" s="68">
        <f t="shared" si="365"/>
        <v>0.23844697931285419</v>
      </c>
      <c r="EL376" s="58">
        <f t="shared" si="367"/>
        <v>5181.4027898542699</v>
      </c>
      <c r="EM376" s="58">
        <f t="shared" si="368"/>
        <v>5774.5985306125158</v>
      </c>
      <c r="EN376" s="68">
        <f t="shared" si="369"/>
        <v>0.11349428814668593</v>
      </c>
      <c r="EO376" s="139">
        <f t="shared" si="387"/>
        <v>0.31860645638858931</v>
      </c>
      <c r="EP376">
        <f>+(SUM(M376:O376)*EO376*(1-'[1]Tier 3 Data'!$A$2))</f>
        <v>1475.7501297935469</v>
      </c>
    </row>
    <row r="377" spans="1:146" x14ac:dyDescent="0.2">
      <c r="A377" s="43">
        <v>0</v>
      </c>
      <c r="B377" s="43">
        <v>0</v>
      </c>
      <c r="C377" s="43">
        <v>0</v>
      </c>
      <c r="D377" s="70">
        <v>2038</v>
      </c>
      <c r="E377" s="70">
        <v>10</v>
      </c>
      <c r="F377" s="2">
        <v>744</v>
      </c>
      <c r="G377" s="133">
        <f t="shared" si="380"/>
        <v>41560.455307587574</v>
      </c>
      <c r="H377" s="65">
        <v>41560.455307587574</v>
      </c>
      <c r="I377" s="133">
        <f t="shared" si="381"/>
        <v>41560.455307587574</v>
      </c>
      <c r="J377" s="133">
        <f t="shared" si="362"/>
        <v>6595.6046250000036</v>
      </c>
      <c r="K377" s="65">
        <v>6595.6046250000036</v>
      </c>
      <c r="L377" s="133">
        <f t="shared" si="363"/>
        <v>6595.6046250000036</v>
      </c>
      <c r="M377" s="65">
        <v>957.87478015852639</v>
      </c>
      <c r="N377" s="65">
        <v>2062.6102665784465</v>
      </c>
      <c r="O377" s="65">
        <v>622.17349795355778</v>
      </c>
      <c r="P377" s="200">
        <f t="shared" si="356"/>
        <v>33872.053119180404</v>
      </c>
      <c r="Q377" s="200">
        <f t="shared" si="357"/>
        <v>33872.053119180404</v>
      </c>
      <c r="R377" s="200">
        <f t="shared" si="358"/>
        <v>33872.053119180404</v>
      </c>
      <c r="S377" s="133">
        <f t="shared" si="382"/>
        <v>34778.1986332015</v>
      </c>
      <c r="T377" s="133">
        <f t="shared" si="383"/>
        <v>34778.1986332015</v>
      </c>
      <c r="U377" s="133">
        <f t="shared" si="384"/>
        <v>34778.1986332015</v>
      </c>
      <c r="V377" s="200">
        <f t="shared" si="359"/>
        <v>33872.053119180404</v>
      </c>
      <c r="W377" s="200">
        <f t="shared" si="360"/>
        <v>33872.053119180404</v>
      </c>
      <c r="X377" s="200">
        <f t="shared" si="361"/>
        <v>33872.053119180404</v>
      </c>
      <c r="Y377" s="65">
        <v>18397.134938981315</v>
      </c>
      <c r="Z377" s="65">
        <v>20999.539895540594</v>
      </c>
      <c r="AA377" s="65">
        <v>12814.150617612126</v>
      </c>
      <c r="AB377" s="200">
        <f t="shared" si="412"/>
        <v>52269.188058161715</v>
      </c>
      <c r="AC377" s="200">
        <f t="shared" si="374"/>
        <v>54871.593014721002</v>
      </c>
      <c r="AD377" s="200">
        <f t="shared" si="375"/>
        <v>54871.593014721002</v>
      </c>
      <c r="AE377" s="199">
        <f t="shared" si="413"/>
        <v>53175.333572182819</v>
      </c>
      <c r="AF377" s="199">
        <f t="shared" si="376"/>
        <v>55777.738528742091</v>
      </c>
      <c r="AG377" s="199">
        <f t="shared" si="414"/>
        <v>47592.349250813626</v>
      </c>
      <c r="AH377" s="199">
        <f t="shared" si="385"/>
        <v>51685.043889777859</v>
      </c>
      <c r="AI377" s="200">
        <f t="shared" si="377"/>
        <v>54871.593014721002</v>
      </c>
      <c r="AJ377" s="200">
        <f t="shared" si="378"/>
        <v>54871.593014721002</v>
      </c>
      <c r="AK377" s="200">
        <f t="shared" si="379"/>
        <v>54871.593014721002</v>
      </c>
      <c r="AL377" s="4"/>
      <c r="AM377" s="4"/>
      <c r="AN377" s="4"/>
      <c r="AO377" s="4"/>
      <c r="AP377" s="63"/>
      <c r="AQ377" s="18"/>
      <c r="AR377" s="18"/>
      <c r="AS377" s="62"/>
      <c r="AT377" s="10">
        <v>3395.12</v>
      </c>
      <c r="AU377" s="133">
        <f t="shared" si="388"/>
        <v>118.17</v>
      </c>
      <c r="AV377" s="133">
        <f t="shared" si="388"/>
        <v>3225.1860000000001</v>
      </c>
      <c r="AW377" s="63"/>
      <c r="AX377" s="63"/>
      <c r="AY377" s="63"/>
      <c r="AZ377" s="64"/>
      <c r="BA377" s="62"/>
      <c r="BB377" s="5"/>
      <c r="BC377" s="65">
        <v>240.82670712219686</v>
      </c>
      <c r="BD377" s="65">
        <v>0</v>
      </c>
      <c r="BE377" s="65">
        <v>0</v>
      </c>
      <c r="BF377" s="65">
        <v>0</v>
      </c>
      <c r="BG377" s="65">
        <v>0</v>
      </c>
      <c r="BH377" s="65">
        <v>0</v>
      </c>
      <c r="BI377" s="65">
        <v>970.36856253094334</v>
      </c>
      <c r="BJ377" s="65">
        <v>0</v>
      </c>
      <c r="BK377" s="65">
        <v>16.565610887239799</v>
      </c>
      <c r="BL377" s="65">
        <v>0</v>
      </c>
      <c r="BM377" s="65">
        <v>0</v>
      </c>
      <c r="BN377" s="65">
        <v>0</v>
      </c>
      <c r="BO377" s="65">
        <v>212.18019192</v>
      </c>
      <c r="BP377" s="62"/>
      <c r="BQ377" s="65">
        <v>96.143562897382722</v>
      </c>
      <c r="BR377" s="65">
        <v>125.61470202854962</v>
      </c>
      <c r="BS377" s="65">
        <v>454.5319672926459</v>
      </c>
      <c r="BT377" s="65">
        <v>150.03896590053313</v>
      </c>
      <c r="BU377" s="65">
        <v>149.59970208438665</v>
      </c>
      <c r="BV377" s="144">
        <f t="shared" si="370"/>
        <v>670.51234611096845</v>
      </c>
      <c r="BW377" s="144">
        <f t="shared" si="371"/>
        <v>1443.8271866049124</v>
      </c>
      <c r="BX377" s="144">
        <f t="shared" si="372"/>
        <v>435.52144856749044</v>
      </c>
      <c r="BY377" s="5"/>
      <c r="BZ377" s="18"/>
      <c r="CA377" s="4"/>
      <c r="CB377" s="5"/>
      <c r="CC377" s="5"/>
      <c r="CD377" s="188">
        <v>0</v>
      </c>
      <c r="CE377" s="5"/>
      <c r="CF377" s="64"/>
      <c r="CG377" s="70"/>
      <c r="CH377" s="70"/>
      <c r="CI377" s="70"/>
      <c r="CJ377" s="63"/>
      <c r="CK377" s="8">
        <f t="shared" si="409"/>
        <v>11704.206953947249</v>
      </c>
      <c r="CL377" s="202">
        <f t="shared" si="389"/>
        <v>40564.981104214465</v>
      </c>
      <c r="CM377" s="202">
        <f t="shared" si="390"/>
        <v>43167.386060773752</v>
      </c>
      <c r="CN377" s="202">
        <f t="shared" si="391"/>
        <v>43167.386060773752</v>
      </c>
      <c r="CO377" s="9">
        <f t="shared" si="392"/>
        <v>41471.126618235568</v>
      </c>
      <c r="CP377" s="9">
        <f t="shared" si="393"/>
        <v>44073.531574794841</v>
      </c>
      <c r="CQ377" s="9">
        <f t="shared" si="394"/>
        <v>35888.142296866376</v>
      </c>
      <c r="CR377" s="202">
        <f t="shared" si="395"/>
        <v>43167.386060773752</v>
      </c>
      <c r="CS377" s="202">
        <f t="shared" si="396"/>
        <v>43167.386060773752</v>
      </c>
      <c r="CT377" s="202">
        <f t="shared" si="397"/>
        <v>43167.386060773752</v>
      </c>
      <c r="CU377" s="203">
        <f t="shared" si="398"/>
        <v>0.77607827118103345</v>
      </c>
      <c r="CV377" s="203">
        <f t="shared" si="399"/>
        <v>0.78669824747374772</v>
      </c>
      <c r="CW377" s="203">
        <f t="shared" si="400"/>
        <v>0.78669824747374772</v>
      </c>
      <c r="CX377" s="19">
        <f t="shared" si="401"/>
        <v>0.77989405674231671</v>
      </c>
      <c r="CY377" s="19">
        <f t="shared" si="402"/>
        <v>0.7901634726923159</v>
      </c>
      <c r="CZ377" s="19">
        <f t="shared" si="403"/>
        <v>0.7540737715579956</v>
      </c>
      <c r="DA377" s="203">
        <f t="shared" si="404"/>
        <v>0.78669824747374772</v>
      </c>
      <c r="DB377" s="203">
        <f t="shared" si="405"/>
        <v>0.78669824747374772</v>
      </c>
      <c r="DC377" s="203">
        <f t="shared" si="406"/>
        <v>0.78669824747374772</v>
      </c>
      <c r="DD377" s="65"/>
      <c r="DE377" s="66"/>
      <c r="DF377" s="66"/>
      <c r="DG377" s="66"/>
      <c r="DH377" s="66"/>
      <c r="DI377" s="66"/>
      <c r="DJ377" s="66"/>
      <c r="DK377" s="70"/>
      <c r="DL377" s="70"/>
      <c r="DM377" s="8">
        <f t="shared" si="407"/>
        <v>0</v>
      </c>
      <c r="DN377" s="8">
        <f t="shared" si="408"/>
        <v>11704.206953947249</v>
      </c>
      <c r="DO377" s="202">
        <f t="shared" si="415"/>
        <v>40564.981104214465</v>
      </c>
      <c r="DP377" s="202">
        <f t="shared" si="416"/>
        <v>43167.386060773752</v>
      </c>
      <c r="DQ377" s="202">
        <f t="shared" si="417"/>
        <v>43167.386060773752</v>
      </c>
      <c r="DR377" s="9">
        <f t="shared" si="418"/>
        <v>41471.126618235568</v>
      </c>
      <c r="DS377" s="9">
        <f t="shared" si="410"/>
        <v>44073.531574794841</v>
      </c>
      <c r="DT377" s="9">
        <f t="shared" si="419"/>
        <v>35888.142296866376</v>
      </c>
      <c r="DU377" s="202">
        <f t="shared" si="420"/>
        <v>43167.386060773752</v>
      </c>
      <c r="DV377" s="202">
        <f t="shared" si="421"/>
        <v>43167.386060773752</v>
      </c>
      <c r="DW377" s="202">
        <f t="shared" si="422"/>
        <v>43167.386060773752</v>
      </c>
      <c r="DX377" s="203">
        <f t="shared" si="423"/>
        <v>0.77607827118103345</v>
      </c>
      <c r="DY377" s="203">
        <f t="shared" si="424"/>
        <v>0.78669824747374772</v>
      </c>
      <c r="DZ377" s="203">
        <f t="shared" si="425"/>
        <v>0.78669824747374772</v>
      </c>
      <c r="EA377" s="19">
        <f t="shared" si="426"/>
        <v>0.77989405674231671</v>
      </c>
      <c r="EB377" s="19">
        <f t="shared" si="411"/>
        <v>0.7901634726923159</v>
      </c>
      <c r="EC377" s="19">
        <f t="shared" si="427"/>
        <v>0.7540737715579956</v>
      </c>
      <c r="ED377" s="203">
        <f t="shared" si="428"/>
        <v>0.78669824747374772</v>
      </c>
      <c r="EE377" s="203">
        <f t="shared" si="429"/>
        <v>0.78669824747374772</v>
      </c>
      <c r="EF377" s="203">
        <f t="shared" si="430"/>
        <v>0.78669824747374772</v>
      </c>
      <c r="EH377" s="58">
        <f t="shared" si="364"/>
        <v>11033.69460783628</v>
      </c>
      <c r="EI377" s="68">
        <f t="shared" si="365"/>
        <v>0.1978153811695082</v>
      </c>
      <c r="EJ377" s="58">
        <f t="shared" si="366"/>
        <v>11033.69460783628</v>
      </c>
      <c r="EK377" s="68">
        <f t="shared" si="365"/>
        <v>0.1978153811695082</v>
      </c>
      <c r="EL377" s="58">
        <f t="shared" si="367"/>
        <v>3859.6971592687905</v>
      </c>
      <c r="EM377" s="58">
        <f t="shared" si="368"/>
        <v>4295.2186078362811</v>
      </c>
      <c r="EN377" s="68">
        <f t="shared" si="369"/>
        <v>7.7005965482501021E-2</v>
      </c>
      <c r="EO377" s="139">
        <f t="shared" si="387"/>
        <v>0.35739486552628164</v>
      </c>
      <c r="EP377">
        <f>+(SUM(M377:O377)*EO377*(1-'[1]Tier 3 Data'!$A$2))</f>
        <v>1214.6423408683982</v>
      </c>
    </row>
    <row r="378" spans="1:146" x14ac:dyDescent="0.2">
      <c r="A378" s="43">
        <v>0</v>
      </c>
      <c r="B378" s="43">
        <v>0</v>
      </c>
      <c r="C378" s="43">
        <v>0</v>
      </c>
      <c r="D378" s="70">
        <v>2038</v>
      </c>
      <c r="E378" s="70">
        <v>11</v>
      </c>
      <c r="F378" s="2">
        <v>721</v>
      </c>
      <c r="G378" s="133">
        <f t="shared" si="380"/>
        <v>43976.787513817952</v>
      </c>
      <c r="H378" s="65">
        <v>43976.787513817952</v>
      </c>
      <c r="I378" s="133">
        <f t="shared" si="381"/>
        <v>43976.787513817952</v>
      </c>
      <c r="J378" s="133">
        <f t="shared" si="362"/>
        <v>6635.2224375000033</v>
      </c>
      <c r="K378" s="65">
        <v>6635.2224375000033</v>
      </c>
      <c r="L378" s="133">
        <f t="shared" si="363"/>
        <v>6635.2224375000033</v>
      </c>
      <c r="M378" s="65">
        <v>391.15101618171565</v>
      </c>
      <c r="N378" s="65">
        <v>842.27303867993726</v>
      </c>
      <c r="O378" s="65">
        <v>254.30790324896893</v>
      </c>
      <c r="P378" s="200">
        <f t="shared" si="356"/>
        <v>36895.245488884764</v>
      </c>
      <c r="Q378" s="200">
        <f t="shared" si="357"/>
        <v>36895.245488884764</v>
      </c>
      <c r="R378" s="200">
        <f t="shared" si="358"/>
        <v>36895.245488884764</v>
      </c>
      <c r="S378" s="133">
        <f t="shared" si="382"/>
        <v>37265.272705343261</v>
      </c>
      <c r="T378" s="133">
        <f t="shared" si="383"/>
        <v>37265.272705343261</v>
      </c>
      <c r="U378" s="133">
        <f t="shared" si="384"/>
        <v>37265.272705343261</v>
      </c>
      <c r="V378" s="200">
        <f t="shared" si="359"/>
        <v>36895.245488884764</v>
      </c>
      <c r="W378" s="200">
        <f t="shared" si="360"/>
        <v>36895.245488884764</v>
      </c>
      <c r="X378" s="200">
        <f t="shared" si="361"/>
        <v>36895.245488884764</v>
      </c>
      <c r="Y378" s="65">
        <v>25178.322586381673</v>
      </c>
      <c r="Z378" s="65">
        <v>31983.950418638105</v>
      </c>
      <c r="AA378" s="65">
        <v>18296.963067675293</v>
      </c>
      <c r="AB378" s="200">
        <f t="shared" si="412"/>
        <v>62073.568075266434</v>
      </c>
      <c r="AC378" s="200">
        <f t="shared" si="374"/>
        <v>68879.195907522866</v>
      </c>
      <c r="AD378" s="200">
        <f t="shared" si="375"/>
        <v>68879.195907522866</v>
      </c>
      <c r="AE378" s="199">
        <f t="shared" si="413"/>
        <v>62443.595291724938</v>
      </c>
      <c r="AF378" s="199">
        <f t="shared" si="376"/>
        <v>69249.22312398137</v>
      </c>
      <c r="AG378" s="199">
        <f t="shared" si="414"/>
        <v>55562.235773018554</v>
      </c>
      <c r="AH378" s="199">
        <f t="shared" si="385"/>
        <v>62405.729448499958</v>
      </c>
      <c r="AI378" s="200">
        <f t="shared" si="377"/>
        <v>68879.195907522866</v>
      </c>
      <c r="AJ378" s="200">
        <f t="shared" si="378"/>
        <v>68879.195907522866</v>
      </c>
      <c r="AK378" s="200">
        <f t="shared" si="379"/>
        <v>68879.195907522866</v>
      </c>
      <c r="AL378" s="4"/>
      <c r="AM378" s="4"/>
      <c r="AN378" s="4"/>
      <c r="AO378" s="4"/>
      <c r="AP378" s="63"/>
      <c r="AQ378" s="18"/>
      <c r="AR378" s="18"/>
      <c r="AS378" s="18"/>
      <c r="AT378" s="18">
        <v>0</v>
      </c>
      <c r="AU378" s="133">
        <f t="shared" si="388"/>
        <v>104.364</v>
      </c>
      <c r="AV378" s="133">
        <f t="shared" si="388"/>
        <v>3268.3739999999998</v>
      </c>
      <c r="AW378" s="63"/>
      <c r="AX378" s="63"/>
      <c r="AY378" s="63"/>
      <c r="AZ378" s="64"/>
      <c r="BA378" s="62"/>
      <c r="BB378" s="5"/>
      <c r="BC378" s="65">
        <v>176.26694151048039</v>
      </c>
      <c r="BD378" s="65">
        <v>0</v>
      </c>
      <c r="BE378" s="65">
        <v>0</v>
      </c>
      <c r="BF378" s="65">
        <v>0</v>
      </c>
      <c r="BG378" s="65">
        <v>0</v>
      </c>
      <c r="BH378" s="65">
        <v>0</v>
      </c>
      <c r="BI378" s="65">
        <v>710.23642144665519</v>
      </c>
      <c r="BJ378" s="65">
        <v>0</v>
      </c>
      <c r="BK378" s="65">
        <v>19.844702933795372</v>
      </c>
      <c r="BL378" s="65">
        <v>0</v>
      </c>
      <c r="BM378" s="65">
        <v>0</v>
      </c>
      <c r="BN378" s="65">
        <v>0</v>
      </c>
      <c r="BO378" s="65">
        <v>205.33566960000002</v>
      </c>
      <c r="BP378" s="62"/>
      <c r="BQ378" s="65">
        <v>59.260996802407142</v>
      </c>
      <c r="BR378" s="65">
        <v>77.426424832286131</v>
      </c>
      <c r="BS378" s="65">
        <v>280.16454024212459</v>
      </c>
      <c r="BT378" s="65">
        <v>103.48823916082826</v>
      </c>
      <c r="BU378" s="65">
        <v>115.0971842530919</v>
      </c>
      <c r="BV378" s="144">
        <f t="shared" si="370"/>
        <v>273.80571132720092</v>
      </c>
      <c r="BW378" s="144">
        <f t="shared" si="371"/>
        <v>589.59112707595602</v>
      </c>
      <c r="BX378" s="144">
        <f t="shared" si="372"/>
        <v>178.01553227427823</v>
      </c>
      <c r="BY378" s="5"/>
      <c r="BZ378" s="18"/>
      <c r="CA378" s="4"/>
      <c r="CB378" s="5"/>
      <c r="CC378" s="5"/>
      <c r="CD378" s="188">
        <v>3.0642236760841479</v>
      </c>
      <c r="CE378" s="5"/>
      <c r="CF378" s="64"/>
      <c r="CG378" s="70"/>
      <c r="CH378" s="70"/>
      <c r="CI378" s="70"/>
      <c r="CJ378" s="63"/>
      <c r="CK378" s="8">
        <f t="shared" si="409"/>
        <v>6164.3357151351884</v>
      </c>
      <c r="CL378" s="202">
        <f t="shared" si="389"/>
        <v>55909.232360131246</v>
      </c>
      <c r="CM378" s="202">
        <f t="shared" si="390"/>
        <v>62714.860192387678</v>
      </c>
      <c r="CN378" s="202">
        <f t="shared" si="391"/>
        <v>62714.860192387678</v>
      </c>
      <c r="CO378" s="9">
        <f t="shared" si="392"/>
        <v>56279.259576589749</v>
      </c>
      <c r="CP378" s="9">
        <f t="shared" si="393"/>
        <v>63084.887408846182</v>
      </c>
      <c r="CQ378" s="9">
        <f t="shared" si="394"/>
        <v>49397.900057883366</v>
      </c>
      <c r="CR378" s="202">
        <f t="shared" si="395"/>
        <v>62714.860192387678</v>
      </c>
      <c r="CS378" s="202">
        <f t="shared" si="396"/>
        <v>62714.860192387678</v>
      </c>
      <c r="CT378" s="202">
        <f t="shared" si="397"/>
        <v>62714.860192387678</v>
      </c>
      <c r="CU378" s="203">
        <f t="shared" si="398"/>
        <v>0.90069306620717038</v>
      </c>
      <c r="CV378" s="203">
        <f t="shared" si="399"/>
        <v>0.91050511502179232</v>
      </c>
      <c r="CW378" s="203">
        <f t="shared" si="400"/>
        <v>0.91050511502179232</v>
      </c>
      <c r="CX378" s="19">
        <f t="shared" si="401"/>
        <v>0.90128153758065099</v>
      </c>
      <c r="CY378" s="19">
        <f t="shared" si="402"/>
        <v>0.910983323176077</v>
      </c>
      <c r="CZ378" s="19">
        <f t="shared" si="403"/>
        <v>0.8890552975528635</v>
      </c>
      <c r="DA378" s="203">
        <f t="shared" si="404"/>
        <v>0.91050511502179232</v>
      </c>
      <c r="DB378" s="203">
        <f t="shared" si="405"/>
        <v>0.91050511502179232</v>
      </c>
      <c r="DC378" s="203">
        <f t="shared" si="406"/>
        <v>0.91050511502179232</v>
      </c>
      <c r="DD378" s="65"/>
      <c r="DE378" s="66"/>
      <c r="DF378" s="66"/>
      <c r="DG378" s="66"/>
      <c r="DH378" s="66"/>
      <c r="DI378" s="66"/>
      <c r="DJ378" s="66"/>
      <c r="DK378" s="70"/>
      <c r="DL378" s="70"/>
      <c r="DM378" s="8">
        <f t="shared" si="407"/>
        <v>0</v>
      </c>
      <c r="DN378" s="8">
        <f t="shared" si="408"/>
        <v>6164.3357151351884</v>
      </c>
      <c r="DO378" s="202">
        <f t="shared" si="415"/>
        <v>55909.232360131246</v>
      </c>
      <c r="DP378" s="202">
        <f t="shared" si="416"/>
        <v>62714.860192387678</v>
      </c>
      <c r="DQ378" s="202">
        <f t="shared" si="417"/>
        <v>62714.860192387678</v>
      </c>
      <c r="DR378" s="9">
        <f t="shared" si="418"/>
        <v>56279.259576589749</v>
      </c>
      <c r="DS378" s="9">
        <f t="shared" si="410"/>
        <v>63084.887408846182</v>
      </c>
      <c r="DT378" s="9">
        <f t="shared" si="419"/>
        <v>49397.900057883366</v>
      </c>
      <c r="DU378" s="202">
        <f t="shared" si="420"/>
        <v>62714.860192387678</v>
      </c>
      <c r="DV378" s="202">
        <f t="shared" si="421"/>
        <v>62714.860192387678</v>
      </c>
      <c r="DW378" s="202">
        <f t="shared" si="422"/>
        <v>62714.860192387678</v>
      </c>
      <c r="DX378" s="203">
        <f t="shared" si="423"/>
        <v>0.90069306620717038</v>
      </c>
      <c r="DY378" s="203">
        <f t="shared" si="424"/>
        <v>0.91050511502179232</v>
      </c>
      <c r="DZ378" s="203">
        <f t="shared" si="425"/>
        <v>0.91050511502179232</v>
      </c>
      <c r="EA378" s="19">
        <f t="shared" si="426"/>
        <v>0.90128153758065099</v>
      </c>
      <c r="EB378" s="19">
        <f t="shared" si="411"/>
        <v>0.910983323176077</v>
      </c>
      <c r="EC378" s="19">
        <f t="shared" si="427"/>
        <v>0.8890552975528635</v>
      </c>
      <c r="ED378" s="203">
        <f t="shared" si="428"/>
        <v>0.91050511502179232</v>
      </c>
      <c r="EE378" s="203">
        <f t="shared" si="429"/>
        <v>0.91050511502179232</v>
      </c>
      <c r="EF378" s="203">
        <f t="shared" si="430"/>
        <v>0.91050511502179232</v>
      </c>
      <c r="EH378" s="58">
        <f t="shared" si="364"/>
        <v>5887.4657801319036</v>
      </c>
      <c r="EI378" s="68">
        <f t="shared" si="365"/>
        <v>8.5018510165683625E-2</v>
      </c>
      <c r="EJ378" s="58">
        <f t="shared" si="366"/>
        <v>5887.4657801319036</v>
      </c>
      <c r="EK378" s="68">
        <f t="shared" si="365"/>
        <v>8.5018510165683625E-2</v>
      </c>
      <c r="EL378" s="58">
        <f t="shared" si="367"/>
        <v>2336.7122478576248</v>
      </c>
      <c r="EM378" s="58">
        <f t="shared" si="368"/>
        <v>2514.7277801319028</v>
      </c>
      <c r="EN378" s="68">
        <f t="shared" si="369"/>
        <v>3.6314165945654335E-2</v>
      </c>
      <c r="EO378" s="139">
        <f t="shared" si="387"/>
        <v>0.4050825009776523</v>
      </c>
      <c r="EP378">
        <f>+(SUM(M378:O378)*EO378*(1-'[1]Tier 3 Data'!$A$2))</f>
        <v>562.27635215664986</v>
      </c>
    </row>
    <row r="379" spans="1:146" x14ac:dyDescent="0.2">
      <c r="A379" s="43">
        <v>0</v>
      </c>
      <c r="B379" s="43">
        <v>0</v>
      </c>
      <c r="C379" s="43">
        <v>0</v>
      </c>
      <c r="D379" s="70">
        <v>2038</v>
      </c>
      <c r="E379" s="70">
        <v>12</v>
      </c>
      <c r="F379" s="2">
        <v>744</v>
      </c>
      <c r="G379" s="133">
        <f t="shared" si="380"/>
        <v>49936.599129463371</v>
      </c>
      <c r="H379" s="65">
        <v>49936.599129463371</v>
      </c>
      <c r="I379" s="133">
        <f t="shared" si="381"/>
        <v>49936.599129463371</v>
      </c>
      <c r="J379" s="133">
        <f t="shared" si="362"/>
        <v>6674.8402500000029</v>
      </c>
      <c r="K379" s="65">
        <v>6674.8402500000029</v>
      </c>
      <c r="L379" s="133">
        <f t="shared" si="363"/>
        <v>6674.8402500000029</v>
      </c>
      <c r="M379" s="65">
        <v>248.30627982623952</v>
      </c>
      <c r="N379" s="65">
        <v>534.68270867382159</v>
      </c>
      <c r="O379" s="65">
        <v>161.53461771571625</v>
      </c>
      <c r="P379" s="200">
        <f t="shared" si="356"/>
        <v>42978.401797598635</v>
      </c>
      <c r="Q379" s="200">
        <f t="shared" si="357"/>
        <v>42978.401797598635</v>
      </c>
      <c r="R379" s="200">
        <f t="shared" si="358"/>
        <v>42978.401797598635</v>
      </c>
      <c r="S379" s="133">
        <f t="shared" si="382"/>
        <v>43213.298494148657</v>
      </c>
      <c r="T379" s="133">
        <f t="shared" si="383"/>
        <v>43213.298494148657</v>
      </c>
      <c r="U379" s="133">
        <f t="shared" si="384"/>
        <v>43213.298494148657</v>
      </c>
      <c r="V379" s="200">
        <f t="shared" si="359"/>
        <v>42978.401797598635</v>
      </c>
      <c r="W379" s="200">
        <f t="shared" si="360"/>
        <v>42978.401797598635</v>
      </c>
      <c r="X379" s="200">
        <f t="shared" si="361"/>
        <v>42978.401797598635</v>
      </c>
      <c r="Y379" s="65">
        <v>27409.714829382585</v>
      </c>
      <c r="Z379" s="65">
        <v>34185.34290644907</v>
      </c>
      <c r="AA379" s="65">
        <v>19825.242331395992</v>
      </c>
      <c r="AB379" s="200">
        <f t="shared" si="412"/>
        <v>70388.116626981224</v>
      </c>
      <c r="AC379" s="200">
        <f t="shared" si="374"/>
        <v>77163.744704047713</v>
      </c>
      <c r="AD379" s="200">
        <f t="shared" si="375"/>
        <v>77163.744704047713</v>
      </c>
      <c r="AE379" s="199">
        <f t="shared" si="413"/>
        <v>70623.013323531239</v>
      </c>
      <c r="AF379" s="199">
        <f t="shared" si="376"/>
        <v>77398.641400597728</v>
      </c>
      <c r="AG379" s="199">
        <f t="shared" si="414"/>
        <v>63038.540825544653</v>
      </c>
      <c r="AH379" s="199">
        <f t="shared" si="385"/>
        <v>70218.59111307119</v>
      </c>
      <c r="AI379" s="200">
        <f t="shared" si="377"/>
        <v>77163.744704047713</v>
      </c>
      <c r="AJ379" s="200">
        <f t="shared" si="378"/>
        <v>77163.744704047713</v>
      </c>
      <c r="AK379" s="200">
        <f t="shared" si="379"/>
        <v>77163.744704047713</v>
      </c>
      <c r="AL379" s="4"/>
      <c r="AM379" s="4"/>
      <c r="AN379" s="4"/>
      <c r="AO379" s="4"/>
      <c r="AP379" s="63"/>
      <c r="AQ379" s="18"/>
      <c r="AR379" s="18"/>
      <c r="AS379" s="18"/>
      <c r="AT379" s="18">
        <v>0</v>
      </c>
      <c r="AU379" s="133">
        <f t="shared" si="388"/>
        <v>105.066</v>
      </c>
      <c r="AV379" s="133">
        <f t="shared" si="388"/>
        <v>3218.8470000000002</v>
      </c>
      <c r="AW379" s="192"/>
      <c r="AX379" s="192"/>
      <c r="AY379" s="192"/>
      <c r="AZ379" s="194"/>
      <c r="BA379" s="204"/>
      <c r="BB379" s="194"/>
      <c r="BC379" s="65">
        <v>75.936900009464722</v>
      </c>
      <c r="BD379" s="65">
        <v>0</v>
      </c>
      <c r="BE379" s="65">
        <v>0</v>
      </c>
      <c r="BF379" s="65">
        <v>0</v>
      </c>
      <c r="BG379" s="65">
        <v>0</v>
      </c>
      <c r="BH379" s="65">
        <v>0</v>
      </c>
      <c r="BI379" s="65">
        <v>332.82324287181041</v>
      </c>
      <c r="BJ379" s="65">
        <v>0</v>
      </c>
      <c r="BK379" s="65">
        <v>20.28324216774827</v>
      </c>
      <c r="BL379" s="65">
        <v>0</v>
      </c>
      <c r="BM379" s="65">
        <v>0</v>
      </c>
      <c r="BN379" s="65">
        <v>0</v>
      </c>
      <c r="BO379" s="65">
        <v>212.18019192</v>
      </c>
      <c r="BP379" s="62"/>
      <c r="BQ379" s="65">
        <v>53.995239231692601</v>
      </c>
      <c r="BR379" s="65">
        <v>70.19378163832323</v>
      </c>
      <c r="BS379" s="65">
        <v>255.2698479314796</v>
      </c>
      <c r="BT379" s="65">
        <v>95.281785795246947</v>
      </c>
      <c r="BU379" s="65">
        <v>101.29625362294789</v>
      </c>
      <c r="BV379" s="144">
        <f t="shared" si="370"/>
        <v>173.81439587836766</v>
      </c>
      <c r="BW379" s="144">
        <f t="shared" si="371"/>
        <v>374.27789607167512</v>
      </c>
      <c r="BX379" s="144">
        <f t="shared" si="372"/>
        <v>113.07423240100137</v>
      </c>
      <c r="BY379" s="5"/>
      <c r="BZ379" s="18"/>
      <c r="CA379" s="4"/>
      <c r="CB379" s="5"/>
      <c r="CC379" s="5"/>
      <c r="CD379" s="188">
        <v>4.9023166732340453</v>
      </c>
      <c r="CE379" s="5"/>
      <c r="CF379" s="64"/>
      <c r="CG379" s="70"/>
      <c r="CH379" s="70"/>
      <c r="CI379" s="70"/>
      <c r="CJ379" s="63"/>
      <c r="CK379" s="8">
        <f t="shared" si="409"/>
        <v>5207.2423262129923</v>
      </c>
      <c r="CL379" s="202">
        <f t="shared" si="389"/>
        <v>65180.874300768235</v>
      </c>
      <c r="CM379" s="202">
        <f t="shared" si="390"/>
        <v>71956.502377834724</v>
      </c>
      <c r="CN379" s="202">
        <f t="shared" si="391"/>
        <v>71956.502377834724</v>
      </c>
      <c r="CO379" s="9">
        <f t="shared" si="392"/>
        <v>65415.77099731825</v>
      </c>
      <c r="CP379" s="9">
        <f t="shared" si="393"/>
        <v>72191.399074384739</v>
      </c>
      <c r="CQ379" s="9">
        <f t="shared" si="394"/>
        <v>57831.298499331664</v>
      </c>
      <c r="CR379" s="202">
        <f t="shared" si="395"/>
        <v>71956.502377834724</v>
      </c>
      <c r="CS379" s="202">
        <f t="shared" si="396"/>
        <v>71956.502377834724</v>
      </c>
      <c r="CT379" s="202">
        <f t="shared" si="397"/>
        <v>71956.502377834724</v>
      </c>
      <c r="CU379" s="203">
        <f t="shared" si="398"/>
        <v>0.92602100218409678</v>
      </c>
      <c r="CV379" s="203">
        <f t="shared" si="399"/>
        <v>0.93251698260388038</v>
      </c>
      <c r="CW379" s="203">
        <f t="shared" si="400"/>
        <v>0.93251698260388038</v>
      </c>
      <c r="CX379" s="19">
        <f t="shared" si="401"/>
        <v>0.92626706110148427</v>
      </c>
      <c r="CY379" s="19">
        <f t="shared" si="402"/>
        <v>0.9327217864295384</v>
      </c>
      <c r="CZ379" s="19">
        <f t="shared" si="403"/>
        <v>0.91739589371803965</v>
      </c>
      <c r="DA379" s="203">
        <f t="shared" si="404"/>
        <v>0.93251698260388038</v>
      </c>
      <c r="DB379" s="203">
        <f t="shared" si="405"/>
        <v>0.93251698260388038</v>
      </c>
      <c r="DC379" s="203">
        <f t="shared" si="406"/>
        <v>0.93251698260388038</v>
      </c>
      <c r="DD379" s="65"/>
      <c r="DE379" s="66"/>
      <c r="DF379" s="66"/>
      <c r="DG379" s="66"/>
      <c r="DH379" s="66"/>
      <c r="DI379" s="66"/>
      <c r="DJ379" s="66"/>
      <c r="DK379" s="70"/>
      <c r="DL379" s="70"/>
      <c r="DM379" s="8">
        <f t="shared" si="407"/>
        <v>0</v>
      </c>
      <c r="DN379" s="8">
        <f t="shared" si="408"/>
        <v>5207.2423262129923</v>
      </c>
      <c r="DO379" s="202">
        <f t="shared" si="415"/>
        <v>65180.874300768235</v>
      </c>
      <c r="DP379" s="202">
        <f t="shared" si="416"/>
        <v>71956.502377834724</v>
      </c>
      <c r="DQ379" s="202">
        <f t="shared" si="417"/>
        <v>71956.502377834724</v>
      </c>
      <c r="DR379" s="9">
        <f t="shared" si="418"/>
        <v>65415.77099731825</v>
      </c>
      <c r="DS379" s="9">
        <f t="shared" si="410"/>
        <v>72191.399074384739</v>
      </c>
      <c r="DT379" s="9">
        <f t="shared" si="419"/>
        <v>57831.298499331664</v>
      </c>
      <c r="DU379" s="202">
        <f t="shared" si="420"/>
        <v>71956.502377834724</v>
      </c>
      <c r="DV379" s="202">
        <f t="shared" si="421"/>
        <v>71956.502377834724</v>
      </c>
      <c r="DW379" s="202">
        <f t="shared" si="422"/>
        <v>71956.502377834724</v>
      </c>
      <c r="DX379" s="203">
        <f t="shared" si="423"/>
        <v>0.92602100218409678</v>
      </c>
      <c r="DY379" s="203">
        <f t="shared" si="424"/>
        <v>0.93251698260388038</v>
      </c>
      <c r="DZ379" s="203">
        <f t="shared" si="425"/>
        <v>0.93251698260388038</v>
      </c>
      <c r="EA379" s="19">
        <f t="shared" si="426"/>
        <v>0.92626706110148427</v>
      </c>
      <c r="EB379" s="19">
        <f t="shared" si="411"/>
        <v>0.9327217864295384</v>
      </c>
      <c r="EC379" s="19">
        <f t="shared" si="427"/>
        <v>0.91739589371803965</v>
      </c>
      <c r="ED379" s="203">
        <f t="shared" si="428"/>
        <v>0.93251698260388038</v>
      </c>
      <c r="EE379" s="203">
        <f t="shared" si="429"/>
        <v>0.93251698260388038</v>
      </c>
      <c r="EF379" s="203">
        <f t="shared" si="430"/>
        <v>0.93251698260388038</v>
      </c>
      <c r="EH379" s="58">
        <f t="shared" si="364"/>
        <v>5028.5256136613907</v>
      </c>
      <c r="EI379" s="68">
        <f t="shared" si="365"/>
        <v>6.4969171585776142E-2</v>
      </c>
      <c r="EJ379" s="58">
        <f t="shared" si="366"/>
        <v>5028.5256136613907</v>
      </c>
      <c r="EK379" s="68">
        <f t="shared" si="365"/>
        <v>6.4969171585776142E-2</v>
      </c>
      <c r="EL379" s="58">
        <f t="shared" si="367"/>
        <v>1591.5383812603886</v>
      </c>
      <c r="EM379" s="58">
        <f t="shared" si="368"/>
        <v>1704.61261366139</v>
      </c>
      <c r="EN379" s="68">
        <f t="shared" si="369"/>
        <v>2.2023805364214388E-2</v>
      </c>
      <c r="EO379" s="139">
        <f t="shared" si="387"/>
        <v>0.32946562535829382</v>
      </c>
      <c r="EP379">
        <f>+(SUM(M379:O379)*EO379*(1-'[1]Tier 3 Data'!$A$2))</f>
        <v>290.33846052818598</v>
      </c>
    </row>
    <row r="380" spans="1:146" x14ac:dyDescent="0.2">
      <c r="A380" s="43">
        <v>0</v>
      </c>
      <c r="B380" s="43">
        <v>0</v>
      </c>
      <c r="C380" s="43">
        <v>0</v>
      </c>
      <c r="D380" s="70">
        <v>2039</v>
      </c>
      <c r="E380" s="70">
        <v>1</v>
      </c>
      <c r="F380" s="2">
        <v>744</v>
      </c>
      <c r="G380" s="133">
        <f t="shared" si="380"/>
        <v>51659.006209573614</v>
      </c>
      <c r="H380" s="65">
        <v>51659.006209573614</v>
      </c>
      <c r="I380" s="133">
        <f t="shared" si="381"/>
        <v>51659.006209573614</v>
      </c>
      <c r="J380" s="133">
        <f t="shared" si="362"/>
        <v>6714.2149375000026</v>
      </c>
      <c r="K380" s="65">
        <v>6714.2149375000026</v>
      </c>
      <c r="L380" s="133">
        <f t="shared" si="363"/>
        <v>6714.2149375000026</v>
      </c>
      <c r="M380" s="65">
        <v>350.79787520860157</v>
      </c>
      <c r="N380" s="65">
        <v>755.37984075477868</v>
      </c>
      <c r="O380" s="65">
        <v>228.26711364644345</v>
      </c>
      <c r="P380" s="200">
        <f t="shared" si="356"/>
        <v>44544.457823190663</v>
      </c>
      <c r="Q380" s="200">
        <f t="shared" si="357"/>
        <v>44544.457823190663</v>
      </c>
      <c r="R380" s="200">
        <f t="shared" si="358"/>
        <v>44544.457823190663</v>
      </c>
      <c r="S380" s="133">
        <f t="shared" si="382"/>
        <v>44876.311137979683</v>
      </c>
      <c r="T380" s="133">
        <f t="shared" si="383"/>
        <v>44876.311137979683</v>
      </c>
      <c r="U380" s="133">
        <f t="shared" si="384"/>
        <v>44876.311137979683</v>
      </c>
      <c r="V380" s="200">
        <f t="shared" si="359"/>
        <v>44544.457823190663</v>
      </c>
      <c r="W380" s="200">
        <f t="shared" si="360"/>
        <v>44544.457823190663</v>
      </c>
      <c r="X380" s="200">
        <f t="shared" si="361"/>
        <v>44544.457823190663</v>
      </c>
      <c r="Y380" s="65">
        <v>28502.116696338348</v>
      </c>
      <c r="Z380" s="65">
        <v>36326.266151190444</v>
      </c>
      <c r="AA380" s="65">
        <v>20852.600990582378</v>
      </c>
      <c r="AB380" s="200">
        <f t="shared" si="373"/>
        <v>80870.723974381108</v>
      </c>
      <c r="AC380" s="200">
        <f t="shared" si="374"/>
        <v>80870.723974381108</v>
      </c>
      <c r="AD380" s="200">
        <f t="shared" si="375"/>
        <v>80870.723974381108</v>
      </c>
      <c r="AE380" s="199">
        <f t="shared" si="413"/>
        <v>73378.427834318034</v>
      </c>
      <c r="AF380" s="199">
        <f t="shared" si="376"/>
        <v>81202.57728917012</v>
      </c>
      <c r="AG380" s="199">
        <f t="shared" si="414"/>
        <v>65728.912128562064</v>
      </c>
      <c r="AH380" s="199">
        <f t="shared" si="385"/>
        <v>73465.744708866085</v>
      </c>
      <c r="AI380" s="200">
        <f t="shared" si="377"/>
        <v>80870.723974381108</v>
      </c>
      <c r="AJ380" s="200">
        <f t="shared" si="378"/>
        <v>80870.723974381108</v>
      </c>
      <c r="AK380" s="200">
        <f t="shared" si="379"/>
        <v>80870.723974381108</v>
      </c>
      <c r="AL380" s="4"/>
      <c r="AM380" s="4"/>
      <c r="AN380" s="4"/>
      <c r="AO380" s="4"/>
      <c r="AP380" s="63"/>
      <c r="AQ380" s="18"/>
      <c r="AR380" s="18"/>
      <c r="AS380" s="18"/>
      <c r="AT380" s="18">
        <v>0</v>
      </c>
      <c r="AU380" s="133">
        <f t="shared" si="388"/>
        <v>98.513999999999996</v>
      </c>
      <c r="AV380" s="133">
        <f t="shared" si="388"/>
        <v>3278.6750000000002</v>
      </c>
      <c r="AW380" s="192"/>
      <c r="AX380" s="192"/>
      <c r="AY380" s="192"/>
      <c r="AZ380" s="194"/>
      <c r="BA380" s="194"/>
      <c r="BB380" s="194"/>
      <c r="BC380" s="65">
        <v>107.11883404609293</v>
      </c>
      <c r="BD380" s="65">
        <v>0</v>
      </c>
      <c r="BE380" s="65">
        <v>0</v>
      </c>
      <c r="BF380" s="65">
        <v>0</v>
      </c>
      <c r="BG380" s="65">
        <v>0</v>
      </c>
      <c r="BH380" s="65">
        <v>0</v>
      </c>
      <c r="BI380" s="65">
        <v>469.49029675196562</v>
      </c>
      <c r="BJ380" s="65">
        <v>0</v>
      </c>
      <c r="BK380" s="65">
        <v>22.517673403701547</v>
      </c>
      <c r="BL380" s="65">
        <v>0</v>
      </c>
      <c r="BM380" s="65">
        <v>0</v>
      </c>
      <c r="BN380" s="65">
        <v>0</v>
      </c>
      <c r="BO380" s="65">
        <v>212.18019192</v>
      </c>
      <c r="BP380" s="5"/>
      <c r="BQ380" s="4">
        <v>76.402757073028198</v>
      </c>
      <c r="BR380" s="65">
        <v>99.822735385990512</v>
      </c>
      <c r="BS380" s="65">
        <v>361.20472906127861</v>
      </c>
      <c r="BT380" s="65">
        <v>123.48770262845525</v>
      </c>
      <c r="BU380" s="65">
        <v>141.14259188162404</v>
      </c>
      <c r="BV380" s="144">
        <f t="shared" si="370"/>
        <v>245.55851264602109</v>
      </c>
      <c r="BW380" s="144">
        <f t="shared" si="371"/>
        <v>528.76588852834504</v>
      </c>
      <c r="BX380" s="144">
        <f t="shared" si="372"/>
        <v>159.78697955251042</v>
      </c>
      <c r="BY380" s="5"/>
      <c r="BZ380" s="18"/>
      <c r="CA380" s="4"/>
      <c r="CB380" s="5"/>
      <c r="CC380" s="5"/>
      <c r="CD380" s="77"/>
      <c r="CE380" s="5"/>
      <c r="CF380" s="64"/>
      <c r="CG380" s="70"/>
      <c r="CH380" s="70"/>
      <c r="CI380" s="70"/>
      <c r="CJ380" s="63"/>
      <c r="CK380" s="8">
        <f t="shared" ref="CK380:CK443" si="431">+SUM(AL380:CI380)</f>
        <v>5924.6678928790134</v>
      </c>
      <c r="CL380" s="202">
        <f t="shared" si="389"/>
        <v>74946.056081502087</v>
      </c>
      <c r="CM380" s="202">
        <f t="shared" si="390"/>
        <v>74946.056081502087</v>
      </c>
      <c r="CN380" s="202">
        <f t="shared" si="391"/>
        <v>74946.056081502087</v>
      </c>
      <c r="CO380" s="9">
        <f t="shared" si="392"/>
        <v>67453.759941439028</v>
      </c>
      <c r="CP380" s="9">
        <f t="shared" si="393"/>
        <v>75277.909396291099</v>
      </c>
      <c r="CQ380" s="9">
        <f t="shared" si="394"/>
        <v>59804.244235683051</v>
      </c>
      <c r="CR380" s="202">
        <f t="shared" si="395"/>
        <v>74946.056081502087</v>
      </c>
      <c r="CS380" s="202">
        <f t="shared" si="396"/>
        <v>74946.056081502087</v>
      </c>
      <c r="CT380" s="202">
        <f t="shared" si="397"/>
        <v>74946.056081502087</v>
      </c>
      <c r="CU380" s="203">
        <f t="shared" si="398"/>
        <v>0.92673902740433134</v>
      </c>
      <c r="CV380" s="203">
        <f t="shared" si="399"/>
        <v>0.92673902740433134</v>
      </c>
      <c r="CW380" s="203">
        <f t="shared" si="400"/>
        <v>0.92673902740433134</v>
      </c>
      <c r="CX380" s="19">
        <f t="shared" si="401"/>
        <v>0.91925872401823083</v>
      </c>
      <c r="CY380" s="19">
        <f t="shared" si="402"/>
        <v>0.92703842549503435</v>
      </c>
      <c r="CZ380" s="19">
        <f t="shared" si="403"/>
        <v>0.90986207285325682</v>
      </c>
      <c r="DA380" s="203">
        <f t="shared" si="404"/>
        <v>0.92673902740433134</v>
      </c>
      <c r="DB380" s="203">
        <f t="shared" si="405"/>
        <v>0.92673902740433134</v>
      </c>
      <c r="DC380" s="203">
        <f t="shared" si="406"/>
        <v>0.92673902740433134</v>
      </c>
      <c r="DD380" s="65"/>
      <c r="DE380" s="66"/>
      <c r="DF380" s="66"/>
      <c r="DG380" s="66"/>
      <c r="DH380" s="66"/>
      <c r="DI380" s="66"/>
      <c r="DJ380" s="66"/>
      <c r="DK380" s="70"/>
      <c r="DL380" s="70"/>
      <c r="DM380" s="8">
        <f t="shared" ref="DM380:DM443" si="432">+SUM(DD380:DL380)</f>
        <v>0</v>
      </c>
      <c r="DN380" s="8">
        <f t="shared" ref="DN380:DN443" si="433">+DM380+CK380</f>
        <v>5924.6678928790134</v>
      </c>
      <c r="DO380" s="202">
        <f t="shared" si="415"/>
        <v>74946.056081502087</v>
      </c>
      <c r="DP380" s="202">
        <f t="shared" si="416"/>
        <v>74946.056081502087</v>
      </c>
      <c r="DQ380" s="202">
        <f t="shared" si="417"/>
        <v>74946.056081502087</v>
      </c>
      <c r="DR380" s="9">
        <f t="shared" si="418"/>
        <v>67453.759941439028</v>
      </c>
      <c r="DS380" s="9">
        <f t="shared" si="410"/>
        <v>75277.909396291099</v>
      </c>
      <c r="DT380" s="9">
        <f t="shared" si="419"/>
        <v>59804.244235683051</v>
      </c>
      <c r="DU380" s="202">
        <f t="shared" si="420"/>
        <v>74946.056081502087</v>
      </c>
      <c r="DV380" s="202">
        <f t="shared" si="421"/>
        <v>74946.056081502087</v>
      </c>
      <c r="DW380" s="202">
        <f t="shared" si="422"/>
        <v>74946.056081502087</v>
      </c>
      <c r="DX380" s="203">
        <f t="shared" si="423"/>
        <v>0.92673902740433134</v>
      </c>
      <c r="DY380" s="203">
        <f t="shared" si="424"/>
        <v>0.92673902740433134</v>
      </c>
      <c r="DZ380" s="203">
        <f t="shared" si="425"/>
        <v>0.92673902740433134</v>
      </c>
      <c r="EA380" s="19">
        <f t="shared" si="426"/>
        <v>0.91925872401823083</v>
      </c>
      <c r="EB380" s="19">
        <f t="shared" si="411"/>
        <v>0.92703842549503435</v>
      </c>
      <c r="EC380" s="19">
        <f t="shared" si="427"/>
        <v>0.90986207285325682</v>
      </c>
      <c r="ED380" s="203">
        <f t="shared" si="428"/>
        <v>0.92673902740433134</v>
      </c>
      <c r="EE380" s="203">
        <f t="shared" si="429"/>
        <v>0.92673902740433134</v>
      </c>
      <c r="EF380" s="203">
        <f t="shared" si="430"/>
        <v>0.92673902740433134</v>
      </c>
      <c r="EH380" s="58">
        <f t="shared" si="364"/>
        <v>5679.1093802329924</v>
      </c>
      <c r="EI380" s="68">
        <f t="shared" si="365"/>
        <v>6.9937550873651985E-2</v>
      </c>
      <c r="EJ380" s="58">
        <f t="shared" si="366"/>
        <v>5679.1093802329924</v>
      </c>
      <c r="EK380" s="68">
        <f t="shared" si="365"/>
        <v>6.9937550873651985E-2</v>
      </c>
      <c r="EL380" s="58">
        <f t="shared" si="367"/>
        <v>2142.1334006804818</v>
      </c>
      <c r="EM380" s="58">
        <f t="shared" si="368"/>
        <v>2301.9203802329921</v>
      </c>
      <c r="EN380" s="68">
        <f t="shared" si="369"/>
        <v>2.8347873393668704E-2</v>
      </c>
      <c r="EO380" s="139">
        <f t="shared" si="387"/>
        <v>0.32527353469126524</v>
      </c>
      <c r="EP380">
        <f>+(SUM(M380:O380)*EO380*(1-'[1]Tier 3 Data'!$A$2))</f>
        <v>404.97759427696661</v>
      </c>
    </row>
    <row r="381" spans="1:146" x14ac:dyDescent="0.2">
      <c r="A381" s="43">
        <v>0</v>
      </c>
      <c r="B381" s="43">
        <v>0</v>
      </c>
      <c r="C381" s="43">
        <v>0</v>
      </c>
      <c r="D381" s="70">
        <v>2039</v>
      </c>
      <c r="E381" s="70">
        <v>2</v>
      </c>
      <c r="F381" s="2">
        <v>672</v>
      </c>
      <c r="G381" s="133">
        <f t="shared" si="380"/>
        <v>46704.005826243301</v>
      </c>
      <c r="H381" s="65">
        <v>46704.005826243301</v>
      </c>
      <c r="I381" s="133">
        <f t="shared" si="381"/>
        <v>46704.005826243301</v>
      </c>
      <c r="J381" s="133">
        <f t="shared" si="362"/>
        <v>6753.5896250000023</v>
      </c>
      <c r="K381" s="65">
        <v>6753.5896250000023</v>
      </c>
      <c r="L381" s="133">
        <f t="shared" si="363"/>
        <v>6753.5896250000023</v>
      </c>
      <c r="M381" s="65">
        <v>758.12758719225985</v>
      </c>
      <c r="N381" s="65">
        <v>1632.4907776153254</v>
      </c>
      <c r="O381" s="65">
        <v>493.38006050632004</v>
      </c>
      <c r="P381" s="200">
        <f t="shared" si="356"/>
        <v>39085.216673649127</v>
      </c>
      <c r="Q381" s="200">
        <f t="shared" si="357"/>
        <v>39085.216673649127</v>
      </c>
      <c r="R381" s="200">
        <f t="shared" si="358"/>
        <v>39085.216673649127</v>
      </c>
      <c r="S381" s="133">
        <f t="shared" si="382"/>
        <v>39802.402183091406</v>
      </c>
      <c r="T381" s="133">
        <f t="shared" si="383"/>
        <v>39802.402183091406</v>
      </c>
      <c r="U381" s="133">
        <f t="shared" si="384"/>
        <v>39802.402183091406</v>
      </c>
      <c r="V381" s="200">
        <f t="shared" si="359"/>
        <v>39085.216673649127</v>
      </c>
      <c r="W381" s="200">
        <f t="shared" si="360"/>
        <v>39085.216673649127</v>
      </c>
      <c r="X381" s="200">
        <f t="shared" si="361"/>
        <v>39085.216673649127</v>
      </c>
      <c r="Y381" s="65">
        <v>26612.53748145702</v>
      </c>
      <c r="Z381" s="65">
        <v>32744.07057922586</v>
      </c>
      <c r="AA381" s="65">
        <v>19247.837329884369</v>
      </c>
      <c r="AB381" s="200">
        <f t="shared" si="373"/>
        <v>71829.287252874987</v>
      </c>
      <c r="AC381" s="200">
        <f t="shared" si="374"/>
        <v>71829.287252874987</v>
      </c>
      <c r="AD381" s="200">
        <f t="shared" si="375"/>
        <v>71829.287252874987</v>
      </c>
      <c r="AE381" s="199">
        <f t="shared" si="413"/>
        <v>66414.939664548423</v>
      </c>
      <c r="AF381" s="199">
        <f t="shared" si="376"/>
        <v>72546.472762317266</v>
      </c>
      <c r="AG381" s="199">
        <f t="shared" si="414"/>
        <v>59050.239512975779</v>
      </c>
      <c r="AH381" s="199">
        <f t="shared" si="385"/>
        <v>65798.356137646522</v>
      </c>
      <c r="AI381" s="200">
        <f t="shared" si="377"/>
        <v>71829.287252874987</v>
      </c>
      <c r="AJ381" s="200">
        <f t="shared" si="378"/>
        <v>71829.287252874987</v>
      </c>
      <c r="AK381" s="200">
        <f t="shared" si="379"/>
        <v>71829.287252874987</v>
      </c>
      <c r="AL381" s="4"/>
      <c r="AM381" s="4"/>
      <c r="AN381" s="4"/>
      <c r="AO381" s="4"/>
      <c r="AP381" s="63"/>
      <c r="AQ381" s="18"/>
      <c r="AR381" s="18"/>
      <c r="AS381" s="18"/>
      <c r="AT381" s="18">
        <v>0</v>
      </c>
      <c r="AU381" s="133">
        <f t="shared" si="388"/>
        <v>92.897999999999996</v>
      </c>
      <c r="AV381" s="133">
        <f t="shared" si="388"/>
        <v>3057.587</v>
      </c>
      <c r="AW381" s="192"/>
      <c r="AX381" s="192"/>
      <c r="AY381" s="192"/>
      <c r="AZ381" s="194"/>
      <c r="BA381" s="194"/>
      <c r="BB381" s="194"/>
      <c r="BC381" s="65">
        <v>133.505450036876</v>
      </c>
      <c r="BD381" s="65">
        <v>0</v>
      </c>
      <c r="BE381" s="65">
        <v>0</v>
      </c>
      <c r="BF381" s="65">
        <v>0</v>
      </c>
      <c r="BG381" s="65">
        <v>0</v>
      </c>
      <c r="BH381" s="65">
        <v>0</v>
      </c>
      <c r="BI381" s="65">
        <v>585.13998881696978</v>
      </c>
      <c r="BJ381" s="65">
        <v>0</v>
      </c>
      <c r="BK381" s="65">
        <v>19.256201566846642</v>
      </c>
      <c r="BL381" s="65">
        <v>0</v>
      </c>
      <c r="BM381" s="65">
        <v>0</v>
      </c>
      <c r="BN381" s="65">
        <v>0</v>
      </c>
      <c r="BO381" s="65">
        <v>191.64662496000003</v>
      </c>
      <c r="BP381" s="5"/>
      <c r="BQ381" s="4">
        <v>95.051949803614818</v>
      </c>
      <c r="BR381" s="65">
        <v>124.18845959484752</v>
      </c>
      <c r="BS381" s="65">
        <v>449.37116400746851</v>
      </c>
      <c r="BT381" s="65">
        <v>158.38898682961045</v>
      </c>
      <c r="BU381" s="65">
        <v>170.86877241132609</v>
      </c>
      <c r="BV381" s="144">
        <f t="shared" si="370"/>
        <v>530.68931103458192</v>
      </c>
      <c r="BW381" s="144">
        <f t="shared" si="371"/>
        <v>1142.7435443307277</v>
      </c>
      <c r="BX381" s="144">
        <f t="shared" si="372"/>
        <v>345.366042354424</v>
      </c>
      <c r="BY381" s="5"/>
      <c r="BZ381" s="5"/>
      <c r="CA381" s="4"/>
      <c r="CB381" s="5"/>
      <c r="CC381" s="5"/>
      <c r="CD381" s="5"/>
      <c r="CE381" s="5"/>
      <c r="CF381" s="64"/>
      <c r="CG381" s="70"/>
      <c r="CH381" s="70"/>
      <c r="CI381" s="70"/>
      <c r="CJ381" s="63"/>
      <c r="CK381" s="8">
        <f t="shared" si="431"/>
        <v>7096.7014957472938</v>
      </c>
      <c r="CL381" s="202">
        <f t="shared" si="389"/>
        <v>64732.585757127694</v>
      </c>
      <c r="CM381" s="202">
        <f t="shared" si="390"/>
        <v>64732.585757127694</v>
      </c>
      <c r="CN381" s="202">
        <f t="shared" si="391"/>
        <v>64732.585757127694</v>
      </c>
      <c r="CO381" s="9">
        <f t="shared" si="392"/>
        <v>59318.23816880113</v>
      </c>
      <c r="CP381" s="9">
        <f t="shared" si="393"/>
        <v>65449.771266569973</v>
      </c>
      <c r="CQ381" s="9">
        <f t="shared" si="394"/>
        <v>51953.538017228486</v>
      </c>
      <c r="CR381" s="202">
        <f t="shared" si="395"/>
        <v>64732.585757127694</v>
      </c>
      <c r="CS381" s="202">
        <f t="shared" si="396"/>
        <v>64732.585757127694</v>
      </c>
      <c r="CT381" s="202">
        <f t="shared" si="397"/>
        <v>64732.585757127694</v>
      </c>
      <c r="CU381" s="203">
        <f t="shared" si="398"/>
        <v>0.90120044668181998</v>
      </c>
      <c r="CV381" s="203">
        <f t="shared" si="399"/>
        <v>0.90120044668181998</v>
      </c>
      <c r="CW381" s="203">
        <f t="shared" si="400"/>
        <v>0.90120044668181998</v>
      </c>
      <c r="CX381" s="19">
        <f t="shared" si="401"/>
        <v>0.89314600703408553</v>
      </c>
      <c r="CY381" s="19">
        <f t="shared" si="402"/>
        <v>0.902177166917569</v>
      </c>
      <c r="CZ381" s="19">
        <f t="shared" si="403"/>
        <v>0.87981925976459663</v>
      </c>
      <c r="DA381" s="203">
        <f t="shared" si="404"/>
        <v>0.90120044668181998</v>
      </c>
      <c r="DB381" s="203">
        <f t="shared" si="405"/>
        <v>0.90120044668181998</v>
      </c>
      <c r="DC381" s="203">
        <f t="shared" si="406"/>
        <v>0.90120044668181998</v>
      </c>
      <c r="DD381" s="65"/>
      <c r="DE381" s="66"/>
      <c r="DF381" s="66"/>
      <c r="DG381" s="66"/>
      <c r="DH381" s="66"/>
      <c r="DI381" s="66"/>
      <c r="DJ381" s="66"/>
      <c r="DK381" s="70"/>
      <c r="DL381" s="70"/>
      <c r="DM381" s="8">
        <f t="shared" si="432"/>
        <v>0</v>
      </c>
      <c r="DN381" s="8">
        <f t="shared" si="433"/>
        <v>7096.7014957472938</v>
      </c>
      <c r="DO381" s="202">
        <f t="shared" si="415"/>
        <v>64732.585757127694</v>
      </c>
      <c r="DP381" s="202">
        <f t="shared" si="416"/>
        <v>64732.585757127694</v>
      </c>
      <c r="DQ381" s="202">
        <f t="shared" si="417"/>
        <v>64732.585757127694</v>
      </c>
      <c r="DR381" s="9">
        <f t="shared" si="418"/>
        <v>59318.23816880113</v>
      </c>
      <c r="DS381" s="9">
        <f t="shared" si="410"/>
        <v>65449.771266569973</v>
      </c>
      <c r="DT381" s="9">
        <f t="shared" si="419"/>
        <v>51953.538017228486</v>
      </c>
      <c r="DU381" s="202">
        <f t="shared" si="420"/>
        <v>64732.585757127694</v>
      </c>
      <c r="DV381" s="202">
        <f t="shared" si="421"/>
        <v>64732.585757127694</v>
      </c>
      <c r="DW381" s="202">
        <f t="shared" si="422"/>
        <v>64732.585757127694</v>
      </c>
      <c r="DX381" s="203">
        <f t="shared" si="423"/>
        <v>0.90120044668181998</v>
      </c>
      <c r="DY381" s="203">
        <f t="shared" si="424"/>
        <v>0.90120044668181998</v>
      </c>
      <c r="DZ381" s="203">
        <f t="shared" si="425"/>
        <v>0.90120044668181998</v>
      </c>
      <c r="EA381" s="19">
        <f t="shared" si="426"/>
        <v>0.89314600703408553</v>
      </c>
      <c r="EB381" s="19">
        <f t="shared" si="411"/>
        <v>0.902177166917569</v>
      </c>
      <c r="EC381" s="19">
        <f t="shared" si="427"/>
        <v>0.87981925976459663</v>
      </c>
      <c r="ED381" s="203">
        <f t="shared" si="428"/>
        <v>0.90120044668181998</v>
      </c>
      <c r="EE381" s="203">
        <f t="shared" si="429"/>
        <v>0.90120044668181998</v>
      </c>
      <c r="EF381" s="203">
        <f t="shared" si="430"/>
        <v>0.90120044668181998</v>
      </c>
      <c r="EH381" s="58">
        <f t="shared" si="364"/>
        <v>6566.012184712712</v>
      </c>
      <c r="EI381" s="68">
        <f t="shared" si="365"/>
        <v>9.0507669562720466E-2</v>
      </c>
      <c r="EJ381" s="58">
        <f t="shared" si="366"/>
        <v>6566.012184712712</v>
      </c>
      <c r="EK381" s="68">
        <f t="shared" si="365"/>
        <v>9.0507669562720466E-2</v>
      </c>
      <c r="EL381" s="58">
        <f t="shared" si="367"/>
        <v>3070.1611423582876</v>
      </c>
      <c r="EM381" s="58">
        <f t="shared" si="368"/>
        <v>3415.5271847127115</v>
      </c>
      <c r="EN381" s="68">
        <f t="shared" si="369"/>
        <v>4.7080540992019602E-2</v>
      </c>
      <c r="EO381" s="139">
        <f t="shared" si="387"/>
        <v>0.3126447604730192</v>
      </c>
      <c r="EP381">
        <f>+(SUM(M381:O381)*EO381*(1-'[1]Tier 3 Data'!$A$2))</f>
        <v>841.25530809541294</v>
      </c>
    </row>
    <row r="382" spans="1:146" x14ac:dyDescent="0.2">
      <c r="A382" s="43">
        <v>0</v>
      </c>
      <c r="B382" s="43">
        <v>0</v>
      </c>
      <c r="C382" s="43">
        <v>0</v>
      </c>
      <c r="D382" s="70">
        <v>2039</v>
      </c>
      <c r="E382" s="70">
        <v>3</v>
      </c>
      <c r="F382" s="2">
        <v>743</v>
      </c>
      <c r="G382" s="133">
        <f t="shared" si="380"/>
        <v>48934.994789486169</v>
      </c>
      <c r="H382" s="65">
        <v>48934.994789486169</v>
      </c>
      <c r="I382" s="133">
        <f t="shared" si="381"/>
        <v>48934.994789486169</v>
      </c>
      <c r="J382" s="133">
        <f t="shared" si="362"/>
        <v>6792.9643125000021</v>
      </c>
      <c r="K382" s="65">
        <v>6792.9643125000021</v>
      </c>
      <c r="L382" s="133">
        <f t="shared" si="363"/>
        <v>6792.9643125000021</v>
      </c>
      <c r="M382" s="65">
        <v>1050.2026341606518</v>
      </c>
      <c r="N382" s="65">
        <v>2261.4216180208796</v>
      </c>
      <c r="O382" s="65">
        <v>683.58002731385523</v>
      </c>
      <c r="P382" s="200">
        <f t="shared" si="356"/>
        <v>40943.469193137556</v>
      </c>
      <c r="Q382" s="200">
        <f t="shared" si="357"/>
        <v>40943.469193137556</v>
      </c>
      <c r="R382" s="200">
        <f t="shared" si="358"/>
        <v>40943.469193137556</v>
      </c>
      <c r="S382" s="133">
        <f t="shared" si="382"/>
        <v>41936.956468792014</v>
      </c>
      <c r="T382" s="133">
        <f t="shared" si="383"/>
        <v>41936.956468792014</v>
      </c>
      <c r="U382" s="133">
        <f t="shared" si="384"/>
        <v>41936.956468792014</v>
      </c>
      <c r="V382" s="200">
        <f t="shared" si="359"/>
        <v>40943.469193137556</v>
      </c>
      <c r="W382" s="200">
        <f t="shared" si="360"/>
        <v>40943.469193137556</v>
      </c>
      <c r="X382" s="200">
        <f t="shared" si="361"/>
        <v>40943.469193137556</v>
      </c>
      <c r="Y382" s="65">
        <v>24282.678929962894</v>
      </c>
      <c r="Z382" s="65">
        <v>29303.390662788344</v>
      </c>
      <c r="AA382" s="65">
        <v>17497.882963234195</v>
      </c>
      <c r="AB382" s="200">
        <f t="shared" si="373"/>
        <v>70246.859855925897</v>
      </c>
      <c r="AC382" s="200">
        <f t="shared" si="374"/>
        <v>70246.859855925897</v>
      </c>
      <c r="AD382" s="200">
        <f t="shared" si="375"/>
        <v>70246.859855925897</v>
      </c>
      <c r="AE382" s="199">
        <f t="shared" si="413"/>
        <v>66219.635398754908</v>
      </c>
      <c r="AF382" s="199">
        <f t="shared" si="376"/>
        <v>71240.347131580362</v>
      </c>
      <c r="AG382" s="199">
        <f t="shared" si="414"/>
        <v>59434.839432026209</v>
      </c>
      <c r="AH382" s="199">
        <f t="shared" si="385"/>
        <v>65337.593281803289</v>
      </c>
      <c r="AI382" s="200">
        <f t="shared" si="377"/>
        <v>70246.859855925897</v>
      </c>
      <c r="AJ382" s="200">
        <f t="shared" si="378"/>
        <v>70246.859855925897</v>
      </c>
      <c r="AK382" s="200">
        <f t="shared" si="379"/>
        <v>70246.859855925897</v>
      </c>
      <c r="AL382" s="4"/>
      <c r="AM382" s="4"/>
      <c r="AN382" s="4"/>
      <c r="AO382" s="4"/>
      <c r="AP382" s="63"/>
      <c r="AQ382" s="18"/>
      <c r="AR382" s="18"/>
      <c r="AS382" s="18"/>
      <c r="AT382" s="18">
        <v>0</v>
      </c>
      <c r="AU382" s="133">
        <f t="shared" si="388"/>
        <v>87.516000000000005</v>
      </c>
      <c r="AV382" s="133">
        <f t="shared" si="388"/>
        <v>3232.7139999999999</v>
      </c>
      <c r="AW382" s="192"/>
      <c r="AX382" s="192"/>
      <c r="AY382" s="192"/>
      <c r="AZ382" s="194"/>
      <c r="BA382" s="194"/>
      <c r="BB382" s="194"/>
      <c r="BC382" s="65">
        <v>229.63206580023774</v>
      </c>
      <c r="BD382" s="65">
        <v>0</v>
      </c>
      <c r="BE382" s="65">
        <v>0</v>
      </c>
      <c r="BF382" s="65">
        <v>0</v>
      </c>
      <c r="BG382" s="65">
        <v>0</v>
      </c>
      <c r="BH382" s="65">
        <v>0</v>
      </c>
      <c r="BI382" s="65">
        <v>1124.6982382446722</v>
      </c>
      <c r="BJ382" s="65">
        <v>0</v>
      </c>
      <c r="BK382" s="65">
        <v>19.397174608663349</v>
      </c>
      <c r="BL382" s="65">
        <v>0</v>
      </c>
      <c r="BM382" s="65">
        <v>0</v>
      </c>
      <c r="BN382" s="65">
        <v>0</v>
      </c>
      <c r="BO382" s="65">
        <v>212.18019192</v>
      </c>
      <c r="BP382" s="5"/>
      <c r="BQ382" s="4">
        <v>132.28872167853493</v>
      </c>
      <c r="BR382" s="65">
        <v>172.83948502176401</v>
      </c>
      <c r="BS382" s="65">
        <v>625.41302994226271</v>
      </c>
      <c r="BT382" s="65">
        <v>209.62407058623666</v>
      </c>
      <c r="BU382" s="65">
        <v>243.60240649912649</v>
      </c>
      <c r="BV382" s="144">
        <f t="shared" si="370"/>
        <v>735.14184391245624</v>
      </c>
      <c r="BW382" s="144">
        <f t="shared" si="371"/>
        <v>1582.9951326146156</v>
      </c>
      <c r="BX382" s="144">
        <f t="shared" si="372"/>
        <v>478.50601911969864</v>
      </c>
      <c r="BY382" s="5"/>
      <c r="BZ382" s="5"/>
      <c r="CA382" s="4"/>
      <c r="CB382" s="5"/>
      <c r="CC382" s="5"/>
      <c r="CD382" s="5"/>
      <c r="CE382" s="5"/>
      <c r="CF382" s="64"/>
      <c r="CG382" s="70"/>
      <c r="CH382" s="70"/>
      <c r="CI382" s="70"/>
      <c r="CJ382" s="63"/>
      <c r="CK382" s="8">
        <f t="shared" si="431"/>
        <v>9086.5483799482663</v>
      </c>
      <c r="CL382" s="202">
        <f t="shared" si="389"/>
        <v>61160.311475977629</v>
      </c>
      <c r="CM382" s="202">
        <f t="shared" si="390"/>
        <v>61160.311475977629</v>
      </c>
      <c r="CN382" s="202">
        <f t="shared" si="391"/>
        <v>61160.311475977629</v>
      </c>
      <c r="CO382" s="9">
        <f t="shared" si="392"/>
        <v>57133.08701880664</v>
      </c>
      <c r="CP382" s="9">
        <f t="shared" si="393"/>
        <v>62153.798751632094</v>
      </c>
      <c r="CQ382" s="9">
        <f t="shared" si="394"/>
        <v>50348.291052077941</v>
      </c>
      <c r="CR382" s="202">
        <f t="shared" si="395"/>
        <v>61160.311475977629</v>
      </c>
      <c r="CS382" s="202">
        <f t="shared" si="396"/>
        <v>61160.311475977629</v>
      </c>
      <c r="CT382" s="202">
        <f t="shared" si="397"/>
        <v>61160.311475977629</v>
      </c>
      <c r="CU382" s="203">
        <f t="shared" si="398"/>
        <v>0.87064833362538208</v>
      </c>
      <c r="CV382" s="203">
        <f t="shared" si="399"/>
        <v>0.87064833362538208</v>
      </c>
      <c r="CW382" s="203">
        <f t="shared" si="400"/>
        <v>0.87064833362538208</v>
      </c>
      <c r="CX382" s="19">
        <f t="shared" si="401"/>
        <v>0.86278166097968101</v>
      </c>
      <c r="CY382" s="19">
        <f t="shared" si="402"/>
        <v>0.87245221639409642</v>
      </c>
      <c r="CZ382" s="19">
        <f t="shared" si="403"/>
        <v>0.84711747408116966</v>
      </c>
      <c r="DA382" s="203">
        <f t="shared" si="404"/>
        <v>0.87064833362538208</v>
      </c>
      <c r="DB382" s="203">
        <f t="shared" si="405"/>
        <v>0.87064833362538208</v>
      </c>
      <c r="DC382" s="203">
        <f t="shared" si="406"/>
        <v>0.87064833362538208</v>
      </c>
      <c r="DD382" s="65"/>
      <c r="DE382" s="66"/>
      <c r="DF382" s="66"/>
      <c r="DG382" s="66"/>
      <c r="DH382" s="66"/>
      <c r="DI382" s="66"/>
      <c r="DJ382" s="66"/>
      <c r="DK382" s="70"/>
      <c r="DL382" s="70"/>
      <c r="DM382" s="8">
        <f t="shared" si="432"/>
        <v>0</v>
      </c>
      <c r="DN382" s="8">
        <f t="shared" si="433"/>
        <v>9086.5483799482663</v>
      </c>
      <c r="DO382" s="202">
        <f t="shared" si="415"/>
        <v>61160.311475977629</v>
      </c>
      <c r="DP382" s="202">
        <f t="shared" si="416"/>
        <v>61160.311475977629</v>
      </c>
      <c r="DQ382" s="202">
        <f t="shared" si="417"/>
        <v>61160.311475977629</v>
      </c>
      <c r="DR382" s="9">
        <f t="shared" si="418"/>
        <v>57133.08701880664</v>
      </c>
      <c r="DS382" s="9">
        <f t="shared" si="410"/>
        <v>62153.798751632094</v>
      </c>
      <c r="DT382" s="9">
        <f t="shared" si="419"/>
        <v>50348.291052077941</v>
      </c>
      <c r="DU382" s="202">
        <f t="shared" si="420"/>
        <v>61160.311475977629</v>
      </c>
      <c r="DV382" s="202">
        <f t="shared" si="421"/>
        <v>61160.311475977629</v>
      </c>
      <c r="DW382" s="202">
        <f t="shared" si="422"/>
        <v>61160.311475977629</v>
      </c>
      <c r="DX382" s="203">
        <f t="shared" si="423"/>
        <v>0.87064833362538208</v>
      </c>
      <c r="DY382" s="203">
        <f t="shared" si="424"/>
        <v>0.87064833362538208</v>
      </c>
      <c r="DZ382" s="203">
        <f t="shared" si="425"/>
        <v>0.87064833362538208</v>
      </c>
      <c r="EA382" s="19">
        <f t="shared" si="426"/>
        <v>0.86278166097968101</v>
      </c>
      <c r="EB382" s="19">
        <f t="shared" si="411"/>
        <v>0.87245221639409642</v>
      </c>
      <c r="EC382" s="19">
        <f t="shared" si="427"/>
        <v>0.84711747408116966</v>
      </c>
      <c r="ED382" s="203">
        <f t="shared" si="428"/>
        <v>0.87064833362538208</v>
      </c>
      <c r="EE382" s="203">
        <f t="shared" si="429"/>
        <v>0.87064833362538208</v>
      </c>
      <c r="EF382" s="203">
        <f t="shared" si="430"/>
        <v>0.87064833362538208</v>
      </c>
      <c r="EH382" s="58">
        <f t="shared" si="364"/>
        <v>8351.4065360358109</v>
      </c>
      <c r="EI382" s="68">
        <f t="shared" si="365"/>
        <v>0.11722860531000542</v>
      </c>
      <c r="EJ382" s="58">
        <f t="shared" si="366"/>
        <v>8351.4065360358109</v>
      </c>
      <c r="EK382" s="68">
        <f t="shared" si="365"/>
        <v>0.11722860531000542</v>
      </c>
      <c r="EL382" s="58">
        <f t="shared" si="367"/>
        <v>4552.6705169161141</v>
      </c>
      <c r="EM382" s="58">
        <f t="shared" si="368"/>
        <v>5031.1765360358131</v>
      </c>
      <c r="EN382" s="68">
        <f t="shared" si="369"/>
        <v>7.0622571879714033E-2</v>
      </c>
      <c r="EO382" s="139">
        <f t="shared" si="387"/>
        <v>0.32861286969700848</v>
      </c>
      <c r="EP382">
        <f>+(SUM(M382:O382)*EO382*(1-'[1]Tier 3 Data'!$A$2))</f>
        <v>1224.9128819089281</v>
      </c>
    </row>
    <row r="383" spans="1:146" x14ac:dyDescent="0.2">
      <c r="A383" s="43">
        <v>0</v>
      </c>
      <c r="B383" s="43">
        <v>0</v>
      </c>
      <c r="C383" s="43">
        <v>0</v>
      </c>
      <c r="D383" s="70">
        <v>2039</v>
      </c>
      <c r="E383" s="70">
        <v>4</v>
      </c>
      <c r="F383" s="2">
        <v>720</v>
      </c>
      <c r="G383" s="133">
        <f t="shared" si="380"/>
        <v>41132.564000271341</v>
      </c>
      <c r="H383" s="65">
        <v>41132.564000271341</v>
      </c>
      <c r="I383" s="133">
        <f t="shared" si="381"/>
        <v>41132.564000271341</v>
      </c>
      <c r="J383" s="133">
        <f t="shared" si="362"/>
        <v>6832.3390000000018</v>
      </c>
      <c r="K383" s="65">
        <v>6832.3390000000018</v>
      </c>
      <c r="L383" s="133">
        <f t="shared" si="363"/>
        <v>6832.3390000000018</v>
      </c>
      <c r="M383" s="65">
        <v>1418.2286880453187</v>
      </c>
      <c r="N383" s="65">
        <v>3053.8992287010965</v>
      </c>
      <c r="O383" s="65">
        <v>923.39253579296565</v>
      </c>
      <c r="P383" s="200">
        <f t="shared" si="356"/>
        <v>32681.568864509525</v>
      </c>
      <c r="Q383" s="200">
        <f t="shared" si="357"/>
        <v>32681.568864509525</v>
      </c>
      <c r="R383" s="200">
        <f t="shared" si="358"/>
        <v>32681.568864509525</v>
      </c>
      <c r="S383" s="133">
        <f t="shared" si="382"/>
        <v>34023.207239533454</v>
      </c>
      <c r="T383" s="133">
        <f t="shared" si="383"/>
        <v>34023.207239533454</v>
      </c>
      <c r="U383" s="133">
        <f t="shared" si="384"/>
        <v>34023.207239533454</v>
      </c>
      <c r="V383" s="200">
        <f t="shared" si="359"/>
        <v>32681.568864509525</v>
      </c>
      <c r="W383" s="200">
        <f t="shared" si="360"/>
        <v>32681.568864509525</v>
      </c>
      <c r="X383" s="200">
        <f t="shared" si="361"/>
        <v>32681.568864509525</v>
      </c>
      <c r="Y383" s="65">
        <v>20806.469794052537</v>
      </c>
      <c r="Z383" s="65">
        <v>23700.088389455595</v>
      </c>
      <c r="AA383" s="65">
        <v>14709.423154335345</v>
      </c>
      <c r="AB383" s="200">
        <f t="shared" si="373"/>
        <v>56381.657253965124</v>
      </c>
      <c r="AC383" s="200">
        <f t="shared" si="374"/>
        <v>56381.657253965124</v>
      </c>
      <c r="AD383" s="200">
        <f t="shared" si="375"/>
        <v>56381.657253965124</v>
      </c>
      <c r="AE383" s="199">
        <f t="shared" si="413"/>
        <v>54829.677033585991</v>
      </c>
      <c r="AF383" s="199">
        <f t="shared" si="376"/>
        <v>57723.29562898905</v>
      </c>
      <c r="AG383" s="199">
        <f t="shared" si="414"/>
        <v>48732.6303938688</v>
      </c>
      <c r="AH383" s="199">
        <f t="shared" si="385"/>
        <v>53227.963011428925</v>
      </c>
      <c r="AI383" s="200">
        <f t="shared" si="377"/>
        <v>56381.657253965124</v>
      </c>
      <c r="AJ383" s="200">
        <f t="shared" si="378"/>
        <v>56381.657253965124</v>
      </c>
      <c r="AK383" s="200">
        <f t="shared" si="379"/>
        <v>56381.657253965124</v>
      </c>
      <c r="AL383" s="4"/>
      <c r="AM383" s="4"/>
      <c r="AN383" s="4"/>
      <c r="AO383" s="4"/>
      <c r="AP383" s="63"/>
      <c r="AQ383" s="18"/>
      <c r="AR383" s="18"/>
      <c r="AS383" s="18"/>
      <c r="AT383" s="18">
        <v>0</v>
      </c>
      <c r="AU383" s="133">
        <f t="shared" si="388"/>
        <v>96.057000000000002</v>
      </c>
      <c r="AV383" s="133">
        <f t="shared" si="388"/>
        <v>3017.9659999999999</v>
      </c>
      <c r="AW383" s="192"/>
      <c r="AX383" s="192"/>
      <c r="AY383" s="192"/>
      <c r="AZ383" s="194"/>
      <c r="BA383" s="194"/>
      <c r="BB383" s="194"/>
      <c r="BC383" s="65">
        <v>289.9778308803314</v>
      </c>
      <c r="BD383" s="65">
        <v>0</v>
      </c>
      <c r="BE383" s="65">
        <v>0</v>
      </c>
      <c r="BF383" s="65">
        <v>0</v>
      </c>
      <c r="BG383" s="65">
        <v>0</v>
      </c>
      <c r="BH383" s="65">
        <v>0</v>
      </c>
      <c r="BI383" s="65">
        <v>1420.2613837251924</v>
      </c>
      <c r="BJ383" s="65">
        <v>0</v>
      </c>
      <c r="BK383" s="65">
        <v>19.984033847071771</v>
      </c>
      <c r="BL383" s="65">
        <v>0</v>
      </c>
      <c r="BM383" s="65">
        <v>0</v>
      </c>
      <c r="BN383" s="65">
        <v>0</v>
      </c>
      <c r="BO383" s="65">
        <v>205.33566960000002</v>
      </c>
      <c r="BP383" s="5"/>
      <c r="BQ383" s="4">
        <v>141.26667340261392</v>
      </c>
      <c r="BR383" s="65">
        <v>184.56950732846465</v>
      </c>
      <c r="BS383" s="65">
        <v>667.85766323439077</v>
      </c>
      <c r="BT383" s="65">
        <v>232.11385859152432</v>
      </c>
      <c r="BU383" s="65">
        <v>249.23704430420904</v>
      </c>
      <c r="BV383" s="144">
        <f t="shared" si="370"/>
        <v>992.76008163172298</v>
      </c>
      <c r="BW383" s="144">
        <f t="shared" si="371"/>
        <v>2137.7294600907676</v>
      </c>
      <c r="BX383" s="144">
        <f t="shared" si="372"/>
        <v>646.37477505507593</v>
      </c>
      <c r="BY383" s="5"/>
      <c r="BZ383" s="5"/>
      <c r="CA383" s="4"/>
      <c r="CB383" s="5"/>
      <c r="CC383" s="5"/>
      <c r="CD383" s="5"/>
      <c r="CE383" s="5"/>
      <c r="CF383" s="64"/>
      <c r="CG383" s="70"/>
      <c r="CH383" s="70"/>
      <c r="CI383" s="70"/>
      <c r="CJ383" s="63"/>
      <c r="CK383" s="8">
        <f t="shared" si="431"/>
        <v>10301.490981691366</v>
      </c>
      <c r="CL383" s="202">
        <f t="shared" si="389"/>
        <v>46080.16627227376</v>
      </c>
      <c r="CM383" s="202">
        <f t="shared" si="390"/>
        <v>46080.16627227376</v>
      </c>
      <c r="CN383" s="202">
        <f t="shared" si="391"/>
        <v>46080.16627227376</v>
      </c>
      <c r="CO383" s="9">
        <f t="shared" si="392"/>
        <v>44528.186051894627</v>
      </c>
      <c r="CP383" s="9">
        <f t="shared" si="393"/>
        <v>47421.804647297686</v>
      </c>
      <c r="CQ383" s="9">
        <f t="shared" si="394"/>
        <v>38431.139412177436</v>
      </c>
      <c r="CR383" s="202">
        <f t="shared" si="395"/>
        <v>46080.16627227376</v>
      </c>
      <c r="CS383" s="202">
        <f t="shared" si="396"/>
        <v>46080.16627227376</v>
      </c>
      <c r="CT383" s="202">
        <f t="shared" si="397"/>
        <v>46080.16627227376</v>
      </c>
      <c r="CU383" s="203">
        <f t="shared" si="398"/>
        <v>0.81729002864727085</v>
      </c>
      <c r="CV383" s="203">
        <f t="shared" si="399"/>
        <v>0.81729002864727085</v>
      </c>
      <c r="CW383" s="203">
        <f t="shared" si="400"/>
        <v>0.81729002864727085</v>
      </c>
      <c r="CX383" s="19">
        <f t="shared" si="401"/>
        <v>0.81211833556157609</v>
      </c>
      <c r="CY383" s="19">
        <f t="shared" si="402"/>
        <v>0.82153667995841384</v>
      </c>
      <c r="CZ383" s="19">
        <f t="shared" si="403"/>
        <v>0.7886120470323017</v>
      </c>
      <c r="DA383" s="203">
        <f t="shared" si="404"/>
        <v>0.81729002864727085</v>
      </c>
      <c r="DB383" s="203">
        <f t="shared" si="405"/>
        <v>0.81729002864727085</v>
      </c>
      <c r="DC383" s="203">
        <f t="shared" si="406"/>
        <v>0.81729002864727085</v>
      </c>
      <c r="DD383" s="65"/>
      <c r="DE383" s="66"/>
      <c r="DF383" s="66"/>
      <c r="DG383" s="66"/>
      <c r="DH383" s="66"/>
      <c r="DI383" s="66"/>
      <c r="DJ383" s="66"/>
      <c r="DK383" s="70"/>
      <c r="DL383" s="70"/>
      <c r="DM383" s="8">
        <f t="shared" si="432"/>
        <v>0</v>
      </c>
      <c r="DN383" s="8">
        <f t="shared" si="433"/>
        <v>10301.490981691366</v>
      </c>
      <c r="DO383" s="202">
        <f t="shared" si="415"/>
        <v>46080.16627227376</v>
      </c>
      <c r="DP383" s="202">
        <f t="shared" si="416"/>
        <v>46080.16627227376</v>
      </c>
      <c r="DQ383" s="202">
        <f t="shared" si="417"/>
        <v>46080.16627227376</v>
      </c>
      <c r="DR383" s="9">
        <f t="shared" si="418"/>
        <v>44528.186051894627</v>
      </c>
      <c r="DS383" s="9">
        <f t="shared" si="410"/>
        <v>47421.804647297686</v>
      </c>
      <c r="DT383" s="9">
        <f t="shared" si="419"/>
        <v>38431.139412177436</v>
      </c>
      <c r="DU383" s="202">
        <f t="shared" si="420"/>
        <v>46080.16627227376</v>
      </c>
      <c r="DV383" s="202">
        <f t="shared" si="421"/>
        <v>46080.16627227376</v>
      </c>
      <c r="DW383" s="202">
        <f t="shared" si="422"/>
        <v>46080.16627227376</v>
      </c>
      <c r="DX383" s="203">
        <f t="shared" si="423"/>
        <v>0.81729002864727085</v>
      </c>
      <c r="DY383" s="203">
        <f t="shared" si="424"/>
        <v>0.81729002864727085</v>
      </c>
      <c r="DZ383" s="203">
        <f t="shared" si="425"/>
        <v>0.81729002864727085</v>
      </c>
      <c r="EA383" s="19">
        <f t="shared" si="426"/>
        <v>0.81211833556157609</v>
      </c>
      <c r="EB383" s="19">
        <f t="shared" si="411"/>
        <v>0.82153667995841384</v>
      </c>
      <c r="EC383" s="19">
        <f t="shared" si="427"/>
        <v>0.7886120470323017</v>
      </c>
      <c r="ED383" s="203">
        <f t="shared" si="428"/>
        <v>0.81729002864727085</v>
      </c>
      <c r="EE383" s="203">
        <f t="shared" si="429"/>
        <v>0.81729002864727085</v>
      </c>
      <c r="EF383" s="203">
        <f t="shared" si="430"/>
        <v>0.81729002864727085</v>
      </c>
      <c r="EH383" s="58">
        <f t="shared" si="364"/>
        <v>9308.7309000596433</v>
      </c>
      <c r="EI383" s="68">
        <f t="shared" si="365"/>
        <v>0.1612647164134671</v>
      </c>
      <c r="EJ383" s="58">
        <f t="shared" si="366"/>
        <v>9308.7309000596433</v>
      </c>
      <c r="EK383" s="68">
        <f t="shared" si="365"/>
        <v>0.1612647164134671</v>
      </c>
      <c r="EL383" s="58">
        <f t="shared" si="367"/>
        <v>5548.3331250045658</v>
      </c>
      <c r="EM383" s="58">
        <f t="shared" si="368"/>
        <v>6194.7079000596414</v>
      </c>
      <c r="EN383" s="68">
        <f t="shared" si="369"/>
        <v>0.10731729421472282</v>
      </c>
      <c r="EO383" s="139">
        <f t="shared" si="387"/>
        <v>0.35351678044029999</v>
      </c>
      <c r="EP383">
        <f>+(SUM(M383:O383)*EO383*(1-'[1]Tier 3 Data'!$A$2))</f>
        <v>1779.6107488963512</v>
      </c>
    </row>
    <row r="384" spans="1:146" x14ac:dyDescent="0.2">
      <c r="A384" s="43">
        <v>0</v>
      </c>
      <c r="B384" s="43">
        <v>0</v>
      </c>
      <c r="C384" s="43">
        <v>0</v>
      </c>
      <c r="D384" s="70">
        <v>2039</v>
      </c>
      <c r="E384" s="70">
        <v>5</v>
      </c>
      <c r="F384" s="2">
        <v>744</v>
      </c>
      <c r="G384" s="133">
        <f t="shared" si="380"/>
        <v>39212.194191316652</v>
      </c>
      <c r="H384" s="65">
        <v>39212.194191316652</v>
      </c>
      <c r="I384" s="133">
        <f t="shared" si="381"/>
        <v>39212.194191316652</v>
      </c>
      <c r="J384" s="133">
        <f t="shared" si="362"/>
        <v>6871.7136875000015</v>
      </c>
      <c r="K384" s="65">
        <v>6871.7136875000015</v>
      </c>
      <c r="L384" s="133">
        <f t="shared" si="363"/>
        <v>6871.7136875000015</v>
      </c>
      <c r="M384" s="65">
        <v>1750.7817988213781</v>
      </c>
      <c r="N384" s="65">
        <v>3769.9922657844818</v>
      </c>
      <c r="O384" s="65">
        <v>1140.2730712187233</v>
      </c>
      <c r="P384" s="200">
        <f t="shared" ref="P384:P447" si="434">+$G384-J384-(30%*SUM($M384:$O384))</f>
        <v>30342.166363069278</v>
      </c>
      <c r="Q384" s="200">
        <f t="shared" ref="Q384:Q447" si="435">+$G384-K384-(30%*SUM($M384:$O384))</f>
        <v>30342.166363069278</v>
      </c>
      <c r="R384" s="200">
        <f t="shared" ref="R384:R447" si="436">+$G384-L384-(30%*SUM($M384:$O384))</f>
        <v>30342.166363069278</v>
      </c>
      <c r="S384" s="133">
        <f t="shared" si="382"/>
        <v>31998.398582451035</v>
      </c>
      <c r="T384" s="133">
        <f t="shared" si="383"/>
        <v>31998.398582451035</v>
      </c>
      <c r="U384" s="133">
        <f t="shared" si="384"/>
        <v>31998.398582451035</v>
      </c>
      <c r="V384" s="200">
        <f t="shared" ref="V384:V447" si="437">+$I384-J384-(30%*SUM($M384:$O384))</f>
        <v>30342.166363069278</v>
      </c>
      <c r="W384" s="200">
        <f t="shared" ref="W384:W447" si="438">+$I384-K384-(30%*SUM($M384:$O384))</f>
        <v>30342.166363069278</v>
      </c>
      <c r="X384" s="200">
        <f t="shared" ref="X384:X447" si="439">+$I384-L384-(30%*SUM($M384:$O384))</f>
        <v>30342.166363069278</v>
      </c>
      <c r="Y384" s="65">
        <v>16873.414940671144</v>
      </c>
      <c r="Z384" s="65">
        <v>18179.151392349188</v>
      </c>
      <c r="AA384" s="65">
        <v>11754.915539697082</v>
      </c>
      <c r="AB384" s="200">
        <f t="shared" si="373"/>
        <v>48521.317755418466</v>
      </c>
      <c r="AC384" s="200">
        <f t="shared" si="374"/>
        <v>48521.317755418466</v>
      </c>
      <c r="AD384" s="200">
        <f t="shared" si="375"/>
        <v>48521.317755418466</v>
      </c>
      <c r="AE384" s="199">
        <f t="shared" si="413"/>
        <v>48871.813523122182</v>
      </c>
      <c r="AF384" s="199">
        <f t="shared" si="376"/>
        <v>50177.549974800218</v>
      </c>
      <c r="AG384" s="199">
        <f t="shared" si="414"/>
        <v>43753.31412214812</v>
      </c>
      <c r="AH384" s="199">
        <f t="shared" si="385"/>
        <v>46965.432048474169</v>
      </c>
      <c r="AI384" s="200">
        <f t="shared" si="377"/>
        <v>48521.317755418466</v>
      </c>
      <c r="AJ384" s="200">
        <f t="shared" si="378"/>
        <v>48521.317755418466</v>
      </c>
      <c r="AK384" s="200">
        <f t="shared" si="379"/>
        <v>48521.317755418466</v>
      </c>
      <c r="AL384" s="4"/>
      <c r="AM384" s="4"/>
      <c r="AN384" s="4"/>
      <c r="AO384" s="4"/>
      <c r="AP384" s="63"/>
      <c r="AQ384" s="18"/>
      <c r="AR384" s="18"/>
      <c r="AS384" s="18"/>
      <c r="AT384" s="18">
        <v>0</v>
      </c>
      <c r="AU384" s="133">
        <f t="shared" si="388"/>
        <v>109.161</v>
      </c>
      <c r="AV384" s="133">
        <f t="shared" si="388"/>
        <v>3327.41</v>
      </c>
      <c r="AW384" s="192"/>
      <c r="AX384" s="192"/>
      <c r="AY384" s="192"/>
      <c r="AZ384" s="194"/>
      <c r="BA384" s="194"/>
      <c r="BB384" s="194"/>
      <c r="BC384" s="65">
        <v>291.22549852285715</v>
      </c>
      <c r="BD384" s="65">
        <v>0</v>
      </c>
      <c r="BE384" s="65">
        <v>0</v>
      </c>
      <c r="BF384" s="65">
        <v>0</v>
      </c>
      <c r="BG384" s="65">
        <v>0</v>
      </c>
      <c r="BH384" s="65">
        <v>0</v>
      </c>
      <c r="BI384" s="65">
        <v>1426.3722445693584</v>
      </c>
      <c r="BJ384" s="65">
        <v>0</v>
      </c>
      <c r="BK384" s="65">
        <v>12.751667915526451</v>
      </c>
      <c r="BL384" s="65">
        <v>0</v>
      </c>
      <c r="BM384" s="65">
        <v>0</v>
      </c>
      <c r="BN384" s="65">
        <v>0</v>
      </c>
      <c r="BO384" s="65">
        <v>212.18019192</v>
      </c>
      <c r="BP384" s="5"/>
      <c r="BQ384" s="4">
        <v>162.68993984022541</v>
      </c>
      <c r="BR384" s="65">
        <v>212.55967958385</v>
      </c>
      <c r="BS384" s="65">
        <v>769.13902671928781</v>
      </c>
      <c r="BT384" s="65">
        <v>239.88800548573278</v>
      </c>
      <c r="BU384" s="65">
        <v>285.02777872167673</v>
      </c>
      <c r="BV384" s="144">
        <f t="shared" si="370"/>
        <v>1225.5472591749647</v>
      </c>
      <c r="BW384" s="144">
        <f t="shared" si="371"/>
        <v>2638.9945860491371</v>
      </c>
      <c r="BX384" s="144">
        <f t="shared" si="372"/>
        <v>798.19114985310625</v>
      </c>
      <c r="BY384" s="5"/>
      <c r="BZ384" s="5"/>
      <c r="CA384" s="4"/>
      <c r="CB384" s="5"/>
      <c r="CC384" s="5"/>
      <c r="CD384" s="5"/>
      <c r="CE384" s="5"/>
      <c r="CF384" s="64"/>
      <c r="CG384" s="70"/>
      <c r="CH384" s="70"/>
      <c r="CI384" s="70"/>
      <c r="CJ384" s="63"/>
      <c r="CK384" s="8">
        <f t="shared" si="431"/>
        <v>11711.138028355721</v>
      </c>
      <c r="CL384" s="202">
        <f t="shared" si="389"/>
        <v>36810.179727062743</v>
      </c>
      <c r="CM384" s="202">
        <f t="shared" si="390"/>
        <v>36810.179727062743</v>
      </c>
      <c r="CN384" s="202">
        <f t="shared" si="391"/>
        <v>36810.179727062743</v>
      </c>
      <c r="CO384" s="9">
        <f t="shared" si="392"/>
        <v>37160.675494766459</v>
      </c>
      <c r="CP384" s="9">
        <f t="shared" si="393"/>
        <v>38466.411946444496</v>
      </c>
      <c r="CQ384" s="9">
        <f t="shared" si="394"/>
        <v>32042.176093792397</v>
      </c>
      <c r="CR384" s="202">
        <f t="shared" si="395"/>
        <v>36810.179727062743</v>
      </c>
      <c r="CS384" s="202">
        <f t="shared" si="396"/>
        <v>36810.179727062743</v>
      </c>
      <c r="CT384" s="202">
        <f t="shared" si="397"/>
        <v>36810.179727062743</v>
      </c>
      <c r="CU384" s="203">
        <f t="shared" si="398"/>
        <v>0.75863932452560157</v>
      </c>
      <c r="CV384" s="203">
        <f t="shared" si="399"/>
        <v>0.75863932452560157</v>
      </c>
      <c r="CW384" s="203">
        <f t="shared" si="400"/>
        <v>0.75863932452560157</v>
      </c>
      <c r="CX384" s="19">
        <f t="shared" si="401"/>
        <v>0.76037029968583092</v>
      </c>
      <c r="CY384" s="19">
        <f t="shared" si="402"/>
        <v>0.76660602133350075</v>
      </c>
      <c r="CZ384" s="19">
        <f t="shared" si="403"/>
        <v>0.73233712089417491</v>
      </c>
      <c r="DA384" s="203">
        <f t="shared" si="404"/>
        <v>0.75863932452560157</v>
      </c>
      <c r="DB384" s="203">
        <f t="shared" si="405"/>
        <v>0.75863932452560157</v>
      </c>
      <c r="DC384" s="203">
        <f t="shared" si="406"/>
        <v>0.75863932452560157</v>
      </c>
      <c r="DD384" s="65"/>
      <c r="DE384" s="66"/>
      <c r="DF384" s="66"/>
      <c r="DG384" s="66"/>
      <c r="DH384" s="66"/>
      <c r="DI384" s="66"/>
      <c r="DJ384" s="66"/>
      <c r="DK384" s="70"/>
      <c r="DL384" s="70"/>
      <c r="DM384" s="8">
        <f t="shared" si="432"/>
        <v>0</v>
      </c>
      <c r="DN384" s="8">
        <f t="shared" si="433"/>
        <v>11711.138028355721</v>
      </c>
      <c r="DO384" s="202">
        <f t="shared" si="415"/>
        <v>36810.179727062743</v>
      </c>
      <c r="DP384" s="202">
        <f t="shared" si="416"/>
        <v>36810.179727062743</v>
      </c>
      <c r="DQ384" s="202">
        <f t="shared" si="417"/>
        <v>36810.179727062743</v>
      </c>
      <c r="DR384" s="9">
        <f t="shared" si="418"/>
        <v>37160.675494766459</v>
      </c>
      <c r="DS384" s="9">
        <f t="shared" si="410"/>
        <v>38466.411946444496</v>
      </c>
      <c r="DT384" s="9">
        <f t="shared" si="419"/>
        <v>32042.176093792397</v>
      </c>
      <c r="DU384" s="202">
        <f t="shared" si="420"/>
        <v>36810.179727062743</v>
      </c>
      <c r="DV384" s="202">
        <f t="shared" si="421"/>
        <v>36810.179727062743</v>
      </c>
      <c r="DW384" s="202">
        <f t="shared" si="422"/>
        <v>36810.179727062743</v>
      </c>
      <c r="DX384" s="203">
        <f t="shared" si="423"/>
        <v>0.75863932452560157</v>
      </c>
      <c r="DY384" s="203">
        <f t="shared" si="424"/>
        <v>0.75863932452560157</v>
      </c>
      <c r="DZ384" s="203">
        <f t="shared" si="425"/>
        <v>0.75863932452560157</v>
      </c>
      <c r="EA384" s="19">
        <f t="shared" si="426"/>
        <v>0.76037029968583092</v>
      </c>
      <c r="EB384" s="19">
        <f t="shared" si="411"/>
        <v>0.76660602133350075</v>
      </c>
      <c r="EC384" s="19">
        <f t="shared" si="427"/>
        <v>0.73233712089417491</v>
      </c>
      <c r="ED384" s="203">
        <f t="shared" si="428"/>
        <v>0.75863932452560157</v>
      </c>
      <c r="EE384" s="203">
        <f t="shared" si="429"/>
        <v>0.75863932452560157</v>
      </c>
      <c r="EF384" s="203">
        <f t="shared" si="430"/>
        <v>0.75863932452560157</v>
      </c>
      <c r="EH384" s="58">
        <f t="shared" si="364"/>
        <v>10485.590769180757</v>
      </c>
      <c r="EI384" s="68">
        <f t="shared" si="365"/>
        <v>0.20896976385747709</v>
      </c>
      <c r="EJ384" s="58">
        <f t="shared" si="366"/>
        <v>10485.590769180757</v>
      </c>
      <c r="EK384" s="68">
        <f t="shared" si="365"/>
        <v>0.20896976385747709</v>
      </c>
      <c r="EL384" s="58">
        <f t="shared" si="367"/>
        <v>6250.8286193276517</v>
      </c>
      <c r="EM384" s="58">
        <f t="shared" si="368"/>
        <v>7049.019769180758</v>
      </c>
      <c r="EN384" s="68">
        <f t="shared" si="369"/>
        <v>0.14048154548639505</v>
      </c>
      <c r="EO384" s="139">
        <f t="shared" si="387"/>
        <v>0.28868615856523006</v>
      </c>
      <c r="EP384">
        <f>+(SUM(M384:O384)*EO384*(1-'[1]Tier 3 Data'!$A$2))</f>
        <v>1794.1143183156978</v>
      </c>
    </row>
    <row r="385" spans="1:146" x14ac:dyDescent="0.2">
      <c r="A385" s="43">
        <v>0</v>
      </c>
      <c r="B385" s="43">
        <v>0</v>
      </c>
      <c r="C385" s="43">
        <v>0</v>
      </c>
      <c r="D385" s="70">
        <v>2039</v>
      </c>
      <c r="E385" s="70">
        <v>6</v>
      </c>
      <c r="F385" s="2">
        <v>720</v>
      </c>
      <c r="G385" s="133">
        <f t="shared" si="380"/>
        <v>41699.259471739853</v>
      </c>
      <c r="H385" s="65">
        <v>41699.259471739853</v>
      </c>
      <c r="I385" s="133">
        <f t="shared" si="381"/>
        <v>41699.259471739853</v>
      </c>
      <c r="J385" s="133">
        <f t="shared" ref="J385:J448" si="440">+K385</f>
        <v>6911.0883750000012</v>
      </c>
      <c r="K385" s="65">
        <v>6911.0883750000012</v>
      </c>
      <c r="L385" s="133">
        <f t="shared" ref="L385:L448" si="441">+K385</f>
        <v>6911.0883750000012</v>
      </c>
      <c r="M385" s="65">
        <v>1630.7561929849653</v>
      </c>
      <c r="N385" s="65">
        <v>3511.538810303055</v>
      </c>
      <c r="O385" s="65">
        <v>1062.759532136007</v>
      </c>
      <c r="P385" s="200">
        <f t="shared" si="434"/>
        <v>32926.654736112643</v>
      </c>
      <c r="Q385" s="200">
        <f t="shared" si="435"/>
        <v>32926.654736112643</v>
      </c>
      <c r="R385" s="200">
        <f t="shared" si="436"/>
        <v>32926.654736112643</v>
      </c>
      <c r="S385" s="133">
        <f t="shared" si="382"/>
        <v>34469.343237099049</v>
      </c>
      <c r="T385" s="133">
        <f t="shared" si="383"/>
        <v>34469.343237099049</v>
      </c>
      <c r="U385" s="133">
        <f t="shared" si="384"/>
        <v>34469.343237099049</v>
      </c>
      <c r="V385" s="200">
        <f t="shared" si="437"/>
        <v>32926.654736112643</v>
      </c>
      <c r="W385" s="200">
        <f t="shared" si="438"/>
        <v>32926.654736112643</v>
      </c>
      <c r="X385" s="200">
        <f t="shared" si="439"/>
        <v>32926.654736112643</v>
      </c>
      <c r="Y385" s="65">
        <v>17720.365957000657</v>
      </c>
      <c r="Z385" s="65">
        <v>19480.856815671406</v>
      </c>
      <c r="AA385" s="65">
        <v>12589.464367502816</v>
      </c>
      <c r="AB385" s="200">
        <f t="shared" si="373"/>
        <v>52407.511551784046</v>
      </c>
      <c r="AC385" s="200">
        <f t="shared" si="374"/>
        <v>52407.511551784046</v>
      </c>
      <c r="AD385" s="200">
        <f t="shared" si="375"/>
        <v>52407.511551784046</v>
      </c>
      <c r="AE385" s="199">
        <f t="shared" si="413"/>
        <v>52189.709194099705</v>
      </c>
      <c r="AF385" s="199">
        <f t="shared" si="376"/>
        <v>53950.200052770451</v>
      </c>
      <c r="AG385" s="199">
        <f t="shared" si="414"/>
        <v>47058.807604601869</v>
      </c>
      <c r="AH385" s="199">
        <f t="shared" si="385"/>
        <v>50504.50382868616</v>
      </c>
      <c r="AI385" s="200">
        <f t="shared" si="377"/>
        <v>52407.511551784046</v>
      </c>
      <c r="AJ385" s="200">
        <f t="shared" si="378"/>
        <v>52407.511551784046</v>
      </c>
      <c r="AK385" s="200">
        <f t="shared" si="379"/>
        <v>52407.511551784046</v>
      </c>
      <c r="AL385" s="4"/>
      <c r="AM385" s="4"/>
      <c r="AN385" s="4"/>
      <c r="AO385" s="4"/>
      <c r="AP385" s="63"/>
      <c r="AQ385" s="18"/>
      <c r="AR385" s="18"/>
      <c r="AS385" s="18"/>
      <c r="AT385" s="18">
        <v>0</v>
      </c>
      <c r="AU385" s="133">
        <f t="shared" si="388"/>
        <v>128.934</v>
      </c>
      <c r="AV385" s="133">
        <f t="shared" si="388"/>
        <v>3110.2840000000001</v>
      </c>
      <c r="AW385" s="192"/>
      <c r="AX385" s="192"/>
      <c r="AY385" s="192"/>
      <c r="AZ385" s="194"/>
      <c r="BA385" s="194"/>
      <c r="BB385" s="194"/>
      <c r="BC385" s="65">
        <v>309.51717139248757</v>
      </c>
      <c r="BD385" s="65">
        <v>0</v>
      </c>
      <c r="BE385" s="65">
        <v>0</v>
      </c>
      <c r="BF385" s="65">
        <v>0</v>
      </c>
      <c r="BG385" s="65">
        <v>0</v>
      </c>
      <c r="BH385" s="65">
        <v>0</v>
      </c>
      <c r="BI385" s="65">
        <v>1503.2539044652149</v>
      </c>
      <c r="BJ385" s="65">
        <v>0</v>
      </c>
      <c r="BK385" s="65">
        <v>11.763509963764358</v>
      </c>
      <c r="BL385" s="65">
        <v>0</v>
      </c>
      <c r="BM385" s="65">
        <v>0</v>
      </c>
      <c r="BN385" s="65">
        <v>0</v>
      </c>
      <c r="BO385" s="65">
        <v>205.33566960000002</v>
      </c>
      <c r="BP385" s="5"/>
      <c r="BQ385" s="4">
        <v>158.17671316170248</v>
      </c>
      <c r="BR385" s="65">
        <v>206.66304065981043</v>
      </c>
      <c r="BS385" s="65">
        <v>747.80226129881169</v>
      </c>
      <c r="BT385" s="65">
        <v>251.09792315463551</v>
      </c>
      <c r="BU385" s="65">
        <v>277.57478463174158</v>
      </c>
      <c r="BV385" s="144">
        <f t="shared" si="370"/>
        <v>1141.5293350894756</v>
      </c>
      <c r="BW385" s="144">
        <f t="shared" si="371"/>
        <v>2458.0771672121382</v>
      </c>
      <c r="BX385" s="144">
        <f t="shared" si="372"/>
        <v>743.93167249520491</v>
      </c>
      <c r="BY385" s="5"/>
      <c r="BZ385" s="5"/>
      <c r="CA385" s="4"/>
      <c r="CB385" s="5"/>
      <c r="CC385" s="5"/>
      <c r="CD385" s="5"/>
      <c r="CE385" s="5"/>
      <c r="CF385" s="64"/>
      <c r="CG385" s="70"/>
      <c r="CH385" s="70"/>
      <c r="CI385" s="70"/>
      <c r="CJ385" s="63"/>
      <c r="CK385" s="8">
        <f t="shared" si="431"/>
        <v>11253.941153124986</v>
      </c>
      <c r="CL385" s="202">
        <f t="shared" si="389"/>
        <v>41153.57039865906</v>
      </c>
      <c r="CM385" s="202">
        <f t="shared" si="390"/>
        <v>41153.57039865906</v>
      </c>
      <c r="CN385" s="202">
        <f t="shared" si="391"/>
        <v>41153.57039865906</v>
      </c>
      <c r="CO385" s="9">
        <f t="shared" si="392"/>
        <v>40935.768040974719</v>
      </c>
      <c r="CP385" s="9">
        <f t="shared" si="393"/>
        <v>42696.258899645465</v>
      </c>
      <c r="CQ385" s="9">
        <f t="shared" si="394"/>
        <v>35804.866451476883</v>
      </c>
      <c r="CR385" s="202">
        <f t="shared" si="395"/>
        <v>41153.57039865906</v>
      </c>
      <c r="CS385" s="202">
        <f t="shared" si="396"/>
        <v>41153.57039865906</v>
      </c>
      <c r="CT385" s="202">
        <f t="shared" si="397"/>
        <v>41153.57039865906</v>
      </c>
      <c r="CU385" s="203">
        <f t="shared" si="398"/>
        <v>0.78526091356188654</v>
      </c>
      <c r="CV385" s="203">
        <f t="shared" si="399"/>
        <v>0.78526091356188654</v>
      </c>
      <c r="CW385" s="203">
        <f t="shared" si="400"/>
        <v>0.78526091356188654</v>
      </c>
      <c r="CX385" s="19">
        <f t="shared" si="401"/>
        <v>0.78436474686474589</v>
      </c>
      <c r="CY385" s="19">
        <f t="shared" si="402"/>
        <v>0.79140130820428578</v>
      </c>
      <c r="CZ385" s="19">
        <f t="shared" si="403"/>
        <v>0.76085366956844724</v>
      </c>
      <c r="DA385" s="203">
        <f t="shared" si="404"/>
        <v>0.78526091356188654</v>
      </c>
      <c r="DB385" s="203">
        <f t="shared" si="405"/>
        <v>0.78526091356188654</v>
      </c>
      <c r="DC385" s="203">
        <f t="shared" si="406"/>
        <v>0.78526091356188654</v>
      </c>
      <c r="DD385" s="65"/>
      <c r="DE385" s="66"/>
      <c r="DF385" s="66"/>
      <c r="DG385" s="66"/>
      <c r="DH385" s="66"/>
      <c r="DI385" s="66"/>
      <c r="DJ385" s="66"/>
      <c r="DK385" s="70"/>
      <c r="DL385" s="70"/>
      <c r="DM385" s="8">
        <f t="shared" si="432"/>
        <v>0</v>
      </c>
      <c r="DN385" s="8">
        <f t="shared" si="433"/>
        <v>11253.941153124986</v>
      </c>
      <c r="DO385" s="202">
        <f t="shared" si="415"/>
        <v>41153.57039865906</v>
      </c>
      <c r="DP385" s="202">
        <f t="shared" si="416"/>
        <v>41153.57039865906</v>
      </c>
      <c r="DQ385" s="202">
        <f t="shared" si="417"/>
        <v>41153.57039865906</v>
      </c>
      <c r="DR385" s="9">
        <f t="shared" si="418"/>
        <v>40935.768040974719</v>
      </c>
      <c r="DS385" s="9">
        <f t="shared" si="410"/>
        <v>42696.258899645465</v>
      </c>
      <c r="DT385" s="9">
        <f t="shared" si="419"/>
        <v>35804.866451476883</v>
      </c>
      <c r="DU385" s="202">
        <f t="shared" si="420"/>
        <v>41153.57039865906</v>
      </c>
      <c r="DV385" s="202">
        <f t="shared" si="421"/>
        <v>41153.57039865906</v>
      </c>
      <c r="DW385" s="202">
        <f t="shared" si="422"/>
        <v>41153.57039865906</v>
      </c>
      <c r="DX385" s="203">
        <f t="shared" si="423"/>
        <v>0.78526091356188654</v>
      </c>
      <c r="DY385" s="203">
        <f t="shared" si="424"/>
        <v>0.78526091356188654</v>
      </c>
      <c r="DZ385" s="203">
        <f t="shared" si="425"/>
        <v>0.78526091356188654</v>
      </c>
      <c r="EA385" s="19">
        <f t="shared" si="426"/>
        <v>0.78436474686474589</v>
      </c>
      <c r="EB385" s="19">
        <f t="shared" si="411"/>
        <v>0.79140130820428578</v>
      </c>
      <c r="EC385" s="19">
        <f t="shared" si="427"/>
        <v>0.76085366956844724</v>
      </c>
      <c r="ED385" s="203">
        <f t="shared" si="428"/>
        <v>0.78526091356188654</v>
      </c>
      <c r="EE385" s="203">
        <f t="shared" si="429"/>
        <v>0.78526091356188654</v>
      </c>
      <c r="EF385" s="203">
        <f t="shared" si="430"/>
        <v>0.78526091356188654</v>
      </c>
      <c r="EH385" s="58">
        <f t="shared" si="364"/>
        <v>10112.411818035511</v>
      </c>
      <c r="EI385" s="68">
        <f t="shared" si="365"/>
        <v>0.1874397464354948</v>
      </c>
      <c r="EJ385" s="58">
        <f t="shared" si="366"/>
        <v>10112.411818035511</v>
      </c>
      <c r="EK385" s="68">
        <f t="shared" si="365"/>
        <v>0.1874397464354948</v>
      </c>
      <c r="EL385" s="58">
        <f t="shared" si="367"/>
        <v>6129.2621455403068</v>
      </c>
      <c r="EM385" s="58">
        <f t="shared" si="368"/>
        <v>6873.1938180355119</v>
      </c>
      <c r="EN385" s="68">
        <f t="shared" si="369"/>
        <v>0.12739885693310898</v>
      </c>
      <c r="EO385" s="139">
        <f t="shared" si="387"/>
        <v>0.24029016665052916</v>
      </c>
      <c r="EP385">
        <f>+(SUM(M385:O385)*EO385*(1-'[1]Tier 3 Data'!$A$2))</f>
        <v>1391.1156779703529</v>
      </c>
    </row>
    <row r="386" spans="1:146" x14ac:dyDescent="0.2">
      <c r="A386" s="43">
        <v>0</v>
      </c>
      <c r="B386" s="43">
        <v>0</v>
      </c>
      <c r="C386" s="43">
        <v>0</v>
      </c>
      <c r="D386" s="70">
        <v>2039</v>
      </c>
      <c r="E386" s="70">
        <v>7</v>
      </c>
      <c r="F386" s="2">
        <v>744</v>
      </c>
      <c r="G386" s="133">
        <f t="shared" si="380"/>
        <v>47883.494812013676</v>
      </c>
      <c r="H386" s="65">
        <v>47883.494812013676</v>
      </c>
      <c r="I386" s="133">
        <f t="shared" si="381"/>
        <v>47883.494812013676</v>
      </c>
      <c r="J386" s="133">
        <f t="shared" si="440"/>
        <v>6950.4630625000009</v>
      </c>
      <c r="K386" s="65">
        <v>6950.4630625000009</v>
      </c>
      <c r="L386" s="133">
        <f t="shared" si="441"/>
        <v>6950.4630625000009</v>
      </c>
      <c r="M386" s="65">
        <v>1709.2251160000674</v>
      </c>
      <c r="N386" s="65">
        <v>3680.5074579497937</v>
      </c>
      <c r="O386" s="65">
        <v>1114.5474199116852</v>
      </c>
      <c r="P386" s="200">
        <f t="shared" si="434"/>
        <v>38981.747751355215</v>
      </c>
      <c r="Q386" s="200">
        <f t="shared" si="435"/>
        <v>38981.747751355215</v>
      </c>
      <c r="R386" s="200">
        <f t="shared" si="436"/>
        <v>38981.747751355215</v>
      </c>
      <c r="S386" s="133">
        <f t="shared" si="382"/>
        <v>40598.667523540171</v>
      </c>
      <c r="T386" s="133">
        <f t="shared" si="383"/>
        <v>40598.667523540171</v>
      </c>
      <c r="U386" s="133">
        <f t="shared" si="384"/>
        <v>40598.667523540171</v>
      </c>
      <c r="V386" s="200">
        <f t="shared" si="437"/>
        <v>38981.747751355215</v>
      </c>
      <c r="W386" s="200">
        <f t="shared" si="438"/>
        <v>38981.747751355215</v>
      </c>
      <c r="X386" s="200">
        <f t="shared" si="439"/>
        <v>38981.747751355215</v>
      </c>
      <c r="Y386" s="65">
        <v>19304.344615284132</v>
      </c>
      <c r="Z386" s="65">
        <v>22619.799134851095</v>
      </c>
      <c r="AA386" s="65">
        <v>14042.838709014615</v>
      </c>
      <c r="AB386" s="200">
        <f t="shared" si="373"/>
        <v>61601.546886206314</v>
      </c>
      <c r="AC386" s="200">
        <f t="shared" si="374"/>
        <v>61601.546886206314</v>
      </c>
      <c r="AD386" s="200">
        <f t="shared" si="375"/>
        <v>61601.546886206314</v>
      </c>
      <c r="AE386" s="199">
        <f t="shared" si="413"/>
        <v>59903.012138824299</v>
      </c>
      <c r="AF386" s="199">
        <f t="shared" si="376"/>
        <v>63218.466658391262</v>
      </c>
      <c r="AG386" s="199">
        <f t="shared" si="414"/>
        <v>54641.506232554784</v>
      </c>
      <c r="AH386" s="199">
        <f t="shared" si="385"/>
        <v>58929.986445473027</v>
      </c>
      <c r="AI386" s="200">
        <f t="shared" si="377"/>
        <v>61601.546886206314</v>
      </c>
      <c r="AJ386" s="200">
        <f t="shared" si="378"/>
        <v>61601.546886206314</v>
      </c>
      <c r="AK386" s="200">
        <f t="shared" si="379"/>
        <v>61601.546886206314</v>
      </c>
      <c r="AL386" s="4"/>
      <c r="AM386" s="4"/>
      <c r="AN386" s="4"/>
      <c r="AO386" s="4"/>
      <c r="AP386" s="63"/>
      <c r="AQ386" s="18"/>
      <c r="AR386" s="18"/>
      <c r="AS386" s="18"/>
      <c r="AT386" s="18">
        <v>0</v>
      </c>
      <c r="AU386" s="133">
        <f t="shared" si="388"/>
        <v>118.521</v>
      </c>
      <c r="AV386" s="133">
        <f t="shared" si="388"/>
        <v>3084.53</v>
      </c>
      <c r="AW386" s="192"/>
      <c r="AX386" s="192"/>
      <c r="AY386" s="192"/>
      <c r="AZ386" s="194"/>
      <c r="BA386" s="194"/>
      <c r="BB386" s="194"/>
      <c r="BC386" s="65">
        <v>267.94008201245106</v>
      </c>
      <c r="BD386" s="65">
        <v>0</v>
      </c>
      <c r="BE386" s="65">
        <v>0</v>
      </c>
      <c r="BF386" s="65">
        <v>0</v>
      </c>
      <c r="BG386" s="65">
        <v>0</v>
      </c>
      <c r="BH386" s="65">
        <v>0</v>
      </c>
      <c r="BI386" s="65">
        <v>1455.8225062086576</v>
      </c>
      <c r="BJ386" s="65">
        <v>0</v>
      </c>
      <c r="BK386" s="65">
        <v>9.5733821057653241</v>
      </c>
      <c r="BL386" s="65">
        <v>0</v>
      </c>
      <c r="BM386" s="65">
        <v>0</v>
      </c>
      <c r="BN386" s="65">
        <v>0</v>
      </c>
      <c r="BO386" s="65">
        <v>212.18019192</v>
      </c>
      <c r="BP386" s="5"/>
      <c r="BQ386" s="4">
        <v>160.00470416461744</v>
      </c>
      <c r="BR386" s="65">
        <v>209.05129865542796</v>
      </c>
      <c r="BS386" s="65">
        <v>756.44408095101846</v>
      </c>
      <c r="BT386" s="65">
        <v>259.44851279887411</v>
      </c>
      <c r="BU386" s="65">
        <v>285.39291093673205</v>
      </c>
      <c r="BV386" s="144">
        <f t="shared" si="370"/>
        <v>1196.4575812000471</v>
      </c>
      <c r="BW386" s="144">
        <f t="shared" si="371"/>
        <v>2576.3552205648552</v>
      </c>
      <c r="BX386" s="144">
        <f t="shared" si="372"/>
        <v>780.18319393817956</v>
      </c>
      <c r="BY386" s="5"/>
      <c r="BZ386" s="5"/>
      <c r="CA386" s="4"/>
      <c r="CB386" s="5"/>
      <c r="CC386" s="5"/>
      <c r="CD386" s="5"/>
      <c r="CE386" s="5"/>
      <c r="CF386" s="64"/>
      <c r="CG386" s="70"/>
      <c r="CH386" s="70"/>
      <c r="CI386" s="70"/>
      <c r="CJ386" s="63"/>
      <c r="CK386" s="8">
        <f t="shared" si="431"/>
        <v>11371.904665456626</v>
      </c>
      <c r="CL386" s="202">
        <f t="shared" si="389"/>
        <v>50229.642220749687</v>
      </c>
      <c r="CM386" s="202">
        <f t="shared" si="390"/>
        <v>50229.642220749687</v>
      </c>
      <c r="CN386" s="202">
        <f t="shared" si="391"/>
        <v>50229.642220749687</v>
      </c>
      <c r="CO386" s="9">
        <f t="shared" si="392"/>
        <v>48531.107473367672</v>
      </c>
      <c r="CP386" s="9">
        <f t="shared" si="393"/>
        <v>51846.561992934636</v>
      </c>
      <c r="CQ386" s="9">
        <f t="shared" si="394"/>
        <v>43269.601567098158</v>
      </c>
      <c r="CR386" s="202">
        <f t="shared" si="395"/>
        <v>50229.642220749687</v>
      </c>
      <c r="CS386" s="202">
        <f t="shared" si="396"/>
        <v>50229.642220749687</v>
      </c>
      <c r="CT386" s="202">
        <f t="shared" si="397"/>
        <v>50229.642220749687</v>
      </c>
      <c r="CU386" s="203">
        <f t="shared" si="398"/>
        <v>0.81539579377018856</v>
      </c>
      <c r="CV386" s="203">
        <f t="shared" si="399"/>
        <v>0.81539579377018856</v>
      </c>
      <c r="CW386" s="203">
        <f t="shared" si="400"/>
        <v>0.81539579377018856</v>
      </c>
      <c r="CX386" s="19">
        <f t="shared" si="401"/>
        <v>0.81016138822698236</v>
      </c>
      <c r="CY386" s="19">
        <f t="shared" si="402"/>
        <v>0.82011736021839776</v>
      </c>
      <c r="CZ386" s="19">
        <f t="shared" si="403"/>
        <v>0.79188156678811727</v>
      </c>
      <c r="DA386" s="203">
        <f t="shared" si="404"/>
        <v>0.81539579377018856</v>
      </c>
      <c r="DB386" s="203">
        <f t="shared" si="405"/>
        <v>0.81539579377018856</v>
      </c>
      <c r="DC386" s="203">
        <f t="shared" si="406"/>
        <v>0.81539579377018856</v>
      </c>
      <c r="DD386" s="65"/>
      <c r="DE386" s="66"/>
      <c r="DF386" s="66"/>
      <c r="DG386" s="66"/>
      <c r="DH386" s="66"/>
      <c r="DI386" s="66"/>
      <c r="DJ386" s="66"/>
      <c r="DK386" s="70"/>
      <c r="DL386" s="70"/>
      <c r="DM386" s="8">
        <f t="shared" si="432"/>
        <v>0</v>
      </c>
      <c r="DN386" s="8">
        <f t="shared" si="433"/>
        <v>11371.904665456626</v>
      </c>
      <c r="DO386" s="202">
        <f t="shared" si="415"/>
        <v>50229.642220749687</v>
      </c>
      <c r="DP386" s="202">
        <f t="shared" si="416"/>
        <v>50229.642220749687</v>
      </c>
      <c r="DQ386" s="202">
        <f t="shared" si="417"/>
        <v>50229.642220749687</v>
      </c>
      <c r="DR386" s="9">
        <f t="shared" si="418"/>
        <v>48531.107473367672</v>
      </c>
      <c r="DS386" s="9">
        <f t="shared" si="410"/>
        <v>51846.561992934636</v>
      </c>
      <c r="DT386" s="9">
        <f t="shared" si="419"/>
        <v>43269.601567098158</v>
      </c>
      <c r="DU386" s="202">
        <f t="shared" si="420"/>
        <v>50229.642220749687</v>
      </c>
      <c r="DV386" s="202">
        <f t="shared" si="421"/>
        <v>50229.642220749687</v>
      </c>
      <c r="DW386" s="202">
        <f t="shared" si="422"/>
        <v>50229.642220749687</v>
      </c>
      <c r="DX386" s="203">
        <f t="shared" si="423"/>
        <v>0.81539579377018856</v>
      </c>
      <c r="DY386" s="203">
        <f t="shared" si="424"/>
        <v>0.81539579377018856</v>
      </c>
      <c r="DZ386" s="203">
        <f t="shared" si="425"/>
        <v>0.81539579377018856</v>
      </c>
      <c r="EA386" s="19">
        <f t="shared" si="426"/>
        <v>0.81016138822698236</v>
      </c>
      <c r="EB386" s="19">
        <f t="shared" si="411"/>
        <v>0.82011736021839776</v>
      </c>
      <c r="EC386" s="19">
        <f t="shared" si="427"/>
        <v>0.79188156678811727</v>
      </c>
      <c r="ED386" s="203">
        <f t="shared" si="428"/>
        <v>0.81539579377018856</v>
      </c>
      <c r="EE386" s="203">
        <f t="shared" si="429"/>
        <v>0.81539579377018856</v>
      </c>
      <c r="EF386" s="203">
        <f t="shared" si="430"/>
        <v>0.81539579377018856</v>
      </c>
      <c r="EH386" s="58">
        <f t="shared" si="364"/>
        <v>10175.447084256579</v>
      </c>
      <c r="EI386" s="68">
        <f t="shared" si="365"/>
        <v>0.16095687893287344</v>
      </c>
      <c r="EJ386" s="58">
        <f t="shared" si="366"/>
        <v>10175.447084256579</v>
      </c>
      <c r="EK386" s="68">
        <f t="shared" si="365"/>
        <v>0.16095687893287344</v>
      </c>
      <c r="EL386" s="58">
        <f t="shared" si="367"/>
        <v>6192.2128903184002</v>
      </c>
      <c r="EM386" s="58">
        <f t="shared" si="368"/>
        <v>6972.3960842565793</v>
      </c>
      <c r="EN386" s="68">
        <f t="shared" si="369"/>
        <v>0.1102904966349908</v>
      </c>
      <c r="EO386" s="139">
        <f t="shared" si="387"/>
        <v>0.25197746931178833</v>
      </c>
      <c r="EP386">
        <f>+(SUM(M386:O386)*EO386*(1-'[1]Tier 3 Data'!$A$2))</f>
        <v>1529.1235677077752</v>
      </c>
    </row>
    <row r="387" spans="1:146" x14ac:dyDescent="0.2">
      <c r="A387" s="43">
        <v>0</v>
      </c>
      <c r="B387" s="43">
        <v>0</v>
      </c>
      <c r="C387" s="43">
        <v>0</v>
      </c>
      <c r="D387" s="70">
        <v>2039</v>
      </c>
      <c r="E387" s="70">
        <v>8</v>
      </c>
      <c r="F387" s="2">
        <v>744</v>
      </c>
      <c r="G387" s="133">
        <f t="shared" si="380"/>
        <v>45729.896816077235</v>
      </c>
      <c r="H387" s="65">
        <v>45729.896816077235</v>
      </c>
      <c r="I387" s="133">
        <f t="shared" si="381"/>
        <v>45729.896816077235</v>
      </c>
      <c r="J387" s="133">
        <f t="shared" si="440"/>
        <v>6989.8377500000006</v>
      </c>
      <c r="K387" s="65">
        <v>6989.8377500000006</v>
      </c>
      <c r="L387" s="133">
        <f t="shared" si="441"/>
        <v>6989.8377500000006</v>
      </c>
      <c r="M387" s="65">
        <v>1523.4196774399222</v>
      </c>
      <c r="N387" s="65">
        <v>3280.4090180505418</v>
      </c>
      <c r="O387" s="65">
        <v>994.19339916217223</v>
      </c>
      <c r="P387" s="200">
        <f t="shared" si="434"/>
        <v>37000.652437681441</v>
      </c>
      <c r="Q387" s="200">
        <f t="shared" si="435"/>
        <v>37000.652437681441</v>
      </c>
      <c r="R387" s="200">
        <f t="shared" si="436"/>
        <v>37000.652437681441</v>
      </c>
      <c r="S387" s="133">
        <f t="shared" si="382"/>
        <v>38441.801046328583</v>
      </c>
      <c r="T387" s="133">
        <f t="shared" si="383"/>
        <v>38441.801046328583</v>
      </c>
      <c r="U387" s="133">
        <f t="shared" si="384"/>
        <v>38441.801046328583</v>
      </c>
      <c r="V387" s="200">
        <f t="shared" si="437"/>
        <v>37000.652437681441</v>
      </c>
      <c r="W387" s="200">
        <f t="shared" si="438"/>
        <v>37000.652437681441</v>
      </c>
      <c r="X387" s="200">
        <f t="shared" si="439"/>
        <v>37000.652437681441</v>
      </c>
      <c r="Y387" s="65">
        <v>18496.795356751049</v>
      </c>
      <c r="Z387" s="65">
        <v>21066.40645848012</v>
      </c>
      <c r="AA387" s="65">
        <v>13359.021254962887</v>
      </c>
      <c r="AB387" s="200">
        <f t="shared" si="373"/>
        <v>58067.058896161558</v>
      </c>
      <c r="AC387" s="200">
        <f t="shared" si="374"/>
        <v>58067.058896161558</v>
      </c>
      <c r="AD387" s="200">
        <f t="shared" si="375"/>
        <v>58067.058896161558</v>
      </c>
      <c r="AE387" s="199">
        <f t="shared" si="413"/>
        <v>56938.596403079631</v>
      </c>
      <c r="AF387" s="199">
        <f t="shared" si="376"/>
        <v>59508.207504808699</v>
      </c>
      <c r="AG387" s="199">
        <f t="shared" si="414"/>
        <v>51800.822301291468</v>
      </c>
      <c r="AH387" s="199">
        <f t="shared" si="385"/>
        <v>55654.514903050083</v>
      </c>
      <c r="AI387" s="200">
        <f t="shared" si="377"/>
        <v>58067.058896161558</v>
      </c>
      <c r="AJ387" s="200">
        <f t="shared" si="378"/>
        <v>58067.058896161558</v>
      </c>
      <c r="AK387" s="200">
        <f t="shared" si="379"/>
        <v>58067.058896161558</v>
      </c>
      <c r="AL387" s="4"/>
      <c r="AM387" s="4"/>
      <c r="AN387" s="4"/>
      <c r="AO387" s="4"/>
      <c r="AP387" s="63"/>
      <c r="AQ387" s="18"/>
      <c r="AR387" s="18"/>
      <c r="AS387" s="18"/>
      <c r="AT387" s="18">
        <v>0</v>
      </c>
      <c r="AU387" s="133">
        <f t="shared" si="388"/>
        <v>107.64</v>
      </c>
      <c r="AV387" s="133">
        <f t="shared" si="388"/>
        <v>3021.9279999999999</v>
      </c>
      <c r="AW387" s="194"/>
      <c r="AX387" s="194"/>
      <c r="AY387" s="194"/>
      <c r="AZ387" s="194"/>
      <c r="BA387" s="194"/>
      <c r="BB387" s="194"/>
      <c r="BC387" s="65">
        <v>231.46105707874224</v>
      </c>
      <c r="BD387" s="65">
        <v>0</v>
      </c>
      <c r="BE387" s="65">
        <v>0</v>
      </c>
      <c r="BF387" s="65">
        <v>0</v>
      </c>
      <c r="BG387" s="65">
        <v>0</v>
      </c>
      <c r="BH387" s="65">
        <v>0</v>
      </c>
      <c r="BI387" s="65">
        <v>1411.8201992203949</v>
      </c>
      <c r="BJ387" s="65">
        <v>0</v>
      </c>
      <c r="BK387" s="65">
        <v>11.152893841525399</v>
      </c>
      <c r="BL387" s="65">
        <v>0</v>
      </c>
      <c r="BM387" s="65">
        <v>0</v>
      </c>
      <c r="BN387" s="65">
        <v>0</v>
      </c>
      <c r="BO387" s="65">
        <v>212.18019192</v>
      </c>
      <c r="BP387" s="5"/>
      <c r="BQ387" s="4">
        <v>151.85690560676176</v>
      </c>
      <c r="BR387" s="65">
        <v>198.40599927683533</v>
      </c>
      <c r="BS387" s="65">
        <v>717.92447619629661</v>
      </c>
      <c r="BT387" s="65">
        <v>246.24308309446616</v>
      </c>
      <c r="BU387" s="65">
        <v>265.55298492336306</v>
      </c>
      <c r="BV387" s="144">
        <f t="shared" si="370"/>
        <v>1066.3937742079454</v>
      </c>
      <c r="BW387" s="144">
        <f t="shared" si="371"/>
        <v>2296.2863126353791</v>
      </c>
      <c r="BX387" s="144">
        <f t="shared" si="372"/>
        <v>695.93537941352054</v>
      </c>
      <c r="BY387" s="5"/>
      <c r="BZ387" s="5"/>
      <c r="CA387" s="4"/>
      <c r="CB387" s="5"/>
      <c r="CC387" s="5"/>
      <c r="CD387" s="5"/>
      <c r="CE387" s="5"/>
      <c r="CF387" s="64"/>
      <c r="CG387" s="70"/>
      <c r="CH387" s="70"/>
      <c r="CI387" s="70"/>
      <c r="CJ387" s="63"/>
      <c r="CK387" s="8">
        <f t="shared" si="431"/>
        <v>10634.781257415229</v>
      </c>
      <c r="CL387" s="202">
        <f t="shared" si="389"/>
        <v>47432.277638746331</v>
      </c>
      <c r="CM387" s="202">
        <f t="shared" si="390"/>
        <v>47432.277638746331</v>
      </c>
      <c r="CN387" s="202">
        <f t="shared" si="391"/>
        <v>47432.277638746331</v>
      </c>
      <c r="CO387" s="9">
        <f t="shared" si="392"/>
        <v>46303.815145664405</v>
      </c>
      <c r="CP387" s="9">
        <f t="shared" si="393"/>
        <v>48873.426247393472</v>
      </c>
      <c r="CQ387" s="9">
        <f t="shared" si="394"/>
        <v>41166.041043876241</v>
      </c>
      <c r="CR387" s="202">
        <f t="shared" si="395"/>
        <v>47432.277638746331</v>
      </c>
      <c r="CS387" s="202">
        <f t="shared" si="396"/>
        <v>47432.277638746331</v>
      </c>
      <c r="CT387" s="202">
        <f t="shared" si="397"/>
        <v>47432.277638746331</v>
      </c>
      <c r="CU387" s="203">
        <f t="shared" si="398"/>
        <v>0.81685345427201883</v>
      </c>
      <c r="CV387" s="203">
        <f t="shared" si="399"/>
        <v>0.81685345427201883</v>
      </c>
      <c r="CW387" s="203">
        <f t="shared" si="400"/>
        <v>0.81685345427201883</v>
      </c>
      <c r="CX387" s="19">
        <f t="shared" si="401"/>
        <v>0.81322368429791458</v>
      </c>
      <c r="CY387" s="19">
        <f t="shared" si="402"/>
        <v>0.82128883219082249</v>
      </c>
      <c r="CZ387" s="19">
        <f t="shared" si="403"/>
        <v>0.79469860158667627</v>
      </c>
      <c r="DA387" s="203">
        <f t="shared" si="404"/>
        <v>0.81685345427201883</v>
      </c>
      <c r="DB387" s="203">
        <f t="shared" si="405"/>
        <v>0.81685345427201883</v>
      </c>
      <c r="DC387" s="203">
        <f t="shared" si="406"/>
        <v>0.81685345427201883</v>
      </c>
      <c r="DD387" s="65"/>
      <c r="DE387" s="66"/>
      <c r="DF387" s="66"/>
      <c r="DG387" s="66"/>
      <c r="DH387" s="66"/>
      <c r="DI387" s="66"/>
      <c r="DJ387" s="66"/>
      <c r="DK387" s="70"/>
      <c r="DL387" s="70"/>
      <c r="DM387" s="8">
        <f t="shared" si="432"/>
        <v>0</v>
      </c>
      <c r="DN387" s="8">
        <f t="shared" si="433"/>
        <v>10634.781257415229</v>
      </c>
      <c r="DO387" s="202">
        <f t="shared" si="415"/>
        <v>47432.277638746331</v>
      </c>
      <c r="DP387" s="202">
        <f t="shared" si="416"/>
        <v>47432.277638746331</v>
      </c>
      <c r="DQ387" s="202">
        <f t="shared" si="417"/>
        <v>47432.277638746331</v>
      </c>
      <c r="DR387" s="9">
        <f t="shared" si="418"/>
        <v>46303.815145664405</v>
      </c>
      <c r="DS387" s="9">
        <f t="shared" si="410"/>
        <v>48873.426247393472</v>
      </c>
      <c r="DT387" s="9">
        <f t="shared" si="419"/>
        <v>41166.041043876241</v>
      </c>
      <c r="DU387" s="202">
        <f t="shared" si="420"/>
        <v>47432.277638746331</v>
      </c>
      <c r="DV387" s="202">
        <f t="shared" si="421"/>
        <v>47432.277638746331</v>
      </c>
      <c r="DW387" s="202">
        <f t="shared" si="422"/>
        <v>47432.277638746331</v>
      </c>
      <c r="DX387" s="203">
        <f t="shared" si="423"/>
        <v>0.81685345427201883</v>
      </c>
      <c r="DY387" s="203">
        <f t="shared" si="424"/>
        <v>0.81685345427201883</v>
      </c>
      <c r="DZ387" s="203">
        <f t="shared" si="425"/>
        <v>0.81685345427201883</v>
      </c>
      <c r="EA387" s="19">
        <f t="shared" si="426"/>
        <v>0.81322368429791458</v>
      </c>
      <c r="EB387" s="19">
        <f t="shared" si="411"/>
        <v>0.82128883219082249</v>
      </c>
      <c r="EC387" s="19">
        <f t="shared" si="427"/>
        <v>0.79469860158667627</v>
      </c>
      <c r="ED387" s="203">
        <f t="shared" si="428"/>
        <v>0.81685345427201883</v>
      </c>
      <c r="EE387" s="203">
        <f t="shared" si="429"/>
        <v>0.81685345427201883</v>
      </c>
      <c r="EF387" s="203">
        <f t="shared" si="430"/>
        <v>0.81685345427201883</v>
      </c>
      <c r="EH387" s="58">
        <f t="shared" si="364"/>
        <v>9568.3874832072834</v>
      </c>
      <c r="EI387" s="68">
        <f t="shared" si="365"/>
        <v>0.16079105529155938</v>
      </c>
      <c r="EJ387" s="58">
        <f t="shared" si="366"/>
        <v>9568.3874832072834</v>
      </c>
      <c r="EK387" s="68">
        <f t="shared" si="365"/>
        <v>0.16079105529155938</v>
      </c>
      <c r="EL387" s="58">
        <f t="shared" si="367"/>
        <v>5742.8841037937655</v>
      </c>
      <c r="EM387" s="58">
        <f t="shared" si="368"/>
        <v>6438.8194832072859</v>
      </c>
      <c r="EN387" s="68">
        <f t="shared" si="369"/>
        <v>0.10820052818238529</v>
      </c>
      <c r="EO387" s="139">
        <f t="shared" si="387"/>
        <v>0.28519905910129462</v>
      </c>
      <c r="EP387">
        <f>+(SUM(M387:O387)*EO387*(1-'[1]Tier 3 Data'!$A$2))</f>
        <v>1542.7998861585384</v>
      </c>
    </row>
    <row r="388" spans="1:146" x14ac:dyDescent="0.2">
      <c r="A388" s="43">
        <v>0</v>
      </c>
      <c r="B388" s="43">
        <v>0</v>
      </c>
      <c r="C388" s="43">
        <v>0</v>
      </c>
      <c r="D388" s="70">
        <v>2039</v>
      </c>
      <c r="E388" s="70">
        <v>9</v>
      </c>
      <c r="F388" s="2">
        <v>720</v>
      </c>
      <c r="G388" s="133">
        <f t="shared" si="380"/>
        <v>39725.403368782259</v>
      </c>
      <c r="H388" s="65">
        <v>39725.403368782259</v>
      </c>
      <c r="I388" s="133">
        <f t="shared" si="381"/>
        <v>39725.403368782259</v>
      </c>
      <c r="J388" s="133">
        <f t="shared" si="440"/>
        <v>7029.2124375000003</v>
      </c>
      <c r="K388" s="65">
        <v>7029.2124375000003</v>
      </c>
      <c r="L388" s="133">
        <f t="shared" si="441"/>
        <v>7029.2124375000003</v>
      </c>
      <c r="M388" s="65">
        <v>1305.6369062084025</v>
      </c>
      <c r="N388" s="65">
        <v>2811.4531700307239</v>
      </c>
      <c r="O388" s="65">
        <v>852.55930342503541</v>
      </c>
      <c r="P388" s="200">
        <f t="shared" si="434"/>
        <v>31205.296117383012</v>
      </c>
      <c r="Q388" s="200">
        <f t="shared" si="435"/>
        <v>31205.296117383012</v>
      </c>
      <c r="R388" s="200">
        <f t="shared" si="436"/>
        <v>31205.296117383012</v>
      </c>
      <c r="S388" s="133">
        <f t="shared" si="382"/>
        <v>32440.423140254752</v>
      </c>
      <c r="T388" s="133">
        <f t="shared" si="383"/>
        <v>32440.423140254752</v>
      </c>
      <c r="U388" s="133">
        <f t="shared" si="384"/>
        <v>32440.423140254752</v>
      </c>
      <c r="V388" s="200">
        <f t="shared" si="437"/>
        <v>31205.296117383012</v>
      </c>
      <c r="W388" s="200">
        <f t="shared" si="438"/>
        <v>31205.296117383012</v>
      </c>
      <c r="X388" s="200">
        <f t="shared" si="439"/>
        <v>31205.296117383012</v>
      </c>
      <c r="Y388" s="65">
        <v>17424.045411374573</v>
      </c>
      <c r="Z388" s="65">
        <v>19401.646387297034</v>
      </c>
      <c r="AA388" s="65">
        <v>12389.135673986793</v>
      </c>
      <c r="AB388" s="200">
        <f t="shared" si="373"/>
        <v>50606.942504680046</v>
      </c>
      <c r="AC388" s="200">
        <f t="shared" si="374"/>
        <v>50606.942504680046</v>
      </c>
      <c r="AD388" s="200">
        <f t="shared" si="375"/>
        <v>50606.942504680046</v>
      </c>
      <c r="AE388" s="199">
        <f t="shared" si="413"/>
        <v>49864.468551629325</v>
      </c>
      <c r="AF388" s="199">
        <f t="shared" si="376"/>
        <v>51842.069527551786</v>
      </c>
      <c r="AG388" s="199">
        <f t="shared" si="414"/>
        <v>44829.558814241544</v>
      </c>
      <c r="AH388" s="199">
        <f t="shared" si="385"/>
        <v>48335.814170896665</v>
      </c>
      <c r="AI388" s="200">
        <f t="shared" si="377"/>
        <v>50606.942504680046</v>
      </c>
      <c r="AJ388" s="200">
        <f t="shared" si="378"/>
        <v>50606.942504680046</v>
      </c>
      <c r="AK388" s="200">
        <f t="shared" si="379"/>
        <v>50606.942504680046</v>
      </c>
      <c r="AL388" s="4"/>
      <c r="AM388" s="4"/>
      <c r="AN388" s="4"/>
      <c r="AO388" s="4"/>
      <c r="AP388" s="63"/>
      <c r="AQ388" s="18"/>
      <c r="AR388" s="18"/>
      <c r="AS388" s="18"/>
      <c r="AT388" s="18">
        <v>0</v>
      </c>
      <c r="AU388" s="133">
        <f t="shared" si="388"/>
        <v>102.375</v>
      </c>
      <c r="AV388" s="133">
        <f t="shared" si="388"/>
        <v>2969.6280000000002</v>
      </c>
      <c r="AW388" s="194"/>
      <c r="AX388" s="194"/>
      <c r="AY388" s="194"/>
      <c r="AZ388" s="194"/>
      <c r="BA388" s="194"/>
      <c r="BB388" s="194"/>
      <c r="BC388" s="65">
        <v>156.92925013055751</v>
      </c>
      <c r="BD388" s="65">
        <v>0</v>
      </c>
      <c r="BE388" s="65">
        <v>0</v>
      </c>
      <c r="BF388" s="65">
        <v>0</v>
      </c>
      <c r="BG388" s="65">
        <v>0</v>
      </c>
      <c r="BH388" s="65">
        <v>0</v>
      </c>
      <c r="BI388" s="65">
        <v>1313.6220924826978</v>
      </c>
      <c r="BJ388" s="65">
        <v>0</v>
      </c>
      <c r="BK388" s="65">
        <v>13.355863258351745</v>
      </c>
      <c r="BL388" s="65">
        <v>0</v>
      </c>
      <c r="BM388" s="65">
        <v>0</v>
      </c>
      <c r="BN388" s="65">
        <v>0</v>
      </c>
      <c r="BO388" s="65">
        <v>205.33566960000002</v>
      </c>
      <c r="BP388" s="5"/>
      <c r="BQ388" s="4">
        <v>121.24551836673007</v>
      </c>
      <c r="BR388" s="65">
        <v>158.41126652992892</v>
      </c>
      <c r="BS388" s="65">
        <v>573.2050757513457</v>
      </c>
      <c r="BT388" s="65">
        <v>212.09050920316994</v>
      </c>
      <c r="BU388" s="65">
        <v>218.04009540008997</v>
      </c>
      <c r="BV388" s="144">
        <f t="shared" si="370"/>
        <v>913.94583434588162</v>
      </c>
      <c r="BW388" s="144">
        <f t="shared" si="371"/>
        <v>1968.0172190215067</v>
      </c>
      <c r="BX388" s="144">
        <f t="shared" si="372"/>
        <v>596.7915123975248</v>
      </c>
      <c r="BY388" s="5"/>
      <c r="BZ388" s="5"/>
      <c r="CA388" s="4"/>
      <c r="CB388" s="5"/>
      <c r="CC388" s="5"/>
      <c r="CD388" s="5"/>
      <c r="CE388" s="5"/>
      <c r="CF388" s="64"/>
      <c r="CG388" s="70"/>
      <c r="CH388" s="70"/>
      <c r="CI388" s="70"/>
      <c r="CJ388" s="63"/>
      <c r="CK388" s="8">
        <f t="shared" si="431"/>
        <v>9522.9929064877851</v>
      </c>
      <c r="CL388" s="202">
        <f t="shared" si="389"/>
        <v>41083.949598192259</v>
      </c>
      <c r="CM388" s="202">
        <f t="shared" si="390"/>
        <v>41083.949598192259</v>
      </c>
      <c r="CN388" s="202">
        <f t="shared" si="391"/>
        <v>41083.949598192259</v>
      </c>
      <c r="CO388" s="9">
        <f t="shared" si="392"/>
        <v>40341.475645141538</v>
      </c>
      <c r="CP388" s="9">
        <f t="shared" si="393"/>
        <v>42319.076621063999</v>
      </c>
      <c r="CQ388" s="9">
        <f t="shared" si="394"/>
        <v>35306.565907753757</v>
      </c>
      <c r="CR388" s="202">
        <f t="shared" si="395"/>
        <v>41083.949598192259</v>
      </c>
      <c r="CS388" s="202">
        <f t="shared" si="396"/>
        <v>41083.949598192259</v>
      </c>
      <c r="CT388" s="202">
        <f t="shared" si="397"/>
        <v>41083.949598192259</v>
      </c>
      <c r="CU388" s="203">
        <f t="shared" si="398"/>
        <v>0.81182437754252557</v>
      </c>
      <c r="CV388" s="203">
        <f t="shared" si="399"/>
        <v>0.81182437754252557</v>
      </c>
      <c r="CW388" s="203">
        <f t="shared" si="400"/>
        <v>0.81182437754252557</v>
      </c>
      <c r="CX388" s="19">
        <f t="shared" si="401"/>
        <v>0.80902247265249105</v>
      </c>
      <c r="CY388" s="19">
        <f t="shared" si="402"/>
        <v>0.8163076244202262</v>
      </c>
      <c r="CZ388" s="19">
        <f t="shared" si="403"/>
        <v>0.78757335208343604</v>
      </c>
      <c r="DA388" s="203">
        <f t="shared" si="404"/>
        <v>0.81182437754252557</v>
      </c>
      <c r="DB388" s="203">
        <f t="shared" si="405"/>
        <v>0.81182437754252557</v>
      </c>
      <c r="DC388" s="203">
        <f t="shared" si="406"/>
        <v>0.81182437754252557</v>
      </c>
      <c r="DD388" s="65"/>
      <c r="DE388" s="66"/>
      <c r="DF388" s="66"/>
      <c r="DG388" s="66"/>
      <c r="DH388" s="66"/>
      <c r="DI388" s="66"/>
      <c r="DJ388" s="66"/>
      <c r="DK388" s="70"/>
      <c r="DL388" s="70"/>
      <c r="DM388" s="8">
        <f t="shared" si="432"/>
        <v>0</v>
      </c>
      <c r="DN388" s="8">
        <f t="shared" si="433"/>
        <v>9522.9929064877851</v>
      </c>
      <c r="DO388" s="202">
        <f t="shared" si="415"/>
        <v>41083.949598192259</v>
      </c>
      <c r="DP388" s="202">
        <f t="shared" si="416"/>
        <v>41083.949598192259</v>
      </c>
      <c r="DQ388" s="202">
        <f t="shared" si="417"/>
        <v>41083.949598192259</v>
      </c>
      <c r="DR388" s="9">
        <f t="shared" si="418"/>
        <v>40341.475645141538</v>
      </c>
      <c r="DS388" s="9">
        <f t="shared" si="410"/>
        <v>42319.076621063999</v>
      </c>
      <c r="DT388" s="9">
        <f t="shared" si="419"/>
        <v>35306.565907753757</v>
      </c>
      <c r="DU388" s="202">
        <f t="shared" si="420"/>
        <v>41083.949598192259</v>
      </c>
      <c r="DV388" s="202">
        <f t="shared" si="421"/>
        <v>41083.949598192259</v>
      </c>
      <c r="DW388" s="202">
        <f t="shared" si="422"/>
        <v>41083.949598192259</v>
      </c>
      <c r="DX388" s="203">
        <f t="shared" si="423"/>
        <v>0.81182437754252557</v>
      </c>
      <c r="DY388" s="203">
        <f t="shared" si="424"/>
        <v>0.81182437754252557</v>
      </c>
      <c r="DZ388" s="203">
        <f t="shared" si="425"/>
        <v>0.81182437754252557</v>
      </c>
      <c r="EA388" s="19">
        <f t="shared" si="426"/>
        <v>0.80902247265249105</v>
      </c>
      <c r="EB388" s="19">
        <f t="shared" si="411"/>
        <v>0.8163076244202262</v>
      </c>
      <c r="EC388" s="19">
        <f t="shared" si="427"/>
        <v>0.78757335208343604</v>
      </c>
      <c r="ED388" s="203">
        <f t="shared" si="428"/>
        <v>0.81182437754252557</v>
      </c>
      <c r="EE388" s="203">
        <f t="shared" si="429"/>
        <v>0.81182437754252557</v>
      </c>
      <c r="EF388" s="203">
        <f t="shared" si="430"/>
        <v>0.81182437754252557</v>
      </c>
      <c r="EH388" s="58">
        <f t="shared" si="364"/>
        <v>8609.0470721419024</v>
      </c>
      <c r="EI388" s="68">
        <f t="shared" si="365"/>
        <v>0.16606295139445718</v>
      </c>
      <c r="EJ388" s="58">
        <f t="shared" si="366"/>
        <v>8609.0470721419024</v>
      </c>
      <c r="EK388" s="68">
        <f t="shared" si="365"/>
        <v>0.16606295139445718</v>
      </c>
      <c r="EL388" s="58">
        <f t="shared" si="367"/>
        <v>4940.2525597443782</v>
      </c>
      <c r="EM388" s="58">
        <f t="shared" si="368"/>
        <v>5537.0440721419027</v>
      </c>
      <c r="EN388" s="68">
        <f t="shared" si="369"/>
        <v>0.10680599988777853</v>
      </c>
      <c r="EO388" s="139">
        <f t="shared" si="387"/>
        <v>0.31860645638858931</v>
      </c>
      <c r="EP388">
        <f>+(SUM(M388:O388)*EO388*(1-'[1]Tier 3 Data'!$A$2))</f>
        <v>1477.2770989991968</v>
      </c>
    </row>
    <row r="389" spans="1:146" x14ac:dyDescent="0.2">
      <c r="A389" s="43">
        <v>0</v>
      </c>
      <c r="B389" s="43">
        <v>0</v>
      </c>
      <c r="C389" s="43">
        <v>0</v>
      </c>
      <c r="D389" s="70">
        <v>2039</v>
      </c>
      <c r="E389" s="70">
        <v>10</v>
      </c>
      <c r="F389" s="2">
        <v>744</v>
      </c>
      <c r="G389" s="133">
        <f t="shared" si="380"/>
        <v>41743.953822666168</v>
      </c>
      <c r="H389" s="65">
        <v>41743.953822666168</v>
      </c>
      <c r="I389" s="133">
        <f t="shared" si="381"/>
        <v>41743.953822666168</v>
      </c>
      <c r="J389" s="133">
        <f t="shared" si="440"/>
        <v>7068.587125</v>
      </c>
      <c r="K389" s="65">
        <v>7068.587125</v>
      </c>
      <c r="L389" s="133">
        <f t="shared" si="441"/>
        <v>7068.587125</v>
      </c>
      <c r="M389" s="65">
        <v>957.87478015852639</v>
      </c>
      <c r="N389" s="65">
        <v>2062.6102665784465</v>
      </c>
      <c r="O389" s="65">
        <v>625.83917821828084</v>
      </c>
      <c r="P389" s="200">
        <f t="shared" si="434"/>
        <v>33581.469430179597</v>
      </c>
      <c r="Q389" s="200">
        <f t="shared" si="435"/>
        <v>33581.469430179597</v>
      </c>
      <c r="R389" s="200">
        <f t="shared" si="436"/>
        <v>33581.469430179597</v>
      </c>
      <c r="S389" s="133">
        <f t="shared" si="382"/>
        <v>34487.614944200686</v>
      </c>
      <c r="T389" s="133">
        <f t="shared" si="383"/>
        <v>34487.614944200686</v>
      </c>
      <c r="U389" s="133">
        <f t="shared" si="384"/>
        <v>34487.614944200686</v>
      </c>
      <c r="V389" s="200">
        <f t="shared" si="437"/>
        <v>33581.469430179597</v>
      </c>
      <c r="W389" s="200">
        <f t="shared" si="438"/>
        <v>33581.469430179597</v>
      </c>
      <c r="X389" s="200">
        <f t="shared" si="439"/>
        <v>33581.469430179597</v>
      </c>
      <c r="Y389" s="65">
        <v>18936.214292247801</v>
      </c>
      <c r="Z389" s="65">
        <v>22399.504484586651</v>
      </c>
      <c r="AA389" s="65">
        <v>13791.238839770989</v>
      </c>
      <c r="AB389" s="200">
        <f t="shared" si="373"/>
        <v>55980.973914766248</v>
      </c>
      <c r="AC389" s="200">
        <f t="shared" si="374"/>
        <v>55980.973914766248</v>
      </c>
      <c r="AD389" s="200">
        <f t="shared" si="375"/>
        <v>55980.973914766248</v>
      </c>
      <c r="AE389" s="199">
        <f t="shared" si="413"/>
        <v>53423.829236448488</v>
      </c>
      <c r="AF389" s="199">
        <f t="shared" si="376"/>
        <v>56887.119428787337</v>
      </c>
      <c r="AG389" s="199">
        <f t="shared" si="414"/>
        <v>48278.853783971674</v>
      </c>
      <c r="AH389" s="199">
        <f t="shared" si="385"/>
        <v>52582.986606379505</v>
      </c>
      <c r="AI389" s="200">
        <f t="shared" si="377"/>
        <v>55980.973914766248</v>
      </c>
      <c r="AJ389" s="200">
        <f t="shared" si="378"/>
        <v>55980.973914766248</v>
      </c>
      <c r="AK389" s="200">
        <f t="shared" si="379"/>
        <v>55980.973914766248</v>
      </c>
      <c r="AL389" s="4"/>
      <c r="AM389" s="4"/>
      <c r="AN389" s="4"/>
      <c r="AO389" s="4"/>
      <c r="AP389" s="63"/>
      <c r="AQ389" s="18"/>
      <c r="AR389" s="18"/>
      <c r="AS389" s="18"/>
      <c r="AT389" s="18">
        <v>0</v>
      </c>
      <c r="AU389" s="133">
        <f t="shared" si="388"/>
        <v>118.17</v>
      </c>
      <c r="AV389" s="133">
        <f t="shared" si="388"/>
        <v>3225.1860000000001</v>
      </c>
      <c r="AW389" s="194"/>
      <c r="AX389" s="194"/>
      <c r="AY389" s="194"/>
      <c r="AZ389" s="194"/>
      <c r="BA389" s="194"/>
      <c r="BB389" s="194"/>
      <c r="BC389" s="65">
        <v>95.101881577204566</v>
      </c>
      <c r="BD389" s="65">
        <v>0</v>
      </c>
      <c r="BE389" s="65">
        <v>0</v>
      </c>
      <c r="BF389" s="65">
        <v>0</v>
      </c>
      <c r="BG389" s="65">
        <v>0</v>
      </c>
      <c r="BH389" s="65">
        <v>0</v>
      </c>
      <c r="BI389" s="65">
        <v>962.23428876102764</v>
      </c>
      <c r="BJ389" s="65">
        <v>0</v>
      </c>
      <c r="BK389" s="65">
        <v>16.565610887239799</v>
      </c>
      <c r="BL389" s="65">
        <v>0</v>
      </c>
      <c r="BM389" s="65">
        <v>0</v>
      </c>
      <c r="BN389" s="65">
        <v>0</v>
      </c>
      <c r="BO389" s="65">
        <v>212.18019192</v>
      </c>
      <c r="BP389" s="5"/>
      <c r="BQ389" s="4">
        <v>95.662845082895814</v>
      </c>
      <c r="BR389" s="65">
        <v>124.98662851840686</v>
      </c>
      <c r="BS389" s="65">
        <v>452.25930745618268</v>
      </c>
      <c r="BT389" s="65">
        <v>149.28877107103045</v>
      </c>
      <c r="BU389" s="65">
        <v>148.85170357396473</v>
      </c>
      <c r="BV389" s="144">
        <f t="shared" si="370"/>
        <v>670.51234611096845</v>
      </c>
      <c r="BW389" s="144">
        <f t="shared" si="371"/>
        <v>1443.8271866049124</v>
      </c>
      <c r="BX389" s="144">
        <f t="shared" si="372"/>
        <v>438.08742475279655</v>
      </c>
      <c r="BY389" s="5"/>
      <c r="BZ389" s="5"/>
      <c r="CA389" s="4"/>
      <c r="CB389" s="5"/>
      <c r="CC389" s="5"/>
      <c r="CD389" s="5"/>
      <c r="CE389" s="5"/>
      <c r="CF389" s="64"/>
      <c r="CG389" s="70"/>
      <c r="CH389" s="70"/>
      <c r="CI389" s="70"/>
      <c r="CJ389" s="63"/>
      <c r="CK389" s="8">
        <f t="shared" si="431"/>
        <v>8152.9141863166305</v>
      </c>
      <c r="CL389" s="202">
        <f t="shared" si="389"/>
        <v>47828.059728449618</v>
      </c>
      <c r="CM389" s="202">
        <f t="shared" si="390"/>
        <v>47828.059728449618</v>
      </c>
      <c r="CN389" s="202">
        <f t="shared" si="391"/>
        <v>47828.059728449618</v>
      </c>
      <c r="CO389" s="9">
        <f t="shared" si="392"/>
        <v>45270.915050131858</v>
      </c>
      <c r="CP389" s="9">
        <f t="shared" si="393"/>
        <v>48734.205242470707</v>
      </c>
      <c r="CQ389" s="9">
        <f t="shared" si="394"/>
        <v>40125.939597655044</v>
      </c>
      <c r="CR389" s="202">
        <f t="shared" si="395"/>
        <v>47828.059728449618</v>
      </c>
      <c r="CS389" s="202">
        <f t="shared" si="396"/>
        <v>47828.059728449618</v>
      </c>
      <c r="CT389" s="202">
        <f t="shared" si="397"/>
        <v>47828.059728449618</v>
      </c>
      <c r="CU389" s="203">
        <f t="shared" si="398"/>
        <v>0.85436276620106977</v>
      </c>
      <c r="CV389" s="203">
        <f t="shared" si="399"/>
        <v>0.85436276620106977</v>
      </c>
      <c r="CW389" s="203">
        <f t="shared" si="400"/>
        <v>0.85436276620106977</v>
      </c>
      <c r="CX389" s="19">
        <f t="shared" si="401"/>
        <v>0.84739180431577354</v>
      </c>
      <c r="CY389" s="19">
        <f t="shared" si="402"/>
        <v>0.856682597604144</v>
      </c>
      <c r="CZ389" s="19">
        <f t="shared" si="403"/>
        <v>0.83112867130612467</v>
      </c>
      <c r="DA389" s="203">
        <f t="shared" si="404"/>
        <v>0.85436276620106977</v>
      </c>
      <c r="DB389" s="203">
        <f t="shared" si="405"/>
        <v>0.85436276620106977</v>
      </c>
      <c r="DC389" s="203">
        <f t="shared" si="406"/>
        <v>0.85436276620106977</v>
      </c>
      <c r="DD389" s="65"/>
      <c r="DE389" s="66"/>
      <c r="DF389" s="66"/>
      <c r="DG389" s="66"/>
      <c r="DH389" s="66"/>
      <c r="DI389" s="66"/>
      <c r="DJ389" s="66"/>
      <c r="DK389" s="70"/>
      <c r="DL389" s="70"/>
      <c r="DM389" s="8">
        <f t="shared" si="432"/>
        <v>0</v>
      </c>
      <c r="DN389" s="8">
        <f t="shared" si="433"/>
        <v>8152.9141863166305</v>
      </c>
      <c r="DO389" s="202">
        <f t="shared" si="415"/>
        <v>47828.059728449618</v>
      </c>
      <c r="DP389" s="202">
        <f t="shared" si="416"/>
        <v>47828.059728449618</v>
      </c>
      <c r="DQ389" s="202">
        <f t="shared" si="417"/>
        <v>47828.059728449618</v>
      </c>
      <c r="DR389" s="9">
        <f t="shared" si="418"/>
        <v>45270.915050131858</v>
      </c>
      <c r="DS389" s="9">
        <f t="shared" si="410"/>
        <v>48734.205242470707</v>
      </c>
      <c r="DT389" s="9">
        <f t="shared" si="419"/>
        <v>40125.939597655044</v>
      </c>
      <c r="DU389" s="202">
        <f t="shared" si="420"/>
        <v>47828.059728449618</v>
      </c>
      <c r="DV389" s="202">
        <f t="shared" si="421"/>
        <v>47828.059728449618</v>
      </c>
      <c r="DW389" s="202">
        <f t="shared" si="422"/>
        <v>47828.059728449618</v>
      </c>
      <c r="DX389" s="203">
        <f t="shared" si="423"/>
        <v>0.85436276620106977</v>
      </c>
      <c r="DY389" s="203">
        <f t="shared" si="424"/>
        <v>0.85436276620106977</v>
      </c>
      <c r="DZ389" s="203">
        <f t="shared" si="425"/>
        <v>0.85436276620106977</v>
      </c>
      <c r="EA389" s="19">
        <f t="shared" si="426"/>
        <v>0.84739180431577354</v>
      </c>
      <c r="EB389" s="19">
        <f t="shared" si="411"/>
        <v>0.856682597604144</v>
      </c>
      <c r="EC389" s="19">
        <f t="shared" si="427"/>
        <v>0.83112867130612467</v>
      </c>
      <c r="ED389" s="203">
        <f t="shared" si="428"/>
        <v>0.85436276620106977</v>
      </c>
      <c r="EE389" s="203">
        <f t="shared" si="429"/>
        <v>0.85436276620106977</v>
      </c>
      <c r="EF389" s="203">
        <f t="shared" si="430"/>
        <v>0.85436276620106977</v>
      </c>
      <c r="EH389" s="58">
        <f t="shared" si="364"/>
        <v>7482.4018402056618</v>
      </c>
      <c r="EI389" s="68">
        <f t="shared" si="365"/>
        <v>0.13153068595031098</v>
      </c>
      <c r="EJ389" s="58">
        <f t="shared" si="366"/>
        <v>7482.4018402056618</v>
      </c>
      <c r="EK389" s="68">
        <f t="shared" si="365"/>
        <v>0.13153068595031098</v>
      </c>
      <c r="EL389" s="58">
        <f t="shared" si="367"/>
        <v>3700.9584154528648</v>
      </c>
      <c r="EM389" s="58">
        <f t="shared" si="368"/>
        <v>4139.0458402056611</v>
      </c>
      <c r="EN389" s="68">
        <f t="shared" si="369"/>
        <v>7.2758928238351353E-2</v>
      </c>
      <c r="EO389" s="139">
        <f t="shared" si="387"/>
        <v>0.35739486552628164</v>
      </c>
      <c r="EP389">
        <f>+(SUM(M389:O389)*EO389*(1-'[1]Tier 3 Data'!$A$2))</f>
        <v>1215.864659788218</v>
      </c>
    </row>
    <row r="390" spans="1:146" x14ac:dyDescent="0.2">
      <c r="A390" s="43">
        <v>0</v>
      </c>
      <c r="B390" s="43">
        <v>0</v>
      </c>
      <c r="C390" s="43">
        <v>0</v>
      </c>
      <c r="D390" s="70">
        <v>2039</v>
      </c>
      <c r="E390" s="70">
        <v>11</v>
      </c>
      <c r="F390" s="2">
        <v>721</v>
      </c>
      <c r="G390" s="133">
        <f t="shared" si="380"/>
        <v>44170.052902992815</v>
      </c>
      <c r="H390" s="65">
        <v>44170.052902992815</v>
      </c>
      <c r="I390" s="133">
        <f t="shared" si="381"/>
        <v>44170.052902992815</v>
      </c>
      <c r="J390" s="133">
        <f t="shared" si="440"/>
        <v>7107.9618124999997</v>
      </c>
      <c r="K390" s="65">
        <v>7107.9618124999997</v>
      </c>
      <c r="L390" s="133">
        <f t="shared" si="441"/>
        <v>7107.9618124999997</v>
      </c>
      <c r="M390" s="65">
        <v>391.15101618171565</v>
      </c>
      <c r="N390" s="65">
        <v>842.27303867993726</v>
      </c>
      <c r="O390" s="65">
        <v>255.75142222341591</v>
      </c>
      <c r="P390" s="200">
        <f t="shared" si="434"/>
        <v>36615.3384473673</v>
      </c>
      <c r="Q390" s="200">
        <f t="shared" si="435"/>
        <v>36615.3384473673</v>
      </c>
      <c r="R390" s="200">
        <f t="shared" si="436"/>
        <v>36615.3384473673</v>
      </c>
      <c r="S390" s="133">
        <f t="shared" si="382"/>
        <v>36985.365663825789</v>
      </c>
      <c r="T390" s="133">
        <f t="shared" si="383"/>
        <v>36985.365663825789</v>
      </c>
      <c r="U390" s="133">
        <f t="shared" si="384"/>
        <v>36985.365663825789</v>
      </c>
      <c r="V390" s="200">
        <f t="shared" si="437"/>
        <v>36615.3384473673</v>
      </c>
      <c r="W390" s="200">
        <f t="shared" si="438"/>
        <v>36615.3384473673</v>
      </c>
      <c r="X390" s="200">
        <f t="shared" si="439"/>
        <v>36615.3384473673</v>
      </c>
      <c r="Y390" s="65">
        <v>25931.962085824387</v>
      </c>
      <c r="Z390" s="65">
        <v>33987.395716614468</v>
      </c>
      <c r="AA390" s="65">
        <v>19667.492254168246</v>
      </c>
      <c r="AB390" s="200">
        <f t="shared" si="373"/>
        <v>70602.734163981775</v>
      </c>
      <c r="AC390" s="200">
        <f t="shared" si="374"/>
        <v>70602.734163981775</v>
      </c>
      <c r="AD390" s="200">
        <f t="shared" si="375"/>
        <v>70602.734163981775</v>
      </c>
      <c r="AE390" s="199">
        <f t="shared" si="413"/>
        <v>62917.327749650176</v>
      </c>
      <c r="AF390" s="199">
        <f t="shared" si="376"/>
        <v>70972.761380440264</v>
      </c>
      <c r="AG390" s="199">
        <f t="shared" si="414"/>
        <v>56652.857917994035</v>
      </c>
      <c r="AH390" s="199">
        <f t="shared" si="385"/>
        <v>63812.809649217146</v>
      </c>
      <c r="AI390" s="200">
        <f t="shared" si="377"/>
        <v>70602.734163981775</v>
      </c>
      <c r="AJ390" s="200">
        <f t="shared" si="378"/>
        <v>70602.734163981775</v>
      </c>
      <c r="AK390" s="200">
        <f t="shared" si="379"/>
        <v>70602.734163981775</v>
      </c>
      <c r="AL390" s="4"/>
      <c r="AM390" s="4"/>
      <c r="AN390" s="4"/>
      <c r="AO390" s="4"/>
      <c r="AP390" s="63"/>
      <c r="AQ390" s="18"/>
      <c r="AR390" s="18"/>
      <c r="AS390" s="18"/>
      <c r="AT390" s="18">
        <v>0</v>
      </c>
      <c r="AU390" s="133">
        <f t="shared" si="388"/>
        <v>104.364</v>
      </c>
      <c r="AV390" s="133">
        <f t="shared" si="388"/>
        <v>3268.3739999999998</v>
      </c>
      <c r="AW390" s="194"/>
      <c r="AX390" s="194"/>
      <c r="AY390" s="194"/>
      <c r="AZ390" s="194"/>
      <c r="BA390" s="194"/>
      <c r="BB390" s="194"/>
      <c r="BC390" s="65">
        <v>51.257432355263184</v>
      </c>
      <c r="BD390" s="65">
        <v>0</v>
      </c>
      <c r="BE390" s="65">
        <v>0</v>
      </c>
      <c r="BF390" s="65">
        <v>0</v>
      </c>
      <c r="BG390" s="65">
        <v>0</v>
      </c>
      <c r="BH390" s="65">
        <v>0</v>
      </c>
      <c r="BI390" s="65">
        <v>704.28274805234821</v>
      </c>
      <c r="BJ390" s="65">
        <v>0</v>
      </c>
      <c r="BK390" s="65">
        <v>19.844702933795372</v>
      </c>
      <c r="BL390" s="65">
        <v>0</v>
      </c>
      <c r="BM390" s="65">
        <v>0</v>
      </c>
      <c r="BN390" s="65">
        <v>0</v>
      </c>
      <c r="BO390" s="65">
        <v>205.33566960000002</v>
      </c>
      <c r="BP390" s="5"/>
      <c r="BQ390" s="4">
        <v>58.964691818395103</v>
      </c>
      <c r="BR390" s="65">
        <v>77.039292708124705</v>
      </c>
      <c r="BS390" s="65">
        <v>278.76371754091394</v>
      </c>
      <c r="BT390" s="65">
        <v>102.97079796502412</v>
      </c>
      <c r="BU390" s="65">
        <v>114.52169833182644</v>
      </c>
      <c r="BV390" s="144">
        <f t="shared" si="370"/>
        <v>273.80571132720092</v>
      </c>
      <c r="BW390" s="144">
        <f t="shared" si="371"/>
        <v>589.59112707595602</v>
      </c>
      <c r="BX390" s="144">
        <f t="shared" si="372"/>
        <v>179.02599555639114</v>
      </c>
      <c r="BY390" s="5"/>
      <c r="BZ390" s="5"/>
      <c r="CA390" s="4"/>
      <c r="CB390" s="5"/>
      <c r="CC390" s="5"/>
      <c r="CD390" s="5"/>
      <c r="CE390" s="5"/>
      <c r="CF390" s="64"/>
      <c r="CG390" s="70"/>
      <c r="CH390" s="70"/>
      <c r="CI390" s="70"/>
      <c r="CJ390" s="63"/>
      <c r="CK390" s="8">
        <f t="shared" si="431"/>
        <v>6028.1415852652399</v>
      </c>
      <c r="CL390" s="202">
        <f t="shared" si="389"/>
        <v>64574.592578716532</v>
      </c>
      <c r="CM390" s="202">
        <f t="shared" si="390"/>
        <v>64574.592578716532</v>
      </c>
      <c r="CN390" s="202">
        <f t="shared" si="391"/>
        <v>64574.592578716532</v>
      </c>
      <c r="CO390" s="9">
        <f t="shared" si="392"/>
        <v>56889.186164384933</v>
      </c>
      <c r="CP390" s="9">
        <f t="shared" si="393"/>
        <v>64944.619795175022</v>
      </c>
      <c r="CQ390" s="9">
        <f t="shared" si="394"/>
        <v>50624.716332728793</v>
      </c>
      <c r="CR390" s="202">
        <f t="shared" si="395"/>
        <v>64574.592578716532</v>
      </c>
      <c r="CS390" s="202">
        <f t="shared" si="396"/>
        <v>64574.592578716532</v>
      </c>
      <c r="CT390" s="202">
        <f t="shared" si="397"/>
        <v>64574.592578716532</v>
      </c>
      <c r="CU390" s="203">
        <f t="shared" si="398"/>
        <v>0.9146188648832736</v>
      </c>
      <c r="CV390" s="203">
        <f t="shared" si="399"/>
        <v>0.9146188648832736</v>
      </c>
      <c r="CW390" s="203">
        <f t="shared" si="400"/>
        <v>0.9146188648832736</v>
      </c>
      <c r="CX390" s="19">
        <f t="shared" si="401"/>
        <v>0.90418948482282357</v>
      </c>
      <c r="CY390" s="19">
        <f t="shared" si="402"/>
        <v>0.91506401233351797</v>
      </c>
      <c r="CZ390" s="19">
        <f t="shared" si="403"/>
        <v>0.89359510169829248</v>
      </c>
      <c r="DA390" s="203">
        <f t="shared" si="404"/>
        <v>0.9146188648832736</v>
      </c>
      <c r="DB390" s="203">
        <f t="shared" si="405"/>
        <v>0.9146188648832736</v>
      </c>
      <c r="DC390" s="203">
        <f t="shared" si="406"/>
        <v>0.9146188648832736</v>
      </c>
      <c r="DD390" s="65"/>
      <c r="DE390" s="66"/>
      <c r="DF390" s="66"/>
      <c r="DG390" s="66"/>
      <c r="DH390" s="66"/>
      <c r="DI390" s="66"/>
      <c r="DJ390" s="66"/>
      <c r="DK390" s="70"/>
      <c r="DL390" s="70"/>
      <c r="DM390" s="8">
        <f t="shared" si="432"/>
        <v>0</v>
      </c>
      <c r="DN390" s="8">
        <f t="shared" si="433"/>
        <v>6028.1415852652399</v>
      </c>
      <c r="DO390" s="202">
        <f t="shared" si="415"/>
        <v>64574.592578716532</v>
      </c>
      <c r="DP390" s="202">
        <f t="shared" si="416"/>
        <v>64574.592578716532</v>
      </c>
      <c r="DQ390" s="202">
        <f t="shared" si="417"/>
        <v>64574.592578716532</v>
      </c>
      <c r="DR390" s="9">
        <f t="shared" si="418"/>
        <v>56889.186164384933</v>
      </c>
      <c r="DS390" s="9">
        <f t="shared" si="410"/>
        <v>64944.619795175022</v>
      </c>
      <c r="DT390" s="9">
        <f t="shared" si="419"/>
        <v>50624.716332728793</v>
      </c>
      <c r="DU390" s="202">
        <f t="shared" si="420"/>
        <v>64574.592578716532</v>
      </c>
      <c r="DV390" s="202">
        <f t="shared" si="421"/>
        <v>64574.592578716532</v>
      </c>
      <c r="DW390" s="202">
        <f t="shared" si="422"/>
        <v>64574.592578716532</v>
      </c>
      <c r="DX390" s="203">
        <f t="shared" si="423"/>
        <v>0.9146188648832736</v>
      </c>
      <c r="DY390" s="203">
        <f t="shared" si="424"/>
        <v>0.9146188648832736</v>
      </c>
      <c r="DZ390" s="203">
        <f t="shared" si="425"/>
        <v>0.9146188648832736</v>
      </c>
      <c r="EA390" s="19">
        <f t="shared" si="426"/>
        <v>0.90418948482282357</v>
      </c>
      <c r="EB390" s="19">
        <f t="shared" si="411"/>
        <v>0.91506401233351797</v>
      </c>
      <c r="EC390" s="19">
        <f t="shared" si="427"/>
        <v>0.89359510169829248</v>
      </c>
      <c r="ED390" s="203">
        <f t="shared" si="428"/>
        <v>0.9146188648832736</v>
      </c>
      <c r="EE390" s="203">
        <f t="shared" si="429"/>
        <v>0.9146188648832736</v>
      </c>
      <c r="EF390" s="203">
        <f t="shared" si="430"/>
        <v>0.9146188648832736</v>
      </c>
      <c r="EH390" s="58">
        <f t="shared" si="364"/>
        <v>5754.3358739380392</v>
      </c>
      <c r="EI390" s="68">
        <f t="shared" si="365"/>
        <v>8.107808914313859E-2</v>
      </c>
      <c r="EJ390" s="58">
        <f t="shared" si="366"/>
        <v>5754.3358739380392</v>
      </c>
      <c r="EK390" s="68">
        <f t="shared" si="365"/>
        <v>8.107808914313859E-2</v>
      </c>
      <c r="EL390" s="58">
        <f t="shared" si="367"/>
        <v>2202.5718783816469</v>
      </c>
      <c r="EM390" s="58">
        <f t="shared" si="368"/>
        <v>2381.597873938038</v>
      </c>
      <c r="EN390" s="68">
        <f t="shared" si="369"/>
        <v>3.3556505730019323E-2</v>
      </c>
      <c r="EO390" s="139">
        <f t="shared" si="387"/>
        <v>0.4050825009776523</v>
      </c>
      <c r="EP390">
        <f>+(SUM(M390:O390)*EO390*(1-'[1]Tier 3 Data'!$A$2))</f>
        <v>562.82191856651025</v>
      </c>
    </row>
    <row r="391" spans="1:146" x14ac:dyDescent="0.2">
      <c r="A391" s="43">
        <v>0</v>
      </c>
      <c r="B391" s="43">
        <v>0</v>
      </c>
      <c r="C391" s="43">
        <v>0</v>
      </c>
      <c r="D391" s="70">
        <v>2039</v>
      </c>
      <c r="E391" s="70">
        <v>12</v>
      </c>
      <c r="F391" s="2">
        <v>744</v>
      </c>
      <c r="G391" s="133">
        <f t="shared" si="380"/>
        <v>50158.240085628335</v>
      </c>
      <c r="H391" s="65">
        <v>50158.240085628335</v>
      </c>
      <c r="I391" s="133">
        <f t="shared" si="381"/>
        <v>50158.240085628335</v>
      </c>
      <c r="J391" s="133">
        <f t="shared" si="440"/>
        <v>7147.3364999999994</v>
      </c>
      <c r="K391" s="65">
        <v>7147.3364999999994</v>
      </c>
      <c r="L391" s="133">
        <f t="shared" si="441"/>
        <v>7147.3364999999994</v>
      </c>
      <c r="M391" s="65">
        <v>248.30627982623952</v>
      </c>
      <c r="N391" s="65">
        <v>534.68270867382159</v>
      </c>
      <c r="O391" s="65">
        <v>162.42940496011096</v>
      </c>
      <c r="P391" s="200">
        <f t="shared" si="434"/>
        <v>42727.278067590283</v>
      </c>
      <c r="Q391" s="200">
        <f t="shared" si="435"/>
        <v>42727.278067590283</v>
      </c>
      <c r="R391" s="200">
        <f t="shared" si="436"/>
        <v>42727.278067590283</v>
      </c>
      <c r="S391" s="133">
        <f t="shared" si="382"/>
        <v>42962.174764140305</v>
      </c>
      <c r="T391" s="133">
        <f t="shared" si="383"/>
        <v>42962.174764140305</v>
      </c>
      <c r="U391" s="133">
        <f t="shared" si="384"/>
        <v>42962.174764140305</v>
      </c>
      <c r="V391" s="200">
        <f t="shared" si="437"/>
        <v>42727.278067590283</v>
      </c>
      <c r="W391" s="200">
        <f t="shared" si="438"/>
        <v>42727.278067590283</v>
      </c>
      <c r="X391" s="200">
        <f t="shared" si="439"/>
        <v>42727.278067590283</v>
      </c>
      <c r="Y391" s="65">
        <v>28207.254461890498</v>
      </c>
      <c r="Z391" s="65">
        <v>36321.046479128105</v>
      </c>
      <c r="AA391" s="65">
        <v>21288.973949694348</v>
      </c>
      <c r="AB391" s="200">
        <f t="shared" si="373"/>
        <v>79048.324546718388</v>
      </c>
      <c r="AC391" s="200">
        <f t="shared" si="374"/>
        <v>79048.324546718388</v>
      </c>
      <c r="AD391" s="200">
        <f t="shared" si="375"/>
        <v>79048.324546718388</v>
      </c>
      <c r="AE391" s="199">
        <f t="shared" si="413"/>
        <v>71169.429226030799</v>
      </c>
      <c r="AF391" s="199">
        <f t="shared" si="376"/>
        <v>79283.221243268403</v>
      </c>
      <c r="AG391" s="199">
        <f t="shared" si="414"/>
        <v>64251.148713834657</v>
      </c>
      <c r="AH391" s="199">
        <f t="shared" si="385"/>
        <v>71767.184978551522</v>
      </c>
      <c r="AI391" s="200">
        <f t="shared" si="377"/>
        <v>79048.324546718388</v>
      </c>
      <c r="AJ391" s="200">
        <f t="shared" si="378"/>
        <v>79048.324546718388</v>
      </c>
      <c r="AK391" s="200">
        <f t="shared" si="379"/>
        <v>79048.324546718388</v>
      </c>
      <c r="AL391" s="4"/>
      <c r="AM391" s="4"/>
      <c r="AN391" s="4"/>
      <c r="AO391" s="4"/>
      <c r="AP391" s="63"/>
      <c r="AQ391" s="18"/>
      <c r="AR391" s="18"/>
      <c r="AS391" s="18"/>
      <c r="AT391" s="18">
        <v>0</v>
      </c>
      <c r="AU391" s="133">
        <f t="shared" si="388"/>
        <v>105.066</v>
      </c>
      <c r="AV391" s="133">
        <f t="shared" si="388"/>
        <v>3218.8470000000002</v>
      </c>
      <c r="AW391" s="194"/>
      <c r="AX391" s="194"/>
      <c r="AY391" s="194"/>
      <c r="AZ391" s="194"/>
      <c r="BA391" s="194"/>
      <c r="BB391" s="194"/>
      <c r="BC391" s="65">
        <v>17.703732224828819</v>
      </c>
      <c r="BD391" s="65">
        <v>0</v>
      </c>
      <c r="BE391" s="65">
        <v>0</v>
      </c>
      <c r="BF391" s="65">
        <v>0</v>
      </c>
      <c r="BG391" s="65">
        <v>0</v>
      </c>
      <c r="BH391" s="65">
        <v>0</v>
      </c>
      <c r="BI391" s="65">
        <v>330.03329740258641</v>
      </c>
      <c r="BJ391" s="65">
        <v>0</v>
      </c>
      <c r="BK391" s="65">
        <v>20.28324216774827</v>
      </c>
      <c r="BL391" s="65">
        <v>0</v>
      </c>
      <c r="BM391" s="65">
        <v>0</v>
      </c>
      <c r="BN391" s="65">
        <v>0</v>
      </c>
      <c r="BO391" s="65">
        <v>212.18019192</v>
      </c>
      <c r="BP391" s="5"/>
      <c r="BQ391" s="4">
        <v>53.725263035534141</v>
      </c>
      <c r="BR391" s="65">
        <v>69.842812730131612</v>
      </c>
      <c r="BS391" s="65">
        <v>253.9934986918222</v>
      </c>
      <c r="BT391" s="65">
        <v>94.805376866270706</v>
      </c>
      <c r="BU391" s="65">
        <v>100.78977235483315</v>
      </c>
      <c r="BV391" s="144">
        <f t="shared" si="370"/>
        <v>173.81439587836766</v>
      </c>
      <c r="BW391" s="144">
        <f t="shared" si="371"/>
        <v>374.27789607167512</v>
      </c>
      <c r="BX391" s="144">
        <f t="shared" si="372"/>
        <v>113.70058347207767</v>
      </c>
      <c r="BY391" s="5"/>
      <c r="BZ391" s="5"/>
      <c r="CA391" s="4"/>
      <c r="CB391" s="5"/>
      <c r="CC391" s="5"/>
      <c r="CD391" s="5"/>
      <c r="CE391" s="5"/>
      <c r="CF391" s="64"/>
      <c r="CG391" s="70"/>
      <c r="CH391" s="70"/>
      <c r="CI391" s="70"/>
      <c r="CJ391" s="63"/>
      <c r="CK391" s="8">
        <f t="shared" si="431"/>
        <v>5139.0630628158751</v>
      </c>
      <c r="CL391" s="202">
        <f t="shared" si="389"/>
        <v>73909.261483902519</v>
      </c>
      <c r="CM391" s="202">
        <f t="shared" si="390"/>
        <v>73909.261483902519</v>
      </c>
      <c r="CN391" s="202">
        <f t="shared" si="391"/>
        <v>73909.261483902519</v>
      </c>
      <c r="CO391" s="9">
        <f t="shared" si="392"/>
        <v>66030.366163214931</v>
      </c>
      <c r="CP391" s="9">
        <f t="shared" si="393"/>
        <v>74144.158180452534</v>
      </c>
      <c r="CQ391" s="9">
        <f t="shared" si="394"/>
        <v>59112.08565101878</v>
      </c>
      <c r="CR391" s="202">
        <f t="shared" si="395"/>
        <v>73909.261483902519</v>
      </c>
      <c r="CS391" s="202">
        <f t="shared" si="396"/>
        <v>73909.261483902519</v>
      </c>
      <c r="CT391" s="202">
        <f t="shared" si="397"/>
        <v>73909.261483902519</v>
      </c>
      <c r="CU391" s="203">
        <f t="shared" si="398"/>
        <v>0.93498833666261161</v>
      </c>
      <c r="CV391" s="203">
        <f t="shared" si="399"/>
        <v>0.93498833666261161</v>
      </c>
      <c r="CW391" s="203">
        <f t="shared" si="400"/>
        <v>0.93498833666261161</v>
      </c>
      <c r="CX391" s="19">
        <f t="shared" si="401"/>
        <v>0.92779114405295504</v>
      </c>
      <c r="CY391" s="19">
        <f t="shared" si="402"/>
        <v>0.93518095024106751</v>
      </c>
      <c r="CZ391" s="19">
        <f t="shared" si="403"/>
        <v>0.9200160126987843</v>
      </c>
      <c r="DA391" s="203">
        <f t="shared" si="404"/>
        <v>0.93498833666261161</v>
      </c>
      <c r="DB391" s="203">
        <f t="shared" si="405"/>
        <v>0.93498833666261161</v>
      </c>
      <c r="DC391" s="203">
        <f t="shared" si="406"/>
        <v>0.93498833666261161</v>
      </c>
      <c r="DD391" s="65"/>
      <c r="DE391" s="66"/>
      <c r="DF391" s="66"/>
      <c r="DG391" s="66"/>
      <c r="DH391" s="66"/>
      <c r="DI391" s="66"/>
      <c r="DJ391" s="66"/>
      <c r="DK391" s="70"/>
      <c r="DL391" s="70"/>
      <c r="DM391" s="8">
        <f t="shared" si="432"/>
        <v>0</v>
      </c>
      <c r="DN391" s="8">
        <f t="shared" si="433"/>
        <v>5139.0630628158751</v>
      </c>
      <c r="DO391" s="202">
        <f t="shared" si="415"/>
        <v>73909.261483902519</v>
      </c>
      <c r="DP391" s="202">
        <f t="shared" si="416"/>
        <v>73909.261483902519</v>
      </c>
      <c r="DQ391" s="202">
        <f t="shared" si="417"/>
        <v>73909.261483902519</v>
      </c>
      <c r="DR391" s="9">
        <f t="shared" si="418"/>
        <v>66030.366163214931</v>
      </c>
      <c r="DS391" s="9">
        <f t="shared" si="410"/>
        <v>74144.158180452534</v>
      </c>
      <c r="DT391" s="9">
        <f t="shared" si="419"/>
        <v>59112.08565101878</v>
      </c>
      <c r="DU391" s="202">
        <f t="shared" si="420"/>
        <v>73909.261483902519</v>
      </c>
      <c r="DV391" s="202">
        <f t="shared" si="421"/>
        <v>73909.261483902519</v>
      </c>
      <c r="DW391" s="202">
        <f t="shared" si="422"/>
        <v>73909.261483902519</v>
      </c>
      <c r="DX391" s="203">
        <f t="shared" si="423"/>
        <v>0.93498833666261161</v>
      </c>
      <c r="DY391" s="203">
        <f t="shared" si="424"/>
        <v>0.93498833666261161</v>
      </c>
      <c r="DZ391" s="203">
        <f t="shared" si="425"/>
        <v>0.93498833666261161</v>
      </c>
      <c r="EA391" s="19">
        <f t="shared" si="426"/>
        <v>0.92779114405295504</v>
      </c>
      <c r="EB391" s="19">
        <f t="shared" si="411"/>
        <v>0.93518095024106751</v>
      </c>
      <c r="EC391" s="19">
        <f t="shared" si="427"/>
        <v>0.9200160126987843</v>
      </c>
      <c r="ED391" s="203">
        <f t="shared" si="428"/>
        <v>0.93498833666261161</v>
      </c>
      <c r="EE391" s="203">
        <f t="shared" si="429"/>
        <v>0.93498833666261161</v>
      </c>
      <c r="EF391" s="203">
        <f t="shared" si="430"/>
        <v>0.93498833666261161</v>
      </c>
      <c r="EH391" s="58">
        <f t="shared" si="364"/>
        <v>4965.2486669375076</v>
      </c>
      <c r="EI391" s="68">
        <f t="shared" si="365"/>
        <v>6.2626727182317724E-2</v>
      </c>
      <c r="EJ391" s="58">
        <f t="shared" si="366"/>
        <v>4965.2486669375076</v>
      </c>
      <c r="EK391" s="68">
        <f t="shared" si="365"/>
        <v>6.2626727182317724E-2</v>
      </c>
      <c r="EL391" s="58">
        <f t="shared" si="367"/>
        <v>1527.6350834654302</v>
      </c>
      <c r="EM391" s="58">
        <f t="shared" si="368"/>
        <v>1641.3356669375078</v>
      </c>
      <c r="EN391" s="68">
        <f t="shared" si="369"/>
        <v>2.0702181889170737E-2</v>
      </c>
      <c r="EO391" s="139">
        <f t="shared" si="387"/>
        <v>0.32946562535829382</v>
      </c>
      <c r="EP391">
        <f>+(SUM(M391:O391)*EO391*(1-'[1]Tier 3 Data'!$A$2))</f>
        <v>290.6135104574077</v>
      </c>
    </row>
    <row r="392" spans="1:146" x14ac:dyDescent="0.2">
      <c r="A392" s="43">
        <v>0</v>
      </c>
      <c r="B392" s="43">
        <v>0</v>
      </c>
      <c r="C392" s="43">
        <v>0</v>
      </c>
      <c r="D392" s="70">
        <v>2040</v>
      </c>
      <c r="E392" s="70">
        <v>1</v>
      </c>
      <c r="F392" s="2">
        <v>744</v>
      </c>
      <c r="G392" s="133">
        <f t="shared" si="380"/>
        <v>51887.445363508465</v>
      </c>
      <c r="H392" s="65">
        <v>51887.445363508465</v>
      </c>
      <c r="I392" s="133">
        <f t="shared" si="381"/>
        <v>51887.445363508465</v>
      </c>
      <c r="J392" s="133">
        <f t="shared" si="440"/>
        <v>7187.1836249999997</v>
      </c>
      <c r="K392" s="65">
        <v>7187.1836249999997</v>
      </c>
      <c r="L392" s="133">
        <f t="shared" si="441"/>
        <v>7187.1836249999997</v>
      </c>
      <c r="M392" s="65">
        <v>350.79787520860157</v>
      </c>
      <c r="N392" s="65">
        <v>755.37984075477868</v>
      </c>
      <c r="O392" s="65">
        <v>229.51863551220021</v>
      </c>
      <c r="P392" s="200">
        <f t="shared" si="434"/>
        <v>44299.552833065791</v>
      </c>
      <c r="Q392" s="200">
        <f t="shared" si="435"/>
        <v>44299.552833065791</v>
      </c>
      <c r="R392" s="200">
        <f t="shared" si="436"/>
        <v>44299.552833065791</v>
      </c>
      <c r="S392" s="133">
        <f t="shared" si="382"/>
        <v>44631.40614785481</v>
      </c>
      <c r="T392" s="133">
        <f t="shared" si="383"/>
        <v>44631.40614785481</v>
      </c>
      <c r="U392" s="133">
        <f t="shared" si="384"/>
        <v>44631.40614785481</v>
      </c>
      <c r="V392" s="200">
        <f t="shared" si="437"/>
        <v>44299.552833065791</v>
      </c>
      <c r="W392" s="200">
        <f t="shared" si="438"/>
        <v>44299.552833065791</v>
      </c>
      <c r="X392" s="200">
        <f t="shared" si="439"/>
        <v>44299.552833065791</v>
      </c>
      <c r="Y392" s="65">
        <v>29327.837670797904</v>
      </c>
      <c r="Z392" s="65">
        <v>38518.087811010075</v>
      </c>
      <c r="AA392" s="65">
        <v>22366.592808825695</v>
      </c>
      <c r="AB392" s="200">
        <f t="shared" si="373"/>
        <v>82817.640644075873</v>
      </c>
      <c r="AC392" s="200">
        <f t="shared" si="374"/>
        <v>82817.640644075873</v>
      </c>
      <c r="AD392" s="200">
        <f t="shared" si="375"/>
        <v>82817.640644075873</v>
      </c>
      <c r="AE392" s="199">
        <f t="shared" si="413"/>
        <v>73959.243818652714</v>
      </c>
      <c r="AF392" s="199">
        <f t="shared" si="376"/>
        <v>83149.493958864885</v>
      </c>
      <c r="AG392" s="199">
        <f t="shared" si="414"/>
        <v>66997.998956680502</v>
      </c>
      <c r="AH392" s="199">
        <f t="shared" si="385"/>
        <v>75073.746457772693</v>
      </c>
      <c r="AI392" s="200">
        <f t="shared" si="377"/>
        <v>82817.640644075873</v>
      </c>
      <c r="AJ392" s="200">
        <f t="shared" si="378"/>
        <v>82817.640644075873</v>
      </c>
      <c r="AK392" s="200">
        <f t="shared" si="379"/>
        <v>82817.640644075873</v>
      </c>
      <c r="AL392" s="4"/>
      <c r="AM392" s="4"/>
      <c r="AN392" s="4"/>
      <c r="AO392" s="4"/>
      <c r="AP392" s="63"/>
      <c r="AQ392" s="18"/>
      <c r="AR392" s="18"/>
      <c r="AS392" s="18"/>
      <c r="AT392" s="18">
        <v>0</v>
      </c>
      <c r="AU392" s="133">
        <f t="shared" si="388"/>
        <v>98.513999999999996</v>
      </c>
      <c r="AV392" s="133">
        <f t="shared" si="388"/>
        <v>3278.6750000000002</v>
      </c>
      <c r="AW392" s="194"/>
      <c r="AX392" s="194"/>
      <c r="AY392" s="194"/>
      <c r="AZ392" s="194"/>
      <c r="BA392" s="194"/>
      <c r="BB392" s="194"/>
      <c r="BC392" s="65">
        <v>16.355242983198004</v>
      </c>
      <c r="BD392" s="65">
        <v>0</v>
      </c>
      <c r="BE392" s="65">
        <v>0</v>
      </c>
      <c r="BF392" s="65">
        <v>0</v>
      </c>
      <c r="BG392" s="65">
        <v>0</v>
      </c>
      <c r="BH392" s="65">
        <v>0</v>
      </c>
      <c r="BI392" s="65">
        <v>465.55471726849737</v>
      </c>
      <c r="BJ392" s="65">
        <v>0</v>
      </c>
      <c r="BK392" s="65">
        <v>22.517673403701547</v>
      </c>
      <c r="BL392" s="65">
        <v>0</v>
      </c>
      <c r="BM392" s="65">
        <v>0</v>
      </c>
      <c r="BN392" s="65">
        <v>0</v>
      </c>
      <c r="BO392" s="65">
        <v>212.18019192</v>
      </c>
      <c r="BP392" s="5"/>
      <c r="BQ392" s="4">
        <v>76.020743287663052</v>
      </c>
      <c r="BR392" s="65">
        <v>99.323621709060561</v>
      </c>
      <c r="BS392" s="65">
        <v>359.39870541597224</v>
      </c>
      <c r="BT392" s="65">
        <v>122.87026411531298</v>
      </c>
      <c r="BU392" s="65">
        <v>140.43687892221593</v>
      </c>
      <c r="BV392" s="144">
        <f t="shared" si="370"/>
        <v>245.55851264602109</v>
      </c>
      <c r="BW392" s="144">
        <f t="shared" si="371"/>
        <v>528.76588852834504</v>
      </c>
      <c r="BX392" s="144">
        <f t="shared" si="372"/>
        <v>160.66304485854013</v>
      </c>
      <c r="BY392" s="5"/>
      <c r="BZ392" s="5"/>
      <c r="CA392" s="4"/>
      <c r="CB392" s="5"/>
      <c r="CC392" s="5"/>
      <c r="CD392" s="5"/>
      <c r="CE392" s="5"/>
      <c r="CF392" s="64"/>
      <c r="CG392" s="70"/>
      <c r="CH392" s="70"/>
      <c r="CI392" s="70"/>
      <c r="CJ392" s="63"/>
      <c r="CK392" s="8">
        <f t="shared" si="431"/>
        <v>5826.834485058529</v>
      </c>
      <c r="CL392" s="202">
        <f t="shared" si="389"/>
        <v>76990.806159017346</v>
      </c>
      <c r="CM392" s="202">
        <f t="shared" si="390"/>
        <v>76990.806159017346</v>
      </c>
      <c r="CN392" s="202">
        <f t="shared" si="391"/>
        <v>76990.806159017346</v>
      </c>
      <c r="CO392" s="9">
        <f t="shared" si="392"/>
        <v>68132.409333594187</v>
      </c>
      <c r="CP392" s="9">
        <f t="shared" si="393"/>
        <v>77322.659473806358</v>
      </c>
      <c r="CQ392" s="9">
        <f t="shared" si="394"/>
        <v>61171.164471621974</v>
      </c>
      <c r="CR392" s="202">
        <f t="shared" si="395"/>
        <v>76990.806159017346</v>
      </c>
      <c r="CS392" s="202">
        <f t="shared" si="396"/>
        <v>76990.806159017346</v>
      </c>
      <c r="CT392" s="202">
        <f t="shared" si="397"/>
        <v>76990.806159017346</v>
      </c>
      <c r="CU392" s="203">
        <f t="shared" si="398"/>
        <v>0.92964259257154613</v>
      </c>
      <c r="CV392" s="203">
        <f t="shared" si="399"/>
        <v>0.92964259257154613</v>
      </c>
      <c r="CW392" s="203">
        <f t="shared" si="400"/>
        <v>0.92964259257154613</v>
      </c>
      <c r="CX392" s="19">
        <f t="shared" si="401"/>
        <v>0.92121560221267451</v>
      </c>
      <c r="CY392" s="19">
        <f t="shared" si="402"/>
        <v>0.92992339210216801</v>
      </c>
      <c r="CZ392" s="19">
        <f t="shared" si="403"/>
        <v>0.91302972363658152</v>
      </c>
      <c r="DA392" s="203">
        <f t="shared" si="404"/>
        <v>0.92964259257154613</v>
      </c>
      <c r="DB392" s="203">
        <f t="shared" si="405"/>
        <v>0.92964259257154613</v>
      </c>
      <c r="DC392" s="203">
        <f t="shared" si="406"/>
        <v>0.92964259257154613</v>
      </c>
      <c r="DD392" s="65"/>
      <c r="DE392" s="66"/>
      <c r="DF392" s="66"/>
      <c r="DG392" s="66"/>
      <c r="DH392" s="66"/>
      <c r="DI392" s="66"/>
      <c r="DJ392" s="66"/>
      <c r="DK392" s="70"/>
      <c r="DL392" s="70"/>
      <c r="DM392" s="8">
        <f t="shared" si="432"/>
        <v>0</v>
      </c>
      <c r="DN392" s="8">
        <f t="shared" si="433"/>
        <v>5826.834485058529</v>
      </c>
      <c r="DO392" s="202">
        <f t="shared" si="415"/>
        <v>76990.806159017346</v>
      </c>
      <c r="DP392" s="202">
        <f t="shared" si="416"/>
        <v>76990.806159017346</v>
      </c>
      <c r="DQ392" s="202">
        <f t="shared" si="417"/>
        <v>76990.806159017346</v>
      </c>
      <c r="DR392" s="9">
        <f t="shared" si="418"/>
        <v>68132.409333594187</v>
      </c>
      <c r="DS392" s="9">
        <f t="shared" si="410"/>
        <v>77322.659473806358</v>
      </c>
      <c r="DT392" s="9">
        <f t="shared" si="419"/>
        <v>61171.164471621974</v>
      </c>
      <c r="DU392" s="202">
        <f t="shared" si="420"/>
        <v>76990.806159017346</v>
      </c>
      <c r="DV392" s="202">
        <f t="shared" si="421"/>
        <v>76990.806159017346</v>
      </c>
      <c r="DW392" s="202">
        <f t="shared" si="422"/>
        <v>76990.806159017346</v>
      </c>
      <c r="DX392" s="203">
        <f t="shared" si="423"/>
        <v>0.92964259257154613</v>
      </c>
      <c r="DY392" s="203">
        <f t="shared" si="424"/>
        <v>0.92964259257154613</v>
      </c>
      <c r="DZ392" s="203">
        <f t="shared" si="425"/>
        <v>0.92964259257154613</v>
      </c>
      <c r="EA392" s="19">
        <f t="shared" si="426"/>
        <v>0.92121560221267451</v>
      </c>
      <c r="EB392" s="19">
        <f t="shared" si="411"/>
        <v>0.92992339210216801</v>
      </c>
      <c r="EC392" s="19">
        <f t="shared" si="427"/>
        <v>0.91302972363658152</v>
      </c>
      <c r="ED392" s="203">
        <f t="shared" si="428"/>
        <v>0.92964259257154613</v>
      </c>
      <c r="EE392" s="203">
        <f t="shared" si="429"/>
        <v>0.92964259257154613</v>
      </c>
      <c r="EF392" s="203">
        <f t="shared" si="430"/>
        <v>0.92964259257154613</v>
      </c>
      <c r="EH392" s="58">
        <f t="shared" si="364"/>
        <v>5581.2759724125081</v>
      </c>
      <c r="EI392" s="68">
        <f t="shared" si="365"/>
        <v>6.7123390734929025E-2</v>
      </c>
      <c r="EJ392" s="58">
        <f t="shared" si="366"/>
        <v>5581.2759724125081</v>
      </c>
      <c r="EK392" s="68">
        <f t="shared" si="365"/>
        <v>6.7123390734929025E-2</v>
      </c>
      <c r="EL392" s="58">
        <f t="shared" si="367"/>
        <v>2043.4239275539667</v>
      </c>
      <c r="EM392" s="58">
        <f t="shared" si="368"/>
        <v>2204.0869724125068</v>
      </c>
      <c r="EN392" s="68">
        <f t="shared" si="369"/>
        <v>2.6507521182304448E-2</v>
      </c>
      <c r="EO392" s="139">
        <f t="shared" si="387"/>
        <v>0.32527353469126524</v>
      </c>
      <c r="EP392">
        <f>+(SUM(M392:O392)*EO392*(1-'[1]Tier 3 Data'!$A$2))</f>
        <v>405.35740639293653</v>
      </c>
    </row>
    <row r="393" spans="1:146" x14ac:dyDescent="0.2">
      <c r="A393" s="43">
        <v>0</v>
      </c>
      <c r="B393" s="43">
        <v>0</v>
      </c>
      <c r="C393" s="43">
        <v>0</v>
      </c>
      <c r="D393" s="70">
        <v>2040</v>
      </c>
      <c r="E393" s="70">
        <v>2</v>
      </c>
      <c r="F393" s="2">
        <v>696</v>
      </c>
      <c r="G393" s="133">
        <f t="shared" si="380"/>
        <v>46908.152094475176</v>
      </c>
      <c r="H393" s="65">
        <v>46908.152094475176</v>
      </c>
      <c r="I393" s="133">
        <f t="shared" si="381"/>
        <v>46908.152094475176</v>
      </c>
      <c r="J393" s="133">
        <f t="shared" si="440"/>
        <v>7227.0307499999999</v>
      </c>
      <c r="K393" s="65">
        <v>7227.0307499999999</v>
      </c>
      <c r="L393" s="133">
        <f t="shared" si="441"/>
        <v>7227.0307499999999</v>
      </c>
      <c r="M393" s="65">
        <v>785.20357244912623</v>
      </c>
      <c r="N393" s="65">
        <v>1690.7940196730158</v>
      </c>
      <c r="O393" s="65">
        <v>513.78834856168362</v>
      </c>
      <c r="P393" s="200">
        <f t="shared" si="434"/>
        <v>38784.185562270031</v>
      </c>
      <c r="Q393" s="200">
        <f t="shared" si="435"/>
        <v>38784.185562270031</v>
      </c>
      <c r="R393" s="200">
        <f t="shared" si="436"/>
        <v>38784.185562270031</v>
      </c>
      <c r="S393" s="133">
        <f t="shared" si="382"/>
        <v>39526.984839906676</v>
      </c>
      <c r="T393" s="133">
        <f t="shared" si="383"/>
        <v>39526.984839906676</v>
      </c>
      <c r="U393" s="133">
        <f t="shared" si="384"/>
        <v>39526.984839906676</v>
      </c>
      <c r="V393" s="200">
        <f t="shared" si="437"/>
        <v>38784.185562270031</v>
      </c>
      <c r="W393" s="200">
        <f t="shared" si="438"/>
        <v>38784.185562270031</v>
      </c>
      <c r="X393" s="200">
        <f t="shared" si="439"/>
        <v>38784.185562270031</v>
      </c>
      <c r="Y393" s="65">
        <v>27358.651867985765</v>
      </c>
      <c r="Z393" s="65">
        <v>34709.719875687362</v>
      </c>
      <c r="AA393" s="65">
        <v>20619.208520295007</v>
      </c>
      <c r="AB393" s="200">
        <f t="shared" si="373"/>
        <v>73493.905437957394</v>
      </c>
      <c r="AC393" s="200">
        <f t="shared" si="374"/>
        <v>73493.905437957394</v>
      </c>
      <c r="AD393" s="200">
        <f t="shared" si="375"/>
        <v>73493.905437957394</v>
      </c>
      <c r="AE393" s="199">
        <f t="shared" si="413"/>
        <v>66885.636707892438</v>
      </c>
      <c r="AF393" s="199">
        <f t="shared" si="376"/>
        <v>74236.704715594038</v>
      </c>
      <c r="AG393" s="199">
        <f t="shared" si="414"/>
        <v>60146.19336020168</v>
      </c>
      <c r="AH393" s="199">
        <f t="shared" si="385"/>
        <v>67191.449037897866</v>
      </c>
      <c r="AI393" s="200">
        <f t="shared" si="377"/>
        <v>73493.905437957394</v>
      </c>
      <c r="AJ393" s="200">
        <f t="shared" si="378"/>
        <v>73493.905437957394</v>
      </c>
      <c r="AK393" s="200">
        <f t="shared" si="379"/>
        <v>73493.905437957394</v>
      </c>
      <c r="AL393" s="4"/>
      <c r="AM393" s="4"/>
      <c r="AN393" s="4"/>
      <c r="AO393" s="4"/>
      <c r="AP393" s="63"/>
      <c r="AQ393" s="18"/>
      <c r="AR393" s="18"/>
      <c r="AS393" s="18"/>
      <c r="AT393" s="18">
        <v>0</v>
      </c>
      <c r="AU393" s="133">
        <f t="shared" si="388"/>
        <v>92.897999999999996</v>
      </c>
      <c r="AV393" s="133">
        <f t="shared" si="388"/>
        <v>3057.587</v>
      </c>
      <c r="AW393" s="194"/>
      <c r="AX393" s="194"/>
      <c r="AY393" s="194"/>
      <c r="AZ393" s="194"/>
      <c r="BA393" s="194"/>
      <c r="BB393" s="194"/>
      <c r="BC393" s="65">
        <v>14.558811550773232</v>
      </c>
      <c r="BD393" s="65">
        <v>0</v>
      </c>
      <c r="BE393" s="65">
        <v>0</v>
      </c>
      <c r="BF393" s="65">
        <v>0</v>
      </c>
      <c r="BG393" s="65">
        <v>0</v>
      </c>
      <c r="BH393" s="65">
        <v>0</v>
      </c>
      <c r="BI393" s="65">
        <v>580.23495680485644</v>
      </c>
      <c r="BJ393" s="65">
        <v>0</v>
      </c>
      <c r="BK393" s="65">
        <v>19.256201566846642</v>
      </c>
      <c r="BL393" s="65">
        <v>0</v>
      </c>
      <c r="BM393" s="65">
        <v>0</v>
      </c>
      <c r="BN393" s="65">
        <v>0</v>
      </c>
      <c r="BO393" s="65">
        <v>191.64662496000003</v>
      </c>
      <c r="BP393" s="5"/>
      <c r="BQ393" s="4">
        <v>94.576690054596739</v>
      </c>
      <c r="BR393" s="65">
        <v>123.56751729687328</v>
      </c>
      <c r="BS393" s="65">
        <v>447.12430818743115</v>
      </c>
      <c r="BT393" s="65">
        <v>157.59704189546238</v>
      </c>
      <c r="BU393" s="65">
        <v>170.01442854926947</v>
      </c>
      <c r="BV393" s="144">
        <f t="shared" si="370"/>
        <v>549.64250071438835</v>
      </c>
      <c r="BW393" s="144">
        <f t="shared" si="371"/>
        <v>1183.5558137711109</v>
      </c>
      <c r="BX393" s="144">
        <f t="shared" si="372"/>
        <v>359.65184399317849</v>
      </c>
      <c r="BY393" s="5"/>
      <c r="BZ393" s="5"/>
      <c r="CA393" s="4"/>
      <c r="CB393" s="5"/>
      <c r="CC393" s="5"/>
      <c r="CD393" s="5"/>
      <c r="CE393" s="5"/>
      <c r="CF393" s="64"/>
      <c r="CG393" s="70"/>
      <c r="CH393" s="70"/>
      <c r="CI393" s="70"/>
      <c r="CJ393" s="63"/>
      <c r="CK393" s="8">
        <f t="shared" si="431"/>
        <v>7041.9117393447868</v>
      </c>
      <c r="CL393" s="202">
        <f t="shared" si="389"/>
        <v>66451.993698612612</v>
      </c>
      <c r="CM393" s="202">
        <f t="shared" si="390"/>
        <v>66451.993698612612</v>
      </c>
      <c r="CN393" s="202">
        <f t="shared" si="391"/>
        <v>66451.993698612612</v>
      </c>
      <c r="CO393" s="9">
        <f t="shared" si="392"/>
        <v>59843.724968547649</v>
      </c>
      <c r="CP393" s="9">
        <f t="shared" si="393"/>
        <v>67194.792976249257</v>
      </c>
      <c r="CQ393" s="9">
        <f t="shared" si="394"/>
        <v>53104.281620856891</v>
      </c>
      <c r="CR393" s="202">
        <f t="shared" si="395"/>
        <v>66451.993698612612</v>
      </c>
      <c r="CS393" s="202">
        <f t="shared" si="396"/>
        <v>66451.993698612612</v>
      </c>
      <c r="CT393" s="202">
        <f t="shared" si="397"/>
        <v>66451.993698612612</v>
      </c>
      <c r="CU393" s="203">
        <f t="shared" si="398"/>
        <v>0.90418373200632984</v>
      </c>
      <c r="CV393" s="203">
        <f t="shared" si="399"/>
        <v>0.90418373200632984</v>
      </c>
      <c r="CW393" s="203">
        <f t="shared" si="400"/>
        <v>0.90418373200632984</v>
      </c>
      <c r="CX393" s="19">
        <f t="shared" si="401"/>
        <v>0.89471713082288939</v>
      </c>
      <c r="CY393" s="19">
        <f t="shared" si="402"/>
        <v>0.90514245256005321</v>
      </c>
      <c r="CZ393" s="19">
        <f t="shared" si="403"/>
        <v>0.8829200761356184</v>
      </c>
      <c r="DA393" s="203">
        <f t="shared" si="404"/>
        <v>0.90418373200632984</v>
      </c>
      <c r="DB393" s="203">
        <f t="shared" si="405"/>
        <v>0.90418373200632984</v>
      </c>
      <c r="DC393" s="203">
        <f t="shared" si="406"/>
        <v>0.90418373200632984</v>
      </c>
      <c r="DD393" s="65"/>
      <c r="DE393" s="66"/>
      <c r="DF393" s="66"/>
      <c r="DG393" s="66"/>
      <c r="DH393" s="66"/>
      <c r="DI393" s="66"/>
      <c r="DJ393" s="66"/>
      <c r="DK393" s="70"/>
      <c r="DL393" s="70"/>
      <c r="DM393" s="8">
        <f t="shared" si="432"/>
        <v>0</v>
      </c>
      <c r="DN393" s="8">
        <f t="shared" si="433"/>
        <v>7041.9117393447868</v>
      </c>
      <c r="DO393" s="202">
        <f t="shared" si="415"/>
        <v>66451.993698612612</v>
      </c>
      <c r="DP393" s="202">
        <f t="shared" si="416"/>
        <v>66451.993698612612</v>
      </c>
      <c r="DQ393" s="202">
        <f t="shared" si="417"/>
        <v>66451.993698612612</v>
      </c>
      <c r="DR393" s="9">
        <f t="shared" si="418"/>
        <v>59843.724968547649</v>
      </c>
      <c r="DS393" s="9">
        <f t="shared" si="410"/>
        <v>67194.792976249257</v>
      </c>
      <c r="DT393" s="9">
        <f t="shared" si="419"/>
        <v>53104.281620856891</v>
      </c>
      <c r="DU393" s="202">
        <f t="shared" si="420"/>
        <v>66451.993698612612</v>
      </c>
      <c r="DV393" s="202">
        <f t="shared" si="421"/>
        <v>66451.993698612612</v>
      </c>
      <c r="DW393" s="202">
        <f t="shared" si="422"/>
        <v>66451.993698612612</v>
      </c>
      <c r="DX393" s="203">
        <f t="shared" si="423"/>
        <v>0.90418373200632984</v>
      </c>
      <c r="DY393" s="203">
        <f t="shared" si="424"/>
        <v>0.90418373200632984</v>
      </c>
      <c r="DZ393" s="203">
        <f t="shared" si="425"/>
        <v>0.90418373200632984</v>
      </c>
      <c r="EA393" s="19">
        <f t="shared" si="426"/>
        <v>0.89471713082288939</v>
      </c>
      <c r="EB393" s="19">
        <f t="shared" si="411"/>
        <v>0.90514245256005321</v>
      </c>
      <c r="EC393" s="19">
        <f t="shared" si="427"/>
        <v>0.8829200761356184</v>
      </c>
      <c r="ED393" s="203">
        <f t="shared" si="428"/>
        <v>0.90418373200632984</v>
      </c>
      <c r="EE393" s="203">
        <f t="shared" si="429"/>
        <v>0.90418373200632984</v>
      </c>
      <c r="EF393" s="203">
        <f t="shared" si="430"/>
        <v>0.90418373200632984</v>
      </c>
      <c r="EH393" s="58">
        <f t="shared" ref="EH393:EH456" si="442">SUMIF($AL$1:$DL$1,1,$AL393:$DL393)-0.5*BZ393</f>
        <v>6492.2692386303988</v>
      </c>
      <c r="EI393" s="68">
        <f t="shared" ref="EI393:EK456" si="443">+EH393/$AF393</f>
        <v>8.7453629084194032E-2</v>
      </c>
      <c r="EJ393" s="58">
        <f t="shared" ref="EJ393:EJ456" si="444">SUMIF($AL$2:$DL$2,1,$AL393:$DL393)</f>
        <v>6492.2692386303988</v>
      </c>
      <c r="EK393" s="68">
        <f t="shared" si="443"/>
        <v>8.7453629084194032E-2</v>
      </c>
      <c r="EL393" s="58">
        <f t="shared" ref="EL393:EL456" si="445">+EM393-BX393</f>
        <v>2982.1323946372204</v>
      </c>
      <c r="EM393" s="58">
        <f t="shared" ref="EM393:EM456" si="446">SUMIF($AL$3:$DL$3,1,$AL393:$DL393)</f>
        <v>3341.7842386303987</v>
      </c>
      <c r="EN393" s="68">
        <f t="shared" ref="EN393:EN456" si="447">+EM393/$AF393</f>
        <v>4.5015255612880528E-2</v>
      </c>
      <c r="EO393" s="139">
        <f t="shared" si="387"/>
        <v>0.3126447604730192</v>
      </c>
      <c r="EP393">
        <f>+(SUM(M393:O393)*EO393*(1-'[1]Tier 3 Data'!$A$2))</f>
        <v>872.11326836821854</v>
      </c>
    </row>
    <row r="394" spans="1:146" x14ac:dyDescent="0.2">
      <c r="A394" s="43">
        <v>0</v>
      </c>
      <c r="B394" s="43">
        <v>0</v>
      </c>
      <c r="C394" s="43">
        <v>0</v>
      </c>
      <c r="D394" s="70">
        <v>2040</v>
      </c>
      <c r="E394" s="70">
        <v>3</v>
      </c>
      <c r="F394" s="2">
        <v>743</v>
      </c>
      <c r="G394" s="133">
        <f t="shared" si="380"/>
        <v>49147.758947428563</v>
      </c>
      <c r="H394" s="65">
        <v>49147.758947428563</v>
      </c>
      <c r="I394" s="133">
        <f t="shared" si="381"/>
        <v>49147.758947428563</v>
      </c>
      <c r="J394" s="133">
        <f t="shared" si="440"/>
        <v>7266.8778750000001</v>
      </c>
      <c r="K394" s="65">
        <v>7266.8778750000001</v>
      </c>
      <c r="L394" s="133">
        <f t="shared" si="441"/>
        <v>7266.8778750000001</v>
      </c>
      <c r="M394" s="65">
        <v>1050.2026341606518</v>
      </c>
      <c r="N394" s="65">
        <v>2261.4216180208796</v>
      </c>
      <c r="O394" s="65">
        <v>687.2816076219558</v>
      </c>
      <c r="P394" s="200">
        <f t="shared" si="434"/>
        <v>40681.209314487518</v>
      </c>
      <c r="Q394" s="200">
        <f t="shared" si="435"/>
        <v>40681.209314487518</v>
      </c>
      <c r="R394" s="200">
        <f t="shared" si="436"/>
        <v>40681.209314487518</v>
      </c>
      <c r="S394" s="133">
        <f t="shared" si="382"/>
        <v>41674.696590141975</v>
      </c>
      <c r="T394" s="133">
        <f t="shared" si="383"/>
        <v>41674.696590141975</v>
      </c>
      <c r="U394" s="133">
        <f t="shared" si="384"/>
        <v>41674.696590141975</v>
      </c>
      <c r="V394" s="200">
        <f t="shared" si="437"/>
        <v>40681.209314487518</v>
      </c>
      <c r="W394" s="200">
        <f t="shared" si="438"/>
        <v>40681.209314487518</v>
      </c>
      <c r="X394" s="200">
        <f t="shared" si="439"/>
        <v>40681.209314487518</v>
      </c>
      <c r="Y394" s="65">
        <v>24949.229067191507</v>
      </c>
      <c r="Z394" s="65">
        <v>31041.561747927393</v>
      </c>
      <c r="AA394" s="65">
        <v>18719.821524805855</v>
      </c>
      <c r="AB394" s="200">
        <f t="shared" si="373"/>
        <v>71722.771062414919</v>
      </c>
      <c r="AC394" s="200">
        <f t="shared" si="374"/>
        <v>71722.771062414919</v>
      </c>
      <c r="AD394" s="200">
        <f t="shared" si="375"/>
        <v>71722.771062414919</v>
      </c>
      <c r="AE394" s="199">
        <f t="shared" si="413"/>
        <v>66623.925657333486</v>
      </c>
      <c r="AF394" s="199">
        <f t="shared" si="376"/>
        <v>72716.258338069369</v>
      </c>
      <c r="AG394" s="199">
        <f t="shared" si="414"/>
        <v>60394.51811494783</v>
      </c>
      <c r="AH394" s="199">
        <f t="shared" si="385"/>
        <v>66555.388226508599</v>
      </c>
      <c r="AI394" s="200">
        <f t="shared" si="377"/>
        <v>71722.771062414919</v>
      </c>
      <c r="AJ394" s="200">
        <f t="shared" si="378"/>
        <v>71722.771062414919</v>
      </c>
      <c r="AK394" s="200">
        <f t="shared" si="379"/>
        <v>71722.771062414919</v>
      </c>
      <c r="AL394" s="4"/>
      <c r="AM394" s="4"/>
      <c r="AN394" s="4"/>
      <c r="AO394" s="4"/>
      <c r="AP394" s="63"/>
      <c r="AQ394" s="18"/>
      <c r="AR394" s="18"/>
      <c r="AS394" s="18"/>
      <c r="AT394" s="18">
        <v>0</v>
      </c>
      <c r="AU394" s="133">
        <f t="shared" si="388"/>
        <v>87.516000000000005</v>
      </c>
      <c r="AV394" s="133">
        <f t="shared" si="388"/>
        <v>3232.7139999999999</v>
      </c>
      <c r="AW394" s="194"/>
      <c r="AX394" s="194"/>
      <c r="AY394" s="194"/>
      <c r="AZ394" s="194"/>
      <c r="BA394" s="194"/>
      <c r="BB394" s="194"/>
      <c r="BC394" s="65">
        <v>27.98350824594328</v>
      </c>
      <c r="BD394" s="65">
        <v>0</v>
      </c>
      <c r="BE394" s="65">
        <v>0</v>
      </c>
      <c r="BF394" s="65">
        <v>0</v>
      </c>
      <c r="BG394" s="65">
        <v>0</v>
      </c>
      <c r="BH394" s="65">
        <v>0</v>
      </c>
      <c r="BI394" s="65">
        <v>1115.2702706335176</v>
      </c>
      <c r="BJ394" s="65">
        <v>0</v>
      </c>
      <c r="BK394" s="65">
        <v>19.397174608663349</v>
      </c>
      <c r="BL394" s="65">
        <v>0</v>
      </c>
      <c r="BM394" s="65">
        <v>0</v>
      </c>
      <c r="BN394" s="65">
        <v>0</v>
      </c>
      <c r="BO394" s="65">
        <v>212.18019192</v>
      </c>
      <c r="BP394" s="5"/>
      <c r="BQ394" s="4">
        <v>131.62727807014224</v>
      </c>
      <c r="BR394" s="65">
        <v>171.97528759665519</v>
      </c>
      <c r="BS394" s="65">
        <v>622.28596479255134</v>
      </c>
      <c r="BT394" s="65">
        <v>208.57595023330546</v>
      </c>
      <c r="BU394" s="65">
        <v>242.38439446663085</v>
      </c>
      <c r="BV394" s="144">
        <f t="shared" si="370"/>
        <v>735.14184391245624</v>
      </c>
      <c r="BW394" s="144">
        <f t="shared" si="371"/>
        <v>1582.9951326146156</v>
      </c>
      <c r="BX394" s="144">
        <f t="shared" si="372"/>
        <v>481.09712533536901</v>
      </c>
      <c r="BY394" s="5"/>
      <c r="BZ394" s="5"/>
      <c r="CA394" s="4"/>
      <c r="CB394" s="5"/>
      <c r="CC394" s="5"/>
      <c r="CD394" s="5"/>
      <c r="CE394" s="5"/>
      <c r="CF394" s="64"/>
      <c r="CG394" s="70"/>
      <c r="CH394" s="70"/>
      <c r="CI394" s="70"/>
      <c r="CJ394" s="63"/>
      <c r="CK394" s="8">
        <f t="shared" si="431"/>
        <v>8871.1441224298505</v>
      </c>
      <c r="CL394" s="202">
        <f t="shared" si="389"/>
        <v>62851.626939985072</v>
      </c>
      <c r="CM394" s="202">
        <f t="shared" si="390"/>
        <v>62851.626939985072</v>
      </c>
      <c r="CN394" s="202">
        <f t="shared" si="391"/>
        <v>62851.626939985072</v>
      </c>
      <c r="CO394" s="9">
        <f t="shared" si="392"/>
        <v>57752.781534903639</v>
      </c>
      <c r="CP394" s="9">
        <f t="shared" si="393"/>
        <v>63845.114215639522</v>
      </c>
      <c r="CQ394" s="9">
        <f t="shared" si="394"/>
        <v>51523.373992517983</v>
      </c>
      <c r="CR394" s="202">
        <f t="shared" si="395"/>
        <v>62851.626939985072</v>
      </c>
      <c r="CS394" s="202">
        <f t="shared" si="396"/>
        <v>62851.626939985072</v>
      </c>
      <c r="CT394" s="202">
        <f t="shared" si="397"/>
        <v>62851.626939985072</v>
      </c>
      <c r="CU394" s="203">
        <f t="shared" si="398"/>
        <v>0.87631342192969708</v>
      </c>
      <c r="CV394" s="203">
        <f t="shared" si="399"/>
        <v>0.87631342192969708</v>
      </c>
      <c r="CW394" s="203">
        <f t="shared" si="400"/>
        <v>0.87631342192969708</v>
      </c>
      <c r="CX394" s="19">
        <f t="shared" si="401"/>
        <v>0.86684747206196222</v>
      </c>
      <c r="CY394" s="19">
        <f t="shared" si="402"/>
        <v>0.87800329217729411</v>
      </c>
      <c r="CZ394" s="19">
        <f t="shared" si="403"/>
        <v>0.85311342156012315</v>
      </c>
      <c r="DA394" s="203">
        <f t="shared" si="404"/>
        <v>0.87631342192969708</v>
      </c>
      <c r="DB394" s="203">
        <f t="shared" si="405"/>
        <v>0.87631342192969708</v>
      </c>
      <c r="DC394" s="203">
        <f t="shared" si="406"/>
        <v>0.87631342192969708</v>
      </c>
      <c r="DD394" s="65"/>
      <c r="DE394" s="66"/>
      <c r="DF394" s="66"/>
      <c r="DG394" s="66"/>
      <c r="DH394" s="66"/>
      <c r="DI394" s="66"/>
      <c r="DJ394" s="66"/>
      <c r="DK394" s="70"/>
      <c r="DL394" s="70"/>
      <c r="DM394" s="8">
        <f t="shared" si="432"/>
        <v>0</v>
      </c>
      <c r="DN394" s="8">
        <f t="shared" si="433"/>
        <v>8871.1441224298505</v>
      </c>
      <c r="DO394" s="202">
        <f t="shared" si="415"/>
        <v>62851.626939985072</v>
      </c>
      <c r="DP394" s="202">
        <f t="shared" si="416"/>
        <v>62851.626939985072</v>
      </c>
      <c r="DQ394" s="202">
        <f t="shared" si="417"/>
        <v>62851.626939985072</v>
      </c>
      <c r="DR394" s="9">
        <f t="shared" si="418"/>
        <v>57752.781534903639</v>
      </c>
      <c r="DS394" s="9">
        <f t="shared" si="410"/>
        <v>63845.114215639522</v>
      </c>
      <c r="DT394" s="9">
        <f t="shared" si="419"/>
        <v>51523.373992517983</v>
      </c>
      <c r="DU394" s="202">
        <f t="shared" si="420"/>
        <v>62851.626939985072</v>
      </c>
      <c r="DV394" s="202">
        <f t="shared" si="421"/>
        <v>62851.626939985072</v>
      </c>
      <c r="DW394" s="202">
        <f t="shared" si="422"/>
        <v>62851.626939985072</v>
      </c>
      <c r="DX394" s="203">
        <f t="shared" si="423"/>
        <v>0.87631342192969708</v>
      </c>
      <c r="DY394" s="203">
        <f t="shared" si="424"/>
        <v>0.87631342192969708</v>
      </c>
      <c r="DZ394" s="203">
        <f t="shared" si="425"/>
        <v>0.87631342192969708</v>
      </c>
      <c r="EA394" s="19">
        <f t="shared" si="426"/>
        <v>0.86684747206196222</v>
      </c>
      <c r="EB394" s="19">
        <f t="shared" si="411"/>
        <v>0.87800329217729411</v>
      </c>
      <c r="EC394" s="19">
        <f t="shared" si="427"/>
        <v>0.85311342156012315</v>
      </c>
      <c r="ED394" s="203">
        <f t="shared" si="428"/>
        <v>0.87631342192969708</v>
      </c>
      <c r="EE394" s="203">
        <f t="shared" si="429"/>
        <v>0.87631342192969708</v>
      </c>
      <c r="EF394" s="203">
        <f t="shared" si="430"/>
        <v>0.87631342192969708</v>
      </c>
      <c r="EH394" s="58">
        <f t="shared" si="442"/>
        <v>8136.0022785173942</v>
      </c>
      <c r="EI394" s="68">
        <f t="shared" si="443"/>
        <v>0.11188697637180167</v>
      </c>
      <c r="EJ394" s="58">
        <f t="shared" si="444"/>
        <v>8136.0022785173942</v>
      </c>
      <c r="EK394" s="68">
        <f t="shared" si="443"/>
        <v>0.11188697637180167</v>
      </c>
      <c r="EL394" s="58">
        <f t="shared" si="445"/>
        <v>4334.6751531820246</v>
      </c>
      <c r="EM394" s="58">
        <f t="shared" si="446"/>
        <v>4815.7722785173937</v>
      </c>
      <c r="EN394" s="68">
        <f t="shared" si="447"/>
        <v>6.6226898751144597E-2</v>
      </c>
      <c r="EO394" s="139">
        <f t="shared" si="387"/>
        <v>0.32861286969700848</v>
      </c>
      <c r="EP394">
        <f>+(SUM(M394:O394)*EO394*(1-'[1]Tier 3 Data'!$A$2))</f>
        <v>1226.0477709122472</v>
      </c>
    </row>
    <row r="395" spans="1:146" x14ac:dyDescent="0.2">
      <c r="A395" s="43">
        <v>0</v>
      </c>
      <c r="B395" s="43">
        <v>0</v>
      </c>
      <c r="C395" s="43">
        <v>0</v>
      </c>
      <c r="D395" s="70">
        <v>2040</v>
      </c>
      <c r="E395" s="70">
        <v>4</v>
      </c>
      <c r="F395" s="2">
        <v>720</v>
      </c>
      <c r="G395" s="133">
        <f t="shared" si="380"/>
        <v>41313.048272723987</v>
      </c>
      <c r="H395" s="65">
        <v>41313.048272723987</v>
      </c>
      <c r="I395" s="133">
        <f t="shared" si="381"/>
        <v>41313.048272723987</v>
      </c>
      <c r="J395" s="133">
        <f t="shared" si="440"/>
        <v>7306.7250000000004</v>
      </c>
      <c r="K395" s="65">
        <v>7306.7250000000004</v>
      </c>
      <c r="L395" s="133">
        <f t="shared" si="441"/>
        <v>7306.7250000000004</v>
      </c>
      <c r="M395" s="65">
        <v>1418.2286880453187</v>
      </c>
      <c r="N395" s="65">
        <v>3053.8992287010965</v>
      </c>
      <c r="O395" s="65">
        <v>928.33309464868773</v>
      </c>
      <c r="P395" s="200">
        <f t="shared" si="434"/>
        <v>32386.184969305457</v>
      </c>
      <c r="Q395" s="200">
        <f t="shared" si="435"/>
        <v>32386.184969305457</v>
      </c>
      <c r="R395" s="200">
        <f t="shared" si="436"/>
        <v>32386.184969305457</v>
      </c>
      <c r="S395" s="133">
        <f t="shared" si="382"/>
        <v>33727.823344329379</v>
      </c>
      <c r="T395" s="133">
        <f t="shared" si="383"/>
        <v>33727.823344329379</v>
      </c>
      <c r="U395" s="133">
        <f t="shared" si="384"/>
        <v>33727.823344329379</v>
      </c>
      <c r="V395" s="200">
        <f t="shared" si="437"/>
        <v>32386.184969305457</v>
      </c>
      <c r="W395" s="200">
        <f t="shared" si="438"/>
        <v>32386.184969305457</v>
      </c>
      <c r="X395" s="200">
        <f t="shared" si="439"/>
        <v>32386.184969305457</v>
      </c>
      <c r="Y395" s="65">
        <v>21354.001848095475</v>
      </c>
      <c r="Z395" s="65">
        <v>25126.747632085742</v>
      </c>
      <c r="AA395" s="65">
        <v>15711.208135213248</v>
      </c>
      <c r="AB395" s="200">
        <f t="shared" si="373"/>
        <v>57512.9326013912</v>
      </c>
      <c r="AC395" s="200">
        <f t="shared" si="374"/>
        <v>57512.9326013912</v>
      </c>
      <c r="AD395" s="200">
        <f t="shared" si="375"/>
        <v>57512.9326013912</v>
      </c>
      <c r="AE395" s="199">
        <f t="shared" si="413"/>
        <v>55081.825192424854</v>
      </c>
      <c r="AF395" s="199">
        <f t="shared" si="376"/>
        <v>58854.570976415125</v>
      </c>
      <c r="AG395" s="199">
        <f t="shared" si="414"/>
        <v>49439.031479542624</v>
      </c>
      <c r="AH395" s="199">
        <f t="shared" si="385"/>
        <v>54146.801227978875</v>
      </c>
      <c r="AI395" s="200">
        <f t="shared" si="377"/>
        <v>57512.9326013912</v>
      </c>
      <c r="AJ395" s="200">
        <f t="shared" si="378"/>
        <v>57512.9326013912</v>
      </c>
      <c r="AK395" s="200">
        <f t="shared" si="379"/>
        <v>57512.9326013912</v>
      </c>
      <c r="AL395" s="4"/>
      <c r="AM395" s="4"/>
      <c r="AN395" s="4"/>
      <c r="AO395" s="4"/>
      <c r="AP395" s="63"/>
      <c r="AQ395" s="18"/>
      <c r="AR395" s="18"/>
      <c r="AS395" s="18"/>
      <c r="AT395" s="18">
        <v>0</v>
      </c>
      <c r="AU395" s="133">
        <f t="shared" si="388"/>
        <v>96.057000000000002</v>
      </c>
      <c r="AV395" s="133">
        <f t="shared" si="388"/>
        <v>3017.9659999999999</v>
      </c>
      <c r="AW395" s="194"/>
      <c r="AX395" s="194"/>
      <c r="AY395" s="194"/>
      <c r="AZ395" s="194"/>
      <c r="BA395" s="194"/>
      <c r="BB395" s="194"/>
      <c r="BC395" s="65">
        <v>35.337386324084093</v>
      </c>
      <c r="BD395" s="65">
        <v>0</v>
      </c>
      <c r="BE395" s="65">
        <v>0</v>
      </c>
      <c r="BF395" s="65">
        <v>0</v>
      </c>
      <c r="BG395" s="65">
        <v>0</v>
      </c>
      <c r="BH395" s="65">
        <v>0</v>
      </c>
      <c r="BI395" s="65">
        <v>1408.3558095277681</v>
      </c>
      <c r="BJ395" s="65">
        <v>0</v>
      </c>
      <c r="BK395" s="65">
        <v>19.984033847071771</v>
      </c>
      <c r="BL395" s="65">
        <v>0</v>
      </c>
      <c r="BM395" s="65">
        <v>0</v>
      </c>
      <c r="BN395" s="65">
        <v>0</v>
      </c>
      <c r="BO395" s="65">
        <v>205.33566960000002</v>
      </c>
      <c r="BP395" s="5"/>
      <c r="BQ395" s="4">
        <v>140.56034003560086</v>
      </c>
      <c r="BR395" s="65">
        <v>183.64665979182232</v>
      </c>
      <c r="BS395" s="65">
        <v>664.5183749182188</v>
      </c>
      <c r="BT395" s="65">
        <v>230.95328929856669</v>
      </c>
      <c r="BU395" s="65">
        <v>247.99085908268799</v>
      </c>
      <c r="BV395" s="144">
        <f t="shared" si="370"/>
        <v>992.76008163172298</v>
      </c>
      <c r="BW395" s="144">
        <f t="shared" si="371"/>
        <v>2137.7294600907676</v>
      </c>
      <c r="BX395" s="144">
        <f t="shared" si="372"/>
        <v>649.83316625408133</v>
      </c>
      <c r="BY395" s="5"/>
      <c r="BZ395" s="5"/>
      <c r="CA395" s="4"/>
      <c r="CB395" s="5"/>
      <c r="CC395" s="5"/>
      <c r="CD395" s="5"/>
      <c r="CE395" s="5"/>
      <c r="CF395" s="64"/>
      <c r="CG395" s="70"/>
      <c r="CH395" s="70"/>
      <c r="CI395" s="70"/>
      <c r="CJ395" s="63"/>
      <c r="CK395" s="8">
        <f t="shared" si="431"/>
        <v>10031.028130402392</v>
      </c>
      <c r="CL395" s="202">
        <f t="shared" si="389"/>
        <v>47481.904470988811</v>
      </c>
      <c r="CM395" s="202">
        <f t="shared" si="390"/>
        <v>47481.904470988811</v>
      </c>
      <c r="CN395" s="202">
        <f t="shared" si="391"/>
        <v>47481.904470988811</v>
      </c>
      <c r="CO395" s="9">
        <f t="shared" si="392"/>
        <v>45050.797062022466</v>
      </c>
      <c r="CP395" s="9">
        <f t="shared" si="393"/>
        <v>48823.54284601273</v>
      </c>
      <c r="CQ395" s="9">
        <f t="shared" si="394"/>
        <v>39408.003349140228</v>
      </c>
      <c r="CR395" s="202">
        <f t="shared" si="395"/>
        <v>47481.904470988811</v>
      </c>
      <c r="CS395" s="202">
        <f t="shared" si="396"/>
        <v>47481.904470988811</v>
      </c>
      <c r="CT395" s="202">
        <f t="shared" si="397"/>
        <v>47481.904470988811</v>
      </c>
      <c r="CU395" s="203">
        <f t="shared" si="398"/>
        <v>0.82558656502659811</v>
      </c>
      <c r="CV395" s="203">
        <f t="shared" si="399"/>
        <v>0.82558656502659811</v>
      </c>
      <c r="CW395" s="203">
        <f t="shared" si="400"/>
        <v>0.82558656502659811</v>
      </c>
      <c r="CX395" s="19">
        <f t="shared" si="401"/>
        <v>0.81788860308532574</v>
      </c>
      <c r="CY395" s="19">
        <f t="shared" si="402"/>
        <v>0.82956246279626877</v>
      </c>
      <c r="CZ395" s="19">
        <f t="shared" si="403"/>
        <v>0.79710306148385746</v>
      </c>
      <c r="DA395" s="203">
        <f t="shared" si="404"/>
        <v>0.82558656502659811</v>
      </c>
      <c r="DB395" s="203">
        <f t="shared" si="405"/>
        <v>0.82558656502659811</v>
      </c>
      <c r="DC395" s="203">
        <f t="shared" si="406"/>
        <v>0.82558656502659811</v>
      </c>
      <c r="DD395" s="65"/>
      <c r="DE395" s="66"/>
      <c r="DF395" s="66"/>
      <c r="DG395" s="66"/>
      <c r="DH395" s="66"/>
      <c r="DI395" s="66"/>
      <c r="DJ395" s="66"/>
      <c r="DK395" s="70"/>
      <c r="DL395" s="70"/>
      <c r="DM395" s="8">
        <f t="shared" si="432"/>
        <v>0</v>
      </c>
      <c r="DN395" s="8">
        <f t="shared" si="433"/>
        <v>10031.028130402392</v>
      </c>
      <c r="DO395" s="202">
        <f t="shared" si="415"/>
        <v>47481.904470988811</v>
      </c>
      <c r="DP395" s="202">
        <f t="shared" si="416"/>
        <v>47481.904470988811</v>
      </c>
      <c r="DQ395" s="202">
        <f t="shared" si="417"/>
        <v>47481.904470988811</v>
      </c>
      <c r="DR395" s="9">
        <f t="shared" si="418"/>
        <v>45050.797062022466</v>
      </c>
      <c r="DS395" s="9">
        <f t="shared" si="410"/>
        <v>48823.54284601273</v>
      </c>
      <c r="DT395" s="9">
        <f t="shared" si="419"/>
        <v>39408.003349140228</v>
      </c>
      <c r="DU395" s="202">
        <f t="shared" si="420"/>
        <v>47481.904470988811</v>
      </c>
      <c r="DV395" s="202">
        <f t="shared" si="421"/>
        <v>47481.904470988811</v>
      </c>
      <c r="DW395" s="202">
        <f t="shared" si="422"/>
        <v>47481.904470988811</v>
      </c>
      <c r="DX395" s="203">
        <f t="shared" si="423"/>
        <v>0.82558656502659811</v>
      </c>
      <c r="DY395" s="203">
        <f t="shared" si="424"/>
        <v>0.82558656502659811</v>
      </c>
      <c r="DZ395" s="203">
        <f t="shared" si="425"/>
        <v>0.82558656502659811</v>
      </c>
      <c r="EA395" s="19">
        <f t="shared" si="426"/>
        <v>0.81788860308532574</v>
      </c>
      <c r="EB395" s="19">
        <f t="shared" si="411"/>
        <v>0.82956246279626877</v>
      </c>
      <c r="EC395" s="19">
        <f t="shared" si="427"/>
        <v>0.79710306148385746</v>
      </c>
      <c r="ED395" s="203">
        <f t="shared" si="428"/>
        <v>0.82558656502659811</v>
      </c>
      <c r="EE395" s="203">
        <f t="shared" si="429"/>
        <v>0.82558656502659811</v>
      </c>
      <c r="EF395" s="203">
        <f t="shared" si="430"/>
        <v>0.82558656502659811</v>
      </c>
      <c r="EH395" s="58">
        <f t="shared" si="442"/>
        <v>9038.2680487706712</v>
      </c>
      <c r="EI395" s="68">
        <f t="shared" si="443"/>
        <v>0.15356951718147074</v>
      </c>
      <c r="EJ395" s="58">
        <f t="shared" si="444"/>
        <v>9038.2680487706712</v>
      </c>
      <c r="EK395" s="68">
        <f t="shared" si="443"/>
        <v>0.15356951718147074</v>
      </c>
      <c r="EL395" s="58">
        <f t="shared" si="445"/>
        <v>5274.4118825165879</v>
      </c>
      <c r="EM395" s="58">
        <f t="shared" si="446"/>
        <v>5924.2450487706692</v>
      </c>
      <c r="EN395" s="68">
        <f t="shared" si="447"/>
        <v>0.10065904738554123</v>
      </c>
      <c r="EO395" s="139">
        <f t="shared" si="387"/>
        <v>0.35351678044029999</v>
      </c>
      <c r="EP395">
        <f>+(SUM(M395:O395)*EO395*(1-'[1]Tier 3 Data'!$A$2))</f>
        <v>1781.2402991357651</v>
      </c>
    </row>
    <row r="396" spans="1:146" x14ac:dyDescent="0.2">
      <c r="A396" s="43">
        <v>0</v>
      </c>
      <c r="B396" s="43">
        <v>0</v>
      </c>
      <c r="C396" s="43">
        <v>0</v>
      </c>
      <c r="D396" s="70">
        <v>2040</v>
      </c>
      <c r="E396" s="70">
        <v>5</v>
      </c>
      <c r="F396" s="2">
        <v>744</v>
      </c>
      <c r="G396" s="133">
        <f t="shared" si="380"/>
        <v>39384.213290920743</v>
      </c>
      <c r="H396" s="65">
        <v>39384.213290920743</v>
      </c>
      <c r="I396" s="133">
        <f t="shared" si="381"/>
        <v>39384.213290920743</v>
      </c>
      <c r="J396" s="133">
        <f t="shared" si="440"/>
        <v>7346.5721250000006</v>
      </c>
      <c r="K396" s="65">
        <v>7346.5721250000006</v>
      </c>
      <c r="L396" s="133">
        <f t="shared" si="441"/>
        <v>7346.5721250000006</v>
      </c>
      <c r="M396" s="65">
        <v>1750.7817988213781</v>
      </c>
      <c r="N396" s="65">
        <v>3769.9922657844818</v>
      </c>
      <c r="O396" s="65">
        <v>1146.2927782809857</v>
      </c>
      <c r="P396" s="200">
        <f t="shared" si="434"/>
        <v>30037.521113054692</v>
      </c>
      <c r="Q396" s="200">
        <f t="shared" si="435"/>
        <v>30037.521113054692</v>
      </c>
      <c r="R396" s="200">
        <f t="shared" si="436"/>
        <v>30037.521113054692</v>
      </c>
      <c r="S396" s="133">
        <f t="shared" si="382"/>
        <v>31693.753332436449</v>
      </c>
      <c r="T396" s="133">
        <f t="shared" si="383"/>
        <v>31693.753332436449</v>
      </c>
      <c r="U396" s="133">
        <f t="shared" si="384"/>
        <v>31693.753332436449</v>
      </c>
      <c r="V396" s="200">
        <f t="shared" si="437"/>
        <v>30037.521113054692</v>
      </c>
      <c r="W396" s="200">
        <f t="shared" si="438"/>
        <v>30037.521113054692</v>
      </c>
      <c r="X396" s="200">
        <f t="shared" si="439"/>
        <v>30037.521113054692</v>
      </c>
      <c r="Y396" s="65">
        <v>17301.814641143839</v>
      </c>
      <c r="Z396" s="65">
        <v>19292.180309466643</v>
      </c>
      <c r="AA396" s="65">
        <v>12531.081834624829</v>
      </c>
      <c r="AB396" s="200">
        <f t="shared" si="373"/>
        <v>49329.701422521335</v>
      </c>
      <c r="AC396" s="200">
        <f t="shared" si="374"/>
        <v>49329.701422521335</v>
      </c>
      <c r="AD396" s="200">
        <f t="shared" si="375"/>
        <v>49329.701422521335</v>
      </c>
      <c r="AE396" s="199">
        <f t="shared" si="413"/>
        <v>48995.567973580284</v>
      </c>
      <c r="AF396" s="199">
        <f t="shared" si="376"/>
        <v>50985.933641903088</v>
      </c>
      <c r="AG396" s="199">
        <f t="shared" si="414"/>
        <v>44224.835167061276</v>
      </c>
      <c r="AH396" s="199">
        <f t="shared" si="385"/>
        <v>47605.384404482182</v>
      </c>
      <c r="AI396" s="200">
        <f t="shared" si="377"/>
        <v>49329.701422521335</v>
      </c>
      <c r="AJ396" s="200">
        <f t="shared" si="378"/>
        <v>49329.701422521335</v>
      </c>
      <c r="AK396" s="200">
        <f t="shared" si="379"/>
        <v>49329.701422521335</v>
      </c>
      <c r="AL396" s="4"/>
      <c r="AM396" s="4"/>
      <c r="AN396" s="4"/>
      <c r="AO396" s="4"/>
      <c r="AP396" s="63"/>
      <c r="AQ396" s="18"/>
      <c r="AR396" s="18"/>
      <c r="AS396" s="18"/>
      <c r="AT396" s="18">
        <v>0</v>
      </c>
      <c r="AU396" s="133">
        <f t="shared" si="388"/>
        <v>109.161</v>
      </c>
      <c r="AV396" s="133">
        <f t="shared" si="388"/>
        <v>3327.41</v>
      </c>
      <c r="AW396" s="194"/>
      <c r="AX396" s="194"/>
      <c r="AY396" s="194"/>
      <c r="AZ396" s="194"/>
      <c r="BA396" s="194"/>
      <c r="BB396" s="194"/>
      <c r="BC396" s="65">
        <v>25.324687358297442</v>
      </c>
      <c r="BD396" s="65">
        <v>0</v>
      </c>
      <c r="BE396" s="65">
        <v>0</v>
      </c>
      <c r="BF396" s="65">
        <v>0</v>
      </c>
      <c r="BG396" s="65">
        <v>0</v>
      </c>
      <c r="BH396" s="65">
        <v>0</v>
      </c>
      <c r="BI396" s="65">
        <v>1414.4154450777564</v>
      </c>
      <c r="BJ396" s="65">
        <v>0</v>
      </c>
      <c r="BK396" s="65">
        <v>12.751667915526451</v>
      </c>
      <c r="BL396" s="65">
        <v>0</v>
      </c>
      <c r="BM396" s="65">
        <v>0</v>
      </c>
      <c r="BN396" s="65">
        <v>0</v>
      </c>
      <c r="BO396" s="65">
        <v>212.18019192</v>
      </c>
      <c r="BP396" s="5"/>
      <c r="BQ396" s="4">
        <v>161.87649014102428</v>
      </c>
      <c r="BR396" s="65">
        <v>211.49688118593076</v>
      </c>
      <c r="BS396" s="65">
        <v>765.29333158569136</v>
      </c>
      <c r="BT396" s="65">
        <v>238.68856545830411</v>
      </c>
      <c r="BU396" s="65">
        <v>283.60263982806833</v>
      </c>
      <c r="BV396" s="144">
        <f t="shared" ref="BV396:BV459" si="448">+M396*0.7</f>
        <v>1225.5472591749647</v>
      </c>
      <c r="BW396" s="144">
        <f t="shared" ref="BW396:BW459" si="449">+N396*0.7</f>
        <v>2638.9945860491371</v>
      </c>
      <c r="BX396" s="144">
        <f t="shared" ref="BX396:BX459" si="450">+O396*0.7</f>
        <v>802.40494479668996</v>
      </c>
      <c r="BY396" s="5"/>
      <c r="BZ396" s="5"/>
      <c r="CA396" s="4"/>
      <c r="CB396" s="5"/>
      <c r="CC396" s="5"/>
      <c r="CD396" s="5"/>
      <c r="CE396" s="5"/>
      <c r="CF396" s="64"/>
      <c r="CG396" s="70"/>
      <c r="CH396" s="70"/>
      <c r="CI396" s="70"/>
      <c r="CJ396" s="63"/>
      <c r="CK396" s="8">
        <f t="shared" si="431"/>
        <v>11429.147690491391</v>
      </c>
      <c r="CL396" s="202">
        <f t="shared" si="389"/>
        <v>37900.553732029948</v>
      </c>
      <c r="CM396" s="202">
        <f t="shared" si="390"/>
        <v>37900.553732029948</v>
      </c>
      <c r="CN396" s="202">
        <f t="shared" si="391"/>
        <v>37900.553732029948</v>
      </c>
      <c r="CO396" s="9">
        <f t="shared" si="392"/>
        <v>37566.420283088897</v>
      </c>
      <c r="CP396" s="9">
        <f t="shared" si="393"/>
        <v>39556.785951411701</v>
      </c>
      <c r="CQ396" s="9">
        <f t="shared" si="394"/>
        <v>32795.687476569889</v>
      </c>
      <c r="CR396" s="202">
        <f t="shared" si="395"/>
        <v>37900.553732029948</v>
      </c>
      <c r="CS396" s="202">
        <f t="shared" si="396"/>
        <v>37900.553732029948</v>
      </c>
      <c r="CT396" s="202">
        <f t="shared" si="397"/>
        <v>37900.553732029948</v>
      </c>
      <c r="CU396" s="203">
        <f t="shared" si="398"/>
        <v>0.76831103045611704</v>
      </c>
      <c r="CV396" s="203">
        <f t="shared" si="399"/>
        <v>0.76831103045611704</v>
      </c>
      <c r="CW396" s="203">
        <f t="shared" si="400"/>
        <v>0.76831103045611704</v>
      </c>
      <c r="CX396" s="19">
        <f t="shared" si="401"/>
        <v>0.76673098887935565</v>
      </c>
      <c r="CY396" s="19">
        <f t="shared" si="402"/>
        <v>0.77583723834963225</v>
      </c>
      <c r="CZ396" s="19">
        <f t="shared" si="403"/>
        <v>0.74156720658613484</v>
      </c>
      <c r="DA396" s="203">
        <f t="shared" si="404"/>
        <v>0.76831103045611704</v>
      </c>
      <c r="DB396" s="203">
        <f t="shared" si="405"/>
        <v>0.76831103045611704</v>
      </c>
      <c r="DC396" s="203">
        <f t="shared" si="406"/>
        <v>0.76831103045611704</v>
      </c>
      <c r="DD396" s="65"/>
      <c r="DE396" s="66"/>
      <c r="DF396" s="66"/>
      <c r="DG396" s="66"/>
      <c r="DH396" s="66"/>
      <c r="DI396" s="66"/>
      <c r="DJ396" s="66"/>
      <c r="DK396" s="70"/>
      <c r="DL396" s="70"/>
      <c r="DM396" s="8">
        <f t="shared" si="432"/>
        <v>0</v>
      </c>
      <c r="DN396" s="8">
        <f t="shared" si="433"/>
        <v>11429.147690491391</v>
      </c>
      <c r="DO396" s="202">
        <f t="shared" si="415"/>
        <v>37900.553732029948</v>
      </c>
      <c r="DP396" s="202">
        <f t="shared" si="416"/>
        <v>37900.553732029948</v>
      </c>
      <c r="DQ396" s="202">
        <f t="shared" si="417"/>
        <v>37900.553732029948</v>
      </c>
      <c r="DR396" s="9">
        <f t="shared" si="418"/>
        <v>37566.420283088897</v>
      </c>
      <c r="DS396" s="9">
        <f t="shared" si="410"/>
        <v>39556.785951411701</v>
      </c>
      <c r="DT396" s="9">
        <f t="shared" si="419"/>
        <v>32795.687476569889</v>
      </c>
      <c r="DU396" s="202">
        <f t="shared" si="420"/>
        <v>37900.553732029948</v>
      </c>
      <c r="DV396" s="202">
        <f t="shared" si="421"/>
        <v>37900.553732029948</v>
      </c>
      <c r="DW396" s="202">
        <f t="shared" si="422"/>
        <v>37900.553732029948</v>
      </c>
      <c r="DX396" s="203">
        <f t="shared" si="423"/>
        <v>0.76831103045611704</v>
      </c>
      <c r="DY396" s="203">
        <f t="shared" si="424"/>
        <v>0.76831103045611704</v>
      </c>
      <c r="DZ396" s="203">
        <f t="shared" si="425"/>
        <v>0.76831103045611704</v>
      </c>
      <c r="EA396" s="19">
        <f t="shared" si="426"/>
        <v>0.76673098887935565</v>
      </c>
      <c r="EB396" s="19">
        <f t="shared" si="411"/>
        <v>0.77583723834963225</v>
      </c>
      <c r="EC396" s="19">
        <f t="shared" si="427"/>
        <v>0.74156720658613484</v>
      </c>
      <c r="ED396" s="203">
        <f t="shared" si="428"/>
        <v>0.76831103045611704</v>
      </c>
      <c r="EE396" s="203">
        <f t="shared" si="429"/>
        <v>0.76831103045611704</v>
      </c>
      <c r="EF396" s="203">
        <f t="shared" si="430"/>
        <v>0.76831103045611704</v>
      </c>
      <c r="EH396" s="58">
        <f t="shared" si="442"/>
        <v>10203.600431316427</v>
      </c>
      <c r="EI396" s="68">
        <f t="shared" si="443"/>
        <v>0.20012579357633922</v>
      </c>
      <c r="EJ396" s="58">
        <f t="shared" si="444"/>
        <v>10203.600431316427</v>
      </c>
      <c r="EK396" s="68">
        <f t="shared" si="443"/>
        <v>0.20012579357633922</v>
      </c>
      <c r="EL396" s="58">
        <f t="shared" si="445"/>
        <v>5964.6244865197368</v>
      </c>
      <c r="EM396" s="58">
        <f t="shared" si="446"/>
        <v>6767.0294313164268</v>
      </c>
      <c r="EN396" s="68">
        <f t="shared" si="447"/>
        <v>0.13272345817660783</v>
      </c>
      <c r="EO396" s="139">
        <f t="shared" si="387"/>
        <v>0.28868615856523006</v>
      </c>
      <c r="EP396">
        <f>+(SUM(M396:O396)*EO396*(1-'[1]Tier 3 Data'!$A$2))</f>
        <v>1795.7356914139884</v>
      </c>
    </row>
    <row r="397" spans="1:146" x14ac:dyDescent="0.2">
      <c r="A397" s="43">
        <v>0</v>
      </c>
      <c r="B397" s="43">
        <v>0</v>
      </c>
      <c r="C397" s="43">
        <v>0</v>
      </c>
      <c r="D397" s="70">
        <v>2040</v>
      </c>
      <c r="E397" s="70">
        <v>6</v>
      </c>
      <c r="F397" s="2">
        <v>720</v>
      </c>
      <c r="G397" s="133">
        <f t="shared" si="380"/>
        <v>41882.99420910317</v>
      </c>
      <c r="H397" s="65">
        <v>41882.99420910317</v>
      </c>
      <c r="I397" s="133">
        <f t="shared" si="381"/>
        <v>41882.99420910317</v>
      </c>
      <c r="J397" s="133">
        <f t="shared" si="440"/>
        <v>7386.4192500000008</v>
      </c>
      <c r="K397" s="65">
        <v>7386.4192500000008</v>
      </c>
      <c r="L397" s="133">
        <f t="shared" si="441"/>
        <v>7386.4192500000008</v>
      </c>
      <c r="M397" s="65">
        <v>1630.7561929849653</v>
      </c>
      <c r="N397" s="65">
        <v>3511.538810303055</v>
      </c>
      <c r="O397" s="65">
        <v>1068.2210544619493</v>
      </c>
      <c r="P397" s="200">
        <f t="shared" si="434"/>
        <v>32633.420141778181</v>
      </c>
      <c r="Q397" s="200">
        <f t="shared" si="435"/>
        <v>32633.420141778181</v>
      </c>
      <c r="R397" s="200">
        <f t="shared" si="436"/>
        <v>32633.420141778181</v>
      </c>
      <c r="S397" s="133">
        <f t="shared" si="382"/>
        <v>34176.108642764586</v>
      </c>
      <c r="T397" s="133">
        <f t="shared" si="383"/>
        <v>34176.108642764586</v>
      </c>
      <c r="U397" s="133">
        <f t="shared" si="384"/>
        <v>34176.108642764586</v>
      </c>
      <c r="V397" s="200">
        <f t="shared" si="437"/>
        <v>32633.420141778181</v>
      </c>
      <c r="W397" s="200">
        <f t="shared" si="438"/>
        <v>32633.420141778181</v>
      </c>
      <c r="X397" s="200">
        <f t="shared" si="439"/>
        <v>32633.420141778181</v>
      </c>
      <c r="Y397" s="65">
        <v>18184.884832796939</v>
      </c>
      <c r="Z397" s="65">
        <v>20637.261860946332</v>
      </c>
      <c r="AA397" s="65">
        <v>13407.328679481598</v>
      </c>
      <c r="AB397" s="200">
        <f t="shared" ref="AB397:AB460" si="451">+P397+$Z397</f>
        <v>53270.682002724512</v>
      </c>
      <c r="AC397" s="200">
        <f t="shared" ref="AC397:AC460" si="452">+Q397+$Z397</f>
        <v>53270.682002724512</v>
      </c>
      <c r="AD397" s="200">
        <f t="shared" ref="AD397:AD460" si="453">+R397+$Z397</f>
        <v>53270.682002724512</v>
      </c>
      <c r="AE397" s="199">
        <f t="shared" si="413"/>
        <v>52360.993475561525</v>
      </c>
      <c r="AF397" s="199">
        <f t="shared" ref="AF397:AF460" si="454">+T397+$Z397</f>
        <v>54813.370503710918</v>
      </c>
      <c r="AG397" s="199">
        <f t="shared" si="414"/>
        <v>47583.437322246187</v>
      </c>
      <c r="AH397" s="199">
        <f t="shared" si="385"/>
        <v>51198.403912978552</v>
      </c>
      <c r="AI397" s="200">
        <f t="shared" ref="AI397:AI460" si="455">+V397+$Z397</f>
        <v>53270.682002724512</v>
      </c>
      <c r="AJ397" s="200">
        <f t="shared" ref="AJ397:AJ460" si="456">+W397+$Z397</f>
        <v>53270.682002724512</v>
      </c>
      <c r="AK397" s="200">
        <f t="shared" ref="AK397:AK460" si="457">+X397+$Z397</f>
        <v>53270.682002724512</v>
      </c>
      <c r="AL397" s="4"/>
      <c r="AM397" s="4"/>
      <c r="AN397" s="4"/>
      <c r="AO397" s="4"/>
      <c r="AP397" s="63"/>
      <c r="AQ397" s="18"/>
      <c r="AR397" s="18"/>
      <c r="AS397" s="18"/>
      <c r="AT397" s="18">
        <v>0</v>
      </c>
      <c r="AU397" s="133">
        <f t="shared" si="388"/>
        <v>128.934</v>
      </c>
      <c r="AV397" s="133">
        <f t="shared" si="388"/>
        <v>3110.2840000000001</v>
      </c>
      <c r="AW397" s="194"/>
      <c r="AX397" s="194"/>
      <c r="AY397" s="194"/>
      <c r="AZ397" s="194"/>
      <c r="BA397" s="194"/>
      <c r="BB397" s="194"/>
      <c r="BC397" s="65">
        <v>26.915313519238779</v>
      </c>
      <c r="BD397" s="65">
        <v>0</v>
      </c>
      <c r="BE397" s="65">
        <v>0</v>
      </c>
      <c r="BF397" s="65">
        <v>0</v>
      </c>
      <c r="BG397" s="65">
        <v>0</v>
      </c>
      <c r="BH397" s="65">
        <v>0</v>
      </c>
      <c r="BI397" s="65">
        <v>1503.2539044652142</v>
      </c>
      <c r="BJ397" s="65">
        <v>0</v>
      </c>
      <c r="BK397" s="65">
        <v>11.763509963764358</v>
      </c>
      <c r="BL397" s="65">
        <v>0</v>
      </c>
      <c r="BM397" s="65">
        <v>0</v>
      </c>
      <c r="BN397" s="65">
        <v>0</v>
      </c>
      <c r="BO397" s="65">
        <v>205.33566960000002</v>
      </c>
      <c r="BP397" s="5"/>
      <c r="BQ397" s="4">
        <v>157.38582959589397</v>
      </c>
      <c r="BR397" s="65">
        <v>205.62972545651138</v>
      </c>
      <c r="BS397" s="65">
        <v>744.06324999231765</v>
      </c>
      <c r="BT397" s="65">
        <v>249.84243353886234</v>
      </c>
      <c r="BU397" s="65">
        <v>276.18691070858284</v>
      </c>
      <c r="BV397" s="144">
        <f t="shared" si="448"/>
        <v>1141.5293350894756</v>
      </c>
      <c r="BW397" s="144">
        <f t="shared" si="449"/>
        <v>2458.0771672121382</v>
      </c>
      <c r="BX397" s="144">
        <f t="shared" si="450"/>
        <v>747.7547381233644</v>
      </c>
      <c r="BY397" s="5"/>
      <c r="BZ397" s="5"/>
      <c r="CA397" s="4"/>
      <c r="CB397" s="5"/>
      <c r="CC397" s="5"/>
      <c r="CD397" s="5"/>
      <c r="CE397" s="5"/>
      <c r="CF397" s="64"/>
      <c r="CG397" s="70"/>
      <c r="CH397" s="70"/>
      <c r="CI397" s="70"/>
      <c r="CJ397" s="63"/>
      <c r="CK397" s="8">
        <f t="shared" si="431"/>
        <v>10966.955787265364</v>
      </c>
      <c r="CL397" s="202">
        <f t="shared" si="389"/>
        <v>42303.726215459144</v>
      </c>
      <c r="CM397" s="202">
        <f t="shared" si="390"/>
        <v>42303.726215459144</v>
      </c>
      <c r="CN397" s="202">
        <f t="shared" si="391"/>
        <v>42303.726215459144</v>
      </c>
      <c r="CO397" s="9">
        <f t="shared" si="392"/>
        <v>41394.037688296157</v>
      </c>
      <c r="CP397" s="9">
        <f t="shared" si="393"/>
        <v>43846.41471644555</v>
      </c>
      <c r="CQ397" s="9">
        <f t="shared" si="394"/>
        <v>36616.48153498082</v>
      </c>
      <c r="CR397" s="202">
        <f t="shared" si="395"/>
        <v>42303.726215459144</v>
      </c>
      <c r="CS397" s="202">
        <f t="shared" si="396"/>
        <v>42303.726215459144</v>
      </c>
      <c r="CT397" s="202">
        <f t="shared" si="397"/>
        <v>42303.726215459144</v>
      </c>
      <c r="CU397" s="203">
        <f t="shared" si="398"/>
        <v>0.79412773828004557</v>
      </c>
      <c r="CV397" s="203">
        <f t="shared" si="399"/>
        <v>0.79412773828004557</v>
      </c>
      <c r="CW397" s="203">
        <f t="shared" si="400"/>
        <v>0.79412773828004557</v>
      </c>
      <c r="CX397" s="19">
        <f t="shared" si="401"/>
        <v>0.79055103695876239</v>
      </c>
      <c r="CY397" s="19">
        <f t="shared" si="402"/>
        <v>0.79992188609304926</v>
      </c>
      <c r="CZ397" s="19">
        <f t="shared" si="403"/>
        <v>0.76952157295836843</v>
      </c>
      <c r="DA397" s="203">
        <f t="shared" si="404"/>
        <v>0.79412773828004557</v>
      </c>
      <c r="DB397" s="203">
        <f t="shared" si="405"/>
        <v>0.79412773828004557</v>
      </c>
      <c r="DC397" s="203">
        <f t="shared" si="406"/>
        <v>0.79412773828004557</v>
      </c>
      <c r="DD397" s="65"/>
      <c r="DE397" s="66"/>
      <c r="DF397" s="66"/>
      <c r="DG397" s="66"/>
      <c r="DH397" s="66"/>
      <c r="DI397" s="66"/>
      <c r="DJ397" s="66"/>
      <c r="DK397" s="70"/>
      <c r="DL397" s="70"/>
      <c r="DM397" s="8">
        <f t="shared" si="432"/>
        <v>0</v>
      </c>
      <c r="DN397" s="8">
        <f t="shared" si="433"/>
        <v>10966.955787265364</v>
      </c>
      <c r="DO397" s="202">
        <f t="shared" si="415"/>
        <v>42303.726215459144</v>
      </c>
      <c r="DP397" s="202">
        <f t="shared" si="416"/>
        <v>42303.726215459144</v>
      </c>
      <c r="DQ397" s="202">
        <f t="shared" si="417"/>
        <v>42303.726215459144</v>
      </c>
      <c r="DR397" s="9">
        <f t="shared" si="418"/>
        <v>41394.037688296157</v>
      </c>
      <c r="DS397" s="9">
        <f t="shared" si="410"/>
        <v>43846.41471644555</v>
      </c>
      <c r="DT397" s="9">
        <f t="shared" si="419"/>
        <v>36616.48153498082</v>
      </c>
      <c r="DU397" s="202">
        <f t="shared" si="420"/>
        <v>42303.726215459144</v>
      </c>
      <c r="DV397" s="202">
        <f t="shared" si="421"/>
        <v>42303.726215459144</v>
      </c>
      <c r="DW397" s="202">
        <f t="shared" si="422"/>
        <v>42303.726215459144</v>
      </c>
      <c r="DX397" s="203">
        <f t="shared" si="423"/>
        <v>0.79412773828004557</v>
      </c>
      <c r="DY397" s="203">
        <f t="shared" si="424"/>
        <v>0.79412773828004557</v>
      </c>
      <c r="DZ397" s="203">
        <f t="shared" si="425"/>
        <v>0.79412773828004557</v>
      </c>
      <c r="EA397" s="19">
        <f t="shared" si="426"/>
        <v>0.79055103695876239</v>
      </c>
      <c r="EB397" s="19">
        <f t="shared" si="411"/>
        <v>0.79992188609304926</v>
      </c>
      <c r="EC397" s="19">
        <f t="shared" si="427"/>
        <v>0.76952157295836843</v>
      </c>
      <c r="ED397" s="203">
        <f t="shared" si="428"/>
        <v>0.79412773828004557</v>
      </c>
      <c r="EE397" s="203">
        <f t="shared" si="429"/>
        <v>0.79412773828004557</v>
      </c>
      <c r="EF397" s="203">
        <f t="shared" si="430"/>
        <v>0.79412773828004557</v>
      </c>
      <c r="EH397" s="58">
        <f t="shared" si="442"/>
        <v>9825.4264521758887</v>
      </c>
      <c r="EI397" s="68">
        <f t="shared" si="443"/>
        <v>0.17925236784172391</v>
      </c>
      <c r="EJ397" s="58">
        <f t="shared" si="444"/>
        <v>9825.4264521758887</v>
      </c>
      <c r="EK397" s="68">
        <f t="shared" si="443"/>
        <v>0.17925236784172391</v>
      </c>
      <c r="EL397" s="58">
        <f t="shared" si="445"/>
        <v>5838.4537140525235</v>
      </c>
      <c r="EM397" s="58">
        <f t="shared" si="446"/>
        <v>6586.2084521758879</v>
      </c>
      <c r="EN397" s="68">
        <f t="shared" si="447"/>
        <v>0.12015696884996327</v>
      </c>
      <c r="EO397" s="139">
        <f t="shared" si="387"/>
        <v>0.24029016665052916</v>
      </c>
      <c r="EP397">
        <f>+(SUM(M397:O397)*EO397*(1-'[1]Tier 3 Data'!$A$2))</f>
        <v>1392.340100622858</v>
      </c>
    </row>
    <row r="398" spans="1:146" x14ac:dyDescent="0.2">
      <c r="A398" s="43">
        <v>0</v>
      </c>
      <c r="B398" s="43">
        <v>0</v>
      </c>
      <c r="C398" s="43">
        <v>0</v>
      </c>
      <c r="D398" s="70">
        <v>2040</v>
      </c>
      <c r="E398" s="70">
        <v>7</v>
      </c>
      <c r="F398" s="2">
        <v>744</v>
      </c>
      <c r="G398" s="133">
        <f t="shared" si="380"/>
        <v>48095.251209819529</v>
      </c>
      <c r="H398" s="65">
        <v>48095.251209819529</v>
      </c>
      <c r="I398" s="133">
        <f t="shared" si="381"/>
        <v>48095.251209819529</v>
      </c>
      <c r="J398" s="133">
        <f t="shared" si="440"/>
        <v>7426.2663750000011</v>
      </c>
      <c r="K398" s="65">
        <v>7426.2663750000011</v>
      </c>
      <c r="L398" s="133">
        <f t="shared" si="441"/>
        <v>7426.2663750000011</v>
      </c>
      <c r="M398" s="65">
        <v>1709.2251160000674</v>
      </c>
      <c r="N398" s="65">
        <v>3680.5074579497937</v>
      </c>
      <c r="O398" s="65">
        <v>1120.1281132925917</v>
      </c>
      <c r="P398" s="200">
        <f t="shared" si="434"/>
        <v>38716.026628646796</v>
      </c>
      <c r="Q398" s="200">
        <f t="shared" si="435"/>
        <v>38716.026628646796</v>
      </c>
      <c r="R398" s="200">
        <f t="shared" si="436"/>
        <v>38716.026628646796</v>
      </c>
      <c r="S398" s="133">
        <f t="shared" si="382"/>
        <v>40332.946400831752</v>
      </c>
      <c r="T398" s="133">
        <f t="shared" si="383"/>
        <v>40332.946400831752</v>
      </c>
      <c r="U398" s="133">
        <f t="shared" si="384"/>
        <v>40332.946400831752</v>
      </c>
      <c r="V398" s="200">
        <f t="shared" si="437"/>
        <v>38716.026628646796</v>
      </c>
      <c r="W398" s="200">
        <f t="shared" si="438"/>
        <v>38716.026628646796</v>
      </c>
      <c r="X398" s="200">
        <f t="shared" si="439"/>
        <v>38716.026628646796</v>
      </c>
      <c r="Y398" s="65">
        <v>19814.223825780471</v>
      </c>
      <c r="Z398" s="65">
        <v>23873.912217309753</v>
      </c>
      <c r="AA398" s="65">
        <v>14947.275137030674</v>
      </c>
      <c r="AB398" s="200">
        <f t="shared" si="451"/>
        <v>62589.938845956553</v>
      </c>
      <c r="AC398" s="200">
        <f t="shared" si="452"/>
        <v>62589.938845956553</v>
      </c>
      <c r="AD398" s="200">
        <f t="shared" si="453"/>
        <v>62589.938845956553</v>
      </c>
      <c r="AE398" s="199">
        <f t="shared" si="413"/>
        <v>60147.170226612223</v>
      </c>
      <c r="AF398" s="199">
        <f t="shared" si="454"/>
        <v>64206.858618141501</v>
      </c>
      <c r="AG398" s="199">
        <f t="shared" si="414"/>
        <v>55280.221537862424</v>
      </c>
      <c r="AH398" s="199">
        <f t="shared" si="385"/>
        <v>59743.540078001963</v>
      </c>
      <c r="AI398" s="200">
        <f t="shared" si="455"/>
        <v>62589.938845956553</v>
      </c>
      <c r="AJ398" s="200">
        <f t="shared" si="456"/>
        <v>62589.938845956553</v>
      </c>
      <c r="AK398" s="200">
        <f t="shared" si="457"/>
        <v>62589.938845956553</v>
      </c>
      <c r="AL398" s="4"/>
      <c r="AM398" s="4"/>
      <c r="AN398" s="4"/>
      <c r="AO398" s="4"/>
      <c r="AP398" s="63"/>
      <c r="AQ398" s="18"/>
      <c r="AR398" s="18"/>
      <c r="AS398" s="18"/>
      <c r="AT398" s="18">
        <v>0</v>
      </c>
      <c r="AU398" s="133">
        <f t="shared" si="388"/>
        <v>118.521</v>
      </c>
      <c r="AV398" s="133">
        <f t="shared" si="388"/>
        <v>3084.53</v>
      </c>
      <c r="AW398" s="194"/>
      <c r="AX398" s="194"/>
      <c r="AY398" s="194"/>
      <c r="AZ398" s="194"/>
      <c r="BA398" s="194"/>
      <c r="BB398" s="194"/>
      <c r="BC398" s="65">
        <v>26.066068457616772</v>
      </c>
      <c r="BD398" s="65">
        <v>0</v>
      </c>
      <c r="BE398" s="65">
        <v>0</v>
      </c>
      <c r="BF398" s="65">
        <v>0</v>
      </c>
      <c r="BG398" s="65">
        <v>0</v>
      </c>
      <c r="BH398" s="65">
        <v>0</v>
      </c>
      <c r="BI398" s="65">
        <v>1455.8225062086576</v>
      </c>
      <c r="BJ398" s="65">
        <v>0</v>
      </c>
      <c r="BK398" s="65">
        <v>9.5733821057653241</v>
      </c>
      <c r="BL398" s="65">
        <v>0</v>
      </c>
      <c r="BM398" s="65">
        <v>0</v>
      </c>
      <c r="BN398" s="65">
        <v>0</v>
      </c>
      <c r="BO398" s="65">
        <v>194.92041491999998</v>
      </c>
      <c r="BP398" s="5"/>
      <c r="BQ398" s="4">
        <v>159.20468064379435</v>
      </c>
      <c r="BR398" s="65">
        <v>208.00604216215081</v>
      </c>
      <c r="BS398" s="65">
        <v>752.66186054626337</v>
      </c>
      <c r="BT398" s="65">
        <v>258.15127023487975</v>
      </c>
      <c r="BU398" s="65">
        <v>283.9659463820484</v>
      </c>
      <c r="BV398" s="144">
        <f t="shared" si="448"/>
        <v>1196.4575812000471</v>
      </c>
      <c r="BW398" s="144">
        <f t="shared" si="449"/>
        <v>2576.3552205648552</v>
      </c>
      <c r="BX398" s="144">
        <f t="shared" si="450"/>
        <v>784.08967930481413</v>
      </c>
      <c r="BY398" s="5"/>
      <c r="BZ398" s="5"/>
      <c r="CA398" s="4"/>
      <c r="CB398" s="5"/>
      <c r="CC398" s="5"/>
      <c r="CD398" s="5"/>
      <c r="CE398" s="5"/>
      <c r="CF398" s="64"/>
      <c r="CG398" s="70"/>
      <c r="CH398" s="70"/>
      <c r="CI398" s="70"/>
      <c r="CJ398" s="63"/>
      <c r="CK398" s="8">
        <f t="shared" si="431"/>
        <v>11108.325652730895</v>
      </c>
      <c r="CL398" s="202">
        <f t="shared" si="389"/>
        <v>51481.613193225654</v>
      </c>
      <c r="CM398" s="202">
        <f t="shared" si="390"/>
        <v>51481.613193225654</v>
      </c>
      <c r="CN398" s="202">
        <f t="shared" si="391"/>
        <v>51481.613193225654</v>
      </c>
      <c r="CO398" s="9">
        <f t="shared" si="392"/>
        <v>49038.844573881332</v>
      </c>
      <c r="CP398" s="9">
        <f t="shared" si="393"/>
        <v>53098.532965410603</v>
      </c>
      <c r="CQ398" s="9">
        <f t="shared" si="394"/>
        <v>44171.895885131526</v>
      </c>
      <c r="CR398" s="202">
        <f t="shared" si="395"/>
        <v>51481.613193225654</v>
      </c>
      <c r="CS398" s="202">
        <f t="shared" si="396"/>
        <v>51481.613193225654</v>
      </c>
      <c r="CT398" s="202">
        <f t="shared" si="397"/>
        <v>51481.613193225654</v>
      </c>
      <c r="CU398" s="203">
        <f t="shared" si="398"/>
        <v>0.82252218395563237</v>
      </c>
      <c r="CV398" s="203">
        <f t="shared" si="399"/>
        <v>0.82252218395563237</v>
      </c>
      <c r="CW398" s="203">
        <f t="shared" si="400"/>
        <v>0.82252218395563237</v>
      </c>
      <c r="CX398" s="19">
        <f t="shared" si="401"/>
        <v>0.81531424319915902</v>
      </c>
      <c r="CY398" s="19">
        <f t="shared" si="402"/>
        <v>0.82699160351706935</v>
      </c>
      <c r="CZ398" s="19">
        <f t="shared" si="403"/>
        <v>0.79905424863171715</v>
      </c>
      <c r="DA398" s="203">
        <f t="shared" si="404"/>
        <v>0.82252218395563237</v>
      </c>
      <c r="DB398" s="203">
        <f t="shared" si="405"/>
        <v>0.82252218395563237</v>
      </c>
      <c r="DC398" s="203">
        <f t="shared" si="406"/>
        <v>0.82252218395563237</v>
      </c>
      <c r="DD398" s="65"/>
      <c r="DE398" s="66"/>
      <c r="DF398" s="66"/>
      <c r="DG398" s="66"/>
      <c r="DH398" s="66"/>
      <c r="DI398" s="66"/>
      <c r="DJ398" s="66"/>
      <c r="DK398" s="70"/>
      <c r="DL398" s="70"/>
      <c r="DM398" s="8">
        <f t="shared" si="432"/>
        <v>0</v>
      </c>
      <c r="DN398" s="8">
        <f t="shared" si="433"/>
        <v>11108.325652730895</v>
      </c>
      <c r="DO398" s="202">
        <f t="shared" si="415"/>
        <v>51481.613193225654</v>
      </c>
      <c r="DP398" s="202">
        <f t="shared" si="416"/>
        <v>51481.613193225654</v>
      </c>
      <c r="DQ398" s="202">
        <f t="shared" si="417"/>
        <v>51481.613193225654</v>
      </c>
      <c r="DR398" s="9">
        <f t="shared" si="418"/>
        <v>49038.844573881332</v>
      </c>
      <c r="DS398" s="9">
        <f t="shared" si="410"/>
        <v>53098.532965410603</v>
      </c>
      <c r="DT398" s="9">
        <f t="shared" si="419"/>
        <v>44171.895885131526</v>
      </c>
      <c r="DU398" s="202">
        <f t="shared" si="420"/>
        <v>51481.613193225654</v>
      </c>
      <c r="DV398" s="202">
        <f t="shared" si="421"/>
        <v>51481.613193225654</v>
      </c>
      <c r="DW398" s="202">
        <f t="shared" si="422"/>
        <v>51481.613193225654</v>
      </c>
      <c r="DX398" s="203">
        <f t="shared" si="423"/>
        <v>0.82252218395563237</v>
      </c>
      <c r="DY398" s="203">
        <f t="shared" si="424"/>
        <v>0.82252218395563237</v>
      </c>
      <c r="DZ398" s="203">
        <f t="shared" si="425"/>
        <v>0.82252218395563237</v>
      </c>
      <c r="EA398" s="19">
        <f t="shared" si="426"/>
        <v>0.81531424319915902</v>
      </c>
      <c r="EB398" s="19">
        <f t="shared" si="411"/>
        <v>0.82699160351706935</v>
      </c>
      <c r="EC398" s="19">
        <f t="shared" si="427"/>
        <v>0.79905424863171715</v>
      </c>
      <c r="ED398" s="203">
        <f t="shared" si="428"/>
        <v>0.82252218395563237</v>
      </c>
      <c r="EE398" s="203">
        <f t="shared" si="429"/>
        <v>0.82252218395563237</v>
      </c>
      <c r="EF398" s="203">
        <f t="shared" si="430"/>
        <v>0.82252218395563237</v>
      </c>
      <c r="EH398" s="58">
        <f t="shared" si="442"/>
        <v>9911.8680715308474</v>
      </c>
      <c r="EI398" s="68">
        <f t="shared" si="443"/>
        <v>0.15437397631427294</v>
      </c>
      <c r="EJ398" s="58">
        <f t="shared" si="444"/>
        <v>9911.8680715308474</v>
      </c>
      <c r="EK398" s="68">
        <f t="shared" si="443"/>
        <v>0.15437397631427294</v>
      </c>
      <c r="EL398" s="58">
        <f t="shared" si="445"/>
        <v>5924.727392226032</v>
      </c>
      <c r="EM398" s="58">
        <f t="shared" si="446"/>
        <v>6708.8170715308461</v>
      </c>
      <c r="EN398" s="68">
        <f t="shared" si="447"/>
        <v>0.10448754565972934</v>
      </c>
      <c r="EO398" s="139">
        <f t="shared" si="387"/>
        <v>0.25197746931178833</v>
      </c>
      <c r="EP398">
        <f>+(SUM(M398:O398)*EO398*(1-'[1]Tier 3 Data'!$A$2))</f>
        <v>1530.4355607002276</v>
      </c>
    </row>
    <row r="399" spans="1:146" x14ac:dyDescent="0.2">
      <c r="A399" s="43">
        <v>0</v>
      </c>
      <c r="B399" s="43">
        <v>0</v>
      </c>
      <c r="C399" s="43">
        <v>0</v>
      </c>
      <c r="D399" s="70">
        <v>2040</v>
      </c>
      <c r="E399" s="70">
        <v>8</v>
      </c>
      <c r="F399" s="2">
        <v>744</v>
      </c>
      <c r="G399" s="133">
        <f t="shared" si="380"/>
        <v>45931.897117520341</v>
      </c>
      <c r="H399" s="65">
        <v>45931.897117520341</v>
      </c>
      <c r="I399" s="133">
        <f t="shared" si="381"/>
        <v>45931.897117520341</v>
      </c>
      <c r="J399" s="133">
        <f t="shared" si="440"/>
        <v>7466.1135000000013</v>
      </c>
      <c r="K399" s="65">
        <v>7466.1135000000013</v>
      </c>
      <c r="L399" s="133">
        <f t="shared" si="441"/>
        <v>7466.1135000000013</v>
      </c>
      <c r="M399" s="65">
        <v>1523.4196774399222</v>
      </c>
      <c r="N399" s="65">
        <v>3280.4090180505418</v>
      </c>
      <c r="O399" s="65">
        <v>1020.4809873398278</v>
      </c>
      <c r="P399" s="200">
        <f t="shared" si="434"/>
        <v>36718.490712671257</v>
      </c>
      <c r="Q399" s="200">
        <f t="shared" si="435"/>
        <v>36718.490712671257</v>
      </c>
      <c r="R399" s="200">
        <f t="shared" si="436"/>
        <v>36718.490712671257</v>
      </c>
      <c r="S399" s="133">
        <f t="shared" si="382"/>
        <v>38159.639321318391</v>
      </c>
      <c r="T399" s="133">
        <f t="shared" si="383"/>
        <v>38159.639321318391</v>
      </c>
      <c r="U399" s="133">
        <f t="shared" si="384"/>
        <v>38159.639321318391</v>
      </c>
      <c r="V399" s="200">
        <f t="shared" si="437"/>
        <v>36718.490712671257</v>
      </c>
      <c r="W399" s="200">
        <f t="shared" si="438"/>
        <v>36718.490712671257</v>
      </c>
      <c r="X399" s="200">
        <f t="shared" si="439"/>
        <v>36718.490712671257</v>
      </c>
      <c r="Y399" s="65">
        <v>18972.561413438492</v>
      </c>
      <c r="Z399" s="65">
        <v>22236.43416714971</v>
      </c>
      <c r="AA399" s="65">
        <v>14196.514854214292</v>
      </c>
      <c r="AB399" s="200">
        <f t="shared" si="451"/>
        <v>58954.924879820966</v>
      </c>
      <c r="AC399" s="200">
        <f t="shared" si="452"/>
        <v>58954.924879820966</v>
      </c>
      <c r="AD399" s="200">
        <f t="shared" si="453"/>
        <v>58954.924879820966</v>
      </c>
      <c r="AE399" s="199">
        <f t="shared" si="413"/>
        <v>57132.200734756887</v>
      </c>
      <c r="AF399" s="199">
        <f t="shared" si="454"/>
        <v>60396.073488468101</v>
      </c>
      <c r="AG399" s="199">
        <f t="shared" si="414"/>
        <v>52356.154175532683</v>
      </c>
      <c r="AH399" s="199">
        <f t="shared" si="385"/>
        <v>56376.113832000396</v>
      </c>
      <c r="AI399" s="200">
        <f t="shared" si="455"/>
        <v>58954.924879820966</v>
      </c>
      <c r="AJ399" s="200">
        <f t="shared" si="456"/>
        <v>58954.924879820966</v>
      </c>
      <c r="AK399" s="200">
        <f t="shared" si="457"/>
        <v>58954.924879820966</v>
      </c>
      <c r="AL399" s="4"/>
      <c r="AM399" s="4"/>
      <c r="AN399" s="4"/>
      <c r="AO399" s="4"/>
      <c r="AP399" s="63"/>
      <c r="AQ399" s="18"/>
      <c r="AR399" s="18"/>
      <c r="AS399" s="18"/>
      <c r="AT399" s="18">
        <v>0</v>
      </c>
      <c r="AU399" s="133">
        <f t="shared" si="388"/>
        <v>107.64</v>
      </c>
      <c r="AV399" s="133">
        <f t="shared" si="388"/>
        <v>3021.9279999999999</v>
      </c>
      <c r="AW399" s="194"/>
      <c r="AX399" s="194"/>
      <c r="AY399" s="194"/>
      <c r="AZ399" s="194"/>
      <c r="BA399" s="194"/>
      <c r="BB399" s="194"/>
      <c r="BC399" s="65">
        <v>0</v>
      </c>
      <c r="BD399" s="65">
        <v>0</v>
      </c>
      <c r="BE399" s="65">
        <v>0</v>
      </c>
      <c r="BF399" s="65">
        <v>0</v>
      </c>
      <c r="BG399" s="65">
        <v>0</v>
      </c>
      <c r="BH399" s="65">
        <v>0</v>
      </c>
      <c r="BI399" s="65">
        <v>1385.0335145145793</v>
      </c>
      <c r="BJ399" s="65">
        <v>0</v>
      </c>
      <c r="BK399" s="65">
        <v>11.152893841525399</v>
      </c>
      <c r="BL399" s="65">
        <v>0</v>
      </c>
      <c r="BM399" s="65">
        <v>0</v>
      </c>
      <c r="BN399" s="65">
        <v>0</v>
      </c>
      <c r="BO399" s="65">
        <v>194.92041491999998</v>
      </c>
      <c r="BP399" s="5"/>
      <c r="BQ399" s="4">
        <v>151.09762107872794</v>
      </c>
      <c r="BR399" s="65">
        <v>197.41396928045114</v>
      </c>
      <c r="BS399" s="65">
        <v>714.33485381531511</v>
      </c>
      <c r="BT399" s="65">
        <v>245.01186767899384</v>
      </c>
      <c r="BU399" s="65">
        <v>264.22521999874624</v>
      </c>
      <c r="BV399" s="144">
        <f t="shared" si="448"/>
        <v>1066.3937742079454</v>
      </c>
      <c r="BW399" s="144">
        <f t="shared" si="449"/>
        <v>2296.2863126353791</v>
      </c>
      <c r="BX399" s="144">
        <f t="shared" si="450"/>
        <v>714.33669113787948</v>
      </c>
      <c r="BY399" s="5"/>
      <c r="BZ399" s="5"/>
      <c r="CA399" s="4"/>
      <c r="CB399" s="5"/>
      <c r="CC399" s="5"/>
      <c r="CD399" s="5"/>
      <c r="CE399" s="5"/>
      <c r="CF399" s="64"/>
      <c r="CG399" s="70"/>
      <c r="CH399" s="70"/>
      <c r="CI399" s="70"/>
      <c r="CJ399" s="63"/>
      <c r="CK399" s="8">
        <f t="shared" si="431"/>
        <v>10369.775133109542</v>
      </c>
      <c r="CL399" s="202">
        <f t="shared" si="389"/>
        <v>48585.149746711424</v>
      </c>
      <c r="CM399" s="202">
        <f t="shared" si="390"/>
        <v>48585.149746711424</v>
      </c>
      <c r="CN399" s="202">
        <f t="shared" si="391"/>
        <v>48585.149746711424</v>
      </c>
      <c r="CO399" s="9">
        <f t="shared" si="392"/>
        <v>46762.425601647345</v>
      </c>
      <c r="CP399" s="9">
        <f t="shared" si="393"/>
        <v>50026.298355358558</v>
      </c>
      <c r="CQ399" s="9">
        <f t="shared" si="394"/>
        <v>41986.379042423141</v>
      </c>
      <c r="CR399" s="202">
        <f t="shared" si="395"/>
        <v>48585.149746711424</v>
      </c>
      <c r="CS399" s="202">
        <f t="shared" si="396"/>
        <v>48585.149746711424</v>
      </c>
      <c r="CT399" s="202">
        <f t="shared" si="397"/>
        <v>48585.149746711424</v>
      </c>
      <c r="CU399" s="203">
        <f t="shared" si="398"/>
        <v>0.8241067195955516</v>
      </c>
      <c r="CV399" s="203">
        <f t="shared" si="399"/>
        <v>0.8241067195955516</v>
      </c>
      <c r="CW399" s="203">
        <f t="shared" si="400"/>
        <v>0.8241067195955516</v>
      </c>
      <c r="CX399" s="19">
        <f t="shared" si="401"/>
        <v>0.81849508683811301</v>
      </c>
      <c r="CY399" s="19">
        <f t="shared" si="402"/>
        <v>0.82830381953407073</v>
      </c>
      <c r="CZ399" s="19">
        <f t="shared" si="403"/>
        <v>0.80193779897692341</v>
      </c>
      <c r="DA399" s="203">
        <f t="shared" si="404"/>
        <v>0.8241067195955516</v>
      </c>
      <c r="DB399" s="203">
        <f t="shared" si="405"/>
        <v>0.8241067195955516</v>
      </c>
      <c r="DC399" s="203">
        <f t="shared" si="406"/>
        <v>0.8241067195955516</v>
      </c>
      <c r="DD399" s="65"/>
      <c r="DE399" s="66"/>
      <c r="DF399" s="66"/>
      <c r="DG399" s="66"/>
      <c r="DH399" s="66"/>
      <c r="DI399" s="66"/>
      <c r="DJ399" s="66"/>
      <c r="DK399" s="70"/>
      <c r="DL399" s="70"/>
      <c r="DM399" s="8">
        <f t="shared" si="432"/>
        <v>0</v>
      </c>
      <c r="DN399" s="8">
        <f t="shared" si="433"/>
        <v>10369.775133109542</v>
      </c>
      <c r="DO399" s="202">
        <f t="shared" si="415"/>
        <v>48585.149746711424</v>
      </c>
      <c r="DP399" s="202">
        <f t="shared" si="416"/>
        <v>48585.149746711424</v>
      </c>
      <c r="DQ399" s="202">
        <f t="shared" si="417"/>
        <v>48585.149746711424</v>
      </c>
      <c r="DR399" s="9">
        <f t="shared" si="418"/>
        <v>46762.425601647345</v>
      </c>
      <c r="DS399" s="9">
        <f t="shared" si="410"/>
        <v>50026.298355358558</v>
      </c>
      <c r="DT399" s="9">
        <f t="shared" si="419"/>
        <v>41986.379042423141</v>
      </c>
      <c r="DU399" s="202">
        <f t="shared" si="420"/>
        <v>48585.149746711424</v>
      </c>
      <c r="DV399" s="202">
        <f t="shared" si="421"/>
        <v>48585.149746711424</v>
      </c>
      <c r="DW399" s="202">
        <f t="shared" si="422"/>
        <v>48585.149746711424</v>
      </c>
      <c r="DX399" s="203">
        <f t="shared" si="423"/>
        <v>0.8241067195955516</v>
      </c>
      <c r="DY399" s="203">
        <f t="shared" si="424"/>
        <v>0.8241067195955516</v>
      </c>
      <c r="DZ399" s="203">
        <f t="shared" si="425"/>
        <v>0.8241067195955516</v>
      </c>
      <c r="EA399" s="19">
        <f t="shared" si="426"/>
        <v>0.81849508683811301</v>
      </c>
      <c r="EB399" s="19">
        <f t="shared" si="411"/>
        <v>0.82830381953407073</v>
      </c>
      <c r="EC399" s="19">
        <f t="shared" si="427"/>
        <v>0.80193779897692341</v>
      </c>
      <c r="ED399" s="203">
        <f t="shared" si="428"/>
        <v>0.8241067195955516</v>
      </c>
      <c r="EE399" s="203">
        <f t="shared" si="429"/>
        <v>0.8241067195955516</v>
      </c>
      <c r="EF399" s="203">
        <f t="shared" si="430"/>
        <v>0.8241067195955516</v>
      </c>
      <c r="EH399" s="58">
        <f t="shared" si="442"/>
        <v>9303.3813589015972</v>
      </c>
      <c r="EI399" s="68">
        <f t="shared" si="443"/>
        <v>0.15403950656954488</v>
      </c>
      <c r="EJ399" s="58">
        <f t="shared" si="444"/>
        <v>9303.3813589015972</v>
      </c>
      <c r="EK399" s="68">
        <f t="shared" si="443"/>
        <v>0.15403950656954488</v>
      </c>
      <c r="EL399" s="58">
        <f t="shared" si="445"/>
        <v>5459.4766677637181</v>
      </c>
      <c r="EM399" s="58">
        <f t="shared" si="446"/>
        <v>6173.8133589015979</v>
      </c>
      <c r="EN399" s="68">
        <f t="shared" si="447"/>
        <v>0.10222209826406038</v>
      </c>
      <c r="EO399" s="139">
        <f t="shared" si="387"/>
        <v>0.28519905910129462</v>
      </c>
      <c r="EP399">
        <f>+(SUM(M399:O399)*EO399*(1-'[1]Tier 3 Data'!$A$2))</f>
        <v>1549.7947694800891</v>
      </c>
    </row>
    <row r="400" spans="1:146" x14ac:dyDescent="0.2">
      <c r="A400" s="43">
        <v>0</v>
      </c>
      <c r="B400" s="43">
        <v>0</v>
      </c>
      <c r="C400" s="43">
        <v>0</v>
      </c>
      <c r="D400" s="70">
        <v>2040</v>
      </c>
      <c r="E400" s="70">
        <v>9</v>
      </c>
      <c r="F400" s="2">
        <v>720</v>
      </c>
      <c r="G400" s="133">
        <f t="shared" si="380"/>
        <v>39900.854119585754</v>
      </c>
      <c r="H400" s="65">
        <v>39900.854119585754</v>
      </c>
      <c r="I400" s="133">
        <f t="shared" si="381"/>
        <v>39900.854119585754</v>
      </c>
      <c r="J400" s="133">
        <f t="shared" si="440"/>
        <v>7505.9606250000015</v>
      </c>
      <c r="K400" s="65">
        <v>7505.9606250000015</v>
      </c>
      <c r="L400" s="133">
        <f t="shared" si="441"/>
        <v>7505.9606250000015</v>
      </c>
      <c r="M400" s="65">
        <v>1305.6369062084025</v>
      </c>
      <c r="N400" s="65">
        <v>2811.4531700307239</v>
      </c>
      <c r="O400" s="65">
        <v>874.98010462893615</v>
      </c>
      <c r="P400" s="200">
        <f t="shared" si="434"/>
        <v>30897.272440325334</v>
      </c>
      <c r="Q400" s="200">
        <f t="shared" si="435"/>
        <v>30897.272440325334</v>
      </c>
      <c r="R400" s="200">
        <f t="shared" si="436"/>
        <v>30897.272440325334</v>
      </c>
      <c r="S400" s="133">
        <f t="shared" si="382"/>
        <v>32132.399463197075</v>
      </c>
      <c r="T400" s="133">
        <f t="shared" si="383"/>
        <v>32132.399463197075</v>
      </c>
      <c r="U400" s="133">
        <f t="shared" si="384"/>
        <v>32132.399463197075</v>
      </c>
      <c r="V400" s="200">
        <f t="shared" si="437"/>
        <v>30897.272440325334</v>
      </c>
      <c r="W400" s="200">
        <f t="shared" si="438"/>
        <v>30897.272440325334</v>
      </c>
      <c r="X400" s="200">
        <f t="shared" si="439"/>
        <v>30897.272440325334</v>
      </c>
      <c r="Y400" s="65">
        <v>17841.991516830014</v>
      </c>
      <c r="Z400" s="65">
        <v>20475.059780998858</v>
      </c>
      <c r="AA400" s="65">
        <v>13140.672979585977</v>
      </c>
      <c r="AB400" s="200">
        <f t="shared" si="451"/>
        <v>51372.332221324192</v>
      </c>
      <c r="AC400" s="200">
        <f t="shared" si="452"/>
        <v>51372.332221324192</v>
      </c>
      <c r="AD400" s="200">
        <f t="shared" si="453"/>
        <v>51372.332221324192</v>
      </c>
      <c r="AE400" s="199">
        <f t="shared" si="413"/>
        <v>49974.390980027092</v>
      </c>
      <c r="AF400" s="199">
        <f t="shared" si="454"/>
        <v>52607.459244195932</v>
      </c>
      <c r="AG400" s="199">
        <f t="shared" si="414"/>
        <v>45273.07244278305</v>
      </c>
      <c r="AH400" s="199">
        <f t="shared" si="385"/>
        <v>48940.265843489491</v>
      </c>
      <c r="AI400" s="200">
        <f t="shared" si="455"/>
        <v>51372.332221324192</v>
      </c>
      <c r="AJ400" s="200">
        <f t="shared" si="456"/>
        <v>51372.332221324192</v>
      </c>
      <c r="AK400" s="200">
        <f t="shared" si="457"/>
        <v>51372.332221324192</v>
      </c>
      <c r="AL400" s="4"/>
      <c r="AM400" s="4"/>
      <c r="AN400" s="4"/>
      <c r="AO400" s="4"/>
      <c r="AP400" s="63"/>
      <c r="AQ400" s="18"/>
      <c r="AR400" s="18"/>
      <c r="AS400" s="18"/>
      <c r="AT400" s="18">
        <v>0</v>
      </c>
      <c r="AU400" s="133">
        <f t="shared" si="388"/>
        <v>102.375</v>
      </c>
      <c r="AV400" s="133">
        <f t="shared" si="388"/>
        <v>2969.6280000000002</v>
      </c>
      <c r="AW400" s="194"/>
      <c r="AX400" s="194"/>
      <c r="AY400" s="194"/>
      <c r="AZ400" s="194"/>
      <c r="BA400" s="194"/>
      <c r="BB400" s="194"/>
      <c r="BC400" s="65">
        <v>0</v>
      </c>
      <c r="BD400" s="65">
        <v>0</v>
      </c>
      <c r="BE400" s="65">
        <v>0</v>
      </c>
      <c r="BF400" s="65">
        <v>0</v>
      </c>
      <c r="BG400" s="65">
        <v>0</v>
      </c>
      <c r="BH400" s="65">
        <v>0</v>
      </c>
      <c r="BI400" s="65">
        <v>1288.6985357625442</v>
      </c>
      <c r="BJ400" s="65">
        <v>0</v>
      </c>
      <c r="BK400" s="65">
        <v>13.355863258351745</v>
      </c>
      <c r="BL400" s="65">
        <v>0</v>
      </c>
      <c r="BM400" s="65">
        <v>0</v>
      </c>
      <c r="BN400" s="65">
        <v>0</v>
      </c>
      <c r="BO400" s="65">
        <v>188.63265960000001</v>
      </c>
      <c r="BP400" s="5"/>
      <c r="BQ400" s="4">
        <v>120.63929077489642</v>
      </c>
      <c r="BR400" s="65">
        <v>157.61921019727927</v>
      </c>
      <c r="BS400" s="65">
        <v>570.33905037258899</v>
      </c>
      <c r="BT400" s="65">
        <v>211.03005665715409</v>
      </c>
      <c r="BU400" s="65">
        <v>216.94989492308952</v>
      </c>
      <c r="BV400" s="144">
        <f t="shared" si="448"/>
        <v>913.94583434588162</v>
      </c>
      <c r="BW400" s="144">
        <f t="shared" si="449"/>
        <v>1968.0172190215067</v>
      </c>
      <c r="BX400" s="144">
        <f t="shared" si="450"/>
        <v>612.48607324025522</v>
      </c>
      <c r="BY400" s="5"/>
      <c r="BZ400" s="5"/>
      <c r="CA400" s="4"/>
      <c r="CB400" s="5"/>
      <c r="CC400" s="5"/>
      <c r="CD400" s="5"/>
      <c r="CE400" s="5"/>
      <c r="CF400" s="64"/>
      <c r="CG400" s="70"/>
      <c r="CH400" s="70"/>
      <c r="CI400" s="70"/>
      <c r="CJ400" s="63"/>
      <c r="CK400" s="8">
        <f t="shared" si="431"/>
        <v>9333.7166881535486</v>
      </c>
      <c r="CL400" s="202">
        <f t="shared" si="389"/>
        <v>42038.61553317064</v>
      </c>
      <c r="CM400" s="202">
        <f t="shared" si="390"/>
        <v>42038.61553317064</v>
      </c>
      <c r="CN400" s="202">
        <f t="shared" si="391"/>
        <v>42038.61553317064</v>
      </c>
      <c r="CO400" s="9">
        <f t="shared" si="392"/>
        <v>40640.67429187354</v>
      </c>
      <c r="CP400" s="9">
        <f t="shared" si="393"/>
        <v>43273.742556042387</v>
      </c>
      <c r="CQ400" s="9">
        <f t="shared" si="394"/>
        <v>35939.355754629505</v>
      </c>
      <c r="CR400" s="202">
        <f t="shared" si="395"/>
        <v>42038.61553317064</v>
      </c>
      <c r="CS400" s="202">
        <f t="shared" si="396"/>
        <v>42038.61553317064</v>
      </c>
      <c r="CT400" s="202">
        <f t="shared" si="397"/>
        <v>42038.61553317064</v>
      </c>
      <c r="CU400" s="203">
        <f t="shared" si="398"/>
        <v>0.81831238169328802</v>
      </c>
      <c r="CV400" s="203">
        <f t="shared" si="399"/>
        <v>0.81831238169328802</v>
      </c>
      <c r="CW400" s="203">
        <f t="shared" si="400"/>
        <v>0.81831238169328802</v>
      </c>
      <c r="CX400" s="19">
        <f t="shared" si="401"/>
        <v>0.81323000630695241</v>
      </c>
      <c r="CY400" s="19">
        <f t="shared" si="402"/>
        <v>0.82257807500590685</v>
      </c>
      <c r="CZ400" s="19">
        <f t="shared" si="403"/>
        <v>0.79383513897914326</v>
      </c>
      <c r="DA400" s="203">
        <f t="shared" si="404"/>
        <v>0.81831238169328802</v>
      </c>
      <c r="DB400" s="203">
        <f t="shared" si="405"/>
        <v>0.81831238169328802</v>
      </c>
      <c r="DC400" s="203">
        <f t="shared" si="406"/>
        <v>0.81831238169328802</v>
      </c>
      <c r="DD400" s="65"/>
      <c r="DE400" s="66"/>
      <c r="DF400" s="66"/>
      <c r="DG400" s="66"/>
      <c r="DH400" s="66"/>
      <c r="DI400" s="66"/>
      <c r="DJ400" s="66"/>
      <c r="DK400" s="70"/>
      <c r="DL400" s="70"/>
      <c r="DM400" s="8">
        <f t="shared" si="432"/>
        <v>0</v>
      </c>
      <c r="DN400" s="8">
        <f t="shared" si="433"/>
        <v>9333.7166881535486</v>
      </c>
      <c r="DO400" s="202">
        <f t="shared" si="415"/>
        <v>42038.61553317064</v>
      </c>
      <c r="DP400" s="202">
        <f t="shared" si="416"/>
        <v>42038.61553317064</v>
      </c>
      <c r="DQ400" s="202">
        <f t="shared" si="417"/>
        <v>42038.61553317064</v>
      </c>
      <c r="DR400" s="9">
        <f t="shared" si="418"/>
        <v>40640.67429187354</v>
      </c>
      <c r="DS400" s="9">
        <f t="shared" si="410"/>
        <v>43273.742556042387</v>
      </c>
      <c r="DT400" s="9">
        <f t="shared" si="419"/>
        <v>35939.355754629505</v>
      </c>
      <c r="DU400" s="202">
        <f t="shared" si="420"/>
        <v>42038.61553317064</v>
      </c>
      <c r="DV400" s="202">
        <f t="shared" si="421"/>
        <v>42038.61553317064</v>
      </c>
      <c r="DW400" s="202">
        <f t="shared" si="422"/>
        <v>42038.61553317064</v>
      </c>
      <c r="DX400" s="203">
        <f t="shared" si="423"/>
        <v>0.81831238169328802</v>
      </c>
      <c r="DY400" s="203">
        <f t="shared" si="424"/>
        <v>0.81831238169328802</v>
      </c>
      <c r="DZ400" s="203">
        <f t="shared" si="425"/>
        <v>0.81831238169328802</v>
      </c>
      <c r="EA400" s="19">
        <f t="shared" si="426"/>
        <v>0.81323000630695241</v>
      </c>
      <c r="EB400" s="19">
        <f t="shared" si="411"/>
        <v>0.82257807500590685</v>
      </c>
      <c r="EC400" s="19">
        <f t="shared" si="427"/>
        <v>0.79383513897914326</v>
      </c>
      <c r="ED400" s="203">
        <f t="shared" si="428"/>
        <v>0.81831238169328802</v>
      </c>
      <c r="EE400" s="203">
        <f t="shared" si="429"/>
        <v>0.81831238169328802</v>
      </c>
      <c r="EF400" s="203">
        <f t="shared" si="430"/>
        <v>0.81831238169328802</v>
      </c>
      <c r="EH400" s="58">
        <f t="shared" si="442"/>
        <v>8419.7708538076658</v>
      </c>
      <c r="EI400" s="68">
        <f t="shared" si="443"/>
        <v>0.16004899257202962</v>
      </c>
      <c r="EJ400" s="58">
        <f t="shared" si="444"/>
        <v>8419.7708538076658</v>
      </c>
      <c r="EK400" s="68">
        <f t="shared" si="443"/>
        <v>0.16004899257202962</v>
      </c>
      <c r="EL400" s="58">
        <f t="shared" si="445"/>
        <v>4735.2817805674113</v>
      </c>
      <c r="EM400" s="58">
        <f t="shared" si="446"/>
        <v>5347.7678538076661</v>
      </c>
      <c r="EN400" s="68">
        <f t="shared" si="447"/>
        <v>0.10165417472423692</v>
      </c>
      <c r="EO400" s="139">
        <f t="shared" si="387"/>
        <v>0.31860645638858931</v>
      </c>
      <c r="EP400">
        <f>+(SUM(M400:O400)*EO400*(1-'[1]Tier 3 Data'!$A$2))</f>
        <v>1483.9419024147599</v>
      </c>
    </row>
    <row r="401" spans="1:146" x14ac:dyDescent="0.2">
      <c r="A401" s="43">
        <v>0</v>
      </c>
      <c r="B401" s="43">
        <v>0</v>
      </c>
      <c r="C401" s="43">
        <v>0</v>
      </c>
      <c r="D401" s="70">
        <v>2040</v>
      </c>
      <c r="E401" s="70">
        <v>10</v>
      </c>
      <c r="F401" s="2">
        <v>744</v>
      </c>
      <c r="G401" s="133">
        <f t="shared" si="380"/>
        <v>41927.452337744769</v>
      </c>
      <c r="H401" s="65">
        <v>41927.452337744769</v>
      </c>
      <c r="I401" s="133">
        <f t="shared" si="381"/>
        <v>41927.452337744769</v>
      </c>
      <c r="J401" s="133">
        <f t="shared" si="440"/>
        <v>7545.8077500000018</v>
      </c>
      <c r="K401" s="65">
        <v>7545.8077500000018</v>
      </c>
      <c r="L401" s="133">
        <f t="shared" si="441"/>
        <v>7545.8077500000018</v>
      </c>
      <c r="M401" s="65">
        <v>957.87478015852639</v>
      </c>
      <c r="N401" s="65">
        <v>2062.6102665784465</v>
      </c>
      <c r="O401" s="65">
        <v>642.20792374706014</v>
      </c>
      <c r="P401" s="200">
        <f t="shared" si="434"/>
        <v>33282.836696599559</v>
      </c>
      <c r="Q401" s="200">
        <f t="shared" si="435"/>
        <v>33282.836696599559</v>
      </c>
      <c r="R401" s="200">
        <f t="shared" si="436"/>
        <v>33282.836696599559</v>
      </c>
      <c r="S401" s="133">
        <f t="shared" si="382"/>
        <v>34188.982210620648</v>
      </c>
      <c r="T401" s="133">
        <f t="shared" si="383"/>
        <v>34188.982210620648</v>
      </c>
      <c r="U401" s="133">
        <f t="shared" si="384"/>
        <v>34188.982210620648</v>
      </c>
      <c r="V401" s="200">
        <f t="shared" si="437"/>
        <v>33282.836696599559</v>
      </c>
      <c r="W401" s="200">
        <f t="shared" si="438"/>
        <v>33282.836696599559</v>
      </c>
      <c r="X401" s="200">
        <f t="shared" si="439"/>
        <v>33282.836696599559</v>
      </c>
      <c r="Y401" s="65">
        <v>19394.810506689781</v>
      </c>
      <c r="Z401" s="65">
        <v>23548.372314896842</v>
      </c>
      <c r="AA401" s="65">
        <v>14623.266229439991</v>
      </c>
      <c r="AB401" s="200">
        <f t="shared" si="451"/>
        <v>56831.209011496401</v>
      </c>
      <c r="AC401" s="200">
        <f t="shared" si="452"/>
        <v>56831.209011496401</v>
      </c>
      <c r="AD401" s="200">
        <f t="shared" si="453"/>
        <v>56831.209011496401</v>
      </c>
      <c r="AE401" s="199">
        <f t="shared" si="413"/>
        <v>53583.792717310425</v>
      </c>
      <c r="AF401" s="199">
        <f t="shared" si="454"/>
        <v>57737.35452551749</v>
      </c>
      <c r="AG401" s="199">
        <f t="shared" si="414"/>
        <v>48812.248440060641</v>
      </c>
      <c r="AH401" s="199">
        <f t="shared" si="385"/>
        <v>53274.801482789066</v>
      </c>
      <c r="AI401" s="200">
        <f t="shared" si="455"/>
        <v>56831.209011496401</v>
      </c>
      <c r="AJ401" s="200">
        <f t="shared" si="456"/>
        <v>56831.209011496401</v>
      </c>
      <c r="AK401" s="200">
        <f t="shared" si="457"/>
        <v>56831.209011496401</v>
      </c>
      <c r="AL401" s="4"/>
      <c r="AM401" s="4"/>
      <c r="AN401" s="4"/>
      <c r="AO401" s="4"/>
      <c r="AP401" s="63"/>
      <c r="AQ401" s="18"/>
      <c r="AR401" s="18"/>
      <c r="AS401" s="18"/>
      <c r="AT401" s="18">
        <v>0</v>
      </c>
      <c r="AU401" s="133">
        <f t="shared" si="388"/>
        <v>118.17</v>
      </c>
      <c r="AV401" s="133">
        <f t="shared" si="388"/>
        <v>3225.1860000000001</v>
      </c>
      <c r="AW401" s="194"/>
      <c r="AX401" s="194"/>
      <c r="AY401" s="194"/>
      <c r="AZ401" s="194"/>
      <c r="BA401" s="194"/>
      <c r="BB401" s="194"/>
      <c r="BC401" s="65">
        <v>0</v>
      </c>
      <c r="BD401" s="65">
        <v>0</v>
      </c>
      <c r="BE401" s="65">
        <v>0</v>
      </c>
      <c r="BF401" s="65">
        <v>0</v>
      </c>
      <c r="BG401" s="65">
        <v>0</v>
      </c>
      <c r="BH401" s="65">
        <v>0</v>
      </c>
      <c r="BI401" s="65">
        <v>943.9776676130947</v>
      </c>
      <c r="BJ401" s="65">
        <v>0</v>
      </c>
      <c r="BK401" s="65">
        <v>16.565610887239799</v>
      </c>
      <c r="BL401" s="65">
        <v>0</v>
      </c>
      <c r="BM401" s="65">
        <v>0</v>
      </c>
      <c r="BN401" s="65">
        <v>0</v>
      </c>
      <c r="BO401" s="65">
        <v>194.92041491999998</v>
      </c>
      <c r="BP401" s="5"/>
      <c r="BQ401" s="4">
        <v>95.184530857481334</v>
      </c>
      <c r="BR401" s="65">
        <v>124.36169537581482</v>
      </c>
      <c r="BS401" s="65">
        <v>449.99801091890174</v>
      </c>
      <c r="BT401" s="65">
        <v>148.5423272156753</v>
      </c>
      <c r="BU401" s="65">
        <v>148.10744505609489</v>
      </c>
      <c r="BV401" s="144">
        <f t="shared" si="448"/>
        <v>670.51234611096845</v>
      </c>
      <c r="BW401" s="144">
        <f t="shared" si="449"/>
        <v>1443.8271866049124</v>
      </c>
      <c r="BX401" s="144">
        <f t="shared" si="450"/>
        <v>449.54554662294208</v>
      </c>
      <c r="BY401" s="5"/>
      <c r="BZ401" s="5"/>
      <c r="CA401" s="4"/>
      <c r="CB401" s="5"/>
      <c r="CC401" s="5"/>
      <c r="CD401" s="5"/>
      <c r="CE401" s="5"/>
      <c r="CF401" s="64"/>
      <c r="CG401" s="70"/>
      <c r="CH401" s="70"/>
      <c r="CI401" s="70"/>
      <c r="CJ401" s="63"/>
      <c r="CK401" s="8">
        <f t="shared" si="431"/>
        <v>8028.8987821831261</v>
      </c>
      <c r="CL401" s="202">
        <f t="shared" si="389"/>
        <v>48802.310229313276</v>
      </c>
      <c r="CM401" s="202">
        <f t="shared" si="390"/>
        <v>48802.310229313276</v>
      </c>
      <c r="CN401" s="202">
        <f t="shared" si="391"/>
        <v>48802.310229313276</v>
      </c>
      <c r="CO401" s="9">
        <f t="shared" si="392"/>
        <v>45554.8939351273</v>
      </c>
      <c r="CP401" s="9">
        <f t="shared" si="393"/>
        <v>49708.455743334365</v>
      </c>
      <c r="CQ401" s="9">
        <f t="shared" si="394"/>
        <v>40783.349657877516</v>
      </c>
      <c r="CR401" s="202">
        <f t="shared" si="395"/>
        <v>48802.310229313276</v>
      </c>
      <c r="CS401" s="202">
        <f t="shared" si="396"/>
        <v>48802.310229313276</v>
      </c>
      <c r="CT401" s="202">
        <f t="shared" si="397"/>
        <v>48802.310229313276</v>
      </c>
      <c r="CU401" s="203">
        <f t="shared" si="398"/>
        <v>0.85872377304943559</v>
      </c>
      <c r="CV401" s="203">
        <f t="shared" si="399"/>
        <v>0.85872377304943559</v>
      </c>
      <c r="CW401" s="203">
        <f t="shared" si="400"/>
        <v>0.85872377304943559</v>
      </c>
      <c r="CX401" s="19">
        <f t="shared" si="401"/>
        <v>0.85016180499687988</v>
      </c>
      <c r="CY401" s="19">
        <f t="shared" si="402"/>
        <v>0.86094100001352347</v>
      </c>
      <c r="CZ401" s="19">
        <f t="shared" si="403"/>
        <v>0.83551467021556547</v>
      </c>
      <c r="DA401" s="203">
        <f t="shared" si="404"/>
        <v>0.85872377304943559</v>
      </c>
      <c r="DB401" s="203">
        <f t="shared" si="405"/>
        <v>0.85872377304943559</v>
      </c>
      <c r="DC401" s="203">
        <f t="shared" si="406"/>
        <v>0.85872377304943559</v>
      </c>
      <c r="DD401" s="65"/>
      <c r="DE401" s="66"/>
      <c r="DF401" s="66"/>
      <c r="DG401" s="66"/>
      <c r="DH401" s="66"/>
      <c r="DI401" s="66"/>
      <c r="DJ401" s="66"/>
      <c r="DK401" s="70"/>
      <c r="DL401" s="70"/>
      <c r="DM401" s="8">
        <f t="shared" si="432"/>
        <v>0</v>
      </c>
      <c r="DN401" s="8">
        <f t="shared" si="433"/>
        <v>8028.8987821831261</v>
      </c>
      <c r="DO401" s="202">
        <f t="shared" si="415"/>
        <v>48802.310229313276</v>
      </c>
      <c r="DP401" s="202">
        <f t="shared" si="416"/>
        <v>48802.310229313276</v>
      </c>
      <c r="DQ401" s="202">
        <f t="shared" si="417"/>
        <v>48802.310229313276</v>
      </c>
      <c r="DR401" s="9">
        <f t="shared" si="418"/>
        <v>45554.8939351273</v>
      </c>
      <c r="DS401" s="9">
        <f t="shared" si="410"/>
        <v>49708.455743334365</v>
      </c>
      <c r="DT401" s="9">
        <f t="shared" si="419"/>
        <v>40783.349657877516</v>
      </c>
      <c r="DU401" s="202">
        <f t="shared" si="420"/>
        <v>48802.310229313276</v>
      </c>
      <c r="DV401" s="202">
        <f t="shared" si="421"/>
        <v>48802.310229313276</v>
      </c>
      <c r="DW401" s="202">
        <f t="shared" si="422"/>
        <v>48802.310229313276</v>
      </c>
      <c r="DX401" s="203">
        <f t="shared" si="423"/>
        <v>0.85872377304943559</v>
      </c>
      <c r="DY401" s="203">
        <f t="shared" si="424"/>
        <v>0.85872377304943559</v>
      </c>
      <c r="DZ401" s="203">
        <f t="shared" si="425"/>
        <v>0.85872377304943559</v>
      </c>
      <c r="EA401" s="19">
        <f t="shared" si="426"/>
        <v>0.85016180499687988</v>
      </c>
      <c r="EB401" s="19">
        <f t="shared" si="411"/>
        <v>0.86094100001352347</v>
      </c>
      <c r="EC401" s="19">
        <f t="shared" si="427"/>
        <v>0.83551467021556547</v>
      </c>
      <c r="ED401" s="203">
        <f t="shared" si="428"/>
        <v>0.85872377304943559</v>
      </c>
      <c r="EE401" s="203">
        <f t="shared" si="429"/>
        <v>0.85872377304943559</v>
      </c>
      <c r="EF401" s="203">
        <f t="shared" si="430"/>
        <v>0.85872377304943559</v>
      </c>
      <c r="EH401" s="58">
        <f t="shared" si="442"/>
        <v>7358.3864360721573</v>
      </c>
      <c r="EI401" s="68">
        <f t="shared" si="443"/>
        <v>0.12744585366861688</v>
      </c>
      <c r="EJ401" s="58">
        <f t="shared" si="444"/>
        <v>7358.3864360721573</v>
      </c>
      <c r="EK401" s="68">
        <f t="shared" si="443"/>
        <v>0.12744585366861688</v>
      </c>
      <c r="EL401" s="58">
        <f t="shared" si="445"/>
        <v>3565.4848894492152</v>
      </c>
      <c r="EM401" s="58">
        <f t="shared" si="446"/>
        <v>4015.0304360721575</v>
      </c>
      <c r="EN401" s="68">
        <f t="shared" si="447"/>
        <v>6.9539563581800107E-2</v>
      </c>
      <c r="EO401" s="139">
        <f t="shared" si="387"/>
        <v>0.35739486552628164</v>
      </c>
      <c r="EP401">
        <f>+(SUM(M401:O401)*EO401*(1-'[1]Tier 3 Data'!$A$2))</f>
        <v>1221.3228083196348</v>
      </c>
    </row>
    <row r="402" spans="1:146" x14ac:dyDescent="0.2">
      <c r="A402" s="43">
        <v>0</v>
      </c>
      <c r="B402" s="43">
        <v>0</v>
      </c>
      <c r="C402" s="43">
        <v>0</v>
      </c>
      <c r="D402" s="70">
        <v>2040</v>
      </c>
      <c r="E402" s="70">
        <v>11</v>
      </c>
      <c r="F402" s="2">
        <v>721</v>
      </c>
      <c r="G402" s="133">
        <f t="shared" si="380"/>
        <v>44363.318292167693</v>
      </c>
      <c r="H402" s="65">
        <v>44363.318292167693</v>
      </c>
      <c r="I402" s="133">
        <f t="shared" si="381"/>
        <v>44363.318292167693</v>
      </c>
      <c r="J402" s="133">
        <f t="shared" si="440"/>
        <v>7585.654875000002</v>
      </c>
      <c r="K402" s="65">
        <v>7585.654875000002</v>
      </c>
      <c r="L402" s="133">
        <f t="shared" si="441"/>
        <v>7585.654875000002</v>
      </c>
      <c r="M402" s="65">
        <v>391.15101618171565</v>
      </c>
      <c r="N402" s="65">
        <v>842.27303867993726</v>
      </c>
      <c r="O402" s="65">
        <v>262.39407100565165</v>
      </c>
      <c r="P402" s="200">
        <f t="shared" si="434"/>
        <v>36328.917979407503</v>
      </c>
      <c r="Q402" s="200">
        <f t="shared" si="435"/>
        <v>36328.917979407503</v>
      </c>
      <c r="R402" s="200">
        <f t="shared" si="436"/>
        <v>36328.917979407503</v>
      </c>
      <c r="S402" s="133">
        <f t="shared" si="382"/>
        <v>36698.945195865999</v>
      </c>
      <c r="T402" s="133">
        <f t="shared" si="383"/>
        <v>36698.945195865999</v>
      </c>
      <c r="U402" s="133">
        <f t="shared" si="384"/>
        <v>36698.945195865999</v>
      </c>
      <c r="V402" s="200">
        <f t="shared" si="437"/>
        <v>36328.917979407503</v>
      </c>
      <c r="W402" s="200">
        <f t="shared" si="438"/>
        <v>36328.917979407503</v>
      </c>
      <c r="X402" s="200">
        <f t="shared" si="439"/>
        <v>36328.917979407503</v>
      </c>
      <c r="Y402" s="65">
        <v>26579.004915726971</v>
      </c>
      <c r="Z402" s="65">
        <v>35528.31803446867</v>
      </c>
      <c r="AA402" s="65">
        <v>20868.548957251649</v>
      </c>
      <c r="AB402" s="200">
        <f t="shared" si="451"/>
        <v>71857.236013876172</v>
      </c>
      <c r="AC402" s="200">
        <f t="shared" si="452"/>
        <v>71857.236013876172</v>
      </c>
      <c r="AD402" s="200">
        <f t="shared" si="453"/>
        <v>71857.236013876172</v>
      </c>
      <c r="AE402" s="199">
        <f t="shared" si="413"/>
        <v>63277.950111592974</v>
      </c>
      <c r="AF402" s="199">
        <f t="shared" si="454"/>
        <v>72227.263230334676</v>
      </c>
      <c r="AG402" s="199">
        <f t="shared" si="414"/>
        <v>57567.494153117645</v>
      </c>
      <c r="AH402" s="199">
        <f t="shared" si="385"/>
        <v>64897.37869172616</v>
      </c>
      <c r="AI402" s="200">
        <f t="shared" si="455"/>
        <v>71857.236013876172</v>
      </c>
      <c r="AJ402" s="200">
        <f t="shared" si="456"/>
        <v>71857.236013876172</v>
      </c>
      <c r="AK402" s="200">
        <f t="shared" si="457"/>
        <v>71857.236013876172</v>
      </c>
      <c r="AL402" s="4"/>
      <c r="AM402" s="4"/>
      <c r="AN402" s="4"/>
      <c r="AO402" s="4"/>
      <c r="AP402" s="63"/>
      <c r="AQ402" s="18"/>
      <c r="AR402" s="18"/>
      <c r="AS402" s="18"/>
      <c r="AT402" s="18">
        <v>0</v>
      </c>
      <c r="AU402" s="133">
        <f t="shared" si="388"/>
        <v>104.364</v>
      </c>
      <c r="AV402" s="133">
        <f t="shared" si="388"/>
        <v>3268.3739999999998</v>
      </c>
      <c r="AW402" s="194"/>
      <c r="AX402" s="194"/>
      <c r="AY402" s="194"/>
      <c r="AZ402" s="194"/>
      <c r="BA402" s="194"/>
      <c r="BB402" s="194"/>
      <c r="BC402" s="65">
        <v>0</v>
      </c>
      <c r="BD402" s="65">
        <v>0</v>
      </c>
      <c r="BE402" s="65">
        <v>0</v>
      </c>
      <c r="BF402" s="65">
        <v>0</v>
      </c>
      <c r="BG402" s="65">
        <v>0</v>
      </c>
      <c r="BH402" s="65">
        <v>0</v>
      </c>
      <c r="BI402" s="65">
        <v>690.92028169420917</v>
      </c>
      <c r="BJ402" s="65">
        <v>0</v>
      </c>
      <c r="BK402" s="65">
        <v>19.844702933795372</v>
      </c>
      <c r="BL402" s="65">
        <v>0</v>
      </c>
      <c r="BM402" s="65">
        <v>0</v>
      </c>
      <c r="BN402" s="65">
        <v>0</v>
      </c>
      <c r="BO402" s="65">
        <v>188.63265960000001</v>
      </c>
      <c r="BP402" s="5"/>
      <c r="BQ402" s="4">
        <v>58.66986835930313</v>
      </c>
      <c r="BR402" s="65">
        <v>76.654096244584082</v>
      </c>
      <c r="BS402" s="65">
        <v>277.36989895320937</v>
      </c>
      <c r="BT402" s="65">
        <v>102.45594397519899</v>
      </c>
      <c r="BU402" s="65">
        <v>113.9490898401673</v>
      </c>
      <c r="BV402" s="144">
        <f t="shared" si="448"/>
        <v>273.80571132720092</v>
      </c>
      <c r="BW402" s="144">
        <f t="shared" si="449"/>
        <v>589.59112707595602</v>
      </c>
      <c r="BX402" s="144">
        <f t="shared" si="450"/>
        <v>183.67584970395615</v>
      </c>
      <c r="BY402" s="5"/>
      <c r="BZ402" s="5"/>
      <c r="CA402" s="4"/>
      <c r="CB402" s="5"/>
      <c r="CC402" s="5"/>
      <c r="CD402" s="5"/>
      <c r="CE402" s="5"/>
      <c r="CF402" s="64"/>
      <c r="CG402" s="70"/>
      <c r="CH402" s="70"/>
      <c r="CI402" s="70"/>
      <c r="CJ402" s="63"/>
      <c r="CK402" s="8">
        <f t="shared" si="431"/>
        <v>5948.3072297075814</v>
      </c>
      <c r="CL402" s="202">
        <f t="shared" si="389"/>
        <v>65908.928784168587</v>
      </c>
      <c r="CM402" s="202">
        <f t="shared" si="390"/>
        <v>65908.928784168587</v>
      </c>
      <c r="CN402" s="202">
        <f t="shared" si="391"/>
        <v>65908.928784168587</v>
      </c>
      <c r="CO402" s="9">
        <f t="shared" si="392"/>
        <v>57329.642881885389</v>
      </c>
      <c r="CP402" s="9">
        <f t="shared" si="393"/>
        <v>66278.956000627091</v>
      </c>
      <c r="CQ402" s="9">
        <f t="shared" si="394"/>
        <v>51619.18692341006</v>
      </c>
      <c r="CR402" s="202">
        <f t="shared" si="395"/>
        <v>65908.928784168587</v>
      </c>
      <c r="CS402" s="202">
        <f t="shared" si="396"/>
        <v>65908.928784168587</v>
      </c>
      <c r="CT402" s="202">
        <f t="shared" si="397"/>
        <v>65908.928784168587</v>
      </c>
      <c r="CU402" s="203">
        <f t="shared" si="398"/>
        <v>0.91722048384161448</v>
      </c>
      <c r="CV402" s="203">
        <f t="shared" si="399"/>
        <v>0.91722048384161448</v>
      </c>
      <c r="CW402" s="203">
        <f t="shared" si="400"/>
        <v>0.91722048384161448</v>
      </c>
      <c r="CX402" s="19">
        <f t="shared" si="401"/>
        <v>0.9059971566838444</v>
      </c>
      <c r="CY402" s="19">
        <f t="shared" si="402"/>
        <v>0.91764457126475529</v>
      </c>
      <c r="CZ402" s="19">
        <f t="shared" si="403"/>
        <v>0.89667246564725722</v>
      </c>
      <c r="DA402" s="203">
        <f t="shared" si="404"/>
        <v>0.91722048384161448</v>
      </c>
      <c r="DB402" s="203">
        <f t="shared" si="405"/>
        <v>0.91722048384161448</v>
      </c>
      <c r="DC402" s="203">
        <f t="shared" si="406"/>
        <v>0.91722048384161448</v>
      </c>
      <c r="DD402" s="65"/>
      <c r="DE402" s="66"/>
      <c r="DF402" s="66"/>
      <c r="DG402" s="66"/>
      <c r="DH402" s="66"/>
      <c r="DI402" s="66"/>
      <c r="DJ402" s="66"/>
      <c r="DK402" s="70"/>
      <c r="DL402" s="70"/>
      <c r="DM402" s="8">
        <f t="shared" si="432"/>
        <v>0</v>
      </c>
      <c r="DN402" s="8">
        <f t="shared" si="433"/>
        <v>5948.3072297075814</v>
      </c>
      <c r="DO402" s="202">
        <f t="shared" si="415"/>
        <v>65908.928784168587</v>
      </c>
      <c r="DP402" s="202">
        <f t="shared" si="416"/>
        <v>65908.928784168587</v>
      </c>
      <c r="DQ402" s="202">
        <f t="shared" si="417"/>
        <v>65908.928784168587</v>
      </c>
      <c r="DR402" s="9">
        <f t="shared" si="418"/>
        <v>57329.642881885389</v>
      </c>
      <c r="DS402" s="9">
        <f t="shared" si="410"/>
        <v>66278.956000627091</v>
      </c>
      <c r="DT402" s="9">
        <f t="shared" si="419"/>
        <v>51619.18692341006</v>
      </c>
      <c r="DU402" s="202">
        <f t="shared" si="420"/>
        <v>65908.928784168587</v>
      </c>
      <c r="DV402" s="202">
        <f t="shared" si="421"/>
        <v>65908.928784168587</v>
      </c>
      <c r="DW402" s="202">
        <f t="shared" si="422"/>
        <v>65908.928784168587</v>
      </c>
      <c r="DX402" s="203">
        <f t="shared" si="423"/>
        <v>0.91722048384161448</v>
      </c>
      <c r="DY402" s="203">
        <f t="shared" si="424"/>
        <v>0.91722048384161448</v>
      </c>
      <c r="DZ402" s="203">
        <f t="shared" si="425"/>
        <v>0.91722048384161448</v>
      </c>
      <c r="EA402" s="19">
        <f t="shared" si="426"/>
        <v>0.9059971566838444</v>
      </c>
      <c r="EB402" s="19">
        <f t="shared" si="411"/>
        <v>0.91764457126475529</v>
      </c>
      <c r="EC402" s="19">
        <f t="shared" si="427"/>
        <v>0.89667246564725722</v>
      </c>
      <c r="ED402" s="203">
        <f t="shared" si="428"/>
        <v>0.91722048384161448</v>
      </c>
      <c r="EE402" s="203">
        <f t="shared" si="429"/>
        <v>0.91722048384161448</v>
      </c>
      <c r="EF402" s="203">
        <f t="shared" si="430"/>
        <v>0.91722048384161448</v>
      </c>
      <c r="EH402" s="58">
        <f t="shared" si="442"/>
        <v>5674.5015183803807</v>
      </c>
      <c r="EI402" s="68">
        <f t="shared" si="443"/>
        <v>7.8564537331066303E-2</v>
      </c>
      <c r="EJ402" s="58">
        <f t="shared" si="444"/>
        <v>5674.5015183803807</v>
      </c>
      <c r="EK402" s="68">
        <f t="shared" si="443"/>
        <v>7.8564537331066303E-2</v>
      </c>
      <c r="EL402" s="58">
        <f t="shared" si="445"/>
        <v>2118.0876686764232</v>
      </c>
      <c r="EM402" s="58">
        <f t="shared" si="446"/>
        <v>2301.7635183803795</v>
      </c>
      <c r="EN402" s="68">
        <f t="shared" si="447"/>
        <v>3.1868347427757217E-2</v>
      </c>
      <c r="EO402" s="139">
        <f t="shared" si="387"/>
        <v>0.4050825009776523</v>
      </c>
      <c r="EP402">
        <f>+(SUM(M402:O402)*EO402*(1-'[1]Tier 3 Data'!$A$2))</f>
        <v>565.33245435595222</v>
      </c>
    </row>
    <row r="403" spans="1:146" x14ac:dyDescent="0.2">
      <c r="A403" s="43">
        <v>0</v>
      </c>
      <c r="B403" s="43">
        <v>0</v>
      </c>
      <c r="C403" s="43">
        <v>0</v>
      </c>
      <c r="D403" s="70">
        <v>2040</v>
      </c>
      <c r="E403" s="70">
        <v>12</v>
      </c>
      <c r="F403" s="2">
        <v>744</v>
      </c>
      <c r="G403" s="133">
        <f t="shared" si="380"/>
        <v>50379.881041793305</v>
      </c>
      <c r="H403" s="65">
        <v>50379.881041793305</v>
      </c>
      <c r="I403" s="133">
        <f t="shared" si="381"/>
        <v>50379.881041793305</v>
      </c>
      <c r="J403" s="133">
        <f t="shared" si="440"/>
        <v>7625.5020000000022</v>
      </c>
      <c r="K403" s="65">
        <v>7625.5020000000022</v>
      </c>
      <c r="L403" s="133">
        <f t="shared" si="441"/>
        <v>7625.5020000000022</v>
      </c>
      <c r="M403" s="65">
        <v>248.30627982623952</v>
      </c>
      <c r="N403" s="65">
        <v>534.68270867382159</v>
      </c>
      <c r="O403" s="65">
        <v>166.62941525221953</v>
      </c>
      <c r="P403" s="200">
        <f t="shared" si="434"/>
        <v>42469.493520667624</v>
      </c>
      <c r="Q403" s="200">
        <f t="shared" si="435"/>
        <v>42469.493520667624</v>
      </c>
      <c r="R403" s="200">
        <f t="shared" si="436"/>
        <v>42469.493520667624</v>
      </c>
      <c r="S403" s="133">
        <f t="shared" si="382"/>
        <v>42704.390217217639</v>
      </c>
      <c r="T403" s="133">
        <f t="shared" si="383"/>
        <v>42704.390217217639</v>
      </c>
      <c r="U403" s="133">
        <f t="shared" si="384"/>
        <v>42704.390217217639</v>
      </c>
      <c r="V403" s="200">
        <f t="shared" si="437"/>
        <v>42469.493520667624</v>
      </c>
      <c r="W403" s="200">
        <f t="shared" si="438"/>
        <v>42469.493520667624</v>
      </c>
      <c r="X403" s="200">
        <f t="shared" si="439"/>
        <v>42469.493520667624</v>
      </c>
      <c r="Y403" s="65">
        <v>28893.549071477166</v>
      </c>
      <c r="Z403" s="65">
        <v>37951.919209052576</v>
      </c>
      <c r="AA403" s="65">
        <v>22558.129470347027</v>
      </c>
      <c r="AB403" s="200">
        <f t="shared" si="451"/>
        <v>80421.412729720207</v>
      </c>
      <c r="AC403" s="200">
        <f t="shared" si="452"/>
        <v>80421.412729720207</v>
      </c>
      <c r="AD403" s="200">
        <f t="shared" si="453"/>
        <v>80421.412729720207</v>
      </c>
      <c r="AE403" s="199">
        <f t="shared" si="413"/>
        <v>71597.939288694804</v>
      </c>
      <c r="AF403" s="199">
        <f t="shared" si="454"/>
        <v>80656.309426270222</v>
      </c>
      <c r="AG403" s="199">
        <f t="shared" si="414"/>
        <v>65262.519687564665</v>
      </c>
      <c r="AH403" s="199">
        <f t="shared" si="385"/>
        <v>72959.414556917443</v>
      </c>
      <c r="AI403" s="200">
        <f t="shared" si="455"/>
        <v>80421.412729720207</v>
      </c>
      <c r="AJ403" s="200">
        <f t="shared" si="456"/>
        <v>80421.412729720207</v>
      </c>
      <c r="AK403" s="200">
        <f t="shared" si="457"/>
        <v>80421.412729720207</v>
      </c>
      <c r="AL403" s="4"/>
      <c r="AM403" s="4"/>
      <c r="AN403" s="4"/>
      <c r="AO403" s="4"/>
      <c r="AP403" s="63"/>
      <c r="AQ403" s="18"/>
      <c r="AR403" s="18"/>
      <c r="AS403" s="18"/>
      <c r="AT403" s="18">
        <v>0</v>
      </c>
      <c r="AU403" s="133">
        <f t="shared" si="388"/>
        <v>105.066</v>
      </c>
      <c r="AV403" s="133">
        <f t="shared" si="388"/>
        <v>3218.8470000000002</v>
      </c>
      <c r="AW403" s="194"/>
      <c r="AX403" s="194"/>
      <c r="AY403" s="194"/>
      <c r="AZ403" s="194"/>
      <c r="BA403" s="194"/>
      <c r="BB403" s="194"/>
      <c r="BC403" s="65">
        <v>0</v>
      </c>
      <c r="BD403" s="65">
        <v>0</v>
      </c>
      <c r="BE403" s="65">
        <v>0</v>
      </c>
      <c r="BF403" s="65">
        <v>0</v>
      </c>
      <c r="BG403" s="65">
        <v>0</v>
      </c>
      <c r="BH403" s="65">
        <v>0</v>
      </c>
      <c r="BI403" s="65">
        <v>323.77152420736979</v>
      </c>
      <c r="BJ403" s="65">
        <v>0</v>
      </c>
      <c r="BK403" s="65">
        <v>20.28324216774827</v>
      </c>
      <c r="BL403" s="65">
        <v>0</v>
      </c>
      <c r="BM403" s="65">
        <v>0</v>
      </c>
      <c r="BN403" s="65">
        <v>0</v>
      </c>
      <c r="BO403" s="65">
        <v>194.92041491999998</v>
      </c>
      <c r="BP403" s="5"/>
      <c r="BQ403" s="4">
        <v>53.456636720356471</v>
      </c>
      <c r="BR403" s="65">
        <v>69.493598666480949</v>
      </c>
      <c r="BS403" s="65">
        <v>252.72353119836308</v>
      </c>
      <c r="BT403" s="65">
        <v>94.331349981939354</v>
      </c>
      <c r="BU403" s="65">
        <v>100.28582349305898</v>
      </c>
      <c r="BV403" s="144">
        <f t="shared" si="448"/>
        <v>173.81439587836766</v>
      </c>
      <c r="BW403" s="144">
        <f t="shared" si="449"/>
        <v>374.27789607167512</v>
      </c>
      <c r="BX403" s="144">
        <f t="shared" si="450"/>
        <v>116.64059067655366</v>
      </c>
      <c r="BY403" s="5"/>
      <c r="BZ403" s="5"/>
      <c r="CA403" s="4"/>
      <c r="CB403" s="5"/>
      <c r="CC403" s="5"/>
      <c r="CD403" s="5"/>
      <c r="CE403" s="5"/>
      <c r="CF403" s="64"/>
      <c r="CG403" s="70"/>
      <c r="CH403" s="70"/>
      <c r="CI403" s="70"/>
      <c r="CJ403" s="63"/>
      <c r="CK403" s="8">
        <f t="shared" si="431"/>
        <v>5097.9120039819136</v>
      </c>
      <c r="CL403" s="202">
        <f t="shared" si="389"/>
        <v>75323.500725738297</v>
      </c>
      <c r="CM403" s="202">
        <f t="shared" si="390"/>
        <v>75323.500725738297</v>
      </c>
      <c r="CN403" s="202">
        <f t="shared" si="391"/>
        <v>75323.500725738297</v>
      </c>
      <c r="CO403" s="9">
        <f t="shared" si="392"/>
        <v>66500.027284712894</v>
      </c>
      <c r="CP403" s="9">
        <f t="shared" si="393"/>
        <v>75558.397422288312</v>
      </c>
      <c r="CQ403" s="9">
        <f t="shared" si="394"/>
        <v>60164.607683582755</v>
      </c>
      <c r="CR403" s="202">
        <f t="shared" si="395"/>
        <v>75323.500725738297</v>
      </c>
      <c r="CS403" s="202">
        <f t="shared" si="396"/>
        <v>75323.500725738297</v>
      </c>
      <c r="CT403" s="202">
        <f t="shared" si="397"/>
        <v>75323.500725738297</v>
      </c>
      <c r="CU403" s="203">
        <f t="shared" si="398"/>
        <v>0.93661001677358069</v>
      </c>
      <c r="CV403" s="203">
        <f t="shared" si="399"/>
        <v>0.93661001677358069</v>
      </c>
      <c r="CW403" s="203">
        <f t="shared" si="400"/>
        <v>0.93661001677358069</v>
      </c>
      <c r="CX403" s="19">
        <f t="shared" si="401"/>
        <v>0.92879806242151353</v>
      </c>
      <c r="CY403" s="19">
        <f t="shared" si="402"/>
        <v>0.93679462846434813</v>
      </c>
      <c r="CZ403" s="19">
        <f t="shared" si="403"/>
        <v>0.92188606832240827</v>
      </c>
      <c r="DA403" s="203">
        <f t="shared" si="404"/>
        <v>0.93661001677358069</v>
      </c>
      <c r="DB403" s="203">
        <f t="shared" si="405"/>
        <v>0.93661001677358069</v>
      </c>
      <c r="DC403" s="203">
        <f t="shared" si="406"/>
        <v>0.93661001677358069</v>
      </c>
      <c r="DD403" s="65"/>
      <c r="DE403" s="66"/>
      <c r="DF403" s="66"/>
      <c r="DG403" s="66"/>
      <c r="DH403" s="66"/>
      <c r="DI403" s="66"/>
      <c r="DJ403" s="66"/>
      <c r="DK403" s="70"/>
      <c r="DL403" s="70"/>
      <c r="DM403" s="8">
        <f t="shared" si="432"/>
        <v>0</v>
      </c>
      <c r="DN403" s="8">
        <f t="shared" si="433"/>
        <v>5097.9120039819136</v>
      </c>
      <c r="DO403" s="202">
        <f t="shared" si="415"/>
        <v>75323.500725738297</v>
      </c>
      <c r="DP403" s="202">
        <f t="shared" si="416"/>
        <v>75323.500725738297</v>
      </c>
      <c r="DQ403" s="202">
        <f t="shared" si="417"/>
        <v>75323.500725738297</v>
      </c>
      <c r="DR403" s="9">
        <f t="shared" si="418"/>
        <v>66500.027284712894</v>
      </c>
      <c r="DS403" s="9">
        <f t="shared" si="410"/>
        <v>75558.397422288312</v>
      </c>
      <c r="DT403" s="9">
        <f t="shared" si="419"/>
        <v>60164.607683582755</v>
      </c>
      <c r="DU403" s="202">
        <f t="shared" si="420"/>
        <v>75323.500725738297</v>
      </c>
      <c r="DV403" s="202">
        <f t="shared" si="421"/>
        <v>75323.500725738297</v>
      </c>
      <c r="DW403" s="202">
        <f t="shared" si="422"/>
        <v>75323.500725738297</v>
      </c>
      <c r="DX403" s="203">
        <f t="shared" si="423"/>
        <v>0.93661001677358069</v>
      </c>
      <c r="DY403" s="203">
        <f t="shared" si="424"/>
        <v>0.93661001677358069</v>
      </c>
      <c r="DZ403" s="203">
        <f t="shared" si="425"/>
        <v>0.93661001677358069</v>
      </c>
      <c r="EA403" s="19">
        <f t="shared" si="426"/>
        <v>0.92879806242151353</v>
      </c>
      <c r="EB403" s="19">
        <f t="shared" si="411"/>
        <v>0.93679462846434813</v>
      </c>
      <c r="EC403" s="19">
        <f t="shared" si="427"/>
        <v>0.92188606832240827</v>
      </c>
      <c r="ED403" s="203">
        <f t="shared" si="428"/>
        <v>0.93661001677358069</v>
      </c>
      <c r="EE403" s="203">
        <f t="shared" si="429"/>
        <v>0.93661001677358069</v>
      </c>
      <c r="EF403" s="203">
        <f t="shared" si="430"/>
        <v>0.93661001677358069</v>
      </c>
      <c r="EH403" s="58">
        <f t="shared" si="442"/>
        <v>4924.097608103546</v>
      </c>
      <c r="EI403" s="68">
        <f t="shared" si="443"/>
        <v>6.105037092733305E-2</v>
      </c>
      <c r="EJ403" s="58">
        <f t="shared" si="444"/>
        <v>4924.097608103546</v>
      </c>
      <c r="EK403" s="68">
        <f t="shared" si="443"/>
        <v>6.105037092733305E-2</v>
      </c>
      <c r="EL403" s="58">
        <f t="shared" si="445"/>
        <v>1483.544017426992</v>
      </c>
      <c r="EM403" s="58">
        <f t="shared" si="446"/>
        <v>1600.1846081035458</v>
      </c>
      <c r="EN403" s="68">
        <f t="shared" si="447"/>
        <v>1.983954658334958E-2</v>
      </c>
      <c r="EO403" s="139">
        <f t="shared" si="387"/>
        <v>0.32946562535829382</v>
      </c>
      <c r="EP403">
        <f>+(SUM(M403:O403)*EO403*(1-'[1]Tier 3 Data'!$A$2))</f>
        <v>291.90455762064261</v>
      </c>
    </row>
    <row r="404" spans="1:146" x14ac:dyDescent="0.2">
      <c r="A404" s="43">
        <v>0</v>
      </c>
      <c r="B404" s="43">
        <v>0</v>
      </c>
      <c r="C404" s="43">
        <v>0</v>
      </c>
      <c r="D404" s="70">
        <v>2041</v>
      </c>
      <c r="E404" s="70">
        <v>1</v>
      </c>
      <c r="F404" s="2">
        <v>744</v>
      </c>
      <c r="G404" s="133">
        <f t="shared" si="380"/>
        <v>52115.884517443308</v>
      </c>
      <c r="H404" s="65">
        <v>52115.884517443308</v>
      </c>
      <c r="I404" s="133">
        <f t="shared" si="381"/>
        <v>52115.884517443308</v>
      </c>
      <c r="J404" s="133">
        <f t="shared" si="440"/>
        <v>7665.3073125000019</v>
      </c>
      <c r="K404" s="65">
        <v>7665.3073125000019</v>
      </c>
      <c r="L404" s="133">
        <f t="shared" si="441"/>
        <v>7665.3073125000019</v>
      </c>
      <c r="M404" s="65">
        <v>350.79787520860157</v>
      </c>
      <c r="N404" s="65">
        <v>755.37984075477868</v>
      </c>
      <c r="O404" s="65">
        <v>235.44243820538392</v>
      </c>
      <c r="P404" s="200">
        <f t="shared" si="434"/>
        <v>44048.091158692681</v>
      </c>
      <c r="Q404" s="200">
        <f t="shared" si="435"/>
        <v>44048.091158692681</v>
      </c>
      <c r="R404" s="200">
        <f t="shared" si="436"/>
        <v>44048.091158692681</v>
      </c>
      <c r="S404" s="133">
        <f t="shared" si="382"/>
        <v>44379.944473481693</v>
      </c>
      <c r="T404" s="133">
        <f t="shared" si="383"/>
        <v>44379.944473481693</v>
      </c>
      <c r="U404" s="133">
        <f t="shared" si="384"/>
        <v>44379.944473481693</v>
      </c>
      <c r="V404" s="200">
        <f t="shared" si="437"/>
        <v>44048.091158692681</v>
      </c>
      <c r="W404" s="200">
        <f t="shared" si="438"/>
        <v>44048.091158692681</v>
      </c>
      <c r="X404" s="200">
        <f t="shared" si="439"/>
        <v>44048.091158692681</v>
      </c>
      <c r="Y404" s="65">
        <v>30040.469603806705</v>
      </c>
      <c r="Z404" s="65">
        <v>40187.002799887225</v>
      </c>
      <c r="AA404" s="65">
        <v>23689.05815716958</v>
      </c>
      <c r="AB404" s="200">
        <f t="shared" si="451"/>
        <v>84235.093958579906</v>
      </c>
      <c r="AC404" s="200">
        <f t="shared" si="452"/>
        <v>84235.093958579906</v>
      </c>
      <c r="AD404" s="200">
        <f t="shared" si="453"/>
        <v>84235.093958579906</v>
      </c>
      <c r="AE404" s="199">
        <f t="shared" si="413"/>
        <v>74420.414077288398</v>
      </c>
      <c r="AF404" s="199">
        <f t="shared" si="454"/>
        <v>84566.947273368918</v>
      </c>
      <c r="AG404" s="199">
        <f t="shared" si="414"/>
        <v>68069.002630651274</v>
      </c>
      <c r="AH404" s="199">
        <f t="shared" si="385"/>
        <v>76317.974952010089</v>
      </c>
      <c r="AI404" s="200">
        <f t="shared" si="455"/>
        <v>84235.093958579906</v>
      </c>
      <c r="AJ404" s="200">
        <f t="shared" si="456"/>
        <v>84235.093958579906</v>
      </c>
      <c r="AK404" s="200">
        <f t="shared" si="457"/>
        <v>84235.093958579906</v>
      </c>
      <c r="AL404" s="4"/>
      <c r="AM404" s="4"/>
      <c r="AN404" s="4"/>
      <c r="AO404" s="4"/>
      <c r="AP404" s="63"/>
      <c r="AQ404" s="18"/>
      <c r="AR404" s="18"/>
      <c r="AS404" s="18"/>
      <c r="AT404" s="18">
        <v>0</v>
      </c>
      <c r="AU404" s="133">
        <f t="shared" si="388"/>
        <v>98.513999999999996</v>
      </c>
      <c r="AV404" s="133">
        <f t="shared" si="388"/>
        <v>3278.6750000000002</v>
      </c>
      <c r="AW404" s="194"/>
      <c r="AX404" s="194"/>
      <c r="AY404" s="194"/>
      <c r="AZ404" s="194"/>
      <c r="BA404" s="194"/>
      <c r="BB404" s="194"/>
      <c r="BC404" s="65">
        <v>0</v>
      </c>
      <c r="BD404" s="65">
        <v>0</v>
      </c>
      <c r="BE404" s="65">
        <v>0</v>
      </c>
      <c r="BF404" s="65">
        <v>0</v>
      </c>
      <c r="BG404" s="65">
        <v>0</v>
      </c>
      <c r="BH404" s="65">
        <v>0</v>
      </c>
      <c r="BI404" s="65">
        <v>456.72167504990421</v>
      </c>
      <c r="BJ404" s="65">
        <v>0</v>
      </c>
      <c r="BK404" s="65">
        <v>22.517673403701547</v>
      </c>
      <c r="BL404" s="65">
        <v>0</v>
      </c>
      <c r="BM404" s="65">
        <v>0</v>
      </c>
      <c r="BN404" s="65">
        <v>0</v>
      </c>
      <c r="BO404" s="65">
        <v>194.92041491999998</v>
      </c>
      <c r="BP404" s="5"/>
      <c r="BQ404" s="4">
        <v>75.640639571224739</v>
      </c>
      <c r="BR404" s="65">
        <v>98.827003600515255</v>
      </c>
      <c r="BS404" s="65">
        <v>357.6017118888924</v>
      </c>
      <c r="BT404" s="65">
        <v>122.25591279473642</v>
      </c>
      <c r="BU404" s="65">
        <v>139.73469452760486</v>
      </c>
      <c r="BV404" s="144">
        <f t="shared" si="448"/>
        <v>245.55851264602109</v>
      </c>
      <c r="BW404" s="144">
        <f t="shared" si="449"/>
        <v>528.76588852834504</v>
      </c>
      <c r="BX404" s="144">
        <f t="shared" si="450"/>
        <v>164.80970674376874</v>
      </c>
      <c r="BY404" s="5"/>
      <c r="BZ404" s="5"/>
      <c r="CA404" s="4"/>
      <c r="CB404" s="5"/>
      <c r="CC404" s="5"/>
      <c r="CD404" s="5"/>
      <c r="CE404" s="5"/>
      <c r="CF404" s="64"/>
      <c r="CG404" s="70"/>
      <c r="CH404" s="70"/>
      <c r="CI404" s="70"/>
      <c r="CJ404" s="63"/>
      <c r="CK404" s="8">
        <f t="shared" si="431"/>
        <v>5784.5428336747136</v>
      </c>
      <c r="CL404" s="202">
        <f t="shared" si="389"/>
        <v>78450.551124905192</v>
      </c>
      <c r="CM404" s="202">
        <f t="shared" si="390"/>
        <v>78450.551124905192</v>
      </c>
      <c r="CN404" s="202">
        <f t="shared" si="391"/>
        <v>78450.551124905192</v>
      </c>
      <c r="CO404" s="9">
        <f t="shared" si="392"/>
        <v>68635.871243613685</v>
      </c>
      <c r="CP404" s="9">
        <f t="shared" si="393"/>
        <v>78782.404439694204</v>
      </c>
      <c r="CQ404" s="9">
        <f t="shared" si="394"/>
        <v>62284.45979697656</v>
      </c>
      <c r="CR404" s="202">
        <f t="shared" si="395"/>
        <v>78450.551124905192</v>
      </c>
      <c r="CS404" s="202">
        <f t="shared" si="396"/>
        <v>78450.551124905192</v>
      </c>
      <c r="CT404" s="202">
        <f t="shared" si="397"/>
        <v>78450.551124905192</v>
      </c>
      <c r="CU404" s="203">
        <f t="shared" si="398"/>
        <v>0.93132858809988284</v>
      </c>
      <c r="CV404" s="203">
        <f t="shared" si="399"/>
        <v>0.93132858809988284</v>
      </c>
      <c r="CW404" s="203">
        <f t="shared" si="400"/>
        <v>0.93132858809988284</v>
      </c>
      <c r="CX404" s="19">
        <f t="shared" si="401"/>
        <v>0.92227209556147793</v>
      </c>
      <c r="CY404" s="19">
        <f t="shared" si="402"/>
        <v>0.93159806496294884</v>
      </c>
      <c r="CZ404" s="19">
        <f t="shared" si="403"/>
        <v>0.91501942719710205</v>
      </c>
      <c r="DA404" s="203">
        <f t="shared" si="404"/>
        <v>0.93132858809988284</v>
      </c>
      <c r="DB404" s="203">
        <f t="shared" si="405"/>
        <v>0.93132858809988284</v>
      </c>
      <c r="DC404" s="203">
        <f t="shared" si="406"/>
        <v>0.93132858809988284</v>
      </c>
      <c r="DD404" s="65"/>
      <c r="DE404" s="66"/>
      <c r="DF404" s="66"/>
      <c r="DG404" s="66"/>
      <c r="DH404" s="66"/>
      <c r="DI404" s="66"/>
      <c r="DJ404" s="66"/>
      <c r="DK404" s="70"/>
      <c r="DL404" s="70"/>
      <c r="DM404" s="8">
        <f t="shared" si="432"/>
        <v>0</v>
      </c>
      <c r="DN404" s="8">
        <f t="shared" si="433"/>
        <v>5784.5428336747136</v>
      </c>
      <c r="DO404" s="202">
        <f t="shared" si="415"/>
        <v>78450.551124905192</v>
      </c>
      <c r="DP404" s="202">
        <f t="shared" si="416"/>
        <v>78450.551124905192</v>
      </c>
      <c r="DQ404" s="202">
        <f t="shared" si="417"/>
        <v>78450.551124905192</v>
      </c>
      <c r="DR404" s="9">
        <f t="shared" si="418"/>
        <v>68635.871243613685</v>
      </c>
      <c r="DS404" s="9">
        <f t="shared" si="410"/>
        <v>78782.404439694204</v>
      </c>
      <c r="DT404" s="9">
        <f t="shared" si="419"/>
        <v>62284.45979697656</v>
      </c>
      <c r="DU404" s="202">
        <f t="shared" si="420"/>
        <v>78450.551124905192</v>
      </c>
      <c r="DV404" s="202">
        <f t="shared" si="421"/>
        <v>78450.551124905192</v>
      </c>
      <c r="DW404" s="202">
        <f t="shared" si="422"/>
        <v>78450.551124905192</v>
      </c>
      <c r="DX404" s="203">
        <f t="shared" si="423"/>
        <v>0.93132858809988284</v>
      </c>
      <c r="DY404" s="203">
        <f t="shared" si="424"/>
        <v>0.93132858809988284</v>
      </c>
      <c r="DZ404" s="203">
        <f t="shared" si="425"/>
        <v>0.93132858809988284</v>
      </c>
      <c r="EA404" s="19">
        <f t="shared" si="426"/>
        <v>0.92227209556147793</v>
      </c>
      <c r="EB404" s="19">
        <f t="shared" si="411"/>
        <v>0.93159806496294884</v>
      </c>
      <c r="EC404" s="19">
        <f t="shared" si="427"/>
        <v>0.91501942719710205</v>
      </c>
      <c r="ED404" s="203">
        <f t="shared" si="428"/>
        <v>0.93132858809988284</v>
      </c>
      <c r="EE404" s="203">
        <f t="shared" si="429"/>
        <v>0.93132858809988284</v>
      </c>
      <c r="EF404" s="203">
        <f t="shared" si="430"/>
        <v>0.93132858809988284</v>
      </c>
      <c r="EH404" s="58">
        <f t="shared" si="442"/>
        <v>5538.9843210286926</v>
      </c>
      <c r="EI404" s="68">
        <f t="shared" si="443"/>
        <v>6.5498217679816631E-2</v>
      </c>
      <c r="EJ404" s="58">
        <f t="shared" si="444"/>
        <v>5538.9843210286926</v>
      </c>
      <c r="EK404" s="68">
        <f t="shared" si="443"/>
        <v>6.5498217679816631E-2</v>
      </c>
      <c r="EL404" s="58">
        <f t="shared" si="445"/>
        <v>1996.9856142849244</v>
      </c>
      <c r="EM404" s="58">
        <f t="shared" si="446"/>
        <v>2161.7953210286933</v>
      </c>
      <c r="EN404" s="68">
        <f t="shared" si="447"/>
        <v>2.5563123545662939E-2</v>
      </c>
      <c r="EO404" s="139">
        <f t="shared" si="387"/>
        <v>0.32527353469126524</v>
      </c>
      <c r="EP404">
        <f>+(SUM(M404:O404)*EO404*(1-'[1]Tier 3 Data'!$A$2))</f>
        <v>407.1551632656267</v>
      </c>
    </row>
    <row r="405" spans="1:146" x14ac:dyDescent="0.2">
      <c r="A405" s="43">
        <v>0</v>
      </c>
      <c r="B405" s="43">
        <v>0</v>
      </c>
      <c r="C405" s="43">
        <v>0</v>
      </c>
      <c r="D405" s="70">
        <v>2041</v>
      </c>
      <c r="E405" s="70">
        <v>2</v>
      </c>
      <c r="F405" s="2">
        <v>672</v>
      </c>
      <c r="G405" s="133">
        <f t="shared" ref="G405:G468" si="458">+H405</f>
        <v>47112.298362707043</v>
      </c>
      <c r="H405" s="65">
        <v>47112.298362707043</v>
      </c>
      <c r="I405" s="133">
        <f t="shared" ref="I405:I468" si="459">+H405</f>
        <v>47112.298362707043</v>
      </c>
      <c r="J405" s="133">
        <f t="shared" si="440"/>
        <v>7705.1126250000016</v>
      </c>
      <c r="K405" s="65">
        <v>7705.1126250000016</v>
      </c>
      <c r="L405" s="133">
        <f t="shared" si="441"/>
        <v>7705.1126250000016</v>
      </c>
      <c r="M405" s="65">
        <v>758.12758719225985</v>
      </c>
      <c r="N405" s="65">
        <v>1632.4907776153254</v>
      </c>
      <c r="O405" s="65">
        <v>508.86340227098191</v>
      </c>
      <c r="P405" s="200">
        <f t="shared" si="434"/>
        <v>38537.341207583471</v>
      </c>
      <c r="Q405" s="200">
        <f t="shared" si="435"/>
        <v>38537.341207583471</v>
      </c>
      <c r="R405" s="200">
        <f t="shared" si="436"/>
        <v>38537.341207583471</v>
      </c>
      <c r="S405" s="133">
        <f t="shared" ref="S405:S468" si="460">+$H405-J405-(30%*SUM($O405:$O405))</f>
        <v>39254.526717025743</v>
      </c>
      <c r="T405" s="133">
        <f t="shared" ref="T405:T468" si="461">+$H405-K405-(30%*SUM($O405:$O405))</f>
        <v>39254.526717025743</v>
      </c>
      <c r="U405" s="133">
        <f t="shared" ref="U405:U468" si="462">+$H405-L405-(30%*SUM($O405:$O405))</f>
        <v>39254.526717025743</v>
      </c>
      <c r="V405" s="200">
        <f t="shared" si="437"/>
        <v>38537.341207583471</v>
      </c>
      <c r="W405" s="200">
        <f t="shared" si="438"/>
        <v>38537.341207583471</v>
      </c>
      <c r="X405" s="200">
        <f t="shared" si="439"/>
        <v>38537.341207583471</v>
      </c>
      <c r="Y405" s="65">
        <v>28002.75976024181</v>
      </c>
      <c r="Z405" s="65">
        <v>36248.313956455255</v>
      </c>
      <c r="AA405" s="65">
        <v>21802.087944779098</v>
      </c>
      <c r="AB405" s="200">
        <f t="shared" si="451"/>
        <v>74785.655164038733</v>
      </c>
      <c r="AC405" s="200">
        <f t="shared" si="452"/>
        <v>74785.655164038733</v>
      </c>
      <c r="AD405" s="200">
        <f t="shared" si="453"/>
        <v>74785.655164038733</v>
      </c>
      <c r="AE405" s="199">
        <f t="shared" si="413"/>
        <v>67257.286477267553</v>
      </c>
      <c r="AF405" s="199">
        <f t="shared" si="454"/>
        <v>75502.840673480998</v>
      </c>
      <c r="AG405" s="199">
        <f t="shared" si="414"/>
        <v>61056.614661804837</v>
      </c>
      <c r="AH405" s="199">
        <f t="shared" ref="AH405:AH468" si="463">+(MIN(AE405:AG405)+MAX(AE405:AG405))/2</f>
        <v>68279.727667642917</v>
      </c>
      <c r="AI405" s="200">
        <f t="shared" si="455"/>
        <v>74785.655164038733</v>
      </c>
      <c r="AJ405" s="200">
        <f t="shared" si="456"/>
        <v>74785.655164038733</v>
      </c>
      <c r="AK405" s="200">
        <f t="shared" si="457"/>
        <v>74785.655164038733</v>
      </c>
      <c r="AL405" s="4"/>
      <c r="AM405" s="4"/>
      <c r="AN405" s="4"/>
      <c r="AO405" s="4"/>
      <c r="AP405" s="63"/>
      <c r="AQ405" s="18"/>
      <c r="AR405" s="18"/>
      <c r="AS405" s="18"/>
      <c r="AT405" s="18">
        <v>0</v>
      </c>
      <c r="AU405" s="133">
        <f t="shared" si="388"/>
        <v>92.897999999999996</v>
      </c>
      <c r="AV405" s="133">
        <f t="shared" si="388"/>
        <v>3057.587</v>
      </c>
      <c r="AW405" s="194"/>
      <c r="AX405" s="194"/>
      <c r="AY405" s="194"/>
      <c r="AZ405" s="194"/>
      <c r="BA405" s="194"/>
      <c r="BB405" s="194"/>
      <c r="BC405" s="65">
        <v>0</v>
      </c>
      <c r="BD405" s="65">
        <v>0</v>
      </c>
      <c r="BE405" s="65">
        <v>0</v>
      </c>
      <c r="BF405" s="65">
        <v>0</v>
      </c>
      <c r="BG405" s="65">
        <v>0</v>
      </c>
      <c r="BH405" s="65">
        <v>0</v>
      </c>
      <c r="BI405" s="65">
        <v>569.22606852587671</v>
      </c>
      <c r="BJ405" s="65">
        <v>0</v>
      </c>
      <c r="BK405" s="65">
        <v>18.279720757168818</v>
      </c>
      <c r="BL405" s="65">
        <v>0</v>
      </c>
      <c r="BM405" s="65">
        <v>0</v>
      </c>
      <c r="BN405" s="65">
        <v>0</v>
      </c>
      <c r="BO405" s="65">
        <v>176.05714896000001</v>
      </c>
      <c r="BP405" s="5"/>
      <c r="BQ405" s="4">
        <v>94.103806604323751</v>
      </c>
      <c r="BR405" s="65">
        <v>122.94967971038891</v>
      </c>
      <c r="BS405" s="65">
        <v>444.88868664649402</v>
      </c>
      <c r="BT405" s="65">
        <v>156.80905668598507</v>
      </c>
      <c r="BU405" s="65">
        <v>169.16435640652313</v>
      </c>
      <c r="BV405" s="144">
        <f t="shared" si="448"/>
        <v>530.68931103458192</v>
      </c>
      <c r="BW405" s="144">
        <f t="shared" si="449"/>
        <v>1142.7435443307277</v>
      </c>
      <c r="BX405" s="144">
        <f t="shared" si="450"/>
        <v>356.20438158968733</v>
      </c>
      <c r="BY405" s="5"/>
      <c r="BZ405" s="5"/>
      <c r="CA405" s="4"/>
      <c r="CB405" s="5"/>
      <c r="CC405" s="5"/>
      <c r="CD405" s="5"/>
      <c r="CE405" s="5"/>
      <c r="CF405" s="64"/>
      <c r="CG405" s="70"/>
      <c r="CH405" s="70"/>
      <c r="CI405" s="70"/>
      <c r="CJ405" s="63"/>
      <c r="CK405" s="8">
        <f t="shared" si="431"/>
        <v>6931.6007612517587</v>
      </c>
      <c r="CL405" s="202">
        <f t="shared" si="389"/>
        <v>67854.054402786976</v>
      </c>
      <c r="CM405" s="202">
        <f t="shared" si="390"/>
        <v>67854.054402786976</v>
      </c>
      <c r="CN405" s="202">
        <f t="shared" si="391"/>
        <v>67854.054402786976</v>
      </c>
      <c r="CO405" s="9">
        <f t="shared" si="392"/>
        <v>60325.685716015796</v>
      </c>
      <c r="CP405" s="9">
        <f t="shared" si="393"/>
        <v>68571.239912229241</v>
      </c>
      <c r="CQ405" s="9">
        <f t="shared" si="394"/>
        <v>54125.01390055308</v>
      </c>
      <c r="CR405" s="202">
        <f t="shared" si="395"/>
        <v>67854.054402786976</v>
      </c>
      <c r="CS405" s="202">
        <f t="shared" si="396"/>
        <v>67854.054402786976</v>
      </c>
      <c r="CT405" s="202">
        <f t="shared" si="397"/>
        <v>67854.054402786976</v>
      </c>
      <c r="CU405" s="203">
        <f t="shared" si="398"/>
        <v>0.90731376564064825</v>
      </c>
      <c r="CV405" s="203">
        <f t="shared" si="399"/>
        <v>0.90731376564064825</v>
      </c>
      <c r="CW405" s="203">
        <f t="shared" si="400"/>
        <v>0.90731376564064825</v>
      </c>
      <c r="CX405" s="19">
        <f t="shared" si="401"/>
        <v>0.89693903628427551</v>
      </c>
      <c r="CY405" s="19">
        <f t="shared" si="402"/>
        <v>0.90819417257122681</v>
      </c>
      <c r="CZ405" s="19">
        <f t="shared" si="403"/>
        <v>0.88647256649183404</v>
      </c>
      <c r="DA405" s="203">
        <f t="shared" si="404"/>
        <v>0.90731376564064825</v>
      </c>
      <c r="DB405" s="203">
        <f t="shared" si="405"/>
        <v>0.90731376564064825</v>
      </c>
      <c r="DC405" s="203">
        <f t="shared" si="406"/>
        <v>0.90731376564064825</v>
      </c>
      <c r="DD405" s="65"/>
      <c r="DE405" s="66"/>
      <c r="DF405" s="66"/>
      <c r="DG405" s="66"/>
      <c r="DH405" s="66"/>
      <c r="DI405" s="66"/>
      <c r="DJ405" s="66"/>
      <c r="DK405" s="70"/>
      <c r="DL405" s="70"/>
      <c r="DM405" s="8">
        <f t="shared" si="432"/>
        <v>0</v>
      </c>
      <c r="DN405" s="8">
        <f t="shared" si="433"/>
        <v>6931.6007612517587</v>
      </c>
      <c r="DO405" s="202">
        <f t="shared" si="415"/>
        <v>67854.054402786976</v>
      </c>
      <c r="DP405" s="202">
        <f t="shared" si="416"/>
        <v>67854.054402786976</v>
      </c>
      <c r="DQ405" s="202">
        <f t="shared" si="417"/>
        <v>67854.054402786976</v>
      </c>
      <c r="DR405" s="9">
        <f t="shared" si="418"/>
        <v>60325.685716015796</v>
      </c>
      <c r="DS405" s="9">
        <f t="shared" si="410"/>
        <v>68571.239912229241</v>
      </c>
      <c r="DT405" s="9">
        <f t="shared" si="419"/>
        <v>54125.01390055308</v>
      </c>
      <c r="DU405" s="202">
        <f t="shared" si="420"/>
        <v>67854.054402786976</v>
      </c>
      <c r="DV405" s="202">
        <f t="shared" si="421"/>
        <v>67854.054402786976</v>
      </c>
      <c r="DW405" s="202">
        <f t="shared" si="422"/>
        <v>67854.054402786976</v>
      </c>
      <c r="DX405" s="203">
        <f t="shared" si="423"/>
        <v>0.90731376564064825</v>
      </c>
      <c r="DY405" s="203">
        <f t="shared" si="424"/>
        <v>0.90731376564064825</v>
      </c>
      <c r="DZ405" s="203">
        <f t="shared" si="425"/>
        <v>0.90731376564064825</v>
      </c>
      <c r="EA405" s="19">
        <f t="shared" si="426"/>
        <v>0.89693903628427551</v>
      </c>
      <c r="EB405" s="19">
        <f t="shared" si="411"/>
        <v>0.90819417257122681</v>
      </c>
      <c r="EC405" s="19">
        <f t="shared" si="427"/>
        <v>0.88647256649183404</v>
      </c>
      <c r="ED405" s="203">
        <f t="shared" si="428"/>
        <v>0.90731376564064825</v>
      </c>
      <c r="EE405" s="203">
        <f t="shared" si="429"/>
        <v>0.90731376564064825</v>
      </c>
      <c r="EF405" s="203">
        <f t="shared" si="430"/>
        <v>0.90731376564064825</v>
      </c>
      <c r="EH405" s="58">
        <f t="shared" si="442"/>
        <v>6400.9114502171769</v>
      </c>
      <c r="EI405" s="68">
        <f t="shared" si="443"/>
        <v>8.4777094386402088E-2</v>
      </c>
      <c r="EJ405" s="58">
        <f t="shared" si="444"/>
        <v>6400.9114502171769</v>
      </c>
      <c r="EK405" s="68">
        <f t="shared" si="443"/>
        <v>8.4777094386402088E-2</v>
      </c>
      <c r="EL405" s="58">
        <f t="shared" si="445"/>
        <v>2894.2220686274877</v>
      </c>
      <c r="EM405" s="58">
        <f t="shared" si="446"/>
        <v>3250.426450217175</v>
      </c>
      <c r="EN405" s="68">
        <f t="shared" si="447"/>
        <v>4.3050386200354292E-2</v>
      </c>
      <c r="EO405" s="139">
        <f t="shared" si="387"/>
        <v>0.3126447604730192</v>
      </c>
      <c r="EP405">
        <f>+(SUM(M405:O405)*EO405*(1-'[1]Tier 3 Data'!$A$2))</f>
        <v>845.77176113236612</v>
      </c>
    </row>
    <row r="406" spans="1:146" x14ac:dyDescent="0.2">
      <c r="A406" s="43">
        <v>0</v>
      </c>
      <c r="B406" s="43">
        <v>0</v>
      </c>
      <c r="C406" s="43">
        <v>0</v>
      </c>
      <c r="D406" s="70">
        <v>2041</v>
      </c>
      <c r="E406" s="70">
        <v>3</v>
      </c>
      <c r="F406" s="2">
        <v>743</v>
      </c>
      <c r="G406" s="133">
        <f t="shared" si="458"/>
        <v>49360.52310537095</v>
      </c>
      <c r="H406" s="65">
        <v>49360.52310537095</v>
      </c>
      <c r="I406" s="133">
        <f t="shared" si="459"/>
        <v>49360.52310537095</v>
      </c>
      <c r="J406" s="133">
        <f t="shared" si="440"/>
        <v>7744.9179375000012</v>
      </c>
      <c r="K406" s="65">
        <v>7744.9179375000012</v>
      </c>
      <c r="L406" s="133">
        <f t="shared" si="441"/>
        <v>7744.9179375000012</v>
      </c>
      <c r="M406" s="65">
        <v>1050.2026341606518</v>
      </c>
      <c r="N406" s="65">
        <v>2261.4216180208796</v>
      </c>
      <c r="O406" s="65">
        <v>704.98083083574443</v>
      </c>
      <c r="P406" s="200">
        <f t="shared" si="434"/>
        <v>40410.623642965766</v>
      </c>
      <c r="Q406" s="200">
        <f t="shared" si="435"/>
        <v>40410.623642965766</v>
      </c>
      <c r="R406" s="200">
        <f t="shared" si="436"/>
        <v>40410.623642965766</v>
      </c>
      <c r="S406" s="133">
        <f t="shared" si="460"/>
        <v>41404.110918620223</v>
      </c>
      <c r="T406" s="133">
        <f t="shared" si="461"/>
        <v>41404.110918620223</v>
      </c>
      <c r="U406" s="133">
        <f t="shared" si="462"/>
        <v>41404.110918620223</v>
      </c>
      <c r="V406" s="200">
        <f t="shared" si="437"/>
        <v>40410.623642965766</v>
      </c>
      <c r="W406" s="200">
        <f t="shared" si="438"/>
        <v>40410.623642965766</v>
      </c>
      <c r="X406" s="200">
        <f t="shared" si="439"/>
        <v>40410.623642965766</v>
      </c>
      <c r="Y406" s="65">
        <v>25525.938327316755</v>
      </c>
      <c r="Z406" s="65">
        <v>32427.93753126901</v>
      </c>
      <c r="AA406" s="65">
        <v>19766.84838264708</v>
      </c>
      <c r="AB406" s="200">
        <f t="shared" si="451"/>
        <v>72838.561174234783</v>
      </c>
      <c r="AC406" s="200">
        <f t="shared" si="452"/>
        <v>72838.561174234783</v>
      </c>
      <c r="AD406" s="200">
        <f t="shared" si="453"/>
        <v>72838.561174234783</v>
      </c>
      <c r="AE406" s="199">
        <f t="shared" si="413"/>
        <v>66930.049245936971</v>
      </c>
      <c r="AF406" s="199">
        <f t="shared" si="454"/>
        <v>73832.048449889233</v>
      </c>
      <c r="AG406" s="199">
        <f t="shared" si="414"/>
        <v>61170.959301267299</v>
      </c>
      <c r="AH406" s="199">
        <f t="shared" si="463"/>
        <v>67501.503875578259</v>
      </c>
      <c r="AI406" s="200">
        <f t="shared" si="455"/>
        <v>72838.561174234783</v>
      </c>
      <c r="AJ406" s="200">
        <f t="shared" si="456"/>
        <v>72838.561174234783</v>
      </c>
      <c r="AK406" s="200">
        <f t="shared" si="457"/>
        <v>72838.561174234783</v>
      </c>
      <c r="AL406" s="4"/>
      <c r="AM406" s="4"/>
      <c r="AN406" s="4"/>
      <c r="AO406" s="4"/>
      <c r="AP406" s="63"/>
      <c r="AQ406" s="18"/>
      <c r="AR406" s="18"/>
      <c r="AS406" s="18"/>
      <c r="AT406" s="18">
        <v>0</v>
      </c>
      <c r="AU406" s="133">
        <f t="shared" si="388"/>
        <v>87.516000000000005</v>
      </c>
      <c r="AV406" s="133">
        <f t="shared" si="388"/>
        <v>3232.7139999999999</v>
      </c>
      <c r="AW406" s="194"/>
      <c r="AX406" s="194"/>
      <c r="AY406" s="194"/>
      <c r="AZ406" s="194"/>
      <c r="BA406" s="194"/>
      <c r="BB406" s="194"/>
      <c r="BC406" s="65">
        <v>0</v>
      </c>
      <c r="BD406" s="65">
        <v>0</v>
      </c>
      <c r="BE406" s="65">
        <v>0</v>
      </c>
      <c r="BF406" s="65">
        <v>0</v>
      </c>
      <c r="BG406" s="65">
        <v>0</v>
      </c>
      <c r="BH406" s="65">
        <v>0</v>
      </c>
      <c r="BI406" s="65">
        <v>1094.1100739471929</v>
      </c>
      <c r="BJ406" s="65">
        <v>0</v>
      </c>
      <c r="BK406" s="65">
        <v>18.41354506461348</v>
      </c>
      <c r="BL406" s="65">
        <v>0</v>
      </c>
      <c r="BM406" s="65">
        <v>0</v>
      </c>
      <c r="BN406" s="65">
        <v>0</v>
      </c>
      <c r="BO406" s="65">
        <v>194.92041491999998</v>
      </c>
      <c r="BP406" s="5"/>
      <c r="BQ406" s="4">
        <v>130.96914167979153</v>
      </c>
      <c r="BR406" s="65">
        <v>171.11541115867192</v>
      </c>
      <c r="BS406" s="65">
        <v>619.17453496858855</v>
      </c>
      <c r="BT406" s="65">
        <v>207.53307048213892</v>
      </c>
      <c r="BU406" s="65">
        <v>241.17247249429769</v>
      </c>
      <c r="BV406" s="144">
        <f t="shared" si="448"/>
        <v>735.14184391245624</v>
      </c>
      <c r="BW406" s="144">
        <f t="shared" si="449"/>
        <v>1582.9951326146156</v>
      </c>
      <c r="BX406" s="144">
        <f t="shared" si="450"/>
        <v>493.48658158502104</v>
      </c>
      <c r="BY406" s="5"/>
      <c r="BZ406" s="5"/>
      <c r="CA406" s="4"/>
      <c r="CB406" s="5"/>
      <c r="CC406" s="5"/>
      <c r="CD406" s="5"/>
      <c r="CE406" s="5"/>
      <c r="CF406" s="64"/>
      <c r="CG406" s="70"/>
      <c r="CH406" s="70"/>
      <c r="CI406" s="70"/>
      <c r="CJ406" s="63"/>
      <c r="CK406" s="8">
        <f t="shared" si="431"/>
        <v>8809.2622228273867</v>
      </c>
      <c r="CL406" s="202">
        <f t="shared" si="389"/>
        <v>64029.2989514074</v>
      </c>
      <c r="CM406" s="202">
        <f t="shared" si="390"/>
        <v>64029.2989514074</v>
      </c>
      <c r="CN406" s="202">
        <f t="shared" si="391"/>
        <v>64029.2989514074</v>
      </c>
      <c r="CO406" s="9">
        <f t="shared" si="392"/>
        <v>58120.787023109588</v>
      </c>
      <c r="CP406" s="9">
        <f t="shared" si="393"/>
        <v>65022.78622706185</v>
      </c>
      <c r="CQ406" s="9">
        <f t="shared" si="394"/>
        <v>52361.697078439916</v>
      </c>
      <c r="CR406" s="202">
        <f t="shared" si="395"/>
        <v>64029.2989514074</v>
      </c>
      <c r="CS406" s="202">
        <f t="shared" si="396"/>
        <v>64029.2989514074</v>
      </c>
      <c r="CT406" s="202">
        <f t="shared" si="397"/>
        <v>64029.2989514074</v>
      </c>
      <c r="CU406" s="203">
        <f t="shared" si="398"/>
        <v>0.87905771227749774</v>
      </c>
      <c r="CV406" s="203">
        <f t="shared" si="399"/>
        <v>0.87905771227749774</v>
      </c>
      <c r="CW406" s="203">
        <f t="shared" si="400"/>
        <v>0.87905771227749774</v>
      </c>
      <c r="CX406" s="19">
        <f t="shared" si="401"/>
        <v>0.86838105870119087</v>
      </c>
      <c r="CY406" s="19">
        <f t="shared" si="402"/>
        <v>0.88068511699487328</v>
      </c>
      <c r="CZ406" s="19">
        <f t="shared" si="403"/>
        <v>0.85598947076435861</v>
      </c>
      <c r="DA406" s="203">
        <f t="shared" si="404"/>
        <v>0.87905771227749774</v>
      </c>
      <c r="DB406" s="203">
        <f t="shared" si="405"/>
        <v>0.87905771227749774</v>
      </c>
      <c r="DC406" s="203">
        <f t="shared" si="406"/>
        <v>0.87905771227749774</v>
      </c>
      <c r="DD406" s="65"/>
      <c r="DE406" s="66"/>
      <c r="DF406" s="66"/>
      <c r="DG406" s="66"/>
      <c r="DH406" s="66"/>
      <c r="DI406" s="66"/>
      <c r="DJ406" s="66"/>
      <c r="DK406" s="70"/>
      <c r="DL406" s="70"/>
      <c r="DM406" s="8">
        <f t="shared" si="432"/>
        <v>0</v>
      </c>
      <c r="DN406" s="8">
        <f t="shared" si="433"/>
        <v>8809.2622228273867</v>
      </c>
      <c r="DO406" s="202">
        <f t="shared" si="415"/>
        <v>64029.2989514074</v>
      </c>
      <c r="DP406" s="202">
        <f t="shared" si="416"/>
        <v>64029.2989514074</v>
      </c>
      <c r="DQ406" s="202">
        <f t="shared" si="417"/>
        <v>64029.2989514074</v>
      </c>
      <c r="DR406" s="9">
        <f t="shared" si="418"/>
        <v>58120.787023109588</v>
      </c>
      <c r="DS406" s="9">
        <f t="shared" si="410"/>
        <v>65022.78622706185</v>
      </c>
      <c r="DT406" s="9">
        <f t="shared" si="419"/>
        <v>52361.697078439916</v>
      </c>
      <c r="DU406" s="202">
        <f t="shared" si="420"/>
        <v>64029.2989514074</v>
      </c>
      <c r="DV406" s="202">
        <f t="shared" si="421"/>
        <v>64029.2989514074</v>
      </c>
      <c r="DW406" s="202">
        <f t="shared" si="422"/>
        <v>64029.2989514074</v>
      </c>
      <c r="DX406" s="203">
        <f t="shared" si="423"/>
        <v>0.87905771227749774</v>
      </c>
      <c r="DY406" s="203">
        <f t="shared" si="424"/>
        <v>0.87905771227749774</v>
      </c>
      <c r="DZ406" s="203">
        <f t="shared" si="425"/>
        <v>0.87905771227749774</v>
      </c>
      <c r="EA406" s="19">
        <f t="shared" si="426"/>
        <v>0.86838105870119087</v>
      </c>
      <c r="EB406" s="19">
        <f t="shared" si="411"/>
        <v>0.88068511699487328</v>
      </c>
      <c r="EC406" s="19">
        <f t="shared" si="427"/>
        <v>0.85598947076435861</v>
      </c>
      <c r="ED406" s="203">
        <f t="shared" si="428"/>
        <v>0.87905771227749774</v>
      </c>
      <c r="EE406" s="203">
        <f t="shared" si="429"/>
        <v>0.87905771227749774</v>
      </c>
      <c r="EF406" s="203">
        <f t="shared" si="430"/>
        <v>0.87905771227749774</v>
      </c>
      <c r="EH406" s="58">
        <f t="shared" si="442"/>
        <v>8074.1203789149313</v>
      </c>
      <c r="EI406" s="68">
        <f t="shared" si="443"/>
        <v>0.10935793531984882</v>
      </c>
      <c r="EJ406" s="58">
        <f t="shared" si="444"/>
        <v>8074.1203789149313</v>
      </c>
      <c r="EK406" s="68">
        <f t="shared" si="443"/>
        <v>0.10935793531984882</v>
      </c>
      <c r="EL406" s="58">
        <f t="shared" si="445"/>
        <v>4260.403797329911</v>
      </c>
      <c r="EM406" s="58">
        <f t="shared" si="446"/>
        <v>4753.8903789149317</v>
      </c>
      <c r="EN406" s="68">
        <f t="shared" si="447"/>
        <v>6.4387897650455397E-2</v>
      </c>
      <c r="EO406" s="139">
        <f t="shared" si="387"/>
        <v>0.32861286969700848</v>
      </c>
      <c r="EP406">
        <f>+(SUM(M406:O406)*EO406*(1-'[1]Tier 3 Data'!$A$2))</f>
        <v>1231.4742785443148</v>
      </c>
    </row>
    <row r="407" spans="1:146" x14ac:dyDescent="0.2">
      <c r="A407" s="43">
        <v>0</v>
      </c>
      <c r="B407" s="43">
        <v>0</v>
      </c>
      <c r="C407" s="43">
        <v>0</v>
      </c>
      <c r="D407" s="70">
        <v>2041</v>
      </c>
      <c r="E407" s="70">
        <v>4</v>
      </c>
      <c r="F407" s="2">
        <v>720</v>
      </c>
      <c r="G407" s="133">
        <f t="shared" si="458"/>
        <v>41493.532545176626</v>
      </c>
      <c r="H407" s="65">
        <v>41493.532545176626</v>
      </c>
      <c r="I407" s="133">
        <f t="shared" si="459"/>
        <v>41493.532545176626</v>
      </c>
      <c r="J407" s="133">
        <f t="shared" si="440"/>
        <v>7784.7232500000009</v>
      </c>
      <c r="K407" s="65">
        <v>7784.7232500000009</v>
      </c>
      <c r="L407" s="133">
        <f t="shared" si="441"/>
        <v>7784.7232500000009</v>
      </c>
      <c r="M407" s="65">
        <v>1418.2286880453187</v>
      </c>
      <c r="N407" s="65">
        <v>3053.8992287010965</v>
      </c>
      <c r="O407" s="65">
        <v>952.18939516058833</v>
      </c>
      <c r="P407" s="200">
        <f t="shared" si="434"/>
        <v>32081.514101604524</v>
      </c>
      <c r="Q407" s="200">
        <f t="shared" si="435"/>
        <v>32081.514101604524</v>
      </c>
      <c r="R407" s="200">
        <f t="shared" si="436"/>
        <v>32081.514101604524</v>
      </c>
      <c r="S407" s="133">
        <f t="shared" si="460"/>
        <v>33423.152476628449</v>
      </c>
      <c r="T407" s="133">
        <f t="shared" si="461"/>
        <v>33423.152476628449</v>
      </c>
      <c r="U407" s="133">
        <f t="shared" si="462"/>
        <v>33423.152476628449</v>
      </c>
      <c r="V407" s="200">
        <f t="shared" si="437"/>
        <v>32081.514101604524</v>
      </c>
      <c r="W407" s="200">
        <f t="shared" si="438"/>
        <v>32081.514101604524</v>
      </c>
      <c r="X407" s="200">
        <f t="shared" si="439"/>
        <v>32081.514101604524</v>
      </c>
      <c r="Y407" s="65">
        <v>21828.501363953274</v>
      </c>
      <c r="Z407" s="65">
        <v>26306.264181407289</v>
      </c>
      <c r="AA407" s="65">
        <v>16551.626766912585</v>
      </c>
      <c r="AB407" s="200">
        <f t="shared" si="451"/>
        <v>58387.778283011809</v>
      </c>
      <c r="AC407" s="200">
        <f t="shared" si="452"/>
        <v>58387.778283011809</v>
      </c>
      <c r="AD407" s="200">
        <f t="shared" si="453"/>
        <v>58387.778283011809</v>
      </c>
      <c r="AE407" s="199">
        <f t="shared" si="413"/>
        <v>55251.653840581726</v>
      </c>
      <c r="AF407" s="199">
        <f t="shared" si="454"/>
        <v>59729.416658035741</v>
      </c>
      <c r="AG407" s="199">
        <f t="shared" si="414"/>
        <v>49974.779243541037</v>
      </c>
      <c r="AH407" s="199">
        <f t="shared" si="463"/>
        <v>54852.097950788389</v>
      </c>
      <c r="AI407" s="200">
        <f t="shared" si="455"/>
        <v>58387.778283011809</v>
      </c>
      <c r="AJ407" s="200">
        <f t="shared" si="456"/>
        <v>58387.778283011809</v>
      </c>
      <c r="AK407" s="200">
        <f t="shared" si="457"/>
        <v>58387.778283011809</v>
      </c>
      <c r="AL407" s="4"/>
      <c r="AM407" s="4"/>
      <c r="AN407" s="4"/>
      <c r="AO407" s="4"/>
      <c r="AP407" s="63"/>
      <c r="AQ407" s="18"/>
      <c r="AR407" s="18"/>
      <c r="AS407" s="18"/>
      <c r="AT407" s="18">
        <v>0</v>
      </c>
      <c r="AU407" s="133">
        <f t="shared" si="388"/>
        <v>96.057000000000002</v>
      </c>
      <c r="AV407" s="133">
        <f t="shared" si="388"/>
        <v>3017.9659999999999</v>
      </c>
      <c r="AW407" s="194"/>
      <c r="AX407" s="194"/>
      <c r="AY407" s="194"/>
      <c r="AZ407" s="194"/>
      <c r="BA407" s="194"/>
      <c r="BB407" s="194"/>
      <c r="BC407" s="65">
        <v>0</v>
      </c>
      <c r="BD407" s="65">
        <v>0</v>
      </c>
      <c r="BE407" s="65">
        <v>0</v>
      </c>
      <c r="BF407" s="65">
        <v>0</v>
      </c>
      <c r="BG407" s="65">
        <v>0</v>
      </c>
      <c r="BH407" s="65">
        <v>0</v>
      </c>
      <c r="BI407" s="65">
        <v>1381.6348552275992</v>
      </c>
      <c r="BJ407" s="65">
        <v>0</v>
      </c>
      <c r="BK407" s="65">
        <v>18.970644706753731</v>
      </c>
      <c r="BL407" s="65">
        <v>0</v>
      </c>
      <c r="BM407" s="65">
        <v>0</v>
      </c>
      <c r="BN407" s="65">
        <v>0</v>
      </c>
      <c r="BO407" s="65">
        <v>132.17648579999999</v>
      </c>
      <c r="BP407" s="5"/>
      <c r="BQ407" s="4">
        <v>139.85753833542284</v>
      </c>
      <c r="BR407" s="65">
        <v>182.72842649286321</v>
      </c>
      <c r="BS407" s="65">
        <v>661.19578304362767</v>
      </c>
      <c r="BT407" s="65">
        <v>229.79852285207386</v>
      </c>
      <c r="BU407" s="65">
        <v>246.75090478727455</v>
      </c>
      <c r="BV407" s="144">
        <f t="shared" si="448"/>
        <v>992.76008163172298</v>
      </c>
      <c r="BW407" s="144">
        <f t="shared" si="449"/>
        <v>2137.7294600907676</v>
      </c>
      <c r="BX407" s="144">
        <f t="shared" si="450"/>
        <v>666.53257661241184</v>
      </c>
      <c r="BY407" s="5"/>
      <c r="BZ407" s="5"/>
      <c r="CA407" s="4"/>
      <c r="CB407" s="5"/>
      <c r="CC407" s="5"/>
      <c r="CD407" s="5"/>
      <c r="CE407" s="5"/>
      <c r="CF407" s="64"/>
      <c r="CG407" s="70"/>
      <c r="CH407" s="70"/>
      <c r="CI407" s="70"/>
      <c r="CJ407" s="63"/>
      <c r="CK407" s="8">
        <f t="shared" si="431"/>
        <v>9904.1582795805152</v>
      </c>
      <c r="CL407" s="202">
        <f t="shared" si="389"/>
        <v>48483.620003431293</v>
      </c>
      <c r="CM407" s="202">
        <f t="shared" si="390"/>
        <v>48483.620003431293</v>
      </c>
      <c r="CN407" s="202">
        <f t="shared" si="391"/>
        <v>48483.620003431293</v>
      </c>
      <c r="CO407" s="9">
        <f t="shared" si="392"/>
        <v>45347.495561001211</v>
      </c>
      <c r="CP407" s="9">
        <f t="shared" si="393"/>
        <v>49825.258378455226</v>
      </c>
      <c r="CQ407" s="9">
        <f t="shared" si="394"/>
        <v>40070.620963960522</v>
      </c>
      <c r="CR407" s="202">
        <f t="shared" si="395"/>
        <v>48483.620003431293</v>
      </c>
      <c r="CS407" s="202">
        <f t="shared" si="396"/>
        <v>48483.620003431293</v>
      </c>
      <c r="CT407" s="202">
        <f t="shared" si="397"/>
        <v>48483.620003431293</v>
      </c>
      <c r="CU407" s="203">
        <f t="shared" si="398"/>
        <v>0.83037274972899289</v>
      </c>
      <c r="CV407" s="203">
        <f t="shared" si="399"/>
        <v>0.83037274972899289</v>
      </c>
      <c r="CW407" s="203">
        <f t="shared" si="400"/>
        <v>0.83037274972899289</v>
      </c>
      <c r="CX407" s="19">
        <f t="shared" si="401"/>
        <v>0.82074458244893256</v>
      </c>
      <c r="CY407" s="19">
        <f t="shared" si="402"/>
        <v>0.8341829062841174</v>
      </c>
      <c r="CZ407" s="19">
        <f t="shared" si="403"/>
        <v>0.80181686783817918</v>
      </c>
      <c r="DA407" s="203">
        <f t="shared" si="404"/>
        <v>0.83037274972899289</v>
      </c>
      <c r="DB407" s="203">
        <f t="shared" si="405"/>
        <v>0.83037274972899289</v>
      </c>
      <c r="DC407" s="203">
        <f t="shared" si="406"/>
        <v>0.83037274972899289</v>
      </c>
      <c r="DD407" s="65"/>
      <c r="DE407" s="66"/>
      <c r="DF407" s="66"/>
      <c r="DG407" s="66"/>
      <c r="DH407" s="66"/>
      <c r="DI407" s="66"/>
      <c r="DJ407" s="66"/>
      <c r="DK407" s="70"/>
      <c r="DL407" s="70"/>
      <c r="DM407" s="8">
        <f t="shared" si="432"/>
        <v>0</v>
      </c>
      <c r="DN407" s="8">
        <f t="shared" si="433"/>
        <v>9904.1582795805152</v>
      </c>
      <c r="DO407" s="202">
        <f t="shared" si="415"/>
        <v>48483.620003431293</v>
      </c>
      <c r="DP407" s="202">
        <f t="shared" si="416"/>
        <v>48483.620003431293</v>
      </c>
      <c r="DQ407" s="202">
        <f t="shared" si="417"/>
        <v>48483.620003431293</v>
      </c>
      <c r="DR407" s="9">
        <f t="shared" si="418"/>
        <v>45347.495561001211</v>
      </c>
      <c r="DS407" s="9">
        <f t="shared" si="410"/>
        <v>49825.258378455226</v>
      </c>
      <c r="DT407" s="9">
        <f t="shared" si="419"/>
        <v>40070.620963960522</v>
      </c>
      <c r="DU407" s="202">
        <f t="shared" si="420"/>
        <v>48483.620003431293</v>
      </c>
      <c r="DV407" s="202">
        <f t="shared" si="421"/>
        <v>48483.620003431293</v>
      </c>
      <c r="DW407" s="202">
        <f t="shared" si="422"/>
        <v>48483.620003431293</v>
      </c>
      <c r="DX407" s="203">
        <f t="shared" si="423"/>
        <v>0.83037274972899289</v>
      </c>
      <c r="DY407" s="203">
        <f t="shared" si="424"/>
        <v>0.83037274972899289</v>
      </c>
      <c r="DZ407" s="203">
        <f t="shared" si="425"/>
        <v>0.83037274972899289</v>
      </c>
      <c r="EA407" s="19">
        <f t="shared" si="426"/>
        <v>0.82074458244893256</v>
      </c>
      <c r="EB407" s="19">
        <f t="shared" si="411"/>
        <v>0.8341829062841174</v>
      </c>
      <c r="EC407" s="19">
        <f t="shared" si="427"/>
        <v>0.80181686783817918</v>
      </c>
      <c r="ED407" s="203">
        <f t="shared" si="428"/>
        <v>0.83037274972899289</v>
      </c>
      <c r="EE407" s="203">
        <f t="shared" si="429"/>
        <v>0.83037274972899289</v>
      </c>
      <c r="EF407" s="203">
        <f t="shared" si="430"/>
        <v>0.83037274972899289</v>
      </c>
      <c r="EH407" s="58">
        <f t="shared" si="442"/>
        <v>8911.3981979487926</v>
      </c>
      <c r="EI407" s="68">
        <f t="shared" si="443"/>
        <v>0.14919613645263838</v>
      </c>
      <c r="EJ407" s="58">
        <f t="shared" si="444"/>
        <v>8911.3981979487926</v>
      </c>
      <c r="EK407" s="68">
        <f t="shared" si="443"/>
        <v>0.14919613645263838</v>
      </c>
      <c r="EL407" s="58">
        <f t="shared" si="445"/>
        <v>5130.8426213363819</v>
      </c>
      <c r="EM407" s="58">
        <f t="shared" si="446"/>
        <v>5797.3751979487934</v>
      </c>
      <c r="EN407" s="68">
        <f t="shared" si="447"/>
        <v>9.7060636489052984E-2</v>
      </c>
      <c r="EO407" s="139">
        <f t="shared" si="387"/>
        <v>0.35351678044029999</v>
      </c>
      <c r="EP407">
        <f>+(SUM(M407:O407)*EO407*(1-'[1]Tier 3 Data'!$A$2))</f>
        <v>1789.1088503150861</v>
      </c>
    </row>
    <row r="408" spans="1:146" x14ac:dyDescent="0.2">
      <c r="A408" s="43">
        <v>0</v>
      </c>
      <c r="B408" s="43">
        <v>0</v>
      </c>
      <c r="C408" s="43">
        <v>0</v>
      </c>
      <c r="D408" s="70">
        <v>2041</v>
      </c>
      <c r="E408" s="70">
        <v>5</v>
      </c>
      <c r="F408" s="2">
        <v>744</v>
      </c>
      <c r="G408" s="133">
        <f t="shared" si="458"/>
        <v>39556.232390524819</v>
      </c>
      <c r="H408" s="65">
        <v>39556.232390524819</v>
      </c>
      <c r="I408" s="133">
        <f t="shared" si="459"/>
        <v>39556.232390524819</v>
      </c>
      <c r="J408" s="133">
        <f t="shared" si="440"/>
        <v>7824.5285625000006</v>
      </c>
      <c r="K408" s="65">
        <v>7824.5285625000006</v>
      </c>
      <c r="L408" s="133">
        <f t="shared" si="441"/>
        <v>7824.5285625000006</v>
      </c>
      <c r="M408" s="65">
        <v>1750.7817988213781</v>
      </c>
      <c r="N408" s="65">
        <v>3769.9922657844818</v>
      </c>
      <c r="O408" s="65">
        <v>1175.6812151124041</v>
      </c>
      <c r="P408" s="200">
        <f t="shared" si="434"/>
        <v>29722.767244109342</v>
      </c>
      <c r="Q408" s="200">
        <f t="shared" si="435"/>
        <v>29722.767244109342</v>
      </c>
      <c r="R408" s="200">
        <f t="shared" si="436"/>
        <v>29722.767244109342</v>
      </c>
      <c r="S408" s="133">
        <f t="shared" si="460"/>
        <v>31378.999463491098</v>
      </c>
      <c r="T408" s="133">
        <f t="shared" si="461"/>
        <v>31378.999463491098</v>
      </c>
      <c r="U408" s="133">
        <f t="shared" si="462"/>
        <v>31378.999463491098</v>
      </c>
      <c r="V408" s="200">
        <f t="shared" si="437"/>
        <v>29722.767244109342</v>
      </c>
      <c r="W408" s="200">
        <f t="shared" si="438"/>
        <v>29722.767244109342</v>
      </c>
      <c r="X408" s="200">
        <f t="shared" si="439"/>
        <v>29722.767244109342</v>
      </c>
      <c r="Y408" s="65">
        <v>17674.713102490598</v>
      </c>
      <c r="Z408" s="65">
        <v>20242.629228736751</v>
      </c>
      <c r="AA408" s="65">
        <v>13169.374063528572</v>
      </c>
      <c r="AB408" s="200">
        <f t="shared" si="451"/>
        <v>49965.396472846092</v>
      </c>
      <c r="AC408" s="200">
        <f t="shared" si="452"/>
        <v>49965.396472846092</v>
      </c>
      <c r="AD408" s="200">
        <f t="shared" si="453"/>
        <v>49965.396472846092</v>
      </c>
      <c r="AE408" s="199">
        <f t="shared" si="413"/>
        <v>49053.712565981696</v>
      </c>
      <c r="AF408" s="199">
        <f t="shared" si="454"/>
        <v>51621.628692227852</v>
      </c>
      <c r="AG408" s="199">
        <f t="shared" si="414"/>
        <v>44548.37352701967</v>
      </c>
      <c r="AH408" s="199">
        <f t="shared" si="463"/>
        <v>48085.001109623758</v>
      </c>
      <c r="AI408" s="200">
        <f t="shared" si="455"/>
        <v>49965.396472846092</v>
      </c>
      <c r="AJ408" s="200">
        <f t="shared" si="456"/>
        <v>49965.396472846092</v>
      </c>
      <c r="AK408" s="200">
        <f t="shared" si="457"/>
        <v>49965.396472846092</v>
      </c>
      <c r="AL408" s="4"/>
      <c r="AM408" s="4"/>
      <c r="AN408" s="4"/>
      <c r="AO408" s="4"/>
      <c r="AP408" s="63"/>
      <c r="AQ408" s="18"/>
      <c r="AR408" s="18"/>
      <c r="AS408" s="18"/>
      <c r="AT408" s="18">
        <v>0</v>
      </c>
      <c r="AU408" s="133">
        <f t="shared" si="388"/>
        <v>109.161</v>
      </c>
      <c r="AV408" s="133">
        <f t="shared" si="388"/>
        <v>3327.41</v>
      </c>
      <c r="AW408" s="194"/>
      <c r="AX408" s="194"/>
      <c r="AY408" s="194"/>
      <c r="AZ408" s="194"/>
      <c r="BA408" s="194"/>
      <c r="BB408" s="194"/>
      <c r="BC408" s="65">
        <v>0</v>
      </c>
      <c r="BD408" s="65">
        <v>0</v>
      </c>
      <c r="BE408" s="65">
        <v>0</v>
      </c>
      <c r="BF408" s="65">
        <v>0</v>
      </c>
      <c r="BG408" s="65">
        <v>0</v>
      </c>
      <c r="BH408" s="65">
        <v>0</v>
      </c>
      <c r="BI408" s="65">
        <v>1356.2583084914847</v>
      </c>
      <c r="BJ408" s="65">
        <v>0</v>
      </c>
      <c r="BK408" s="65">
        <v>12.105031611493668</v>
      </c>
      <c r="BL408" s="65">
        <v>0</v>
      </c>
      <c r="BM408" s="65">
        <v>0</v>
      </c>
      <c r="BN408" s="65">
        <v>0</v>
      </c>
      <c r="BO408" s="65">
        <v>136.58236865999999</v>
      </c>
      <c r="BP408" s="5"/>
      <c r="BQ408" s="4">
        <v>161.06710769031915</v>
      </c>
      <c r="BR408" s="65">
        <v>210.43939678000112</v>
      </c>
      <c r="BS408" s="65">
        <v>761.46686492776291</v>
      </c>
      <c r="BT408" s="65">
        <v>237.49512263101258</v>
      </c>
      <c r="BU408" s="65">
        <v>282.18462662892802</v>
      </c>
      <c r="BV408" s="144">
        <f t="shared" si="448"/>
        <v>1225.5472591749647</v>
      </c>
      <c r="BW408" s="144">
        <f t="shared" si="449"/>
        <v>2638.9945860491371</v>
      </c>
      <c r="BX408" s="144">
        <f t="shared" si="450"/>
        <v>822.97685057868284</v>
      </c>
      <c r="BY408" s="5"/>
      <c r="BZ408" s="5"/>
      <c r="CA408" s="4"/>
      <c r="CB408" s="5"/>
      <c r="CC408" s="5"/>
      <c r="CD408" s="5"/>
      <c r="CE408" s="5"/>
      <c r="CF408" s="64"/>
      <c r="CG408" s="70"/>
      <c r="CH408" s="70"/>
      <c r="CI408" s="70"/>
      <c r="CJ408" s="63"/>
      <c r="CK408" s="8">
        <f t="shared" si="431"/>
        <v>11281.688523223786</v>
      </c>
      <c r="CL408" s="202">
        <f t="shared" si="389"/>
        <v>38683.707949622309</v>
      </c>
      <c r="CM408" s="202">
        <f t="shared" si="390"/>
        <v>38683.707949622309</v>
      </c>
      <c r="CN408" s="202">
        <f t="shared" si="391"/>
        <v>38683.707949622309</v>
      </c>
      <c r="CO408" s="9">
        <f t="shared" si="392"/>
        <v>37772.024042757912</v>
      </c>
      <c r="CP408" s="9">
        <f t="shared" si="393"/>
        <v>40339.940169004069</v>
      </c>
      <c r="CQ408" s="9">
        <f t="shared" si="394"/>
        <v>33266.685003795887</v>
      </c>
      <c r="CR408" s="202">
        <f t="shared" si="395"/>
        <v>38683.707949622309</v>
      </c>
      <c r="CS408" s="202">
        <f t="shared" si="396"/>
        <v>38683.707949622309</v>
      </c>
      <c r="CT408" s="202">
        <f t="shared" si="397"/>
        <v>38683.707949622309</v>
      </c>
      <c r="CU408" s="203">
        <f t="shared" si="398"/>
        <v>0.77420996690469845</v>
      </c>
      <c r="CV408" s="203">
        <f t="shared" si="399"/>
        <v>0.77420996690469845</v>
      </c>
      <c r="CW408" s="203">
        <f t="shared" si="400"/>
        <v>0.77420996690469845</v>
      </c>
      <c r="CX408" s="19">
        <f t="shared" si="401"/>
        <v>0.77001356404881915</v>
      </c>
      <c r="CY408" s="19">
        <f t="shared" si="402"/>
        <v>0.78145423131675906</v>
      </c>
      <c r="CZ408" s="19">
        <f t="shared" si="403"/>
        <v>0.74675419931142573</v>
      </c>
      <c r="DA408" s="203">
        <f t="shared" si="404"/>
        <v>0.77420996690469845</v>
      </c>
      <c r="DB408" s="203">
        <f t="shared" si="405"/>
        <v>0.77420996690469845</v>
      </c>
      <c r="DC408" s="203">
        <f t="shared" si="406"/>
        <v>0.77420996690469845</v>
      </c>
      <c r="DD408" s="65"/>
      <c r="DE408" s="66"/>
      <c r="DF408" s="66"/>
      <c r="DG408" s="66"/>
      <c r="DH408" s="66"/>
      <c r="DI408" s="66"/>
      <c r="DJ408" s="66"/>
      <c r="DK408" s="70"/>
      <c r="DL408" s="70"/>
      <c r="DM408" s="8">
        <f t="shared" si="432"/>
        <v>0</v>
      </c>
      <c r="DN408" s="8">
        <f t="shared" si="433"/>
        <v>11281.688523223786</v>
      </c>
      <c r="DO408" s="202">
        <f t="shared" si="415"/>
        <v>38683.707949622309</v>
      </c>
      <c r="DP408" s="202">
        <f t="shared" si="416"/>
        <v>38683.707949622309</v>
      </c>
      <c r="DQ408" s="202">
        <f t="shared" si="417"/>
        <v>38683.707949622309</v>
      </c>
      <c r="DR408" s="9">
        <f t="shared" si="418"/>
        <v>37772.024042757912</v>
      </c>
      <c r="DS408" s="9">
        <f t="shared" si="410"/>
        <v>40339.940169004069</v>
      </c>
      <c r="DT408" s="9">
        <f t="shared" si="419"/>
        <v>33266.685003795887</v>
      </c>
      <c r="DU408" s="202">
        <f t="shared" si="420"/>
        <v>38683.707949622309</v>
      </c>
      <c r="DV408" s="202">
        <f t="shared" si="421"/>
        <v>38683.707949622309</v>
      </c>
      <c r="DW408" s="202">
        <f t="shared" si="422"/>
        <v>38683.707949622309</v>
      </c>
      <c r="DX408" s="203">
        <f t="shared" si="423"/>
        <v>0.77420996690469845</v>
      </c>
      <c r="DY408" s="203">
        <f t="shared" si="424"/>
        <v>0.77420996690469845</v>
      </c>
      <c r="DZ408" s="203">
        <f t="shared" si="425"/>
        <v>0.77420996690469845</v>
      </c>
      <c r="EA408" s="19">
        <f t="shared" si="426"/>
        <v>0.77001356404881915</v>
      </c>
      <c r="EB408" s="19">
        <f t="shared" si="411"/>
        <v>0.78145423131675906</v>
      </c>
      <c r="EC408" s="19">
        <f t="shared" si="427"/>
        <v>0.74675419931142573</v>
      </c>
      <c r="ED408" s="203">
        <f t="shared" si="428"/>
        <v>0.77420996690469845</v>
      </c>
      <c r="EE408" s="203">
        <f t="shared" si="429"/>
        <v>0.77420996690469845</v>
      </c>
      <c r="EF408" s="203">
        <f t="shared" si="430"/>
        <v>0.77420996690469845</v>
      </c>
      <c r="EH408" s="58">
        <f t="shared" si="442"/>
        <v>10056.141264048822</v>
      </c>
      <c r="EI408" s="68">
        <f t="shared" si="443"/>
        <v>0.19480480408714562</v>
      </c>
      <c r="EJ408" s="58">
        <f t="shared" si="444"/>
        <v>10056.141264048822</v>
      </c>
      <c r="EK408" s="68">
        <f t="shared" si="443"/>
        <v>0.19480480408714562</v>
      </c>
      <c r="EL408" s="58">
        <f t="shared" si="445"/>
        <v>5796.5934134701383</v>
      </c>
      <c r="EM408" s="58">
        <f t="shared" si="446"/>
        <v>6619.5702640488216</v>
      </c>
      <c r="EN408" s="68">
        <f t="shared" si="447"/>
        <v>0.12823249540449821</v>
      </c>
      <c r="EO408" s="139">
        <f t="shared" si="387"/>
        <v>0.28868615856523006</v>
      </c>
      <c r="EP408">
        <f>+(SUM(M408:O408)*EO408*(1-'[1]Tier 3 Data'!$A$2))</f>
        <v>1803.6512960084358</v>
      </c>
    </row>
    <row r="409" spans="1:146" x14ac:dyDescent="0.2">
      <c r="A409" s="43">
        <v>0</v>
      </c>
      <c r="B409" s="43">
        <v>0</v>
      </c>
      <c r="C409" s="43">
        <v>0</v>
      </c>
      <c r="D409" s="70">
        <v>2041</v>
      </c>
      <c r="E409" s="70">
        <v>6</v>
      </c>
      <c r="F409" s="2">
        <v>720</v>
      </c>
      <c r="G409" s="133">
        <f t="shared" si="458"/>
        <v>42066.728946466479</v>
      </c>
      <c r="H409" s="65">
        <v>42066.728946466479</v>
      </c>
      <c r="I409" s="133">
        <f t="shared" si="459"/>
        <v>42066.728946466479</v>
      </c>
      <c r="J409" s="133">
        <f t="shared" si="440"/>
        <v>7864.3338750000003</v>
      </c>
      <c r="K409" s="65">
        <v>7864.3338750000003</v>
      </c>
      <c r="L409" s="133">
        <f t="shared" si="441"/>
        <v>7864.3338750000003</v>
      </c>
      <c r="M409" s="65">
        <v>1630.7561929849653</v>
      </c>
      <c r="N409" s="65">
        <v>3511.538810303055</v>
      </c>
      <c r="O409" s="65">
        <v>1095.4814088932644</v>
      </c>
      <c r="P409" s="200">
        <f t="shared" si="434"/>
        <v>32331.062147812096</v>
      </c>
      <c r="Q409" s="200">
        <f t="shared" si="435"/>
        <v>32331.062147812096</v>
      </c>
      <c r="R409" s="200">
        <f t="shared" si="436"/>
        <v>32331.062147812096</v>
      </c>
      <c r="S409" s="133">
        <f t="shared" si="460"/>
        <v>33873.750648798501</v>
      </c>
      <c r="T409" s="133">
        <f t="shared" si="461"/>
        <v>33873.750648798501</v>
      </c>
      <c r="U409" s="133">
        <f t="shared" si="462"/>
        <v>33873.750648798501</v>
      </c>
      <c r="V409" s="200">
        <f t="shared" si="437"/>
        <v>32331.062147812096</v>
      </c>
      <c r="W409" s="200">
        <f t="shared" si="438"/>
        <v>32331.062147812096</v>
      </c>
      <c r="X409" s="200">
        <f t="shared" si="439"/>
        <v>32331.062147812096</v>
      </c>
      <c r="Y409" s="65">
        <v>18594.070563811259</v>
      </c>
      <c r="Z409" s="65">
        <v>21626.453735452702</v>
      </c>
      <c r="AA409" s="65">
        <v>14089.649980784769</v>
      </c>
      <c r="AB409" s="200">
        <f t="shared" si="451"/>
        <v>53957.515883264801</v>
      </c>
      <c r="AC409" s="200">
        <f t="shared" si="452"/>
        <v>53957.515883264801</v>
      </c>
      <c r="AD409" s="200">
        <f t="shared" si="453"/>
        <v>53957.515883264801</v>
      </c>
      <c r="AE409" s="199">
        <f t="shared" si="413"/>
        <v>52467.821212609764</v>
      </c>
      <c r="AF409" s="199">
        <f t="shared" si="454"/>
        <v>55500.204384251207</v>
      </c>
      <c r="AG409" s="199">
        <f t="shared" si="414"/>
        <v>47963.400629583266</v>
      </c>
      <c r="AH409" s="199">
        <f t="shared" si="463"/>
        <v>51731.802506917236</v>
      </c>
      <c r="AI409" s="200">
        <f t="shared" si="455"/>
        <v>53957.515883264801</v>
      </c>
      <c r="AJ409" s="200">
        <f t="shared" si="456"/>
        <v>53957.515883264801</v>
      </c>
      <c r="AK409" s="200">
        <f t="shared" si="457"/>
        <v>53957.515883264801</v>
      </c>
      <c r="AL409" s="4"/>
      <c r="AM409" s="4"/>
      <c r="AN409" s="4"/>
      <c r="AO409" s="4"/>
      <c r="AP409" s="63"/>
      <c r="AQ409" s="18"/>
      <c r="AR409" s="18"/>
      <c r="AS409" s="18"/>
      <c r="AT409" s="18">
        <v>0</v>
      </c>
      <c r="AU409" s="133">
        <f t="shared" si="388"/>
        <v>128.934</v>
      </c>
      <c r="AV409" s="133">
        <f t="shared" si="388"/>
        <v>3110.2840000000001</v>
      </c>
      <c r="AW409" s="194"/>
      <c r="AX409" s="194"/>
      <c r="AY409" s="194"/>
      <c r="AZ409" s="194"/>
      <c r="BA409" s="194"/>
      <c r="BB409" s="194"/>
      <c r="BC409" s="65">
        <v>0</v>
      </c>
      <c r="BD409" s="65">
        <v>0</v>
      </c>
      <c r="BE409" s="65">
        <v>0</v>
      </c>
      <c r="BF409" s="65">
        <v>0</v>
      </c>
      <c r="BG409" s="65">
        <v>0</v>
      </c>
      <c r="BH409" s="65">
        <v>0</v>
      </c>
      <c r="BI409" s="65">
        <v>1441.4439582078587</v>
      </c>
      <c r="BJ409" s="65">
        <v>0</v>
      </c>
      <c r="BK409" s="65">
        <v>11.166983089334117</v>
      </c>
      <c r="BL409" s="65">
        <v>0</v>
      </c>
      <c r="BM409" s="65">
        <v>0</v>
      </c>
      <c r="BN409" s="65">
        <v>0</v>
      </c>
      <c r="BO409" s="65">
        <v>132.17648579999999</v>
      </c>
      <c r="BP409" s="5"/>
      <c r="BQ409" s="4">
        <v>156.5989004479145</v>
      </c>
      <c r="BR409" s="65">
        <v>204.60157682922883</v>
      </c>
      <c r="BS409" s="65">
        <v>740.34293374235608</v>
      </c>
      <c r="BT409" s="65">
        <v>248.59322137116803</v>
      </c>
      <c r="BU409" s="65">
        <v>274.8059761550399</v>
      </c>
      <c r="BV409" s="144">
        <f t="shared" si="448"/>
        <v>1141.5293350894756</v>
      </c>
      <c r="BW409" s="144">
        <f t="shared" si="449"/>
        <v>2458.0771672121382</v>
      </c>
      <c r="BX409" s="144">
        <f t="shared" si="450"/>
        <v>766.83698622528505</v>
      </c>
      <c r="BY409" s="5"/>
      <c r="BZ409" s="5"/>
      <c r="CA409" s="4"/>
      <c r="CB409" s="5"/>
      <c r="CC409" s="5"/>
      <c r="CD409" s="5"/>
      <c r="CE409" s="5"/>
      <c r="CF409" s="64"/>
      <c r="CG409" s="70"/>
      <c r="CH409" s="70"/>
      <c r="CI409" s="70"/>
      <c r="CJ409" s="63"/>
      <c r="CK409" s="8">
        <f t="shared" si="431"/>
        <v>10815.3915241698</v>
      </c>
      <c r="CL409" s="202">
        <f t="shared" si="389"/>
        <v>43142.124359095003</v>
      </c>
      <c r="CM409" s="202">
        <f t="shared" si="390"/>
        <v>43142.124359095003</v>
      </c>
      <c r="CN409" s="202">
        <f t="shared" si="391"/>
        <v>43142.124359095003</v>
      </c>
      <c r="CO409" s="9">
        <f t="shared" si="392"/>
        <v>41652.429688439966</v>
      </c>
      <c r="CP409" s="9">
        <f t="shared" si="393"/>
        <v>44684.812860081409</v>
      </c>
      <c r="CQ409" s="9">
        <f t="shared" si="394"/>
        <v>37148.009105413468</v>
      </c>
      <c r="CR409" s="202">
        <f t="shared" si="395"/>
        <v>43142.124359095003</v>
      </c>
      <c r="CS409" s="202">
        <f t="shared" si="396"/>
        <v>43142.124359095003</v>
      </c>
      <c r="CT409" s="202">
        <f t="shared" si="397"/>
        <v>43142.124359095003</v>
      </c>
      <c r="CU409" s="203">
        <f t="shared" si="398"/>
        <v>0.79955727488328932</v>
      </c>
      <c r="CV409" s="203">
        <f t="shared" si="399"/>
        <v>0.79955727488328932</v>
      </c>
      <c r="CW409" s="203">
        <f t="shared" si="400"/>
        <v>0.79955727488328932</v>
      </c>
      <c r="CX409" s="19">
        <f t="shared" si="401"/>
        <v>0.79386619695253324</v>
      </c>
      <c r="CY409" s="19">
        <f t="shared" si="402"/>
        <v>0.80512879827810535</v>
      </c>
      <c r="CZ409" s="19">
        <f t="shared" si="403"/>
        <v>0.77450740810277341</v>
      </c>
      <c r="DA409" s="203">
        <f t="shared" si="404"/>
        <v>0.79955727488328932</v>
      </c>
      <c r="DB409" s="203">
        <f t="shared" si="405"/>
        <v>0.79955727488328932</v>
      </c>
      <c r="DC409" s="203">
        <f t="shared" si="406"/>
        <v>0.79955727488328932</v>
      </c>
      <c r="DD409" s="65"/>
      <c r="DE409" s="66"/>
      <c r="DF409" s="66"/>
      <c r="DG409" s="66"/>
      <c r="DH409" s="66"/>
      <c r="DI409" s="66"/>
      <c r="DJ409" s="66"/>
      <c r="DK409" s="70"/>
      <c r="DL409" s="70"/>
      <c r="DM409" s="8">
        <f t="shared" si="432"/>
        <v>0</v>
      </c>
      <c r="DN409" s="8">
        <f t="shared" si="433"/>
        <v>10815.3915241698</v>
      </c>
      <c r="DO409" s="202">
        <f t="shared" si="415"/>
        <v>43142.124359095003</v>
      </c>
      <c r="DP409" s="202">
        <f t="shared" si="416"/>
        <v>43142.124359095003</v>
      </c>
      <c r="DQ409" s="202">
        <f t="shared" si="417"/>
        <v>43142.124359095003</v>
      </c>
      <c r="DR409" s="9">
        <f t="shared" si="418"/>
        <v>41652.429688439966</v>
      </c>
      <c r="DS409" s="9">
        <f t="shared" si="410"/>
        <v>44684.812860081409</v>
      </c>
      <c r="DT409" s="9">
        <f t="shared" si="419"/>
        <v>37148.009105413468</v>
      </c>
      <c r="DU409" s="202">
        <f t="shared" si="420"/>
        <v>43142.124359095003</v>
      </c>
      <c r="DV409" s="202">
        <f t="shared" si="421"/>
        <v>43142.124359095003</v>
      </c>
      <c r="DW409" s="202">
        <f t="shared" si="422"/>
        <v>43142.124359095003</v>
      </c>
      <c r="DX409" s="203">
        <f t="shared" si="423"/>
        <v>0.79955727488328932</v>
      </c>
      <c r="DY409" s="203">
        <f t="shared" si="424"/>
        <v>0.79955727488328932</v>
      </c>
      <c r="DZ409" s="203">
        <f t="shared" si="425"/>
        <v>0.79955727488328932</v>
      </c>
      <c r="EA409" s="19">
        <f t="shared" si="426"/>
        <v>0.79386619695253324</v>
      </c>
      <c r="EB409" s="19">
        <f t="shared" si="411"/>
        <v>0.80512879827810535</v>
      </c>
      <c r="EC409" s="19">
        <f t="shared" si="427"/>
        <v>0.77450740810277341</v>
      </c>
      <c r="ED409" s="203">
        <f t="shared" si="428"/>
        <v>0.79955727488328932</v>
      </c>
      <c r="EE409" s="203">
        <f t="shared" si="429"/>
        <v>0.79955727488328932</v>
      </c>
      <c r="EF409" s="203">
        <f t="shared" si="430"/>
        <v>0.79955727488328932</v>
      </c>
      <c r="EH409" s="58">
        <f t="shared" si="442"/>
        <v>9673.8621890803242</v>
      </c>
      <c r="EI409" s="68">
        <f t="shared" si="443"/>
        <v>0.17430318133793016</v>
      </c>
      <c r="EJ409" s="58">
        <f t="shared" si="444"/>
        <v>9673.8621890803242</v>
      </c>
      <c r="EK409" s="68">
        <f t="shared" si="443"/>
        <v>0.17430318133793016</v>
      </c>
      <c r="EL409" s="58">
        <f t="shared" si="445"/>
        <v>5667.8072028550378</v>
      </c>
      <c r="EM409" s="58">
        <f t="shared" si="446"/>
        <v>6434.6441890803226</v>
      </c>
      <c r="EN409" s="68">
        <f t="shared" si="447"/>
        <v>0.11593910798112707</v>
      </c>
      <c r="EO409" s="139">
        <f t="shared" ref="EO409:EO472" si="464">+EO397</f>
        <v>0.24029016665052916</v>
      </c>
      <c r="EP409">
        <f>+(SUM(M409:O409)*EO409*(1-'[1]Tier 3 Data'!$A$2))</f>
        <v>1398.4516192597914</v>
      </c>
    </row>
    <row r="410" spans="1:146" x14ac:dyDescent="0.2">
      <c r="A410" s="43">
        <v>0</v>
      </c>
      <c r="B410" s="43">
        <v>0</v>
      </c>
      <c r="C410" s="43">
        <v>0</v>
      </c>
      <c r="D410" s="70">
        <v>2041</v>
      </c>
      <c r="E410" s="70">
        <v>7</v>
      </c>
      <c r="F410" s="2">
        <v>744</v>
      </c>
      <c r="G410" s="133">
        <f t="shared" si="458"/>
        <v>48307.007607625368</v>
      </c>
      <c r="H410" s="65">
        <v>48307.007607625368</v>
      </c>
      <c r="I410" s="133">
        <f t="shared" si="459"/>
        <v>48307.007607625368</v>
      </c>
      <c r="J410" s="133">
        <f t="shared" si="440"/>
        <v>7904.1391874999999</v>
      </c>
      <c r="K410" s="65">
        <v>7904.1391874999999</v>
      </c>
      <c r="L410" s="133">
        <f t="shared" si="441"/>
        <v>7904.1391874999999</v>
      </c>
      <c r="M410" s="65">
        <v>1709.2251160000674</v>
      </c>
      <c r="N410" s="65">
        <v>3680.5074579497937</v>
      </c>
      <c r="O410" s="65">
        <v>1148.5882992057964</v>
      </c>
      <c r="P410" s="200">
        <f t="shared" si="434"/>
        <v>38441.372158178674</v>
      </c>
      <c r="Q410" s="200">
        <f t="shared" si="435"/>
        <v>38441.372158178674</v>
      </c>
      <c r="R410" s="200">
        <f t="shared" si="436"/>
        <v>38441.372158178674</v>
      </c>
      <c r="S410" s="133">
        <f t="shared" si="460"/>
        <v>40058.29193036363</v>
      </c>
      <c r="T410" s="133">
        <f t="shared" si="461"/>
        <v>40058.29193036363</v>
      </c>
      <c r="U410" s="133">
        <f t="shared" si="462"/>
        <v>40058.29193036363</v>
      </c>
      <c r="V410" s="200">
        <f t="shared" si="437"/>
        <v>38441.372158178674</v>
      </c>
      <c r="W410" s="200">
        <f t="shared" si="438"/>
        <v>38441.372158178674</v>
      </c>
      <c r="X410" s="200">
        <f t="shared" si="439"/>
        <v>38441.372158178674</v>
      </c>
      <c r="Y410" s="65">
        <v>20263.924625243009</v>
      </c>
      <c r="Z410" s="65">
        <v>24926.757979745988</v>
      </c>
      <c r="AA410" s="65">
        <v>15718.498585399497</v>
      </c>
      <c r="AB410" s="200">
        <f t="shared" si="451"/>
        <v>63368.130137924658</v>
      </c>
      <c r="AC410" s="200">
        <f t="shared" si="452"/>
        <v>63368.130137924658</v>
      </c>
      <c r="AD410" s="200">
        <f t="shared" si="453"/>
        <v>63368.130137924658</v>
      </c>
      <c r="AE410" s="199">
        <f t="shared" si="413"/>
        <v>60322.216555606639</v>
      </c>
      <c r="AF410" s="199">
        <f t="shared" si="454"/>
        <v>64985.049910109621</v>
      </c>
      <c r="AG410" s="199">
        <f t="shared" si="414"/>
        <v>55776.790515763125</v>
      </c>
      <c r="AH410" s="199">
        <f t="shared" si="463"/>
        <v>60380.920212936369</v>
      </c>
      <c r="AI410" s="200">
        <f t="shared" si="455"/>
        <v>63368.130137924658</v>
      </c>
      <c r="AJ410" s="200">
        <f t="shared" si="456"/>
        <v>63368.130137924658</v>
      </c>
      <c r="AK410" s="200">
        <f t="shared" si="457"/>
        <v>63368.130137924658</v>
      </c>
      <c r="AL410" s="4"/>
      <c r="AM410" s="4"/>
      <c r="AN410" s="4"/>
      <c r="AO410" s="4"/>
      <c r="AP410" s="63"/>
      <c r="AQ410" s="18"/>
      <c r="AR410" s="18"/>
      <c r="AS410" s="18"/>
      <c r="AT410" s="18">
        <v>0</v>
      </c>
      <c r="AU410" s="133">
        <f t="shared" si="388"/>
        <v>118.521</v>
      </c>
      <c r="AV410" s="133">
        <f t="shared" si="388"/>
        <v>3084.53</v>
      </c>
      <c r="AW410" s="194"/>
      <c r="AX410" s="194"/>
      <c r="AY410" s="194"/>
      <c r="AZ410" s="194"/>
      <c r="BA410" s="194"/>
      <c r="BB410" s="194"/>
      <c r="BC410" s="65">
        <v>0</v>
      </c>
      <c r="BD410" s="65">
        <v>0</v>
      </c>
      <c r="BE410" s="65">
        <v>0</v>
      </c>
      <c r="BF410" s="65">
        <v>0</v>
      </c>
      <c r="BG410" s="65">
        <v>0</v>
      </c>
      <c r="BH410" s="65">
        <v>0</v>
      </c>
      <c r="BI410" s="65">
        <v>1395.9628174350451</v>
      </c>
      <c r="BJ410" s="65">
        <v>0</v>
      </c>
      <c r="BK410" s="65">
        <v>9.087916481740713</v>
      </c>
      <c r="BL410" s="65">
        <v>0</v>
      </c>
      <c r="BM410" s="65">
        <v>0</v>
      </c>
      <c r="BN410" s="65">
        <v>0</v>
      </c>
      <c r="BO410" s="65">
        <v>136.58236865999999</v>
      </c>
      <c r="BP410" s="5"/>
      <c r="BQ410" s="4">
        <v>158.40865724057537</v>
      </c>
      <c r="BR410" s="65">
        <v>206.96601195134005</v>
      </c>
      <c r="BS410" s="65">
        <v>748.8985512435321</v>
      </c>
      <c r="BT410" s="65">
        <v>256.86051388370532</v>
      </c>
      <c r="BU410" s="65">
        <v>282.54611665013817</v>
      </c>
      <c r="BV410" s="144">
        <f t="shared" si="448"/>
        <v>1196.4575812000471</v>
      </c>
      <c r="BW410" s="144">
        <f t="shared" si="449"/>
        <v>2576.3552205648552</v>
      </c>
      <c r="BX410" s="144">
        <f t="shared" si="450"/>
        <v>804.01180944405746</v>
      </c>
      <c r="BY410" s="5"/>
      <c r="BZ410" s="5"/>
      <c r="CA410" s="4"/>
      <c r="CB410" s="5"/>
      <c r="CC410" s="5"/>
      <c r="CD410" s="5"/>
      <c r="CE410" s="5"/>
      <c r="CF410" s="64"/>
      <c r="CG410" s="70"/>
      <c r="CH410" s="70"/>
      <c r="CI410" s="70"/>
      <c r="CJ410" s="63"/>
      <c r="CK410" s="8">
        <f t="shared" si="431"/>
        <v>10975.188564755035</v>
      </c>
      <c r="CL410" s="202">
        <f t="shared" si="389"/>
        <v>52392.941573169621</v>
      </c>
      <c r="CM410" s="202">
        <f t="shared" si="390"/>
        <v>52392.941573169621</v>
      </c>
      <c r="CN410" s="202">
        <f t="shared" si="391"/>
        <v>52392.941573169621</v>
      </c>
      <c r="CO410" s="9">
        <f t="shared" si="392"/>
        <v>49347.027990851602</v>
      </c>
      <c r="CP410" s="9">
        <f t="shared" si="393"/>
        <v>54009.861345354584</v>
      </c>
      <c r="CQ410" s="9">
        <f t="shared" si="394"/>
        <v>44801.601951008088</v>
      </c>
      <c r="CR410" s="202">
        <f t="shared" si="395"/>
        <v>52392.941573169621</v>
      </c>
      <c r="CS410" s="202">
        <f t="shared" si="396"/>
        <v>52392.941573169621</v>
      </c>
      <c r="CT410" s="202">
        <f t="shared" si="397"/>
        <v>52392.941573169621</v>
      </c>
      <c r="CU410" s="203">
        <f t="shared" si="398"/>
        <v>0.82680270759344077</v>
      </c>
      <c r="CV410" s="203">
        <f t="shared" si="399"/>
        <v>0.82680270759344077</v>
      </c>
      <c r="CW410" s="203">
        <f t="shared" si="400"/>
        <v>0.82680270759344077</v>
      </c>
      <c r="CX410" s="19">
        <f t="shared" si="401"/>
        <v>0.81805727323302491</v>
      </c>
      <c r="CY410" s="19">
        <f t="shared" si="402"/>
        <v>0.83111210070721753</v>
      </c>
      <c r="CZ410" s="19">
        <f t="shared" si="403"/>
        <v>0.80323018834055482</v>
      </c>
      <c r="DA410" s="203">
        <f t="shared" si="404"/>
        <v>0.82680270759344077</v>
      </c>
      <c r="DB410" s="203">
        <f t="shared" si="405"/>
        <v>0.82680270759344077</v>
      </c>
      <c r="DC410" s="203">
        <f t="shared" si="406"/>
        <v>0.82680270759344077</v>
      </c>
      <c r="DD410" s="65"/>
      <c r="DE410" s="66"/>
      <c r="DF410" s="66"/>
      <c r="DG410" s="66"/>
      <c r="DH410" s="66"/>
      <c r="DI410" s="66"/>
      <c r="DJ410" s="66"/>
      <c r="DK410" s="70"/>
      <c r="DL410" s="70"/>
      <c r="DM410" s="8">
        <f t="shared" si="432"/>
        <v>0</v>
      </c>
      <c r="DN410" s="8">
        <f t="shared" si="433"/>
        <v>10975.188564755035</v>
      </c>
      <c r="DO410" s="202">
        <f t="shared" si="415"/>
        <v>52392.941573169621</v>
      </c>
      <c r="DP410" s="202">
        <f t="shared" si="416"/>
        <v>52392.941573169621</v>
      </c>
      <c r="DQ410" s="202">
        <f t="shared" si="417"/>
        <v>52392.941573169621</v>
      </c>
      <c r="DR410" s="9">
        <f t="shared" si="418"/>
        <v>49347.027990851602</v>
      </c>
      <c r="DS410" s="9">
        <f t="shared" si="410"/>
        <v>54009.861345354584</v>
      </c>
      <c r="DT410" s="9">
        <f t="shared" si="419"/>
        <v>44801.601951008088</v>
      </c>
      <c r="DU410" s="202">
        <f t="shared" si="420"/>
        <v>52392.941573169621</v>
      </c>
      <c r="DV410" s="202">
        <f t="shared" si="421"/>
        <v>52392.941573169621</v>
      </c>
      <c r="DW410" s="202">
        <f t="shared" si="422"/>
        <v>52392.941573169621</v>
      </c>
      <c r="DX410" s="203">
        <f t="shared" si="423"/>
        <v>0.82680270759344077</v>
      </c>
      <c r="DY410" s="203">
        <f t="shared" si="424"/>
        <v>0.82680270759344077</v>
      </c>
      <c r="DZ410" s="203">
        <f t="shared" si="425"/>
        <v>0.82680270759344077</v>
      </c>
      <c r="EA410" s="19">
        <f t="shared" si="426"/>
        <v>0.81805727323302491</v>
      </c>
      <c r="EB410" s="19">
        <f t="shared" si="411"/>
        <v>0.83111210070721753</v>
      </c>
      <c r="EC410" s="19">
        <f t="shared" si="427"/>
        <v>0.80323018834055482</v>
      </c>
      <c r="ED410" s="203">
        <f t="shared" si="428"/>
        <v>0.82680270759344077</v>
      </c>
      <c r="EE410" s="203">
        <f t="shared" si="429"/>
        <v>0.82680270759344077</v>
      </c>
      <c r="EF410" s="203">
        <f t="shared" si="430"/>
        <v>0.82680270759344077</v>
      </c>
      <c r="EH410" s="58">
        <f t="shared" si="442"/>
        <v>9778.7309835549877</v>
      </c>
      <c r="EI410" s="68">
        <f t="shared" si="443"/>
        <v>0.15047662496345526</v>
      </c>
      <c r="EJ410" s="58">
        <f t="shared" si="444"/>
        <v>9778.7309835549877</v>
      </c>
      <c r="EK410" s="68">
        <f t="shared" si="443"/>
        <v>0.15047662496345526</v>
      </c>
      <c r="EL410" s="58">
        <f t="shared" si="445"/>
        <v>5771.6681741109314</v>
      </c>
      <c r="EM410" s="58">
        <f t="shared" si="446"/>
        <v>6575.6799835549891</v>
      </c>
      <c r="EN410" s="68">
        <f t="shared" si="447"/>
        <v>0.10118758072280901</v>
      </c>
      <c r="EO410" s="139">
        <f t="shared" si="464"/>
        <v>0.25197746931178833</v>
      </c>
      <c r="EP410">
        <f>+(SUM(M410:O410)*EO410*(1-'[1]Tier 3 Data'!$A$2))</f>
        <v>1537.126407506069</v>
      </c>
    </row>
    <row r="411" spans="1:146" x14ac:dyDescent="0.2">
      <c r="A411" s="43">
        <v>0</v>
      </c>
      <c r="B411" s="43">
        <v>0</v>
      </c>
      <c r="C411" s="43">
        <v>0</v>
      </c>
      <c r="D411" s="70">
        <v>2041</v>
      </c>
      <c r="E411" s="70">
        <v>8</v>
      </c>
      <c r="F411" s="2">
        <v>744</v>
      </c>
      <c r="G411" s="133">
        <f t="shared" si="458"/>
        <v>46133.897418963432</v>
      </c>
      <c r="H411" s="65">
        <v>46133.897418963432</v>
      </c>
      <c r="I411" s="133">
        <f t="shared" si="459"/>
        <v>46133.897418963432</v>
      </c>
      <c r="J411" s="133">
        <f t="shared" si="440"/>
        <v>7943.9444999999996</v>
      </c>
      <c r="K411" s="65">
        <v>7943.9444999999996</v>
      </c>
      <c r="L411" s="133">
        <f t="shared" si="441"/>
        <v>7943.9444999999996</v>
      </c>
      <c r="M411" s="65">
        <v>1523.4196774399222</v>
      </c>
      <c r="N411" s="65">
        <v>3280.4090180505418</v>
      </c>
      <c r="O411" s="65">
        <v>1024.2170754599515</v>
      </c>
      <c r="P411" s="200">
        <f t="shared" si="434"/>
        <v>36441.539187678311</v>
      </c>
      <c r="Q411" s="200">
        <f t="shared" si="435"/>
        <v>36441.539187678311</v>
      </c>
      <c r="R411" s="200">
        <f t="shared" si="436"/>
        <v>36441.539187678311</v>
      </c>
      <c r="S411" s="133">
        <f t="shared" si="460"/>
        <v>37882.687796325452</v>
      </c>
      <c r="T411" s="133">
        <f t="shared" si="461"/>
        <v>37882.687796325452</v>
      </c>
      <c r="U411" s="133">
        <f t="shared" si="462"/>
        <v>37882.687796325452</v>
      </c>
      <c r="V411" s="200">
        <f t="shared" si="437"/>
        <v>36441.539187678311</v>
      </c>
      <c r="W411" s="200">
        <f t="shared" si="438"/>
        <v>36441.539187678311</v>
      </c>
      <c r="X411" s="200">
        <f t="shared" si="439"/>
        <v>36441.539187678311</v>
      </c>
      <c r="Y411" s="65">
        <v>19393.890859163472</v>
      </c>
      <c r="Z411" s="65">
        <v>23237.957789972359</v>
      </c>
      <c r="AA411" s="65">
        <v>14903.172018933505</v>
      </c>
      <c r="AB411" s="200">
        <f t="shared" si="451"/>
        <v>59679.49697765067</v>
      </c>
      <c r="AC411" s="200">
        <f t="shared" si="452"/>
        <v>59679.49697765067</v>
      </c>
      <c r="AD411" s="200">
        <f t="shared" si="453"/>
        <v>59679.49697765067</v>
      </c>
      <c r="AE411" s="199">
        <f t="shared" si="413"/>
        <v>57276.57865548892</v>
      </c>
      <c r="AF411" s="199">
        <f t="shared" si="454"/>
        <v>61120.645586297811</v>
      </c>
      <c r="AG411" s="199">
        <f t="shared" si="414"/>
        <v>52785.859815258955</v>
      </c>
      <c r="AH411" s="199">
        <f t="shared" si="463"/>
        <v>56953.252700778379</v>
      </c>
      <c r="AI411" s="200">
        <f t="shared" si="455"/>
        <v>59679.49697765067</v>
      </c>
      <c r="AJ411" s="200">
        <f t="shared" si="456"/>
        <v>59679.49697765067</v>
      </c>
      <c r="AK411" s="200">
        <f t="shared" si="457"/>
        <v>59679.49697765067</v>
      </c>
      <c r="AL411" s="4"/>
      <c r="AM411" s="4"/>
      <c r="AN411" s="4"/>
      <c r="AO411" s="4"/>
      <c r="AP411" s="63"/>
      <c r="AQ411" s="18"/>
      <c r="AR411" s="18"/>
      <c r="AS411" s="18"/>
      <c r="AT411" s="18">
        <v>0</v>
      </c>
      <c r="AU411" s="133">
        <f t="shared" si="388"/>
        <v>107.64</v>
      </c>
      <c r="AV411" s="133">
        <f t="shared" si="388"/>
        <v>3021.9279999999999</v>
      </c>
      <c r="AW411" s="194"/>
      <c r="AX411" s="194"/>
      <c r="AY411" s="194"/>
      <c r="AZ411" s="194"/>
      <c r="BA411" s="194"/>
      <c r="BB411" s="194"/>
      <c r="BC411" s="65">
        <v>0</v>
      </c>
      <c r="BD411" s="65">
        <v>0</v>
      </c>
      <c r="BE411" s="65">
        <v>0</v>
      </c>
      <c r="BF411" s="65">
        <v>0</v>
      </c>
      <c r="BG411" s="65">
        <v>0</v>
      </c>
      <c r="BH411" s="65">
        <v>0</v>
      </c>
      <c r="BI411" s="65">
        <v>1353.7697724896516</v>
      </c>
      <c r="BJ411" s="65">
        <v>0</v>
      </c>
      <c r="BK411" s="65">
        <v>10.587331273496728</v>
      </c>
      <c r="BL411" s="65">
        <v>0</v>
      </c>
      <c r="BM411" s="65">
        <v>0</v>
      </c>
      <c r="BN411" s="65">
        <v>0</v>
      </c>
      <c r="BO411" s="65">
        <v>136.58236865999999</v>
      </c>
      <c r="BP411" s="5"/>
      <c r="BQ411" s="4">
        <v>150.34213297333429</v>
      </c>
      <c r="BR411" s="65">
        <v>196.42689943404889</v>
      </c>
      <c r="BS411" s="65">
        <v>710.76317954623858</v>
      </c>
      <c r="BT411" s="65">
        <v>243.78680834059887</v>
      </c>
      <c r="BU411" s="65">
        <v>262.90409389875254</v>
      </c>
      <c r="BV411" s="144">
        <f t="shared" si="448"/>
        <v>1066.3937742079454</v>
      </c>
      <c r="BW411" s="144">
        <f t="shared" si="449"/>
        <v>2296.2863126353791</v>
      </c>
      <c r="BX411" s="144">
        <f t="shared" si="450"/>
        <v>716.95195282196596</v>
      </c>
      <c r="BY411" s="5"/>
      <c r="BZ411" s="5"/>
      <c r="CA411" s="4"/>
      <c r="CB411" s="5"/>
      <c r="CC411" s="5"/>
      <c r="CD411" s="5"/>
      <c r="CE411" s="5"/>
      <c r="CF411" s="64"/>
      <c r="CG411" s="70"/>
      <c r="CH411" s="70"/>
      <c r="CI411" s="70"/>
      <c r="CJ411" s="63"/>
      <c r="CK411" s="8">
        <f t="shared" si="431"/>
        <v>10274.362626281412</v>
      </c>
      <c r="CL411" s="202">
        <f t="shared" si="389"/>
        <v>49405.134351369255</v>
      </c>
      <c r="CM411" s="202">
        <f t="shared" si="390"/>
        <v>49405.134351369255</v>
      </c>
      <c r="CN411" s="202">
        <f t="shared" si="391"/>
        <v>49405.134351369255</v>
      </c>
      <c r="CO411" s="9">
        <f t="shared" si="392"/>
        <v>47002.216029207506</v>
      </c>
      <c r="CP411" s="9">
        <f t="shared" si="393"/>
        <v>50846.282960016397</v>
      </c>
      <c r="CQ411" s="9">
        <f t="shared" si="394"/>
        <v>42511.497188977541</v>
      </c>
      <c r="CR411" s="202">
        <f t="shared" si="395"/>
        <v>49405.134351369255</v>
      </c>
      <c r="CS411" s="202">
        <f t="shared" si="396"/>
        <v>49405.134351369255</v>
      </c>
      <c r="CT411" s="202">
        <f t="shared" si="397"/>
        <v>49405.134351369255</v>
      </c>
      <c r="CU411" s="203">
        <f t="shared" si="398"/>
        <v>0.82784099822206858</v>
      </c>
      <c r="CV411" s="203">
        <f t="shared" si="399"/>
        <v>0.82784099822206858</v>
      </c>
      <c r="CW411" s="203">
        <f t="shared" si="400"/>
        <v>0.82784099822206858</v>
      </c>
      <c r="CX411" s="19">
        <f t="shared" si="401"/>
        <v>0.82061842960138465</v>
      </c>
      <c r="CY411" s="19">
        <f t="shared" si="402"/>
        <v>0.83190029281063826</v>
      </c>
      <c r="CZ411" s="19">
        <f t="shared" si="403"/>
        <v>0.8053576722584449</v>
      </c>
      <c r="DA411" s="203">
        <f t="shared" si="404"/>
        <v>0.82784099822206858</v>
      </c>
      <c r="DB411" s="203">
        <f t="shared" si="405"/>
        <v>0.82784099822206858</v>
      </c>
      <c r="DC411" s="203">
        <f t="shared" si="406"/>
        <v>0.82784099822206858</v>
      </c>
      <c r="DD411" s="65"/>
      <c r="DE411" s="66"/>
      <c r="DF411" s="66"/>
      <c r="DG411" s="66"/>
      <c r="DH411" s="66"/>
      <c r="DI411" s="66"/>
      <c r="DJ411" s="66"/>
      <c r="DK411" s="70"/>
      <c r="DL411" s="70"/>
      <c r="DM411" s="8">
        <f t="shared" si="432"/>
        <v>0</v>
      </c>
      <c r="DN411" s="8">
        <f t="shared" si="433"/>
        <v>10274.362626281412</v>
      </c>
      <c r="DO411" s="202">
        <f t="shared" si="415"/>
        <v>49405.134351369255</v>
      </c>
      <c r="DP411" s="202">
        <f t="shared" si="416"/>
        <v>49405.134351369255</v>
      </c>
      <c r="DQ411" s="202">
        <f t="shared" si="417"/>
        <v>49405.134351369255</v>
      </c>
      <c r="DR411" s="9">
        <f t="shared" si="418"/>
        <v>47002.216029207506</v>
      </c>
      <c r="DS411" s="9">
        <f t="shared" si="410"/>
        <v>50846.282960016397</v>
      </c>
      <c r="DT411" s="9">
        <f t="shared" si="419"/>
        <v>42511.497188977541</v>
      </c>
      <c r="DU411" s="202">
        <f t="shared" si="420"/>
        <v>49405.134351369255</v>
      </c>
      <c r="DV411" s="202">
        <f t="shared" si="421"/>
        <v>49405.134351369255</v>
      </c>
      <c r="DW411" s="202">
        <f t="shared" si="422"/>
        <v>49405.134351369255</v>
      </c>
      <c r="DX411" s="203">
        <f t="shared" si="423"/>
        <v>0.82784099822206858</v>
      </c>
      <c r="DY411" s="203">
        <f t="shared" si="424"/>
        <v>0.82784099822206858</v>
      </c>
      <c r="DZ411" s="203">
        <f t="shared" si="425"/>
        <v>0.82784099822206858</v>
      </c>
      <c r="EA411" s="19">
        <f t="shared" si="426"/>
        <v>0.82061842960138465</v>
      </c>
      <c r="EB411" s="19">
        <f t="shared" si="411"/>
        <v>0.83190029281063826</v>
      </c>
      <c r="EC411" s="19">
        <f t="shared" si="427"/>
        <v>0.8053576722584449</v>
      </c>
      <c r="ED411" s="203">
        <f t="shared" si="428"/>
        <v>0.82784099822206858</v>
      </c>
      <c r="EE411" s="203">
        <f t="shared" si="429"/>
        <v>0.82784099822206858</v>
      </c>
      <c r="EF411" s="203">
        <f t="shared" si="430"/>
        <v>0.82784099822206858</v>
      </c>
      <c r="EH411" s="58">
        <f t="shared" si="442"/>
        <v>9207.9688520734671</v>
      </c>
      <c r="EI411" s="68">
        <f t="shared" si="443"/>
        <v>0.15065234936159991</v>
      </c>
      <c r="EJ411" s="58">
        <f t="shared" si="444"/>
        <v>9207.9688520734671</v>
      </c>
      <c r="EK411" s="68">
        <f t="shared" si="443"/>
        <v>0.15065234936159991</v>
      </c>
      <c r="EL411" s="58">
        <f t="shared" si="445"/>
        <v>5361.4488992514998</v>
      </c>
      <c r="EM411" s="58">
        <f t="shared" si="446"/>
        <v>6078.400852073466</v>
      </c>
      <c r="EN411" s="68">
        <f t="shared" si="447"/>
        <v>9.9449225278408021E-2</v>
      </c>
      <c r="EO411" s="139">
        <f t="shared" si="464"/>
        <v>0.28519905910129462</v>
      </c>
      <c r="EP411">
        <f>+(SUM(M411:O411)*EO411*(1-'[1]Tier 3 Data'!$A$2))</f>
        <v>1550.7889078659573</v>
      </c>
    </row>
    <row r="412" spans="1:146" x14ac:dyDescent="0.2">
      <c r="A412" s="43">
        <v>0</v>
      </c>
      <c r="B412" s="43">
        <v>0</v>
      </c>
      <c r="C412" s="43">
        <v>0</v>
      </c>
      <c r="D412" s="70">
        <v>2041</v>
      </c>
      <c r="E412" s="70">
        <v>9</v>
      </c>
      <c r="F412" s="2">
        <v>720</v>
      </c>
      <c r="G412" s="133">
        <f t="shared" si="458"/>
        <v>40076.304870389242</v>
      </c>
      <c r="H412" s="65">
        <v>40076.304870389242</v>
      </c>
      <c r="I412" s="133">
        <f t="shared" si="459"/>
        <v>40076.304870389242</v>
      </c>
      <c r="J412" s="133">
        <f t="shared" si="440"/>
        <v>7983.7498124999993</v>
      </c>
      <c r="K412" s="65">
        <v>7983.7498124999993</v>
      </c>
      <c r="L412" s="133">
        <f t="shared" si="441"/>
        <v>7983.7498124999993</v>
      </c>
      <c r="M412" s="65">
        <v>1305.6369062084025</v>
      </c>
      <c r="N412" s="65">
        <v>2811.4531700307239</v>
      </c>
      <c r="O412" s="65">
        <v>878.09733556801018</v>
      </c>
      <c r="P412" s="200">
        <f t="shared" si="434"/>
        <v>30593.998834347101</v>
      </c>
      <c r="Q412" s="200">
        <f t="shared" si="435"/>
        <v>30593.998834347101</v>
      </c>
      <c r="R412" s="200">
        <f t="shared" si="436"/>
        <v>30593.998834347101</v>
      </c>
      <c r="S412" s="133">
        <f t="shared" si="460"/>
        <v>31829.125857218842</v>
      </c>
      <c r="T412" s="133">
        <f t="shared" si="461"/>
        <v>31829.125857218842</v>
      </c>
      <c r="U412" s="133">
        <f t="shared" si="462"/>
        <v>31829.125857218842</v>
      </c>
      <c r="V412" s="200">
        <f t="shared" si="437"/>
        <v>30593.998834347101</v>
      </c>
      <c r="W412" s="200">
        <f t="shared" si="438"/>
        <v>30593.998834347101</v>
      </c>
      <c r="X412" s="200">
        <f t="shared" si="439"/>
        <v>30593.998834347101</v>
      </c>
      <c r="Y412" s="65">
        <v>18210.501377485245</v>
      </c>
      <c r="Z412" s="65">
        <v>21405.427402137189</v>
      </c>
      <c r="AA412" s="65">
        <v>13763.745341744689</v>
      </c>
      <c r="AB412" s="200">
        <f t="shared" si="451"/>
        <v>51999.426236484287</v>
      </c>
      <c r="AC412" s="200">
        <f t="shared" si="452"/>
        <v>51999.426236484287</v>
      </c>
      <c r="AD412" s="200">
        <f t="shared" si="453"/>
        <v>51999.426236484287</v>
      </c>
      <c r="AE412" s="199">
        <f t="shared" si="413"/>
        <v>50039.627234704087</v>
      </c>
      <c r="AF412" s="199">
        <f t="shared" si="454"/>
        <v>53234.553259356035</v>
      </c>
      <c r="AG412" s="199">
        <f t="shared" si="414"/>
        <v>45592.871198963534</v>
      </c>
      <c r="AH412" s="199">
        <f t="shared" si="463"/>
        <v>49413.712229159784</v>
      </c>
      <c r="AI412" s="200">
        <f t="shared" si="455"/>
        <v>51999.426236484287</v>
      </c>
      <c r="AJ412" s="200">
        <f t="shared" si="456"/>
        <v>51999.426236484287</v>
      </c>
      <c r="AK412" s="200">
        <f t="shared" si="457"/>
        <v>51999.426236484287</v>
      </c>
      <c r="AL412" s="4"/>
      <c r="AM412" s="4"/>
      <c r="AN412" s="4"/>
      <c r="AO412" s="4"/>
      <c r="AP412" s="63"/>
      <c r="AQ412" s="18"/>
      <c r="AR412" s="18"/>
      <c r="AS412" s="18"/>
      <c r="AT412" s="18">
        <v>0</v>
      </c>
      <c r="AU412" s="133">
        <f t="shared" si="388"/>
        <v>102.375</v>
      </c>
      <c r="AV412" s="133">
        <f t="shared" si="388"/>
        <v>2969.6280000000002</v>
      </c>
      <c r="AW412" s="194"/>
      <c r="AX412" s="194"/>
      <c r="AY412" s="194"/>
      <c r="AZ412" s="194"/>
      <c r="BA412" s="194"/>
      <c r="BB412" s="194"/>
      <c r="BC412" s="65">
        <v>0</v>
      </c>
      <c r="BD412" s="65">
        <v>0</v>
      </c>
      <c r="BE412" s="65">
        <v>0</v>
      </c>
      <c r="BF412" s="65">
        <v>0</v>
      </c>
      <c r="BG412" s="65">
        <v>0</v>
      </c>
      <c r="BH412" s="65">
        <v>0</v>
      </c>
      <c r="BI412" s="65">
        <v>1259.6093201242477</v>
      </c>
      <c r="BJ412" s="65">
        <v>0</v>
      </c>
      <c r="BK412" s="65">
        <v>12.678588245250744</v>
      </c>
      <c r="BL412" s="65">
        <v>0</v>
      </c>
      <c r="BM412" s="65">
        <v>0</v>
      </c>
      <c r="BN412" s="65">
        <v>0</v>
      </c>
      <c r="BO412" s="65">
        <v>132.17648579999999</v>
      </c>
      <c r="BP412" s="5"/>
      <c r="BQ412" s="4">
        <v>120.03609432102193</v>
      </c>
      <c r="BR412" s="65">
        <v>156.83111414629286</v>
      </c>
      <c r="BS412" s="65">
        <v>567.48735512072608</v>
      </c>
      <c r="BT412" s="65">
        <v>209.97490637386832</v>
      </c>
      <c r="BU412" s="65">
        <v>215.86514544847407</v>
      </c>
      <c r="BV412" s="144">
        <f t="shared" si="448"/>
        <v>913.94583434588162</v>
      </c>
      <c r="BW412" s="144">
        <f t="shared" si="449"/>
        <v>1968.0172190215067</v>
      </c>
      <c r="BX412" s="144">
        <f t="shared" si="450"/>
        <v>614.66813489760705</v>
      </c>
      <c r="BY412" s="5"/>
      <c r="BZ412" s="5"/>
      <c r="CA412" s="4"/>
      <c r="CB412" s="5"/>
      <c r="CC412" s="5"/>
      <c r="CD412" s="5"/>
      <c r="CE412" s="5"/>
      <c r="CF412" s="64"/>
      <c r="CG412" s="70"/>
      <c r="CH412" s="70"/>
      <c r="CI412" s="70"/>
      <c r="CJ412" s="63"/>
      <c r="CK412" s="8">
        <f t="shared" si="431"/>
        <v>9243.293197844876</v>
      </c>
      <c r="CL412" s="202">
        <f t="shared" si="389"/>
        <v>42756.133038639411</v>
      </c>
      <c r="CM412" s="202">
        <f t="shared" si="390"/>
        <v>42756.133038639411</v>
      </c>
      <c r="CN412" s="202">
        <f t="shared" si="391"/>
        <v>42756.133038639411</v>
      </c>
      <c r="CO412" s="9">
        <f t="shared" si="392"/>
        <v>40796.334036859211</v>
      </c>
      <c r="CP412" s="9">
        <f t="shared" si="393"/>
        <v>43991.260061511159</v>
      </c>
      <c r="CQ412" s="9">
        <f t="shared" si="394"/>
        <v>36349.578001118658</v>
      </c>
      <c r="CR412" s="202">
        <f t="shared" si="395"/>
        <v>42756.133038639411</v>
      </c>
      <c r="CS412" s="202">
        <f t="shared" si="396"/>
        <v>42756.133038639411</v>
      </c>
      <c r="CT412" s="202">
        <f t="shared" si="397"/>
        <v>42756.133038639411</v>
      </c>
      <c r="CU412" s="203">
        <f t="shared" si="398"/>
        <v>0.82224240021787942</v>
      </c>
      <c r="CV412" s="203">
        <f t="shared" si="399"/>
        <v>0.82224240021787942</v>
      </c>
      <c r="CW412" s="203">
        <f t="shared" si="400"/>
        <v>0.82224240021787942</v>
      </c>
      <c r="CX412" s="19">
        <f t="shared" si="401"/>
        <v>0.81528053447539761</v>
      </c>
      <c r="CY412" s="19">
        <f t="shared" si="402"/>
        <v>0.82636666165277983</v>
      </c>
      <c r="CZ412" s="19">
        <f t="shared" si="403"/>
        <v>0.79726450748170896</v>
      </c>
      <c r="DA412" s="203">
        <f t="shared" si="404"/>
        <v>0.82224240021787942</v>
      </c>
      <c r="DB412" s="203">
        <f t="shared" si="405"/>
        <v>0.82224240021787942</v>
      </c>
      <c r="DC412" s="203">
        <f t="shared" si="406"/>
        <v>0.82224240021787942</v>
      </c>
      <c r="DD412" s="65"/>
      <c r="DE412" s="66"/>
      <c r="DF412" s="66"/>
      <c r="DG412" s="66"/>
      <c r="DH412" s="66"/>
      <c r="DI412" s="66"/>
      <c r="DJ412" s="66"/>
      <c r="DK412" s="70"/>
      <c r="DL412" s="70"/>
      <c r="DM412" s="8">
        <f t="shared" si="432"/>
        <v>0</v>
      </c>
      <c r="DN412" s="8">
        <f t="shared" si="433"/>
        <v>9243.293197844876</v>
      </c>
      <c r="DO412" s="202">
        <f t="shared" si="415"/>
        <v>42756.133038639411</v>
      </c>
      <c r="DP412" s="202">
        <f t="shared" si="416"/>
        <v>42756.133038639411</v>
      </c>
      <c r="DQ412" s="202">
        <f t="shared" si="417"/>
        <v>42756.133038639411</v>
      </c>
      <c r="DR412" s="9">
        <f t="shared" si="418"/>
        <v>40796.334036859211</v>
      </c>
      <c r="DS412" s="9">
        <f t="shared" si="410"/>
        <v>43991.260061511159</v>
      </c>
      <c r="DT412" s="9">
        <f t="shared" si="419"/>
        <v>36349.578001118658</v>
      </c>
      <c r="DU412" s="202">
        <f t="shared" si="420"/>
        <v>42756.133038639411</v>
      </c>
      <c r="DV412" s="202">
        <f t="shared" si="421"/>
        <v>42756.133038639411</v>
      </c>
      <c r="DW412" s="202">
        <f t="shared" si="422"/>
        <v>42756.133038639411</v>
      </c>
      <c r="DX412" s="203">
        <f t="shared" si="423"/>
        <v>0.82224240021787942</v>
      </c>
      <c r="DY412" s="203">
        <f t="shared" si="424"/>
        <v>0.82224240021787942</v>
      </c>
      <c r="DZ412" s="203">
        <f t="shared" si="425"/>
        <v>0.82224240021787942</v>
      </c>
      <c r="EA412" s="19">
        <f t="shared" si="426"/>
        <v>0.81528053447539761</v>
      </c>
      <c r="EB412" s="19">
        <f t="shared" si="411"/>
        <v>0.82636666165277983</v>
      </c>
      <c r="EC412" s="19">
        <f t="shared" si="427"/>
        <v>0.79726450748170896</v>
      </c>
      <c r="ED412" s="203">
        <f t="shared" si="428"/>
        <v>0.82224240021787942</v>
      </c>
      <c r="EE412" s="203">
        <f t="shared" si="429"/>
        <v>0.82224240021787942</v>
      </c>
      <c r="EF412" s="203">
        <f t="shared" si="430"/>
        <v>0.82224240021787942</v>
      </c>
      <c r="EH412" s="58">
        <f t="shared" si="442"/>
        <v>8329.347363498995</v>
      </c>
      <c r="EI412" s="68">
        <f t="shared" si="443"/>
        <v>0.15646505612470979</v>
      </c>
      <c r="EJ412" s="58">
        <f t="shared" si="444"/>
        <v>8329.347363498995</v>
      </c>
      <c r="EK412" s="68">
        <f t="shared" si="443"/>
        <v>0.15646505612470979</v>
      </c>
      <c r="EL412" s="58">
        <f t="shared" si="445"/>
        <v>4642.6762286013873</v>
      </c>
      <c r="EM412" s="58">
        <f t="shared" si="446"/>
        <v>5257.3443634989944</v>
      </c>
      <c r="EN412" s="68">
        <f t="shared" si="447"/>
        <v>9.8758119334363154E-2</v>
      </c>
      <c r="EO412" s="139">
        <f t="shared" si="464"/>
        <v>0.31860645638858931</v>
      </c>
      <c r="EP412">
        <f>+(SUM(M412:O412)*EO412*(1-'[1]Tier 3 Data'!$A$2))</f>
        <v>1484.8685299344859</v>
      </c>
    </row>
    <row r="413" spans="1:146" x14ac:dyDescent="0.2">
      <c r="A413" s="43">
        <v>0</v>
      </c>
      <c r="B413" s="43">
        <v>0</v>
      </c>
      <c r="C413" s="43">
        <v>0</v>
      </c>
      <c r="D413" s="70">
        <v>2041</v>
      </c>
      <c r="E413" s="70">
        <v>10</v>
      </c>
      <c r="F413" s="2">
        <v>744</v>
      </c>
      <c r="G413" s="133">
        <f t="shared" si="458"/>
        <v>42110.950852823356</v>
      </c>
      <c r="H413" s="65">
        <v>42110.950852823356</v>
      </c>
      <c r="I413" s="133">
        <f t="shared" si="459"/>
        <v>42110.950852823356</v>
      </c>
      <c r="J413" s="133">
        <f t="shared" si="440"/>
        <v>8023.555124999999</v>
      </c>
      <c r="K413" s="65">
        <v>8023.555124999999</v>
      </c>
      <c r="L413" s="133">
        <f t="shared" si="441"/>
        <v>8023.555124999999</v>
      </c>
      <c r="M413" s="65">
        <v>957.87478015852639</v>
      </c>
      <c r="N413" s="65">
        <v>2062.6102665784465</v>
      </c>
      <c r="O413" s="65">
        <v>644.4324088245852</v>
      </c>
      <c r="P413" s="200">
        <f t="shared" si="434"/>
        <v>32987.920491154888</v>
      </c>
      <c r="Q413" s="200">
        <f t="shared" si="435"/>
        <v>32987.920491154888</v>
      </c>
      <c r="R413" s="200">
        <f t="shared" si="436"/>
        <v>32987.920491154888</v>
      </c>
      <c r="S413" s="133">
        <f t="shared" si="460"/>
        <v>33894.066005175984</v>
      </c>
      <c r="T413" s="133">
        <f t="shared" si="461"/>
        <v>33894.066005175984</v>
      </c>
      <c r="U413" s="133">
        <f t="shared" si="462"/>
        <v>33894.066005175984</v>
      </c>
      <c r="V413" s="200">
        <f t="shared" si="437"/>
        <v>32987.920491154888</v>
      </c>
      <c r="W413" s="200">
        <f t="shared" si="438"/>
        <v>32987.920491154888</v>
      </c>
      <c r="X413" s="200">
        <f t="shared" si="439"/>
        <v>32987.920491154888</v>
      </c>
      <c r="Y413" s="65">
        <v>19799.580349685049</v>
      </c>
      <c r="Z413" s="65">
        <v>24531.639248603886</v>
      </c>
      <c r="AA413" s="65">
        <v>15329.190990560233</v>
      </c>
      <c r="AB413" s="200">
        <f t="shared" si="451"/>
        <v>57519.55973975877</v>
      </c>
      <c r="AC413" s="200">
        <f t="shared" si="452"/>
        <v>57519.55973975877</v>
      </c>
      <c r="AD413" s="200">
        <f t="shared" si="453"/>
        <v>57519.55973975877</v>
      </c>
      <c r="AE413" s="199">
        <f t="shared" si="413"/>
        <v>53693.646354861034</v>
      </c>
      <c r="AF413" s="199">
        <f t="shared" si="454"/>
        <v>58425.705253779874</v>
      </c>
      <c r="AG413" s="199">
        <f t="shared" si="414"/>
        <v>49223.256995736214</v>
      </c>
      <c r="AH413" s="199">
        <f t="shared" si="463"/>
        <v>53824.481124758044</v>
      </c>
      <c r="AI413" s="200">
        <f t="shared" si="455"/>
        <v>57519.55973975877</v>
      </c>
      <c r="AJ413" s="200">
        <f t="shared" si="456"/>
        <v>57519.55973975877</v>
      </c>
      <c r="AK413" s="200">
        <f t="shared" si="457"/>
        <v>57519.55973975877</v>
      </c>
      <c r="AL413" s="4"/>
      <c r="AM413" s="4"/>
      <c r="AN413" s="4"/>
      <c r="AO413" s="4"/>
      <c r="AP413" s="63"/>
      <c r="AQ413" s="18"/>
      <c r="AR413" s="18"/>
      <c r="AS413" s="18"/>
      <c r="AT413" s="18">
        <v>0</v>
      </c>
      <c r="AU413" s="133">
        <f t="shared" si="388"/>
        <v>118.17</v>
      </c>
      <c r="AV413" s="133">
        <f t="shared" si="388"/>
        <v>3225.1860000000001</v>
      </c>
      <c r="AW413" s="194"/>
      <c r="AX413" s="194"/>
      <c r="AY413" s="194"/>
      <c r="AZ413" s="194"/>
      <c r="BA413" s="194"/>
      <c r="BB413" s="194"/>
      <c r="BC413" s="65">
        <v>0</v>
      </c>
      <c r="BD413" s="65">
        <v>0</v>
      </c>
      <c r="BE413" s="65">
        <v>0</v>
      </c>
      <c r="BF413" s="65">
        <v>0</v>
      </c>
      <c r="BG413" s="65">
        <v>0</v>
      </c>
      <c r="BH413" s="65">
        <v>0</v>
      </c>
      <c r="BI413" s="65">
        <v>895.34613309415613</v>
      </c>
      <c r="BJ413" s="65">
        <v>0</v>
      </c>
      <c r="BK413" s="65">
        <v>15.725569767197214</v>
      </c>
      <c r="BL413" s="65">
        <v>0</v>
      </c>
      <c r="BM413" s="65">
        <v>0</v>
      </c>
      <c r="BN413" s="65">
        <v>0</v>
      </c>
      <c r="BO413" s="65">
        <v>136.58236865999999</v>
      </c>
      <c r="BP413" s="5"/>
      <c r="BQ413" s="4">
        <v>94.708608203193933</v>
      </c>
      <c r="BR413" s="65">
        <v>123.73988689893574</v>
      </c>
      <c r="BS413" s="65">
        <v>447.74802086430725</v>
      </c>
      <c r="BT413" s="65">
        <v>147.79961557959692</v>
      </c>
      <c r="BU413" s="65">
        <v>147.36690783081443</v>
      </c>
      <c r="BV413" s="144">
        <f t="shared" si="448"/>
        <v>670.51234611096845</v>
      </c>
      <c r="BW413" s="144">
        <f t="shared" si="449"/>
        <v>1443.8271866049124</v>
      </c>
      <c r="BX413" s="144">
        <f t="shared" si="450"/>
        <v>451.10268617720959</v>
      </c>
      <c r="BY413" s="5"/>
      <c r="BZ413" s="5"/>
      <c r="CA413" s="4"/>
      <c r="CB413" s="5"/>
      <c r="CC413" s="5"/>
      <c r="CD413" s="5"/>
      <c r="CE413" s="5"/>
      <c r="CF413" s="64"/>
      <c r="CG413" s="70"/>
      <c r="CH413" s="70"/>
      <c r="CI413" s="70"/>
      <c r="CJ413" s="63"/>
      <c r="CK413" s="8">
        <f t="shared" si="431"/>
        <v>7917.8153297912932</v>
      </c>
      <c r="CL413" s="202">
        <f t="shared" si="389"/>
        <v>49601.744409967476</v>
      </c>
      <c r="CM413" s="202">
        <f t="shared" si="390"/>
        <v>49601.744409967476</v>
      </c>
      <c r="CN413" s="202">
        <f t="shared" si="391"/>
        <v>49601.744409967476</v>
      </c>
      <c r="CO413" s="9">
        <f t="shared" si="392"/>
        <v>45775.83102506974</v>
      </c>
      <c r="CP413" s="9">
        <f t="shared" si="393"/>
        <v>50507.88992398858</v>
      </c>
      <c r="CQ413" s="9">
        <f t="shared" si="394"/>
        <v>41305.44166594492</v>
      </c>
      <c r="CR413" s="202">
        <f t="shared" si="395"/>
        <v>49601.744409967476</v>
      </c>
      <c r="CS413" s="202">
        <f t="shared" si="396"/>
        <v>49601.744409967476</v>
      </c>
      <c r="CT413" s="202">
        <f t="shared" si="397"/>
        <v>49601.744409967476</v>
      </c>
      <c r="CU413" s="203">
        <f t="shared" si="398"/>
        <v>0.86234568961211422</v>
      </c>
      <c r="CV413" s="203">
        <f t="shared" si="399"/>
        <v>0.86234568961211422</v>
      </c>
      <c r="CW413" s="203">
        <f t="shared" si="400"/>
        <v>0.86234568961211422</v>
      </c>
      <c r="CX413" s="19">
        <f t="shared" si="401"/>
        <v>0.85253720193516946</v>
      </c>
      <c r="CY413" s="19">
        <f t="shared" si="402"/>
        <v>0.86448062038105999</v>
      </c>
      <c r="CZ413" s="19">
        <f t="shared" si="403"/>
        <v>0.83914483085755287</v>
      </c>
      <c r="DA413" s="203">
        <f t="shared" si="404"/>
        <v>0.86234568961211422</v>
      </c>
      <c r="DB413" s="203">
        <f t="shared" si="405"/>
        <v>0.86234568961211422</v>
      </c>
      <c r="DC413" s="203">
        <f t="shared" si="406"/>
        <v>0.86234568961211422</v>
      </c>
      <c r="DD413" s="65"/>
      <c r="DE413" s="66"/>
      <c r="DF413" s="66"/>
      <c r="DG413" s="66"/>
      <c r="DH413" s="66"/>
      <c r="DI413" s="66"/>
      <c r="DJ413" s="66"/>
      <c r="DK413" s="70"/>
      <c r="DL413" s="70"/>
      <c r="DM413" s="8">
        <f t="shared" si="432"/>
        <v>0</v>
      </c>
      <c r="DN413" s="8">
        <f t="shared" si="433"/>
        <v>7917.8153297912932</v>
      </c>
      <c r="DO413" s="202">
        <f t="shared" si="415"/>
        <v>49601.744409967476</v>
      </c>
      <c r="DP413" s="202">
        <f t="shared" si="416"/>
        <v>49601.744409967476</v>
      </c>
      <c r="DQ413" s="202">
        <f t="shared" si="417"/>
        <v>49601.744409967476</v>
      </c>
      <c r="DR413" s="9">
        <f t="shared" si="418"/>
        <v>45775.83102506974</v>
      </c>
      <c r="DS413" s="9">
        <f t="shared" si="410"/>
        <v>50507.88992398858</v>
      </c>
      <c r="DT413" s="9">
        <f t="shared" si="419"/>
        <v>41305.44166594492</v>
      </c>
      <c r="DU413" s="202">
        <f t="shared" si="420"/>
        <v>49601.744409967476</v>
      </c>
      <c r="DV413" s="202">
        <f t="shared" si="421"/>
        <v>49601.744409967476</v>
      </c>
      <c r="DW413" s="202">
        <f t="shared" si="422"/>
        <v>49601.744409967476</v>
      </c>
      <c r="DX413" s="203">
        <f t="shared" si="423"/>
        <v>0.86234568961211422</v>
      </c>
      <c r="DY413" s="203">
        <f t="shared" si="424"/>
        <v>0.86234568961211422</v>
      </c>
      <c r="DZ413" s="203">
        <f t="shared" si="425"/>
        <v>0.86234568961211422</v>
      </c>
      <c r="EA413" s="19">
        <f t="shared" si="426"/>
        <v>0.85253720193516946</v>
      </c>
      <c r="EB413" s="19">
        <f t="shared" si="411"/>
        <v>0.86448062038105999</v>
      </c>
      <c r="EC413" s="19">
        <f t="shared" si="427"/>
        <v>0.83914483085755287</v>
      </c>
      <c r="ED413" s="203">
        <f t="shared" si="428"/>
        <v>0.86234568961211422</v>
      </c>
      <c r="EE413" s="203">
        <f t="shared" si="429"/>
        <v>0.86234568961211422</v>
      </c>
      <c r="EF413" s="203">
        <f t="shared" si="430"/>
        <v>0.86234568961211422</v>
      </c>
      <c r="EH413" s="58">
        <f t="shared" si="442"/>
        <v>7247.3029836803244</v>
      </c>
      <c r="EI413" s="68">
        <f t="shared" si="443"/>
        <v>0.12404305523058204</v>
      </c>
      <c r="EJ413" s="58">
        <f t="shared" si="444"/>
        <v>7247.3029836803244</v>
      </c>
      <c r="EK413" s="68">
        <f t="shared" si="443"/>
        <v>0.12404305523058204</v>
      </c>
      <c r="EL413" s="58">
        <f t="shared" si="445"/>
        <v>3452.8442975031139</v>
      </c>
      <c r="EM413" s="58">
        <f t="shared" si="446"/>
        <v>3903.9469836803237</v>
      </c>
      <c r="EN413" s="68">
        <f t="shared" si="447"/>
        <v>6.6818996308611212E-2</v>
      </c>
      <c r="EO413" s="139">
        <f t="shared" si="464"/>
        <v>0.35739486552628164</v>
      </c>
      <c r="EP413">
        <f>+(SUM(M413:O413)*EO413*(1-'[1]Tier 3 Data'!$A$2))</f>
        <v>1222.0645615552571</v>
      </c>
    </row>
    <row r="414" spans="1:146" x14ac:dyDescent="0.2">
      <c r="A414" s="43">
        <v>0</v>
      </c>
      <c r="B414" s="43">
        <v>0</v>
      </c>
      <c r="C414" s="43">
        <v>0</v>
      </c>
      <c r="D414" s="70">
        <v>2041</v>
      </c>
      <c r="E414" s="70">
        <v>11</v>
      </c>
      <c r="F414" s="2">
        <v>721</v>
      </c>
      <c r="G414" s="133">
        <f t="shared" si="458"/>
        <v>44556.583681342556</v>
      </c>
      <c r="H414" s="65">
        <v>44556.583681342556</v>
      </c>
      <c r="I414" s="133">
        <f t="shared" si="459"/>
        <v>44556.583681342556</v>
      </c>
      <c r="J414" s="133">
        <f t="shared" si="440"/>
        <v>8063.3604374999986</v>
      </c>
      <c r="K414" s="65">
        <v>8063.3604374999986</v>
      </c>
      <c r="L414" s="133">
        <f t="shared" si="441"/>
        <v>8063.3604374999986</v>
      </c>
      <c r="M414" s="65">
        <v>391.15101618171565</v>
      </c>
      <c r="N414" s="65">
        <v>842.27303867993726</v>
      </c>
      <c r="O414" s="65">
        <v>263.27005750362412</v>
      </c>
      <c r="P414" s="200">
        <f t="shared" si="434"/>
        <v>36044.215010132975</v>
      </c>
      <c r="Q414" s="200">
        <f t="shared" si="435"/>
        <v>36044.215010132975</v>
      </c>
      <c r="R414" s="200">
        <f t="shared" si="436"/>
        <v>36044.215010132975</v>
      </c>
      <c r="S414" s="133">
        <f t="shared" si="460"/>
        <v>36414.242226591472</v>
      </c>
      <c r="T414" s="133">
        <f t="shared" si="461"/>
        <v>36414.242226591472</v>
      </c>
      <c r="U414" s="133">
        <f t="shared" si="462"/>
        <v>36414.242226591472</v>
      </c>
      <c r="V414" s="200">
        <f t="shared" si="437"/>
        <v>36044.215010132975</v>
      </c>
      <c r="W414" s="200">
        <f t="shared" si="438"/>
        <v>36044.215010132975</v>
      </c>
      <c r="X414" s="200">
        <f t="shared" si="439"/>
        <v>36044.215010132975</v>
      </c>
      <c r="Y414" s="65">
        <v>27148.602427373695</v>
      </c>
      <c r="Z414" s="65">
        <v>36813.742114779008</v>
      </c>
      <c r="AA414" s="65">
        <v>21927.309586080944</v>
      </c>
      <c r="AB414" s="200">
        <f t="shared" si="451"/>
        <v>72857.957124911976</v>
      </c>
      <c r="AC414" s="200">
        <f t="shared" si="452"/>
        <v>72857.957124911976</v>
      </c>
      <c r="AD414" s="200">
        <f t="shared" si="453"/>
        <v>72857.957124911976</v>
      </c>
      <c r="AE414" s="199">
        <f t="shared" si="413"/>
        <v>63562.844653965163</v>
      </c>
      <c r="AF414" s="199">
        <f t="shared" si="454"/>
        <v>73227.98434137048</v>
      </c>
      <c r="AG414" s="199">
        <f t="shared" si="414"/>
        <v>58341.55181267242</v>
      </c>
      <c r="AH414" s="199">
        <f t="shared" si="463"/>
        <v>65784.76807702145</v>
      </c>
      <c r="AI414" s="200">
        <f t="shared" si="455"/>
        <v>72857.957124911976</v>
      </c>
      <c r="AJ414" s="200">
        <f t="shared" si="456"/>
        <v>72857.957124911976</v>
      </c>
      <c r="AK414" s="200">
        <f t="shared" si="457"/>
        <v>72857.957124911976</v>
      </c>
      <c r="AL414" s="4"/>
      <c r="AM414" s="4"/>
      <c r="AN414" s="4"/>
      <c r="AO414" s="4"/>
      <c r="AP414" s="63"/>
      <c r="AQ414" s="18"/>
      <c r="AR414" s="18"/>
      <c r="AS414" s="18"/>
      <c r="AT414" s="18">
        <v>0</v>
      </c>
      <c r="AU414" s="133">
        <f t="shared" si="388"/>
        <v>104.364</v>
      </c>
      <c r="AV414" s="133">
        <f t="shared" si="388"/>
        <v>3268.3739999999998</v>
      </c>
      <c r="AW414" s="194"/>
      <c r="AX414" s="194"/>
      <c r="AY414" s="194"/>
      <c r="AZ414" s="194"/>
      <c r="BA414" s="194"/>
      <c r="BB414" s="194"/>
      <c r="BC414" s="65">
        <v>0</v>
      </c>
      <c r="BD414" s="65">
        <v>0</v>
      </c>
      <c r="BE414" s="65">
        <v>0</v>
      </c>
      <c r="BF414" s="65">
        <v>0</v>
      </c>
      <c r="BG414" s="65">
        <v>0</v>
      </c>
      <c r="BH414" s="65">
        <v>0</v>
      </c>
      <c r="BI414" s="65">
        <v>655.32567529424261</v>
      </c>
      <c r="BJ414" s="65">
        <v>0</v>
      </c>
      <c r="BK414" s="65">
        <v>18.83837925561102</v>
      </c>
      <c r="BL414" s="65">
        <v>0</v>
      </c>
      <c r="BM414" s="65">
        <v>0</v>
      </c>
      <c r="BN414" s="65">
        <v>0</v>
      </c>
      <c r="BO414" s="65">
        <v>132.17648579999999</v>
      </c>
      <c r="BP414" s="5"/>
      <c r="BQ414" s="4">
        <v>58.376519017506617</v>
      </c>
      <c r="BR414" s="65">
        <v>76.270825763361159</v>
      </c>
      <c r="BS414" s="65">
        <v>275.9830494584433</v>
      </c>
      <c r="BT414" s="65">
        <v>101.943664255323</v>
      </c>
      <c r="BU414" s="65">
        <v>113.37934439096647</v>
      </c>
      <c r="BV414" s="144">
        <f t="shared" si="448"/>
        <v>273.80571132720092</v>
      </c>
      <c r="BW414" s="144">
        <f t="shared" si="449"/>
        <v>589.59112707595602</v>
      </c>
      <c r="BX414" s="144">
        <f t="shared" si="450"/>
        <v>184.28904025253686</v>
      </c>
      <c r="BY414" s="5"/>
      <c r="BZ414" s="5"/>
      <c r="CA414" s="4"/>
      <c r="CB414" s="5"/>
      <c r="CC414" s="5"/>
      <c r="CD414" s="5"/>
      <c r="CE414" s="5"/>
      <c r="CF414" s="64"/>
      <c r="CG414" s="70"/>
      <c r="CH414" s="70"/>
      <c r="CI414" s="70"/>
      <c r="CJ414" s="63"/>
      <c r="CK414" s="8">
        <f t="shared" si="431"/>
        <v>5852.7178218911467</v>
      </c>
      <c r="CL414" s="202">
        <f t="shared" si="389"/>
        <v>67005.239303020833</v>
      </c>
      <c r="CM414" s="202">
        <f t="shared" si="390"/>
        <v>67005.239303020833</v>
      </c>
      <c r="CN414" s="202">
        <f t="shared" si="391"/>
        <v>67005.239303020833</v>
      </c>
      <c r="CO414" s="9">
        <f t="shared" si="392"/>
        <v>57710.12683207402</v>
      </c>
      <c r="CP414" s="9">
        <f t="shared" si="393"/>
        <v>67375.266519479337</v>
      </c>
      <c r="CQ414" s="9">
        <f t="shared" si="394"/>
        <v>52488.833990781277</v>
      </c>
      <c r="CR414" s="202">
        <f t="shared" si="395"/>
        <v>67005.239303020833</v>
      </c>
      <c r="CS414" s="202">
        <f t="shared" si="396"/>
        <v>67005.239303020833</v>
      </c>
      <c r="CT414" s="202">
        <f t="shared" si="397"/>
        <v>67005.239303020833</v>
      </c>
      <c r="CU414" s="203">
        <f t="shared" si="398"/>
        <v>0.91966947670716459</v>
      </c>
      <c r="CV414" s="203">
        <f t="shared" si="399"/>
        <v>0.91966947670716459</v>
      </c>
      <c r="CW414" s="203">
        <f t="shared" si="400"/>
        <v>0.91966947670716459</v>
      </c>
      <c r="CX414" s="19">
        <f t="shared" si="401"/>
        <v>0.90792234278133366</v>
      </c>
      <c r="CY414" s="19">
        <f t="shared" si="402"/>
        <v>0.92007539365541946</v>
      </c>
      <c r="CZ414" s="19">
        <f t="shared" si="403"/>
        <v>0.89968182813025777</v>
      </c>
      <c r="DA414" s="203">
        <f t="shared" si="404"/>
        <v>0.91966947670716459</v>
      </c>
      <c r="DB414" s="203">
        <f t="shared" si="405"/>
        <v>0.91966947670716459</v>
      </c>
      <c r="DC414" s="203">
        <f t="shared" si="406"/>
        <v>0.91966947670716459</v>
      </c>
      <c r="DD414" s="65"/>
      <c r="DE414" s="66"/>
      <c r="DF414" s="66"/>
      <c r="DG414" s="66"/>
      <c r="DH414" s="66"/>
      <c r="DI414" s="66"/>
      <c r="DJ414" s="66"/>
      <c r="DK414" s="70"/>
      <c r="DL414" s="70"/>
      <c r="DM414" s="8">
        <f t="shared" si="432"/>
        <v>0</v>
      </c>
      <c r="DN414" s="8">
        <f t="shared" si="433"/>
        <v>5852.7178218911467</v>
      </c>
      <c r="DO414" s="202">
        <f t="shared" si="415"/>
        <v>67005.239303020833</v>
      </c>
      <c r="DP414" s="202">
        <f t="shared" si="416"/>
        <v>67005.239303020833</v>
      </c>
      <c r="DQ414" s="202">
        <f t="shared" si="417"/>
        <v>67005.239303020833</v>
      </c>
      <c r="DR414" s="9">
        <f t="shared" si="418"/>
        <v>57710.12683207402</v>
      </c>
      <c r="DS414" s="9">
        <f t="shared" si="410"/>
        <v>67375.266519479337</v>
      </c>
      <c r="DT414" s="9">
        <f t="shared" si="419"/>
        <v>52488.833990781277</v>
      </c>
      <c r="DU414" s="202">
        <f t="shared" si="420"/>
        <v>67005.239303020833</v>
      </c>
      <c r="DV414" s="202">
        <f t="shared" si="421"/>
        <v>67005.239303020833</v>
      </c>
      <c r="DW414" s="202">
        <f t="shared" si="422"/>
        <v>67005.239303020833</v>
      </c>
      <c r="DX414" s="203">
        <f t="shared" si="423"/>
        <v>0.91966947670716459</v>
      </c>
      <c r="DY414" s="203">
        <f t="shared" si="424"/>
        <v>0.91966947670716459</v>
      </c>
      <c r="DZ414" s="203">
        <f t="shared" si="425"/>
        <v>0.91966947670716459</v>
      </c>
      <c r="EA414" s="19">
        <f t="shared" si="426"/>
        <v>0.90792234278133366</v>
      </c>
      <c r="EB414" s="19">
        <f t="shared" si="411"/>
        <v>0.92007539365541946</v>
      </c>
      <c r="EC414" s="19">
        <f t="shared" si="427"/>
        <v>0.89968182813025777</v>
      </c>
      <c r="ED414" s="203">
        <f t="shared" si="428"/>
        <v>0.91966947670716459</v>
      </c>
      <c r="EE414" s="203">
        <f t="shared" si="429"/>
        <v>0.91966947670716459</v>
      </c>
      <c r="EF414" s="203">
        <f t="shared" si="430"/>
        <v>0.91966947670716459</v>
      </c>
      <c r="EH414" s="58">
        <f t="shared" si="442"/>
        <v>5578.912110563946</v>
      </c>
      <c r="EI414" s="68">
        <f t="shared" si="443"/>
        <v>7.6185520614038188E-2</v>
      </c>
      <c r="EJ414" s="58">
        <f t="shared" si="444"/>
        <v>5578.912110563946</v>
      </c>
      <c r="EK414" s="68">
        <f t="shared" si="443"/>
        <v>7.6185520614038188E-2</v>
      </c>
      <c r="EL414" s="58">
        <f t="shared" si="445"/>
        <v>2021.8850703114103</v>
      </c>
      <c r="EM414" s="58">
        <f t="shared" si="446"/>
        <v>2206.1741105639471</v>
      </c>
      <c r="EN414" s="68">
        <f t="shared" si="447"/>
        <v>3.0127472856269228E-2</v>
      </c>
      <c r="EO414" s="139">
        <f t="shared" si="464"/>
        <v>0.4050825009776523</v>
      </c>
      <c r="EP414">
        <f>+(SUM(M414:O414)*EO414*(1-'[1]Tier 3 Data'!$A$2))</f>
        <v>565.6635264216784</v>
      </c>
    </row>
    <row r="415" spans="1:146" x14ac:dyDescent="0.2">
      <c r="A415" s="43">
        <v>0</v>
      </c>
      <c r="B415" s="43">
        <v>0</v>
      </c>
      <c r="C415" s="43">
        <v>0</v>
      </c>
      <c r="D415" s="70">
        <v>2041</v>
      </c>
      <c r="E415" s="70">
        <v>12</v>
      </c>
      <c r="F415" s="2">
        <v>744</v>
      </c>
      <c r="G415" s="133">
        <f t="shared" si="458"/>
        <v>50601.521997958262</v>
      </c>
      <c r="H415" s="65">
        <v>50601.521997958262</v>
      </c>
      <c r="I415" s="133">
        <f t="shared" si="459"/>
        <v>50601.521997958262</v>
      </c>
      <c r="J415" s="133">
        <f t="shared" si="440"/>
        <v>8103.1657499999983</v>
      </c>
      <c r="K415" s="65">
        <v>8103.1657499999983</v>
      </c>
      <c r="L415" s="133">
        <f t="shared" si="441"/>
        <v>8103.1657499999983</v>
      </c>
      <c r="M415" s="65">
        <v>248.30627982623952</v>
      </c>
      <c r="N415" s="65">
        <v>534.68270867382159</v>
      </c>
      <c r="O415" s="65">
        <v>167.17240883839534</v>
      </c>
      <c r="P415" s="200">
        <f t="shared" si="434"/>
        <v>42213.307828756726</v>
      </c>
      <c r="Q415" s="200">
        <f t="shared" si="435"/>
        <v>42213.307828756726</v>
      </c>
      <c r="R415" s="200">
        <f t="shared" si="436"/>
        <v>42213.307828756726</v>
      </c>
      <c r="S415" s="133">
        <f t="shared" si="460"/>
        <v>42448.204525306741</v>
      </c>
      <c r="T415" s="133">
        <f t="shared" si="461"/>
        <v>42448.204525306741</v>
      </c>
      <c r="U415" s="133">
        <f t="shared" si="462"/>
        <v>42448.204525306741</v>
      </c>
      <c r="V415" s="200">
        <f t="shared" si="437"/>
        <v>42213.307828756726</v>
      </c>
      <c r="W415" s="200">
        <f t="shared" si="438"/>
        <v>42213.307828756726</v>
      </c>
      <c r="X415" s="200">
        <f t="shared" si="439"/>
        <v>42213.307828756726</v>
      </c>
      <c r="Y415" s="65">
        <v>29499.747644661795</v>
      </c>
      <c r="Z415" s="65">
        <v>39337.049991506632</v>
      </c>
      <c r="AA415" s="65">
        <v>23669.400925788796</v>
      </c>
      <c r="AB415" s="200">
        <f t="shared" si="451"/>
        <v>81550.357820263365</v>
      </c>
      <c r="AC415" s="200">
        <f t="shared" si="452"/>
        <v>81550.357820263365</v>
      </c>
      <c r="AD415" s="200">
        <f t="shared" si="453"/>
        <v>81550.357820263365</v>
      </c>
      <c r="AE415" s="199">
        <f t="shared" si="413"/>
        <v>71947.952169968543</v>
      </c>
      <c r="AF415" s="199">
        <f t="shared" si="454"/>
        <v>81785.25451681338</v>
      </c>
      <c r="AG415" s="199">
        <f t="shared" si="414"/>
        <v>66117.605451095529</v>
      </c>
      <c r="AH415" s="199">
        <f t="shared" si="463"/>
        <v>73951.429983954455</v>
      </c>
      <c r="AI415" s="200">
        <f t="shared" si="455"/>
        <v>81550.357820263365</v>
      </c>
      <c r="AJ415" s="200">
        <f t="shared" si="456"/>
        <v>81550.357820263365</v>
      </c>
      <c r="AK415" s="200">
        <f t="shared" si="457"/>
        <v>81550.357820263365</v>
      </c>
      <c r="AL415" s="4"/>
      <c r="AM415" s="4"/>
      <c r="AN415" s="4"/>
      <c r="AO415" s="4"/>
      <c r="AP415" s="63"/>
      <c r="AQ415" s="18"/>
      <c r="AR415" s="18"/>
      <c r="AS415" s="18"/>
      <c r="AT415" s="18">
        <v>0</v>
      </c>
      <c r="AU415" s="133">
        <f t="shared" si="388"/>
        <v>105.066</v>
      </c>
      <c r="AV415" s="133">
        <f t="shared" si="388"/>
        <v>3218.8470000000002</v>
      </c>
      <c r="AW415" s="194"/>
      <c r="AX415" s="194"/>
      <c r="AY415" s="194"/>
      <c r="AZ415" s="194"/>
      <c r="BA415" s="194"/>
      <c r="BB415" s="194"/>
      <c r="BC415" s="65">
        <v>0</v>
      </c>
      <c r="BD415" s="65">
        <v>0</v>
      </c>
      <c r="BE415" s="65">
        <v>0</v>
      </c>
      <c r="BF415" s="65">
        <v>0</v>
      </c>
      <c r="BG415" s="65">
        <v>0</v>
      </c>
      <c r="BH415" s="65">
        <v>0</v>
      </c>
      <c r="BI415" s="65">
        <v>307.09156810676251</v>
      </c>
      <c r="BJ415" s="65">
        <v>0</v>
      </c>
      <c r="BK415" s="65">
        <v>19.254680191696124</v>
      </c>
      <c r="BL415" s="65">
        <v>0</v>
      </c>
      <c r="BM415" s="65">
        <v>0</v>
      </c>
      <c r="BN415" s="65">
        <v>0</v>
      </c>
      <c r="BO415" s="65">
        <v>136.58236865999999</v>
      </c>
      <c r="BP415" s="5"/>
      <c r="BQ415" s="4">
        <v>53.189353536754687</v>
      </c>
      <c r="BR415" s="65">
        <v>69.146130673148548</v>
      </c>
      <c r="BS415" s="65">
        <v>251.45991354237125</v>
      </c>
      <c r="BT415" s="65">
        <v>93.859693232029656</v>
      </c>
      <c r="BU415" s="65">
        <v>99.784394375593692</v>
      </c>
      <c r="BV415" s="144">
        <f t="shared" si="448"/>
        <v>173.81439587836766</v>
      </c>
      <c r="BW415" s="144">
        <f t="shared" si="449"/>
        <v>374.27789607167512</v>
      </c>
      <c r="BX415" s="144">
        <f t="shared" si="450"/>
        <v>117.02068618687673</v>
      </c>
      <c r="BY415" s="5"/>
      <c r="BZ415" s="5"/>
      <c r="CA415" s="4"/>
      <c r="CB415" s="5"/>
      <c r="CC415" s="5"/>
      <c r="CD415" s="5"/>
      <c r="CE415" s="5"/>
      <c r="CF415" s="64"/>
      <c r="CG415" s="70"/>
      <c r="CH415" s="70"/>
      <c r="CI415" s="70"/>
      <c r="CJ415" s="63"/>
      <c r="CK415" s="8">
        <f t="shared" si="431"/>
        <v>5019.3940804552758</v>
      </c>
      <c r="CL415" s="202">
        <f t="shared" si="389"/>
        <v>76530.963739808096</v>
      </c>
      <c r="CM415" s="202">
        <f t="shared" si="390"/>
        <v>76530.963739808096</v>
      </c>
      <c r="CN415" s="202">
        <f t="shared" si="391"/>
        <v>76530.963739808096</v>
      </c>
      <c r="CO415" s="9">
        <f t="shared" si="392"/>
        <v>66928.558089513273</v>
      </c>
      <c r="CP415" s="9">
        <f t="shared" si="393"/>
        <v>76765.860436358111</v>
      </c>
      <c r="CQ415" s="9">
        <f t="shared" si="394"/>
        <v>61098.211370640252</v>
      </c>
      <c r="CR415" s="202">
        <f t="shared" si="395"/>
        <v>76530.963739808096</v>
      </c>
      <c r="CS415" s="202">
        <f t="shared" si="396"/>
        <v>76530.963739808096</v>
      </c>
      <c r="CT415" s="202">
        <f t="shared" si="397"/>
        <v>76530.963739808096</v>
      </c>
      <c r="CU415" s="203">
        <f t="shared" si="398"/>
        <v>0.93845037330776659</v>
      </c>
      <c r="CV415" s="203">
        <f t="shared" si="399"/>
        <v>0.93845037330776659</v>
      </c>
      <c r="CW415" s="203">
        <f t="shared" si="400"/>
        <v>0.93845037330776659</v>
      </c>
      <c r="CX415" s="19">
        <f t="shared" si="401"/>
        <v>0.93023576169899114</v>
      </c>
      <c r="CY415" s="19">
        <f t="shared" si="402"/>
        <v>0.93862715094414262</v>
      </c>
      <c r="CZ415" s="19">
        <f t="shared" si="403"/>
        <v>0.92408384958575196</v>
      </c>
      <c r="DA415" s="203">
        <f t="shared" si="404"/>
        <v>0.93845037330776659</v>
      </c>
      <c r="DB415" s="203">
        <f t="shared" si="405"/>
        <v>0.93845037330776659</v>
      </c>
      <c r="DC415" s="203">
        <f t="shared" si="406"/>
        <v>0.93845037330776659</v>
      </c>
      <c r="DD415" s="65"/>
      <c r="DE415" s="66"/>
      <c r="DF415" s="66"/>
      <c r="DG415" s="66"/>
      <c r="DH415" s="66"/>
      <c r="DI415" s="66"/>
      <c r="DJ415" s="66"/>
      <c r="DK415" s="70"/>
      <c r="DL415" s="70"/>
      <c r="DM415" s="8">
        <f t="shared" si="432"/>
        <v>0</v>
      </c>
      <c r="DN415" s="8">
        <f t="shared" si="433"/>
        <v>5019.3940804552758</v>
      </c>
      <c r="DO415" s="202">
        <f t="shared" si="415"/>
        <v>76530.963739808096</v>
      </c>
      <c r="DP415" s="202">
        <f t="shared" si="416"/>
        <v>76530.963739808096</v>
      </c>
      <c r="DQ415" s="202">
        <f t="shared" si="417"/>
        <v>76530.963739808096</v>
      </c>
      <c r="DR415" s="9">
        <f t="shared" si="418"/>
        <v>66928.558089513273</v>
      </c>
      <c r="DS415" s="9">
        <f t="shared" si="410"/>
        <v>76765.860436358111</v>
      </c>
      <c r="DT415" s="9">
        <f t="shared" si="419"/>
        <v>61098.211370640252</v>
      </c>
      <c r="DU415" s="202">
        <f t="shared" si="420"/>
        <v>76530.963739808096</v>
      </c>
      <c r="DV415" s="202">
        <f t="shared" si="421"/>
        <v>76530.963739808096</v>
      </c>
      <c r="DW415" s="202">
        <f t="shared" si="422"/>
        <v>76530.963739808096</v>
      </c>
      <c r="DX415" s="203">
        <f t="shared" si="423"/>
        <v>0.93845037330776659</v>
      </c>
      <c r="DY415" s="203">
        <f t="shared" si="424"/>
        <v>0.93845037330776659</v>
      </c>
      <c r="DZ415" s="203">
        <f t="shared" si="425"/>
        <v>0.93845037330776659</v>
      </c>
      <c r="EA415" s="19">
        <f t="shared" si="426"/>
        <v>0.93023576169899114</v>
      </c>
      <c r="EB415" s="19">
        <f t="shared" si="411"/>
        <v>0.93862715094414262</v>
      </c>
      <c r="EC415" s="19">
        <f t="shared" si="427"/>
        <v>0.92408384958575196</v>
      </c>
      <c r="ED415" s="203">
        <f t="shared" si="428"/>
        <v>0.93845037330776659</v>
      </c>
      <c r="EE415" s="203">
        <f t="shared" si="429"/>
        <v>0.93845037330776659</v>
      </c>
      <c r="EF415" s="203">
        <f t="shared" si="430"/>
        <v>0.93845037330776659</v>
      </c>
      <c r="EH415" s="58">
        <f t="shared" si="442"/>
        <v>4845.5796845769082</v>
      </c>
      <c r="EI415" s="68">
        <f t="shared" si="443"/>
        <v>5.9247595586815173E-2</v>
      </c>
      <c r="EJ415" s="58">
        <f t="shared" si="444"/>
        <v>4845.5796845769082</v>
      </c>
      <c r="EK415" s="68">
        <f t="shared" si="443"/>
        <v>5.9247595586815173E-2</v>
      </c>
      <c r="EL415" s="58">
        <f t="shared" si="445"/>
        <v>1404.6459983900313</v>
      </c>
      <c r="EM415" s="58">
        <f t="shared" si="446"/>
        <v>1521.666684576908</v>
      </c>
      <c r="EN415" s="68">
        <f t="shared" si="447"/>
        <v>1.8605636108451364E-2</v>
      </c>
      <c r="EO415" s="139">
        <f t="shared" si="464"/>
        <v>0.32946562535829382</v>
      </c>
      <c r="EP415">
        <f>+(SUM(M415:O415)*EO415*(1-'[1]Tier 3 Data'!$A$2))</f>
        <v>292.07146919474138</v>
      </c>
    </row>
    <row r="416" spans="1:146" x14ac:dyDescent="0.2">
      <c r="A416" s="43">
        <v>0</v>
      </c>
      <c r="B416" s="43">
        <v>0</v>
      </c>
      <c r="C416" s="43">
        <v>0</v>
      </c>
      <c r="D416" s="70">
        <v>2042</v>
      </c>
      <c r="E416" s="70">
        <v>1</v>
      </c>
      <c r="F416" s="2">
        <v>744</v>
      </c>
      <c r="G416" s="133">
        <f t="shared" si="458"/>
        <v>52344.323671378159</v>
      </c>
      <c r="H416" s="65">
        <v>52344.323671378159</v>
      </c>
      <c r="I416" s="133">
        <f t="shared" si="459"/>
        <v>52344.323671378159</v>
      </c>
      <c r="J416" s="133">
        <f t="shared" si="440"/>
        <v>8142.6291874999979</v>
      </c>
      <c r="K416" s="65">
        <v>8142.6291874999979</v>
      </c>
      <c r="L416" s="133">
        <f t="shared" si="441"/>
        <v>8142.6291874999979</v>
      </c>
      <c r="M416" s="65">
        <v>350.79787520860157</v>
      </c>
      <c r="N416" s="65">
        <v>755.37984075477868</v>
      </c>
      <c r="O416" s="65">
        <v>236.20191298592164</v>
      </c>
      <c r="P416" s="200">
        <f t="shared" si="434"/>
        <v>43798.980595193374</v>
      </c>
      <c r="Q416" s="200">
        <f t="shared" si="435"/>
        <v>43798.980595193374</v>
      </c>
      <c r="R416" s="200">
        <f t="shared" si="436"/>
        <v>43798.980595193374</v>
      </c>
      <c r="S416" s="133">
        <f t="shared" si="460"/>
        <v>44130.833909982386</v>
      </c>
      <c r="T416" s="133">
        <f t="shared" si="461"/>
        <v>44130.833909982386</v>
      </c>
      <c r="U416" s="133">
        <f t="shared" si="462"/>
        <v>44130.833909982386</v>
      </c>
      <c r="V416" s="200">
        <f t="shared" si="437"/>
        <v>43798.980595193374</v>
      </c>
      <c r="W416" s="200">
        <f t="shared" si="438"/>
        <v>43798.980595193374</v>
      </c>
      <c r="X416" s="200">
        <f t="shared" si="439"/>
        <v>43798.980595193374</v>
      </c>
      <c r="Y416" s="65">
        <v>30652.193060475471</v>
      </c>
      <c r="Z416" s="65">
        <v>41609.253857654367</v>
      </c>
      <c r="AA416" s="65">
        <v>24857.042539973965</v>
      </c>
      <c r="AB416" s="200">
        <f t="shared" si="451"/>
        <v>85408.234452847741</v>
      </c>
      <c r="AC416" s="200">
        <f t="shared" si="452"/>
        <v>85408.234452847741</v>
      </c>
      <c r="AD416" s="200">
        <f t="shared" si="453"/>
        <v>85408.234452847741</v>
      </c>
      <c r="AE416" s="199">
        <f t="shared" si="413"/>
        <v>74783.026970457853</v>
      </c>
      <c r="AF416" s="199">
        <f t="shared" si="454"/>
        <v>85740.087767636753</v>
      </c>
      <c r="AG416" s="199">
        <f t="shared" si="414"/>
        <v>68987.876449956355</v>
      </c>
      <c r="AH416" s="199">
        <f t="shared" si="463"/>
        <v>77363.982108796554</v>
      </c>
      <c r="AI416" s="200">
        <f t="shared" si="455"/>
        <v>85408.234452847741</v>
      </c>
      <c r="AJ416" s="200">
        <f t="shared" si="456"/>
        <v>85408.234452847741</v>
      </c>
      <c r="AK416" s="200">
        <f t="shared" si="457"/>
        <v>85408.234452847741</v>
      </c>
      <c r="AL416" s="4"/>
      <c r="AM416" s="4"/>
      <c r="AN416" s="4"/>
      <c r="AO416" s="4"/>
      <c r="AP416" s="63"/>
      <c r="AQ416" s="18"/>
      <c r="AR416" s="18"/>
      <c r="AS416" s="18"/>
      <c r="AT416" s="18">
        <v>0</v>
      </c>
      <c r="AU416" s="133">
        <f t="shared" si="388"/>
        <v>98.513999999999996</v>
      </c>
      <c r="AV416" s="133">
        <f t="shared" si="388"/>
        <v>3278.6750000000002</v>
      </c>
      <c r="AW416" s="194"/>
      <c r="AX416" s="194"/>
      <c r="AY416" s="194"/>
      <c r="AZ416" s="194"/>
      <c r="BA416" s="194"/>
      <c r="BB416" s="194"/>
      <c r="BC416" s="65">
        <v>0</v>
      </c>
      <c r="BD416" s="65">
        <v>0</v>
      </c>
      <c r="BE416" s="65">
        <v>0</v>
      </c>
      <c r="BF416" s="65">
        <v>0</v>
      </c>
      <c r="BG416" s="65">
        <v>0</v>
      </c>
      <c r="BH416" s="65">
        <v>0</v>
      </c>
      <c r="BI416" s="65">
        <v>422.26745538882983</v>
      </c>
      <c r="BJ416" s="65">
        <v>0</v>
      </c>
      <c r="BK416" s="65">
        <v>21.37580355564366</v>
      </c>
      <c r="BL416" s="65">
        <v>0</v>
      </c>
      <c r="BM416" s="65">
        <v>0</v>
      </c>
      <c r="BN416" s="65">
        <v>0</v>
      </c>
      <c r="BO416" s="65">
        <v>136.58236865999999</v>
      </c>
      <c r="BP416" s="5"/>
      <c r="BQ416" s="5"/>
      <c r="BR416" s="65">
        <v>98.332868582512674</v>
      </c>
      <c r="BS416" s="65">
        <v>355.81370332944795</v>
      </c>
      <c r="BT416" s="65">
        <v>121.64463323076274</v>
      </c>
      <c r="BU416" s="65">
        <v>139.03602105496682</v>
      </c>
      <c r="BV416" s="144">
        <f t="shared" si="448"/>
        <v>245.55851264602109</v>
      </c>
      <c r="BW416" s="144">
        <f t="shared" si="449"/>
        <v>528.76588852834504</v>
      </c>
      <c r="BX416" s="144">
        <f t="shared" si="450"/>
        <v>165.34133909014514</v>
      </c>
      <c r="BY416" s="5"/>
      <c r="BZ416" s="5"/>
      <c r="CA416" s="4"/>
      <c r="CB416" s="5"/>
      <c r="CC416" s="5"/>
      <c r="CD416" s="5"/>
      <c r="CE416" s="5"/>
      <c r="CF416" s="64"/>
      <c r="CG416" s="70"/>
      <c r="CH416" s="70"/>
      <c r="CI416" s="70"/>
      <c r="CJ416" s="63"/>
      <c r="CK416" s="8">
        <f t="shared" si="431"/>
        <v>5611.9075940666762</v>
      </c>
      <c r="CL416" s="202">
        <f t="shared" si="389"/>
        <v>79796.32685878106</v>
      </c>
      <c r="CM416" s="202">
        <f t="shared" si="390"/>
        <v>79796.32685878106</v>
      </c>
      <c r="CN416" s="202">
        <f t="shared" si="391"/>
        <v>79796.32685878106</v>
      </c>
      <c r="CO416" s="9">
        <f t="shared" si="392"/>
        <v>69171.119376391172</v>
      </c>
      <c r="CP416" s="9">
        <f t="shared" si="393"/>
        <v>80128.180173570072</v>
      </c>
      <c r="CQ416" s="9">
        <f t="shared" si="394"/>
        <v>63375.968855889681</v>
      </c>
      <c r="CR416" s="202">
        <f t="shared" si="395"/>
        <v>79796.32685878106</v>
      </c>
      <c r="CS416" s="202">
        <f t="shared" si="396"/>
        <v>79796.32685878106</v>
      </c>
      <c r="CT416" s="202">
        <f t="shared" si="397"/>
        <v>79796.32685878106</v>
      </c>
      <c r="CU416" s="203">
        <f t="shared" si="398"/>
        <v>0.93429313192084651</v>
      </c>
      <c r="CV416" s="203">
        <f t="shared" si="399"/>
        <v>0.93429313192084651</v>
      </c>
      <c r="CW416" s="203">
        <f t="shared" si="400"/>
        <v>0.93429313192084651</v>
      </c>
      <c r="CX416" s="19">
        <f t="shared" si="401"/>
        <v>0.9249574693428283</v>
      </c>
      <c r="CY416" s="19">
        <f t="shared" si="402"/>
        <v>0.93454744752215035</v>
      </c>
      <c r="CZ416" s="19">
        <f t="shared" si="403"/>
        <v>0.91865371304568944</v>
      </c>
      <c r="DA416" s="203">
        <f t="shared" si="404"/>
        <v>0.93429313192084651</v>
      </c>
      <c r="DB416" s="203">
        <f t="shared" si="405"/>
        <v>0.93429313192084651</v>
      </c>
      <c r="DC416" s="203">
        <f t="shared" si="406"/>
        <v>0.93429313192084651</v>
      </c>
      <c r="DD416" s="65"/>
      <c r="DE416" s="66"/>
      <c r="DF416" s="66"/>
      <c r="DG416" s="66"/>
      <c r="DH416" s="66"/>
      <c r="DI416" s="66"/>
      <c r="DJ416" s="66"/>
      <c r="DK416" s="70"/>
      <c r="DL416" s="70"/>
      <c r="DM416" s="8">
        <f t="shared" si="432"/>
        <v>0</v>
      </c>
      <c r="DN416" s="8">
        <f t="shared" si="433"/>
        <v>5611.9075940666762</v>
      </c>
      <c r="DO416" s="202">
        <f t="shared" si="415"/>
        <v>79796.32685878106</v>
      </c>
      <c r="DP416" s="202">
        <f t="shared" si="416"/>
        <v>79796.32685878106</v>
      </c>
      <c r="DQ416" s="202">
        <f t="shared" si="417"/>
        <v>79796.32685878106</v>
      </c>
      <c r="DR416" s="9">
        <f t="shared" si="418"/>
        <v>69171.119376391172</v>
      </c>
      <c r="DS416" s="9">
        <f t="shared" si="410"/>
        <v>80128.180173570072</v>
      </c>
      <c r="DT416" s="9">
        <f t="shared" si="419"/>
        <v>63375.968855889681</v>
      </c>
      <c r="DU416" s="202">
        <f t="shared" si="420"/>
        <v>79796.32685878106</v>
      </c>
      <c r="DV416" s="202">
        <f t="shared" si="421"/>
        <v>79796.32685878106</v>
      </c>
      <c r="DW416" s="202">
        <f t="shared" si="422"/>
        <v>79796.32685878106</v>
      </c>
      <c r="DX416" s="203">
        <f t="shared" si="423"/>
        <v>0.93429313192084651</v>
      </c>
      <c r="DY416" s="203">
        <f t="shared" si="424"/>
        <v>0.93429313192084651</v>
      </c>
      <c r="DZ416" s="203">
        <f t="shared" si="425"/>
        <v>0.93429313192084651</v>
      </c>
      <c r="EA416" s="19">
        <f t="shared" si="426"/>
        <v>0.9249574693428283</v>
      </c>
      <c r="EB416" s="19">
        <f t="shared" si="411"/>
        <v>0.93454744752215035</v>
      </c>
      <c r="EC416" s="19">
        <f t="shared" si="427"/>
        <v>0.91865371304568944</v>
      </c>
      <c r="ED416" s="203">
        <f t="shared" si="428"/>
        <v>0.93429313192084651</v>
      </c>
      <c r="EE416" s="203">
        <f t="shared" si="429"/>
        <v>0.93429313192084651</v>
      </c>
      <c r="EF416" s="203">
        <f t="shared" si="430"/>
        <v>0.93429313192084651</v>
      </c>
      <c r="EH416" s="58">
        <f t="shared" si="442"/>
        <v>5366.3490814206552</v>
      </c>
      <c r="EI416" s="68">
        <f t="shared" si="443"/>
        <v>6.2588565292397855E-2</v>
      </c>
      <c r="EJ416" s="58">
        <f t="shared" si="444"/>
        <v>5366.3490814206552</v>
      </c>
      <c r="EK416" s="68">
        <f t="shared" si="443"/>
        <v>6.2588565292397855E-2</v>
      </c>
      <c r="EL416" s="58">
        <f t="shared" si="445"/>
        <v>1823.8187423305085</v>
      </c>
      <c r="EM416" s="58">
        <f t="shared" si="446"/>
        <v>1989.1600814206536</v>
      </c>
      <c r="EN416" s="68">
        <f t="shared" si="447"/>
        <v>2.319988389575077E-2</v>
      </c>
      <c r="EO416" s="139">
        <f t="shared" si="464"/>
        <v>0.32527353469126524</v>
      </c>
      <c r="EP416">
        <f>+(SUM(M416:O416)*EO416*(1-'[1]Tier 3 Data'!$A$2))</f>
        <v>407.38564882989402</v>
      </c>
    </row>
    <row r="417" spans="1:146" x14ac:dyDescent="0.2">
      <c r="A417" s="43">
        <v>0</v>
      </c>
      <c r="B417" s="43">
        <v>0</v>
      </c>
      <c r="C417" s="43">
        <v>0</v>
      </c>
      <c r="D417" s="70">
        <v>2042</v>
      </c>
      <c r="E417" s="70">
        <v>2</v>
      </c>
      <c r="F417" s="2">
        <v>672</v>
      </c>
      <c r="G417" s="133">
        <f t="shared" si="458"/>
        <v>47316.444630938917</v>
      </c>
      <c r="H417" s="65">
        <v>47316.444630938917</v>
      </c>
      <c r="I417" s="133">
        <f t="shared" si="459"/>
        <v>47316.444630938917</v>
      </c>
      <c r="J417" s="133">
        <f t="shared" si="440"/>
        <v>8182.0926249999975</v>
      </c>
      <c r="K417" s="65">
        <v>8182.0926249999975</v>
      </c>
      <c r="L417" s="133">
        <f t="shared" si="441"/>
        <v>8182.0926249999975</v>
      </c>
      <c r="M417" s="65">
        <v>758.12758719225985</v>
      </c>
      <c r="N417" s="65">
        <v>1632.4907776153254</v>
      </c>
      <c r="O417" s="65">
        <v>510.49668353969997</v>
      </c>
      <c r="P417" s="200">
        <f t="shared" si="434"/>
        <v>38264.017491434737</v>
      </c>
      <c r="Q417" s="200">
        <f t="shared" si="435"/>
        <v>38264.017491434737</v>
      </c>
      <c r="R417" s="200">
        <f t="shared" si="436"/>
        <v>38264.017491434737</v>
      </c>
      <c r="S417" s="133">
        <f t="shared" si="460"/>
        <v>38981.203000877009</v>
      </c>
      <c r="T417" s="133">
        <f t="shared" si="461"/>
        <v>38981.203000877009</v>
      </c>
      <c r="U417" s="133">
        <f t="shared" si="462"/>
        <v>38981.203000877009</v>
      </c>
      <c r="V417" s="200">
        <f t="shared" si="437"/>
        <v>38264.017491434737</v>
      </c>
      <c r="W417" s="200">
        <f t="shared" si="438"/>
        <v>38264.017491434737</v>
      </c>
      <c r="X417" s="200">
        <f t="shared" si="439"/>
        <v>38264.017491434737</v>
      </c>
      <c r="Y417" s="65">
        <v>28538.110106314107</v>
      </c>
      <c r="Z417" s="65">
        <v>37584.376121415909</v>
      </c>
      <c r="AA417" s="65">
        <v>22833.911384008443</v>
      </c>
      <c r="AB417" s="200">
        <f t="shared" si="451"/>
        <v>75848.393612850647</v>
      </c>
      <c r="AC417" s="200">
        <f t="shared" si="452"/>
        <v>75848.393612850647</v>
      </c>
      <c r="AD417" s="200">
        <f t="shared" si="453"/>
        <v>75848.393612850647</v>
      </c>
      <c r="AE417" s="199">
        <f t="shared" si="413"/>
        <v>67519.313107191119</v>
      </c>
      <c r="AF417" s="199">
        <f t="shared" si="454"/>
        <v>76565.579122292926</v>
      </c>
      <c r="AG417" s="199">
        <f t="shared" si="414"/>
        <v>61815.114384885455</v>
      </c>
      <c r="AH417" s="199">
        <f t="shared" si="463"/>
        <v>69190.346753589198</v>
      </c>
      <c r="AI417" s="200">
        <f t="shared" si="455"/>
        <v>75848.393612850647</v>
      </c>
      <c r="AJ417" s="200">
        <f t="shared" si="456"/>
        <v>75848.393612850647</v>
      </c>
      <c r="AK417" s="200">
        <f t="shared" si="457"/>
        <v>75848.393612850647</v>
      </c>
      <c r="AL417" s="4"/>
      <c r="AM417" s="4"/>
      <c r="AN417" s="4"/>
      <c r="AO417" s="4"/>
      <c r="AP417" s="63"/>
      <c r="AQ417" s="18"/>
      <c r="AR417" s="18"/>
      <c r="AS417" s="18"/>
      <c r="AT417" s="18">
        <v>0</v>
      </c>
      <c r="AU417" s="133">
        <f t="shared" ref="AU417" si="465">+AU405</f>
        <v>92.897999999999996</v>
      </c>
      <c r="AV417" s="133">
        <f t="shared" ref="AV417" si="466">+AV405</f>
        <v>3057.587</v>
      </c>
      <c r="AW417" s="194"/>
      <c r="AX417" s="194"/>
      <c r="AY417" s="194"/>
      <c r="AZ417" s="194"/>
      <c r="BA417" s="194"/>
      <c r="BB417" s="194"/>
      <c r="BC417" s="65">
        <v>0</v>
      </c>
      <c r="BD417" s="65">
        <v>0</v>
      </c>
      <c r="BE417" s="65">
        <v>0</v>
      </c>
      <c r="BF417" s="65">
        <v>0</v>
      </c>
      <c r="BG417" s="65">
        <v>0</v>
      </c>
      <c r="BH417" s="65">
        <v>0</v>
      </c>
      <c r="BI417" s="65">
        <v>526.28473012835616</v>
      </c>
      <c r="BJ417" s="65">
        <v>0</v>
      </c>
      <c r="BK417" s="65">
        <v>18.279720757168818</v>
      </c>
      <c r="BL417" s="65">
        <v>0</v>
      </c>
      <c r="BM417" s="65">
        <v>0</v>
      </c>
      <c r="BN417" s="65">
        <v>0</v>
      </c>
      <c r="BO417" s="65">
        <v>123.36472008</v>
      </c>
      <c r="BP417" s="5"/>
      <c r="BQ417" s="5"/>
      <c r="BR417" s="65">
        <v>122.33493131183697</v>
      </c>
      <c r="BS417" s="65">
        <v>442.66424321326156</v>
      </c>
      <c r="BT417" s="65">
        <v>156.02501140255515</v>
      </c>
      <c r="BU417" s="65">
        <v>168.3185346244905</v>
      </c>
      <c r="BV417" s="144">
        <f t="shared" si="448"/>
        <v>530.68931103458192</v>
      </c>
      <c r="BW417" s="144">
        <f t="shared" si="449"/>
        <v>1142.7435443307277</v>
      </c>
      <c r="BX417" s="144">
        <f t="shared" si="450"/>
        <v>357.34767847778994</v>
      </c>
      <c r="BY417" s="5"/>
      <c r="BZ417" s="5"/>
      <c r="CA417" s="4"/>
      <c r="CB417" s="5"/>
      <c r="CC417" s="5"/>
      <c r="CD417" s="5"/>
      <c r="CE417" s="5"/>
      <c r="CF417" s="64"/>
      <c r="CG417" s="70"/>
      <c r="CH417" s="70"/>
      <c r="CI417" s="70"/>
      <c r="CJ417" s="63"/>
      <c r="CK417" s="8">
        <f t="shared" si="431"/>
        <v>6738.5374253607679</v>
      </c>
      <c r="CL417" s="202">
        <f t="shared" si="389"/>
        <v>69109.856187489873</v>
      </c>
      <c r="CM417" s="202">
        <f t="shared" si="390"/>
        <v>69109.856187489873</v>
      </c>
      <c r="CN417" s="202">
        <f t="shared" si="391"/>
        <v>69109.856187489873</v>
      </c>
      <c r="CO417" s="9">
        <f t="shared" si="392"/>
        <v>60780.775681830353</v>
      </c>
      <c r="CP417" s="9">
        <f t="shared" si="393"/>
        <v>69827.041696932152</v>
      </c>
      <c r="CQ417" s="9">
        <f t="shared" si="394"/>
        <v>55076.576959524689</v>
      </c>
      <c r="CR417" s="202">
        <f t="shared" si="395"/>
        <v>69109.856187489873</v>
      </c>
      <c r="CS417" s="202">
        <f t="shared" si="396"/>
        <v>69109.856187489873</v>
      </c>
      <c r="CT417" s="202">
        <f t="shared" si="397"/>
        <v>69109.856187489873</v>
      </c>
      <c r="CU417" s="203">
        <f t="shared" si="398"/>
        <v>0.91115780962012238</v>
      </c>
      <c r="CV417" s="203">
        <f t="shared" si="399"/>
        <v>0.91115780962012238</v>
      </c>
      <c r="CW417" s="203">
        <f t="shared" si="400"/>
        <v>0.91115780962012238</v>
      </c>
      <c r="CX417" s="19">
        <f t="shared" si="401"/>
        <v>0.90019837117325352</v>
      </c>
      <c r="CY417" s="19">
        <f t="shared" si="402"/>
        <v>0.9119899894625263</v>
      </c>
      <c r="CZ417" s="19">
        <f t="shared" si="403"/>
        <v>0.89098883837043552</v>
      </c>
      <c r="DA417" s="203">
        <f t="shared" si="404"/>
        <v>0.91115780962012238</v>
      </c>
      <c r="DB417" s="203">
        <f t="shared" si="405"/>
        <v>0.91115780962012238</v>
      </c>
      <c r="DC417" s="203">
        <f t="shared" si="406"/>
        <v>0.91115780962012238</v>
      </c>
      <c r="DD417" s="65"/>
      <c r="DE417" s="66"/>
      <c r="DF417" s="66"/>
      <c r="DG417" s="66"/>
      <c r="DH417" s="66"/>
      <c r="DI417" s="66"/>
      <c r="DJ417" s="66"/>
      <c r="DK417" s="70"/>
      <c r="DL417" s="70"/>
      <c r="DM417" s="8">
        <f t="shared" si="432"/>
        <v>0</v>
      </c>
      <c r="DN417" s="8">
        <f t="shared" si="433"/>
        <v>6738.5374253607679</v>
      </c>
      <c r="DO417" s="202">
        <f t="shared" si="415"/>
        <v>69109.856187489873</v>
      </c>
      <c r="DP417" s="202">
        <f t="shared" si="416"/>
        <v>69109.856187489873</v>
      </c>
      <c r="DQ417" s="202">
        <f t="shared" si="417"/>
        <v>69109.856187489873</v>
      </c>
      <c r="DR417" s="9">
        <f t="shared" si="418"/>
        <v>60780.775681830353</v>
      </c>
      <c r="DS417" s="9">
        <f t="shared" si="410"/>
        <v>69827.041696932152</v>
      </c>
      <c r="DT417" s="9">
        <f t="shared" si="419"/>
        <v>55076.576959524689</v>
      </c>
      <c r="DU417" s="202">
        <f t="shared" si="420"/>
        <v>69109.856187489873</v>
      </c>
      <c r="DV417" s="202">
        <f t="shared" si="421"/>
        <v>69109.856187489873</v>
      </c>
      <c r="DW417" s="202">
        <f t="shared" si="422"/>
        <v>69109.856187489873</v>
      </c>
      <c r="DX417" s="203">
        <f t="shared" si="423"/>
        <v>0.91115780962012238</v>
      </c>
      <c r="DY417" s="203">
        <f t="shared" si="424"/>
        <v>0.91115780962012238</v>
      </c>
      <c r="DZ417" s="203">
        <f t="shared" si="425"/>
        <v>0.91115780962012238</v>
      </c>
      <c r="EA417" s="19">
        <f t="shared" si="426"/>
        <v>0.90019837117325352</v>
      </c>
      <c r="EB417" s="19">
        <f t="shared" si="411"/>
        <v>0.9119899894625263</v>
      </c>
      <c r="EC417" s="19">
        <f t="shared" si="427"/>
        <v>0.89098883837043552</v>
      </c>
      <c r="ED417" s="203">
        <f t="shared" si="428"/>
        <v>0.91115780962012238</v>
      </c>
      <c r="EE417" s="203">
        <f t="shared" si="429"/>
        <v>0.91115780962012238</v>
      </c>
      <c r="EF417" s="203">
        <f t="shared" si="430"/>
        <v>0.91115780962012238</v>
      </c>
      <c r="EH417" s="58">
        <f t="shared" si="442"/>
        <v>6207.848114326187</v>
      </c>
      <c r="EI417" s="68">
        <f t="shared" si="443"/>
        <v>8.1078837063464498E-2</v>
      </c>
      <c r="EJ417" s="58">
        <f t="shared" si="444"/>
        <v>6207.848114326187</v>
      </c>
      <c r="EK417" s="68">
        <f t="shared" si="443"/>
        <v>8.1078837063464498E-2</v>
      </c>
      <c r="EL417" s="58">
        <f t="shared" si="445"/>
        <v>2700.0154358483969</v>
      </c>
      <c r="EM417" s="58">
        <f t="shared" si="446"/>
        <v>3057.3631143261869</v>
      </c>
      <c r="EN417" s="68">
        <f t="shared" si="447"/>
        <v>3.9931300061648738E-2</v>
      </c>
      <c r="EO417" s="139">
        <f t="shared" si="464"/>
        <v>0.3126447604730192</v>
      </c>
      <c r="EP417">
        <f>+(SUM(M417:O417)*EO417*(1-'[1]Tier 3 Data'!$A$2))</f>
        <v>846.24818529572963</v>
      </c>
    </row>
    <row r="418" spans="1:146" x14ac:dyDescent="0.2">
      <c r="A418" s="43">
        <v>0</v>
      </c>
      <c r="B418" s="43">
        <v>0</v>
      </c>
      <c r="C418" s="43">
        <v>0</v>
      </c>
      <c r="D418" s="70">
        <v>2042</v>
      </c>
      <c r="E418" s="70">
        <v>3</v>
      </c>
      <c r="F418" s="2">
        <v>743</v>
      </c>
      <c r="G418" s="133">
        <f t="shared" si="458"/>
        <v>49573.287263313352</v>
      </c>
      <c r="H418" s="65">
        <v>49573.287263313352</v>
      </c>
      <c r="I418" s="133">
        <f t="shared" si="459"/>
        <v>49573.287263313352</v>
      </c>
      <c r="J418" s="133">
        <f t="shared" si="440"/>
        <v>8221.556062499998</v>
      </c>
      <c r="K418" s="65">
        <v>8221.556062499998</v>
      </c>
      <c r="L418" s="133">
        <f t="shared" si="441"/>
        <v>8221.556062499998</v>
      </c>
      <c r="M418" s="65">
        <v>1050.2026341606518</v>
      </c>
      <c r="N418" s="65">
        <v>2261.4216180208796</v>
      </c>
      <c r="O418" s="65">
        <v>707.22710153149262</v>
      </c>
      <c r="P418" s="200">
        <f t="shared" si="434"/>
        <v>40146.075794699442</v>
      </c>
      <c r="Q418" s="200">
        <f t="shared" si="435"/>
        <v>40146.075794699442</v>
      </c>
      <c r="R418" s="200">
        <f t="shared" si="436"/>
        <v>40146.075794699442</v>
      </c>
      <c r="S418" s="133">
        <f t="shared" si="460"/>
        <v>41139.563070353906</v>
      </c>
      <c r="T418" s="133">
        <f t="shared" si="461"/>
        <v>41139.563070353906</v>
      </c>
      <c r="U418" s="133">
        <f t="shared" si="462"/>
        <v>41139.563070353906</v>
      </c>
      <c r="V418" s="200">
        <f t="shared" si="437"/>
        <v>40146.075794699442</v>
      </c>
      <c r="W418" s="200">
        <f t="shared" si="438"/>
        <v>40146.075794699442</v>
      </c>
      <c r="X418" s="200">
        <f t="shared" si="439"/>
        <v>40146.075794699442</v>
      </c>
      <c r="Y418" s="65">
        <v>25988.353809672455</v>
      </c>
      <c r="Z418" s="65">
        <v>33647.665104231746</v>
      </c>
      <c r="AA418" s="65">
        <v>20674.355397051466</v>
      </c>
      <c r="AB418" s="200">
        <f t="shared" si="451"/>
        <v>73793.740898931195</v>
      </c>
      <c r="AC418" s="200">
        <f t="shared" si="452"/>
        <v>73793.740898931195</v>
      </c>
      <c r="AD418" s="200">
        <f t="shared" si="453"/>
        <v>73793.740898931195</v>
      </c>
      <c r="AE418" s="199">
        <f t="shared" si="413"/>
        <v>67127.916880026358</v>
      </c>
      <c r="AF418" s="199">
        <f t="shared" si="454"/>
        <v>74787.228174585645</v>
      </c>
      <c r="AG418" s="199">
        <f t="shared" si="414"/>
        <v>61813.918467405369</v>
      </c>
      <c r="AH418" s="199">
        <f t="shared" si="463"/>
        <v>68300.573320995507</v>
      </c>
      <c r="AI418" s="200">
        <f t="shared" si="455"/>
        <v>73793.740898931195</v>
      </c>
      <c r="AJ418" s="200">
        <f t="shared" si="456"/>
        <v>73793.740898931195</v>
      </c>
      <c r="AK418" s="200">
        <f t="shared" si="457"/>
        <v>73793.740898931195</v>
      </c>
      <c r="AL418" s="4"/>
      <c r="AM418" s="4"/>
      <c r="AN418" s="4"/>
      <c r="AO418" s="4"/>
      <c r="AP418" s="63"/>
      <c r="AQ418" s="18"/>
      <c r="AR418" s="18"/>
      <c r="AS418" s="18"/>
      <c r="AT418" s="18">
        <v>0</v>
      </c>
      <c r="AU418" s="133">
        <f t="shared" ref="AU418" si="467">+AU406</f>
        <v>87.516000000000005</v>
      </c>
      <c r="AV418" s="133">
        <f t="shared" ref="AV418" si="468">+AV406</f>
        <v>3232.7139999999999</v>
      </c>
      <c r="AW418" s="194"/>
      <c r="AX418" s="194"/>
      <c r="AY418" s="194"/>
      <c r="AZ418" s="194"/>
      <c r="BA418" s="194"/>
      <c r="BB418" s="194"/>
      <c r="BC418" s="65">
        <v>0</v>
      </c>
      <c r="BD418" s="65">
        <v>0</v>
      </c>
      <c r="BE418" s="65">
        <v>0</v>
      </c>
      <c r="BF418" s="65">
        <v>0</v>
      </c>
      <c r="BG418" s="65">
        <v>0</v>
      </c>
      <c r="BH418" s="65">
        <v>0</v>
      </c>
      <c r="BI418" s="65">
        <v>1011.5724785570637</v>
      </c>
      <c r="BJ418" s="65">
        <v>0</v>
      </c>
      <c r="BK418" s="65">
        <v>18.41354506461348</v>
      </c>
      <c r="BL418" s="65">
        <v>0</v>
      </c>
      <c r="BM418" s="65">
        <v>0</v>
      </c>
      <c r="BN418" s="65">
        <v>0</v>
      </c>
      <c r="BO418" s="65">
        <v>136.58236865999999</v>
      </c>
      <c r="BP418" s="5"/>
      <c r="BQ418" s="5"/>
      <c r="BR418" s="65">
        <v>170.25983410287856</v>
      </c>
      <c r="BS418" s="65">
        <v>616.07866229374565</v>
      </c>
      <c r="BT418" s="65">
        <v>206.49540512972823</v>
      </c>
      <c r="BU418" s="65">
        <v>239.9666101318262</v>
      </c>
      <c r="BV418" s="144">
        <f t="shared" si="448"/>
        <v>735.14184391245624</v>
      </c>
      <c r="BW418" s="144">
        <f t="shared" si="449"/>
        <v>1582.9951326146156</v>
      </c>
      <c r="BX418" s="144">
        <f t="shared" si="450"/>
        <v>495.05897107204481</v>
      </c>
      <c r="BY418" s="5"/>
      <c r="BZ418" s="5"/>
      <c r="CA418" s="4"/>
      <c r="CB418" s="5"/>
      <c r="CC418" s="5"/>
      <c r="CD418" s="5"/>
      <c r="CE418" s="5"/>
      <c r="CF418" s="64"/>
      <c r="CG418" s="70"/>
      <c r="CH418" s="70"/>
      <c r="CI418" s="70"/>
      <c r="CJ418" s="63"/>
      <c r="CK418" s="8">
        <f t="shared" si="431"/>
        <v>8532.7948515389726</v>
      </c>
      <c r="CL418" s="202">
        <f t="shared" si="389"/>
        <v>65260.946047392223</v>
      </c>
      <c r="CM418" s="202">
        <f t="shared" si="390"/>
        <v>65260.946047392223</v>
      </c>
      <c r="CN418" s="202">
        <f t="shared" si="391"/>
        <v>65260.946047392223</v>
      </c>
      <c r="CO418" s="9">
        <f t="shared" si="392"/>
        <v>58595.122028487385</v>
      </c>
      <c r="CP418" s="9">
        <f t="shared" si="393"/>
        <v>66254.433323046673</v>
      </c>
      <c r="CQ418" s="9">
        <f t="shared" si="394"/>
        <v>53281.123615866396</v>
      </c>
      <c r="CR418" s="202">
        <f t="shared" si="395"/>
        <v>65260.946047392223</v>
      </c>
      <c r="CS418" s="202">
        <f t="shared" si="396"/>
        <v>65260.946047392223</v>
      </c>
      <c r="CT418" s="202">
        <f t="shared" si="397"/>
        <v>65260.946047392223</v>
      </c>
      <c r="CU418" s="203">
        <f t="shared" si="398"/>
        <v>0.88436966675499495</v>
      </c>
      <c r="CV418" s="203">
        <f t="shared" si="399"/>
        <v>0.88436966675499495</v>
      </c>
      <c r="CW418" s="203">
        <f t="shared" si="400"/>
        <v>0.88436966675499495</v>
      </c>
      <c r="CX418" s="19">
        <f t="shared" si="401"/>
        <v>0.87288753698719534</v>
      </c>
      <c r="CY418" s="19">
        <f t="shared" si="402"/>
        <v>0.88590572134028356</v>
      </c>
      <c r="CZ418" s="19">
        <f t="shared" si="403"/>
        <v>0.86195997498462529</v>
      </c>
      <c r="DA418" s="203">
        <f t="shared" si="404"/>
        <v>0.88436966675499495</v>
      </c>
      <c r="DB418" s="203">
        <f t="shared" si="405"/>
        <v>0.88436966675499495</v>
      </c>
      <c r="DC418" s="203">
        <f t="shared" si="406"/>
        <v>0.88436966675499495</v>
      </c>
      <c r="DD418" s="65"/>
      <c r="DE418" s="66"/>
      <c r="DF418" s="66"/>
      <c r="DG418" s="66"/>
      <c r="DH418" s="66"/>
      <c r="DI418" s="66"/>
      <c r="DJ418" s="66"/>
      <c r="DK418" s="70"/>
      <c r="DL418" s="70"/>
      <c r="DM418" s="8">
        <f t="shared" si="432"/>
        <v>0</v>
      </c>
      <c r="DN418" s="8">
        <f t="shared" si="433"/>
        <v>8532.7948515389726</v>
      </c>
      <c r="DO418" s="202">
        <f t="shared" si="415"/>
        <v>65260.946047392223</v>
      </c>
      <c r="DP418" s="202">
        <f t="shared" si="416"/>
        <v>65260.946047392223</v>
      </c>
      <c r="DQ418" s="202">
        <f t="shared" si="417"/>
        <v>65260.946047392223</v>
      </c>
      <c r="DR418" s="9">
        <f t="shared" si="418"/>
        <v>58595.122028487385</v>
      </c>
      <c r="DS418" s="9">
        <f t="shared" si="410"/>
        <v>66254.433323046673</v>
      </c>
      <c r="DT418" s="9">
        <f t="shared" si="419"/>
        <v>53281.123615866396</v>
      </c>
      <c r="DU418" s="202">
        <f t="shared" si="420"/>
        <v>65260.946047392223</v>
      </c>
      <c r="DV418" s="202">
        <f t="shared" si="421"/>
        <v>65260.946047392223</v>
      </c>
      <c r="DW418" s="202">
        <f t="shared" si="422"/>
        <v>65260.946047392223</v>
      </c>
      <c r="DX418" s="203">
        <f t="shared" si="423"/>
        <v>0.88436966675499495</v>
      </c>
      <c r="DY418" s="203">
        <f t="shared" si="424"/>
        <v>0.88436966675499495</v>
      </c>
      <c r="DZ418" s="203">
        <f t="shared" si="425"/>
        <v>0.88436966675499495</v>
      </c>
      <c r="EA418" s="19">
        <f t="shared" si="426"/>
        <v>0.87288753698719534</v>
      </c>
      <c r="EB418" s="19">
        <f t="shared" si="411"/>
        <v>0.88590572134028356</v>
      </c>
      <c r="EC418" s="19">
        <f t="shared" si="427"/>
        <v>0.86195997498462529</v>
      </c>
      <c r="ED418" s="203">
        <f t="shared" si="428"/>
        <v>0.88436966675499495</v>
      </c>
      <c r="EE418" s="203">
        <f t="shared" si="429"/>
        <v>0.88436966675499495</v>
      </c>
      <c r="EF418" s="203">
        <f t="shared" si="430"/>
        <v>0.88436966675499495</v>
      </c>
      <c r="EH418" s="58">
        <f t="shared" si="442"/>
        <v>7797.6530076265162</v>
      </c>
      <c r="EI418" s="68">
        <f t="shared" si="443"/>
        <v>0.10426450074367552</v>
      </c>
      <c r="EJ418" s="58">
        <f t="shared" si="444"/>
        <v>7797.6530076265162</v>
      </c>
      <c r="EK418" s="68">
        <f t="shared" si="443"/>
        <v>0.10426450074367552</v>
      </c>
      <c r="EL418" s="58">
        <f t="shared" si="445"/>
        <v>3982.364036554472</v>
      </c>
      <c r="EM418" s="58">
        <f t="shared" si="446"/>
        <v>4477.4230076265167</v>
      </c>
      <c r="EN418" s="68">
        <f t="shared" si="447"/>
        <v>5.9868818739668761E-2</v>
      </c>
      <c r="EO418" s="139">
        <f t="shared" si="464"/>
        <v>0.32861286969700848</v>
      </c>
      <c r="EP418">
        <f>+(SUM(M418:O418)*EO418*(1-'[1]Tier 3 Data'!$A$2))</f>
        <v>1232.162975721978</v>
      </c>
    </row>
    <row r="419" spans="1:146" x14ac:dyDescent="0.2">
      <c r="A419" s="43">
        <v>0</v>
      </c>
      <c r="B419" s="43">
        <v>0</v>
      </c>
      <c r="C419" s="43">
        <v>0</v>
      </c>
      <c r="D419" s="70">
        <v>2042</v>
      </c>
      <c r="E419" s="70">
        <v>4</v>
      </c>
      <c r="F419" s="2">
        <v>720</v>
      </c>
      <c r="G419" s="133">
        <f t="shared" si="458"/>
        <v>41674.016817629272</v>
      </c>
      <c r="H419" s="65">
        <v>41674.016817629272</v>
      </c>
      <c r="I419" s="133">
        <f t="shared" si="459"/>
        <v>41674.016817629272</v>
      </c>
      <c r="J419" s="133">
        <f t="shared" si="440"/>
        <v>8261.0194999999985</v>
      </c>
      <c r="K419" s="65">
        <v>8261.0194999999985</v>
      </c>
      <c r="L419" s="133">
        <f t="shared" si="441"/>
        <v>8261.0194999999985</v>
      </c>
      <c r="M419" s="65">
        <v>1418.2286880453187</v>
      </c>
      <c r="N419" s="65">
        <v>3053.8992287010965</v>
      </c>
      <c r="O419" s="65">
        <v>955.18752883715376</v>
      </c>
      <c r="P419" s="200">
        <f t="shared" si="434"/>
        <v>31784.8026839542</v>
      </c>
      <c r="Q419" s="200">
        <f t="shared" si="435"/>
        <v>31784.8026839542</v>
      </c>
      <c r="R419" s="200">
        <f t="shared" si="436"/>
        <v>31784.8026839542</v>
      </c>
      <c r="S419" s="133">
        <f t="shared" si="460"/>
        <v>33126.441058978126</v>
      </c>
      <c r="T419" s="133">
        <f t="shared" si="461"/>
        <v>33126.441058978126</v>
      </c>
      <c r="U419" s="133">
        <f t="shared" si="462"/>
        <v>33126.441058978126</v>
      </c>
      <c r="V419" s="200">
        <f t="shared" si="437"/>
        <v>31784.8026839542</v>
      </c>
      <c r="W419" s="200">
        <f t="shared" si="438"/>
        <v>31784.8026839542</v>
      </c>
      <c r="X419" s="200">
        <f t="shared" si="439"/>
        <v>31784.8026839542</v>
      </c>
      <c r="Y419" s="65">
        <v>22190.62794928125</v>
      </c>
      <c r="Z419" s="65">
        <v>27363.80205154778</v>
      </c>
      <c r="AA419" s="65">
        <v>17264.611897194594</v>
      </c>
      <c r="AB419" s="200">
        <f t="shared" si="451"/>
        <v>59148.604735501984</v>
      </c>
      <c r="AC419" s="200">
        <f t="shared" si="452"/>
        <v>59148.604735501984</v>
      </c>
      <c r="AD419" s="200">
        <f t="shared" si="453"/>
        <v>59148.604735501984</v>
      </c>
      <c r="AE419" s="199">
        <f t="shared" si="413"/>
        <v>55317.069008259379</v>
      </c>
      <c r="AF419" s="199">
        <f t="shared" si="454"/>
        <v>60490.243110525902</v>
      </c>
      <c r="AG419" s="199">
        <f t="shared" si="414"/>
        <v>50391.052956172716</v>
      </c>
      <c r="AH419" s="199">
        <f t="shared" si="463"/>
        <v>55440.648033349309</v>
      </c>
      <c r="AI419" s="200">
        <f t="shared" si="455"/>
        <v>59148.604735501984</v>
      </c>
      <c r="AJ419" s="200">
        <f t="shared" si="456"/>
        <v>59148.604735501984</v>
      </c>
      <c r="AK419" s="200">
        <f t="shared" si="457"/>
        <v>59148.604735501984</v>
      </c>
      <c r="AL419" s="4"/>
      <c r="AM419" s="4"/>
      <c r="AN419" s="4"/>
      <c r="AO419" s="4"/>
      <c r="AP419" s="63"/>
      <c r="AQ419" s="18"/>
      <c r="AR419" s="18"/>
      <c r="AS419" s="18"/>
      <c r="AT419" s="18">
        <v>0</v>
      </c>
      <c r="AU419" s="133">
        <f t="shared" ref="AU419" si="469">+AU407</f>
        <v>96.057000000000002</v>
      </c>
      <c r="AV419" s="133">
        <f t="shared" ref="AV419" si="470">+AV407</f>
        <v>3017.9659999999999</v>
      </c>
      <c r="AW419" s="194"/>
      <c r="AX419" s="194"/>
      <c r="AY419" s="194"/>
      <c r="AZ419" s="194"/>
      <c r="BA419" s="194"/>
      <c r="BB419" s="194"/>
      <c r="BC419" s="65">
        <v>0</v>
      </c>
      <c r="BD419" s="65">
        <v>0</v>
      </c>
      <c r="BE419" s="65">
        <v>0</v>
      </c>
      <c r="BF419" s="65">
        <v>0</v>
      </c>
      <c r="BG419" s="65">
        <v>0</v>
      </c>
      <c r="BH419" s="65">
        <v>0</v>
      </c>
      <c r="BI419" s="65">
        <v>1277.4069339488312</v>
      </c>
      <c r="BJ419" s="65">
        <v>0</v>
      </c>
      <c r="BK419" s="65">
        <v>18.970644706753731</v>
      </c>
      <c r="BL419" s="65">
        <v>0</v>
      </c>
      <c r="BM419" s="65">
        <v>0</v>
      </c>
      <c r="BN419" s="65">
        <v>0</v>
      </c>
      <c r="BO419" s="65">
        <v>132.17648579999999</v>
      </c>
      <c r="BP419" s="5"/>
      <c r="BQ419" s="5"/>
      <c r="BR419" s="65">
        <v>181.8147843603989</v>
      </c>
      <c r="BS419" s="65">
        <v>657.88980412840954</v>
      </c>
      <c r="BT419" s="65">
        <v>228.64953023781348</v>
      </c>
      <c r="BU419" s="65">
        <v>245.51715026333818</v>
      </c>
      <c r="BV419" s="144">
        <f t="shared" si="448"/>
        <v>992.76008163172298</v>
      </c>
      <c r="BW419" s="144">
        <f t="shared" si="449"/>
        <v>2137.7294600907676</v>
      </c>
      <c r="BX419" s="144">
        <f t="shared" si="450"/>
        <v>668.63127018600755</v>
      </c>
      <c r="BY419" s="5"/>
      <c r="BZ419" s="5"/>
      <c r="CA419" s="4"/>
      <c r="CB419" s="5"/>
      <c r="CC419" s="5"/>
      <c r="CD419" s="5"/>
      <c r="CE419" s="5"/>
      <c r="CF419" s="64"/>
      <c r="CG419" s="70"/>
      <c r="CH419" s="70"/>
      <c r="CI419" s="70"/>
      <c r="CJ419" s="63"/>
      <c r="CK419" s="8">
        <f t="shared" si="431"/>
        <v>9655.5691453540421</v>
      </c>
      <c r="CL419" s="202">
        <f t="shared" si="389"/>
        <v>49493.035590147942</v>
      </c>
      <c r="CM419" s="202">
        <f t="shared" si="390"/>
        <v>49493.035590147942</v>
      </c>
      <c r="CN419" s="202">
        <f t="shared" si="391"/>
        <v>49493.035590147942</v>
      </c>
      <c r="CO419" s="9">
        <f t="shared" si="392"/>
        <v>45661.499862905337</v>
      </c>
      <c r="CP419" s="9">
        <f t="shared" si="393"/>
        <v>50834.67396517186</v>
      </c>
      <c r="CQ419" s="9">
        <f t="shared" si="394"/>
        <v>40735.483810818674</v>
      </c>
      <c r="CR419" s="202">
        <f t="shared" si="395"/>
        <v>49493.035590147942</v>
      </c>
      <c r="CS419" s="202">
        <f t="shared" si="396"/>
        <v>49493.035590147942</v>
      </c>
      <c r="CT419" s="202">
        <f t="shared" si="397"/>
        <v>49493.035590147942</v>
      </c>
      <c r="CU419" s="203">
        <f t="shared" si="398"/>
        <v>0.83675744865781077</v>
      </c>
      <c r="CV419" s="203">
        <f t="shared" si="399"/>
        <v>0.83675744865781077</v>
      </c>
      <c r="CW419" s="203">
        <f t="shared" si="400"/>
        <v>0.83675744865781077</v>
      </c>
      <c r="CX419" s="19">
        <f t="shared" si="401"/>
        <v>0.82545045646015025</v>
      </c>
      <c r="CY419" s="19">
        <f t="shared" si="402"/>
        <v>0.84037807340744719</v>
      </c>
      <c r="CZ419" s="19">
        <f t="shared" si="403"/>
        <v>0.80838723188118511</v>
      </c>
      <c r="DA419" s="203">
        <f t="shared" si="404"/>
        <v>0.83675744865781077</v>
      </c>
      <c r="DB419" s="203">
        <f t="shared" si="405"/>
        <v>0.83675744865781077</v>
      </c>
      <c r="DC419" s="203">
        <f t="shared" si="406"/>
        <v>0.83675744865781077</v>
      </c>
      <c r="DD419" s="65"/>
      <c r="DE419" s="66"/>
      <c r="DF419" s="66"/>
      <c r="DG419" s="66"/>
      <c r="DH419" s="66"/>
      <c r="DI419" s="66"/>
      <c r="DJ419" s="66"/>
      <c r="DK419" s="70"/>
      <c r="DL419" s="70"/>
      <c r="DM419" s="8">
        <f t="shared" si="432"/>
        <v>0</v>
      </c>
      <c r="DN419" s="8">
        <f t="shared" si="433"/>
        <v>9655.5691453540421</v>
      </c>
      <c r="DO419" s="202">
        <f t="shared" si="415"/>
        <v>49493.035590147942</v>
      </c>
      <c r="DP419" s="202">
        <f t="shared" si="416"/>
        <v>49493.035590147942</v>
      </c>
      <c r="DQ419" s="202">
        <f t="shared" si="417"/>
        <v>49493.035590147942</v>
      </c>
      <c r="DR419" s="9">
        <f t="shared" si="418"/>
        <v>45661.499862905337</v>
      </c>
      <c r="DS419" s="9">
        <f t="shared" si="410"/>
        <v>50834.67396517186</v>
      </c>
      <c r="DT419" s="9">
        <f t="shared" si="419"/>
        <v>40735.483810818674</v>
      </c>
      <c r="DU419" s="202">
        <f t="shared" si="420"/>
        <v>49493.035590147942</v>
      </c>
      <c r="DV419" s="202">
        <f t="shared" si="421"/>
        <v>49493.035590147942</v>
      </c>
      <c r="DW419" s="202">
        <f t="shared" si="422"/>
        <v>49493.035590147942</v>
      </c>
      <c r="DX419" s="203">
        <f t="shared" si="423"/>
        <v>0.83675744865781077</v>
      </c>
      <c r="DY419" s="203">
        <f t="shared" si="424"/>
        <v>0.83675744865781077</v>
      </c>
      <c r="DZ419" s="203">
        <f t="shared" si="425"/>
        <v>0.83675744865781077</v>
      </c>
      <c r="EA419" s="19">
        <f t="shared" si="426"/>
        <v>0.82545045646015025</v>
      </c>
      <c r="EB419" s="19">
        <f t="shared" si="411"/>
        <v>0.84037807340744719</v>
      </c>
      <c r="EC419" s="19">
        <f t="shared" si="427"/>
        <v>0.80838723188118511</v>
      </c>
      <c r="ED419" s="203">
        <f t="shared" si="428"/>
        <v>0.83675744865781077</v>
      </c>
      <c r="EE419" s="203">
        <f t="shared" si="429"/>
        <v>0.83675744865781077</v>
      </c>
      <c r="EF419" s="203">
        <f t="shared" si="430"/>
        <v>0.83675744865781077</v>
      </c>
      <c r="EH419" s="58">
        <f t="shared" si="442"/>
        <v>8662.8090637223195</v>
      </c>
      <c r="EI419" s="68">
        <f t="shared" si="443"/>
        <v>0.14321002228233573</v>
      </c>
      <c r="EJ419" s="58">
        <f t="shared" si="444"/>
        <v>8662.8090637223195</v>
      </c>
      <c r="EK419" s="68">
        <f t="shared" si="443"/>
        <v>0.14321002228233573</v>
      </c>
      <c r="EL419" s="58">
        <f t="shared" si="445"/>
        <v>4880.1547935363124</v>
      </c>
      <c r="EM419" s="58">
        <f t="shared" si="446"/>
        <v>5548.7860637223203</v>
      </c>
      <c r="EN419" s="68">
        <f t="shared" si="447"/>
        <v>9.1730265550160714E-2</v>
      </c>
      <c r="EO419" s="139">
        <f t="shared" si="464"/>
        <v>0.35351678044029999</v>
      </c>
      <c r="EP419">
        <f>+(SUM(M419:O419)*EO419*(1-'[1]Tier 3 Data'!$A$2))</f>
        <v>1790.0977282119225</v>
      </c>
    </row>
    <row r="420" spans="1:146" x14ac:dyDescent="0.2">
      <c r="A420" s="43">
        <v>0</v>
      </c>
      <c r="B420" s="43">
        <v>0</v>
      </c>
      <c r="C420" s="43">
        <v>0</v>
      </c>
      <c r="D420" s="70">
        <v>2042</v>
      </c>
      <c r="E420" s="70">
        <v>5</v>
      </c>
      <c r="F420" s="2">
        <v>744</v>
      </c>
      <c r="G420" s="133">
        <f t="shared" si="458"/>
        <v>39728.251490128911</v>
      </c>
      <c r="H420" s="65">
        <v>39728.251490128911</v>
      </c>
      <c r="I420" s="133">
        <f t="shared" si="459"/>
        <v>39728.251490128911</v>
      </c>
      <c r="J420" s="133">
        <f t="shared" si="440"/>
        <v>8300.482937499999</v>
      </c>
      <c r="K420" s="65">
        <v>8300.482937499999</v>
      </c>
      <c r="L420" s="133">
        <f t="shared" si="441"/>
        <v>8300.482937499999</v>
      </c>
      <c r="M420" s="65">
        <v>1750.7817988213781</v>
      </c>
      <c r="N420" s="65">
        <v>3769.9922657844818</v>
      </c>
      <c r="O420" s="65">
        <v>1179.3342201657747</v>
      </c>
      <c r="P420" s="200">
        <f t="shared" si="434"/>
        <v>29417.736067197424</v>
      </c>
      <c r="Q420" s="200">
        <f t="shared" si="435"/>
        <v>29417.736067197424</v>
      </c>
      <c r="R420" s="200">
        <f t="shared" si="436"/>
        <v>29417.736067197424</v>
      </c>
      <c r="S420" s="133">
        <f t="shared" si="460"/>
        <v>31073.96828657918</v>
      </c>
      <c r="T420" s="133">
        <f t="shared" si="461"/>
        <v>31073.96828657918</v>
      </c>
      <c r="U420" s="133">
        <f t="shared" si="462"/>
        <v>31073.96828657918</v>
      </c>
      <c r="V420" s="200">
        <f t="shared" si="437"/>
        <v>29417.736067197424</v>
      </c>
      <c r="W420" s="200">
        <f t="shared" si="438"/>
        <v>29417.736067197424</v>
      </c>
      <c r="X420" s="200">
        <f t="shared" si="439"/>
        <v>29417.736067197424</v>
      </c>
      <c r="Y420" s="65">
        <v>17943.440745196214</v>
      </c>
      <c r="Z420" s="65">
        <v>21107.591309826548</v>
      </c>
      <c r="AA420" s="65">
        <v>13699.701502726857</v>
      </c>
      <c r="AB420" s="200">
        <f t="shared" si="451"/>
        <v>50525.327377023976</v>
      </c>
      <c r="AC420" s="200">
        <f t="shared" si="452"/>
        <v>50525.327377023976</v>
      </c>
      <c r="AD420" s="200">
        <f t="shared" si="453"/>
        <v>50525.327377023976</v>
      </c>
      <c r="AE420" s="199">
        <f t="shared" si="413"/>
        <v>49017.409031775394</v>
      </c>
      <c r="AF420" s="199">
        <f t="shared" si="454"/>
        <v>52181.559596405728</v>
      </c>
      <c r="AG420" s="199">
        <f t="shared" si="414"/>
        <v>44773.669789306034</v>
      </c>
      <c r="AH420" s="199">
        <f t="shared" si="463"/>
        <v>48477.614692855881</v>
      </c>
      <c r="AI420" s="200">
        <f t="shared" si="455"/>
        <v>50525.327377023976</v>
      </c>
      <c r="AJ420" s="200">
        <f t="shared" si="456"/>
        <v>50525.327377023976</v>
      </c>
      <c r="AK420" s="200">
        <f t="shared" si="457"/>
        <v>50525.327377023976</v>
      </c>
      <c r="AL420" s="4"/>
      <c r="AM420" s="4"/>
      <c r="AN420" s="4"/>
      <c r="AO420" s="4"/>
      <c r="AP420" s="63"/>
      <c r="AQ420" s="18"/>
      <c r="AR420" s="18"/>
      <c r="AS420" s="18"/>
      <c r="AT420" s="18">
        <v>0</v>
      </c>
      <c r="AU420" s="133">
        <f t="shared" ref="AU420" si="471">+AU408</f>
        <v>109.161</v>
      </c>
      <c r="AV420" s="133">
        <f t="shared" ref="AV420" si="472">+AV408</f>
        <v>3327.41</v>
      </c>
      <c r="AW420" s="194"/>
      <c r="AX420" s="194"/>
      <c r="AY420" s="194"/>
      <c r="AZ420" s="194"/>
      <c r="BA420" s="194"/>
      <c r="BB420" s="194"/>
      <c r="BC420" s="65">
        <v>0</v>
      </c>
      <c r="BD420" s="65">
        <v>0</v>
      </c>
      <c r="BE420" s="65">
        <v>0</v>
      </c>
      <c r="BF420" s="65">
        <v>0</v>
      </c>
      <c r="BG420" s="65">
        <v>0</v>
      </c>
      <c r="BH420" s="65">
        <v>0</v>
      </c>
      <c r="BI420" s="65">
        <v>1282.903144790148</v>
      </c>
      <c r="BJ420" s="65">
        <v>0</v>
      </c>
      <c r="BK420" s="65">
        <v>12.105031611493668</v>
      </c>
      <c r="BL420" s="65">
        <v>0</v>
      </c>
      <c r="BM420" s="65">
        <v>0</v>
      </c>
      <c r="BN420" s="65">
        <v>0</v>
      </c>
      <c r="BO420" s="65">
        <v>136.58236865999999</v>
      </c>
      <c r="BP420" s="5"/>
      <c r="BQ420" s="5"/>
      <c r="BR420" s="65">
        <v>209.3871997961011</v>
      </c>
      <c r="BS420" s="65">
        <v>757.65953060312404</v>
      </c>
      <c r="BT420" s="65">
        <v>236.30764701785751</v>
      </c>
      <c r="BU420" s="65">
        <v>280.77370349578337</v>
      </c>
      <c r="BV420" s="144">
        <f t="shared" si="448"/>
        <v>1225.5472591749647</v>
      </c>
      <c r="BW420" s="144">
        <f t="shared" si="449"/>
        <v>2638.9945860491371</v>
      </c>
      <c r="BX420" s="144">
        <f t="shared" si="450"/>
        <v>825.5339541160422</v>
      </c>
      <c r="BY420" s="5"/>
      <c r="BZ420" s="5"/>
      <c r="CA420" s="4"/>
      <c r="CB420" s="5"/>
      <c r="CC420" s="5"/>
      <c r="CD420" s="5"/>
      <c r="CE420" s="5"/>
      <c r="CF420" s="64"/>
      <c r="CG420" s="70"/>
      <c r="CH420" s="70"/>
      <c r="CI420" s="70"/>
      <c r="CJ420" s="63"/>
      <c r="CK420" s="8">
        <f t="shared" si="431"/>
        <v>11042.365425314652</v>
      </c>
      <c r="CL420" s="202">
        <f t="shared" si="389"/>
        <v>39482.961951709323</v>
      </c>
      <c r="CM420" s="202">
        <f t="shared" si="390"/>
        <v>39482.961951709323</v>
      </c>
      <c r="CN420" s="202">
        <f t="shared" si="391"/>
        <v>39482.961951709323</v>
      </c>
      <c r="CO420" s="9">
        <f t="shared" si="392"/>
        <v>37975.043606460742</v>
      </c>
      <c r="CP420" s="9">
        <f t="shared" si="393"/>
        <v>41139.194171091076</v>
      </c>
      <c r="CQ420" s="9">
        <f t="shared" si="394"/>
        <v>33731.304363991381</v>
      </c>
      <c r="CR420" s="202">
        <f t="shared" si="395"/>
        <v>39482.961951709323</v>
      </c>
      <c r="CS420" s="202">
        <f t="shared" si="396"/>
        <v>39482.961951709323</v>
      </c>
      <c r="CT420" s="202">
        <f t="shared" si="397"/>
        <v>39482.961951709323</v>
      </c>
      <c r="CU420" s="203">
        <f t="shared" si="398"/>
        <v>0.78144890892214014</v>
      </c>
      <c r="CV420" s="203">
        <f t="shared" si="399"/>
        <v>0.78144890892214014</v>
      </c>
      <c r="CW420" s="203">
        <f t="shared" si="400"/>
        <v>0.78144890892214014</v>
      </c>
      <c r="CX420" s="19">
        <f t="shared" si="401"/>
        <v>0.77472564047282733</v>
      </c>
      <c r="CY420" s="19">
        <f t="shared" si="402"/>
        <v>0.78838567665050674</v>
      </c>
      <c r="CZ420" s="19">
        <f t="shared" si="403"/>
        <v>0.75337367972566627</v>
      </c>
      <c r="DA420" s="203">
        <f t="shared" si="404"/>
        <v>0.78144890892214014</v>
      </c>
      <c r="DB420" s="203">
        <f t="shared" si="405"/>
        <v>0.78144890892214014</v>
      </c>
      <c r="DC420" s="203">
        <f t="shared" si="406"/>
        <v>0.78144890892214014</v>
      </c>
      <c r="DD420" s="65"/>
      <c r="DE420" s="66"/>
      <c r="DF420" s="66"/>
      <c r="DG420" s="66"/>
      <c r="DH420" s="66"/>
      <c r="DI420" s="66"/>
      <c r="DJ420" s="66"/>
      <c r="DK420" s="70"/>
      <c r="DL420" s="70"/>
      <c r="DM420" s="8">
        <f t="shared" si="432"/>
        <v>0</v>
      </c>
      <c r="DN420" s="8">
        <f t="shared" si="433"/>
        <v>11042.365425314652</v>
      </c>
      <c r="DO420" s="202">
        <f t="shared" si="415"/>
        <v>39482.961951709323</v>
      </c>
      <c r="DP420" s="202">
        <f t="shared" si="416"/>
        <v>39482.961951709323</v>
      </c>
      <c r="DQ420" s="202">
        <f t="shared" si="417"/>
        <v>39482.961951709323</v>
      </c>
      <c r="DR420" s="9">
        <f t="shared" si="418"/>
        <v>37975.043606460742</v>
      </c>
      <c r="DS420" s="9">
        <f t="shared" si="410"/>
        <v>41139.194171091076</v>
      </c>
      <c r="DT420" s="9">
        <f t="shared" si="419"/>
        <v>33731.304363991381</v>
      </c>
      <c r="DU420" s="202">
        <f t="shared" si="420"/>
        <v>39482.961951709323</v>
      </c>
      <c r="DV420" s="202">
        <f t="shared" si="421"/>
        <v>39482.961951709323</v>
      </c>
      <c r="DW420" s="202">
        <f t="shared" si="422"/>
        <v>39482.961951709323</v>
      </c>
      <c r="DX420" s="203">
        <f t="shared" si="423"/>
        <v>0.78144890892214014</v>
      </c>
      <c r="DY420" s="203">
        <f t="shared" si="424"/>
        <v>0.78144890892214014</v>
      </c>
      <c r="DZ420" s="203">
        <f t="shared" si="425"/>
        <v>0.78144890892214014</v>
      </c>
      <c r="EA420" s="19">
        <f t="shared" si="426"/>
        <v>0.77472564047282733</v>
      </c>
      <c r="EB420" s="19">
        <f t="shared" si="411"/>
        <v>0.78838567665050674</v>
      </c>
      <c r="EC420" s="19">
        <f t="shared" si="427"/>
        <v>0.75337367972566627</v>
      </c>
      <c r="ED420" s="203">
        <f t="shared" si="428"/>
        <v>0.78144890892214014</v>
      </c>
      <c r="EE420" s="203">
        <f t="shared" si="429"/>
        <v>0.78144890892214014</v>
      </c>
      <c r="EF420" s="203">
        <f t="shared" si="430"/>
        <v>0.78144890892214014</v>
      </c>
      <c r="EH420" s="58">
        <f t="shared" si="442"/>
        <v>9816.8181661396884</v>
      </c>
      <c r="EI420" s="68">
        <f t="shared" si="443"/>
        <v>0.18812810966301344</v>
      </c>
      <c r="EJ420" s="58">
        <f t="shared" si="444"/>
        <v>9816.8181661396884</v>
      </c>
      <c r="EK420" s="68">
        <f t="shared" si="443"/>
        <v>0.18812810966301344</v>
      </c>
      <c r="EL420" s="58">
        <f t="shared" si="445"/>
        <v>5554.7132120236447</v>
      </c>
      <c r="EM420" s="58">
        <f t="shared" si="446"/>
        <v>6380.2471661396867</v>
      </c>
      <c r="EN420" s="68">
        <f t="shared" si="447"/>
        <v>0.12227015090172121</v>
      </c>
      <c r="EO420" s="139">
        <f t="shared" si="464"/>
        <v>0.28868615856523006</v>
      </c>
      <c r="EP420">
        <f>+(SUM(M420:O420)*EO420*(1-'[1]Tier 3 Data'!$A$2))</f>
        <v>1804.6352116807755</v>
      </c>
    </row>
    <row r="421" spans="1:146" x14ac:dyDescent="0.2">
      <c r="A421" s="43">
        <v>0</v>
      </c>
      <c r="B421" s="43">
        <v>0</v>
      </c>
      <c r="C421" s="43">
        <v>0</v>
      </c>
      <c r="D421" s="70">
        <v>2042</v>
      </c>
      <c r="E421" s="70">
        <v>6</v>
      </c>
      <c r="F421" s="2">
        <v>720</v>
      </c>
      <c r="G421" s="133">
        <f t="shared" si="458"/>
        <v>42250.463683829788</v>
      </c>
      <c r="H421" s="65">
        <v>42250.463683829788</v>
      </c>
      <c r="I421" s="133">
        <f t="shared" si="459"/>
        <v>42250.463683829788</v>
      </c>
      <c r="J421" s="133">
        <f t="shared" si="440"/>
        <v>8339.9463749999995</v>
      </c>
      <c r="K421" s="65">
        <v>8339.9463749999995</v>
      </c>
      <c r="L421" s="133">
        <f t="shared" si="441"/>
        <v>8339.9463749999995</v>
      </c>
      <c r="M421" s="65">
        <v>1630.7561929849653</v>
      </c>
      <c r="N421" s="65">
        <v>3511.538810303055</v>
      </c>
      <c r="O421" s="65">
        <v>1098.795684563062</v>
      </c>
      <c r="P421" s="200">
        <f t="shared" si="434"/>
        <v>32038.190102474466</v>
      </c>
      <c r="Q421" s="200">
        <f t="shared" si="435"/>
        <v>32038.190102474466</v>
      </c>
      <c r="R421" s="200">
        <f t="shared" si="436"/>
        <v>32038.190102474466</v>
      </c>
      <c r="S421" s="133">
        <f t="shared" si="460"/>
        <v>33580.878603460871</v>
      </c>
      <c r="T421" s="133">
        <f t="shared" si="461"/>
        <v>33580.878603460871</v>
      </c>
      <c r="U421" s="133">
        <f t="shared" si="462"/>
        <v>33580.878603460871</v>
      </c>
      <c r="V421" s="200">
        <f t="shared" si="437"/>
        <v>32038.190102474466</v>
      </c>
      <c r="W421" s="200">
        <f t="shared" si="438"/>
        <v>32038.190102474466</v>
      </c>
      <c r="X421" s="200">
        <f t="shared" si="439"/>
        <v>32038.190102474466</v>
      </c>
      <c r="Y421" s="65">
        <v>18884.708500403976</v>
      </c>
      <c r="Z421" s="65">
        <v>22531.621226150837</v>
      </c>
      <c r="AA421" s="65">
        <v>14666.655472478435</v>
      </c>
      <c r="AB421" s="200">
        <f t="shared" si="451"/>
        <v>54569.811328625306</v>
      </c>
      <c r="AC421" s="200">
        <f t="shared" si="452"/>
        <v>54569.811328625306</v>
      </c>
      <c r="AD421" s="200">
        <f t="shared" si="453"/>
        <v>54569.811328625306</v>
      </c>
      <c r="AE421" s="199">
        <f t="shared" si="413"/>
        <v>52465.587103864847</v>
      </c>
      <c r="AF421" s="199">
        <f t="shared" si="454"/>
        <v>56112.499829611712</v>
      </c>
      <c r="AG421" s="199">
        <f t="shared" si="414"/>
        <v>48247.534075939308</v>
      </c>
      <c r="AH421" s="199">
        <f t="shared" si="463"/>
        <v>52180.016952775506</v>
      </c>
      <c r="AI421" s="200">
        <f t="shared" si="455"/>
        <v>54569.811328625306</v>
      </c>
      <c r="AJ421" s="200">
        <f t="shared" si="456"/>
        <v>54569.811328625306</v>
      </c>
      <c r="AK421" s="200">
        <f t="shared" si="457"/>
        <v>54569.811328625306</v>
      </c>
      <c r="AL421" s="4"/>
      <c r="AM421" s="4"/>
      <c r="AN421" s="4"/>
      <c r="AO421" s="4"/>
      <c r="AP421" s="63"/>
      <c r="AQ421" s="18"/>
      <c r="AR421" s="18"/>
      <c r="AS421" s="18"/>
      <c r="AT421" s="18">
        <v>0</v>
      </c>
      <c r="AU421" s="133">
        <f t="shared" ref="AU421" si="473">+AU409</f>
        <v>128.934</v>
      </c>
      <c r="AV421" s="133">
        <f t="shared" ref="AV421" si="474">+AV409</f>
        <v>3110.2840000000001</v>
      </c>
      <c r="AW421" s="194"/>
      <c r="AX421" s="194"/>
      <c r="AY421" s="194"/>
      <c r="AZ421" s="194"/>
      <c r="BA421" s="194"/>
      <c r="BB421" s="194"/>
      <c r="BC421" s="65">
        <v>0</v>
      </c>
      <c r="BD421" s="65">
        <v>0</v>
      </c>
      <c r="BE421" s="65">
        <v>0</v>
      </c>
      <c r="BF421" s="65">
        <v>0</v>
      </c>
      <c r="BG421" s="65">
        <v>0</v>
      </c>
      <c r="BH421" s="65">
        <v>0</v>
      </c>
      <c r="BI421" s="65">
        <v>1363.4814072257761</v>
      </c>
      <c r="BJ421" s="65">
        <v>0</v>
      </c>
      <c r="BK421" s="65">
        <v>11.166983089334117</v>
      </c>
      <c r="BL421" s="65">
        <v>0</v>
      </c>
      <c r="BM421" s="65">
        <v>0</v>
      </c>
      <c r="BN421" s="65">
        <v>0</v>
      </c>
      <c r="BO421" s="65">
        <v>132.17648579999999</v>
      </c>
      <c r="BP421" s="5"/>
      <c r="BQ421" s="5"/>
      <c r="BR421" s="65">
        <v>203.57856894508268</v>
      </c>
      <c r="BS421" s="65">
        <v>736.64121907364427</v>
      </c>
      <c r="BT421" s="65">
        <v>247.35025526431218</v>
      </c>
      <c r="BU421" s="65">
        <v>273.4319462742647</v>
      </c>
      <c r="BV421" s="144">
        <f t="shared" si="448"/>
        <v>1141.5293350894756</v>
      </c>
      <c r="BW421" s="144">
        <f t="shared" si="449"/>
        <v>2458.0771672121382</v>
      </c>
      <c r="BX421" s="144">
        <f t="shared" si="450"/>
        <v>769.15697919414333</v>
      </c>
      <c r="BY421" s="5"/>
      <c r="BZ421" s="5"/>
      <c r="CA421" s="4"/>
      <c r="CB421" s="5"/>
      <c r="CC421" s="5"/>
      <c r="CD421" s="5"/>
      <c r="CE421" s="5"/>
      <c r="CF421" s="64"/>
      <c r="CG421" s="70"/>
      <c r="CH421" s="70"/>
      <c r="CI421" s="70"/>
      <c r="CJ421" s="63"/>
      <c r="CK421" s="8">
        <f t="shared" si="431"/>
        <v>10575.808347168171</v>
      </c>
      <c r="CL421" s="202">
        <f t="shared" si="389"/>
        <v>43994.002981457132</v>
      </c>
      <c r="CM421" s="202">
        <f t="shared" si="390"/>
        <v>43994.002981457132</v>
      </c>
      <c r="CN421" s="202">
        <f t="shared" si="391"/>
        <v>43994.002981457132</v>
      </c>
      <c r="CO421" s="9">
        <f t="shared" si="392"/>
        <v>41889.778756696673</v>
      </c>
      <c r="CP421" s="9">
        <f t="shared" si="393"/>
        <v>45536.691482443537</v>
      </c>
      <c r="CQ421" s="9">
        <f t="shared" si="394"/>
        <v>37671.72572877114</v>
      </c>
      <c r="CR421" s="202">
        <f t="shared" si="395"/>
        <v>43994.002981457132</v>
      </c>
      <c r="CS421" s="202">
        <f t="shared" si="396"/>
        <v>43994.002981457132</v>
      </c>
      <c r="CT421" s="202">
        <f t="shared" si="397"/>
        <v>43994.002981457132</v>
      </c>
      <c r="CU421" s="203">
        <f t="shared" si="398"/>
        <v>0.80619672141654453</v>
      </c>
      <c r="CV421" s="203">
        <f t="shared" si="399"/>
        <v>0.80619672141654453</v>
      </c>
      <c r="CW421" s="203">
        <f t="shared" si="400"/>
        <v>0.80619672141654453</v>
      </c>
      <c r="CX421" s="19">
        <f t="shared" si="401"/>
        <v>0.79842390162848065</v>
      </c>
      <c r="CY421" s="19">
        <f t="shared" si="402"/>
        <v>0.81152491193081533</v>
      </c>
      <c r="CZ421" s="19">
        <f t="shared" si="403"/>
        <v>0.78080105958322443</v>
      </c>
      <c r="DA421" s="203">
        <f t="shared" si="404"/>
        <v>0.80619672141654453</v>
      </c>
      <c r="DB421" s="203">
        <f t="shared" si="405"/>
        <v>0.80619672141654453</v>
      </c>
      <c r="DC421" s="203">
        <f t="shared" si="406"/>
        <v>0.80619672141654453</v>
      </c>
      <c r="DD421" s="65"/>
      <c r="DE421" s="66"/>
      <c r="DF421" s="66"/>
      <c r="DG421" s="66"/>
      <c r="DH421" s="66"/>
      <c r="DI421" s="66"/>
      <c r="DJ421" s="66"/>
      <c r="DK421" s="70"/>
      <c r="DL421" s="70"/>
      <c r="DM421" s="8">
        <f t="shared" si="432"/>
        <v>0</v>
      </c>
      <c r="DN421" s="8">
        <f t="shared" si="433"/>
        <v>10575.808347168171</v>
      </c>
      <c r="DO421" s="202">
        <f t="shared" si="415"/>
        <v>43994.002981457132</v>
      </c>
      <c r="DP421" s="202">
        <f t="shared" si="416"/>
        <v>43994.002981457132</v>
      </c>
      <c r="DQ421" s="202">
        <f t="shared" si="417"/>
        <v>43994.002981457132</v>
      </c>
      <c r="DR421" s="9">
        <f t="shared" si="418"/>
        <v>41889.778756696673</v>
      </c>
      <c r="DS421" s="9">
        <f t="shared" si="410"/>
        <v>45536.691482443537</v>
      </c>
      <c r="DT421" s="9">
        <f t="shared" si="419"/>
        <v>37671.72572877114</v>
      </c>
      <c r="DU421" s="202">
        <f t="shared" si="420"/>
        <v>43994.002981457132</v>
      </c>
      <c r="DV421" s="202">
        <f t="shared" si="421"/>
        <v>43994.002981457132</v>
      </c>
      <c r="DW421" s="202">
        <f t="shared" si="422"/>
        <v>43994.002981457132</v>
      </c>
      <c r="DX421" s="203">
        <f t="shared" si="423"/>
        <v>0.80619672141654453</v>
      </c>
      <c r="DY421" s="203">
        <f t="shared" si="424"/>
        <v>0.80619672141654453</v>
      </c>
      <c r="DZ421" s="203">
        <f t="shared" si="425"/>
        <v>0.80619672141654453</v>
      </c>
      <c r="EA421" s="19">
        <f t="shared" si="426"/>
        <v>0.79842390162848065</v>
      </c>
      <c r="EB421" s="19">
        <f t="shared" si="411"/>
        <v>0.81152491193081533</v>
      </c>
      <c r="EC421" s="19">
        <f t="shared" si="427"/>
        <v>0.78080105958322443</v>
      </c>
      <c r="ED421" s="203">
        <f t="shared" si="428"/>
        <v>0.80619672141654453</v>
      </c>
      <c r="EE421" s="203">
        <f t="shared" si="429"/>
        <v>0.80619672141654453</v>
      </c>
      <c r="EF421" s="203">
        <f t="shared" si="430"/>
        <v>0.80619672141654453</v>
      </c>
      <c r="EH421" s="58">
        <f t="shared" si="442"/>
        <v>9434.2790120786958</v>
      </c>
      <c r="EI421" s="68">
        <f t="shared" si="443"/>
        <v>0.1681315044014495</v>
      </c>
      <c r="EJ421" s="58">
        <f t="shared" si="444"/>
        <v>9434.2790120786958</v>
      </c>
      <c r="EK421" s="68">
        <f t="shared" si="443"/>
        <v>0.1681315044014495</v>
      </c>
      <c r="EL421" s="58">
        <f t="shared" si="445"/>
        <v>5425.9040328845513</v>
      </c>
      <c r="EM421" s="58">
        <f t="shared" si="446"/>
        <v>6195.0610120786951</v>
      </c>
      <c r="EN421" s="68">
        <f t="shared" si="447"/>
        <v>0.11040429549370094</v>
      </c>
      <c r="EO421" s="139">
        <f t="shared" si="464"/>
        <v>0.24029016665052916</v>
      </c>
      <c r="EP421">
        <f>+(SUM(M421:O421)*EO421*(1-'[1]Tier 3 Data'!$A$2))</f>
        <v>1399.1946491266604</v>
      </c>
    </row>
    <row r="422" spans="1:146" x14ac:dyDescent="0.2">
      <c r="A422" s="43">
        <v>0</v>
      </c>
      <c r="B422" s="43">
        <v>0</v>
      </c>
      <c r="C422" s="43">
        <v>0</v>
      </c>
      <c r="D422" s="70">
        <v>2042</v>
      </c>
      <c r="E422" s="70">
        <v>7</v>
      </c>
      <c r="F422" s="2">
        <v>744</v>
      </c>
      <c r="G422" s="133">
        <f t="shared" si="458"/>
        <v>48518.764005431221</v>
      </c>
      <c r="H422" s="65">
        <v>48518.764005431221</v>
      </c>
      <c r="I422" s="133">
        <f t="shared" si="459"/>
        <v>48518.764005431221</v>
      </c>
      <c r="J422" s="133">
        <f t="shared" si="440"/>
        <v>8379.4098125</v>
      </c>
      <c r="K422" s="65">
        <v>8379.4098125</v>
      </c>
      <c r="L422" s="133">
        <f t="shared" si="441"/>
        <v>8379.4098125</v>
      </c>
      <c r="M422" s="65">
        <v>1709.2251160000674</v>
      </c>
      <c r="N422" s="65">
        <v>3680.5074579497937</v>
      </c>
      <c r="O422" s="65">
        <v>1151.9748927577591</v>
      </c>
      <c r="P422" s="200">
        <f t="shared" si="434"/>
        <v>38176.841952918934</v>
      </c>
      <c r="Q422" s="200">
        <f t="shared" si="435"/>
        <v>38176.841952918934</v>
      </c>
      <c r="R422" s="200">
        <f t="shared" si="436"/>
        <v>38176.841952918934</v>
      </c>
      <c r="S422" s="133">
        <f t="shared" si="460"/>
        <v>39793.76172510389</v>
      </c>
      <c r="T422" s="133">
        <f t="shared" si="461"/>
        <v>39793.76172510389</v>
      </c>
      <c r="U422" s="133">
        <f t="shared" si="462"/>
        <v>39793.76172510389</v>
      </c>
      <c r="V422" s="200">
        <f t="shared" si="437"/>
        <v>38176.841952918934</v>
      </c>
      <c r="W422" s="200">
        <f t="shared" si="438"/>
        <v>38176.841952918934</v>
      </c>
      <c r="X422" s="200">
        <f t="shared" si="439"/>
        <v>38176.841952918934</v>
      </c>
      <c r="Y422" s="65">
        <v>20575.704109827639</v>
      </c>
      <c r="Z422" s="65">
        <v>25890.105302501743</v>
      </c>
      <c r="AA422" s="65">
        <v>16387.0709958548</v>
      </c>
      <c r="AB422" s="200">
        <f t="shared" si="451"/>
        <v>64066.947255420673</v>
      </c>
      <c r="AC422" s="200">
        <f t="shared" si="452"/>
        <v>64066.947255420673</v>
      </c>
      <c r="AD422" s="200">
        <f t="shared" si="453"/>
        <v>64066.947255420673</v>
      </c>
      <c r="AE422" s="199">
        <f t="shared" si="413"/>
        <v>60369.465834931529</v>
      </c>
      <c r="AF422" s="199">
        <f t="shared" si="454"/>
        <v>65683.867027605636</v>
      </c>
      <c r="AG422" s="199">
        <f t="shared" si="414"/>
        <v>56180.832720958686</v>
      </c>
      <c r="AH422" s="199">
        <f t="shared" si="463"/>
        <v>60932.349874282161</v>
      </c>
      <c r="AI422" s="200">
        <f t="shared" si="455"/>
        <v>64066.947255420673</v>
      </c>
      <c r="AJ422" s="200">
        <f t="shared" si="456"/>
        <v>64066.947255420673</v>
      </c>
      <c r="AK422" s="200">
        <f t="shared" si="457"/>
        <v>64066.947255420673</v>
      </c>
      <c r="AL422" s="4"/>
      <c r="AM422" s="4"/>
      <c r="AN422" s="4"/>
      <c r="AO422" s="4"/>
      <c r="AP422" s="63"/>
      <c r="AQ422" s="18"/>
      <c r="AR422" s="18"/>
      <c r="AS422" s="18"/>
      <c r="AT422" s="18">
        <v>0</v>
      </c>
      <c r="AU422" s="133">
        <f t="shared" ref="AU422" si="475">+AU410</f>
        <v>118.521</v>
      </c>
      <c r="AV422" s="133">
        <f t="shared" ref="AV422" si="476">+AV410</f>
        <v>3084.53</v>
      </c>
      <c r="AW422" s="194"/>
      <c r="AX422" s="194"/>
      <c r="AY422" s="194"/>
      <c r="AZ422" s="194"/>
      <c r="BA422" s="194"/>
      <c r="BB422" s="194"/>
      <c r="BC422" s="65">
        <v>0</v>
      </c>
      <c r="BD422" s="65">
        <v>0</v>
      </c>
      <c r="BE422" s="65">
        <v>0</v>
      </c>
      <c r="BF422" s="65">
        <v>0</v>
      </c>
      <c r="BG422" s="65">
        <v>0</v>
      </c>
      <c r="BH422" s="65">
        <v>0</v>
      </c>
      <c r="BI422" s="65">
        <v>1320.4601787763195</v>
      </c>
      <c r="BJ422" s="65">
        <v>0</v>
      </c>
      <c r="BK422" s="65">
        <v>9.087916481740713</v>
      </c>
      <c r="BL422" s="65">
        <v>0</v>
      </c>
      <c r="BM422" s="65">
        <v>0</v>
      </c>
      <c r="BN422" s="65">
        <v>0</v>
      </c>
      <c r="BO422" s="65">
        <v>23.013036</v>
      </c>
      <c r="BP422" s="5"/>
      <c r="BQ422" s="5"/>
      <c r="BR422" s="65">
        <v>205.93118189158335</v>
      </c>
      <c r="BS422" s="65">
        <v>745.15405848731439</v>
      </c>
      <c r="BT422" s="65">
        <v>255.57621131428681</v>
      </c>
      <c r="BU422" s="65">
        <v>281.13338606688745</v>
      </c>
      <c r="BV422" s="144">
        <f t="shared" si="448"/>
        <v>1196.4575812000471</v>
      </c>
      <c r="BW422" s="144">
        <f t="shared" si="449"/>
        <v>2576.3552205648552</v>
      </c>
      <c r="BX422" s="144">
        <f t="shared" si="450"/>
        <v>806.38242493043128</v>
      </c>
      <c r="BY422" s="5"/>
      <c r="BZ422" s="5"/>
      <c r="CA422" s="4"/>
      <c r="CB422" s="5"/>
      <c r="CC422" s="5"/>
      <c r="CD422" s="5"/>
      <c r="CE422" s="5"/>
      <c r="CF422" s="64"/>
      <c r="CG422" s="70"/>
      <c r="CH422" s="70"/>
      <c r="CI422" s="70"/>
      <c r="CJ422" s="63"/>
      <c r="CK422" s="8">
        <f t="shared" si="431"/>
        <v>10622.602195713465</v>
      </c>
      <c r="CL422" s="202">
        <f t="shared" si="389"/>
        <v>53444.345059707208</v>
      </c>
      <c r="CM422" s="202">
        <f t="shared" si="390"/>
        <v>53444.345059707208</v>
      </c>
      <c r="CN422" s="202">
        <f t="shared" si="391"/>
        <v>53444.345059707208</v>
      </c>
      <c r="CO422" s="9">
        <f t="shared" si="392"/>
        <v>49746.863639218063</v>
      </c>
      <c r="CP422" s="9">
        <f t="shared" si="393"/>
        <v>55061.264831892171</v>
      </c>
      <c r="CQ422" s="9">
        <f t="shared" si="394"/>
        <v>45558.230525245221</v>
      </c>
      <c r="CR422" s="202">
        <f t="shared" si="395"/>
        <v>53444.345059707208</v>
      </c>
      <c r="CS422" s="202">
        <f t="shared" si="396"/>
        <v>53444.345059707208</v>
      </c>
      <c r="CT422" s="202">
        <f t="shared" si="397"/>
        <v>53444.345059707208</v>
      </c>
      <c r="CU422" s="203">
        <f t="shared" si="398"/>
        <v>0.83419528086200967</v>
      </c>
      <c r="CV422" s="203">
        <f t="shared" si="399"/>
        <v>0.83419528086200967</v>
      </c>
      <c r="CW422" s="203">
        <f t="shared" si="400"/>
        <v>0.83419528086200967</v>
      </c>
      <c r="CX422" s="19">
        <f t="shared" si="401"/>
        <v>0.82404014929072111</v>
      </c>
      <c r="CY422" s="19">
        <f t="shared" si="402"/>
        <v>0.83827684519169687</v>
      </c>
      <c r="CZ422" s="19">
        <f t="shared" si="403"/>
        <v>0.81092123983860742</v>
      </c>
      <c r="DA422" s="203">
        <f t="shared" si="404"/>
        <v>0.83419528086200967</v>
      </c>
      <c r="DB422" s="203">
        <f t="shared" si="405"/>
        <v>0.83419528086200967</v>
      </c>
      <c r="DC422" s="203">
        <f t="shared" si="406"/>
        <v>0.83419528086200967</v>
      </c>
      <c r="DD422" s="65"/>
      <c r="DE422" s="66"/>
      <c r="DF422" s="66"/>
      <c r="DG422" s="66"/>
      <c r="DH422" s="66"/>
      <c r="DI422" s="66"/>
      <c r="DJ422" s="66"/>
      <c r="DK422" s="70"/>
      <c r="DL422" s="70"/>
      <c r="DM422" s="8">
        <f t="shared" si="432"/>
        <v>0</v>
      </c>
      <c r="DN422" s="8">
        <f t="shared" si="433"/>
        <v>10622.602195713465</v>
      </c>
      <c r="DO422" s="202">
        <f t="shared" si="415"/>
        <v>53444.345059707208</v>
      </c>
      <c r="DP422" s="202">
        <f t="shared" si="416"/>
        <v>53444.345059707208</v>
      </c>
      <c r="DQ422" s="202">
        <f t="shared" si="417"/>
        <v>53444.345059707208</v>
      </c>
      <c r="DR422" s="9">
        <f t="shared" si="418"/>
        <v>49746.863639218063</v>
      </c>
      <c r="DS422" s="9">
        <f t="shared" si="410"/>
        <v>55061.264831892171</v>
      </c>
      <c r="DT422" s="9">
        <f t="shared" si="419"/>
        <v>45558.230525245221</v>
      </c>
      <c r="DU422" s="202">
        <f t="shared" si="420"/>
        <v>53444.345059707208</v>
      </c>
      <c r="DV422" s="202">
        <f t="shared" si="421"/>
        <v>53444.345059707208</v>
      </c>
      <c r="DW422" s="202">
        <f t="shared" si="422"/>
        <v>53444.345059707208</v>
      </c>
      <c r="DX422" s="203">
        <f t="shared" si="423"/>
        <v>0.83419528086200967</v>
      </c>
      <c r="DY422" s="203">
        <f t="shared" si="424"/>
        <v>0.83419528086200967</v>
      </c>
      <c r="DZ422" s="203">
        <f t="shared" si="425"/>
        <v>0.83419528086200967</v>
      </c>
      <c r="EA422" s="19">
        <f t="shared" si="426"/>
        <v>0.82404014929072111</v>
      </c>
      <c r="EB422" s="19">
        <f t="shared" si="411"/>
        <v>0.83827684519169687</v>
      </c>
      <c r="EC422" s="19">
        <f t="shared" si="427"/>
        <v>0.81092123983860742</v>
      </c>
      <c r="ED422" s="203">
        <f t="shared" si="428"/>
        <v>0.83419528086200967</v>
      </c>
      <c r="EE422" s="203">
        <f t="shared" si="429"/>
        <v>0.83419528086200967</v>
      </c>
      <c r="EF422" s="203">
        <f t="shared" si="430"/>
        <v>0.83419528086200967</v>
      </c>
      <c r="EH422" s="58">
        <f t="shared" si="442"/>
        <v>9426.1446145134178</v>
      </c>
      <c r="EI422" s="68">
        <f t="shared" si="443"/>
        <v>0.14350775983624403</v>
      </c>
      <c r="EJ422" s="58">
        <f t="shared" si="444"/>
        <v>9426.1446145134178</v>
      </c>
      <c r="EK422" s="68">
        <f t="shared" si="443"/>
        <v>0.14350775983624403</v>
      </c>
      <c r="EL422" s="58">
        <f t="shared" si="445"/>
        <v>5416.7111895829876</v>
      </c>
      <c r="EM422" s="58">
        <f t="shared" si="446"/>
        <v>6223.0936145134192</v>
      </c>
      <c r="EN422" s="68">
        <f t="shared" si="447"/>
        <v>9.4743106581985731E-2</v>
      </c>
      <c r="EO422" s="139">
        <f t="shared" si="464"/>
        <v>0.25197746931178833</v>
      </c>
      <c r="EP422">
        <f>+(SUM(M422:O422)*EO422*(1-'[1]Tier 3 Data'!$A$2))</f>
        <v>1537.922578645602</v>
      </c>
    </row>
    <row r="423" spans="1:146" x14ac:dyDescent="0.2">
      <c r="A423" s="43">
        <v>0</v>
      </c>
      <c r="B423" s="43">
        <v>0</v>
      </c>
      <c r="C423" s="43">
        <v>0</v>
      </c>
      <c r="D423" s="70">
        <v>2042</v>
      </c>
      <c r="E423" s="70">
        <v>8</v>
      </c>
      <c r="F423" s="2">
        <v>744</v>
      </c>
      <c r="G423" s="133">
        <f t="shared" si="458"/>
        <v>46335.897720406545</v>
      </c>
      <c r="H423" s="65">
        <v>46335.897720406545</v>
      </c>
      <c r="I423" s="133">
        <f t="shared" si="459"/>
        <v>46335.897720406545</v>
      </c>
      <c r="J423" s="133">
        <f t="shared" si="440"/>
        <v>8418.8732500000006</v>
      </c>
      <c r="K423" s="65">
        <v>8418.8732500000006</v>
      </c>
      <c r="L423" s="133">
        <f t="shared" si="441"/>
        <v>8418.8732500000006</v>
      </c>
      <c r="M423" s="65">
        <v>1523.4196774399222</v>
      </c>
      <c r="N423" s="65">
        <v>3280.4090180505418</v>
      </c>
      <c r="O423" s="65">
        <v>1048.619070994193</v>
      </c>
      <c r="P423" s="200">
        <f t="shared" si="434"/>
        <v>36161.29014046114</v>
      </c>
      <c r="Q423" s="200">
        <f t="shared" si="435"/>
        <v>36161.29014046114</v>
      </c>
      <c r="R423" s="200">
        <f t="shared" si="436"/>
        <v>36161.29014046114</v>
      </c>
      <c r="S423" s="133">
        <f t="shared" si="460"/>
        <v>37602.438749108282</v>
      </c>
      <c r="T423" s="133">
        <f t="shared" si="461"/>
        <v>37602.438749108282</v>
      </c>
      <c r="U423" s="133">
        <f t="shared" si="462"/>
        <v>37602.438749108282</v>
      </c>
      <c r="V423" s="200">
        <f t="shared" si="437"/>
        <v>36161.29014046114</v>
      </c>
      <c r="W423" s="200">
        <f t="shared" si="438"/>
        <v>36161.29014046114</v>
      </c>
      <c r="X423" s="200">
        <f t="shared" si="439"/>
        <v>36161.29014046114</v>
      </c>
      <c r="Y423" s="65">
        <v>19668.500044864104</v>
      </c>
      <c r="Z423" s="65">
        <v>24162.65900849941</v>
      </c>
      <c r="AA423" s="65">
        <v>15509.876940508502</v>
      </c>
      <c r="AB423" s="200">
        <f t="shared" si="451"/>
        <v>60323.94914896055</v>
      </c>
      <c r="AC423" s="200">
        <f t="shared" si="452"/>
        <v>60323.94914896055</v>
      </c>
      <c r="AD423" s="200">
        <f t="shared" si="453"/>
        <v>60323.94914896055</v>
      </c>
      <c r="AE423" s="199">
        <f t="shared" si="413"/>
        <v>57270.938793972382</v>
      </c>
      <c r="AF423" s="199">
        <f t="shared" si="454"/>
        <v>61765.097757607691</v>
      </c>
      <c r="AG423" s="199">
        <f t="shared" si="414"/>
        <v>53112.315689616786</v>
      </c>
      <c r="AH423" s="199">
        <f t="shared" si="463"/>
        <v>57438.706723612238</v>
      </c>
      <c r="AI423" s="200">
        <f t="shared" si="455"/>
        <v>60323.94914896055</v>
      </c>
      <c r="AJ423" s="200">
        <f t="shared" si="456"/>
        <v>60323.94914896055</v>
      </c>
      <c r="AK423" s="200">
        <f t="shared" si="457"/>
        <v>60323.94914896055</v>
      </c>
      <c r="AL423" s="4"/>
      <c r="AM423" s="4"/>
      <c r="AN423" s="4"/>
      <c r="AO423" s="4"/>
      <c r="AP423" s="63"/>
      <c r="AQ423" s="18"/>
      <c r="AR423" s="18"/>
      <c r="AS423" s="18"/>
      <c r="AT423" s="18">
        <v>0</v>
      </c>
      <c r="AU423" s="133">
        <f t="shared" ref="AU423" si="477">+AU411</f>
        <v>107.64</v>
      </c>
      <c r="AV423" s="133">
        <f t="shared" ref="AV423" si="478">+AV411</f>
        <v>3021.9279999999999</v>
      </c>
      <c r="AW423" s="194"/>
      <c r="AX423" s="194"/>
      <c r="AY423" s="194"/>
      <c r="AZ423" s="194"/>
      <c r="BA423" s="194"/>
      <c r="BB423" s="194"/>
      <c r="BC423" s="65">
        <v>0</v>
      </c>
      <c r="BD423" s="65">
        <v>0</v>
      </c>
      <c r="BE423" s="65">
        <v>0</v>
      </c>
      <c r="BF423" s="65">
        <v>0</v>
      </c>
      <c r="BG423" s="65">
        <v>0</v>
      </c>
      <c r="BH423" s="65">
        <v>0</v>
      </c>
      <c r="BI423" s="65">
        <v>1280.5492048049052</v>
      </c>
      <c r="BJ423" s="65">
        <v>0</v>
      </c>
      <c r="BK423" s="65">
        <v>10.587331273496728</v>
      </c>
      <c r="BL423" s="65">
        <v>0</v>
      </c>
      <c r="BM423" s="65">
        <v>0</v>
      </c>
      <c r="BN423" s="65">
        <v>0</v>
      </c>
      <c r="BO423" s="65">
        <v>23.013036</v>
      </c>
      <c r="BP423" s="5"/>
      <c r="BQ423" s="5"/>
      <c r="BR423" s="65">
        <v>195.44476493687864</v>
      </c>
      <c r="BS423" s="65">
        <v>707.20936364850741</v>
      </c>
      <c r="BT423" s="65">
        <v>242.56787429889587</v>
      </c>
      <c r="BU423" s="65">
        <v>261.58957342925879</v>
      </c>
      <c r="BV423" s="144">
        <f t="shared" si="448"/>
        <v>1066.3937742079454</v>
      </c>
      <c r="BW423" s="144">
        <f t="shared" si="449"/>
        <v>2296.2863126353791</v>
      </c>
      <c r="BX423" s="144">
        <f t="shared" si="450"/>
        <v>734.03334969593504</v>
      </c>
      <c r="BY423" s="5"/>
      <c r="BZ423" s="5"/>
      <c r="CA423" s="4"/>
      <c r="CB423" s="5"/>
      <c r="CC423" s="5"/>
      <c r="CD423" s="5"/>
      <c r="CE423" s="5"/>
      <c r="CF423" s="64"/>
      <c r="CG423" s="70"/>
      <c r="CH423" s="70"/>
      <c r="CI423" s="70"/>
      <c r="CJ423" s="63"/>
      <c r="CK423" s="8">
        <f t="shared" si="431"/>
        <v>9947.2425849312021</v>
      </c>
      <c r="CL423" s="202">
        <f t="shared" si="389"/>
        <v>50376.706564029344</v>
      </c>
      <c r="CM423" s="202">
        <f t="shared" si="390"/>
        <v>50376.706564029344</v>
      </c>
      <c r="CN423" s="202">
        <f t="shared" si="391"/>
        <v>50376.706564029344</v>
      </c>
      <c r="CO423" s="9">
        <f t="shared" si="392"/>
        <v>47323.696209041183</v>
      </c>
      <c r="CP423" s="9">
        <f t="shared" si="393"/>
        <v>51817.855172676485</v>
      </c>
      <c r="CQ423" s="9">
        <f t="shared" si="394"/>
        <v>43165.07310468558</v>
      </c>
      <c r="CR423" s="202">
        <f t="shared" si="395"/>
        <v>50376.706564029344</v>
      </c>
      <c r="CS423" s="202">
        <f t="shared" si="396"/>
        <v>50376.706564029344</v>
      </c>
      <c r="CT423" s="202">
        <f t="shared" si="397"/>
        <v>50376.706564029344</v>
      </c>
      <c r="CU423" s="203">
        <f t="shared" si="398"/>
        <v>0.83510292802004649</v>
      </c>
      <c r="CV423" s="203">
        <f t="shared" si="399"/>
        <v>0.83510292802004649</v>
      </c>
      <c r="CW423" s="203">
        <f t="shared" si="400"/>
        <v>0.83510292802004649</v>
      </c>
      <c r="CX423" s="19">
        <f t="shared" si="401"/>
        <v>0.82631256280404963</v>
      </c>
      <c r="CY423" s="19">
        <f t="shared" si="402"/>
        <v>0.83895042757046412</v>
      </c>
      <c r="CZ423" s="19">
        <f t="shared" si="403"/>
        <v>0.81271306935547816</v>
      </c>
      <c r="DA423" s="203">
        <f t="shared" si="404"/>
        <v>0.83510292802004649</v>
      </c>
      <c r="DB423" s="203">
        <f t="shared" si="405"/>
        <v>0.83510292802004649</v>
      </c>
      <c r="DC423" s="203">
        <f t="shared" si="406"/>
        <v>0.83510292802004649</v>
      </c>
      <c r="DD423" s="65"/>
      <c r="DE423" s="66"/>
      <c r="DF423" s="66"/>
      <c r="DG423" s="66"/>
      <c r="DH423" s="66"/>
      <c r="DI423" s="66"/>
      <c r="DJ423" s="66"/>
      <c r="DK423" s="70"/>
      <c r="DL423" s="70"/>
      <c r="DM423" s="8">
        <f t="shared" si="432"/>
        <v>0</v>
      </c>
      <c r="DN423" s="8">
        <f t="shared" si="433"/>
        <v>9947.2425849312021</v>
      </c>
      <c r="DO423" s="202">
        <f t="shared" si="415"/>
        <v>50376.706564029344</v>
      </c>
      <c r="DP423" s="202">
        <f t="shared" si="416"/>
        <v>50376.706564029344</v>
      </c>
      <c r="DQ423" s="202">
        <f t="shared" si="417"/>
        <v>50376.706564029344</v>
      </c>
      <c r="DR423" s="9">
        <f t="shared" si="418"/>
        <v>47323.696209041183</v>
      </c>
      <c r="DS423" s="9">
        <f t="shared" si="410"/>
        <v>51817.855172676485</v>
      </c>
      <c r="DT423" s="9">
        <f t="shared" si="419"/>
        <v>43165.07310468558</v>
      </c>
      <c r="DU423" s="202">
        <f t="shared" si="420"/>
        <v>50376.706564029344</v>
      </c>
      <c r="DV423" s="202">
        <f t="shared" si="421"/>
        <v>50376.706564029344</v>
      </c>
      <c r="DW423" s="202">
        <f t="shared" si="422"/>
        <v>50376.706564029344</v>
      </c>
      <c r="DX423" s="203">
        <f t="shared" si="423"/>
        <v>0.83510292802004649</v>
      </c>
      <c r="DY423" s="203">
        <f t="shared" si="424"/>
        <v>0.83510292802004649</v>
      </c>
      <c r="DZ423" s="203">
        <f t="shared" si="425"/>
        <v>0.83510292802004649</v>
      </c>
      <c r="EA423" s="19">
        <f t="shared" si="426"/>
        <v>0.82631256280404963</v>
      </c>
      <c r="EB423" s="19">
        <f t="shared" si="411"/>
        <v>0.83895042757046412</v>
      </c>
      <c r="EC423" s="19">
        <f t="shared" si="427"/>
        <v>0.81271306935547816</v>
      </c>
      <c r="ED423" s="203">
        <f t="shared" si="428"/>
        <v>0.83510292802004649</v>
      </c>
      <c r="EE423" s="203">
        <f t="shared" si="429"/>
        <v>0.83510292802004649</v>
      </c>
      <c r="EF423" s="203">
        <f t="shared" si="430"/>
        <v>0.83510292802004649</v>
      </c>
      <c r="EH423" s="58">
        <f t="shared" si="442"/>
        <v>8880.848810723257</v>
      </c>
      <c r="EI423" s="68">
        <f t="shared" si="443"/>
        <v>0.14378425896086905</v>
      </c>
      <c r="EJ423" s="58">
        <f t="shared" si="444"/>
        <v>8880.848810723257</v>
      </c>
      <c r="EK423" s="68">
        <f t="shared" si="443"/>
        <v>0.14378425896086905</v>
      </c>
      <c r="EL423" s="58">
        <f t="shared" si="445"/>
        <v>5017.2474610273221</v>
      </c>
      <c r="EM423" s="58">
        <f t="shared" si="446"/>
        <v>5751.2808107232568</v>
      </c>
      <c r="EN423" s="68">
        <f t="shared" si="447"/>
        <v>9.3115384246515887E-2</v>
      </c>
      <c r="EO423" s="139">
        <f t="shared" si="464"/>
        <v>0.28519905910129462</v>
      </c>
      <c r="EP423">
        <f>+(SUM(M423:O423)*EO423*(1-'[1]Tier 3 Data'!$A$2))</f>
        <v>1557.2820524793574</v>
      </c>
    </row>
    <row r="424" spans="1:146" x14ac:dyDescent="0.2">
      <c r="A424" s="43">
        <v>0</v>
      </c>
      <c r="B424" s="43">
        <v>0</v>
      </c>
      <c r="C424" s="43">
        <v>0</v>
      </c>
      <c r="D424" s="70">
        <v>2042</v>
      </c>
      <c r="E424" s="70">
        <v>9</v>
      </c>
      <c r="F424" s="2">
        <v>720</v>
      </c>
      <c r="G424" s="133">
        <f t="shared" si="458"/>
        <v>40251.755621192729</v>
      </c>
      <c r="H424" s="65">
        <v>40251.755621192729</v>
      </c>
      <c r="I424" s="133">
        <f t="shared" si="459"/>
        <v>40251.755621192729</v>
      </c>
      <c r="J424" s="133">
        <f t="shared" si="440"/>
        <v>8458.3366875000011</v>
      </c>
      <c r="K424" s="65">
        <v>8458.3366875000011</v>
      </c>
      <c r="L424" s="133">
        <f t="shared" si="441"/>
        <v>8458.3366875000011</v>
      </c>
      <c r="M424" s="65">
        <v>1305.6369062084025</v>
      </c>
      <c r="N424" s="65">
        <v>2811.4531700307239</v>
      </c>
      <c r="O424" s="65">
        <v>898.94487952059444</v>
      </c>
      <c r="P424" s="200">
        <f t="shared" si="434"/>
        <v>30288.608446964812</v>
      </c>
      <c r="Q424" s="200">
        <f t="shared" si="435"/>
        <v>30288.608446964812</v>
      </c>
      <c r="R424" s="200">
        <f t="shared" si="436"/>
        <v>30288.608446964812</v>
      </c>
      <c r="S424" s="133">
        <f t="shared" si="460"/>
        <v>31523.735469836553</v>
      </c>
      <c r="T424" s="133">
        <f t="shared" si="461"/>
        <v>31523.735469836553</v>
      </c>
      <c r="U424" s="133">
        <f t="shared" si="462"/>
        <v>31523.735469836553</v>
      </c>
      <c r="V424" s="200">
        <f t="shared" si="437"/>
        <v>30288.608446964812</v>
      </c>
      <c r="W424" s="200">
        <f t="shared" si="438"/>
        <v>30288.608446964812</v>
      </c>
      <c r="X424" s="200">
        <f t="shared" si="439"/>
        <v>30288.608446964812</v>
      </c>
      <c r="Y424" s="65">
        <v>18422.745641067242</v>
      </c>
      <c r="Z424" s="65">
        <v>22268.494123612883</v>
      </c>
      <c r="AA424" s="65">
        <v>14289.554243511817</v>
      </c>
      <c r="AB424" s="200">
        <f t="shared" si="451"/>
        <v>52557.102570577699</v>
      </c>
      <c r="AC424" s="200">
        <f t="shared" si="452"/>
        <v>52557.102570577699</v>
      </c>
      <c r="AD424" s="200">
        <f t="shared" si="453"/>
        <v>52557.102570577699</v>
      </c>
      <c r="AE424" s="199">
        <f t="shared" si="413"/>
        <v>49946.481110903798</v>
      </c>
      <c r="AF424" s="199">
        <f t="shared" si="454"/>
        <v>53792.229593449432</v>
      </c>
      <c r="AG424" s="199">
        <f t="shared" si="414"/>
        <v>45813.289713348371</v>
      </c>
      <c r="AH424" s="199">
        <f t="shared" si="463"/>
        <v>49802.759653398898</v>
      </c>
      <c r="AI424" s="200">
        <f t="shared" si="455"/>
        <v>52557.102570577699</v>
      </c>
      <c r="AJ424" s="200">
        <f t="shared" si="456"/>
        <v>52557.102570577699</v>
      </c>
      <c r="AK424" s="200">
        <f t="shared" si="457"/>
        <v>52557.102570577699</v>
      </c>
      <c r="AL424" s="4"/>
      <c r="AM424" s="4"/>
      <c r="AN424" s="4"/>
      <c r="AO424" s="4"/>
      <c r="AP424" s="63"/>
      <c r="AQ424" s="18"/>
      <c r="AR424" s="18"/>
      <c r="AS424" s="18"/>
      <c r="AT424" s="18">
        <v>0</v>
      </c>
      <c r="AU424" s="133">
        <f t="shared" ref="AU424" si="479">+AU412</f>
        <v>102.375</v>
      </c>
      <c r="AV424" s="133">
        <f t="shared" ref="AV424" si="480">+AV412</f>
        <v>2969.6280000000002</v>
      </c>
      <c r="AW424" s="194"/>
      <c r="AX424" s="194"/>
      <c r="AY424" s="194"/>
      <c r="AZ424" s="194"/>
      <c r="BA424" s="194"/>
      <c r="BB424" s="194"/>
      <c r="BC424" s="65">
        <v>0</v>
      </c>
      <c r="BD424" s="65">
        <v>0</v>
      </c>
      <c r="BE424" s="65">
        <v>0</v>
      </c>
      <c r="BF424" s="65">
        <v>0</v>
      </c>
      <c r="BG424" s="65">
        <v>0</v>
      </c>
      <c r="BH424" s="65">
        <v>0</v>
      </c>
      <c r="BI424" s="65">
        <v>1158.1236762577471</v>
      </c>
      <c r="BJ424" s="65">
        <v>0</v>
      </c>
      <c r="BK424" s="65">
        <v>12.678588245250744</v>
      </c>
      <c r="BL424" s="65">
        <v>0</v>
      </c>
      <c r="BM424" s="65">
        <v>0</v>
      </c>
      <c r="BN424" s="65">
        <v>0</v>
      </c>
      <c r="BO424" s="65">
        <v>22.270679999999999</v>
      </c>
      <c r="BP424" s="5"/>
      <c r="BQ424" s="5"/>
      <c r="BR424" s="65">
        <v>156.0469585755614</v>
      </c>
      <c r="BS424" s="65">
        <v>564.6499183451225</v>
      </c>
      <c r="BT424" s="65">
        <v>208.92503184199899</v>
      </c>
      <c r="BU424" s="65">
        <v>214.78581972123169</v>
      </c>
      <c r="BV424" s="144">
        <f t="shared" si="448"/>
        <v>913.94583434588162</v>
      </c>
      <c r="BW424" s="144">
        <f t="shared" si="449"/>
        <v>1968.0172190215067</v>
      </c>
      <c r="BX424" s="144">
        <f t="shared" si="450"/>
        <v>629.26141566441606</v>
      </c>
      <c r="BY424" s="5"/>
      <c r="BZ424" s="5"/>
      <c r="CA424" s="4"/>
      <c r="CB424" s="5"/>
      <c r="CC424" s="5"/>
      <c r="CD424" s="5"/>
      <c r="CE424" s="5"/>
      <c r="CF424" s="64"/>
      <c r="CG424" s="70"/>
      <c r="CH424" s="70"/>
      <c r="CI424" s="70"/>
      <c r="CJ424" s="63"/>
      <c r="CK424" s="8">
        <f t="shared" si="431"/>
        <v>8920.7081420187169</v>
      </c>
      <c r="CL424" s="202">
        <f t="shared" ref="CL424:CL487" si="481">+AB424-$CK424</f>
        <v>43636.394428558982</v>
      </c>
      <c r="CM424" s="202">
        <f t="shared" ref="CM424:CM487" si="482">+AC424-$CK424</f>
        <v>43636.394428558982</v>
      </c>
      <c r="CN424" s="202">
        <f t="shared" ref="CN424:CN487" si="483">+AD424-$CK424</f>
        <v>43636.394428558982</v>
      </c>
      <c r="CO424" s="9">
        <f t="shared" ref="CO424:CO487" si="484">+AE424-$CK424</f>
        <v>41025.772968885081</v>
      </c>
      <c r="CP424" s="9">
        <f t="shared" ref="CP424:CP487" si="485">+AF424-$CK424</f>
        <v>44871.521451430715</v>
      </c>
      <c r="CQ424" s="9">
        <f t="shared" ref="CQ424:CQ487" si="486">+AG424-$CK424</f>
        <v>36892.581571329654</v>
      </c>
      <c r="CR424" s="202">
        <f t="shared" ref="CR424:CR487" si="487">+AI424-$CK424</f>
        <v>43636.394428558982</v>
      </c>
      <c r="CS424" s="202">
        <f t="shared" ref="CS424:CS487" si="488">+AJ424-$CK424</f>
        <v>43636.394428558982</v>
      </c>
      <c r="CT424" s="202">
        <f t="shared" ref="CT424:CT487" si="489">+AK424-$CK424</f>
        <v>43636.394428558982</v>
      </c>
      <c r="CU424" s="203">
        <f t="shared" ref="CU424:CU487" si="490">+CL424/AB424</f>
        <v>0.83026636352262173</v>
      </c>
      <c r="CV424" s="203">
        <f t="shared" ref="CV424:CV487" si="491">+CM424/AC424</f>
        <v>0.83026636352262173</v>
      </c>
      <c r="CW424" s="203">
        <f t="shared" ref="CW424:CW487" si="492">+CN424/AD424</f>
        <v>0.83026636352262173</v>
      </c>
      <c r="CX424" s="19">
        <f t="shared" ref="CX424:CX487" si="493">+CO424/AE424</f>
        <v>0.82139466197406963</v>
      </c>
      <c r="CY424" s="19">
        <f t="shared" ref="CY424:CY487" si="494">+CP424/AF424</f>
        <v>0.83416362903267649</v>
      </c>
      <c r="CZ424" s="19">
        <f t="shared" ref="CZ424:CZ487" si="495">+CQ424/AG424</f>
        <v>0.80528121429752864</v>
      </c>
      <c r="DA424" s="203">
        <f t="shared" ref="DA424:DA487" si="496">+CR424/AI424</f>
        <v>0.83026636352262173</v>
      </c>
      <c r="DB424" s="203">
        <f t="shared" ref="DB424:DB487" si="497">+CS424/AJ424</f>
        <v>0.83026636352262173</v>
      </c>
      <c r="DC424" s="203">
        <f t="shared" ref="DC424:DC487" si="498">+CT424/AK424</f>
        <v>0.83026636352262173</v>
      </c>
      <c r="DD424" s="65"/>
      <c r="DE424" s="66"/>
      <c r="DF424" s="66"/>
      <c r="DG424" s="66"/>
      <c r="DH424" s="66"/>
      <c r="DI424" s="66"/>
      <c r="DJ424" s="66"/>
      <c r="DK424" s="70"/>
      <c r="DL424" s="70"/>
      <c r="DM424" s="8">
        <f t="shared" si="432"/>
        <v>0</v>
      </c>
      <c r="DN424" s="8">
        <f t="shared" si="433"/>
        <v>8920.7081420187169</v>
      </c>
      <c r="DO424" s="202">
        <f t="shared" si="415"/>
        <v>43636.394428558982</v>
      </c>
      <c r="DP424" s="202">
        <f t="shared" si="416"/>
        <v>43636.394428558982</v>
      </c>
      <c r="DQ424" s="202">
        <f t="shared" si="417"/>
        <v>43636.394428558982</v>
      </c>
      <c r="DR424" s="9">
        <f t="shared" si="418"/>
        <v>41025.772968885081</v>
      </c>
      <c r="DS424" s="9">
        <f t="shared" si="410"/>
        <v>44871.521451430715</v>
      </c>
      <c r="DT424" s="9">
        <f t="shared" si="419"/>
        <v>36892.581571329654</v>
      </c>
      <c r="DU424" s="202">
        <f t="shared" si="420"/>
        <v>43636.394428558982</v>
      </c>
      <c r="DV424" s="202">
        <f t="shared" si="421"/>
        <v>43636.394428558982</v>
      </c>
      <c r="DW424" s="202">
        <f t="shared" si="422"/>
        <v>43636.394428558982</v>
      </c>
      <c r="DX424" s="203">
        <f t="shared" si="423"/>
        <v>0.83026636352262173</v>
      </c>
      <c r="DY424" s="203">
        <f t="shared" si="424"/>
        <v>0.83026636352262173</v>
      </c>
      <c r="DZ424" s="203">
        <f t="shared" si="425"/>
        <v>0.83026636352262173</v>
      </c>
      <c r="EA424" s="19">
        <f t="shared" si="426"/>
        <v>0.82139466197406963</v>
      </c>
      <c r="EB424" s="19">
        <f t="shared" si="411"/>
        <v>0.83416362903267649</v>
      </c>
      <c r="EC424" s="19">
        <f t="shared" si="427"/>
        <v>0.80528121429752864</v>
      </c>
      <c r="ED424" s="203">
        <f t="shared" si="428"/>
        <v>0.83026636352262173</v>
      </c>
      <c r="EE424" s="203">
        <f t="shared" si="429"/>
        <v>0.83026636352262173</v>
      </c>
      <c r="EF424" s="203">
        <f t="shared" si="430"/>
        <v>0.83026636352262173</v>
      </c>
      <c r="EH424" s="58">
        <f t="shared" si="442"/>
        <v>8006.7623076728341</v>
      </c>
      <c r="EI424" s="68">
        <f t="shared" si="443"/>
        <v>0.14884607624904733</v>
      </c>
      <c r="EJ424" s="58">
        <f t="shared" si="444"/>
        <v>8006.7623076728341</v>
      </c>
      <c r="EK424" s="68">
        <f t="shared" si="443"/>
        <v>0.14884607624904733</v>
      </c>
      <c r="EL424" s="58">
        <f t="shared" si="445"/>
        <v>4305.4978920084195</v>
      </c>
      <c r="EM424" s="58">
        <f t="shared" si="446"/>
        <v>4934.7593076728353</v>
      </c>
      <c r="EN424" s="68">
        <f t="shared" si="447"/>
        <v>9.173740045669658E-2</v>
      </c>
      <c r="EO424" s="139">
        <f t="shared" si="464"/>
        <v>0.31860645638858931</v>
      </c>
      <c r="EP424">
        <f>+(SUM(M424:O424)*EO424*(1-'[1]Tier 3 Data'!$A$2))</f>
        <v>1491.065667176714</v>
      </c>
    </row>
    <row r="425" spans="1:146" x14ac:dyDescent="0.2">
      <c r="A425" s="43">
        <v>0</v>
      </c>
      <c r="B425" s="43">
        <v>0</v>
      </c>
      <c r="C425" s="43">
        <v>0</v>
      </c>
      <c r="D425" s="70">
        <v>2042</v>
      </c>
      <c r="E425" s="70">
        <v>10</v>
      </c>
      <c r="F425" s="2">
        <v>744</v>
      </c>
      <c r="G425" s="133">
        <f t="shared" si="458"/>
        <v>42294.449367901965</v>
      </c>
      <c r="H425" s="65">
        <v>42294.449367901965</v>
      </c>
      <c r="I425" s="133">
        <f t="shared" si="459"/>
        <v>42294.449367901965</v>
      </c>
      <c r="J425" s="133">
        <f t="shared" si="440"/>
        <v>8497.8001250000016</v>
      </c>
      <c r="K425" s="65">
        <v>8497.8001250000016</v>
      </c>
      <c r="L425" s="133">
        <f t="shared" si="441"/>
        <v>8497.8001250000016</v>
      </c>
      <c r="M425" s="65">
        <v>957.87478015852639</v>
      </c>
      <c r="N425" s="65">
        <v>2062.6102665784465</v>
      </c>
      <c r="O425" s="65">
        <v>659.67846330253667</v>
      </c>
      <c r="P425" s="200">
        <f t="shared" si="434"/>
        <v>32692.600189890112</v>
      </c>
      <c r="Q425" s="200">
        <f t="shared" si="435"/>
        <v>32692.600189890112</v>
      </c>
      <c r="R425" s="200">
        <f t="shared" si="436"/>
        <v>32692.600189890112</v>
      </c>
      <c r="S425" s="133">
        <f t="shared" si="460"/>
        <v>33598.745703911205</v>
      </c>
      <c r="T425" s="133">
        <f t="shared" si="461"/>
        <v>33598.745703911205</v>
      </c>
      <c r="U425" s="133">
        <f t="shared" si="462"/>
        <v>33598.745703911205</v>
      </c>
      <c r="V425" s="200">
        <f t="shared" si="437"/>
        <v>32692.600189890112</v>
      </c>
      <c r="W425" s="200">
        <f t="shared" si="438"/>
        <v>32692.600189890112</v>
      </c>
      <c r="X425" s="200">
        <f t="shared" si="439"/>
        <v>32692.600189890112</v>
      </c>
      <c r="Y425" s="65">
        <v>20029.151625309485</v>
      </c>
      <c r="Z425" s="65">
        <v>25449.141731916909</v>
      </c>
      <c r="AA425" s="65">
        <v>15940.534757401529</v>
      </c>
      <c r="AB425" s="200">
        <f t="shared" si="451"/>
        <v>58141.741921807021</v>
      </c>
      <c r="AC425" s="200">
        <f t="shared" si="452"/>
        <v>58141.741921807021</v>
      </c>
      <c r="AD425" s="200">
        <f t="shared" si="453"/>
        <v>58141.741921807021</v>
      </c>
      <c r="AE425" s="199">
        <f t="shared" si="413"/>
        <v>53627.897329220694</v>
      </c>
      <c r="AF425" s="199">
        <f t="shared" si="454"/>
        <v>59047.887435828117</v>
      </c>
      <c r="AG425" s="199">
        <f t="shared" si="414"/>
        <v>49539.280461312737</v>
      </c>
      <c r="AH425" s="199">
        <f t="shared" si="463"/>
        <v>54293.583948570427</v>
      </c>
      <c r="AI425" s="200">
        <f t="shared" si="455"/>
        <v>58141.741921807021</v>
      </c>
      <c r="AJ425" s="200">
        <f t="shared" si="456"/>
        <v>58141.741921807021</v>
      </c>
      <c r="AK425" s="200">
        <f t="shared" si="457"/>
        <v>58141.741921807021</v>
      </c>
      <c r="AL425" s="4"/>
      <c r="AM425" s="4"/>
      <c r="AN425" s="4"/>
      <c r="AO425" s="4"/>
      <c r="AP425" s="63"/>
      <c r="AQ425" s="18"/>
      <c r="AR425" s="18"/>
      <c r="AS425" s="18"/>
      <c r="AT425" s="18">
        <v>0</v>
      </c>
      <c r="AU425" s="133">
        <f t="shared" ref="AU425" si="499">+AU413</f>
        <v>118.17</v>
      </c>
      <c r="AV425" s="133">
        <f t="shared" ref="AV425" si="500">+AV413</f>
        <v>3225.1860000000001</v>
      </c>
      <c r="AW425" s="194"/>
      <c r="AX425" s="194"/>
      <c r="AY425" s="194"/>
      <c r="AZ425" s="194"/>
      <c r="BA425" s="194"/>
      <c r="BB425" s="194"/>
      <c r="BC425" s="65">
        <v>0</v>
      </c>
      <c r="BD425" s="65">
        <v>0</v>
      </c>
      <c r="BE425" s="65">
        <v>0</v>
      </c>
      <c r="BF425" s="65">
        <v>0</v>
      </c>
      <c r="BG425" s="65">
        <v>0</v>
      </c>
      <c r="BH425" s="65">
        <v>0</v>
      </c>
      <c r="BI425" s="65">
        <v>848.33097608386799</v>
      </c>
      <c r="BJ425" s="65">
        <v>0</v>
      </c>
      <c r="BK425" s="65">
        <v>15.725569767197214</v>
      </c>
      <c r="BL425" s="65">
        <v>0</v>
      </c>
      <c r="BM425" s="65">
        <v>0</v>
      </c>
      <c r="BN425" s="65">
        <v>0</v>
      </c>
      <c r="BO425" s="65">
        <v>23.013036</v>
      </c>
      <c r="BP425" s="5"/>
      <c r="BQ425" s="5"/>
      <c r="BR425" s="65">
        <v>123.12118746444106</v>
      </c>
      <c r="BS425" s="65">
        <v>445.5092807599857</v>
      </c>
      <c r="BT425" s="65">
        <v>147.06061750169894</v>
      </c>
      <c r="BU425" s="65">
        <v>146.63007329166035</v>
      </c>
      <c r="BV425" s="144">
        <f t="shared" si="448"/>
        <v>670.51234611096845</v>
      </c>
      <c r="BW425" s="144">
        <f t="shared" si="449"/>
        <v>1443.8271866049124</v>
      </c>
      <c r="BX425" s="144">
        <f t="shared" si="450"/>
        <v>461.77492431177564</v>
      </c>
      <c r="BY425" s="5"/>
      <c r="BZ425" s="5"/>
      <c r="CA425" s="4"/>
      <c r="CB425" s="5"/>
      <c r="CC425" s="5"/>
      <c r="CD425" s="5"/>
      <c r="CE425" s="5"/>
      <c r="CF425" s="64"/>
      <c r="CG425" s="70"/>
      <c r="CH425" s="70"/>
      <c r="CI425" s="70"/>
      <c r="CJ425" s="63"/>
      <c r="CK425" s="8">
        <f t="shared" si="431"/>
        <v>7668.86119789651</v>
      </c>
      <c r="CL425" s="202">
        <f t="shared" si="481"/>
        <v>50472.880723910508</v>
      </c>
      <c r="CM425" s="202">
        <f t="shared" si="482"/>
        <v>50472.880723910508</v>
      </c>
      <c r="CN425" s="202">
        <f t="shared" si="483"/>
        <v>50472.880723910508</v>
      </c>
      <c r="CO425" s="9">
        <f t="shared" si="484"/>
        <v>45959.036131324181</v>
      </c>
      <c r="CP425" s="9">
        <f t="shared" si="485"/>
        <v>51379.026237931605</v>
      </c>
      <c r="CQ425" s="9">
        <f t="shared" si="486"/>
        <v>41870.419263416225</v>
      </c>
      <c r="CR425" s="202">
        <f t="shared" si="487"/>
        <v>50472.880723910508</v>
      </c>
      <c r="CS425" s="202">
        <f t="shared" si="488"/>
        <v>50472.880723910508</v>
      </c>
      <c r="CT425" s="202">
        <f t="shared" si="489"/>
        <v>50472.880723910508</v>
      </c>
      <c r="CU425" s="203">
        <f t="shared" si="490"/>
        <v>0.86810059443677967</v>
      </c>
      <c r="CV425" s="203">
        <f t="shared" si="491"/>
        <v>0.86810059443677967</v>
      </c>
      <c r="CW425" s="203">
        <f t="shared" si="492"/>
        <v>0.86810059443677967</v>
      </c>
      <c r="CX425" s="19">
        <f t="shared" si="493"/>
        <v>0.85699865965623245</v>
      </c>
      <c r="CY425" s="19">
        <f t="shared" si="494"/>
        <v>0.87012471519441137</v>
      </c>
      <c r="CZ425" s="19">
        <f t="shared" si="495"/>
        <v>0.84519635476164334</v>
      </c>
      <c r="DA425" s="203">
        <f t="shared" si="496"/>
        <v>0.86810059443677967</v>
      </c>
      <c r="DB425" s="203">
        <f t="shared" si="497"/>
        <v>0.86810059443677967</v>
      </c>
      <c r="DC425" s="203">
        <f t="shared" si="498"/>
        <v>0.86810059443677967</v>
      </c>
      <c r="DD425" s="65"/>
      <c r="DE425" s="66"/>
      <c r="DF425" s="66"/>
      <c r="DG425" s="66"/>
      <c r="DH425" s="66"/>
      <c r="DI425" s="66"/>
      <c r="DJ425" s="66"/>
      <c r="DK425" s="70"/>
      <c r="DL425" s="70"/>
      <c r="DM425" s="8">
        <f t="shared" si="432"/>
        <v>0</v>
      </c>
      <c r="DN425" s="8">
        <f t="shared" si="433"/>
        <v>7668.86119789651</v>
      </c>
      <c r="DO425" s="202">
        <f t="shared" si="415"/>
        <v>50472.880723910508</v>
      </c>
      <c r="DP425" s="202">
        <f t="shared" si="416"/>
        <v>50472.880723910508</v>
      </c>
      <c r="DQ425" s="202">
        <f t="shared" si="417"/>
        <v>50472.880723910508</v>
      </c>
      <c r="DR425" s="9">
        <f t="shared" si="418"/>
        <v>45959.036131324181</v>
      </c>
      <c r="DS425" s="9">
        <f t="shared" ref="DS425:DS488" si="501">+AF425-$DN425</f>
        <v>51379.026237931605</v>
      </c>
      <c r="DT425" s="9">
        <f t="shared" si="419"/>
        <v>41870.419263416225</v>
      </c>
      <c r="DU425" s="202">
        <f t="shared" si="420"/>
        <v>50472.880723910508</v>
      </c>
      <c r="DV425" s="202">
        <f t="shared" si="421"/>
        <v>50472.880723910508</v>
      </c>
      <c r="DW425" s="202">
        <f t="shared" si="422"/>
        <v>50472.880723910508</v>
      </c>
      <c r="DX425" s="203">
        <f t="shared" si="423"/>
        <v>0.86810059443677967</v>
      </c>
      <c r="DY425" s="203">
        <f t="shared" si="424"/>
        <v>0.86810059443677967</v>
      </c>
      <c r="DZ425" s="203">
        <f t="shared" si="425"/>
        <v>0.86810059443677967</v>
      </c>
      <c r="EA425" s="19">
        <f t="shared" si="426"/>
        <v>0.85699865965623245</v>
      </c>
      <c r="EB425" s="19">
        <f t="shared" ref="EB425:EB488" si="502">+DS425/AF425</f>
        <v>0.87012471519441137</v>
      </c>
      <c r="EC425" s="19">
        <f t="shared" si="427"/>
        <v>0.84519635476164334</v>
      </c>
      <c r="ED425" s="203">
        <f t="shared" si="428"/>
        <v>0.86810059443677967</v>
      </c>
      <c r="EE425" s="203">
        <f t="shared" si="429"/>
        <v>0.86810059443677967</v>
      </c>
      <c r="EF425" s="203">
        <f t="shared" si="430"/>
        <v>0.86810059443677967</v>
      </c>
      <c r="EH425" s="58">
        <f t="shared" si="442"/>
        <v>6998.3488517855412</v>
      </c>
      <c r="EI425" s="68">
        <f t="shared" si="443"/>
        <v>0.11851988539625885</v>
      </c>
      <c r="EJ425" s="58">
        <f t="shared" si="444"/>
        <v>6998.3488517855412</v>
      </c>
      <c r="EK425" s="68">
        <f t="shared" si="443"/>
        <v>0.11851988539625885</v>
      </c>
      <c r="EL425" s="58">
        <f t="shared" si="445"/>
        <v>3193.2179274737637</v>
      </c>
      <c r="EM425" s="58">
        <f t="shared" si="446"/>
        <v>3654.9928517855392</v>
      </c>
      <c r="EN425" s="68">
        <f t="shared" si="447"/>
        <v>6.1898791142319887E-2</v>
      </c>
      <c r="EO425" s="139">
        <f t="shared" si="464"/>
        <v>0.35739486552628164</v>
      </c>
      <c r="EP425">
        <f>+(SUM(M425:O425)*EO425*(1-'[1]Tier 3 Data'!$A$2))</f>
        <v>1227.1483494186843</v>
      </c>
    </row>
    <row r="426" spans="1:146" x14ac:dyDescent="0.2">
      <c r="A426" s="43">
        <v>0</v>
      </c>
      <c r="B426" s="43">
        <v>0</v>
      </c>
      <c r="C426" s="43">
        <v>0</v>
      </c>
      <c r="D426" s="70">
        <v>2042</v>
      </c>
      <c r="E426" s="70">
        <v>11</v>
      </c>
      <c r="F426" s="2">
        <v>721</v>
      </c>
      <c r="G426" s="133">
        <f t="shared" si="458"/>
        <v>44749.849070517426</v>
      </c>
      <c r="H426" s="65">
        <v>44749.849070517426</v>
      </c>
      <c r="I426" s="133">
        <f t="shared" si="459"/>
        <v>44749.849070517426</v>
      </c>
      <c r="J426" s="133">
        <f t="shared" si="440"/>
        <v>8537.2635625000021</v>
      </c>
      <c r="K426" s="65">
        <v>8537.2635625000021</v>
      </c>
      <c r="L426" s="133">
        <f t="shared" si="441"/>
        <v>8537.2635625000021</v>
      </c>
      <c r="M426" s="65">
        <v>391.15101618171565</v>
      </c>
      <c r="N426" s="65">
        <v>842.27303867993726</v>
      </c>
      <c r="O426" s="65">
        <v>269.47059848668619</v>
      </c>
      <c r="P426" s="200">
        <f t="shared" si="434"/>
        <v>35761.717112012921</v>
      </c>
      <c r="Q426" s="200">
        <f t="shared" si="435"/>
        <v>35761.717112012921</v>
      </c>
      <c r="R426" s="200">
        <f t="shared" si="436"/>
        <v>35761.717112012921</v>
      </c>
      <c r="S426" s="133">
        <f t="shared" si="460"/>
        <v>36131.744328471417</v>
      </c>
      <c r="T426" s="133">
        <f t="shared" si="461"/>
        <v>36131.744328471417</v>
      </c>
      <c r="U426" s="133">
        <f t="shared" si="462"/>
        <v>36131.744328471417</v>
      </c>
      <c r="V426" s="200">
        <f t="shared" si="437"/>
        <v>35761.717112012921</v>
      </c>
      <c r="W426" s="200">
        <f t="shared" si="438"/>
        <v>35761.717112012921</v>
      </c>
      <c r="X426" s="200">
        <f t="shared" si="439"/>
        <v>35761.717112012921</v>
      </c>
      <c r="Y426" s="65">
        <v>27484.446073700041</v>
      </c>
      <c r="Z426" s="65">
        <v>38026.790642186192</v>
      </c>
      <c r="AA426" s="65">
        <v>22880.385942417484</v>
      </c>
      <c r="AB426" s="200">
        <f t="shared" si="451"/>
        <v>73788.50775419912</v>
      </c>
      <c r="AC426" s="200">
        <f t="shared" si="452"/>
        <v>73788.50775419912</v>
      </c>
      <c r="AD426" s="200">
        <f t="shared" si="453"/>
        <v>73788.50775419912</v>
      </c>
      <c r="AE426" s="199">
        <f t="shared" si="413"/>
        <v>63616.190402171458</v>
      </c>
      <c r="AF426" s="199">
        <f t="shared" si="454"/>
        <v>74158.534970657609</v>
      </c>
      <c r="AG426" s="199">
        <f t="shared" si="414"/>
        <v>59012.130270888898</v>
      </c>
      <c r="AH426" s="199">
        <f t="shared" si="463"/>
        <v>66585.332620773261</v>
      </c>
      <c r="AI426" s="200">
        <f t="shared" si="455"/>
        <v>73788.50775419912</v>
      </c>
      <c r="AJ426" s="200">
        <f t="shared" si="456"/>
        <v>73788.50775419912</v>
      </c>
      <c r="AK426" s="200">
        <f t="shared" si="457"/>
        <v>73788.50775419912</v>
      </c>
      <c r="AL426" s="4"/>
      <c r="AM426" s="4"/>
      <c r="AN426" s="4"/>
      <c r="AO426" s="4"/>
      <c r="AP426" s="63"/>
      <c r="AQ426" s="18"/>
      <c r="AR426" s="18"/>
      <c r="AS426" s="18"/>
      <c r="AT426" s="18">
        <v>0</v>
      </c>
      <c r="AU426" s="133">
        <f t="shared" ref="AU426" si="503">+AU414</f>
        <v>104.364</v>
      </c>
      <c r="AV426" s="133">
        <f t="shared" ref="AV426" si="504">+AV414</f>
        <v>3268.3739999999998</v>
      </c>
      <c r="AW426" s="194"/>
      <c r="AX426" s="194"/>
      <c r="AY426" s="194"/>
      <c r="AZ426" s="194"/>
      <c r="BA426" s="194"/>
      <c r="BB426" s="194"/>
      <c r="BC426" s="65">
        <v>0</v>
      </c>
      <c r="BD426" s="65">
        <v>0</v>
      </c>
      <c r="BE426" s="65">
        <v>0</v>
      </c>
      <c r="BF426" s="65">
        <v>0</v>
      </c>
      <c r="BG426" s="65">
        <v>0</v>
      </c>
      <c r="BH426" s="65">
        <v>0</v>
      </c>
      <c r="BI426" s="65">
        <v>620.91413502170326</v>
      </c>
      <c r="BJ426" s="65">
        <v>0</v>
      </c>
      <c r="BK426" s="65">
        <v>18.83837925561102</v>
      </c>
      <c r="BL426" s="65">
        <v>0</v>
      </c>
      <c r="BM426" s="65">
        <v>0</v>
      </c>
      <c r="BN426" s="65">
        <v>0</v>
      </c>
      <c r="BO426" s="65">
        <v>22.270679999999999</v>
      </c>
      <c r="BP426" s="5"/>
      <c r="BQ426" s="5"/>
      <c r="BR426" s="65">
        <v>75.88947163454435</v>
      </c>
      <c r="BS426" s="65">
        <v>274.60313421115109</v>
      </c>
      <c r="BT426" s="65">
        <v>101.43394593404638</v>
      </c>
      <c r="BU426" s="65">
        <v>112.81244766901163</v>
      </c>
      <c r="BV426" s="144">
        <f t="shared" si="448"/>
        <v>273.80571132720092</v>
      </c>
      <c r="BW426" s="144">
        <f t="shared" si="449"/>
        <v>589.59112707595602</v>
      </c>
      <c r="BX426" s="144">
        <f t="shared" si="450"/>
        <v>188.62941894068032</v>
      </c>
      <c r="BY426" s="5"/>
      <c r="BZ426" s="5"/>
      <c r="CA426" s="4"/>
      <c r="CB426" s="5"/>
      <c r="CC426" s="5"/>
      <c r="CD426" s="5"/>
      <c r="CE426" s="5"/>
      <c r="CF426" s="64"/>
      <c r="CG426" s="70"/>
      <c r="CH426" s="70"/>
      <c r="CI426" s="70"/>
      <c r="CJ426" s="63"/>
      <c r="CK426" s="8">
        <f t="shared" si="431"/>
        <v>5651.5264510699044</v>
      </c>
      <c r="CL426" s="202">
        <f t="shared" si="481"/>
        <v>68136.981303129214</v>
      </c>
      <c r="CM426" s="202">
        <f t="shared" si="482"/>
        <v>68136.981303129214</v>
      </c>
      <c r="CN426" s="202">
        <f t="shared" si="483"/>
        <v>68136.981303129214</v>
      </c>
      <c r="CO426" s="9">
        <f t="shared" si="484"/>
        <v>57964.663951101553</v>
      </c>
      <c r="CP426" s="9">
        <f t="shared" si="485"/>
        <v>68507.008519587704</v>
      </c>
      <c r="CQ426" s="9">
        <f t="shared" si="486"/>
        <v>53360.603819818993</v>
      </c>
      <c r="CR426" s="202">
        <f t="shared" si="487"/>
        <v>68136.981303129214</v>
      </c>
      <c r="CS426" s="202">
        <f t="shared" si="488"/>
        <v>68136.981303129214</v>
      </c>
      <c r="CT426" s="202">
        <f t="shared" si="489"/>
        <v>68136.981303129214</v>
      </c>
      <c r="CU426" s="203">
        <f t="shared" si="490"/>
        <v>0.92340912395333963</v>
      </c>
      <c r="CV426" s="203">
        <f t="shared" si="491"/>
        <v>0.92340912395333963</v>
      </c>
      <c r="CW426" s="203">
        <f t="shared" si="492"/>
        <v>0.92340912395333963</v>
      </c>
      <c r="CX426" s="19">
        <f t="shared" si="493"/>
        <v>0.91116213631558485</v>
      </c>
      <c r="CY426" s="19">
        <f t="shared" si="494"/>
        <v>0.92379128776875041</v>
      </c>
      <c r="CZ426" s="19">
        <f t="shared" si="495"/>
        <v>0.90423110595860245</v>
      </c>
      <c r="DA426" s="203">
        <f t="shared" si="496"/>
        <v>0.92340912395333963</v>
      </c>
      <c r="DB426" s="203">
        <f t="shared" si="497"/>
        <v>0.92340912395333963</v>
      </c>
      <c r="DC426" s="203">
        <f t="shared" si="498"/>
        <v>0.92340912395333963</v>
      </c>
      <c r="DD426" s="65"/>
      <c r="DE426" s="66"/>
      <c r="DF426" s="66"/>
      <c r="DG426" s="66"/>
      <c r="DH426" s="66"/>
      <c r="DI426" s="66"/>
      <c r="DJ426" s="66"/>
      <c r="DK426" s="70"/>
      <c r="DL426" s="70"/>
      <c r="DM426" s="8">
        <f t="shared" si="432"/>
        <v>0</v>
      </c>
      <c r="DN426" s="8">
        <f t="shared" si="433"/>
        <v>5651.5264510699044</v>
      </c>
      <c r="DO426" s="202">
        <f t="shared" si="415"/>
        <v>68136.981303129214</v>
      </c>
      <c r="DP426" s="202">
        <f t="shared" si="416"/>
        <v>68136.981303129214</v>
      </c>
      <c r="DQ426" s="202">
        <f t="shared" si="417"/>
        <v>68136.981303129214</v>
      </c>
      <c r="DR426" s="9">
        <f t="shared" si="418"/>
        <v>57964.663951101553</v>
      </c>
      <c r="DS426" s="9">
        <f t="shared" si="501"/>
        <v>68507.008519587704</v>
      </c>
      <c r="DT426" s="9">
        <f t="shared" si="419"/>
        <v>53360.603819818993</v>
      </c>
      <c r="DU426" s="202">
        <f t="shared" si="420"/>
        <v>68136.981303129214</v>
      </c>
      <c r="DV426" s="202">
        <f t="shared" si="421"/>
        <v>68136.981303129214</v>
      </c>
      <c r="DW426" s="202">
        <f t="shared" si="422"/>
        <v>68136.981303129214</v>
      </c>
      <c r="DX426" s="203">
        <f t="shared" si="423"/>
        <v>0.92340912395333963</v>
      </c>
      <c r="DY426" s="203">
        <f t="shared" si="424"/>
        <v>0.92340912395333963</v>
      </c>
      <c r="DZ426" s="203">
        <f t="shared" si="425"/>
        <v>0.92340912395333963</v>
      </c>
      <c r="EA426" s="19">
        <f t="shared" si="426"/>
        <v>0.91116213631558485</v>
      </c>
      <c r="EB426" s="19">
        <f t="shared" si="502"/>
        <v>0.92379128776875041</v>
      </c>
      <c r="EC426" s="19">
        <f t="shared" si="427"/>
        <v>0.90423110595860245</v>
      </c>
      <c r="ED426" s="203">
        <f t="shared" si="428"/>
        <v>0.92340912395333963</v>
      </c>
      <c r="EE426" s="203">
        <f t="shared" si="429"/>
        <v>0.92340912395333963</v>
      </c>
      <c r="EF426" s="203">
        <f t="shared" si="430"/>
        <v>0.92340912395333963</v>
      </c>
      <c r="EH426" s="58">
        <f t="shared" si="442"/>
        <v>5377.7207397427037</v>
      </c>
      <c r="EI426" s="68">
        <f t="shared" si="443"/>
        <v>7.2516545018998999E-2</v>
      </c>
      <c r="EJ426" s="58">
        <f t="shared" si="444"/>
        <v>5377.7207397427037</v>
      </c>
      <c r="EK426" s="68">
        <f t="shared" si="443"/>
        <v>7.2516545018998999E-2</v>
      </c>
      <c r="EL426" s="58">
        <f t="shared" si="445"/>
        <v>1816.3533208020235</v>
      </c>
      <c r="EM426" s="58">
        <f t="shared" si="446"/>
        <v>2004.9827397427039</v>
      </c>
      <c r="EN426" s="68">
        <f t="shared" si="447"/>
        <v>2.7036439440666103E-2</v>
      </c>
      <c r="EO426" s="139">
        <f t="shared" si="464"/>
        <v>0.4050825009776523</v>
      </c>
      <c r="EP426">
        <f>+(SUM(M426:O426)*EO426*(1-'[1]Tier 3 Data'!$A$2))</f>
        <v>568.00697111703971</v>
      </c>
    </row>
    <row r="427" spans="1:146" x14ac:dyDescent="0.2">
      <c r="A427" s="43">
        <v>0</v>
      </c>
      <c r="B427" s="43">
        <v>0</v>
      </c>
      <c r="C427" s="43">
        <v>0</v>
      </c>
      <c r="D427" s="70">
        <v>2042</v>
      </c>
      <c r="E427" s="70">
        <v>12</v>
      </c>
      <c r="F427" s="2">
        <v>744</v>
      </c>
      <c r="G427" s="133">
        <f t="shared" si="458"/>
        <v>50823.162954123232</v>
      </c>
      <c r="H427" s="65">
        <v>50823.162954123232</v>
      </c>
      <c r="I427" s="133">
        <f t="shared" si="459"/>
        <v>50823.162954123232</v>
      </c>
      <c r="J427" s="133">
        <f t="shared" si="440"/>
        <v>8576.7270000000026</v>
      </c>
      <c r="K427" s="65">
        <v>8576.7270000000026</v>
      </c>
      <c r="L427" s="133">
        <f t="shared" si="441"/>
        <v>8576.7270000000026</v>
      </c>
      <c r="M427" s="65">
        <v>248.30627982623952</v>
      </c>
      <c r="N427" s="65">
        <v>534.68270867382159</v>
      </c>
      <c r="O427" s="65">
        <v>171.09837187075127</v>
      </c>
      <c r="P427" s="200">
        <f t="shared" si="434"/>
        <v>41960.209746011984</v>
      </c>
      <c r="Q427" s="200">
        <f t="shared" si="435"/>
        <v>41960.209746011984</v>
      </c>
      <c r="R427" s="200">
        <f t="shared" si="436"/>
        <v>41960.209746011984</v>
      </c>
      <c r="S427" s="133">
        <f t="shared" si="460"/>
        <v>42195.106442561999</v>
      </c>
      <c r="T427" s="133">
        <f t="shared" si="461"/>
        <v>42195.106442561999</v>
      </c>
      <c r="U427" s="133">
        <f t="shared" si="462"/>
        <v>42195.106442561999</v>
      </c>
      <c r="V427" s="200">
        <f t="shared" si="437"/>
        <v>41960.209746011984</v>
      </c>
      <c r="W427" s="200">
        <f t="shared" si="438"/>
        <v>41960.209746011984</v>
      </c>
      <c r="X427" s="200">
        <f t="shared" si="439"/>
        <v>41960.209746011984</v>
      </c>
      <c r="Y427" s="65">
        <v>29830.343105862103</v>
      </c>
      <c r="Z427" s="65">
        <v>40656.962002046734</v>
      </c>
      <c r="AA427" s="65">
        <v>24664.687006356799</v>
      </c>
      <c r="AB427" s="200">
        <f t="shared" si="451"/>
        <v>82617.171748058725</v>
      </c>
      <c r="AC427" s="200">
        <f t="shared" si="452"/>
        <v>82617.171748058725</v>
      </c>
      <c r="AD427" s="200">
        <f t="shared" si="453"/>
        <v>82617.171748058725</v>
      </c>
      <c r="AE427" s="199">
        <f t="shared" si="413"/>
        <v>72025.449548424105</v>
      </c>
      <c r="AF427" s="199">
        <f t="shared" si="454"/>
        <v>82852.06844460874</v>
      </c>
      <c r="AG427" s="199">
        <f t="shared" si="414"/>
        <v>66859.79344891879</v>
      </c>
      <c r="AH427" s="199">
        <f t="shared" si="463"/>
        <v>74855.930946763765</v>
      </c>
      <c r="AI427" s="200">
        <f t="shared" si="455"/>
        <v>82617.171748058725</v>
      </c>
      <c r="AJ427" s="200">
        <f t="shared" si="456"/>
        <v>82617.171748058725</v>
      </c>
      <c r="AK427" s="200">
        <f t="shared" si="457"/>
        <v>82617.171748058725</v>
      </c>
      <c r="AL427" s="4"/>
      <c r="AM427" s="4"/>
      <c r="AN427" s="4"/>
      <c r="AO427" s="4"/>
      <c r="AP427" s="63"/>
      <c r="AQ427" s="18"/>
      <c r="AR427" s="18"/>
      <c r="AS427" s="18"/>
      <c r="AT427" s="18">
        <v>0</v>
      </c>
      <c r="AU427" s="133">
        <f t="shared" ref="AU427" si="505">+AU415</f>
        <v>105.066</v>
      </c>
      <c r="AV427" s="133">
        <f t="shared" ref="AV427" si="506">+AV415</f>
        <v>3218.8470000000002</v>
      </c>
      <c r="AW427" s="194"/>
      <c r="AX427" s="194"/>
      <c r="AY427" s="194"/>
      <c r="AZ427" s="194"/>
      <c r="BA427" s="194"/>
      <c r="BB427" s="194"/>
      <c r="BC427" s="65">
        <v>0</v>
      </c>
      <c r="BD427" s="65">
        <v>0</v>
      </c>
      <c r="BE427" s="65">
        <v>0</v>
      </c>
      <c r="BF427" s="65">
        <v>0</v>
      </c>
      <c r="BG427" s="65">
        <v>0</v>
      </c>
      <c r="BH427" s="65">
        <v>0</v>
      </c>
      <c r="BI427" s="65">
        <v>290.9660075470938</v>
      </c>
      <c r="BJ427" s="65">
        <v>0</v>
      </c>
      <c r="BK427" s="65">
        <v>19.254680191696124</v>
      </c>
      <c r="BL427" s="65">
        <v>0</v>
      </c>
      <c r="BM427" s="65">
        <v>0</v>
      </c>
      <c r="BN427" s="65">
        <v>0</v>
      </c>
      <c r="BO427" s="65">
        <v>23.013036</v>
      </c>
      <c r="BP427" s="5"/>
      <c r="BQ427" s="5"/>
      <c r="BR427" s="5"/>
      <c r="BS427" s="65">
        <v>250.20261397465939</v>
      </c>
      <c r="BT427" s="65">
        <v>93.390394765869502</v>
      </c>
      <c r="BU427" s="65">
        <v>99.28547240371573</v>
      </c>
      <c r="BV427" s="144">
        <f t="shared" si="448"/>
        <v>173.81439587836766</v>
      </c>
      <c r="BW427" s="144">
        <f t="shared" si="449"/>
        <v>374.27789607167512</v>
      </c>
      <c r="BX427" s="144">
        <f t="shared" si="450"/>
        <v>119.76886030952588</v>
      </c>
      <c r="BY427" s="5"/>
      <c r="BZ427" s="5"/>
      <c r="CA427" s="4"/>
      <c r="CB427" s="5"/>
      <c r="CC427" s="5"/>
      <c r="CD427" s="5"/>
      <c r="CE427" s="5"/>
      <c r="CF427" s="64"/>
      <c r="CG427" s="70"/>
      <c r="CH427" s="70"/>
      <c r="CI427" s="70"/>
      <c r="CJ427" s="63"/>
      <c r="CK427" s="8">
        <f t="shared" si="431"/>
        <v>4767.8863571426027</v>
      </c>
      <c r="CL427" s="202">
        <f t="shared" si="481"/>
        <v>77849.28539091612</v>
      </c>
      <c r="CM427" s="202">
        <f t="shared" si="482"/>
        <v>77849.28539091612</v>
      </c>
      <c r="CN427" s="202">
        <f t="shared" si="483"/>
        <v>77849.28539091612</v>
      </c>
      <c r="CO427" s="9">
        <f t="shared" si="484"/>
        <v>67257.563191281501</v>
      </c>
      <c r="CP427" s="9">
        <f t="shared" si="485"/>
        <v>78084.182087466135</v>
      </c>
      <c r="CQ427" s="9">
        <f t="shared" si="486"/>
        <v>62091.907091776186</v>
      </c>
      <c r="CR427" s="202">
        <f t="shared" si="487"/>
        <v>77849.28539091612</v>
      </c>
      <c r="CS427" s="202">
        <f t="shared" si="488"/>
        <v>77849.28539091612</v>
      </c>
      <c r="CT427" s="202">
        <f t="shared" si="489"/>
        <v>77849.28539091612</v>
      </c>
      <c r="CU427" s="203">
        <f t="shared" si="490"/>
        <v>0.9422894023571482</v>
      </c>
      <c r="CV427" s="203">
        <f t="shared" si="491"/>
        <v>0.9422894023571482</v>
      </c>
      <c r="CW427" s="203">
        <f t="shared" si="492"/>
        <v>0.9422894023571482</v>
      </c>
      <c r="CX427" s="19">
        <f t="shared" si="493"/>
        <v>0.93380275462304385</v>
      </c>
      <c r="CY427" s="19">
        <f t="shared" si="494"/>
        <v>0.94245301962098627</v>
      </c>
      <c r="CZ427" s="19">
        <f t="shared" si="495"/>
        <v>0.92868828766596034</v>
      </c>
      <c r="DA427" s="203">
        <f t="shared" si="496"/>
        <v>0.9422894023571482</v>
      </c>
      <c r="DB427" s="203">
        <f t="shared" si="497"/>
        <v>0.9422894023571482</v>
      </c>
      <c r="DC427" s="203">
        <f t="shared" si="498"/>
        <v>0.9422894023571482</v>
      </c>
      <c r="DD427" s="65"/>
      <c r="DE427" s="66"/>
      <c r="DF427" s="66"/>
      <c r="DG427" s="66"/>
      <c r="DH427" s="66"/>
      <c r="DI427" s="66"/>
      <c r="DJ427" s="66"/>
      <c r="DK427" s="70"/>
      <c r="DL427" s="70"/>
      <c r="DM427" s="8">
        <f t="shared" si="432"/>
        <v>0</v>
      </c>
      <c r="DN427" s="8">
        <f t="shared" si="433"/>
        <v>4767.8863571426027</v>
      </c>
      <c r="DO427" s="202">
        <f t="shared" si="415"/>
        <v>77849.28539091612</v>
      </c>
      <c r="DP427" s="202">
        <f t="shared" si="416"/>
        <v>77849.28539091612</v>
      </c>
      <c r="DQ427" s="202">
        <f t="shared" si="417"/>
        <v>77849.28539091612</v>
      </c>
      <c r="DR427" s="9">
        <f t="shared" si="418"/>
        <v>67257.563191281501</v>
      </c>
      <c r="DS427" s="9">
        <f t="shared" si="501"/>
        <v>78084.182087466135</v>
      </c>
      <c r="DT427" s="9">
        <f t="shared" si="419"/>
        <v>62091.907091776186</v>
      </c>
      <c r="DU427" s="202">
        <f t="shared" si="420"/>
        <v>77849.28539091612</v>
      </c>
      <c r="DV427" s="202">
        <f t="shared" si="421"/>
        <v>77849.28539091612</v>
      </c>
      <c r="DW427" s="202">
        <f t="shared" si="422"/>
        <v>77849.28539091612</v>
      </c>
      <c r="DX427" s="203">
        <f t="shared" si="423"/>
        <v>0.9422894023571482</v>
      </c>
      <c r="DY427" s="203">
        <f t="shared" si="424"/>
        <v>0.9422894023571482</v>
      </c>
      <c r="DZ427" s="203">
        <f t="shared" si="425"/>
        <v>0.9422894023571482</v>
      </c>
      <c r="EA427" s="19">
        <f t="shared" si="426"/>
        <v>0.93380275462304385</v>
      </c>
      <c r="EB427" s="19">
        <f t="shared" si="502"/>
        <v>0.94245301962098627</v>
      </c>
      <c r="EC427" s="19">
        <f t="shared" si="427"/>
        <v>0.92868828766596034</v>
      </c>
      <c r="ED427" s="203">
        <f t="shared" si="428"/>
        <v>0.9422894023571482</v>
      </c>
      <c r="EE427" s="203">
        <f t="shared" si="429"/>
        <v>0.9422894023571482</v>
      </c>
      <c r="EF427" s="203">
        <f t="shared" si="430"/>
        <v>0.9422894023571482</v>
      </c>
      <c r="EH427" s="58">
        <f t="shared" si="442"/>
        <v>4594.0719612642351</v>
      </c>
      <c r="EI427" s="68">
        <f t="shared" si="443"/>
        <v>5.5449091947965427E-2</v>
      </c>
      <c r="EJ427" s="58">
        <f t="shared" si="444"/>
        <v>4594.0719612642351</v>
      </c>
      <c r="EK427" s="68">
        <f t="shared" si="443"/>
        <v>5.5449091947965427E-2</v>
      </c>
      <c r="EL427" s="58">
        <f t="shared" si="445"/>
        <v>1150.3901009547096</v>
      </c>
      <c r="EM427" s="58">
        <f t="shared" si="446"/>
        <v>1270.1589612642356</v>
      </c>
      <c r="EN427" s="68">
        <f t="shared" si="447"/>
        <v>1.5330443585888361E-2</v>
      </c>
      <c r="EO427" s="139">
        <f t="shared" si="464"/>
        <v>0.32946562535829382</v>
      </c>
      <c r="EP427">
        <f>+(SUM(M427:O427)*EO427*(1-'[1]Tier 3 Data'!$A$2))</f>
        <v>293.27827657933568</v>
      </c>
    </row>
    <row r="428" spans="1:146" x14ac:dyDescent="0.2">
      <c r="A428" s="43">
        <v>0</v>
      </c>
      <c r="B428" s="43">
        <v>0</v>
      </c>
      <c r="C428" s="43">
        <v>0</v>
      </c>
      <c r="D428" s="70">
        <v>2043</v>
      </c>
      <c r="E428" s="70">
        <v>1</v>
      </c>
      <c r="F428" s="2">
        <v>744</v>
      </c>
      <c r="G428" s="133">
        <f t="shared" si="458"/>
        <v>52572.762825313002</v>
      </c>
      <c r="H428" s="65">
        <v>52572.762825313002</v>
      </c>
      <c r="I428" s="133">
        <f t="shared" si="459"/>
        <v>52572.762825313002</v>
      </c>
      <c r="J428" s="133">
        <f t="shared" si="440"/>
        <v>8616.5360000000019</v>
      </c>
      <c r="K428" s="64">
        <v>8616.5360000000019</v>
      </c>
      <c r="L428" s="133">
        <f t="shared" si="441"/>
        <v>8616.5360000000019</v>
      </c>
      <c r="M428" s="65">
        <v>350.79787520860157</v>
      </c>
      <c r="N428" s="65">
        <v>755.37984075477868</v>
      </c>
      <c r="O428" s="70">
        <v>241.74241099971965</v>
      </c>
      <c r="P428" s="200">
        <f t="shared" si="434"/>
        <v>43551.850787224073</v>
      </c>
      <c r="Q428" s="200">
        <f t="shared" si="435"/>
        <v>43551.850787224073</v>
      </c>
      <c r="R428" s="200">
        <f t="shared" si="436"/>
        <v>43551.850787224073</v>
      </c>
      <c r="S428" s="133">
        <f t="shared" si="460"/>
        <v>43883.704102013086</v>
      </c>
      <c r="T428" s="133">
        <f t="shared" si="461"/>
        <v>43883.704102013086</v>
      </c>
      <c r="U428" s="133">
        <f t="shared" si="462"/>
        <v>43883.704102013086</v>
      </c>
      <c r="V428" s="200">
        <f t="shared" si="437"/>
        <v>43551.850787224073</v>
      </c>
      <c r="W428" s="200">
        <f t="shared" si="438"/>
        <v>43551.850787224073</v>
      </c>
      <c r="X428" s="200">
        <f t="shared" si="439"/>
        <v>43551.850787224073</v>
      </c>
      <c r="Y428" s="58">
        <v>31000.431966471708</v>
      </c>
      <c r="Z428">
        <v>42971.764293226988</v>
      </c>
      <c r="AA428" s="65">
        <v>25909.076055151061</v>
      </c>
      <c r="AB428" s="200">
        <f t="shared" si="451"/>
        <v>86523.615080451069</v>
      </c>
      <c r="AC428" s="200">
        <f t="shared" si="452"/>
        <v>86523.615080451069</v>
      </c>
      <c r="AD428" s="200">
        <f t="shared" si="453"/>
        <v>86523.615080451069</v>
      </c>
      <c r="AE428" s="199">
        <f t="shared" si="413"/>
        <v>74884.13606848479</v>
      </c>
      <c r="AF428" s="199">
        <f t="shared" si="454"/>
        <v>86855.468395240081</v>
      </c>
      <c r="AG428" s="199">
        <f t="shared" si="414"/>
        <v>69792.780157164147</v>
      </c>
      <c r="AH428" s="199">
        <f t="shared" si="463"/>
        <v>78324.124276202114</v>
      </c>
      <c r="AI428" s="200">
        <f t="shared" si="455"/>
        <v>86523.615080451069</v>
      </c>
      <c r="AJ428" s="200">
        <f t="shared" si="456"/>
        <v>86523.615080451069</v>
      </c>
      <c r="AK428" s="200">
        <f t="shared" si="457"/>
        <v>86523.615080451069</v>
      </c>
      <c r="AL428" s="4"/>
      <c r="AM428" s="4"/>
      <c r="AN428" s="4"/>
      <c r="AO428" s="4"/>
      <c r="AP428" s="63"/>
      <c r="AQ428" s="18"/>
      <c r="AR428" s="18"/>
      <c r="AS428" s="18"/>
      <c r="AT428" s="18">
        <v>0</v>
      </c>
      <c r="AU428" s="133">
        <f t="shared" ref="AU428" si="507">+AU416</f>
        <v>98.513999999999996</v>
      </c>
      <c r="AV428" s="133">
        <f t="shared" ref="AV428" si="508">+AV416</f>
        <v>3278.6750000000002</v>
      </c>
      <c r="AW428" s="194"/>
      <c r="AX428" s="194"/>
      <c r="AY428" s="194"/>
      <c r="AZ428" s="194"/>
      <c r="BA428" s="194"/>
      <c r="BB428" s="194"/>
      <c r="BC428" s="65">
        <v>0</v>
      </c>
      <c r="BD428" s="65">
        <v>0</v>
      </c>
      <c r="BE428" s="65">
        <v>0</v>
      </c>
      <c r="BF428" s="65">
        <v>0</v>
      </c>
      <c r="BG428" s="65">
        <v>0</v>
      </c>
      <c r="BH428" s="65">
        <v>0</v>
      </c>
      <c r="BI428" s="65">
        <v>400.45987561442695</v>
      </c>
      <c r="BJ428" s="65">
        <v>0</v>
      </c>
      <c r="BK428" s="65">
        <v>0</v>
      </c>
      <c r="BL428" s="65">
        <v>0</v>
      </c>
      <c r="BM428" s="65">
        <v>0</v>
      </c>
      <c r="BN428" s="65">
        <v>0</v>
      </c>
      <c r="BO428" s="65">
        <v>23.013036</v>
      </c>
      <c r="BP428" s="5"/>
      <c r="BQ428" s="5"/>
      <c r="BR428" s="5"/>
      <c r="BS428" s="63"/>
      <c r="BT428" s="65">
        <v>121.03641006460892</v>
      </c>
      <c r="BU428" s="65">
        <v>138.34084094969199</v>
      </c>
      <c r="BV428" s="144">
        <f t="shared" si="448"/>
        <v>245.55851264602109</v>
      </c>
      <c r="BW428" s="144">
        <f t="shared" si="449"/>
        <v>528.76588852834504</v>
      </c>
      <c r="BX428" s="144">
        <f t="shared" si="450"/>
        <v>169.21968769980376</v>
      </c>
      <c r="BY428" s="5"/>
      <c r="BZ428" s="5"/>
      <c r="CA428" s="4"/>
      <c r="CB428" s="5"/>
      <c r="CC428" s="5"/>
      <c r="CD428" s="5"/>
      <c r="CE428" s="5"/>
      <c r="CF428" s="64"/>
      <c r="CG428" s="70"/>
      <c r="CH428" s="70"/>
      <c r="CI428" s="70"/>
      <c r="CJ428" s="63"/>
      <c r="CK428" s="8">
        <f t="shared" si="431"/>
        <v>5003.5832515028987</v>
      </c>
      <c r="CL428" s="202">
        <f t="shared" si="481"/>
        <v>81520.031828948166</v>
      </c>
      <c r="CM428" s="202">
        <f t="shared" si="482"/>
        <v>81520.031828948166</v>
      </c>
      <c r="CN428" s="202">
        <f t="shared" si="483"/>
        <v>81520.031828948166</v>
      </c>
      <c r="CO428" s="9">
        <f t="shared" si="484"/>
        <v>69880.552816981886</v>
      </c>
      <c r="CP428" s="9">
        <f t="shared" si="485"/>
        <v>81851.885143737178</v>
      </c>
      <c r="CQ428" s="9">
        <f t="shared" si="486"/>
        <v>64789.196905661251</v>
      </c>
      <c r="CR428" s="202">
        <f t="shared" si="487"/>
        <v>81520.031828948166</v>
      </c>
      <c r="CS428" s="202">
        <f t="shared" si="488"/>
        <v>81520.031828948166</v>
      </c>
      <c r="CT428" s="202">
        <f t="shared" si="489"/>
        <v>81520.031828948166</v>
      </c>
      <c r="CU428" s="203">
        <f t="shared" si="490"/>
        <v>0.94217089465285875</v>
      </c>
      <c r="CV428" s="203">
        <f t="shared" si="491"/>
        <v>0.94217089465285875</v>
      </c>
      <c r="CW428" s="203">
        <f t="shared" si="492"/>
        <v>0.94217089465285875</v>
      </c>
      <c r="CX428" s="19">
        <f t="shared" si="493"/>
        <v>0.93318233321237876</v>
      </c>
      <c r="CY428" s="19">
        <f t="shared" si="494"/>
        <v>0.94239184539614884</v>
      </c>
      <c r="CZ428" s="19">
        <f t="shared" si="495"/>
        <v>0.92830801065331559</v>
      </c>
      <c r="DA428" s="203">
        <f t="shared" si="496"/>
        <v>0.94217089465285875</v>
      </c>
      <c r="DB428" s="203">
        <f t="shared" si="497"/>
        <v>0.94217089465285875</v>
      </c>
      <c r="DC428" s="203">
        <f t="shared" si="498"/>
        <v>0.94217089465285875</v>
      </c>
      <c r="DD428" s="65"/>
      <c r="DE428" s="66"/>
      <c r="DF428" s="66"/>
      <c r="DG428" s="66"/>
      <c r="DH428" s="66"/>
      <c r="DI428" s="66"/>
      <c r="DJ428" s="66"/>
      <c r="DK428" s="70"/>
      <c r="DL428" s="70"/>
      <c r="DM428" s="8">
        <f t="shared" si="432"/>
        <v>0</v>
      </c>
      <c r="DN428" s="8">
        <f t="shared" si="433"/>
        <v>5003.5832515028987</v>
      </c>
      <c r="DO428" s="202">
        <f t="shared" si="415"/>
        <v>81520.031828948166</v>
      </c>
      <c r="DP428" s="202">
        <f t="shared" si="416"/>
        <v>81520.031828948166</v>
      </c>
      <c r="DQ428" s="202">
        <f t="shared" si="417"/>
        <v>81520.031828948166</v>
      </c>
      <c r="DR428" s="9">
        <f t="shared" si="418"/>
        <v>69880.552816981886</v>
      </c>
      <c r="DS428" s="9">
        <f t="shared" si="501"/>
        <v>81851.885143737178</v>
      </c>
      <c r="DT428" s="9">
        <f t="shared" si="419"/>
        <v>64789.196905661251</v>
      </c>
      <c r="DU428" s="202">
        <f t="shared" si="420"/>
        <v>81520.031828948166</v>
      </c>
      <c r="DV428" s="202">
        <f t="shared" si="421"/>
        <v>81520.031828948166</v>
      </c>
      <c r="DW428" s="202">
        <f t="shared" si="422"/>
        <v>81520.031828948166</v>
      </c>
      <c r="DX428" s="203">
        <f t="shared" si="423"/>
        <v>0.94217089465285875</v>
      </c>
      <c r="DY428" s="203">
        <f t="shared" si="424"/>
        <v>0.94217089465285875</v>
      </c>
      <c r="DZ428" s="203">
        <f t="shared" si="425"/>
        <v>0.94217089465285875</v>
      </c>
      <c r="EA428" s="19">
        <f t="shared" si="426"/>
        <v>0.93318233321237876</v>
      </c>
      <c r="EB428" s="19">
        <f t="shared" si="502"/>
        <v>0.94239184539614884</v>
      </c>
      <c r="EC428" s="19">
        <f t="shared" si="427"/>
        <v>0.92830801065331559</v>
      </c>
      <c r="ED428" s="203">
        <f t="shared" si="428"/>
        <v>0.94217089465285875</v>
      </c>
      <c r="EE428" s="203">
        <f t="shared" si="429"/>
        <v>0.94217089465285875</v>
      </c>
      <c r="EF428" s="203">
        <f t="shared" si="430"/>
        <v>0.94217089465285875</v>
      </c>
      <c r="EH428" s="58">
        <f t="shared" si="442"/>
        <v>4758.0247388568769</v>
      </c>
      <c r="EI428" s="68">
        <f t="shared" si="443"/>
        <v>5.4780946171463278E-2</v>
      </c>
      <c r="EJ428" s="58">
        <f t="shared" si="444"/>
        <v>4758.0247388568769</v>
      </c>
      <c r="EK428" s="68">
        <f t="shared" si="443"/>
        <v>5.4780946171463278E-2</v>
      </c>
      <c r="EL428" s="58">
        <f t="shared" si="445"/>
        <v>1211.6160511570729</v>
      </c>
      <c r="EM428" s="58">
        <f t="shared" si="446"/>
        <v>1380.8357388568766</v>
      </c>
      <c r="EN428" s="68">
        <f t="shared" si="447"/>
        <v>1.5898086376937324E-2</v>
      </c>
      <c r="EO428" s="139">
        <f t="shared" si="464"/>
        <v>0.32527353469126524</v>
      </c>
      <c r="EP428">
        <f>+(SUM(M428:O428)*EO428*(1-'[1]Tier 3 Data'!$A$2))</f>
        <v>409.06708031880783</v>
      </c>
    </row>
    <row r="429" spans="1:146" x14ac:dyDescent="0.2">
      <c r="A429" s="43">
        <v>0</v>
      </c>
      <c r="B429" s="43">
        <v>0</v>
      </c>
      <c r="C429" s="43">
        <v>0</v>
      </c>
      <c r="D429" s="70">
        <v>2043</v>
      </c>
      <c r="E429" s="70">
        <v>2</v>
      </c>
      <c r="F429" s="2">
        <v>672</v>
      </c>
      <c r="G429" s="133">
        <f t="shared" si="458"/>
        <v>47520.590899170784</v>
      </c>
      <c r="H429" s="65">
        <v>47520.590899170784</v>
      </c>
      <c r="I429" s="133">
        <f t="shared" si="459"/>
        <v>47520.590899170784</v>
      </c>
      <c r="J429" s="133">
        <f t="shared" si="440"/>
        <v>8656.3450000000012</v>
      </c>
      <c r="K429" s="64">
        <v>8656.3450000000012</v>
      </c>
      <c r="L429" s="133">
        <f t="shared" si="441"/>
        <v>8656.3450000000012</v>
      </c>
      <c r="M429" s="65">
        <v>839.3555429628592</v>
      </c>
      <c r="N429" s="65">
        <v>1807.4005037883962</v>
      </c>
      <c r="O429" s="70">
        <v>578.44257868700402</v>
      </c>
      <c r="P429" s="200">
        <f t="shared" si="434"/>
        <v>37896.686311539306</v>
      </c>
      <c r="Q429" s="200">
        <f t="shared" si="435"/>
        <v>37896.686311539306</v>
      </c>
      <c r="R429" s="200">
        <f t="shared" si="436"/>
        <v>37896.686311539306</v>
      </c>
      <c r="S429" s="133">
        <f t="shared" si="460"/>
        <v>38690.713125564682</v>
      </c>
      <c r="T429" s="133">
        <f t="shared" si="461"/>
        <v>38690.713125564682</v>
      </c>
      <c r="U429" s="133">
        <f t="shared" si="462"/>
        <v>38690.713125564682</v>
      </c>
      <c r="V429" s="200">
        <f t="shared" si="437"/>
        <v>37896.686311539306</v>
      </c>
      <c r="W429" s="200">
        <f t="shared" si="438"/>
        <v>37896.686311539306</v>
      </c>
      <c r="X429" s="200">
        <f t="shared" si="439"/>
        <v>37896.686311539306</v>
      </c>
      <c r="Y429" s="58">
        <v>28835.035952506601</v>
      </c>
      <c r="Z429">
        <v>38866.053127788204</v>
      </c>
      <c r="AA429" s="65">
        <v>23749.818462856991</v>
      </c>
      <c r="AB429" s="200">
        <f t="shared" si="451"/>
        <v>76762.739439327503</v>
      </c>
      <c r="AC429" s="200">
        <f t="shared" si="452"/>
        <v>76762.739439327503</v>
      </c>
      <c r="AD429" s="200">
        <f t="shared" si="453"/>
        <v>76762.739439327503</v>
      </c>
      <c r="AE429" s="199">
        <f t="shared" si="413"/>
        <v>67525.749078071283</v>
      </c>
      <c r="AF429" s="199">
        <f t="shared" si="454"/>
        <v>77556.766253352893</v>
      </c>
      <c r="AG429" s="199">
        <f t="shared" si="414"/>
        <v>62440.531588421669</v>
      </c>
      <c r="AH429" s="199">
        <f t="shared" si="463"/>
        <v>69998.648920887281</v>
      </c>
      <c r="AI429" s="200">
        <f t="shared" si="455"/>
        <v>76762.739439327503</v>
      </c>
      <c r="AJ429" s="200">
        <f t="shared" si="456"/>
        <v>76762.739439327503</v>
      </c>
      <c r="AK429" s="200">
        <f t="shared" si="457"/>
        <v>76762.739439327503</v>
      </c>
      <c r="AL429" s="4"/>
      <c r="AM429" s="4"/>
      <c r="AN429" s="4"/>
      <c r="AO429" s="4"/>
      <c r="AP429" s="63"/>
      <c r="AQ429" s="18"/>
      <c r="AR429" s="18"/>
      <c r="AS429" s="18"/>
      <c r="AT429" s="18">
        <v>0</v>
      </c>
      <c r="AU429" s="133">
        <f t="shared" ref="AU429" si="509">+AU417</f>
        <v>92.897999999999996</v>
      </c>
      <c r="AV429" s="133">
        <f t="shared" ref="AV429" si="510">+AV417</f>
        <v>3057.587</v>
      </c>
      <c r="AW429" s="194"/>
      <c r="AX429" s="194"/>
      <c r="AY429" s="194"/>
      <c r="AZ429" s="194"/>
      <c r="BA429" s="194"/>
      <c r="BB429" s="194"/>
      <c r="BC429" s="65">
        <v>0</v>
      </c>
      <c r="BD429" s="65">
        <v>0</v>
      </c>
      <c r="BE429" s="65">
        <v>0</v>
      </c>
      <c r="BF429" s="65">
        <v>0</v>
      </c>
      <c r="BG429" s="65">
        <v>0</v>
      </c>
      <c r="BH429" s="65">
        <v>0</v>
      </c>
      <c r="BI429" s="65">
        <v>499.10528238769149</v>
      </c>
      <c r="BJ429" s="65">
        <v>0</v>
      </c>
      <c r="BK429" s="65">
        <v>0</v>
      </c>
      <c r="BL429" s="65">
        <v>0</v>
      </c>
      <c r="BM429" s="65">
        <v>0</v>
      </c>
      <c r="BN429" s="65">
        <v>0</v>
      </c>
      <c r="BO429" s="65">
        <v>20.785968</v>
      </c>
      <c r="BP429" s="5"/>
      <c r="BQ429" s="5"/>
      <c r="BR429" s="5"/>
      <c r="BS429" s="63"/>
      <c r="BT429" s="65">
        <v>155.24488634554237</v>
      </c>
      <c r="BU429" s="65">
        <v>167.47694195136805</v>
      </c>
      <c r="BV429" s="144">
        <f t="shared" si="448"/>
        <v>587.54888007400143</v>
      </c>
      <c r="BW429" s="144">
        <f t="shared" si="449"/>
        <v>1265.1803526518772</v>
      </c>
      <c r="BX429" s="144">
        <f t="shared" si="450"/>
        <v>404.9098050809028</v>
      </c>
      <c r="BY429" s="5"/>
      <c r="BZ429" s="5"/>
      <c r="CA429" s="4"/>
      <c r="CB429" s="5"/>
      <c r="CC429" s="5"/>
      <c r="CD429" s="5"/>
      <c r="CE429" s="5"/>
      <c r="CF429" s="64"/>
      <c r="CG429" s="70"/>
      <c r="CH429" s="70"/>
      <c r="CI429" s="70"/>
      <c r="CJ429" s="63"/>
      <c r="CK429" s="8">
        <f t="shared" si="431"/>
        <v>6250.7371164913839</v>
      </c>
      <c r="CL429" s="202">
        <f t="shared" si="481"/>
        <v>70512.002322836124</v>
      </c>
      <c r="CM429" s="202">
        <f t="shared" si="482"/>
        <v>70512.002322836124</v>
      </c>
      <c r="CN429" s="202">
        <f t="shared" si="483"/>
        <v>70512.002322836124</v>
      </c>
      <c r="CO429" s="9">
        <f t="shared" si="484"/>
        <v>61275.011961579898</v>
      </c>
      <c r="CP429" s="9">
        <f t="shared" si="485"/>
        <v>71306.029136861514</v>
      </c>
      <c r="CQ429" s="9">
        <f t="shared" si="486"/>
        <v>56189.794471930283</v>
      </c>
      <c r="CR429" s="202">
        <f t="shared" si="487"/>
        <v>70512.002322836124</v>
      </c>
      <c r="CS429" s="202">
        <f t="shared" si="488"/>
        <v>70512.002322836124</v>
      </c>
      <c r="CT429" s="202">
        <f t="shared" si="489"/>
        <v>70512.002322836124</v>
      </c>
      <c r="CU429" s="203">
        <f t="shared" si="490"/>
        <v>0.91857068726120827</v>
      </c>
      <c r="CV429" s="203">
        <f t="shared" si="491"/>
        <v>0.91857068726120827</v>
      </c>
      <c r="CW429" s="203">
        <f t="shared" si="492"/>
        <v>0.91857068726120827</v>
      </c>
      <c r="CX429" s="19">
        <f t="shared" si="493"/>
        <v>0.90743179895324866</v>
      </c>
      <c r="CY429" s="19">
        <f t="shared" si="494"/>
        <v>0.91940436123816405</v>
      </c>
      <c r="CZ429" s="19">
        <f t="shared" si="495"/>
        <v>0.89989295482470788</v>
      </c>
      <c r="DA429" s="203">
        <f t="shared" si="496"/>
        <v>0.91857068726120827</v>
      </c>
      <c r="DB429" s="203">
        <f t="shared" si="497"/>
        <v>0.91857068726120827</v>
      </c>
      <c r="DC429" s="203">
        <f t="shared" si="498"/>
        <v>0.91857068726120827</v>
      </c>
      <c r="DD429" s="65"/>
      <c r="DE429" s="66"/>
      <c r="DF429" s="66"/>
      <c r="DG429" s="66"/>
      <c r="DH429" s="66"/>
      <c r="DI429" s="66"/>
      <c r="DJ429" s="66"/>
      <c r="DK429" s="70"/>
      <c r="DL429" s="70"/>
      <c r="DM429" s="8">
        <f t="shared" si="432"/>
        <v>0</v>
      </c>
      <c r="DN429" s="8">
        <f t="shared" si="433"/>
        <v>6250.7371164913839</v>
      </c>
      <c r="DO429" s="202">
        <f t="shared" si="415"/>
        <v>70512.002322836124</v>
      </c>
      <c r="DP429" s="202">
        <f t="shared" si="416"/>
        <v>70512.002322836124</v>
      </c>
      <c r="DQ429" s="202">
        <f t="shared" si="417"/>
        <v>70512.002322836124</v>
      </c>
      <c r="DR429" s="9">
        <f t="shared" si="418"/>
        <v>61275.011961579898</v>
      </c>
      <c r="DS429" s="9">
        <f t="shared" si="501"/>
        <v>71306.029136861514</v>
      </c>
      <c r="DT429" s="9">
        <f t="shared" si="419"/>
        <v>56189.794471930283</v>
      </c>
      <c r="DU429" s="202">
        <f t="shared" si="420"/>
        <v>70512.002322836124</v>
      </c>
      <c r="DV429" s="202">
        <f t="shared" si="421"/>
        <v>70512.002322836124</v>
      </c>
      <c r="DW429" s="202">
        <f t="shared" si="422"/>
        <v>70512.002322836124</v>
      </c>
      <c r="DX429" s="203">
        <f t="shared" si="423"/>
        <v>0.91857068726120827</v>
      </c>
      <c r="DY429" s="203">
        <f t="shared" si="424"/>
        <v>0.91857068726120827</v>
      </c>
      <c r="DZ429" s="203">
        <f t="shared" si="425"/>
        <v>0.91857068726120827</v>
      </c>
      <c r="EA429" s="19">
        <f t="shared" si="426"/>
        <v>0.90743179895324866</v>
      </c>
      <c r="EB429" s="19">
        <f t="shared" si="502"/>
        <v>0.91940436123816405</v>
      </c>
      <c r="EC429" s="19">
        <f t="shared" si="427"/>
        <v>0.89989295482470788</v>
      </c>
      <c r="ED429" s="203">
        <f t="shared" si="428"/>
        <v>0.91857068726120827</v>
      </c>
      <c r="EE429" s="203">
        <f t="shared" si="429"/>
        <v>0.91857068726120827</v>
      </c>
      <c r="EF429" s="203">
        <f t="shared" si="430"/>
        <v>0.91857068726120827</v>
      </c>
      <c r="EH429" s="58">
        <f t="shared" si="442"/>
        <v>5663.1882364173825</v>
      </c>
      <c r="EI429" s="68">
        <f t="shared" si="443"/>
        <v>7.3019911865814219E-2</v>
      </c>
      <c r="EJ429" s="58">
        <f t="shared" si="444"/>
        <v>5663.1882364173825</v>
      </c>
      <c r="EK429" s="68">
        <f t="shared" si="443"/>
        <v>7.3019911865814219E-2</v>
      </c>
      <c r="EL429" s="58">
        <f t="shared" si="445"/>
        <v>2107.793431336479</v>
      </c>
      <c r="EM429" s="58">
        <f t="shared" si="446"/>
        <v>2512.703236417382</v>
      </c>
      <c r="EN429" s="68">
        <f t="shared" si="447"/>
        <v>3.2398246572184201E-2</v>
      </c>
      <c r="EO429" s="139">
        <f t="shared" si="464"/>
        <v>0.3126447604730192</v>
      </c>
      <c r="EP429">
        <f>+(SUM(M429:O429)*EO429*(1-'[1]Tier 3 Data'!$A$2))</f>
        <v>940.78257446227565</v>
      </c>
    </row>
    <row r="430" spans="1:146" x14ac:dyDescent="0.2">
      <c r="A430" s="43">
        <v>0</v>
      </c>
      <c r="B430" s="43">
        <v>0</v>
      </c>
      <c r="C430" s="43">
        <v>0</v>
      </c>
      <c r="D430" s="70">
        <v>2043</v>
      </c>
      <c r="E430" s="70">
        <v>3</v>
      </c>
      <c r="F430" s="2">
        <v>743</v>
      </c>
      <c r="G430" s="133">
        <f t="shared" si="458"/>
        <v>49786.051421255739</v>
      </c>
      <c r="H430" s="65">
        <v>49786.051421255739</v>
      </c>
      <c r="I430" s="133">
        <f t="shared" si="459"/>
        <v>49786.051421255739</v>
      </c>
      <c r="J430" s="133">
        <f t="shared" si="440"/>
        <v>8696.1540000000005</v>
      </c>
      <c r="K430" s="64">
        <v>8696.1540000000005</v>
      </c>
      <c r="L430" s="133">
        <f t="shared" si="441"/>
        <v>8696.1540000000005</v>
      </c>
      <c r="M430" s="65">
        <v>1051.6160966561574</v>
      </c>
      <c r="N430" s="65">
        <v>2264.4652541151199</v>
      </c>
      <c r="O430" s="70">
        <v>724.76678746514176</v>
      </c>
      <c r="P430" s="200">
        <f t="shared" si="434"/>
        <v>39877.64297978481</v>
      </c>
      <c r="Q430" s="200">
        <f t="shared" si="435"/>
        <v>39877.64297978481</v>
      </c>
      <c r="R430" s="200">
        <f t="shared" si="436"/>
        <v>39877.64297978481</v>
      </c>
      <c r="S430" s="133">
        <f t="shared" si="460"/>
        <v>40872.467385016193</v>
      </c>
      <c r="T430" s="133">
        <f t="shared" si="461"/>
        <v>40872.467385016193</v>
      </c>
      <c r="U430" s="133">
        <f t="shared" si="462"/>
        <v>40872.467385016193</v>
      </c>
      <c r="V430" s="200">
        <f t="shared" si="437"/>
        <v>39877.64297978481</v>
      </c>
      <c r="W430" s="200">
        <f t="shared" si="438"/>
        <v>39877.64297978481</v>
      </c>
      <c r="X430" s="200">
        <f t="shared" si="439"/>
        <v>39877.64297978481</v>
      </c>
      <c r="Y430" s="58">
        <v>26245.705875706011</v>
      </c>
      <c r="Z430">
        <v>34821.237855854044</v>
      </c>
      <c r="AA430" s="65">
        <v>21472.666049848507</v>
      </c>
      <c r="AB430" s="200">
        <f t="shared" si="451"/>
        <v>74698.880835638847</v>
      </c>
      <c r="AC430" s="200">
        <f t="shared" si="452"/>
        <v>74698.880835638847</v>
      </c>
      <c r="AD430" s="200">
        <f t="shared" si="453"/>
        <v>74698.880835638847</v>
      </c>
      <c r="AE430" s="199">
        <f t="shared" si="413"/>
        <v>67118.173260722207</v>
      </c>
      <c r="AF430" s="199">
        <f t="shared" si="454"/>
        <v>75693.705240870244</v>
      </c>
      <c r="AG430" s="199">
        <f t="shared" si="414"/>
        <v>62345.1334348647</v>
      </c>
      <c r="AH430" s="199">
        <f t="shared" si="463"/>
        <v>69019.419337867468</v>
      </c>
      <c r="AI430" s="200">
        <f t="shared" si="455"/>
        <v>74698.880835638847</v>
      </c>
      <c r="AJ430" s="200">
        <f t="shared" si="456"/>
        <v>74698.880835638847</v>
      </c>
      <c r="AK430" s="200">
        <f t="shared" si="457"/>
        <v>74698.880835638847</v>
      </c>
      <c r="AL430" s="4"/>
      <c r="AM430" s="4"/>
      <c r="AN430" s="4"/>
      <c r="AO430" s="4"/>
      <c r="AP430" s="63"/>
      <c r="AQ430" s="18"/>
      <c r="AR430" s="18"/>
      <c r="AS430" s="18"/>
      <c r="AT430" s="18">
        <v>0</v>
      </c>
      <c r="AU430" s="133">
        <f t="shared" ref="AU430" si="511">+AU418</f>
        <v>87.516000000000005</v>
      </c>
      <c r="AV430" s="133">
        <f t="shared" ref="AV430" si="512">+AV418</f>
        <v>3232.7139999999999</v>
      </c>
      <c r="AW430" s="194"/>
      <c r="AX430" s="194"/>
      <c r="AY430" s="194"/>
      <c r="AZ430" s="194"/>
      <c r="BA430" s="194"/>
      <c r="BB430" s="194"/>
      <c r="BC430" s="65">
        <v>0</v>
      </c>
      <c r="BD430" s="65">
        <v>0</v>
      </c>
      <c r="BE430" s="65">
        <v>0</v>
      </c>
      <c r="BF430" s="65">
        <v>0</v>
      </c>
      <c r="BG430" s="65">
        <v>0</v>
      </c>
      <c r="BH430" s="65">
        <v>0</v>
      </c>
      <c r="BI430" s="65">
        <v>959.33083113147563</v>
      </c>
      <c r="BJ430" s="65">
        <v>0</v>
      </c>
      <c r="BK430" s="65">
        <v>0</v>
      </c>
      <c r="BL430" s="65">
        <v>0</v>
      </c>
      <c r="BM430" s="65">
        <v>0</v>
      </c>
      <c r="BN430" s="65">
        <v>0</v>
      </c>
      <c r="BO430" s="65">
        <v>23.013036</v>
      </c>
      <c r="BP430" s="5"/>
      <c r="BQ430" s="5"/>
      <c r="BR430" s="5"/>
      <c r="BS430" s="63"/>
      <c r="BT430" s="65">
        <v>205.46292810407959</v>
      </c>
      <c r="BU430" s="65">
        <v>238.76677708116708</v>
      </c>
      <c r="BV430" s="144">
        <f t="shared" si="448"/>
        <v>736.1312676593102</v>
      </c>
      <c r="BW430" s="144">
        <f t="shared" si="449"/>
        <v>1585.1256778805839</v>
      </c>
      <c r="BX430" s="144">
        <f t="shared" si="450"/>
        <v>507.33675122559919</v>
      </c>
      <c r="BY430" s="5"/>
      <c r="BZ430" s="5"/>
      <c r="CA430" s="4"/>
      <c r="CB430" s="5"/>
      <c r="CC430" s="5"/>
      <c r="CD430" s="5"/>
      <c r="CE430" s="5"/>
      <c r="CF430" s="64"/>
      <c r="CG430" s="70"/>
      <c r="CH430" s="70"/>
      <c r="CI430" s="70"/>
      <c r="CJ430" s="63"/>
      <c r="CK430" s="8">
        <f t="shared" si="431"/>
        <v>7575.3972690822156</v>
      </c>
      <c r="CL430" s="202">
        <f t="shared" si="481"/>
        <v>67123.483566556635</v>
      </c>
      <c r="CM430" s="202">
        <f t="shared" si="482"/>
        <v>67123.483566556635</v>
      </c>
      <c r="CN430" s="202">
        <f t="shared" si="483"/>
        <v>67123.483566556635</v>
      </c>
      <c r="CO430" s="9">
        <f t="shared" si="484"/>
        <v>59542.775991639995</v>
      </c>
      <c r="CP430" s="9">
        <f t="shared" si="485"/>
        <v>68118.307971788032</v>
      </c>
      <c r="CQ430" s="9">
        <f t="shared" si="486"/>
        <v>54769.73616578248</v>
      </c>
      <c r="CR430" s="202">
        <f t="shared" si="487"/>
        <v>67123.483566556635</v>
      </c>
      <c r="CS430" s="202">
        <f t="shared" si="488"/>
        <v>67123.483566556635</v>
      </c>
      <c r="CT430" s="202">
        <f t="shared" si="489"/>
        <v>67123.483566556635</v>
      </c>
      <c r="CU430" s="203">
        <f t="shared" si="490"/>
        <v>0.89858753994252627</v>
      </c>
      <c r="CV430" s="203">
        <f t="shared" si="491"/>
        <v>0.89858753994252627</v>
      </c>
      <c r="CW430" s="203">
        <f t="shared" si="492"/>
        <v>0.89858753994252627</v>
      </c>
      <c r="CX430" s="19">
        <f t="shared" si="493"/>
        <v>0.8871334408990037</v>
      </c>
      <c r="CY430" s="19">
        <f t="shared" si="494"/>
        <v>0.89992037983903672</v>
      </c>
      <c r="CZ430" s="19">
        <f t="shared" si="495"/>
        <v>0.87849256466831305</v>
      </c>
      <c r="DA430" s="203">
        <f t="shared" si="496"/>
        <v>0.89858753994252627</v>
      </c>
      <c r="DB430" s="203">
        <f t="shared" si="497"/>
        <v>0.89858753994252627</v>
      </c>
      <c r="DC430" s="203">
        <f t="shared" si="498"/>
        <v>0.89858753994252627</v>
      </c>
      <c r="DD430" s="65"/>
      <c r="DE430" s="66"/>
      <c r="DF430" s="66"/>
      <c r="DG430" s="66"/>
      <c r="DH430" s="66"/>
      <c r="DI430" s="66"/>
      <c r="DJ430" s="66"/>
      <c r="DK430" s="70"/>
      <c r="DL430" s="70"/>
      <c r="DM430" s="8">
        <f t="shared" si="432"/>
        <v>0</v>
      </c>
      <c r="DN430" s="8">
        <f t="shared" si="433"/>
        <v>7575.3972690822156</v>
      </c>
      <c r="DO430" s="202">
        <f t="shared" si="415"/>
        <v>67123.483566556635</v>
      </c>
      <c r="DP430" s="202">
        <f t="shared" si="416"/>
        <v>67123.483566556635</v>
      </c>
      <c r="DQ430" s="202">
        <f t="shared" si="417"/>
        <v>67123.483566556635</v>
      </c>
      <c r="DR430" s="9">
        <f t="shared" si="418"/>
        <v>59542.775991639995</v>
      </c>
      <c r="DS430" s="9">
        <f t="shared" si="501"/>
        <v>68118.307971788032</v>
      </c>
      <c r="DT430" s="9">
        <f t="shared" si="419"/>
        <v>54769.73616578248</v>
      </c>
      <c r="DU430" s="202">
        <f t="shared" si="420"/>
        <v>67123.483566556635</v>
      </c>
      <c r="DV430" s="202">
        <f t="shared" si="421"/>
        <v>67123.483566556635</v>
      </c>
      <c r="DW430" s="202">
        <f t="shared" si="422"/>
        <v>67123.483566556635</v>
      </c>
      <c r="DX430" s="203">
        <f t="shared" si="423"/>
        <v>0.89858753994252627</v>
      </c>
      <c r="DY430" s="203">
        <f t="shared" si="424"/>
        <v>0.89858753994252627</v>
      </c>
      <c r="DZ430" s="203">
        <f t="shared" si="425"/>
        <v>0.89858753994252627</v>
      </c>
      <c r="EA430" s="19">
        <f t="shared" si="426"/>
        <v>0.8871334408990037</v>
      </c>
      <c r="EB430" s="19">
        <f t="shared" si="502"/>
        <v>0.89992037983903672</v>
      </c>
      <c r="EC430" s="19">
        <f t="shared" si="427"/>
        <v>0.87849256466831305</v>
      </c>
      <c r="ED430" s="203">
        <f t="shared" si="428"/>
        <v>0.89858753994252627</v>
      </c>
      <c r="EE430" s="203">
        <f t="shared" si="429"/>
        <v>0.89858753994252627</v>
      </c>
      <c r="EF430" s="203">
        <f t="shared" si="430"/>
        <v>0.89858753994252627</v>
      </c>
      <c r="EH430" s="58">
        <f t="shared" si="442"/>
        <v>6839.266001422905</v>
      </c>
      <c r="EI430" s="68">
        <f t="shared" si="443"/>
        <v>9.0354488258425153E-2</v>
      </c>
      <c r="EJ430" s="58">
        <f t="shared" si="444"/>
        <v>6839.266001422905</v>
      </c>
      <c r="EK430" s="68">
        <f t="shared" si="443"/>
        <v>9.0354488258425153E-2</v>
      </c>
      <c r="EL430" s="58">
        <f t="shared" si="445"/>
        <v>3011.6992501973064</v>
      </c>
      <c r="EM430" s="58">
        <f t="shared" si="446"/>
        <v>3519.0360014229054</v>
      </c>
      <c r="EN430" s="68">
        <f t="shared" si="447"/>
        <v>4.6490470908046241E-2</v>
      </c>
      <c r="EO430" s="139">
        <f t="shared" si="464"/>
        <v>0.32861286969700848</v>
      </c>
      <c r="EP430">
        <f>+(SUM(M430:O430)*EO430*(1-'[1]Tier 3 Data'!$A$2))</f>
        <v>1238.907097633733</v>
      </c>
    </row>
    <row r="431" spans="1:146" x14ac:dyDescent="0.2">
      <c r="A431" s="43">
        <v>0</v>
      </c>
      <c r="B431" s="43">
        <v>0</v>
      </c>
      <c r="C431" s="43">
        <v>0</v>
      </c>
      <c r="D431" s="70">
        <v>2043</v>
      </c>
      <c r="E431" s="70">
        <v>4</v>
      </c>
      <c r="F431" s="2">
        <v>720</v>
      </c>
      <c r="G431" s="133">
        <f t="shared" si="458"/>
        <v>41854.501090081903</v>
      </c>
      <c r="H431" s="65">
        <v>41854.501090081903</v>
      </c>
      <c r="I431" s="133">
        <f t="shared" si="459"/>
        <v>41854.501090081903</v>
      </c>
      <c r="J431" s="133">
        <f t="shared" si="440"/>
        <v>8735.9629999999997</v>
      </c>
      <c r="K431" s="64">
        <v>8735.9629999999997</v>
      </c>
      <c r="L431" s="133">
        <f t="shared" si="441"/>
        <v>8735.9629999999997</v>
      </c>
      <c r="M431" s="65">
        <v>1465.5029776468293</v>
      </c>
      <c r="N431" s="65">
        <v>3155.6958696577994</v>
      </c>
      <c r="O431" s="70">
        <v>1010.1150361389739</v>
      </c>
      <c r="P431" s="200">
        <f t="shared" si="434"/>
        <v>31429.143925048818</v>
      </c>
      <c r="Q431" s="200">
        <f t="shared" si="435"/>
        <v>31429.143925048818</v>
      </c>
      <c r="R431" s="200">
        <f t="shared" si="436"/>
        <v>31429.143925048818</v>
      </c>
      <c r="S431" s="133">
        <f t="shared" si="460"/>
        <v>32815.503579240205</v>
      </c>
      <c r="T431" s="133">
        <f t="shared" si="461"/>
        <v>32815.503579240205</v>
      </c>
      <c r="U431" s="133">
        <f t="shared" si="462"/>
        <v>32815.503579240205</v>
      </c>
      <c r="V431" s="200">
        <f t="shared" si="437"/>
        <v>31429.143925048818</v>
      </c>
      <c r="W431" s="200">
        <f t="shared" si="438"/>
        <v>31429.143925048818</v>
      </c>
      <c r="X431" s="200">
        <f t="shared" si="439"/>
        <v>31429.143925048818</v>
      </c>
      <c r="Y431" s="58">
        <v>22383.766684208535</v>
      </c>
      <c r="Z431">
        <v>28382.762211122728</v>
      </c>
      <c r="AA431" s="65">
        <v>17875.116683037337</v>
      </c>
      <c r="AB431" s="200">
        <f t="shared" si="451"/>
        <v>59811.906136171543</v>
      </c>
      <c r="AC431" s="200">
        <f t="shared" si="452"/>
        <v>59811.906136171543</v>
      </c>
      <c r="AD431" s="200">
        <f t="shared" si="453"/>
        <v>59811.906136171543</v>
      </c>
      <c r="AE431" s="199">
        <f t="shared" si="413"/>
        <v>55199.270263448736</v>
      </c>
      <c r="AF431" s="199">
        <f t="shared" si="454"/>
        <v>61198.26579036293</v>
      </c>
      <c r="AG431" s="199">
        <f t="shared" si="414"/>
        <v>50690.620262277545</v>
      </c>
      <c r="AH431" s="199">
        <f t="shared" si="463"/>
        <v>55944.443026320238</v>
      </c>
      <c r="AI431" s="200">
        <f t="shared" si="455"/>
        <v>59811.906136171543</v>
      </c>
      <c r="AJ431" s="200">
        <f t="shared" si="456"/>
        <v>59811.906136171543</v>
      </c>
      <c r="AK431" s="200">
        <f t="shared" si="457"/>
        <v>59811.906136171543</v>
      </c>
      <c r="AL431" s="4"/>
      <c r="AM431" s="4"/>
      <c r="AN431" s="4"/>
      <c r="AO431" s="4"/>
      <c r="AP431" s="63"/>
      <c r="AQ431" s="18"/>
      <c r="AR431" s="18"/>
      <c r="AS431" s="18"/>
      <c r="AT431" s="18">
        <v>0</v>
      </c>
      <c r="AU431" s="133">
        <f t="shared" ref="AU431" si="513">+AU419</f>
        <v>96.057000000000002</v>
      </c>
      <c r="AV431" s="133">
        <f t="shared" ref="AV431" si="514">+AV419</f>
        <v>3017.9659999999999</v>
      </c>
      <c r="AW431" s="194"/>
      <c r="AX431" s="194"/>
      <c r="AY431" s="194"/>
      <c r="AZ431" s="194"/>
      <c r="BA431" s="194"/>
      <c r="BB431" s="194"/>
      <c r="BC431" s="65">
        <v>0</v>
      </c>
      <c r="BD431" s="65">
        <v>0</v>
      </c>
      <c r="BE431" s="65">
        <v>0</v>
      </c>
      <c r="BF431" s="65">
        <v>0</v>
      </c>
      <c r="BG431" s="65">
        <v>0</v>
      </c>
      <c r="BH431" s="65">
        <v>0</v>
      </c>
      <c r="BI431" s="65">
        <v>1211.4365323444424</v>
      </c>
      <c r="BJ431" s="65">
        <v>0</v>
      </c>
      <c r="BK431" s="65">
        <v>0</v>
      </c>
      <c r="BL431" s="65">
        <v>0</v>
      </c>
      <c r="BM431" s="65">
        <v>0</v>
      </c>
      <c r="BN431" s="65">
        <v>0</v>
      </c>
      <c r="BO431" s="65">
        <v>22.270679999999999</v>
      </c>
      <c r="BP431" s="5"/>
      <c r="BQ431" s="5"/>
      <c r="BR431" s="5"/>
      <c r="BS431" s="63"/>
      <c r="BT431" s="65">
        <v>227.50628258662442</v>
      </c>
      <c r="BU431" s="65">
        <v>244.28956451202149</v>
      </c>
      <c r="BV431" s="144">
        <f t="shared" si="448"/>
        <v>1025.8520843527804</v>
      </c>
      <c r="BW431" s="144">
        <f t="shared" si="449"/>
        <v>2208.9871087604593</v>
      </c>
      <c r="BX431" s="144">
        <f t="shared" si="450"/>
        <v>707.08052529728172</v>
      </c>
      <c r="BY431" s="5"/>
      <c r="BZ431" s="5"/>
      <c r="CA431" s="4"/>
      <c r="CB431" s="5"/>
      <c r="CC431" s="5"/>
      <c r="CD431" s="5"/>
      <c r="CE431" s="5"/>
      <c r="CF431" s="64"/>
      <c r="CG431" s="70"/>
      <c r="CH431" s="70"/>
      <c r="CI431" s="70"/>
      <c r="CJ431" s="63"/>
      <c r="CK431" s="8">
        <f t="shared" si="431"/>
        <v>8761.4457778536089</v>
      </c>
      <c r="CL431" s="202">
        <f t="shared" si="481"/>
        <v>51050.460358317934</v>
      </c>
      <c r="CM431" s="202">
        <f t="shared" si="482"/>
        <v>51050.460358317934</v>
      </c>
      <c r="CN431" s="202">
        <f t="shared" si="483"/>
        <v>51050.460358317934</v>
      </c>
      <c r="CO431" s="9">
        <f t="shared" si="484"/>
        <v>46437.824485595127</v>
      </c>
      <c r="CP431" s="9">
        <f t="shared" si="485"/>
        <v>52436.820012509321</v>
      </c>
      <c r="CQ431" s="9">
        <f t="shared" si="486"/>
        <v>41929.174484423937</v>
      </c>
      <c r="CR431" s="202">
        <f t="shared" si="487"/>
        <v>51050.460358317934</v>
      </c>
      <c r="CS431" s="202">
        <f t="shared" si="488"/>
        <v>51050.460358317934</v>
      </c>
      <c r="CT431" s="202">
        <f t="shared" si="489"/>
        <v>51050.460358317934</v>
      </c>
      <c r="CU431" s="203">
        <f t="shared" si="490"/>
        <v>0.85351669351739512</v>
      </c>
      <c r="CV431" s="203">
        <f t="shared" si="491"/>
        <v>0.85351669351739512</v>
      </c>
      <c r="CW431" s="203">
        <f t="shared" si="492"/>
        <v>0.85351669351739512</v>
      </c>
      <c r="CX431" s="19">
        <f t="shared" si="493"/>
        <v>0.84127605788920778</v>
      </c>
      <c r="CY431" s="19">
        <f t="shared" si="494"/>
        <v>0.85683506444665791</v>
      </c>
      <c r="CZ431" s="19">
        <f t="shared" si="495"/>
        <v>0.82715844208413414</v>
      </c>
      <c r="DA431" s="203">
        <f t="shared" si="496"/>
        <v>0.85351669351739512</v>
      </c>
      <c r="DB431" s="203">
        <f t="shared" si="497"/>
        <v>0.85351669351739512</v>
      </c>
      <c r="DC431" s="203">
        <f t="shared" si="498"/>
        <v>0.85351669351739512</v>
      </c>
      <c r="DD431" s="65"/>
      <c r="DE431" s="66"/>
      <c r="DF431" s="66"/>
      <c r="DG431" s="66"/>
      <c r="DH431" s="66"/>
      <c r="DI431" s="66"/>
      <c r="DJ431" s="66"/>
      <c r="DK431" s="70"/>
      <c r="DL431" s="70"/>
      <c r="DM431" s="8">
        <f t="shared" si="432"/>
        <v>0</v>
      </c>
      <c r="DN431" s="8">
        <f t="shared" si="433"/>
        <v>8761.4457778536089</v>
      </c>
      <c r="DO431" s="202">
        <f t="shared" si="415"/>
        <v>51050.460358317934</v>
      </c>
      <c r="DP431" s="202">
        <f t="shared" si="416"/>
        <v>51050.460358317934</v>
      </c>
      <c r="DQ431" s="202">
        <f t="shared" si="417"/>
        <v>51050.460358317934</v>
      </c>
      <c r="DR431" s="9">
        <f t="shared" si="418"/>
        <v>46437.824485595127</v>
      </c>
      <c r="DS431" s="9">
        <f t="shared" si="501"/>
        <v>52436.820012509321</v>
      </c>
      <c r="DT431" s="9">
        <f t="shared" si="419"/>
        <v>41929.174484423937</v>
      </c>
      <c r="DU431" s="202">
        <f t="shared" si="420"/>
        <v>51050.460358317934</v>
      </c>
      <c r="DV431" s="202">
        <f t="shared" si="421"/>
        <v>51050.460358317934</v>
      </c>
      <c r="DW431" s="202">
        <f t="shared" si="422"/>
        <v>51050.460358317934</v>
      </c>
      <c r="DX431" s="203">
        <f t="shared" si="423"/>
        <v>0.85351669351739512</v>
      </c>
      <c r="DY431" s="203">
        <f t="shared" si="424"/>
        <v>0.85351669351739512</v>
      </c>
      <c r="DZ431" s="203">
        <f t="shared" si="425"/>
        <v>0.85351669351739512</v>
      </c>
      <c r="EA431" s="19">
        <f t="shared" si="426"/>
        <v>0.84127605788920778</v>
      </c>
      <c r="EB431" s="19">
        <f t="shared" si="502"/>
        <v>0.85683506444665791</v>
      </c>
      <c r="EC431" s="19">
        <f t="shared" si="427"/>
        <v>0.82715844208413414</v>
      </c>
      <c r="ED431" s="203">
        <f t="shared" si="428"/>
        <v>0.85351669351739512</v>
      </c>
      <c r="EE431" s="203">
        <f t="shared" si="429"/>
        <v>0.85351669351739512</v>
      </c>
      <c r="EF431" s="203">
        <f t="shared" si="430"/>
        <v>0.85351669351739512</v>
      </c>
      <c r="EH431" s="58">
        <f t="shared" si="442"/>
        <v>7735.5936935008276</v>
      </c>
      <c r="EI431" s="68">
        <f t="shared" si="443"/>
        <v>0.12640217159093051</v>
      </c>
      <c r="EJ431" s="58">
        <f t="shared" si="444"/>
        <v>7735.5936935008276</v>
      </c>
      <c r="EK431" s="68">
        <f t="shared" si="443"/>
        <v>0.12640217159093051</v>
      </c>
      <c r="EL431" s="58">
        <f t="shared" si="445"/>
        <v>3914.4901682035475</v>
      </c>
      <c r="EM431" s="58">
        <f t="shared" si="446"/>
        <v>4621.5706935008293</v>
      </c>
      <c r="EN431" s="68">
        <f t="shared" si="447"/>
        <v>7.5518000940291374E-2</v>
      </c>
      <c r="EO431" s="139">
        <f t="shared" si="464"/>
        <v>0.35351678044029999</v>
      </c>
      <c r="EP431">
        <f>+(SUM(M431:O431)*EO431*(1-'[1]Tier 3 Data'!$A$2))</f>
        <v>1857.3827688242543</v>
      </c>
    </row>
    <row r="432" spans="1:146" x14ac:dyDescent="0.2">
      <c r="A432" s="43">
        <v>0</v>
      </c>
      <c r="B432" s="43">
        <v>0</v>
      </c>
      <c r="C432" s="43">
        <v>0</v>
      </c>
      <c r="D432" s="70">
        <v>2043</v>
      </c>
      <c r="E432" s="70">
        <v>5</v>
      </c>
      <c r="F432" s="2">
        <v>744</v>
      </c>
      <c r="G432" s="133">
        <f t="shared" si="458"/>
        <v>39900.270589732994</v>
      </c>
      <c r="H432" s="65">
        <v>39900.270589732994</v>
      </c>
      <c r="I432" s="133">
        <f t="shared" si="459"/>
        <v>39900.270589732994</v>
      </c>
      <c r="J432" s="133">
        <f t="shared" si="440"/>
        <v>8775.771999999999</v>
      </c>
      <c r="K432" s="64">
        <v>8775.771999999999</v>
      </c>
      <c r="L432" s="133">
        <f t="shared" si="441"/>
        <v>8775.771999999999</v>
      </c>
      <c r="M432" s="65">
        <v>1750.7817988213781</v>
      </c>
      <c r="N432" s="65">
        <v>3769.9922657844818</v>
      </c>
      <c r="O432" s="70">
        <v>1206.8789961322661</v>
      </c>
      <c r="P432" s="200">
        <f t="shared" si="434"/>
        <v>29106.202671511561</v>
      </c>
      <c r="Q432" s="200">
        <f t="shared" si="435"/>
        <v>29106.202671511561</v>
      </c>
      <c r="R432" s="200">
        <f t="shared" si="436"/>
        <v>29106.202671511561</v>
      </c>
      <c r="S432" s="133">
        <f t="shared" si="460"/>
        <v>30762.434890893317</v>
      </c>
      <c r="T432" s="133">
        <f t="shared" si="461"/>
        <v>30762.434890893317</v>
      </c>
      <c r="U432" s="133">
        <f t="shared" si="462"/>
        <v>30762.434890893317</v>
      </c>
      <c r="V432" s="200">
        <f t="shared" si="437"/>
        <v>29106.202671511561</v>
      </c>
      <c r="W432" s="200">
        <f t="shared" si="438"/>
        <v>29106.202671511561</v>
      </c>
      <c r="X432" s="200">
        <f t="shared" si="439"/>
        <v>29106.202671511561</v>
      </c>
      <c r="Y432" s="58">
        <v>18083.869561899086</v>
      </c>
      <c r="Z432">
        <v>21943.164041784017</v>
      </c>
      <c r="AA432" s="65">
        <v>14140.942142970225</v>
      </c>
      <c r="AB432" s="200">
        <f t="shared" si="451"/>
        <v>51049.366713295574</v>
      </c>
      <c r="AC432" s="200">
        <f t="shared" si="452"/>
        <v>51049.366713295574</v>
      </c>
      <c r="AD432" s="200">
        <f t="shared" si="453"/>
        <v>51049.366713295574</v>
      </c>
      <c r="AE432" s="199">
        <f t="shared" si="413"/>
        <v>48846.304452792407</v>
      </c>
      <c r="AF432" s="199">
        <f t="shared" si="454"/>
        <v>52705.598932677334</v>
      </c>
      <c r="AG432" s="199">
        <f t="shared" si="414"/>
        <v>44903.377033863544</v>
      </c>
      <c r="AH432" s="199">
        <f t="shared" si="463"/>
        <v>48804.487983270439</v>
      </c>
      <c r="AI432" s="200">
        <f t="shared" si="455"/>
        <v>51049.366713295574</v>
      </c>
      <c r="AJ432" s="200">
        <f t="shared" si="456"/>
        <v>51049.366713295574</v>
      </c>
      <c r="AK432" s="200">
        <f t="shared" si="457"/>
        <v>51049.366713295574</v>
      </c>
      <c r="AL432" s="4"/>
      <c r="AM432" s="4"/>
      <c r="AN432" s="4"/>
      <c r="AO432" s="4"/>
      <c r="AP432" s="63"/>
      <c r="AQ432" s="18"/>
      <c r="AR432" s="18"/>
      <c r="AS432" s="18"/>
      <c r="AT432" s="18">
        <v>0</v>
      </c>
      <c r="AU432" s="133">
        <f t="shared" ref="AU432" si="515">+AU420</f>
        <v>109.161</v>
      </c>
      <c r="AV432" s="133">
        <f t="shared" ref="AV432" si="516">+AV420</f>
        <v>3327.41</v>
      </c>
      <c r="AW432" s="194"/>
      <c r="AX432" s="194"/>
      <c r="AY432" s="194"/>
      <c r="AZ432" s="194"/>
      <c r="BA432" s="194"/>
      <c r="BB432" s="194"/>
      <c r="BC432" s="65">
        <v>0</v>
      </c>
      <c r="BD432" s="65">
        <v>0</v>
      </c>
      <c r="BE432" s="65">
        <v>0</v>
      </c>
      <c r="BF432" s="65">
        <v>0</v>
      </c>
      <c r="BG432" s="65">
        <v>0</v>
      </c>
      <c r="BH432" s="65">
        <v>0</v>
      </c>
      <c r="BI432" s="65">
        <v>1216.6488968820734</v>
      </c>
      <c r="BJ432" s="65">
        <v>0</v>
      </c>
      <c r="BK432" s="65">
        <v>0</v>
      </c>
      <c r="BL432" s="65">
        <v>0</v>
      </c>
      <c r="BM432" s="65">
        <v>0</v>
      </c>
      <c r="BN432" s="65">
        <v>0</v>
      </c>
      <c r="BO432" s="65">
        <v>23.013036</v>
      </c>
      <c r="BP432" s="5"/>
      <c r="BQ432" s="5"/>
      <c r="BR432" s="5"/>
      <c r="BS432" s="63"/>
      <c r="BT432" s="65">
        <v>235.12610878276823</v>
      </c>
      <c r="BU432" s="65">
        <v>279.36983497830443</v>
      </c>
      <c r="BV432" s="144">
        <f t="shared" si="448"/>
        <v>1225.5472591749647</v>
      </c>
      <c r="BW432" s="144">
        <f t="shared" si="449"/>
        <v>2638.9945860491371</v>
      </c>
      <c r="BX432" s="144">
        <f t="shared" si="450"/>
        <v>844.81529729258625</v>
      </c>
      <c r="BY432" s="5"/>
      <c r="BZ432" s="5"/>
      <c r="CA432" s="4"/>
      <c r="CB432" s="5"/>
      <c r="CC432" s="5"/>
      <c r="CD432" s="5"/>
      <c r="CE432" s="5"/>
      <c r="CF432" s="64"/>
      <c r="CG432" s="70"/>
      <c r="CH432" s="70"/>
      <c r="CI432" s="70"/>
      <c r="CJ432" s="63"/>
      <c r="CK432" s="8">
        <f t="shared" si="431"/>
        <v>9900.0860191598331</v>
      </c>
      <c r="CL432" s="202">
        <f t="shared" si="481"/>
        <v>41149.280694135741</v>
      </c>
      <c r="CM432" s="202">
        <f t="shared" si="482"/>
        <v>41149.280694135741</v>
      </c>
      <c r="CN432" s="202">
        <f t="shared" si="483"/>
        <v>41149.280694135741</v>
      </c>
      <c r="CO432" s="9">
        <f t="shared" si="484"/>
        <v>38946.218433632574</v>
      </c>
      <c r="CP432" s="9">
        <f t="shared" si="485"/>
        <v>42805.512913517501</v>
      </c>
      <c r="CQ432" s="9">
        <f t="shared" si="486"/>
        <v>35003.291014703711</v>
      </c>
      <c r="CR432" s="202">
        <f t="shared" si="487"/>
        <v>41149.280694135741</v>
      </c>
      <c r="CS432" s="202">
        <f t="shared" si="488"/>
        <v>41149.280694135741</v>
      </c>
      <c r="CT432" s="202">
        <f t="shared" si="489"/>
        <v>41149.280694135741</v>
      </c>
      <c r="CU432" s="203">
        <f t="shared" si="490"/>
        <v>0.80606838719937735</v>
      </c>
      <c r="CV432" s="203">
        <f t="shared" si="491"/>
        <v>0.80606838719937735</v>
      </c>
      <c r="CW432" s="203">
        <f t="shared" si="492"/>
        <v>0.80606838719937735</v>
      </c>
      <c r="CX432" s="19">
        <f t="shared" si="493"/>
        <v>0.79732169853857038</v>
      </c>
      <c r="CY432" s="19">
        <f t="shared" si="494"/>
        <v>0.81216253643553982</v>
      </c>
      <c r="CZ432" s="19">
        <f t="shared" si="495"/>
        <v>0.77952468894057214</v>
      </c>
      <c r="DA432" s="203">
        <f t="shared" si="496"/>
        <v>0.80606838719937735</v>
      </c>
      <c r="DB432" s="203">
        <f t="shared" si="497"/>
        <v>0.80606838719937735</v>
      </c>
      <c r="DC432" s="203">
        <f t="shared" si="498"/>
        <v>0.80606838719937735</v>
      </c>
      <c r="DD432" s="65"/>
      <c r="DE432" s="66"/>
      <c r="DF432" s="66"/>
      <c r="DG432" s="66"/>
      <c r="DH432" s="66"/>
      <c r="DI432" s="66"/>
      <c r="DJ432" s="66"/>
      <c r="DK432" s="70"/>
      <c r="DL432" s="70"/>
      <c r="DM432" s="8">
        <f t="shared" si="432"/>
        <v>0</v>
      </c>
      <c r="DN432" s="8">
        <f t="shared" si="433"/>
        <v>9900.0860191598331</v>
      </c>
      <c r="DO432" s="202">
        <f t="shared" si="415"/>
        <v>41149.280694135741</v>
      </c>
      <c r="DP432" s="202">
        <f t="shared" si="416"/>
        <v>41149.280694135741</v>
      </c>
      <c r="DQ432" s="202">
        <f t="shared" si="417"/>
        <v>41149.280694135741</v>
      </c>
      <c r="DR432" s="9">
        <f t="shared" si="418"/>
        <v>38946.218433632574</v>
      </c>
      <c r="DS432" s="9">
        <f t="shared" si="501"/>
        <v>42805.512913517501</v>
      </c>
      <c r="DT432" s="9">
        <f t="shared" si="419"/>
        <v>35003.291014703711</v>
      </c>
      <c r="DU432" s="202">
        <f t="shared" si="420"/>
        <v>41149.280694135741</v>
      </c>
      <c r="DV432" s="202">
        <f t="shared" si="421"/>
        <v>41149.280694135741</v>
      </c>
      <c r="DW432" s="202">
        <f t="shared" si="422"/>
        <v>41149.280694135741</v>
      </c>
      <c r="DX432" s="203">
        <f t="shared" si="423"/>
        <v>0.80606838719937735</v>
      </c>
      <c r="DY432" s="203">
        <f t="shared" si="424"/>
        <v>0.80606838719937735</v>
      </c>
      <c r="DZ432" s="203">
        <f t="shared" si="425"/>
        <v>0.80606838719937735</v>
      </c>
      <c r="EA432" s="19">
        <f t="shared" si="426"/>
        <v>0.79732169853857038</v>
      </c>
      <c r="EB432" s="19">
        <f t="shared" si="502"/>
        <v>0.81216253643553982</v>
      </c>
      <c r="EC432" s="19">
        <f t="shared" si="427"/>
        <v>0.77952468894057214</v>
      </c>
      <c r="ED432" s="203">
        <f t="shared" si="428"/>
        <v>0.80606838719937735</v>
      </c>
      <c r="EE432" s="203">
        <f t="shared" si="429"/>
        <v>0.80606838719937735</v>
      </c>
      <c r="EF432" s="203">
        <f t="shared" si="430"/>
        <v>0.80606838719937735</v>
      </c>
      <c r="EH432" s="58">
        <f t="shared" si="442"/>
        <v>8674.5387599848691</v>
      </c>
      <c r="EI432" s="68">
        <f t="shared" si="443"/>
        <v>0.16458476775997088</v>
      </c>
      <c r="EJ432" s="58">
        <f t="shared" si="444"/>
        <v>8674.5387599848691</v>
      </c>
      <c r="EK432" s="68">
        <f t="shared" si="443"/>
        <v>0.16458476775997088</v>
      </c>
      <c r="EL432" s="58">
        <f t="shared" si="445"/>
        <v>4393.1524626922828</v>
      </c>
      <c r="EM432" s="58">
        <f t="shared" si="446"/>
        <v>5237.9677599848692</v>
      </c>
      <c r="EN432" s="68">
        <f t="shared" si="447"/>
        <v>9.9381619145918532E-2</v>
      </c>
      <c r="EO432" s="139">
        <f t="shared" si="464"/>
        <v>0.28868615856523006</v>
      </c>
      <c r="EP432">
        <f>+(SUM(M432:O432)*EO432*(1-'[1]Tier 3 Data'!$A$2))</f>
        <v>1812.0542369404072</v>
      </c>
    </row>
    <row r="433" spans="1:146" x14ac:dyDescent="0.2">
      <c r="A433" s="43">
        <v>0</v>
      </c>
      <c r="B433" s="43">
        <v>0</v>
      </c>
      <c r="C433" s="43">
        <v>0</v>
      </c>
      <c r="D433" s="70">
        <v>2043</v>
      </c>
      <c r="E433" s="70">
        <v>6</v>
      </c>
      <c r="F433" s="2">
        <v>720</v>
      </c>
      <c r="G433" s="133">
        <f t="shared" si="458"/>
        <v>42434.198421193098</v>
      </c>
      <c r="H433" s="65">
        <v>42434.198421193098</v>
      </c>
      <c r="I433" s="133">
        <f t="shared" si="459"/>
        <v>42434.198421193098</v>
      </c>
      <c r="J433" s="133">
        <f t="shared" si="440"/>
        <v>8815.5809999999983</v>
      </c>
      <c r="K433" s="64">
        <v>8815.5809999999983</v>
      </c>
      <c r="L433" s="133">
        <f t="shared" si="441"/>
        <v>8815.5809999999983</v>
      </c>
      <c r="M433" s="65">
        <v>1685.1147327511308</v>
      </c>
      <c r="N433" s="65">
        <v>3628.5901039798232</v>
      </c>
      <c r="O433" s="70">
        <v>1161.8627783108814</v>
      </c>
      <c r="P433" s="200">
        <f t="shared" si="434"/>
        <v>31675.947136680548</v>
      </c>
      <c r="Q433" s="200">
        <f t="shared" si="435"/>
        <v>31675.947136680548</v>
      </c>
      <c r="R433" s="200">
        <f t="shared" si="436"/>
        <v>31675.947136680548</v>
      </c>
      <c r="S433" s="133">
        <f t="shared" si="460"/>
        <v>33270.058587699838</v>
      </c>
      <c r="T433" s="133">
        <f t="shared" si="461"/>
        <v>33270.058587699838</v>
      </c>
      <c r="U433" s="133">
        <f t="shared" si="462"/>
        <v>33270.058587699838</v>
      </c>
      <c r="V433" s="200">
        <f t="shared" si="437"/>
        <v>31675.947136680548</v>
      </c>
      <c r="W433" s="200">
        <f t="shared" si="438"/>
        <v>31675.947136680548</v>
      </c>
      <c r="X433" s="200">
        <f t="shared" si="439"/>
        <v>31675.947136680548</v>
      </c>
      <c r="Y433" s="58">
        <v>19057.970963518415</v>
      </c>
      <c r="Z433">
        <v>23411.607469016737</v>
      </c>
      <c r="AA433" s="65">
        <v>15154.600709252947</v>
      </c>
      <c r="AB433" s="200">
        <f t="shared" si="451"/>
        <v>55087.554605697282</v>
      </c>
      <c r="AC433" s="200">
        <f t="shared" si="452"/>
        <v>55087.554605697282</v>
      </c>
      <c r="AD433" s="200">
        <f t="shared" si="453"/>
        <v>55087.554605697282</v>
      </c>
      <c r="AE433" s="199">
        <f t="shared" ref="AE433:AE496" si="517">+S433+$Y433</f>
        <v>52328.029551218249</v>
      </c>
      <c r="AF433" s="199">
        <f t="shared" si="454"/>
        <v>56681.666056716575</v>
      </c>
      <c r="AG433" s="199">
        <f t="shared" ref="AG433:AG496" si="518">+U433+$AA433</f>
        <v>48424.659296952785</v>
      </c>
      <c r="AH433" s="199">
        <f t="shared" si="463"/>
        <v>52553.162676834676</v>
      </c>
      <c r="AI433" s="200">
        <f t="shared" si="455"/>
        <v>55087.554605697282</v>
      </c>
      <c r="AJ433" s="200">
        <f t="shared" si="456"/>
        <v>55087.554605697282</v>
      </c>
      <c r="AK433" s="200">
        <f t="shared" si="457"/>
        <v>55087.554605697282</v>
      </c>
      <c r="AL433" s="4"/>
      <c r="AM433" s="4"/>
      <c r="AN433" s="4"/>
      <c r="AO433" s="4"/>
      <c r="AP433" s="63"/>
      <c r="AQ433" s="18"/>
      <c r="AR433" s="18"/>
      <c r="AS433" s="18"/>
      <c r="AT433" s="18">
        <v>0</v>
      </c>
      <c r="AU433" s="133">
        <f t="shared" ref="AU433" si="519">+AU421</f>
        <v>128.934</v>
      </c>
      <c r="AV433" s="133">
        <f t="shared" ref="AV433" si="520">+AV421</f>
        <v>3110.2840000000001</v>
      </c>
      <c r="AW433" s="194"/>
      <c r="AX433" s="194"/>
      <c r="AY433" s="194"/>
      <c r="AZ433" s="194"/>
      <c r="BA433" s="194"/>
      <c r="BB433" s="194"/>
      <c r="BC433" s="65">
        <v>0</v>
      </c>
      <c r="BD433" s="65">
        <v>0</v>
      </c>
      <c r="BE433" s="65">
        <v>0</v>
      </c>
      <c r="BF433" s="65">
        <v>0</v>
      </c>
      <c r="BG433" s="65">
        <v>0</v>
      </c>
      <c r="BH433" s="65">
        <v>0</v>
      </c>
      <c r="BI433" s="65">
        <v>1293.0657756644675</v>
      </c>
      <c r="BJ433" s="65">
        <v>0</v>
      </c>
      <c r="BK433" s="65">
        <v>0</v>
      </c>
      <c r="BL433" s="65">
        <v>0</v>
      </c>
      <c r="BM433" s="65">
        <v>0</v>
      </c>
      <c r="BN433" s="65">
        <v>0</v>
      </c>
      <c r="BO433" s="65">
        <v>22.270679999999999</v>
      </c>
      <c r="BP433" s="5"/>
      <c r="BQ433" s="5"/>
      <c r="BR433" s="5"/>
      <c r="BS433" s="63"/>
      <c r="BT433" s="65">
        <v>246.11350398799061</v>
      </c>
      <c r="BU433" s="65">
        <v>272.06478654289339</v>
      </c>
      <c r="BV433" s="144">
        <f t="shared" si="448"/>
        <v>1179.5803129257915</v>
      </c>
      <c r="BW433" s="144">
        <f t="shared" si="449"/>
        <v>2540.0130727858759</v>
      </c>
      <c r="BX433" s="144">
        <f t="shared" si="450"/>
        <v>813.30394481761687</v>
      </c>
      <c r="BY433" s="5"/>
      <c r="BZ433" s="5"/>
      <c r="CA433" s="4"/>
      <c r="CB433" s="5"/>
      <c r="CC433" s="5"/>
      <c r="CD433" s="5"/>
      <c r="CE433" s="5"/>
      <c r="CF433" s="64"/>
      <c r="CG433" s="70"/>
      <c r="CH433" s="70"/>
      <c r="CI433" s="70"/>
      <c r="CJ433" s="63"/>
      <c r="CK433" s="8">
        <f t="shared" si="431"/>
        <v>9605.6300767246357</v>
      </c>
      <c r="CL433" s="202">
        <f t="shared" si="481"/>
        <v>45481.924528972646</v>
      </c>
      <c r="CM433" s="202">
        <f t="shared" si="482"/>
        <v>45481.924528972646</v>
      </c>
      <c r="CN433" s="202">
        <f t="shared" si="483"/>
        <v>45481.924528972646</v>
      </c>
      <c r="CO433" s="9">
        <f t="shared" si="484"/>
        <v>42722.399474493614</v>
      </c>
      <c r="CP433" s="9">
        <f t="shared" si="485"/>
        <v>47076.035979991939</v>
      </c>
      <c r="CQ433" s="9">
        <f t="shared" si="486"/>
        <v>38819.029220228149</v>
      </c>
      <c r="CR433" s="202">
        <f t="shared" si="487"/>
        <v>45481.924528972646</v>
      </c>
      <c r="CS433" s="202">
        <f t="shared" si="488"/>
        <v>45481.924528972646</v>
      </c>
      <c r="CT433" s="202">
        <f t="shared" si="489"/>
        <v>45481.924528972646</v>
      </c>
      <c r="CU433" s="203">
        <f t="shared" si="490"/>
        <v>0.82562976074216232</v>
      </c>
      <c r="CV433" s="203">
        <f t="shared" si="491"/>
        <v>0.82562976074216232</v>
      </c>
      <c r="CW433" s="203">
        <f t="shared" si="492"/>
        <v>0.82562976074216232</v>
      </c>
      <c r="CX433" s="19">
        <f t="shared" si="493"/>
        <v>0.8164343247948459</v>
      </c>
      <c r="CY433" s="19">
        <f t="shared" si="494"/>
        <v>0.83053373789131235</v>
      </c>
      <c r="CZ433" s="19">
        <f t="shared" si="495"/>
        <v>0.80163763222740758</v>
      </c>
      <c r="DA433" s="203">
        <f t="shared" si="496"/>
        <v>0.82562976074216232</v>
      </c>
      <c r="DB433" s="203">
        <f t="shared" si="497"/>
        <v>0.82562976074216232</v>
      </c>
      <c r="DC433" s="203">
        <f t="shared" si="498"/>
        <v>0.82562976074216232</v>
      </c>
      <c r="DD433" s="65"/>
      <c r="DE433" s="66"/>
      <c r="DF433" s="66"/>
      <c r="DG433" s="66"/>
      <c r="DH433" s="66"/>
      <c r="DI433" s="66"/>
      <c r="DJ433" s="66"/>
      <c r="DK433" s="70"/>
      <c r="DL433" s="70"/>
      <c r="DM433" s="8">
        <f t="shared" si="432"/>
        <v>0</v>
      </c>
      <c r="DN433" s="8">
        <f t="shared" si="433"/>
        <v>9605.6300767246357</v>
      </c>
      <c r="DO433" s="202">
        <f t="shared" si="415"/>
        <v>45481.924528972646</v>
      </c>
      <c r="DP433" s="202">
        <f t="shared" si="416"/>
        <v>45481.924528972646</v>
      </c>
      <c r="DQ433" s="202">
        <f t="shared" si="417"/>
        <v>45481.924528972646</v>
      </c>
      <c r="DR433" s="9">
        <f t="shared" si="418"/>
        <v>42722.399474493614</v>
      </c>
      <c r="DS433" s="9">
        <f t="shared" si="501"/>
        <v>47076.035979991939</v>
      </c>
      <c r="DT433" s="9">
        <f t="shared" si="419"/>
        <v>38819.029220228149</v>
      </c>
      <c r="DU433" s="202">
        <f t="shared" si="420"/>
        <v>45481.924528972646</v>
      </c>
      <c r="DV433" s="202">
        <f t="shared" si="421"/>
        <v>45481.924528972646</v>
      </c>
      <c r="DW433" s="202">
        <f t="shared" si="422"/>
        <v>45481.924528972646</v>
      </c>
      <c r="DX433" s="203">
        <f t="shared" si="423"/>
        <v>0.82562976074216232</v>
      </c>
      <c r="DY433" s="203">
        <f t="shared" si="424"/>
        <v>0.82562976074216232</v>
      </c>
      <c r="DZ433" s="203">
        <f t="shared" si="425"/>
        <v>0.82562976074216232</v>
      </c>
      <c r="EA433" s="19">
        <f t="shared" si="426"/>
        <v>0.8164343247948459</v>
      </c>
      <c r="EB433" s="19">
        <f t="shared" si="502"/>
        <v>0.83053373789131235</v>
      </c>
      <c r="EC433" s="19">
        <f t="shared" si="427"/>
        <v>0.80163763222740758</v>
      </c>
      <c r="ED433" s="203">
        <f t="shared" si="428"/>
        <v>0.82562976074216232</v>
      </c>
      <c r="EE433" s="203">
        <f t="shared" si="429"/>
        <v>0.82562976074216232</v>
      </c>
      <c r="EF433" s="203">
        <f t="shared" si="430"/>
        <v>0.82562976074216232</v>
      </c>
      <c r="EH433" s="58">
        <f t="shared" si="442"/>
        <v>8426.0497637988447</v>
      </c>
      <c r="EI433" s="68">
        <f t="shared" si="443"/>
        <v>0.14865564740753395</v>
      </c>
      <c r="EJ433" s="58">
        <f t="shared" si="444"/>
        <v>8426.0497637988447</v>
      </c>
      <c r="EK433" s="68">
        <f t="shared" si="443"/>
        <v>0.14865564740753395</v>
      </c>
      <c r="EL433" s="58">
        <f t="shared" si="445"/>
        <v>4373.5278189812279</v>
      </c>
      <c r="EM433" s="58">
        <f t="shared" si="446"/>
        <v>5186.8317637988448</v>
      </c>
      <c r="EN433" s="68">
        <f t="shared" si="447"/>
        <v>9.1508103495208104E-2</v>
      </c>
      <c r="EO433" s="139">
        <f t="shared" si="464"/>
        <v>0.24029016665052916</v>
      </c>
      <c r="EP433">
        <f>+(SUM(M433:O433)*EO433*(1-'[1]Tier 3 Data'!$A$2))</f>
        <v>1451.7622015430359</v>
      </c>
    </row>
    <row r="434" spans="1:146" x14ac:dyDescent="0.2">
      <c r="A434" s="43">
        <v>0</v>
      </c>
      <c r="B434" s="43">
        <v>0</v>
      </c>
      <c r="C434" s="43">
        <v>0</v>
      </c>
      <c r="D434" s="70">
        <v>2043</v>
      </c>
      <c r="E434" s="70">
        <v>7</v>
      </c>
      <c r="F434" s="2">
        <v>744</v>
      </c>
      <c r="G434" s="133">
        <f t="shared" si="458"/>
        <v>48730.52040323706</v>
      </c>
      <c r="H434" s="65">
        <v>48730.52040323706</v>
      </c>
      <c r="I434" s="133">
        <f t="shared" si="459"/>
        <v>48730.52040323706</v>
      </c>
      <c r="J434" s="133">
        <f t="shared" si="440"/>
        <v>8855.3899999999976</v>
      </c>
      <c r="K434" s="64">
        <v>8855.3899999999976</v>
      </c>
      <c r="L434" s="133">
        <f t="shared" si="441"/>
        <v>8855.3899999999976</v>
      </c>
      <c r="M434" s="65">
        <v>1709.2251160000674</v>
      </c>
      <c r="N434" s="65">
        <v>3680.5074579497937</v>
      </c>
      <c r="O434" s="70">
        <v>1178.7258749042162</v>
      </c>
      <c r="P434" s="200">
        <f t="shared" si="434"/>
        <v>37904.592868580839</v>
      </c>
      <c r="Q434" s="200">
        <f t="shared" si="435"/>
        <v>37904.592868580839</v>
      </c>
      <c r="R434" s="200">
        <f t="shared" si="436"/>
        <v>37904.592868580839</v>
      </c>
      <c r="S434" s="133">
        <f t="shared" si="460"/>
        <v>39521.512640765795</v>
      </c>
      <c r="T434" s="133">
        <f t="shared" si="461"/>
        <v>39521.512640765795</v>
      </c>
      <c r="U434" s="133">
        <f t="shared" si="462"/>
        <v>39521.512640765795</v>
      </c>
      <c r="V434" s="200">
        <f t="shared" si="437"/>
        <v>37904.592868580839</v>
      </c>
      <c r="W434" s="200">
        <f t="shared" si="438"/>
        <v>37904.592868580839</v>
      </c>
      <c r="X434" s="200">
        <f t="shared" si="439"/>
        <v>37904.592868580839</v>
      </c>
      <c r="Y434" s="58">
        <v>20776.019137182615</v>
      </c>
      <c r="Z434">
        <v>26832.498506840009</v>
      </c>
      <c r="AA434" s="65">
        <v>16966.60969542669</v>
      </c>
      <c r="AB434" s="200">
        <f t="shared" si="451"/>
        <v>64737.091375420845</v>
      </c>
      <c r="AC434" s="200">
        <f t="shared" si="452"/>
        <v>64737.091375420845</v>
      </c>
      <c r="AD434" s="200">
        <f t="shared" si="453"/>
        <v>64737.091375420845</v>
      </c>
      <c r="AE434" s="199">
        <f t="shared" si="517"/>
        <v>60297.53177794841</v>
      </c>
      <c r="AF434" s="199">
        <f t="shared" si="454"/>
        <v>66354.011147605808</v>
      </c>
      <c r="AG434" s="199">
        <f t="shared" si="518"/>
        <v>56488.122336192486</v>
      </c>
      <c r="AH434" s="199">
        <f t="shared" si="463"/>
        <v>61421.066741899151</v>
      </c>
      <c r="AI434" s="200">
        <f t="shared" si="455"/>
        <v>64737.091375420845</v>
      </c>
      <c r="AJ434" s="200">
        <f t="shared" si="456"/>
        <v>64737.091375420845</v>
      </c>
      <c r="AK434" s="200">
        <f t="shared" si="457"/>
        <v>64737.091375420845</v>
      </c>
      <c r="AL434" s="4"/>
      <c r="AM434" s="4"/>
      <c r="AN434" s="4"/>
      <c r="AO434" s="4"/>
      <c r="AP434" s="63"/>
      <c r="AQ434" s="18"/>
      <c r="AR434" s="18"/>
      <c r="AS434" s="18"/>
      <c r="AT434" s="18">
        <v>0</v>
      </c>
      <c r="AU434" s="133">
        <f t="shared" ref="AU434" si="521">+AU422</f>
        <v>118.521</v>
      </c>
      <c r="AV434" s="133">
        <f t="shared" ref="AV434" si="522">+AV422</f>
        <v>3084.53</v>
      </c>
      <c r="AW434" s="194"/>
      <c r="AX434" s="194"/>
      <c r="AY434" s="194"/>
      <c r="AZ434" s="194"/>
      <c r="BA434" s="194"/>
      <c r="BB434" s="194"/>
      <c r="BC434" s="65">
        <v>0</v>
      </c>
      <c r="BD434" s="65">
        <v>0</v>
      </c>
      <c r="BE434" s="65">
        <v>0</v>
      </c>
      <c r="BF434" s="65">
        <v>0</v>
      </c>
      <c r="BG434" s="65">
        <v>0</v>
      </c>
      <c r="BH434" s="65">
        <v>0</v>
      </c>
      <c r="BI434" s="65">
        <v>1252.2663354665835</v>
      </c>
      <c r="BJ434" s="65">
        <v>0</v>
      </c>
      <c r="BK434" s="65">
        <v>0</v>
      </c>
      <c r="BL434" s="65">
        <v>0</v>
      </c>
      <c r="BM434" s="65">
        <v>0</v>
      </c>
      <c r="BN434" s="65">
        <v>0</v>
      </c>
      <c r="BO434" s="65">
        <v>0</v>
      </c>
      <c r="BP434" s="5"/>
      <c r="BQ434" s="5"/>
      <c r="BR434" s="5"/>
      <c r="BS434" s="63"/>
      <c r="BT434" s="65">
        <v>254.29833025771538</v>
      </c>
      <c r="BU434" s="65">
        <v>279.72771913655299</v>
      </c>
      <c r="BV434" s="144">
        <f t="shared" si="448"/>
        <v>1196.4575812000471</v>
      </c>
      <c r="BW434" s="144">
        <f t="shared" si="449"/>
        <v>2576.3552205648552</v>
      </c>
      <c r="BX434" s="144">
        <f t="shared" si="450"/>
        <v>825.10811243295132</v>
      </c>
      <c r="BY434" s="5"/>
      <c r="BZ434" s="5"/>
      <c r="CA434" s="4"/>
      <c r="CB434" s="5"/>
      <c r="CC434" s="5"/>
      <c r="CD434" s="5"/>
      <c r="CE434" s="5"/>
      <c r="CF434" s="64"/>
      <c r="CG434" s="70"/>
      <c r="CH434" s="70"/>
      <c r="CI434" s="70"/>
      <c r="CJ434" s="63"/>
      <c r="CK434" s="8">
        <f t="shared" si="431"/>
        <v>9587.2642990587065</v>
      </c>
      <c r="CL434" s="202">
        <f t="shared" si="481"/>
        <v>55149.82707636214</v>
      </c>
      <c r="CM434" s="202">
        <f t="shared" si="482"/>
        <v>55149.82707636214</v>
      </c>
      <c r="CN434" s="202">
        <f t="shared" si="483"/>
        <v>55149.82707636214</v>
      </c>
      <c r="CO434" s="9">
        <f t="shared" si="484"/>
        <v>50710.267478889706</v>
      </c>
      <c r="CP434" s="9">
        <f t="shared" si="485"/>
        <v>56766.746848547104</v>
      </c>
      <c r="CQ434" s="9">
        <f t="shared" si="486"/>
        <v>46900.858037133781</v>
      </c>
      <c r="CR434" s="202">
        <f t="shared" si="487"/>
        <v>55149.82707636214</v>
      </c>
      <c r="CS434" s="202">
        <f t="shared" si="488"/>
        <v>55149.82707636214</v>
      </c>
      <c r="CT434" s="202">
        <f t="shared" si="489"/>
        <v>55149.82707636214</v>
      </c>
      <c r="CU434" s="203">
        <f t="shared" si="490"/>
        <v>0.85190461765635084</v>
      </c>
      <c r="CV434" s="203">
        <f t="shared" si="491"/>
        <v>0.85190461765635084</v>
      </c>
      <c r="CW434" s="203">
        <f t="shared" si="492"/>
        <v>0.85190461765635084</v>
      </c>
      <c r="CX434" s="19">
        <f t="shared" si="493"/>
        <v>0.84100071733674364</v>
      </c>
      <c r="CY434" s="19">
        <f t="shared" si="494"/>
        <v>0.85551341760286881</v>
      </c>
      <c r="CZ434" s="19">
        <f t="shared" si="495"/>
        <v>0.83027822659780548</v>
      </c>
      <c r="DA434" s="203">
        <f t="shared" si="496"/>
        <v>0.85190461765635084</v>
      </c>
      <c r="DB434" s="203">
        <f t="shared" si="497"/>
        <v>0.85190461765635084</v>
      </c>
      <c r="DC434" s="203">
        <f t="shared" si="498"/>
        <v>0.85190461765635084</v>
      </c>
      <c r="DD434" s="65"/>
      <c r="DE434" s="66"/>
      <c r="DF434" s="66"/>
      <c r="DG434" s="66"/>
      <c r="DH434" s="66"/>
      <c r="DI434" s="66"/>
      <c r="DJ434" s="66"/>
      <c r="DK434" s="70"/>
      <c r="DL434" s="70"/>
      <c r="DM434" s="8">
        <f t="shared" si="432"/>
        <v>0</v>
      </c>
      <c r="DN434" s="8">
        <f t="shared" si="433"/>
        <v>9587.2642990587065</v>
      </c>
      <c r="DO434" s="202">
        <f t="shared" si="415"/>
        <v>55149.82707636214</v>
      </c>
      <c r="DP434" s="202">
        <f t="shared" si="416"/>
        <v>55149.82707636214</v>
      </c>
      <c r="DQ434" s="202">
        <f t="shared" si="417"/>
        <v>55149.82707636214</v>
      </c>
      <c r="DR434" s="9">
        <f t="shared" si="418"/>
        <v>50710.267478889706</v>
      </c>
      <c r="DS434" s="9">
        <f t="shared" si="501"/>
        <v>56766.746848547104</v>
      </c>
      <c r="DT434" s="9">
        <f t="shared" si="419"/>
        <v>46900.858037133781</v>
      </c>
      <c r="DU434" s="202">
        <f t="shared" si="420"/>
        <v>55149.82707636214</v>
      </c>
      <c r="DV434" s="202">
        <f t="shared" si="421"/>
        <v>55149.82707636214</v>
      </c>
      <c r="DW434" s="202">
        <f t="shared" si="422"/>
        <v>55149.82707636214</v>
      </c>
      <c r="DX434" s="203">
        <f t="shared" si="423"/>
        <v>0.85190461765635084</v>
      </c>
      <c r="DY434" s="203">
        <f t="shared" si="424"/>
        <v>0.85190461765635084</v>
      </c>
      <c r="DZ434" s="203">
        <f t="shared" si="425"/>
        <v>0.85190461765635084</v>
      </c>
      <c r="EA434" s="19">
        <f t="shared" si="426"/>
        <v>0.84100071733674364</v>
      </c>
      <c r="EB434" s="19">
        <f t="shared" si="502"/>
        <v>0.85551341760286881</v>
      </c>
      <c r="EC434" s="19">
        <f t="shared" si="427"/>
        <v>0.83027822659780548</v>
      </c>
      <c r="ED434" s="203">
        <f t="shared" si="428"/>
        <v>0.85190461765635084</v>
      </c>
      <c r="EE434" s="203">
        <f t="shared" si="429"/>
        <v>0.85190461765635084</v>
      </c>
      <c r="EF434" s="203">
        <f t="shared" si="430"/>
        <v>0.85190461765635084</v>
      </c>
      <c r="EH434" s="58">
        <f t="shared" si="442"/>
        <v>8390.8067178586589</v>
      </c>
      <c r="EI434" s="68">
        <f t="shared" si="443"/>
        <v>0.12645515429644702</v>
      </c>
      <c r="EJ434" s="58">
        <f t="shared" si="444"/>
        <v>8390.8067178586589</v>
      </c>
      <c r="EK434" s="68">
        <f t="shared" si="443"/>
        <v>0.12645515429644702</v>
      </c>
      <c r="EL434" s="58">
        <f t="shared" si="445"/>
        <v>4362.6476054257073</v>
      </c>
      <c r="EM434" s="58">
        <f t="shared" si="446"/>
        <v>5187.7557178586585</v>
      </c>
      <c r="EN434" s="68">
        <f t="shared" si="447"/>
        <v>7.8183000969125949E-2</v>
      </c>
      <c r="EO434" s="139">
        <f t="shared" si="464"/>
        <v>0.25197746931178833</v>
      </c>
      <c r="EP434">
        <f>+(SUM(M434:O434)*EO434*(1-'[1]Tier 3 Data'!$A$2))</f>
        <v>1544.2116002280186</v>
      </c>
    </row>
    <row r="435" spans="1:146" x14ac:dyDescent="0.2">
      <c r="A435" s="43">
        <v>0</v>
      </c>
      <c r="B435" s="43">
        <v>0</v>
      </c>
      <c r="C435" s="43">
        <v>0</v>
      </c>
      <c r="D435" s="70">
        <v>2043</v>
      </c>
      <c r="E435" s="70">
        <v>8</v>
      </c>
      <c r="F435" s="2">
        <v>744</v>
      </c>
      <c r="G435" s="133">
        <f t="shared" si="458"/>
        <v>46537.898021849636</v>
      </c>
      <c r="H435" s="65">
        <v>46537.898021849636</v>
      </c>
      <c r="I435" s="133">
        <f t="shared" si="459"/>
        <v>46537.898021849636</v>
      </c>
      <c r="J435" s="133">
        <f t="shared" si="440"/>
        <v>8895.1989999999969</v>
      </c>
      <c r="K435" s="64">
        <v>8895.1989999999969</v>
      </c>
      <c r="L435" s="133">
        <f t="shared" si="441"/>
        <v>8895.1989999999969</v>
      </c>
      <c r="M435" s="65">
        <v>1523.4196774399222</v>
      </c>
      <c r="N435" s="65">
        <v>3280.4090180505418</v>
      </c>
      <c r="O435" s="70">
        <v>1050.8862824450969</v>
      </c>
      <c r="P435" s="200">
        <f t="shared" si="434"/>
        <v>35886.284528468968</v>
      </c>
      <c r="Q435" s="200">
        <f t="shared" si="435"/>
        <v>35886.284528468968</v>
      </c>
      <c r="R435" s="200">
        <f t="shared" si="436"/>
        <v>35886.284528468968</v>
      </c>
      <c r="S435" s="133">
        <f t="shared" si="460"/>
        <v>37327.43313711611</v>
      </c>
      <c r="T435" s="133">
        <f t="shared" si="461"/>
        <v>37327.43313711611</v>
      </c>
      <c r="U435" s="133">
        <f t="shared" si="462"/>
        <v>37327.43313711611</v>
      </c>
      <c r="V435" s="200">
        <f t="shared" si="437"/>
        <v>35886.284528468968</v>
      </c>
      <c r="W435" s="200">
        <f t="shared" si="438"/>
        <v>35886.284528468968</v>
      </c>
      <c r="X435" s="200">
        <f t="shared" si="439"/>
        <v>35886.284528468968</v>
      </c>
      <c r="Y435" s="58">
        <v>19848.096341820255</v>
      </c>
      <c r="Z435">
        <v>25070.583728104939</v>
      </c>
      <c r="AA435" s="65">
        <v>16027.574695235839</v>
      </c>
      <c r="AB435" s="200">
        <f t="shared" si="451"/>
        <v>60956.868256573907</v>
      </c>
      <c r="AC435" s="200">
        <f t="shared" si="452"/>
        <v>60956.868256573907</v>
      </c>
      <c r="AD435" s="200">
        <f t="shared" si="453"/>
        <v>60956.868256573907</v>
      </c>
      <c r="AE435" s="199">
        <f t="shared" si="517"/>
        <v>57175.529478936369</v>
      </c>
      <c r="AF435" s="199">
        <f t="shared" si="454"/>
        <v>62398.016865221049</v>
      </c>
      <c r="AG435" s="199">
        <f t="shared" si="518"/>
        <v>53355.007832351948</v>
      </c>
      <c r="AH435" s="199">
        <f t="shared" si="463"/>
        <v>57876.512348786498</v>
      </c>
      <c r="AI435" s="200">
        <f t="shared" si="455"/>
        <v>60956.868256573907</v>
      </c>
      <c r="AJ435" s="200">
        <f t="shared" si="456"/>
        <v>60956.868256573907</v>
      </c>
      <c r="AK435" s="200">
        <f t="shared" si="457"/>
        <v>60956.868256573907</v>
      </c>
      <c r="AL435" s="4"/>
      <c r="AM435" s="4"/>
      <c r="AN435" s="4"/>
      <c r="AO435" s="4"/>
      <c r="AP435" s="63"/>
      <c r="AQ435" s="18"/>
      <c r="AR435" s="18"/>
      <c r="AS435" s="18"/>
      <c r="AT435" s="18">
        <v>0</v>
      </c>
      <c r="AU435" s="133">
        <f t="shared" ref="AU435" si="523">+AU423</f>
        <v>107.64</v>
      </c>
      <c r="AV435" s="133">
        <f t="shared" ref="AV435" si="524">+AV423</f>
        <v>3021.9279999999999</v>
      </c>
      <c r="AW435" s="194"/>
      <c r="AX435" s="194"/>
      <c r="AY435" s="194"/>
      <c r="AZ435" s="194"/>
      <c r="BA435" s="194"/>
      <c r="BB435" s="194"/>
      <c r="BC435" s="65">
        <v>0</v>
      </c>
      <c r="BD435" s="65">
        <v>0</v>
      </c>
      <c r="BE435" s="65">
        <v>0</v>
      </c>
      <c r="BF435" s="65">
        <v>0</v>
      </c>
      <c r="BG435" s="65">
        <v>0</v>
      </c>
      <c r="BH435" s="65">
        <v>0</v>
      </c>
      <c r="BI435" s="65">
        <v>1214.4165237695724</v>
      </c>
      <c r="BJ435" s="65">
        <v>0</v>
      </c>
      <c r="BK435" s="65">
        <v>0</v>
      </c>
      <c r="BL435" s="65">
        <v>0</v>
      </c>
      <c r="BM435" s="65">
        <v>0</v>
      </c>
      <c r="BN435" s="65">
        <v>0</v>
      </c>
      <c r="BO435" s="65">
        <v>0</v>
      </c>
      <c r="BP435" s="5"/>
      <c r="BQ435" s="5"/>
      <c r="BR435" s="5"/>
      <c r="BS435" s="63"/>
      <c r="BT435" s="65">
        <v>241.35503492740139</v>
      </c>
      <c r="BU435" s="65">
        <v>260.28162556211248</v>
      </c>
      <c r="BV435" s="144">
        <f t="shared" si="448"/>
        <v>1066.3937742079454</v>
      </c>
      <c r="BW435" s="144">
        <f t="shared" si="449"/>
        <v>2296.2863126353791</v>
      </c>
      <c r="BX435" s="144">
        <f t="shared" si="450"/>
        <v>735.62039771156776</v>
      </c>
      <c r="BY435" s="5"/>
      <c r="BZ435" s="5"/>
      <c r="CA435" s="4"/>
      <c r="CB435" s="5"/>
      <c r="CC435" s="5"/>
      <c r="CD435" s="5"/>
      <c r="CE435" s="5"/>
      <c r="CF435" s="64"/>
      <c r="CG435" s="70"/>
      <c r="CH435" s="70"/>
      <c r="CI435" s="70"/>
      <c r="CJ435" s="63"/>
      <c r="CK435" s="8">
        <f t="shared" si="431"/>
        <v>8943.9216688139768</v>
      </c>
      <c r="CL435" s="202">
        <f t="shared" si="481"/>
        <v>52012.946587759929</v>
      </c>
      <c r="CM435" s="202">
        <f t="shared" si="482"/>
        <v>52012.946587759929</v>
      </c>
      <c r="CN435" s="202">
        <f t="shared" si="483"/>
        <v>52012.946587759929</v>
      </c>
      <c r="CO435" s="9">
        <f t="shared" si="484"/>
        <v>48231.60781012239</v>
      </c>
      <c r="CP435" s="9">
        <f t="shared" si="485"/>
        <v>53454.09519640707</v>
      </c>
      <c r="CQ435" s="9">
        <f t="shared" si="486"/>
        <v>44411.08616353797</v>
      </c>
      <c r="CR435" s="202">
        <f t="shared" si="487"/>
        <v>52012.946587759929</v>
      </c>
      <c r="CS435" s="202">
        <f t="shared" si="488"/>
        <v>52012.946587759929</v>
      </c>
      <c r="CT435" s="202">
        <f t="shared" si="489"/>
        <v>52012.946587759929</v>
      </c>
      <c r="CU435" s="203">
        <f t="shared" si="490"/>
        <v>0.85327458702162873</v>
      </c>
      <c r="CV435" s="203">
        <f t="shared" si="491"/>
        <v>0.85327458702162873</v>
      </c>
      <c r="CW435" s="203">
        <f t="shared" si="492"/>
        <v>0.85327458702162873</v>
      </c>
      <c r="CX435" s="19">
        <f t="shared" si="493"/>
        <v>0.84357081166849635</v>
      </c>
      <c r="CY435" s="19">
        <f t="shared" si="494"/>
        <v>0.85666336659171816</v>
      </c>
      <c r="CZ435" s="19">
        <f t="shared" si="495"/>
        <v>0.83236959318013992</v>
      </c>
      <c r="DA435" s="203">
        <f t="shared" si="496"/>
        <v>0.85327458702162873</v>
      </c>
      <c r="DB435" s="203">
        <f t="shared" si="497"/>
        <v>0.85327458702162873</v>
      </c>
      <c r="DC435" s="203">
        <f t="shared" si="498"/>
        <v>0.85327458702162873</v>
      </c>
      <c r="DD435" s="65"/>
      <c r="DE435" s="66"/>
      <c r="DF435" s="66"/>
      <c r="DG435" s="66"/>
      <c r="DH435" s="66"/>
      <c r="DI435" s="66"/>
      <c r="DJ435" s="66"/>
      <c r="DK435" s="70"/>
      <c r="DL435" s="70"/>
      <c r="DM435" s="8">
        <f t="shared" si="432"/>
        <v>0</v>
      </c>
      <c r="DN435" s="8">
        <f t="shared" si="433"/>
        <v>8943.9216688139768</v>
      </c>
      <c r="DO435" s="202">
        <f t="shared" si="415"/>
        <v>52012.946587759929</v>
      </c>
      <c r="DP435" s="202">
        <f t="shared" si="416"/>
        <v>52012.946587759929</v>
      </c>
      <c r="DQ435" s="202">
        <f t="shared" si="417"/>
        <v>52012.946587759929</v>
      </c>
      <c r="DR435" s="9">
        <f t="shared" si="418"/>
        <v>48231.60781012239</v>
      </c>
      <c r="DS435" s="9">
        <f t="shared" si="501"/>
        <v>53454.09519640707</v>
      </c>
      <c r="DT435" s="9">
        <f t="shared" si="419"/>
        <v>44411.08616353797</v>
      </c>
      <c r="DU435" s="202">
        <f t="shared" si="420"/>
        <v>52012.946587759929</v>
      </c>
      <c r="DV435" s="202">
        <f t="shared" si="421"/>
        <v>52012.946587759929</v>
      </c>
      <c r="DW435" s="202">
        <f t="shared" si="422"/>
        <v>52012.946587759929</v>
      </c>
      <c r="DX435" s="203">
        <f t="shared" si="423"/>
        <v>0.85327458702162873</v>
      </c>
      <c r="DY435" s="203">
        <f t="shared" si="424"/>
        <v>0.85327458702162873</v>
      </c>
      <c r="DZ435" s="203">
        <f t="shared" si="425"/>
        <v>0.85327458702162873</v>
      </c>
      <c r="EA435" s="19">
        <f t="shared" si="426"/>
        <v>0.84357081166849635</v>
      </c>
      <c r="EB435" s="19">
        <f t="shared" si="502"/>
        <v>0.85666336659171816</v>
      </c>
      <c r="EC435" s="19">
        <f t="shared" si="427"/>
        <v>0.83236959318013992</v>
      </c>
      <c r="ED435" s="203">
        <f t="shared" si="428"/>
        <v>0.85327458702162873</v>
      </c>
      <c r="EE435" s="203">
        <f t="shared" si="429"/>
        <v>0.85327458702162873</v>
      </c>
      <c r="EF435" s="203">
        <f t="shared" si="430"/>
        <v>0.85327458702162873</v>
      </c>
      <c r="EH435" s="58">
        <f t="shared" si="442"/>
        <v>7877.5278946060316</v>
      </c>
      <c r="EI435" s="68">
        <f t="shared" si="443"/>
        <v>0.12624644644751123</v>
      </c>
      <c r="EJ435" s="58">
        <f t="shared" si="444"/>
        <v>7877.5278946060316</v>
      </c>
      <c r="EK435" s="68">
        <f t="shared" si="443"/>
        <v>0.12624644644751123</v>
      </c>
      <c r="EL435" s="58">
        <f t="shared" si="445"/>
        <v>4012.3394968944654</v>
      </c>
      <c r="EM435" s="58">
        <f t="shared" si="446"/>
        <v>4747.9598946060332</v>
      </c>
      <c r="EN435" s="68">
        <f t="shared" si="447"/>
        <v>7.6091519140128572E-2</v>
      </c>
      <c r="EO435" s="139">
        <f t="shared" si="464"/>
        <v>0.28519905910129462</v>
      </c>
      <c r="EP435">
        <f>+(SUM(M435:O435)*EO435*(1-'[1]Tier 3 Data'!$A$2))</f>
        <v>1557.885336411576</v>
      </c>
    </row>
    <row r="436" spans="1:146" x14ac:dyDescent="0.2">
      <c r="A436" s="43">
        <v>0</v>
      </c>
      <c r="B436" s="43">
        <v>0</v>
      </c>
      <c r="C436" s="43">
        <v>0</v>
      </c>
      <c r="D436" s="70">
        <v>2043</v>
      </c>
      <c r="E436" s="70">
        <v>9</v>
      </c>
      <c r="F436" s="2">
        <v>720</v>
      </c>
      <c r="G436" s="133">
        <f t="shared" si="458"/>
        <v>40427.206371996217</v>
      </c>
      <c r="H436" s="65">
        <v>40427.206371996217</v>
      </c>
      <c r="I436" s="133">
        <f t="shared" si="459"/>
        <v>40427.206371996217</v>
      </c>
      <c r="J436" s="133">
        <f t="shared" si="440"/>
        <v>8935.0079999999962</v>
      </c>
      <c r="K436" s="64">
        <v>8935.0079999999962</v>
      </c>
      <c r="L436" s="133">
        <f t="shared" si="441"/>
        <v>8935.0079999999962</v>
      </c>
      <c r="M436" s="65">
        <v>1349.1581364153492</v>
      </c>
      <c r="N436" s="65">
        <v>2905.1682756984146</v>
      </c>
      <c r="O436" s="70">
        <v>930.86442782958954</v>
      </c>
      <c r="P436" s="200">
        <f t="shared" si="434"/>
        <v>29936.641120013217</v>
      </c>
      <c r="Q436" s="200">
        <f t="shared" si="435"/>
        <v>29936.641120013217</v>
      </c>
      <c r="R436" s="200">
        <f t="shared" si="436"/>
        <v>29936.641120013217</v>
      </c>
      <c r="S436" s="133">
        <f t="shared" si="460"/>
        <v>31212.939043647344</v>
      </c>
      <c r="T436" s="133">
        <f t="shared" si="461"/>
        <v>31212.939043647344</v>
      </c>
      <c r="U436" s="133">
        <f t="shared" si="462"/>
        <v>31212.939043647344</v>
      </c>
      <c r="V436" s="200">
        <f t="shared" si="437"/>
        <v>29936.641120013217</v>
      </c>
      <c r="W436" s="200">
        <f t="shared" si="438"/>
        <v>29936.641120013217</v>
      </c>
      <c r="X436" s="200">
        <f t="shared" si="439"/>
        <v>29936.641120013217</v>
      </c>
      <c r="Y436" s="58">
        <v>18555.692204504179</v>
      </c>
      <c r="Z436">
        <v>23118.970527794394</v>
      </c>
      <c r="AA436" s="65">
        <v>14726.382522467038</v>
      </c>
      <c r="AB436" s="200">
        <f t="shared" si="451"/>
        <v>53055.611647807615</v>
      </c>
      <c r="AC436" s="200">
        <f t="shared" si="452"/>
        <v>53055.611647807615</v>
      </c>
      <c r="AD436" s="200">
        <f t="shared" si="453"/>
        <v>53055.611647807615</v>
      </c>
      <c r="AE436" s="199">
        <f t="shared" si="517"/>
        <v>49768.63124815152</v>
      </c>
      <c r="AF436" s="199">
        <f t="shared" si="454"/>
        <v>54331.909571441734</v>
      </c>
      <c r="AG436" s="199">
        <f t="shared" si="518"/>
        <v>45939.321566114384</v>
      </c>
      <c r="AH436" s="199">
        <f t="shared" si="463"/>
        <v>50135.615568778056</v>
      </c>
      <c r="AI436" s="200">
        <f t="shared" si="455"/>
        <v>53055.611647807615</v>
      </c>
      <c r="AJ436" s="200">
        <f t="shared" si="456"/>
        <v>53055.611647807615</v>
      </c>
      <c r="AK436" s="200">
        <f t="shared" si="457"/>
        <v>53055.611647807615</v>
      </c>
      <c r="AL436" s="4"/>
      <c r="AM436" s="4"/>
      <c r="AN436" s="4"/>
      <c r="AO436" s="4"/>
      <c r="AP436" s="63"/>
      <c r="AQ436" s="18"/>
      <c r="AR436" s="18"/>
      <c r="AS436" s="18"/>
      <c r="AT436" s="18">
        <v>0</v>
      </c>
      <c r="AU436" s="133">
        <f t="shared" ref="AU436" si="525">+AU424</f>
        <v>102.375</v>
      </c>
      <c r="AV436" s="133">
        <f t="shared" ref="AV436" si="526">+AV424</f>
        <v>2969.6280000000002</v>
      </c>
      <c r="AW436" s="194"/>
      <c r="AX436" s="194"/>
      <c r="AY436" s="194"/>
      <c r="AZ436" s="194"/>
      <c r="BA436" s="194"/>
      <c r="BB436" s="194"/>
      <c r="BC436" s="65">
        <v>0</v>
      </c>
      <c r="BD436" s="65">
        <v>0</v>
      </c>
      <c r="BE436" s="65">
        <v>0</v>
      </c>
      <c r="BF436" s="65">
        <v>0</v>
      </c>
      <c r="BG436" s="65">
        <v>0</v>
      </c>
      <c r="BH436" s="65">
        <v>0</v>
      </c>
      <c r="BI436" s="65">
        <v>1129.9486832534792</v>
      </c>
      <c r="BJ436" s="65">
        <v>0</v>
      </c>
      <c r="BK436" s="65">
        <v>0</v>
      </c>
      <c r="BL436" s="65">
        <v>0</v>
      </c>
      <c r="BM436" s="65">
        <v>0</v>
      </c>
      <c r="BN436" s="65">
        <v>0</v>
      </c>
      <c r="BO436" s="65">
        <v>0</v>
      </c>
      <c r="BP436" s="5"/>
      <c r="BQ436" s="5"/>
      <c r="BR436" s="5"/>
      <c r="BS436" s="63"/>
      <c r="BT436" s="65">
        <v>207.88040668278899</v>
      </c>
      <c r="BU436" s="65">
        <v>213.71189062262553</v>
      </c>
      <c r="BV436" s="144">
        <f t="shared" si="448"/>
        <v>944.41069549074439</v>
      </c>
      <c r="BW436" s="144">
        <f t="shared" si="449"/>
        <v>2033.6177929888902</v>
      </c>
      <c r="BX436" s="144">
        <f t="shared" si="450"/>
        <v>651.60509948071262</v>
      </c>
      <c r="BY436" s="5"/>
      <c r="BZ436" s="5"/>
      <c r="CA436" s="4"/>
      <c r="CB436" s="5"/>
      <c r="CC436" s="5"/>
      <c r="CD436" s="5"/>
      <c r="CE436" s="5"/>
      <c r="CF436" s="64"/>
      <c r="CG436" s="70"/>
      <c r="CH436" s="70"/>
      <c r="CI436" s="70"/>
      <c r="CJ436" s="63"/>
      <c r="CK436" s="8">
        <f t="shared" si="431"/>
        <v>8253.1775685192406</v>
      </c>
      <c r="CL436" s="202">
        <f t="shared" si="481"/>
        <v>44802.434079288374</v>
      </c>
      <c r="CM436" s="202">
        <f t="shared" si="482"/>
        <v>44802.434079288374</v>
      </c>
      <c r="CN436" s="202">
        <f t="shared" si="483"/>
        <v>44802.434079288374</v>
      </c>
      <c r="CO436" s="9">
        <f t="shared" si="484"/>
        <v>41515.453679632279</v>
      </c>
      <c r="CP436" s="9">
        <f t="shared" si="485"/>
        <v>46078.732002922494</v>
      </c>
      <c r="CQ436" s="9">
        <f t="shared" si="486"/>
        <v>37686.143997595143</v>
      </c>
      <c r="CR436" s="202">
        <f t="shared" si="487"/>
        <v>44802.434079288374</v>
      </c>
      <c r="CS436" s="202">
        <f t="shared" si="488"/>
        <v>44802.434079288374</v>
      </c>
      <c r="CT436" s="202">
        <f t="shared" si="489"/>
        <v>44802.434079288374</v>
      </c>
      <c r="CU436" s="203">
        <f t="shared" si="490"/>
        <v>0.84444289091783031</v>
      </c>
      <c r="CV436" s="203">
        <f t="shared" si="491"/>
        <v>0.84444289091783031</v>
      </c>
      <c r="CW436" s="203">
        <f t="shared" si="492"/>
        <v>0.84444289091783031</v>
      </c>
      <c r="CX436" s="19">
        <f t="shared" si="493"/>
        <v>0.83416908680152269</v>
      </c>
      <c r="CY436" s="19">
        <f t="shared" si="494"/>
        <v>0.84809704584987888</v>
      </c>
      <c r="CZ436" s="19">
        <f t="shared" si="495"/>
        <v>0.82034611554631831</v>
      </c>
      <c r="DA436" s="203">
        <f t="shared" si="496"/>
        <v>0.84444289091783031</v>
      </c>
      <c r="DB436" s="203">
        <f t="shared" si="497"/>
        <v>0.84444289091783031</v>
      </c>
      <c r="DC436" s="203">
        <f t="shared" si="498"/>
        <v>0.84444289091783031</v>
      </c>
      <c r="DD436" s="65"/>
      <c r="DE436" s="66"/>
      <c r="DF436" s="66"/>
      <c r="DG436" s="66"/>
      <c r="DH436" s="66"/>
      <c r="DI436" s="66"/>
      <c r="DJ436" s="66"/>
      <c r="DK436" s="70"/>
      <c r="DL436" s="70"/>
      <c r="DM436" s="8">
        <f t="shared" si="432"/>
        <v>0</v>
      </c>
      <c r="DN436" s="8">
        <f t="shared" si="433"/>
        <v>8253.1775685192406</v>
      </c>
      <c r="DO436" s="202">
        <f t="shared" si="415"/>
        <v>44802.434079288374</v>
      </c>
      <c r="DP436" s="202">
        <f t="shared" si="416"/>
        <v>44802.434079288374</v>
      </c>
      <c r="DQ436" s="202">
        <f t="shared" si="417"/>
        <v>44802.434079288374</v>
      </c>
      <c r="DR436" s="9">
        <f t="shared" si="418"/>
        <v>41515.453679632279</v>
      </c>
      <c r="DS436" s="9">
        <f t="shared" si="501"/>
        <v>46078.732002922494</v>
      </c>
      <c r="DT436" s="9">
        <f t="shared" si="419"/>
        <v>37686.143997595143</v>
      </c>
      <c r="DU436" s="202">
        <f t="shared" si="420"/>
        <v>44802.434079288374</v>
      </c>
      <c r="DV436" s="202">
        <f t="shared" si="421"/>
        <v>44802.434079288374</v>
      </c>
      <c r="DW436" s="202">
        <f t="shared" si="422"/>
        <v>44802.434079288374</v>
      </c>
      <c r="DX436" s="203">
        <f t="shared" si="423"/>
        <v>0.84444289091783031</v>
      </c>
      <c r="DY436" s="203">
        <f t="shared" si="424"/>
        <v>0.84444289091783031</v>
      </c>
      <c r="DZ436" s="203">
        <f t="shared" si="425"/>
        <v>0.84444289091783031</v>
      </c>
      <c r="EA436" s="19">
        <f t="shared" si="426"/>
        <v>0.83416908680152269</v>
      </c>
      <c r="EB436" s="19">
        <f t="shared" si="502"/>
        <v>0.84809704584987888</v>
      </c>
      <c r="EC436" s="19">
        <f t="shared" si="427"/>
        <v>0.82034611554631831</v>
      </c>
      <c r="ED436" s="203">
        <f t="shared" si="428"/>
        <v>0.84444289091783031</v>
      </c>
      <c r="EE436" s="203">
        <f t="shared" si="429"/>
        <v>0.84444289091783031</v>
      </c>
      <c r="EF436" s="203">
        <f t="shared" si="430"/>
        <v>0.84444289091783031</v>
      </c>
      <c r="EH436" s="58">
        <f t="shared" si="442"/>
        <v>7308.7668730284959</v>
      </c>
      <c r="EI436" s="68">
        <f t="shared" si="443"/>
        <v>0.13452070672057095</v>
      </c>
      <c r="EJ436" s="58">
        <f t="shared" si="444"/>
        <v>7308.7668730284959</v>
      </c>
      <c r="EK436" s="68">
        <f t="shared" si="443"/>
        <v>0.13452070672057095</v>
      </c>
      <c r="EL436" s="58">
        <f t="shared" si="445"/>
        <v>3585.1587735477842</v>
      </c>
      <c r="EM436" s="58">
        <f t="shared" si="446"/>
        <v>4236.7638730284971</v>
      </c>
      <c r="EN436" s="68">
        <f t="shared" si="447"/>
        <v>7.7979292582336379E-2</v>
      </c>
      <c r="EO436" s="139">
        <f t="shared" si="464"/>
        <v>0.31860645638858931</v>
      </c>
      <c r="EP436">
        <f>+(SUM(M436:O436)*EO436*(1-'[1]Tier 3 Data'!$A$2))</f>
        <v>1541.3489155056589</v>
      </c>
    </row>
    <row r="437" spans="1:146" x14ac:dyDescent="0.2">
      <c r="A437" s="43">
        <v>0</v>
      </c>
      <c r="B437" s="43">
        <v>0</v>
      </c>
      <c r="C437" s="43">
        <v>0</v>
      </c>
      <c r="D437" s="70">
        <v>2043</v>
      </c>
      <c r="E437" s="70">
        <v>10</v>
      </c>
      <c r="F437" s="2">
        <v>744</v>
      </c>
      <c r="G437" s="133">
        <f t="shared" si="458"/>
        <v>42477.947882980552</v>
      </c>
      <c r="H437" s="65">
        <v>42477.947882980552</v>
      </c>
      <c r="I437" s="133">
        <f t="shared" si="459"/>
        <v>42477.947882980552</v>
      </c>
      <c r="J437" s="133">
        <f t="shared" si="440"/>
        <v>8974.8169999999955</v>
      </c>
      <c r="K437" s="64">
        <v>8974.8169999999955</v>
      </c>
      <c r="L437" s="133">
        <f t="shared" si="441"/>
        <v>8974.8169999999955</v>
      </c>
      <c r="M437" s="65">
        <v>957.87478015852639</v>
      </c>
      <c r="N437" s="65">
        <v>2062.6102665784465</v>
      </c>
      <c r="O437" s="70">
        <v>661.02837205146704</v>
      </c>
      <c r="P437" s="200">
        <f t="shared" si="434"/>
        <v>32398.676857344024</v>
      </c>
      <c r="Q437" s="200">
        <f t="shared" si="435"/>
        <v>32398.676857344024</v>
      </c>
      <c r="R437" s="200">
        <f t="shared" si="436"/>
        <v>32398.676857344024</v>
      </c>
      <c r="S437" s="133">
        <f t="shared" si="460"/>
        <v>33304.822371365117</v>
      </c>
      <c r="T437" s="133">
        <f t="shared" si="461"/>
        <v>33304.822371365117</v>
      </c>
      <c r="U437" s="133">
        <f t="shared" si="462"/>
        <v>33304.822371365117</v>
      </c>
      <c r="V437" s="200">
        <f t="shared" si="437"/>
        <v>32398.676857344024</v>
      </c>
      <c r="W437" s="200">
        <f t="shared" si="438"/>
        <v>32398.676857344024</v>
      </c>
      <c r="X437" s="200">
        <f t="shared" si="439"/>
        <v>32398.676857344024</v>
      </c>
      <c r="Y437" s="58">
        <v>20185.759072779525</v>
      </c>
      <c r="Z437">
        <v>26358.262021928305</v>
      </c>
      <c r="AA437" s="65">
        <v>16462.924445466677</v>
      </c>
      <c r="AB437" s="200">
        <f t="shared" si="451"/>
        <v>58756.938879272333</v>
      </c>
      <c r="AC437" s="200">
        <f t="shared" si="452"/>
        <v>58756.938879272333</v>
      </c>
      <c r="AD437" s="200">
        <f t="shared" si="453"/>
        <v>58756.938879272333</v>
      </c>
      <c r="AE437" s="199">
        <f t="shared" si="517"/>
        <v>53490.581444144642</v>
      </c>
      <c r="AF437" s="199">
        <f t="shared" si="454"/>
        <v>59663.084393293422</v>
      </c>
      <c r="AG437" s="199">
        <f t="shared" si="518"/>
        <v>49767.746816831794</v>
      </c>
      <c r="AH437" s="199">
        <f t="shared" si="463"/>
        <v>54715.415605062604</v>
      </c>
      <c r="AI437" s="200">
        <f t="shared" si="455"/>
        <v>58756.938879272333</v>
      </c>
      <c r="AJ437" s="200">
        <f t="shared" si="456"/>
        <v>58756.938879272333</v>
      </c>
      <c r="AK437" s="200">
        <f t="shared" si="457"/>
        <v>58756.938879272333</v>
      </c>
      <c r="AL437" s="4"/>
      <c r="AM437" s="4"/>
      <c r="AN437" s="4"/>
      <c r="AO437" s="4"/>
      <c r="AP437" s="63"/>
      <c r="AQ437" s="18"/>
      <c r="AR437" s="18"/>
      <c r="AS437" s="18"/>
      <c r="AT437" s="18">
        <v>0</v>
      </c>
      <c r="AU437" s="133">
        <f t="shared" ref="AU437" si="527">+AU425</f>
        <v>118.17</v>
      </c>
      <c r="AV437" s="133">
        <f t="shared" ref="AV437" si="528">+AV425</f>
        <v>3225.1860000000001</v>
      </c>
      <c r="AW437" s="194"/>
      <c r="AX437" s="194"/>
      <c r="AY437" s="194"/>
      <c r="AZ437" s="194"/>
      <c r="BA437" s="194"/>
      <c r="BB437" s="194"/>
      <c r="BC437" s="65">
        <v>0</v>
      </c>
      <c r="BD437" s="65">
        <v>0</v>
      </c>
      <c r="BE437" s="65">
        <v>0</v>
      </c>
      <c r="BF437" s="65">
        <v>0</v>
      </c>
      <c r="BG437" s="65">
        <v>0</v>
      </c>
      <c r="BH437" s="65">
        <v>0</v>
      </c>
      <c r="BI437" s="65">
        <v>827.69266274439758</v>
      </c>
      <c r="BJ437" s="65">
        <v>0</v>
      </c>
      <c r="BK437" s="65">
        <v>0</v>
      </c>
      <c r="BL437" s="65">
        <v>0</v>
      </c>
      <c r="BM437" s="65">
        <v>0</v>
      </c>
      <c r="BN437" s="65">
        <v>0</v>
      </c>
      <c r="BO437" s="65">
        <v>0</v>
      </c>
      <c r="BP437" s="5"/>
      <c r="BQ437" s="5"/>
      <c r="BR437" s="5"/>
      <c r="BS437" s="63"/>
      <c r="BT437" s="65">
        <v>146.32531441419044</v>
      </c>
      <c r="BU437" s="65">
        <v>145.89692292520206</v>
      </c>
      <c r="BV437" s="144">
        <f t="shared" si="448"/>
        <v>670.51234611096845</v>
      </c>
      <c r="BW437" s="144">
        <f t="shared" si="449"/>
        <v>1443.8271866049124</v>
      </c>
      <c r="BX437" s="144">
        <f t="shared" si="450"/>
        <v>462.71986043602692</v>
      </c>
      <c r="BY437" s="5"/>
      <c r="BZ437" s="5"/>
      <c r="CA437" s="4"/>
      <c r="CB437" s="5"/>
      <c r="CC437" s="5"/>
      <c r="CD437" s="5"/>
      <c r="CE437" s="5"/>
      <c r="CF437" s="64"/>
      <c r="CG437" s="70"/>
      <c r="CH437" s="70"/>
      <c r="CI437" s="70"/>
      <c r="CJ437" s="63"/>
      <c r="CK437" s="8">
        <f t="shared" si="431"/>
        <v>7040.3302932357001</v>
      </c>
      <c r="CL437" s="202">
        <f t="shared" si="481"/>
        <v>51716.608586036629</v>
      </c>
      <c r="CM437" s="202">
        <f t="shared" si="482"/>
        <v>51716.608586036629</v>
      </c>
      <c r="CN437" s="202">
        <f t="shared" si="483"/>
        <v>51716.608586036629</v>
      </c>
      <c r="CO437" s="9">
        <f t="shared" si="484"/>
        <v>46450.251150908938</v>
      </c>
      <c r="CP437" s="9">
        <f t="shared" si="485"/>
        <v>52622.754100057718</v>
      </c>
      <c r="CQ437" s="9">
        <f t="shared" si="486"/>
        <v>42727.416523596097</v>
      </c>
      <c r="CR437" s="202">
        <f t="shared" si="487"/>
        <v>51716.608586036629</v>
      </c>
      <c r="CS437" s="202">
        <f t="shared" si="488"/>
        <v>51716.608586036629</v>
      </c>
      <c r="CT437" s="202">
        <f t="shared" si="489"/>
        <v>51716.608586036629</v>
      </c>
      <c r="CU437" s="203">
        <f t="shared" si="490"/>
        <v>0.88017874267239404</v>
      </c>
      <c r="CV437" s="203">
        <f t="shared" si="491"/>
        <v>0.88017874267239404</v>
      </c>
      <c r="CW437" s="203">
        <f t="shared" si="492"/>
        <v>0.88017874267239404</v>
      </c>
      <c r="CX437" s="19">
        <f t="shared" si="493"/>
        <v>0.86838187016928803</v>
      </c>
      <c r="CY437" s="19">
        <f t="shared" si="494"/>
        <v>0.88199855296071339</v>
      </c>
      <c r="CZ437" s="19">
        <f t="shared" si="495"/>
        <v>0.8585362861785294</v>
      </c>
      <c r="DA437" s="203">
        <f t="shared" si="496"/>
        <v>0.88017874267239404</v>
      </c>
      <c r="DB437" s="203">
        <f t="shared" si="497"/>
        <v>0.88017874267239404</v>
      </c>
      <c r="DC437" s="203">
        <f t="shared" si="498"/>
        <v>0.88017874267239404</v>
      </c>
      <c r="DD437" s="65"/>
      <c r="DE437" s="66"/>
      <c r="DF437" s="66"/>
      <c r="DG437" s="66"/>
      <c r="DH437" s="66"/>
      <c r="DI437" s="66"/>
      <c r="DJ437" s="66"/>
      <c r="DK437" s="70"/>
      <c r="DL437" s="70"/>
      <c r="DM437" s="8">
        <f t="shared" si="432"/>
        <v>0</v>
      </c>
      <c r="DN437" s="8">
        <f t="shared" si="433"/>
        <v>7040.3302932357001</v>
      </c>
      <c r="DO437" s="202">
        <f t="shared" si="415"/>
        <v>51716.608586036629</v>
      </c>
      <c r="DP437" s="202">
        <f t="shared" si="416"/>
        <v>51716.608586036629</v>
      </c>
      <c r="DQ437" s="202">
        <f t="shared" si="417"/>
        <v>51716.608586036629</v>
      </c>
      <c r="DR437" s="9">
        <f t="shared" si="418"/>
        <v>46450.251150908938</v>
      </c>
      <c r="DS437" s="9">
        <f t="shared" si="501"/>
        <v>52622.754100057718</v>
      </c>
      <c r="DT437" s="9">
        <f t="shared" si="419"/>
        <v>42727.416523596097</v>
      </c>
      <c r="DU437" s="202">
        <f t="shared" si="420"/>
        <v>51716.608586036629</v>
      </c>
      <c r="DV437" s="202">
        <f t="shared" si="421"/>
        <v>51716.608586036629</v>
      </c>
      <c r="DW437" s="202">
        <f t="shared" si="422"/>
        <v>51716.608586036629</v>
      </c>
      <c r="DX437" s="203">
        <f t="shared" si="423"/>
        <v>0.88017874267239404</v>
      </c>
      <c r="DY437" s="203">
        <f t="shared" si="424"/>
        <v>0.88017874267239404</v>
      </c>
      <c r="DZ437" s="203">
        <f t="shared" si="425"/>
        <v>0.88017874267239404</v>
      </c>
      <c r="EA437" s="19">
        <f t="shared" si="426"/>
        <v>0.86838187016928803</v>
      </c>
      <c r="EB437" s="19">
        <f t="shared" si="502"/>
        <v>0.88199855296071339</v>
      </c>
      <c r="EC437" s="19">
        <f t="shared" si="427"/>
        <v>0.8585362861785294</v>
      </c>
      <c r="ED437" s="203">
        <f t="shared" si="428"/>
        <v>0.88017874267239404</v>
      </c>
      <c r="EE437" s="203">
        <f t="shared" si="429"/>
        <v>0.88017874267239404</v>
      </c>
      <c r="EF437" s="203">
        <f t="shared" si="430"/>
        <v>0.88017874267239404</v>
      </c>
      <c r="EH437" s="58">
        <f t="shared" si="442"/>
        <v>6369.8179471247313</v>
      </c>
      <c r="EI437" s="68">
        <f t="shared" si="443"/>
        <v>0.10676313522672566</v>
      </c>
      <c r="EJ437" s="58">
        <f t="shared" si="444"/>
        <v>6369.8179471247313</v>
      </c>
      <c r="EK437" s="68">
        <f t="shared" si="443"/>
        <v>0.10676313522672566</v>
      </c>
      <c r="EL437" s="58">
        <f t="shared" si="445"/>
        <v>2563.7420866887023</v>
      </c>
      <c r="EM437" s="58">
        <f t="shared" si="446"/>
        <v>3026.4619471247292</v>
      </c>
      <c r="EN437" s="68">
        <f t="shared" si="447"/>
        <v>5.0725871414467577E-2</v>
      </c>
      <c r="EO437" s="139">
        <f t="shared" si="464"/>
        <v>0.35739486552628164</v>
      </c>
      <c r="EP437">
        <f>+(SUM(M437:O437)*EO437*(1-'[1]Tier 3 Data'!$A$2))</f>
        <v>1227.5984756939426</v>
      </c>
    </row>
    <row r="438" spans="1:146" x14ac:dyDescent="0.2">
      <c r="A438" s="43">
        <v>0</v>
      </c>
      <c r="B438" s="43">
        <v>0</v>
      </c>
      <c r="C438" s="43">
        <v>0</v>
      </c>
      <c r="D438" s="70">
        <v>2043</v>
      </c>
      <c r="E438" s="70">
        <v>11</v>
      </c>
      <c r="F438" s="2">
        <v>721</v>
      </c>
      <c r="G438" s="133">
        <f t="shared" si="458"/>
        <v>44943.11445969229</v>
      </c>
      <c r="H438" s="65">
        <v>44943.11445969229</v>
      </c>
      <c r="I438" s="133">
        <f t="shared" si="459"/>
        <v>44943.11445969229</v>
      </c>
      <c r="J438" s="133">
        <f t="shared" si="440"/>
        <v>9014.6259999999947</v>
      </c>
      <c r="K438" s="64">
        <v>9014.6259999999947</v>
      </c>
      <c r="L438" s="133">
        <f t="shared" si="441"/>
        <v>9014.6259999999947</v>
      </c>
      <c r="M438" s="65">
        <v>403.62878784909356</v>
      </c>
      <c r="N438" s="65">
        <v>869.14166543394356</v>
      </c>
      <c r="O438" s="70">
        <v>278.6152900953843</v>
      </c>
      <c r="P438" s="200">
        <f t="shared" si="434"/>
        <v>35463.072736678769</v>
      </c>
      <c r="Q438" s="200">
        <f t="shared" si="435"/>
        <v>35463.072736678769</v>
      </c>
      <c r="R438" s="200">
        <f t="shared" si="436"/>
        <v>35463.072736678769</v>
      </c>
      <c r="S438" s="133">
        <f t="shared" si="460"/>
        <v>35844.903872663679</v>
      </c>
      <c r="T438" s="133">
        <f t="shared" si="461"/>
        <v>35844.903872663679</v>
      </c>
      <c r="U438" s="133">
        <f t="shared" si="462"/>
        <v>35844.903872663679</v>
      </c>
      <c r="V438" s="200">
        <f t="shared" si="437"/>
        <v>35463.072736678769</v>
      </c>
      <c r="W438" s="200">
        <f t="shared" si="438"/>
        <v>35463.072736678769</v>
      </c>
      <c r="X438" s="200">
        <f t="shared" si="439"/>
        <v>35463.072736678769</v>
      </c>
      <c r="Y438" s="58">
        <v>27733.163638537942</v>
      </c>
      <c r="Z438">
        <v>39235.035253063019</v>
      </c>
      <c r="AA438" s="65">
        <v>23731.195633802574</v>
      </c>
      <c r="AB438" s="200">
        <f t="shared" si="451"/>
        <v>74698.10798974178</v>
      </c>
      <c r="AC438" s="200">
        <f t="shared" si="452"/>
        <v>74698.10798974178</v>
      </c>
      <c r="AD438" s="200">
        <f t="shared" si="453"/>
        <v>74698.10798974178</v>
      </c>
      <c r="AE438" s="199">
        <f t="shared" si="517"/>
        <v>63578.067511201618</v>
      </c>
      <c r="AF438" s="199">
        <f t="shared" si="454"/>
        <v>75079.939125726698</v>
      </c>
      <c r="AG438" s="199">
        <f t="shared" si="518"/>
        <v>59576.099506466257</v>
      </c>
      <c r="AH438" s="199">
        <f t="shared" si="463"/>
        <v>67328.01931609647</v>
      </c>
      <c r="AI438" s="200">
        <f t="shared" si="455"/>
        <v>74698.10798974178</v>
      </c>
      <c r="AJ438" s="200">
        <f t="shared" si="456"/>
        <v>74698.10798974178</v>
      </c>
      <c r="AK438" s="200">
        <f t="shared" si="457"/>
        <v>74698.10798974178</v>
      </c>
      <c r="AL438" s="4"/>
      <c r="AM438" s="4"/>
      <c r="AN438" s="4"/>
      <c r="AO438" s="4"/>
      <c r="AP438" s="63"/>
      <c r="AQ438" s="18"/>
      <c r="AR438" s="18"/>
      <c r="AS438" s="18"/>
      <c r="AT438" s="18">
        <v>0</v>
      </c>
      <c r="AU438" s="133">
        <f t="shared" ref="AU438" si="529">+AU426</f>
        <v>104.364</v>
      </c>
      <c r="AV438" s="133">
        <f t="shared" ref="AV438" si="530">+AV426</f>
        <v>3268.3739999999998</v>
      </c>
      <c r="AW438" s="194"/>
      <c r="AX438" s="194"/>
      <c r="AY438" s="194"/>
      <c r="AZ438" s="194"/>
      <c r="BA438" s="194"/>
      <c r="BB438" s="194"/>
      <c r="BC438" s="65">
        <v>0</v>
      </c>
      <c r="BD438" s="65">
        <v>0</v>
      </c>
      <c r="BE438" s="65">
        <v>0</v>
      </c>
      <c r="BF438" s="65">
        <v>0</v>
      </c>
      <c r="BG438" s="65">
        <v>0</v>
      </c>
      <c r="BH438" s="65">
        <v>0</v>
      </c>
      <c r="BI438" s="65">
        <v>605.80845005115088</v>
      </c>
      <c r="BJ438" s="65">
        <v>0</v>
      </c>
      <c r="BK438" s="65">
        <v>0</v>
      </c>
      <c r="BL438" s="65">
        <v>0</v>
      </c>
      <c r="BM438" s="65">
        <v>0</v>
      </c>
      <c r="BN438" s="65">
        <v>0</v>
      </c>
      <c r="BO438" s="65">
        <v>0</v>
      </c>
      <c r="BP438" s="5"/>
      <c r="BQ438" s="5"/>
      <c r="BR438" s="5"/>
      <c r="BS438" s="63"/>
      <c r="BT438" s="65">
        <v>100.92677620437614</v>
      </c>
      <c r="BU438" s="65">
        <v>112.24838543066657</v>
      </c>
      <c r="BV438" s="144">
        <f t="shared" si="448"/>
        <v>282.54015149436549</v>
      </c>
      <c r="BW438" s="144">
        <f t="shared" si="449"/>
        <v>608.39916580376041</v>
      </c>
      <c r="BX438" s="144">
        <f t="shared" si="450"/>
        <v>195.03070306676901</v>
      </c>
      <c r="BY438" s="5"/>
      <c r="BZ438" s="5"/>
      <c r="CA438" s="4"/>
      <c r="CB438" s="5"/>
      <c r="CC438" s="5"/>
      <c r="CD438" s="5"/>
      <c r="CE438" s="5"/>
      <c r="CF438" s="64"/>
      <c r="CG438" s="70"/>
      <c r="CH438" s="70"/>
      <c r="CI438" s="70"/>
      <c r="CJ438" s="63"/>
      <c r="CK438" s="8">
        <f t="shared" si="431"/>
        <v>5277.6916320510882</v>
      </c>
      <c r="CL438" s="202">
        <f t="shared" si="481"/>
        <v>69420.416357690687</v>
      </c>
      <c r="CM438" s="202">
        <f t="shared" si="482"/>
        <v>69420.416357690687</v>
      </c>
      <c r="CN438" s="202">
        <f t="shared" si="483"/>
        <v>69420.416357690687</v>
      </c>
      <c r="CO438" s="9">
        <f t="shared" si="484"/>
        <v>58300.375879150532</v>
      </c>
      <c r="CP438" s="9">
        <f t="shared" si="485"/>
        <v>69802.247493675604</v>
      </c>
      <c r="CQ438" s="9">
        <f t="shared" si="486"/>
        <v>54298.40787441517</v>
      </c>
      <c r="CR438" s="202">
        <f t="shared" si="487"/>
        <v>69420.416357690687</v>
      </c>
      <c r="CS438" s="202">
        <f t="shared" si="488"/>
        <v>69420.416357690687</v>
      </c>
      <c r="CT438" s="202">
        <f t="shared" si="489"/>
        <v>69420.416357690687</v>
      </c>
      <c r="CU438" s="203">
        <f t="shared" si="490"/>
        <v>0.92934638139996972</v>
      </c>
      <c r="CV438" s="203">
        <f t="shared" si="491"/>
        <v>0.92934638139996972</v>
      </c>
      <c r="CW438" s="203">
        <f t="shared" si="492"/>
        <v>0.92934638139996972</v>
      </c>
      <c r="CX438" s="19">
        <f t="shared" si="493"/>
        <v>0.9169888007193483</v>
      </c>
      <c r="CY438" s="19">
        <f t="shared" si="494"/>
        <v>0.92970570176924061</v>
      </c>
      <c r="CZ438" s="19">
        <f t="shared" si="495"/>
        <v>0.9114126021043345</v>
      </c>
      <c r="DA438" s="203">
        <f t="shared" si="496"/>
        <v>0.92934638139996972</v>
      </c>
      <c r="DB438" s="203">
        <f t="shared" si="497"/>
        <v>0.92934638139996972</v>
      </c>
      <c r="DC438" s="203">
        <f t="shared" si="498"/>
        <v>0.92934638139996972</v>
      </c>
      <c r="DD438" s="65"/>
      <c r="DE438" s="66"/>
      <c r="DF438" s="66"/>
      <c r="DG438" s="66"/>
      <c r="DH438" s="66"/>
      <c r="DI438" s="66"/>
      <c r="DJ438" s="66"/>
      <c r="DK438" s="70"/>
      <c r="DL438" s="70"/>
      <c r="DM438" s="8">
        <f t="shared" si="432"/>
        <v>0</v>
      </c>
      <c r="DN438" s="8">
        <f t="shared" si="433"/>
        <v>5277.6916320510882</v>
      </c>
      <c r="DO438" s="202">
        <f t="shared" si="415"/>
        <v>69420.416357690687</v>
      </c>
      <c r="DP438" s="202">
        <f t="shared" si="416"/>
        <v>69420.416357690687</v>
      </c>
      <c r="DQ438" s="202">
        <f t="shared" si="417"/>
        <v>69420.416357690687</v>
      </c>
      <c r="DR438" s="9">
        <f t="shared" si="418"/>
        <v>58300.375879150532</v>
      </c>
      <c r="DS438" s="9">
        <f t="shared" si="501"/>
        <v>69802.247493675604</v>
      </c>
      <c r="DT438" s="9">
        <f t="shared" si="419"/>
        <v>54298.40787441517</v>
      </c>
      <c r="DU438" s="202">
        <f t="shared" si="420"/>
        <v>69420.416357690687</v>
      </c>
      <c r="DV438" s="202">
        <f t="shared" si="421"/>
        <v>69420.416357690687</v>
      </c>
      <c r="DW438" s="202">
        <f t="shared" si="422"/>
        <v>69420.416357690687</v>
      </c>
      <c r="DX438" s="203">
        <f t="shared" si="423"/>
        <v>0.92934638139996972</v>
      </c>
      <c r="DY438" s="203">
        <f t="shared" si="424"/>
        <v>0.92934638139996972</v>
      </c>
      <c r="DZ438" s="203">
        <f t="shared" si="425"/>
        <v>0.92934638139996972</v>
      </c>
      <c r="EA438" s="19">
        <f t="shared" si="426"/>
        <v>0.9169888007193483</v>
      </c>
      <c r="EB438" s="19">
        <f t="shared" si="502"/>
        <v>0.92970570176924061</v>
      </c>
      <c r="EC438" s="19">
        <f t="shared" si="427"/>
        <v>0.9114126021043345</v>
      </c>
      <c r="ED438" s="203">
        <f t="shared" si="428"/>
        <v>0.92934638139996972</v>
      </c>
      <c r="EE438" s="203">
        <f t="shared" si="429"/>
        <v>0.92934638139996972</v>
      </c>
      <c r="EF438" s="203">
        <f t="shared" si="430"/>
        <v>0.92934638139996972</v>
      </c>
      <c r="EH438" s="58">
        <f t="shared" si="442"/>
        <v>4995.1514805567231</v>
      </c>
      <c r="EI438" s="68">
        <f t="shared" si="443"/>
        <v>6.6531107226818431E-2</v>
      </c>
      <c r="EJ438" s="58">
        <f t="shared" si="444"/>
        <v>4995.1514805567231</v>
      </c>
      <c r="EK438" s="68">
        <f t="shared" si="443"/>
        <v>6.6531107226818431E-2</v>
      </c>
      <c r="EL438" s="58">
        <f t="shared" si="445"/>
        <v>1427.3827774899539</v>
      </c>
      <c r="EM438" s="58">
        <f t="shared" si="446"/>
        <v>1622.413480556723</v>
      </c>
      <c r="EN438" s="68">
        <f t="shared" si="447"/>
        <v>2.1609147522614214E-2</v>
      </c>
      <c r="EO438" s="139">
        <f t="shared" si="464"/>
        <v>0.4050825009776523</v>
      </c>
      <c r="EP438">
        <f>+(SUM(M438:O438)*EO438*(1-'[1]Tier 3 Data'!$A$2))</f>
        <v>586.33378937591533</v>
      </c>
    </row>
    <row r="439" spans="1:146" x14ac:dyDescent="0.2">
      <c r="A439" s="43">
        <v>0</v>
      </c>
      <c r="B439" s="43">
        <v>0</v>
      </c>
      <c r="C439" s="43">
        <v>0</v>
      </c>
      <c r="D439" s="70">
        <v>2043</v>
      </c>
      <c r="E439" s="70">
        <v>12</v>
      </c>
      <c r="F439" s="2">
        <v>744</v>
      </c>
      <c r="G439" s="133">
        <f t="shared" si="458"/>
        <v>51044.803910288196</v>
      </c>
      <c r="H439" s="65">
        <v>51044.803910288196</v>
      </c>
      <c r="I439" s="133">
        <f t="shared" si="459"/>
        <v>51044.803910288196</v>
      </c>
      <c r="J439" s="133">
        <f t="shared" si="440"/>
        <v>9054.434999999994</v>
      </c>
      <c r="K439" s="64">
        <v>9054.434999999994</v>
      </c>
      <c r="L439" s="133">
        <f t="shared" si="441"/>
        <v>9054.434999999994</v>
      </c>
      <c r="M439" s="65">
        <v>248.30627982623952</v>
      </c>
      <c r="N439" s="65">
        <v>534.68270867382159</v>
      </c>
      <c r="O439" s="70">
        <v>171.42788264157974</v>
      </c>
      <c r="P439" s="200">
        <f t="shared" si="434"/>
        <v>41704.043848945716</v>
      </c>
      <c r="Q439" s="200">
        <f t="shared" si="435"/>
        <v>41704.043848945716</v>
      </c>
      <c r="R439" s="200">
        <f t="shared" si="436"/>
        <v>41704.043848945716</v>
      </c>
      <c r="S439" s="133">
        <f t="shared" si="460"/>
        <v>41938.94054549573</v>
      </c>
      <c r="T439" s="133">
        <f t="shared" si="461"/>
        <v>41938.94054549573</v>
      </c>
      <c r="U439" s="133">
        <f t="shared" si="462"/>
        <v>41938.94054549573</v>
      </c>
      <c r="V439" s="200">
        <f t="shared" si="437"/>
        <v>41704.043848945716</v>
      </c>
      <c r="W439" s="200">
        <f t="shared" si="438"/>
        <v>41704.043848945716</v>
      </c>
      <c r="X439" s="200">
        <f t="shared" si="439"/>
        <v>41704.043848945716</v>
      </c>
      <c r="Y439" s="58">
        <v>30083.938900213001</v>
      </c>
      <c r="Z439">
        <v>41976.874012586835</v>
      </c>
      <c r="AA439" s="65">
        <v>25544.401799008756</v>
      </c>
      <c r="AB439" s="200">
        <f t="shared" si="451"/>
        <v>83680.917861532551</v>
      </c>
      <c r="AC439" s="200">
        <f t="shared" si="452"/>
        <v>83680.917861532551</v>
      </c>
      <c r="AD439" s="200">
        <f t="shared" si="453"/>
        <v>83680.917861532551</v>
      </c>
      <c r="AE439" s="199">
        <f t="shared" si="517"/>
        <v>72022.879445708735</v>
      </c>
      <c r="AF439" s="199">
        <f t="shared" si="454"/>
        <v>83915.814558082566</v>
      </c>
      <c r="AG439" s="199">
        <f t="shared" si="518"/>
        <v>67483.34234450449</v>
      </c>
      <c r="AH439" s="199">
        <f t="shared" si="463"/>
        <v>75699.578451293521</v>
      </c>
      <c r="AI439" s="200">
        <f t="shared" si="455"/>
        <v>83680.917861532551</v>
      </c>
      <c r="AJ439" s="200">
        <f t="shared" si="456"/>
        <v>83680.917861532551</v>
      </c>
      <c r="AK439" s="200">
        <f t="shared" si="457"/>
        <v>83680.917861532551</v>
      </c>
      <c r="AL439" s="4"/>
      <c r="AM439" s="4"/>
      <c r="AN439" s="4"/>
      <c r="AO439" s="4"/>
      <c r="AP439" s="63"/>
      <c r="AQ439" s="18"/>
      <c r="AR439" s="18"/>
      <c r="AS439" s="18"/>
      <c r="AT439" s="18">
        <v>0</v>
      </c>
      <c r="AU439" s="133">
        <f t="shared" ref="AU439" si="531">+AU427</f>
        <v>105.066</v>
      </c>
      <c r="AV439" s="133">
        <f t="shared" ref="AV439" si="532">+AV427</f>
        <v>3218.8470000000002</v>
      </c>
      <c r="AW439" s="194"/>
      <c r="AX439" s="194"/>
      <c r="AY439" s="194"/>
      <c r="AZ439" s="194"/>
      <c r="BA439" s="194"/>
      <c r="BB439" s="194"/>
      <c r="BC439" s="65">
        <v>0</v>
      </c>
      <c r="BD439" s="65">
        <v>0</v>
      </c>
      <c r="BE439" s="65">
        <v>0</v>
      </c>
      <c r="BF439" s="65">
        <v>0</v>
      </c>
      <c r="BG439" s="65">
        <v>0</v>
      </c>
      <c r="BH439" s="65">
        <v>0</v>
      </c>
      <c r="BI439" s="65">
        <v>283.88734626489878</v>
      </c>
      <c r="BJ439" s="65">
        <v>0</v>
      </c>
      <c r="BK439" s="65">
        <v>0</v>
      </c>
      <c r="BL439" s="65">
        <v>0</v>
      </c>
      <c r="BM439" s="65">
        <v>0</v>
      </c>
      <c r="BN439" s="65">
        <v>0</v>
      </c>
      <c r="BO439" s="65">
        <v>0</v>
      </c>
      <c r="BP439" s="5"/>
      <c r="BQ439" s="5"/>
      <c r="BR439" s="5"/>
      <c r="BS439" s="63"/>
      <c r="BT439" s="65">
        <v>92.923442792040149</v>
      </c>
      <c r="BU439" s="65">
        <v>98.78904504169715</v>
      </c>
      <c r="BV439" s="144">
        <f t="shared" si="448"/>
        <v>173.81439587836766</v>
      </c>
      <c r="BW439" s="144">
        <f t="shared" si="449"/>
        <v>374.27789607167512</v>
      </c>
      <c r="BX439" s="144">
        <f t="shared" si="450"/>
        <v>119.99951784910581</v>
      </c>
      <c r="BY439" s="5"/>
      <c r="BZ439" s="5"/>
      <c r="CA439" s="4"/>
      <c r="CB439" s="5"/>
      <c r="CC439" s="5"/>
      <c r="CD439" s="5"/>
      <c r="CE439" s="5"/>
      <c r="CF439" s="64"/>
      <c r="CG439" s="70"/>
      <c r="CH439" s="70"/>
      <c r="CI439" s="70"/>
      <c r="CJ439" s="63"/>
      <c r="CK439" s="8">
        <f t="shared" si="431"/>
        <v>4467.6046438977846</v>
      </c>
      <c r="CL439" s="202">
        <f t="shared" si="481"/>
        <v>79213.313217634772</v>
      </c>
      <c r="CM439" s="202">
        <f t="shared" si="482"/>
        <v>79213.313217634772</v>
      </c>
      <c r="CN439" s="202">
        <f t="shared" si="483"/>
        <v>79213.313217634772</v>
      </c>
      <c r="CO439" s="9">
        <f t="shared" si="484"/>
        <v>67555.274801810956</v>
      </c>
      <c r="CP439" s="9">
        <f t="shared" si="485"/>
        <v>79448.209914184787</v>
      </c>
      <c r="CQ439" s="9">
        <f t="shared" si="486"/>
        <v>63015.737700606704</v>
      </c>
      <c r="CR439" s="202">
        <f t="shared" si="487"/>
        <v>79213.313217634772</v>
      </c>
      <c r="CS439" s="202">
        <f t="shared" si="488"/>
        <v>79213.313217634772</v>
      </c>
      <c r="CT439" s="202">
        <f t="shared" si="489"/>
        <v>79213.313217634772</v>
      </c>
      <c r="CU439" s="203">
        <f t="shared" si="490"/>
        <v>0.94661142876933591</v>
      </c>
      <c r="CV439" s="203">
        <f t="shared" si="491"/>
        <v>0.94661142876933591</v>
      </c>
      <c r="CW439" s="203">
        <f t="shared" si="492"/>
        <v>0.94661142876933591</v>
      </c>
      <c r="CX439" s="19">
        <f t="shared" si="493"/>
        <v>0.93796964689164519</v>
      </c>
      <c r="CY439" s="19">
        <f t="shared" si="494"/>
        <v>0.94676087377063456</v>
      </c>
      <c r="CZ439" s="19">
        <f t="shared" si="495"/>
        <v>0.93379692693508676</v>
      </c>
      <c r="DA439" s="203">
        <f t="shared" si="496"/>
        <v>0.94661142876933591</v>
      </c>
      <c r="DB439" s="203">
        <f t="shared" si="497"/>
        <v>0.94661142876933591</v>
      </c>
      <c r="DC439" s="203">
        <f t="shared" si="498"/>
        <v>0.94661142876933591</v>
      </c>
      <c r="DD439" s="65"/>
      <c r="DE439" s="66"/>
      <c r="DF439" s="66"/>
      <c r="DG439" s="66"/>
      <c r="DH439" s="66"/>
      <c r="DI439" s="66"/>
      <c r="DJ439" s="66"/>
      <c r="DK439" s="70"/>
      <c r="DL439" s="70"/>
      <c r="DM439" s="8">
        <f t="shared" si="432"/>
        <v>0</v>
      </c>
      <c r="DN439" s="8">
        <f t="shared" si="433"/>
        <v>4467.6046438977846</v>
      </c>
      <c r="DO439" s="202">
        <f t="shared" si="415"/>
        <v>79213.313217634772</v>
      </c>
      <c r="DP439" s="202">
        <f t="shared" si="416"/>
        <v>79213.313217634772</v>
      </c>
      <c r="DQ439" s="202">
        <f t="shared" si="417"/>
        <v>79213.313217634772</v>
      </c>
      <c r="DR439" s="9">
        <f t="shared" si="418"/>
        <v>67555.274801810956</v>
      </c>
      <c r="DS439" s="9">
        <f t="shared" si="501"/>
        <v>79448.209914184787</v>
      </c>
      <c r="DT439" s="9">
        <f t="shared" si="419"/>
        <v>63015.737700606704</v>
      </c>
      <c r="DU439" s="202">
        <f t="shared" si="420"/>
        <v>79213.313217634772</v>
      </c>
      <c r="DV439" s="202">
        <f t="shared" si="421"/>
        <v>79213.313217634772</v>
      </c>
      <c r="DW439" s="202">
        <f t="shared" si="422"/>
        <v>79213.313217634772</v>
      </c>
      <c r="DX439" s="203">
        <f t="shared" si="423"/>
        <v>0.94661142876933591</v>
      </c>
      <c r="DY439" s="203">
        <f t="shared" si="424"/>
        <v>0.94661142876933591</v>
      </c>
      <c r="DZ439" s="203">
        <f t="shared" si="425"/>
        <v>0.94661142876933591</v>
      </c>
      <c r="EA439" s="19">
        <f t="shared" si="426"/>
        <v>0.93796964689164519</v>
      </c>
      <c r="EB439" s="19">
        <f t="shared" si="502"/>
        <v>0.94676087377063456</v>
      </c>
      <c r="EC439" s="19">
        <f t="shared" si="427"/>
        <v>0.93379692693508676</v>
      </c>
      <c r="ED439" s="203">
        <f t="shared" si="428"/>
        <v>0.94661142876933591</v>
      </c>
      <c r="EE439" s="203">
        <f t="shared" si="429"/>
        <v>0.94661142876933591</v>
      </c>
      <c r="EF439" s="203">
        <f t="shared" si="430"/>
        <v>0.94661142876933591</v>
      </c>
      <c r="EH439" s="58">
        <f t="shared" si="442"/>
        <v>4293.790248019417</v>
      </c>
      <c r="EI439" s="68">
        <f t="shared" si="443"/>
        <v>5.1167831363270126E-2</v>
      </c>
      <c r="EJ439" s="58">
        <f t="shared" si="444"/>
        <v>4293.790248019417</v>
      </c>
      <c r="EK439" s="68">
        <f t="shared" si="443"/>
        <v>5.1167831363270126E-2</v>
      </c>
      <c r="EL439" s="58">
        <f t="shared" si="445"/>
        <v>849.87773017031122</v>
      </c>
      <c r="EM439" s="58">
        <f t="shared" si="446"/>
        <v>969.87724801941704</v>
      </c>
      <c r="EN439" s="68">
        <f t="shared" si="447"/>
        <v>1.155774097084065E-2</v>
      </c>
      <c r="EO439" s="139">
        <f t="shared" si="464"/>
        <v>0.32946562535829382</v>
      </c>
      <c r="EP439">
        <f>+(SUM(M439:O439)*EO439*(1-'[1]Tier 3 Data'!$A$2))</f>
        <v>293.37956536587336</v>
      </c>
    </row>
    <row r="440" spans="1:146" x14ac:dyDescent="0.2">
      <c r="A440" s="43">
        <v>0</v>
      </c>
      <c r="B440" s="43">
        <v>0</v>
      </c>
      <c r="C440" s="43">
        <v>0</v>
      </c>
      <c r="D440" s="70">
        <v>2044</v>
      </c>
      <c r="E440" s="70">
        <v>1</v>
      </c>
      <c r="F440" s="2">
        <v>744</v>
      </c>
      <c r="G440" s="133">
        <f t="shared" si="458"/>
        <v>52801.201979247839</v>
      </c>
      <c r="H440" s="65">
        <v>52801.201979247839</v>
      </c>
      <c r="I440" s="133">
        <f t="shared" si="459"/>
        <v>52801.201979247839</v>
      </c>
      <c r="J440" s="133">
        <f t="shared" si="440"/>
        <v>9094.2439999999933</v>
      </c>
      <c r="K440" s="64">
        <v>9094.2439999999933</v>
      </c>
      <c r="L440" s="133">
        <f t="shared" si="441"/>
        <v>9094.2439999999933</v>
      </c>
      <c r="M440" s="65">
        <v>350.79787520860157</v>
      </c>
      <c r="N440" s="65">
        <v>755.37984075477868</v>
      </c>
      <c r="O440" s="70">
        <v>242.2032914350159</v>
      </c>
      <c r="P440" s="200">
        <f t="shared" si="434"/>
        <v>43302.443677028328</v>
      </c>
      <c r="Q440" s="200">
        <f t="shared" si="435"/>
        <v>43302.443677028328</v>
      </c>
      <c r="R440" s="200">
        <f t="shared" si="436"/>
        <v>43302.443677028328</v>
      </c>
      <c r="S440" s="133">
        <f t="shared" si="460"/>
        <v>43634.29699181734</v>
      </c>
      <c r="T440" s="133">
        <f t="shared" si="461"/>
        <v>43634.29699181734</v>
      </c>
      <c r="U440" s="133">
        <f t="shared" si="462"/>
        <v>43634.29699181734</v>
      </c>
      <c r="V440" s="200">
        <f t="shared" si="437"/>
        <v>43302.443677028328</v>
      </c>
      <c r="W440" s="200">
        <f t="shared" si="438"/>
        <v>43302.443677028328</v>
      </c>
      <c r="X440" s="200">
        <f t="shared" si="439"/>
        <v>43302.443677028328</v>
      </c>
      <c r="Y440" s="58">
        <v>31274.012989957908</v>
      </c>
      <c r="Z440">
        <v>44334.274728799588</v>
      </c>
      <c r="AA440" s="65">
        <v>26849.421745708642</v>
      </c>
      <c r="AB440" s="200">
        <f t="shared" si="451"/>
        <v>87636.718405827909</v>
      </c>
      <c r="AC440" s="200">
        <f t="shared" si="452"/>
        <v>87636.718405827909</v>
      </c>
      <c r="AD440" s="200">
        <f t="shared" si="453"/>
        <v>87636.718405827909</v>
      </c>
      <c r="AE440" s="199">
        <f t="shared" si="517"/>
        <v>74908.309981775252</v>
      </c>
      <c r="AF440" s="199">
        <f t="shared" si="454"/>
        <v>87968.571720616921</v>
      </c>
      <c r="AG440" s="199">
        <f t="shared" si="518"/>
        <v>70483.718737525982</v>
      </c>
      <c r="AH440" s="199">
        <f t="shared" si="463"/>
        <v>79226.145229071451</v>
      </c>
      <c r="AI440" s="200">
        <f t="shared" si="455"/>
        <v>87636.718405827909</v>
      </c>
      <c r="AJ440" s="200">
        <f t="shared" si="456"/>
        <v>87636.718405827909</v>
      </c>
      <c r="AK440" s="200">
        <f t="shared" si="457"/>
        <v>87636.718405827909</v>
      </c>
      <c r="AL440" s="4"/>
      <c r="AM440" s="4"/>
      <c r="AN440" s="4"/>
      <c r="AO440" s="4"/>
      <c r="AP440" s="63"/>
      <c r="AQ440" s="18"/>
      <c r="AR440" s="18"/>
      <c r="AS440" s="18"/>
      <c r="AT440" s="18">
        <v>0</v>
      </c>
      <c r="AU440" s="133">
        <f t="shared" ref="AU440" si="533">+AU428</f>
        <v>98.513999999999996</v>
      </c>
      <c r="AV440" s="133">
        <f t="shared" ref="AV440" si="534">+AV428</f>
        <v>3278.6750000000002</v>
      </c>
      <c r="AW440" s="194"/>
      <c r="AX440" s="194"/>
      <c r="AY440" s="194"/>
      <c r="AZ440" s="194"/>
      <c r="BA440" s="194"/>
      <c r="BB440" s="194"/>
      <c r="BC440" s="65">
        <v>0</v>
      </c>
      <c r="BD440" s="65">
        <v>0</v>
      </c>
      <c r="BE440" s="65">
        <v>0</v>
      </c>
      <c r="BF440" s="65">
        <v>0</v>
      </c>
      <c r="BG440" s="65">
        <v>0</v>
      </c>
      <c r="BH440" s="65">
        <v>0</v>
      </c>
      <c r="BI440" s="65">
        <v>390.47450693251545</v>
      </c>
      <c r="BJ440" s="65">
        <v>0</v>
      </c>
      <c r="BK440" s="65">
        <v>0</v>
      </c>
      <c r="BL440" s="65">
        <v>0</v>
      </c>
      <c r="BM440" s="65">
        <v>0</v>
      </c>
      <c r="BN440" s="65">
        <v>0</v>
      </c>
      <c r="BO440" s="65">
        <v>0</v>
      </c>
      <c r="BP440" s="5"/>
      <c r="BQ440" s="5"/>
      <c r="BR440" s="5"/>
      <c r="BS440" s="63"/>
      <c r="BT440" s="65">
        <v>120.43122801428586</v>
      </c>
      <c r="BU440" s="65">
        <v>137.64913674494355</v>
      </c>
      <c r="BV440" s="144">
        <f t="shared" si="448"/>
        <v>245.55851264602109</v>
      </c>
      <c r="BW440" s="144">
        <f t="shared" si="449"/>
        <v>528.76588852834504</v>
      </c>
      <c r="BX440" s="144">
        <f t="shared" si="450"/>
        <v>169.54230400451112</v>
      </c>
      <c r="BY440" s="5"/>
      <c r="BZ440" s="5"/>
      <c r="CA440" s="4"/>
      <c r="CB440" s="5"/>
      <c r="CC440" s="5"/>
      <c r="CD440" s="5"/>
      <c r="CE440" s="5"/>
      <c r="CF440" s="64"/>
      <c r="CG440" s="70"/>
      <c r="CH440" s="70"/>
      <c r="CI440" s="70"/>
      <c r="CJ440" s="63"/>
      <c r="CK440" s="8">
        <f t="shared" si="431"/>
        <v>4969.610576870622</v>
      </c>
      <c r="CL440" s="202">
        <f t="shared" si="481"/>
        <v>82667.107828957291</v>
      </c>
      <c r="CM440" s="202">
        <f t="shared" si="482"/>
        <v>82667.107828957291</v>
      </c>
      <c r="CN440" s="202">
        <f t="shared" si="483"/>
        <v>82667.107828957291</v>
      </c>
      <c r="CO440" s="9">
        <f t="shared" si="484"/>
        <v>69938.699404904633</v>
      </c>
      <c r="CP440" s="9">
        <f t="shared" si="485"/>
        <v>82998.961143746303</v>
      </c>
      <c r="CQ440" s="9">
        <f t="shared" si="486"/>
        <v>65514.108160655363</v>
      </c>
      <c r="CR440" s="202">
        <f t="shared" si="487"/>
        <v>82667.107828957291</v>
      </c>
      <c r="CS440" s="202">
        <f t="shared" si="488"/>
        <v>82667.107828957291</v>
      </c>
      <c r="CT440" s="202">
        <f t="shared" si="489"/>
        <v>82667.107828957291</v>
      </c>
      <c r="CU440" s="203">
        <f t="shared" si="490"/>
        <v>0.94329305492867321</v>
      </c>
      <c r="CV440" s="203">
        <f t="shared" si="491"/>
        <v>0.94329305492867321</v>
      </c>
      <c r="CW440" s="203">
        <f t="shared" si="492"/>
        <v>0.94329305492867321</v>
      </c>
      <c r="CX440" s="19">
        <f t="shared" si="493"/>
        <v>0.93365741960965754</v>
      </c>
      <c r="CY440" s="19">
        <f t="shared" si="494"/>
        <v>0.94350697664327421</v>
      </c>
      <c r="CZ440" s="19">
        <f t="shared" si="495"/>
        <v>0.92949278690335668</v>
      </c>
      <c r="DA440" s="203">
        <f t="shared" si="496"/>
        <v>0.94329305492867321</v>
      </c>
      <c r="DB440" s="203">
        <f t="shared" si="497"/>
        <v>0.94329305492867321</v>
      </c>
      <c r="DC440" s="203">
        <f t="shared" si="498"/>
        <v>0.94329305492867321</v>
      </c>
      <c r="DD440" s="65"/>
      <c r="DE440" s="66"/>
      <c r="DF440" s="66"/>
      <c r="DG440" s="66"/>
      <c r="DH440" s="66"/>
      <c r="DI440" s="66"/>
      <c r="DJ440" s="66"/>
      <c r="DK440" s="70"/>
      <c r="DL440" s="70"/>
      <c r="DM440" s="8">
        <f t="shared" si="432"/>
        <v>0</v>
      </c>
      <c r="DN440" s="8">
        <f t="shared" si="433"/>
        <v>4969.610576870622</v>
      </c>
      <c r="DO440" s="202">
        <f t="shared" ref="DO440:DO503" si="535">+AB440-$DN440</f>
        <v>82667.107828957291</v>
      </c>
      <c r="DP440" s="202">
        <f t="shared" ref="DP440:DP503" si="536">+AC440-$DN440</f>
        <v>82667.107828957291</v>
      </c>
      <c r="DQ440" s="202">
        <f t="shared" ref="DQ440:DQ503" si="537">+AD440-$DN440</f>
        <v>82667.107828957291</v>
      </c>
      <c r="DR440" s="9">
        <f t="shared" ref="DR440:DR503" si="538">+AE440-$DN440</f>
        <v>69938.699404904633</v>
      </c>
      <c r="DS440" s="9">
        <f t="shared" si="501"/>
        <v>82998.961143746303</v>
      </c>
      <c r="DT440" s="9">
        <f t="shared" ref="DT440:DT503" si="539">+AG440-$DN440</f>
        <v>65514.108160655363</v>
      </c>
      <c r="DU440" s="202">
        <f t="shared" ref="DU440:DU503" si="540">+AI440-$DN440</f>
        <v>82667.107828957291</v>
      </c>
      <c r="DV440" s="202">
        <f t="shared" ref="DV440:DV503" si="541">+AJ440-$DN440</f>
        <v>82667.107828957291</v>
      </c>
      <c r="DW440" s="202">
        <f t="shared" ref="DW440:DW503" si="542">+AK440-$DN440</f>
        <v>82667.107828957291</v>
      </c>
      <c r="DX440" s="203">
        <f t="shared" ref="DX440:DX503" si="543">+DO440/AB440</f>
        <v>0.94329305492867321</v>
      </c>
      <c r="DY440" s="203">
        <f t="shared" ref="DY440:DY503" si="544">+DP440/AC440</f>
        <v>0.94329305492867321</v>
      </c>
      <c r="DZ440" s="203">
        <f t="shared" ref="DZ440:DZ503" si="545">+DQ440/AD440</f>
        <v>0.94329305492867321</v>
      </c>
      <c r="EA440" s="19">
        <f t="shared" ref="EA440:EA503" si="546">+DR440/AE440</f>
        <v>0.93365741960965754</v>
      </c>
      <c r="EB440" s="19">
        <f t="shared" si="502"/>
        <v>0.94350697664327421</v>
      </c>
      <c r="EC440" s="19">
        <f t="shared" ref="EC440:EC503" si="547">+DT440/AG440</f>
        <v>0.92949278690335668</v>
      </c>
      <c r="ED440" s="203">
        <f t="shared" ref="ED440:ED503" si="548">+DU440/AI440</f>
        <v>0.94329305492867321</v>
      </c>
      <c r="EE440" s="203">
        <f t="shared" ref="EE440:EE503" si="549">+DV440/AJ440</f>
        <v>0.94329305492867321</v>
      </c>
      <c r="EF440" s="203">
        <f t="shared" ref="EF440:EF503" si="550">+DW440/AK440</f>
        <v>0.94329305492867321</v>
      </c>
      <c r="EH440" s="58">
        <f t="shared" si="442"/>
        <v>4724.0520642246011</v>
      </c>
      <c r="EI440" s="68">
        <f t="shared" si="443"/>
        <v>5.3701588781365196E-2</v>
      </c>
      <c r="EJ440" s="58">
        <f t="shared" si="444"/>
        <v>4724.0520642246011</v>
      </c>
      <c r="EK440" s="68">
        <f t="shared" si="443"/>
        <v>5.3701588781365196E-2</v>
      </c>
      <c r="EL440" s="58">
        <f t="shared" si="445"/>
        <v>1177.3207602200901</v>
      </c>
      <c r="EM440" s="58">
        <f t="shared" si="446"/>
        <v>1346.8630642246012</v>
      </c>
      <c r="EN440" s="68">
        <f t="shared" si="447"/>
        <v>1.5310730160564162E-2</v>
      </c>
      <c r="EO440" s="139">
        <f t="shared" si="464"/>
        <v>0.32527353469126524</v>
      </c>
      <c r="EP440">
        <f>+(SUM(M440:O440)*EO440*(1-'[1]Tier 3 Data'!$A$2))</f>
        <v>409.20694840911335</v>
      </c>
    </row>
    <row r="441" spans="1:146" x14ac:dyDescent="0.2">
      <c r="A441" s="43">
        <v>0</v>
      </c>
      <c r="B441" s="43">
        <v>0</v>
      </c>
      <c r="C441" s="43">
        <v>0</v>
      </c>
      <c r="D441" s="70">
        <v>2044</v>
      </c>
      <c r="E441" s="70">
        <v>2</v>
      </c>
      <c r="F441" s="2">
        <v>696</v>
      </c>
      <c r="G441" s="133">
        <f t="shared" si="458"/>
        <v>47724.737167402644</v>
      </c>
      <c r="H441" s="65">
        <v>47724.737167402644</v>
      </c>
      <c r="I441" s="133">
        <f t="shared" si="459"/>
        <v>47724.737167402644</v>
      </c>
      <c r="J441" s="133">
        <f t="shared" si="440"/>
        <v>9134.0529999999926</v>
      </c>
      <c r="K441" s="64">
        <v>9134.0529999999926</v>
      </c>
      <c r="L441" s="133">
        <f t="shared" si="441"/>
        <v>9134.0529999999926</v>
      </c>
      <c r="M441" s="65">
        <v>839.3555429628592</v>
      </c>
      <c r="N441" s="65">
        <v>1807.4005037883962</v>
      </c>
      <c r="O441" s="70">
        <v>579.53991451522165</v>
      </c>
      <c r="P441" s="200">
        <f t="shared" si="434"/>
        <v>37622.795379022711</v>
      </c>
      <c r="Q441" s="200">
        <f t="shared" si="435"/>
        <v>37622.795379022711</v>
      </c>
      <c r="R441" s="200">
        <f t="shared" si="436"/>
        <v>37622.795379022711</v>
      </c>
      <c r="S441" s="133">
        <f t="shared" si="460"/>
        <v>38416.822193048087</v>
      </c>
      <c r="T441" s="133">
        <f t="shared" si="461"/>
        <v>38416.822193048087</v>
      </c>
      <c r="U441" s="133">
        <f t="shared" si="462"/>
        <v>38416.822193048087</v>
      </c>
      <c r="V441" s="200">
        <f t="shared" si="437"/>
        <v>37622.795379022711</v>
      </c>
      <c r="W441" s="200">
        <f t="shared" si="438"/>
        <v>37622.795379022711</v>
      </c>
      <c r="X441" s="200">
        <f t="shared" si="439"/>
        <v>37622.795379022711</v>
      </c>
      <c r="Y441" s="58">
        <v>29071.168896059651</v>
      </c>
      <c r="Z441">
        <v>40147.730134160505</v>
      </c>
      <c r="AA441" s="65">
        <v>24557.921180382531</v>
      </c>
      <c r="AB441" s="200">
        <f t="shared" si="451"/>
        <v>77770.525513183209</v>
      </c>
      <c r="AC441" s="200">
        <f t="shared" si="452"/>
        <v>77770.525513183209</v>
      </c>
      <c r="AD441" s="200">
        <f t="shared" si="453"/>
        <v>77770.525513183209</v>
      </c>
      <c r="AE441" s="199">
        <f t="shared" si="517"/>
        <v>67487.991089107731</v>
      </c>
      <c r="AF441" s="199">
        <f t="shared" si="454"/>
        <v>78564.552327208599</v>
      </c>
      <c r="AG441" s="199">
        <f t="shared" si="518"/>
        <v>62974.743373430618</v>
      </c>
      <c r="AH441" s="199">
        <f t="shared" si="463"/>
        <v>70769.647850319612</v>
      </c>
      <c r="AI441" s="200">
        <f t="shared" si="455"/>
        <v>77770.525513183209</v>
      </c>
      <c r="AJ441" s="200">
        <f t="shared" si="456"/>
        <v>77770.525513183209</v>
      </c>
      <c r="AK441" s="200">
        <f t="shared" si="457"/>
        <v>77770.525513183209</v>
      </c>
      <c r="AL441" s="4"/>
      <c r="AM441" s="4"/>
      <c r="AN441" s="4"/>
      <c r="AO441" s="4"/>
      <c r="AP441" s="63"/>
      <c r="AQ441" s="18"/>
      <c r="AR441" s="18"/>
      <c r="AS441" s="18"/>
      <c r="AT441" s="18">
        <v>0</v>
      </c>
      <c r="AU441" s="133">
        <f t="shared" ref="AU441" si="551">+AU429</f>
        <v>92.897999999999996</v>
      </c>
      <c r="AV441" s="133">
        <f t="shared" ref="AV441" si="552">+AV429</f>
        <v>3057.587</v>
      </c>
      <c r="AW441" s="194"/>
      <c r="AX441" s="194"/>
      <c r="AY441" s="194"/>
      <c r="AZ441" s="194"/>
      <c r="BA441" s="194"/>
      <c r="BB441" s="194"/>
      <c r="BC441" s="65">
        <v>0</v>
      </c>
      <c r="BD441" s="65">
        <v>0</v>
      </c>
      <c r="BE441" s="65">
        <v>0</v>
      </c>
      <c r="BF441" s="65">
        <v>0</v>
      </c>
      <c r="BG441" s="65">
        <v>0</v>
      </c>
      <c r="BH441" s="65">
        <v>0</v>
      </c>
      <c r="BI441" s="65">
        <v>486.66021470623127</v>
      </c>
      <c r="BJ441" s="65">
        <v>0</v>
      </c>
      <c r="BK441" s="65">
        <v>0</v>
      </c>
      <c r="BL441" s="65">
        <v>0</v>
      </c>
      <c r="BM441" s="65">
        <v>0</v>
      </c>
      <c r="BN441" s="65">
        <v>0</v>
      </c>
      <c r="BO441" s="65">
        <v>0</v>
      </c>
      <c r="BP441" s="5"/>
      <c r="BQ441" s="5"/>
      <c r="BR441" s="5"/>
      <c r="BS441" s="63"/>
      <c r="BT441" s="65">
        <v>154.46866191381466</v>
      </c>
      <c r="BU441" s="65">
        <v>166.63955724161121</v>
      </c>
      <c r="BV441" s="144">
        <f t="shared" si="448"/>
        <v>587.54888007400143</v>
      </c>
      <c r="BW441" s="144">
        <f t="shared" si="449"/>
        <v>1265.1803526518772</v>
      </c>
      <c r="BX441" s="144">
        <f t="shared" si="450"/>
        <v>405.67794016065511</v>
      </c>
      <c r="BY441" s="5"/>
      <c r="BZ441" s="5"/>
      <c r="CA441" s="4"/>
      <c r="CB441" s="5"/>
      <c r="CC441" s="5"/>
      <c r="CD441" s="5"/>
      <c r="CE441" s="5"/>
      <c r="CF441" s="64"/>
      <c r="CG441" s="70"/>
      <c r="CH441" s="70"/>
      <c r="CI441" s="70"/>
      <c r="CJ441" s="63"/>
      <c r="CK441" s="8">
        <f t="shared" si="431"/>
        <v>6216.6606067481916</v>
      </c>
      <c r="CL441" s="202">
        <f t="shared" si="481"/>
        <v>71553.864906435017</v>
      </c>
      <c r="CM441" s="202">
        <f t="shared" si="482"/>
        <v>71553.864906435017</v>
      </c>
      <c r="CN441" s="202">
        <f t="shared" si="483"/>
        <v>71553.864906435017</v>
      </c>
      <c r="CO441" s="9">
        <f t="shared" si="484"/>
        <v>61271.330482359539</v>
      </c>
      <c r="CP441" s="9">
        <f t="shared" si="485"/>
        <v>72347.891720460408</v>
      </c>
      <c r="CQ441" s="9">
        <f t="shared" si="486"/>
        <v>56758.082766682426</v>
      </c>
      <c r="CR441" s="202">
        <f t="shared" si="487"/>
        <v>71553.864906435017</v>
      </c>
      <c r="CS441" s="202">
        <f t="shared" si="488"/>
        <v>71553.864906435017</v>
      </c>
      <c r="CT441" s="202">
        <f t="shared" si="489"/>
        <v>71553.864906435017</v>
      </c>
      <c r="CU441" s="203">
        <f t="shared" si="490"/>
        <v>0.92006405298502991</v>
      </c>
      <c r="CV441" s="203">
        <f t="shared" si="491"/>
        <v>0.92006405298502991</v>
      </c>
      <c r="CW441" s="203">
        <f t="shared" si="492"/>
        <v>0.92006405298502991</v>
      </c>
      <c r="CX441" s="19">
        <f t="shared" si="493"/>
        <v>0.90788493617271804</v>
      </c>
      <c r="CY441" s="19">
        <f t="shared" si="494"/>
        <v>0.92087194004674255</v>
      </c>
      <c r="CZ441" s="19">
        <f t="shared" si="495"/>
        <v>0.90128327209077541</v>
      </c>
      <c r="DA441" s="203">
        <f t="shared" si="496"/>
        <v>0.92006405298502991</v>
      </c>
      <c r="DB441" s="203">
        <f t="shared" si="497"/>
        <v>0.92006405298502991</v>
      </c>
      <c r="DC441" s="203">
        <f t="shared" si="498"/>
        <v>0.92006405298502991</v>
      </c>
      <c r="DD441" s="65"/>
      <c r="DE441" s="66"/>
      <c r="DF441" s="66"/>
      <c r="DG441" s="66"/>
      <c r="DH441" s="66"/>
      <c r="DI441" s="66"/>
      <c r="DJ441" s="66"/>
      <c r="DK441" s="70"/>
      <c r="DL441" s="70"/>
      <c r="DM441" s="8">
        <f t="shared" si="432"/>
        <v>0</v>
      </c>
      <c r="DN441" s="8">
        <f t="shared" si="433"/>
        <v>6216.6606067481916</v>
      </c>
      <c r="DO441" s="202">
        <f t="shared" si="535"/>
        <v>71553.864906435017</v>
      </c>
      <c r="DP441" s="202">
        <f t="shared" si="536"/>
        <v>71553.864906435017</v>
      </c>
      <c r="DQ441" s="202">
        <f t="shared" si="537"/>
        <v>71553.864906435017</v>
      </c>
      <c r="DR441" s="9">
        <f t="shared" si="538"/>
        <v>61271.330482359539</v>
      </c>
      <c r="DS441" s="9">
        <f t="shared" si="501"/>
        <v>72347.891720460408</v>
      </c>
      <c r="DT441" s="9">
        <f t="shared" si="539"/>
        <v>56758.082766682426</v>
      </c>
      <c r="DU441" s="202">
        <f t="shared" si="540"/>
        <v>71553.864906435017</v>
      </c>
      <c r="DV441" s="202">
        <f t="shared" si="541"/>
        <v>71553.864906435017</v>
      </c>
      <c r="DW441" s="202">
        <f t="shared" si="542"/>
        <v>71553.864906435017</v>
      </c>
      <c r="DX441" s="203">
        <f t="shared" si="543"/>
        <v>0.92006405298502991</v>
      </c>
      <c r="DY441" s="203">
        <f t="shared" si="544"/>
        <v>0.92006405298502991</v>
      </c>
      <c r="DZ441" s="203">
        <f t="shared" si="545"/>
        <v>0.92006405298502991</v>
      </c>
      <c r="EA441" s="19">
        <f t="shared" si="546"/>
        <v>0.90788493617271804</v>
      </c>
      <c r="EB441" s="19">
        <f t="shared" si="502"/>
        <v>0.92087194004674255</v>
      </c>
      <c r="EC441" s="19">
        <f t="shared" si="547"/>
        <v>0.90128327209077541</v>
      </c>
      <c r="ED441" s="203">
        <f t="shared" si="548"/>
        <v>0.92006405298502991</v>
      </c>
      <c r="EE441" s="203">
        <f t="shared" si="549"/>
        <v>0.92006405298502991</v>
      </c>
      <c r="EF441" s="203">
        <f t="shared" si="550"/>
        <v>0.92006405298502991</v>
      </c>
      <c r="EH441" s="58">
        <f t="shared" si="442"/>
        <v>5629.1117266741903</v>
      </c>
      <c r="EI441" s="68">
        <f t="shared" si="443"/>
        <v>7.1649510624458901E-2</v>
      </c>
      <c r="EJ441" s="58">
        <f t="shared" si="444"/>
        <v>5629.1117266741903</v>
      </c>
      <c r="EK441" s="68">
        <f t="shared" si="443"/>
        <v>7.1649510624458901E-2</v>
      </c>
      <c r="EL441" s="58">
        <f t="shared" si="445"/>
        <v>2072.9487865135343</v>
      </c>
      <c r="EM441" s="58">
        <f t="shared" si="446"/>
        <v>2478.6267266741893</v>
      </c>
      <c r="EN441" s="68">
        <f t="shared" si="447"/>
        <v>3.1548919369528278E-2</v>
      </c>
      <c r="EO441" s="139">
        <f t="shared" si="464"/>
        <v>0.3126447604730192</v>
      </c>
      <c r="EP441">
        <f>+(SUM(M441:O441)*EO441*(1-'[1]Tier 3 Data'!$A$2))</f>
        <v>941.10266464753681</v>
      </c>
    </row>
    <row r="442" spans="1:146" x14ac:dyDescent="0.2">
      <c r="A442" s="43">
        <v>0</v>
      </c>
      <c r="B442" s="43">
        <v>0</v>
      </c>
      <c r="C442" s="43">
        <v>0</v>
      </c>
      <c r="D442" s="70">
        <v>2044</v>
      </c>
      <c r="E442" s="70">
        <v>3</v>
      </c>
      <c r="F442" s="2">
        <v>743</v>
      </c>
      <c r="G442" s="133">
        <f t="shared" si="458"/>
        <v>49998.815579198126</v>
      </c>
      <c r="H442" s="65">
        <v>49998.815579198126</v>
      </c>
      <c r="I442" s="133">
        <f t="shared" si="459"/>
        <v>49998.815579198126</v>
      </c>
      <c r="J442" s="133">
        <f t="shared" si="440"/>
        <v>9173.8619999999919</v>
      </c>
      <c r="K442" s="64">
        <v>9173.8619999999919</v>
      </c>
      <c r="L442" s="133">
        <f t="shared" si="441"/>
        <v>9173.8619999999919</v>
      </c>
      <c r="M442" s="65">
        <v>1051.6160966561574</v>
      </c>
      <c r="N442" s="65">
        <v>2264.4652541151199</v>
      </c>
      <c r="O442" s="70">
        <v>726.13175124916211</v>
      </c>
      <c r="P442" s="200">
        <f t="shared" si="434"/>
        <v>39612.289648591999</v>
      </c>
      <c r="Q442" s="200">
        <f t="shared" si="435"/>
        <v>39612.289648591999</v>
      </c>
      <c r="R442" s="200">
        <f t="shared" si="436"/>
        <v>39612.289648591999</v>
      </c>
      <c r="S442" s="133">
        <f t="shared" si="460"/>
        <v>40607.114053823381</v>
      </c>
      <c r="T442" s="133">
        <f t="shared" si="461"/>
        <v>40607.114053823381</v>
      </c>
      <c r="U442" s="133">
        <f t="shared" si="462"/>
        <v>40607.114053823381</v>
      </c>
      <c r="V442" s="200">
        <f t="shared" si="437"/>
        <v>39612.289648591999</v>
      </c>
      <c r="W442" s="200">
        <f t="shared" si="438"/>
        <v>39612.289648591999</v>
      </c>
      <c r="X442" s="200">
        <f t="shared" si="439"/>
        <v>39612.289648591999</v>
      </c>
      <c r="Y442" s="58">
        <v>26454.494588819929</v>
      </c>
      <c r="Z442">
        <v>35994.810607476342</v>
      </c>
      <c r="AA442" s="65">
        <v>22173.051241043671</v>
      </c>
      <c r="AB442" s="200">
        <f t="shared" si="451"/>
        <v>75607.100256068341</v>
      </c>
      <c r="AC442" s="200">
        <f t="shared" si="452"/>
        <v>75607.100256068341</v>
      </c>
      <c r="AD442" s="200">
        <f t="shared" si="453"/>
        <v>75607.100256068341</v>
      </c>
      <c r="AE442" s="199">
        <f t="shared" si="517"/>
        <v>67061.608642643318</v>
      </c>
      <c r="AF442" s="199">
        <f t="shared" si="454"/>
        <v>76601.924661299723</v>
      </c>
      <c r="AG442" s="199">
        <f t="shared" si="518"/>
        <v>62780.165294867053</v>
      </c>
      <c r="AH442" s="199">
        <f t="shared" si="463"/>
        <v>69691.044978083388</v>
      </c>
      <c r="AI442" s="200">
        <f t="shared" si="455"/>
        <v>75607.100256068341</v>
      </c>
      <c r="AJ442" s="200">
        <f t="shared" si="456"/>
        <v>75607.100256068341</v>
      </c>
      <c r="AK442" s="200">
        <f t="shared" si="457"/>
        <v>75607.100256068341</v>
      </c>
      <c r="AL442" s="4"/>
      <c r="AM442" s="4"/>
      <c r="AN442" s="4"/>
      <c r="AO442" s="4"/>
      <c r="AP442" s="63"/>
      <c r="AQ442" s="18"/>
      <c r="AR442" s="18"/>
      <c r="AS442" s="18"/>
      <c r="AT442" s="18">
        <v>0</v>
      </c>
      <c r="AU442" s="133">
        <f t="shared" ref="AU442" si="553">+AU430</f>
        <v>87.516000000000005</v>
      </c>
      <c r="AV442" s="133">
        <f t="shared" ref="AV442" si="554">+AV430</f>
        <v>3232.7139999999999</v>
      </c>
      <c r="AW442" s="194"/>
      <c r="AX442" s="194"/>
      <c r="AY442" s="194"/>
      <c r="AZ442" s="194"/>
      <c r="BA442" s="194"/>
      <c r="BB442" s="194"/>
      <c r="BC442" s="65">
        <v>0</v>
      </c>
      <c r="BD442" s="65">
        <v>0</v>
      </c>
      <c r="BE442" s="65">
        <v>0</v>
      </c>
      <c r="BF442" s="65">
        <v>0</v>
      </c>
      <c r="BG442" s="65">
        <v>0</v>
      </c>
      <c r="BH442" s="65">
        <v>0</v>
      </c>
      <c r="BI442" s="65">
        <v>935.41015238163845</v>
      </c>
      <c r="BJ442" s="65">
        <v>0</v>
      </c>
      <c r="BK442" s="65">
        <v>0</v>
      </c>
      <c r="BL442" s="65">
        <v>0</v>
      </c>
      <c r="BM442" s="65">
        <v>0</v>
      </c>
      <c r="BN442" s="65">
        <v>0</v>
      </c>
      <c r="BO442" s="65">
        <v>0</v>
      </c>
      <c r="BP442" s="5"/>
      <c r="BQ442" s="5"/>
      <c r="BR442" s="5"/>
      <c r="BS442" s="63"/>
      <c r="BT442" s="65">
        <v>204.43561346355921</v>
      </c>
      <c r="BU442" s="65">
        <v>237.57294319576124</v>
      </c>
      <c r="BV442" s="144">
        <f t="shared" si="448"/>
        <v>736.1312676593102</v>
      </c>
      <c r="BW442" s="144">
        <f t="shared" si="449"/>
        <v>1585.1256778805839</v>
      </c>
      <c r="BX442" s="144">
        <f t="shared" si="450"/>
        <v>508.29222587441342</v>
      </c>
      <c r="BY442" s="5"/>
      <c r="BZ442" s="5"/>
      <c r="CA442" s="4"/>
      <c r="CB442" s="5"/>
      <c r="CC442" s="5"/>
      <c r="CD442" s="5"/>
      <c r="CE442" s="5"/>
      <c r="CF442" s="64"/>
      <c r="CG442" s="70"/>
      <c r="CH442" s="70"/>
      <c r="CI442" s="70"/>
      <c r="CJ442" s="63"/>
      <c r="CK442" s="8">
        <f t="shared" si="431"/>
        <v>7527.1978804552664</v>
      </c>
      <c r="CL442" s="202">
        <f t="shared" si="481"/>
        <v>68079.902375613077</v>
      </c>
      <c r="CM442" s="202">
        <f t="shared" si="482"/>
        <v>68079.902375613077</v>
      </c>
      <c r="CN442" s="202">
        <f t="shared" si="483"/>
        <v>68079.902375613077</v>
      </c>
      <c r="CO442" s="9">
        <f t="shared" si="484"/>
        <v>59534.410762188054</v>
      </c>
      <c r="CP442" s="9">
        <f t="shared" si="485"/>
        <v>69074.726780844459</v>
      </c>
      <c r="CQ442" s="9">
        <f t="shared" si="486"/>
        <v>55252.967414411789</v>
      </c>
      <c r="CR442" s="202">
        <f t="shared" si="487"/>
        <v>68079.902375613077</v>
      </c>
      <c r="CS442" s="202">
        <f t="shared" si="488"/>
        <v>68079.902375613077</v>
      </c>
      <c r="CT442" s="202">
        <f t="shared" si="489"/>
        <v>68079.902375613077</v>
      </c>
      <c r="CU442" s="203">
        <f t="shared" si="490"/>
        <v>0.9004432407146693</v>
      </c>
      <c r="CV442" s="203">
        <f t="shared" si="491"/>
        <v>0.9004432407146693</v>
      </c>
      <c r="CW442" s="203">
        <f t="shared" si="492"/>
        <v>0.9004432407146693</v>
      </c>
      <c r="CX442" s="19">
        <f t="shared" si="493"/>
        <v>0.88775697403016296</v>
      </c>
      <c r="CY442" s="19">
        <f t="shared" si="494"/>
        <v>0.90173617812166929</v>
      </c>
      <c r="CZ442" s="19">
        <f t="shared" si="495"/>
        <v>0.88010229273686391</v>
      </c>
      <c r="DA442" s="203">
        <f t="shared" si="496"/>
        <v>0.9004432407146693</v>
      </c>
      <c r="DB442" s="203">
        <f t="shared" si="497"/>
        <v>0.9004432407146693</v>
      </c>
      <c r="DC442" s="203">
        <f t="shared" si="498"/>
        <v>0.9004432407146693</v>
      </c>
      <c r="DD442" s="65"/>
      <c r="DE442" s="66"/>
      <c r="DF442" s="66"/>
      <c r="DG442" s="66"/>
      <c r="DH442" s="66"/>
      <c r="DI442" s="66"/>
      <c r="DJ442" s="66"/>
      <c r="DK442" s="70"/>
      <c r="DL442" s="70"/>
      <c r="DM442" s="8">
        <f t="shared" si="432"/>
        <v>0</v>
      </c>
      <c r="DN442" s="8">
        <f t="shared" si="433"/>
        <v>7527.1978804552664</v>
      </c>
      <c r="DO442" s="202">
        <f t="shared" si="535"/>
        <v>68079.902375613077</v>
      </c>
      <c r="DP442" s="202">
        <f t="shared" si="536"/>
        <v>68079.902375613077</v>
      </c>
      <c r="DQ442" s="202">
        <f t="shared" si="537"/>
        <v>68079.902375613077</v>
      </c>
      <c r="DR442" s="9">
        <f t="shared" si="538"/>
        <v>59534.410762188054</v>
      </c>
      <c r="DS442" s="9">
        <f t="shared" si="501"/>
        <v>69074.726780844459</v>
      </c>
      <c r="DT442" s="9">
        <f t="shared" si="539"/>
        <v>55252.967414411789</v>
      </c>
      <c r="DU442" s="202">
        <f t="shared" si="540"/>
        <v>68079.902375613077</v>
      </c>
      <c r="DV442" s="202">
        <f t="shared" si="541"/>
        <v>68079.902375613077</v>
      </c>
      <c r="DW442" s="202">
        <f t="shared" si="542"/>
        <v>68079.902375613077</v>
      </c>
      <c r="DX442" s="203">
        <f t="shared" si="543"/>
        <v>0.9004432407146693</v>
      </c>
      <c r="DY442" s="203">
        <f t="shared" si="544"/>
        <v>0.9004432407146693</v>
      </c>
      <c r="DZ442" s="203">
        <f t="shared" si="545"/>
        <v>0.9004432407146693</v>
      </c>
      <c r="EA442" s="19">
        <f t="shared" si="546"/>
        <v>0.88775697403016296</v>
      </c>
      <c r="EB442" s="19">
        <f t="shared" si="502"/>
        <v>0.90173617812166929</v>
      </c>
      <c r="EC442" s="19">
        <f t="shared" si="547"/>
        <v>0.88010229273686391</v>
      </c>
      <c r="ED442" s="203">
        <f t="shared" si="548"/>
        <v>0.9004432407146693</v>
      </c>
      <c r="EE442" s="203">
        <f t="shared" si="549"/>
        <v>0.9004432407146693</v>
      </c>
      <c r="EF442" s="203">
        <f t="shared" si="550"/>
        <v>0.9004432407146693</v>
      </c>
      <c r="EH442" s="58">
        <f t="shared" si="442"/>
        <v>6791.0666127959566</v>
      </c>
      <c r="EI442" s="68">
        <f t="shared" si="443"/>
        <v>8.8653994567670313E-2</v>
      </c>
      <c r="EJ442" s="58">
        <f t="shared" si="444"/>
        <v>6791.0666127959566</v>
      </c>
      <c r="EK442" s="68">
        <f t="shared" si="443"/>
        <v>8.8653994567670313E-2</v>
      </c>
      <c r="EL442" s="58">
        <f t="shared" si="445"/>
        <v>2962.5443869215424</v>
      </c>
      <c r="EM442" s="58">
        <f t="shared" si="446"/>
        <v>3470.8366127959557</v>
      </c>
      <c r="EN442" s="68">
        <f t="shared" si="447"/>
        <v>4.53100444687582E-2</v>
      </c>
      <c r="EO442" s="139">
        <f t="shared" si="464"/>
        <v>0.32861286969700848</v>
      </c>
      <c r="EP442">
        <f>+(SUM(M442:O442)*EO442*(1-'[1]Tier 3 Data'!$A$2))</f>
        <v>1239.3255898072039</v>
      </c>
    </row>
    <row r="443" spans="1:146" x14ac:dyDescent="0.2">
      <c r="A443" s="43">
        <v>0</v>
      </c>
      <c r="B443" s="43">
        <v>0</v>
      </c>
      <c r="C443" s="43">
        <v>0</v>
      </c>
      <c r="D443" s="70">
        <v>2044</v>
      </c>
      <c r="E443" s="70">
        <v>4</v>
      </c>
      <c r="F443" s="2">
        <v>720</v>
      </c>
      <c r="G443" s="133">
        <f t="shared" si="458"/>
        <v>42034.985362534542</v>
      </c>
      <c r="H443" s="65">
        <v>42034.985362534542</v>
      </c>
      <c r="I443" s="133">
        <f t="shared" si="459"/>
        <v>42034.985362534542</v>
      </c>
      <c r="J443" s="133">
        <f t="shared" si="440"/>
        <v>9213.6709999999912</v>
      </c>
      <c r="K443" s="64">
        <v>9213.6709999999912</v>
      </c>
      <c r="L443" s="133">
        <f t="shared" si="441"/>
        <v>9213.6709999999912</v>
      </c>
      <c r="M443" s="65">
        <v>1465.5029776468293</v>
      </c>
      <c r="N443" s="65">
        <v>3155.6958696577994</v>
      </c>
      <c r="O443" s="70">
        <v>1011.9950729253418</v>
      </c>
      <c r="P443" s="200">
        <f t="shared" si="434"/>
        <v>31131.356186465564</v>
      </c>
      <c r="Q443" s="200">
        <f t="shared" si="435"/>
        <v>31131.356186465564</v>
      </c>
      <c r="R443" s="200">
        <f t="shared" si="436"/>
        <v>31131.356186465564</v>
      </c>
      <c r="S443" s="133">
        <f t="shared" si="460"/>
        <v>32517.715840656951</v>
      </c>
      <c r="T443" s="133">
        <f t="shared" si="461"/>
        <v>32517.715840656951</v>
      </c>
      <c r="U443" s="133">
        <f t="shared" si="462"/>
        <v>32517.715840656951</v>
      </c>
      <c r="V443" s="200">
        <f t="shared" si="437"/>
        <v>31131.356186465564</v>
      </c>
      <c r="W443" s="200">
        <f t="shared" si="438"/>
        <v>31131.356186465564</v>
      </c>
      <c r="X443" s="200">
        <f t="shared" si="439"/>
        <v>31131.356186465564</v>
      </c>
      <c r="Y443" s="58">
        <v>22542.286242124803</v>
      </c>
      <c r="Z443">
        <v>29401.722370697673</v>
      </c>
      <c r="AA443" s="65">
        <v>18397.126815080508</v>
      </c>
      <c r="AB443" s="200">
        <f t="shared" si="451"/>
        <v>60533.078557163237</v>
      </c>
      <c r="AC443" s="200">
        <f t="shared" si="452"/>
        <v>60533.078557163237</v>
      </c>
      <c r="AD443" s="200">
        <f t="shared" si="453"/>
        <v>60533.078557163237</v>
      </c>
      <c r="AE443" s="199">
        <f t="shared" si="517"/>
        <v>55060.00208278175</v>
      </c>
      <c r="AF443" s="199">
        <f t="shared" si="454"/>
        <v>61919.438211354623</v>
      </c>
      <c r="AG443" s="199">
        <f t="shared" si="518"/>
        <v>50914.842655737462</v>
      </c>
      <c r="AH443" s="199">
        <f t="shared" si="463"/>
        <v>56417.140433546039</v>
      </c>
      <c r="AI443" s="200">
        <f t="shared" si="455"/>
        <v>60533.078557163237</v>
      </c>
      <c r="AJ443" s="200">
        <f t="shared" si="456"/>
        <v>60533.078557163237</v>
      </c>
      <c r="AK443" s="200">
        <f t="shared" si="457"/>
        <v>60533.078557163237</v>
      </c>
      <c r="AL443" s="4"/>
      <c r="AM443" s="4"/>
      <c r="AN443" s="4"/>
      <c r="AO443" s="4"/>
      <c r="AP443" s="63"/>
      <c r="AQ443" s="18"/>
      <c r="AR443" s="18"/>
      <c r="AS443" s="18"/>
      <c r="AT443" s="18">
        <v>0</v>
      </c>
      <c r="AU443" s="133">
        <f t="shared" ref="AU443" si="555">+AU431</f>
        <v>96.057000000000002</v>
      </c>
      <c r="AV443" s="133">
        <f t="shared" ref="AV443" si="556">+AV431</f>
        <v>3017.9659999999999</v>
      </c>
      <c r="AW443" s="194"/>
      <c r="AX443" s="194"/>
      <c r="AY443" s="194"/>
      <c r="AZ443" s="194"/>
      <c r="BA443" s="194"/>
      <c r="BB443" s="194"/>
      <c r="BC443" s="65">
        <v>0</v>
      </c>
      <c r="BD443" s="65">
        <v>0</v>
      </c>
      <c r="BE443" s="65">
        <v>0</v>
      </c>
      <c r="BF443" s="65">
        <v>0</v>
      </c>
      <c r="BG443" s="65">
        <v>0</v>
      </c>
      <c r="BH443" s="65">
        <v>0</v>
      </c>
      <c r="BI443" s="65">
        <v>1181.2296598290982</v>
      </c>
      <c r="BJ443" s="65">
        <v>0</v>
      </c>
      <c r="BK443" s="65">
        <v>0</v>
      </c>
      <c r="BL443" s="65">
        <v>0</v>
      </c>
      <c r="BM443" s="65">
        <v>0</v>
      </c>
      <c r="BN443" s="65">
        <v>0</v>
      </c>
      <c r="BO443" s="65">
        <v>0</v>
      </c>
      <c r="BP443" s="5"/>
      <c r="BQ443" s="5"/>
      <c r="BR443" s="5"/>
      <c r="BS443" s="63"/>
      <c r="BT443" s="65">
        <v>226.36875117369129</v>
      </c>
      <c r="BU443" s="65">
        <v>243.06811668946136</v>
      </c>
      <c r="BV443" s="144">
        <f t="shared" si="448"/>
        <v>1025.8520843527804</v>
      </c>
      <c r="BW443" s="144">
        <f t="shared" si="449"/>
        <v>2208.9871087604593</v>
      </c>
      <c r="BX443" s="144">
        <f t="shared" si="450"/>
        <v>708.39655104773919</v>
      </c>
      <c r="BY443" s="5"/>
      <c r="BZ443" s="5"/>
      <c r="CA443" s="4"/>
      <c r="CB443" s="5"/>
      <c r="CC443" s="5"/>
      <c r="CD443" s="5"/>
      <c r="CE443" s="5"/>
      <c r="CF443" s="64"/>
      <c r="CG443" s="70"/>
      <c r="CH443" s="70"/>
      <c r="CI443" s="70"/>
      <c r="CJ443" s="63"/>
      <c r="CK443" s="8">
        <f t="shared" si="431"/>
        <v>8707.9252718532298</v>
      </c>
      <c r="CL443" s="202">
        <f t="shared" si="481"/>
        <v>51825.153285310007</v>
      </c>
      <c r="CM443" s="202">
        <f t="shared" si="482"/>
        <v>51825.153285310007</v>
      </c>
      <c r="CN443" s="202">
        <f t="shared" si="483"/>
        <v>51825.153285310007</v>
      </c>
      <c r="CO443" s="9">
        <f t="shared" si="484"/>
        <v>46352.07681092852</v>
      </c>
      <c r="CP443" s="9">
        <f t="shared" si="485"/>
        <v>53211.512939501394</v>
      </c>
      <c r="CQ443" s="9">
        <f t="shared" si="486"/>
        <v>42206.917383884233</v>
      </c>
      <c r="CR443" s="202">
        <f t="shared" si="487"/>
        <v>51825.153285310007</v>
      </c>
      <c r="CS443" s="202">
        <f t="shared" si="488"/>
        <v>51825.153285310007</v>
      </c>
      <c r="CT443" s="202">
        <f t="shared" si="489"/>
        <v>51825.153285310007</v>
      </c>
      <c r="CU443" s="203">
        <f t="shared" si="490"/>
        <v>0.85614600348419301</v>
      </c>
      <c r="CV443" s="203">
        <f t="shared" si="491"/>
        <v>0.85614600348419301</v>
      </c>
      <c r="CW443" s="203">
        <f t="shared" si="492"/>
        <v>0.85614600348419301</v>
      </c>
      <c r="CX443" s="19">
        <f t="shared" si="493"/>
        <v>0.84184662291220014</v>
      </c>
      <c r="CY443" s="19">
        <f t="shared" si="494"/>
        <v>0.85936685597615137</v>
      </c>
      <c r="CZ443" s="19">
        <f t="shared" si="495"/>
        <v>0.82897079088052616</v>
      </c>
      <c r="DA443" s="203">
        <f t="shared" si="496"/>
        <v>0.85614600348419301</v>
      </c>
      <c r="DB443" s="203">
        <f t="shared" si="497"/>
        <v>0.85614600348419301</v>
      </c>
      <c r="DC443" s="203">
        <f t="shared" si="498"/>
        <v>0.85614600348419301</v>
      </c>
      <c r="DD443" s="65"/>
      <c r="DE443" s="66"/>
      <c r="DF443" s="66"/>
      <c r="DG443" s="66"/>
      <c r="DH443" s="66"/>
      <c r="DI443" s="66"/>
      <c r="DJ443" s="66"/>
      <c r="DK443" s="70"/>
      <c r="DL443" s="70"/>
      <c r="DM443" s="8">
        <f t="shared" si="432"/>
        <v>0</v>
      </c>
      <c r="DN443" s="8">
        <f t="shared" si="433"/>
        <v>8707.9252718532298</v>
      </c>
      <c r="DO443" s="202">
        <f t="shared" si="535"/>
        <v>51825.153285310007</v>
      </c>
      <c r="DP443" s="202">
        <f t="shared" si="536"/>
        <v>51825.153285310007</v>
      </c>
      <c r="DQ443" s="202">
        <f t="shared" si="537"/>
        <v>51825.153285310007</v>
      </c>
      <c r="DR443" s="9">
        <f t="shared" si="538"/>
        <v>46352.07681092852</v>
      </c>
      <c r="DS443" s="9">
        <f t="shared" si="501"/>
        <v>53211.512939501394</v>
      </c>
      <c r="DT443" s="9">
        <f t="shared" si="539"/>
        <v>42206.917383884233</v>
      </c>
      <c r="DU443" s="202">
        <f t="shared" si="540"/>
        <v>51825.153285310007</v>
      </c>
      <c r="DV443" s="202">
        <f t="shared" si="541"/>
        <v>51825.153285310007</v>
      </c>
      <c r="DW443" s="202">
        <f t="shared" si="542"/>
        <v>51825.153285310007</v>
      </c>
      <c r="DX443" s="203">
        <f t="shared" si="543"/>
        <v>0.85614600348419301</v>
      </c>
      <c r="DY443" s="203">
        <f t="shared" si="544"/>
        <v>0.85614600348419301</v>
      </c>
      <c r="DZ443" s="203">
        <f t="shared" si="545"/>
        <v>0.85614600348419301</v>
      </c>
      <c r="EA443" s="19">
        <f t="shared" si="546"/>
        <v>0.84184662291220014</v>
      </c>
      <c r="EB443" s="19">
        <f t="shared" si="502"/>
        <v>0.85936685597615137</v>
      </c>
      <c r="EC443" s="19">
        <f t="shared" si="547"/>
        <v>0.82897079088052616</v>
      </c>
      <c r="ED443" s="203">
        <f t="shared" si="548"/>
        <v>0.85614600348419301</v>
      </c>
      <c r="EE443" s="203">
        <f t="shared" si="549"/>
        <v>0.85614600348419301</v>
      </c>
      <c r="EF443" s="203">
        <f t="shared" si="550"/>
        <v>0.85614600348419301</v>
      </c>
      <c r="EH443" s="58">
        <f t="shared" si="442"/>
        <v>7682.0731875004494</v>
      </c>
      <c r="EI443" s="68">
        <f t="shared" si="443"/>
        <v>0.12406561508647104</v>
      </c>
      <c r="EJ443" s="58">
        <f t="shared" si="444"/>
        <v>7682.0731875004494</v>
      </c>
      <c r="EK443" s="68">
        <f t="shared" si="443"/>
        <v>0.12406561508647104</v>
      </c>
      <c r="EL443" s="58">
        <f t="shared" si="445"/>
        <v>3859.6536364527101</v>
      </c>
      <c r="EM443" s="58">
        <f t="shared" si="446"/>
        <v>4568.0501875004493</v>
      </c>
      <c r="EN443" s="68">
        <f t="shared" si="447"/>
        <v>7.3774089679366189E-2</v>
      </c>
      <c r="EO443" s="139">
        <f t="shared" si="464"/>
        <v>0.35351678044029999</v>
      </c>
      <c r="EP443">
        <f>+(SUM(M443:O443)*EO443*(1-'[1]Tier 3 Data'!$A$2))</f>
        <v>1858.0028635311078</v>
      </c>
    </row>
    <row r="444" spans="1:146" x14ac:dyDescent="0.2">
      <c r="A444" s="43">
        <v>0</v>
      </c>
      <c r="B444" s="43">
        <v>0</v>
      </c>
      <c r="C444" s="43">
        <v>0</v>
      </c>
      <c r="D444" s="70">
        <v>2044</v>
      </c>
      <c r="E444" s="70">
        <v>5</v>
      </c>
      <c r="F444" s="2">
        <v>744</v>
      </c>
      <c r="G444" s="133">
        <f t="shared" si="458"/>
        <v>40072.289689337078</v>
      </c>
      <c r="H444" s="65">
        <v>40072.289689337078</v>
      </c>
      <c r="I444" s="133">
        <f t="shared" si="459"/>
        <v>40072.289689337078</v>
      </c>
      <c r="J444" s="133">
        <f t="shared" si="440"/>
        <v>9253.4799999999905</v>
      </c>
      <c r="K444" s="64">
        <v>9253.4799999999905</v>
      </c>
      <c r="L444" s="133">
        <f t="shared" si="441"/>
        <v>9253.4799999999905</v>
      </c>
      <c r="M444" s="65">
        <v>1750.7817988213781</v>
      </c>
      <c r="N444" s="65">
        <v>3769.9922657844818</v>
      </c>
      <c r="O444" s="70">
        <v>1209.0957893718582</v>
      </c>
      <c r="P444" s="200">
        <f t="shared" si="434"/>
        <v>28799.848733143775</v>
      </c>
      <c r="Q444" s="200">
        <f t="shared" si="435"/>
        <v>28799.848733143775</v>
      </c>
      <c r="R444" s="200">
        <f t="shared" si="436"/>
        <v>28799.848733143775</v>
      </c>
      <c r="S444" s="133">
        <f t="shared" si="460"/>
        <v>30456.080952525532</v>
      </c>
      <c r="T444" s="133">
        <f t="shared" si="461"/>
        <v>30456.080952525532</v>
      </c>
      <c r="U444" s="133">
        <f t="shared" si="462"/>
        <v>30456.080952525532</v>
      </c>
      <c r="V444" s="200">
        <f t="shared" si="437"/>
        <v>28799.848733143775</v>
      </c>
      <c r="W444" s="200">
        <f t="shared" si="438"/>
        <v>28799.848733143775</v>
      </c>
      <c r="X444" s="200">
        <f t="shared" si="439"/>
        <v>28799.848733143775</v>
      </c>
      <c r="Y444" s="58">
        <v>18201.39442957487</v>
      </c>
      <c r="Z444">
        <v>22778.73677374149</v>
      </c>
      <c r="AA444" s="65">
        <v>14508.218189803261</v>
      </c>
      <c r="AB444" s="200">
        <f t="shared" si="451"/>
        <v>51578.585506885269</v>
      </c>
      <c r="AC444" s="200">
        <f t="shared" si="452"/>
        <v>51578.585506885269</v>
      </c>
      <c r="AD444" s="200">
        <f t="shared" si="453"/>
        <v>51578.585506885269</v>
      </c>
      <c r="AE444" s="199">
        <f t="shared" si="517"/>
        <v>48657.475382100398</v>
      </c>
      <c r="AF444" s="199">
        <f t="shared" si="454"/>
        <v>53234.817726267021</v>
      </c>
      <c r="AG444" s="199">
        <f t="shared" si="518"/>
        <v>44964.299142328789</v>
      </c>
      <c r="AH444" s="199">
        <f t="shared" si="463"/>
        <v>49099.558434297905</v>
      </c>
      <c r="AI444" s="200">
        <f t="shared" si="455"/>
        <v>51578.585506885269</v>
      </c>
      <c r="AJ444" s="200">
        <f t="shared" si="456"/>
        <v>51578.585506885269</v>
      </c>
      <c r="AK444" s="200">
        <f t="shared" si="457"/>
        <v>51578.585506885269</v>
      </c>
      <c r="AL444" s="4"/>
      <c r="AM444" s="4"/>
      <c r="AN444" s="4"/>
      <c r="AO444" s="4"/>
      <c r="AP444" s="63"/>
      <c r="AQ444" s="18"/>
      <c r="AR444" s="18"/>
      <c r="AS444" s="18"/>
      <c r="AT444" s="18">
        <v>0</v>
      </c>
      <c r="AU444" s="133">
        <f t="shared" ref="AU444" si="557">+AU432</f>
        <v>109.161</v>
      </c>
      <c r="AV444" s="133">
        <f t="shared" ref="AV444" si="558">+AV432</f>
        <v>3327.41</v>
      </c>
      <c r="AW444" s="194"/>
      <c r="AX444" s="194"/>
      <c r="AY444" s="194"/>
      <c r="AZ444" s="194"/>
      <c r="BA444" s="194"/>
      <c r="BB444" s="194"/>
      <c r="BC444" s="65">
        <v>0</v>
      </c>
      <c r="BD444" s="65">
        <v>0</v>
      </c>
      <c r="BE444" s="65">
        <v>0</v>
      </c>
      <c r="BF444" s="65">
        <v>0</v>
      </c>
      <c r="BG444" s="65">
        <v>0</v>
      </c>
      <c r="BH444" s="65">
        <v>0</v>
      </c>
      <c r="BI444" s="65">
        <v>1186.3120553366659</v>
      </c>
      <c r="BJ444" s="65">
        <v>0</v>
      </c>
      <c r="BK444" s="65">
        <v>0</v>
      </c>
      <c r="BL444" s="65">
        <v>0</v>
      </c>
      <c r="BM444" s="65">
        <v>0</v>
      </c>
      <c r="BN444" s="65">
        <v>0</v>
      </c>
      <c r="BO444" s="65">
        <v>0</v>
      </c>
      <c r="BP444" s="5"/>
      <c r="BQ444" s="5"/>
      <c r="BR444" s="5"/>
      <c r="BS444" s="63"/>
      <c r="BT444" s="65">
        <v>233.95047823885437</v>
      </c>
      <c r="BU444" s="65">
        <v>277.97298580341288</v>
      </c>
      <c r="BV444" s="144">
        <f t="shared" si="448"/>
        <v>1225.5472591749647</v>
      </c>
      <c r="BW444" s="144">
        <f t="shared" si="449"/>
        <v>2638.9945860491371</v>
      </c>
      <c r="BX444" s="144">
        <f t="shared" si="450"/>
        <v>846.36705256030075</v>
      </c>
      <c r="BY444" s="5"/>
      <c r="BZ444" s="5"/>
      <c r="CA444" s="4"/>
      <c r="CB444" s="5"/>
      <c r="CC444" s="5"/>
      <c r="CD444" s="5"/>
      <c r="CE444" s="5"/>
      <c r="CF444" s="64"/>
      <c r="CG444" s="70"/>
      <c r="CH444" s="70"/>
      <c r="CI444" s="70"/>
      <c r="CJ444" s="63"/>
      <c r="CK444" s="8">
        <f t="shared" ref="CK444:CK507" si="559">+SUM(AL444:CI444)</f>
        <v>9845.7154171633356</v>
      </c>
      <c r="CL444" s="202">
        <f t="shared" si="481"/>
        <v>41732.870089721931</v>
      </c>
      <c r="CM444" s="202">
        <f t="shared" si="482"/>
        <v>41732.870089721931</v>
      </c>
      <c r="CN444" s="202">
        <f t="shared" si="483"/>
        <v>41732.870089721931</v>
      </c>
      <c r="CO444" s="9">
        <f t="shared" si="484"/>
        <v>38811.75996493706</v>
      </c>
      <c r="CP444" s="9">
        <f t="shared" si="485"/>
        <v>43389.102309103684</v>
      </c>
      <c r="CQ444" s="9">
        <f t="shared" si="486"/>
        <v>35118.583725165452</v>
      </c>
      <c r="CR444" s="202">
        <f t="shared" si="487"/>
        <v>41732.870089721931</v>
      </c>
      <c r="CS444" s="202">
        <f t="shared" si="488"/>
        <v>41732.870089721931</v>
      </c>
      <c r="CT444" s="202">
        <f t="shared" si="489"/>
        <v>41732.870089721931</v>
      </c>
      <c r="CU444" s="203">
        <f t="shared" si="490"/>
        <v>0.80911234148038003</v>
      </c>
      <c r="CV444" s="203">
        <f t="shared" si="491"/>
        <v>0.80911234148038003</v>
      </c>
      <c r="CW444" s="203">
        <f t="shared" si="492"/>
        <v>0.80911234148038003</v>
      </c>
      <c r="CX444" s="19">
        <f t="shared" si="493"/>
        <v>0.79765256335544943</v>
      </c>
      <c r="CY444" s="19">
        <f t="shared" si="494"/>
        <v>0.81505120449947022</v>
      </c>
      <c r="CZ444" s="19">
        <f t="shared" si="495"/>
        <v>0.78103260575689226</v>
      </c>
      <c r="DA444" s="203">
        <f t="shared" si="496"/>
        <v>0.80911234148038003</v>
      </c>
      <c r="DB444" s="203">
        <f t="shared" si="497"/>
        <v>0.80911234148038003</v>
      </c>
      <c r="DC444" s="203">
        <f t="shared" si="498"/>
        <v>0.80911234148038003</v>
      </c>
      <c r="DD444" s="65"/>
      <c r="DE444" s="66"/>
      <c r="DF444" s="66"/>
      <c r="DG444" s="66"/>
      <c r="DH444" s="66"/>
      <c r="DI444" s="66"/>
      <c r="DJ444" s="66"/>
      <c r="DK444" s="70"/>
      <c r="DL444" s="70"/>
      <c r="DM444" s="8">
        <f t="shared" ref="DM444:DM507" si="560">+SUM(DD444:DL444)</f>
        <v>0</v>
      </c>
      <c r="DN444" s="8">
        <f t="shared" ref="DN444:DN507" si="561">+DM444+CK444</f>
        <v>9845.7154171633356</v>
      </c>
      <c r="DO444" s="202">
        <f t="shared" si="535"/>
        <v>41732.870089721931</v>
      </c>
      <c r="DP444" s="202">
        <f t="shared" si="536"/>
        <v>41732.870089721931</v>
      </c>
      <c r="DQ444" s="202">
        <f t="shared" si="537"/>
        <v>41732.870089721931</v>
      </c>
      <c r="DR444" s="9">
        <f t="shared" si="538"/>
        <v>38811.75996493706</v>
      </c>
      <c r="DS444" s="9">
        <f t="shared" si="501"/>
        <v>43389.102309103684</v>
      </c>
      <c r="DT444" s="9">
        <f t="shared" si="539"/>
        <v>35118.583725165452</v>
      </c>
      <c r="DU444" s="202">
        <f t="shared" si="540"/>
        <v>41732.870089721931</v>
      </c>
      <c r="DV444" s="202">
        <f t="shared" si="541"/>
        <v>41732.870089721931</v>
      </c>
      <c r="DW444" s="202">
        <f t="shared" si="542"/>
        <v>41732.870089721931</v>
      </c>
      <c r="DX444" s="203">
        <f t="shared" si="543"/>
        <v>0.80911234148038003</v>
      </c>
      <c r="DY444" s="203">
        <f t="shared" si="544"/>
        <v>0.80911234148038003</v>
      </c>
      <c r="DZ444" s="203">
        <f t="shared" si="545"/>
        <v>0.80911234148038003</v>
      </c>
      <c r="EA444" s="19">
        <f t="shared" si="546"/>
        <v>0.79765256335544943</v>
      </c>
      <c r="EB444" s="19">
        <f t="shared" si="502"/>
        <v>0.81505120449947022</v>
      </c>
      <c r="EC444" s="19">
        <f t="shared" si="547"/>
        <v>0.78103260575689226</v>
      </c>
      <c r="ED444" s="203">
        <f t="shared" si="548"/>
        <v>0.80911234148038003</v>
      </c>
      <c r="EE444" s="203">
        <f t="shared" si="549"/>
        <v>0.80911234148038003</v>
      </c>
      <c r="EF444" s="203">
        <f t="shared" si="550"/>
        <v>0.80911234148038003</v>
      </c>
      <c r="EH444" s="58">
        <f t="shared" si="442"/>
        <v>8620.1681579883698</v>
      </c>
      <c r="EI444" s="68">
        <f t="shared" si="443"/>
        <v>0.1619272597553203</v>
      </c>
      <c r="EJ444" s="58">
        <f t="shared" si="444"/>
        <v>8620.1681579883698</v>
      </c>
      <c r="EK444" s="68">
        <f t="shared" si="443"/>
        <v>0.1619272597553203</v>
      </c>
      <c r="EL444" s="58">
        <f t="shared" si="445"/>
        <v>4337.2301054280706</v>
      </c>
      <c r="EM444" s="58">
        <f t="shared" si="446"/>
        <v>5183.5971579883717</v>
      </c>
      <c r="EN444" s="68">
        <f t="shared" si="447"/>
        <v>9.7372309691044379E-2</v>
      </c>
      <c r="EO444" s="139">
        <f t="shared" si="464"/>
        <v>0.28868615856523006</v>
      </c>
      <c r="EP444">
        <f>+(SUM(M444:O444)*EO444*(1-'[1]Tier 3 Data'!$A$2))</f>
        <v>1812.6513173109254</v>
      </c>
    </row>
    <row r="445" spans="1:146" x14ac:dyDescent="0.2">
      <c r="A445" s="43">
        <v>0</v>
      </c>
      <c r="B445" s="43">
        <v>0</v>
      </c>
      <c r="C445" s="43">
        <v>0</v>
      </c>
      <c r="D445" s="70">
        <v>2044</v>
      </c>
      <c r="E445" s="70">
        <v>6</v>
      </c>
      <c r="F445" s="2">
        <v>720</v>
      </c>
      <c r="G445" s="133">
        <f t="shared" si="458"/>
        <v>42617.9331585564</v>
      </c>
      <c r="H445" s="65">
        <v>42617.9331585564</v>
      </c>
      <c r="I445" s="133">
        <f t="shared" si="459"/>
        <v>42617.9331585564</v>
      </c>
      <c r="J445" s="133">
        <f t="shared" si="440"/>
        <v>9293.2889999999898</v>
      </c>
      <c r="K445" s="64">
        <v>9293.2889999999898</v>
      </c>
      <c r="L445" s="133">
        <f t="shared" si="441"/>
        <v>9293.2889999999898</v>
      </c>
      <c r="M445" s="65">
        <v>1685.1147327511308</v>
      </c>
      <c r="N445" s="65">
        <v>3628.5901039798232</v>
      </c>
      <c r="O445" s="70">
        <v>1163.941057951341</v>
      </c>
      <c r="P445" s="200">
        <f t="shared" si="434"/>
        <v>31381.350390151722</v>
      </c>
      <c r="Q445" s="200">
        <f t="shared" si="435"/>
        <v>31381.350390151722</v>
      </c>
      <c r="R445" s="200">
        <f t="shared" si="436"/>
        <v>31381.350390151722</v>
      </c>
      <c r="S445" s="133">
        <f t="shared" si="460"/>
        <v>32975.461841171011</v>
      </c>
      <c r="T445" s="133">
        <f t="shared" si="461"/>
        <v>32975.461841171011</v>
      </c>
      <c r="U445" s="133">
        <f t="shared" si="462"/>
        <v>32975.461841171011</v>
      </c>
      <c r="V445" s="200">
        <f t="shared" si="437"/>
        <v>31381.350390151722</v>
      </c>
      <c r="W445" s="200">
        <f t="shared" si="438"/>
        <v>31381.350390151722</v>
      </c>
      <c r="X445" s="200">
        <f t="shared" si="439"/>
        <v>31381.350390151722</v>
      </c>
      <c r="Y445" s="58">
        <v>19210.6812481249</v>
      </c>
      <c r="Z445">
        <v>24291.593711882633</v>
      </c>
      <c r="AA445" s="65">
        <v>15571.568632075991</v>
      </c>
      <c r="AB445" s="200">
        <f t="shared" si="451"/>
        <v>55672.944102034351</v>
      </c>
      <c r="AC445" s="200">
        <f t="shared" si="452"/>
        <v>55672.944102034351</v>
      </c>
      <c r="AD445" s="200">
        <f t="shared" si="453"/>
        <v>55672.944102034351</v>
      </c>
      <c r="AE445" s="199">
        <f t="shared" si="517"/>
        <v>52186.143089295911</v>
      </c>
      <c r="AF445" s="199">
        <f t="shared" si="454"/>
        <v>57267.055553053644</v>
      </c>
      <c r="AG445" s="199">
        <f t="shared" si="518"/>
        <v>48547.030473247003</v>
      </c>
      <c r="AH445" s="199">
        <f t="shared" si="463"/>
        <v>52907.043013150324</v>
      </c>
      <c r="AI445" s="200">
        <f t="shared" si="455"/>
        <v>55672.944102034351</v>
      </c>
      <c r="AJ445" s="200">
        <f t="shared" si="456"/>
        <v>55672.944102034351</v>
      </c>
      <c r="AK445" s="200">
        <f t="shared" si="457"/>
        <v>55672.944102034351</v>
      </c>
      <c r="AL445" s="4"/>
      <c r="AM445" s="4"/>
      <c r="AN445" s="4"/>
      <c r="AO445" s="4"/>
      <c r="AP445" s="63"/>
      <c r="AQ445" s="18"/>
      <c r="AR445" s="18"/>
      <c r="AS445" s="18"/>
      <c r="AT445" s="18">
        <v>0</v>
      </c>
      <c r="AU445" s="133">
        <f t="shared" ref="AU445" si="562">+AU433</f>
        <v>128.934</v>
      </c>
      <c r="AV445" s="133">
        <f t="shared" ref="AV445" si="563">+AV433</f>
        <v>3110.2840000000001</v>
      </c>
      <c r="AW445" s="194"/>
      <c r="AX445" s="194"/>
      <c r="AY445" s="194"/>
      <c r="AZ445" s="194"/>
      <c r="BA445" s="194"/>
      <c r="BB445" s="194"/>
      <c r="BC445" s="65">
        <v>0</v>
      </c>
      <c r="BD445" s="65">
        <v>0</v>
      </c>
      <c r="BE445" s="65">
        <v>0</v>
      </c>
      <c r="BF445" s="65">
        <v>0</v>
      </c>
      <c r="BG445" s="65">
        <v>0</v>
      </c>
      <c r="BH445" s="65">
        <v>0</v>
      </c>
      <c r="BI445" s="65">
        <v>1260.8234980076584</v>
      </c>
      <c r="BJ445" s="65">
        <v>0</v>
      </c>
      <c r="BK445" s="65">
        <v>0</v>
      </c>
      <c r="BL445" s="65">
        <v>0</v>
      </c>
      <c r="BM445" s="65">
        <v>0</v>
      </c>
      <c r="BN445" s="65">
        <v>0</v>
      </c>
      <c r="BO445" s="65">
        <v>0</v>
      </c>
      <c r="BP445" s="5"/>
      <c r="BQ445" s="5"/>
      <c r="BR445" s="5"/>
      <c r="BS445" s="63"/>
      <c r="BT445" s="65">
        <v>244.88293646805064</v>
      </c>
      <c r="BU445" s="65">
        <v>270.70446261017889</v>
      </c>
      <c r="BV445" s="144">
        <f t="shared" si="448"/>
        <v>1179.5803129257915</v>
      </c>
      <c r="BW445" s="144">
        <f t="shared" si="449"/>
        <v>2540.0130727858759</v>
      </c>
      <c r="BX445" s="144">
        <f t="shared" si="450"/>
        <v>814.75874056593864</v>
      </c>
      <c r="BY445" s="5"/>
      <c r="BZ445" s="5"/>
      <c r="CA445" s="4"/>
      <c r="CB445" s="5"/>
      <c r="CC445" s="5"/>
      <c r="CD445" s="5"/>
      <c r="CE445" s="5"/>
      <c r="CF445" s="64"/>
      <c r="CG445" s="70"/>
      <c r="CH445" s="70"/>
      <c r="CI445" s="70"/>
      <c r="CJ445" s="63"/>
      <c r="CK445" s="8">
        <f t="shared" si="559"/>
        <v>9549.9810233634926</v>
      </c>
      <c r="CL445" s="202">
        <f t="shared" si="481"/>
        <v>46122.963078670859</v>
      </c>
      <c r="CM445" s="202">
        <f t="shared" si="482"/>
        <v>46122.963078670859</v>
      </c>
      <c r="CN445" s="202">
        <f t="shared" si="483"/>
        <v>46122.963078670859</v>
      </c>
      <c r="CO445" s="9">
        <f t="shared" si="484"/>
        <v>42636.162065932418</v>
      </c>
      <c r="CP445" s="9">
        <f t="shared" si="485"/>
        <v>47717.074529690151</v>
      </c>
      <c r="CQ445" s="9">
        <f t="shared" si="486"/>
        <v>38997.049449883511</v>
      </c>
      <c r="CR445" s="202">
        <f t="shared" si="487"/>
        <v>46122.963078670859</v>
      </c>
      <c r="CS445" s="202">
        <f t="shared" si="488"/>
        <v>46122.963078670859</v>
      </c>
      <c r="CT445" s="202">
        <f t="shared" si="489"/>
        <v>46122.963078670859</v>
      </c>
      <c r="CU445" s="203">
        <f t="shared" si="490"/>
        <v>0.82846279862870542</v>
      </c>
      <c r="CV445" s="203">
        <f t="shared" si="491"/>
        <v>0.82846279862870542</v>
      </c>
      <c r="CW445" s="203">
        <f t="shared" si="492"/>
        <v>0.82846279862870542</v>
      </c>
      <c r="CX445" s="19">
        <f t="shared" si="493"/>
        <v>0.81700159356435897</v>
      </c>
      <c r="CY445" s="19">
        <f t="shared" si="494"/>
        <v>0.83323778512558322</v>
      </c>
      <c r="CZ445" s="19">
        <f t="shared" si="495"/>
        <v>0.80328393044294977</v>
      </c>
      <c r="DA445" s="203">
        <f t="shared" si="496"/>
        <v>0.82846279862870542</v>
      </c>
      <c r="DB445" s="203">
        <f t="shared" si="497"/>
        <v>0.82846279862870542</v>
      </c>
      <c r="DC445" s="203">
        <f t="shared" si="498"/>
        <v>0.82846279862870542</v>
      </c>
      <c r="DD445" s="65"/>
      <c r="DE445" s="66"/>
      <c r="DF445" s="66"/>
      <c r="DG445" s="66"/>
      <c r="DH445" s="66"/>
      <c r="DI445" s="66"/>
      <c r="DJ445" s="66"/>
      <c r="DK445" s="70"/>
      <c r="DL445" s="70"/>
      <c r="DM445" s="8">
        <f t="shared" si="560"/>
        <v>0</v>
      </c>
      <c r="DN445" s="8">
        <f t="shared" si="561"/>
        <v>9549.9810233634926</v>
      </c>
      <c r="DO445" s="202">
        <f t="shared" si="535"/>
        <v>46122.963078670859</v>
      </c>
      <c r="DP445" s="202">
        <f t="shared" si="536"/>
        <v>46122.963078670859</v>
      </c>
      <c r="DQ445" s="202">
        <f t="shared" si="537"/>
        <v>46122.963078670859</v>
      </c>
      <c r="DR445" s="9">
        <f t="shared" si="538"/>
        <v>42636.162065932418</v>
      </c>
      <c r="DS445" s="9">
        <f t="shared" si="501"/>
        <v>47717.074529690151</v>
      </c>
      <c r="DT445" s="9">
        <f t="shared" si="539"/>
        <v>38997.049449883511</v>
      </c>
      <c r="DU445" s="202">
        <f t="shared" si="540"/>
        <v>46122.963078670859</v>
      </c>
      <c r="DV445" s="202">
        <f t="shared" si="541"/>
        <v>46122.963078670859</v>
      </c>
      <c r="DW445" s="202">
        <f t="shared" si="542"/>
        <v>46122.963078670859</v>
      </c>
      <c r="DX445" s="203">
        <f t="shared" si="543"/>
        <v>0.82846279862870542</v>
      </c>
      <c r="DY445" s="203">
        <f t="shared" si="544"/>
        <v>0.82846279862870542</v>
      </c>
      <c r="DZ445" s="203">
        <f t="shared" si="545"/>
        <v>0.82846279862870542</v>
      </c>
      <c r="EA445" s="19">
        <f t="shared" si="546"/>
        <v>0.81700159356435897</v>
      </c>
      <c r="EB445" s="19">
        <f t="shared" si="502"/>
        <v>0.83323778512558322</v>
      </c>
      <c r="EC445" s="19">
        <f t="shared" si="547"/>
        <v>0.80328393044294977</v>
      </c>
      <c r="ED445" s="203">
        <f t="shared" si="548"/>
        <v>0.82846279862870542</v>
      </c>
      <c r="EE445" s="203">
        <f t="shared" si="549"/>
        <v>0.82846279862870542</v>
      </c>
      <c r="EF445" s="203">
        <f t="shared" si="550"/>
        <v>0.82846279862870542</v>
      </c>
      <c r="EH445" s="58">
        <f t="shared" si="442"/>
        <v>8370.4007104377015</v>
      </c>
      <c r="EI445" s="68">
        <f t="shared" si="443"/>
        <v>0.14616432833155096</v>
      </c>
      <c r="EJ445" s="58">
        <f t="shared" si="444"/>
        <v>8370.4007104377015</v>
      </c>
      <c r="EK445" s="68">
        <f t="shared" si="443"/>
        <v>0.14616432833155096</v>
      </c>
      <c r="EL445" s="58">
        <f t="shared" si="445"/>
        <v>4316.4239698717638</v>
      </c>
      <c r="EM445" s="58">
        <f t="shared" si="446"/>
        <v>5131.1827104377026</v>
      </c>
      <c r="EN445" s="68">
        <f t="shared" si="447"/>
        <v>8.9600952255770264E-2</v>
      </c>
      <c r="EO445" s="139">
        <f t="shared" si="464"/>
        <v>0.24029016665052916</v>
      </c>
      <c r="EP445">
        <f>+(SUM(M445:O445)*EO445*(1-'[1]Tier 3 Data'!$A$2))</f>
        <v>1452.228132563391</v>
      </c>
    </row>
    <row r="446" spans="1:146" x14ac:dyDescent="0.2">
      <c r="A446" s="43">
        <v>0</v>
      </c>
      <c r="B446" s="43">
        <v>0</v>
      </c>
      <c r="C446" s="43">
        <v>0</v>
      </c>
      <c r="D446" s="70">
        <v>2044</v>
      </c>
      <c r="E446" s="70">
        <v>7</v>
      </c>
      <c r="F446" s="2">
        <v>744</v>
      </c>
      <c r="G446" s="133">
        <f t="shared" si="458"/>
        <v>48942.276801042899</v>
      </c>
      <c r="H446" s="65">
        <v>48942.276801042899</v>
      </c>
      <c r="I446" s="133">
        <f t="shared" si="459"/>
        <v>48942.276801042899</v>
      </c>
      <c r="J446" s="133">
        <f t="shared" si="440"/>
        <v>9333.097999999989</v>
      </c>
      <c r="K446" s="64">
        <v>9333.097999999989</v>
      </c>
      <c r="L446" s="133">
        <f t="shared" si="441"/>
        <v>9333.097999999989</v>
      </c>
      <c r="M446" s="65">
        <v>1709.2251160000674</v>
      </c>
      <c r="N446" s="65">
        <v>3680.5074579497937</v>
      </c>
      <c r="O446" s="70">
        <v>1180.7809987218827</v>
      </c>
      <c r="P446" s="200">
        <f t="shared" si="434"/>
        <v>37638.024729241384</v>
      </c>
      <c r="Q446" s="200">
        <f t="shared" si="435"/>
        <v>37638.024729241384</v>
      </c>
      <c r="R446" s="200">
        <f t="shared" si="436"/>
        <v>37638.024729241384</v>
      </c>
      <c r="S446" s="133">
        <f t="shared" si="460"/>
        <v>39254.94450142634</v>
      </c>
      <c r="T446" s="133">
        <f t="shared" si="461"/>
        <v>39254.94450142634</v>
      </c>
      <c r="U446" s="133">
        <f t="shared" si="462"/>
        <v>39254.94450142634</v>
      </c>
      <c r="V446" s="200">
        <f t="shared" si="437"/>
        <v>37638.024729241384</v>
      </c>
      <c r="W446" s="200">
        <f t="shared" si="438"/>
        <v>37638.024729241384</v>
      </c>
      <c r="X446" s="200">
        <f t="shared" si="439"/>
        <v>37638.024729241384</v>
      </c>
      <c r="Y446" s="58">
        <v>20956.346556025273</v>
      </c>
      <c r="Z446">
        <v>27774.891711178298</v>
      </c>
      <c r="AA446" s="65">
        <v>17478.158360505975</v>
      </c>
      <c r="AB446" s="200">
        <f t="shared" si="451"/>
        <v>65412.916440419678</v>
      </c>
      <c r="AC446" s="200">
        <f t="shared" si="452"/>
        <v>65412.916440419678</v>
      </c>
      <c r="AD446" s="200">
        <f t="shared" si="453"/>
        <v>65412.916440419678</v>
      </c>
      <c r="AE446" s="199">
        <f t="shared" si="517"/>
        <v>60211.291057451614</v>
      </c>
      <c r="AF446" s="199">
        <f t="shared" si="454"/>
        <v>67029.836212604641</v>
      </c>
      <c r="AG446" s="199">
        <f t="shared" si="518"/>
        <v>56733.102861932319</v>
      </c>
      <c r="AH446" s="199">
        <f t="shared" si="463"/>
        <v>61881.46953726848</v>
      </c>
      <c r="AI446" s="200">
        <f t="shared" si="455"/>
        <v>65412.916440419678</v>
      </c>
      <c r="AJ446" s="200">
        <f t="shared" si="456"/>
        <v>65412.916440419678</v>
      </c>
      <c r="AK446" s="200">
        <f t="shared" si="457"/>
        <v>65412.916440419678</v>
      </c>
      <c r="AL446" s="4"/>
      <c r="AM446" s="4"/>
      <c r="AN446" s="4"/>
      <c r="AO446" s="4"/>
      <c r="AP446" s="63"/>
      <c r="AQ446" s="18"/>
      <c r="AR446" s="18"/>
      <c r="AS446" s="18"/>
      <c r="AT446" s="18">
        <v>0</v>
      </c>
      <c r="AU446" s="133">
        <f t="shared" ref="AU446" si="564">+AU434</f>
        <v>118.521</v>
      </c>
      <c r="AV446" s="133">
        <f t="shared" ref="AV446" si="565">+AV434</f>
        <v>3084.53</v>
      </c>
      <c r="AW446" s="194"/>
      <c r="AX446" s="194"/>
      <c r="AY446" s="194"/>
      <c r="AZ446" s="194"/>
      <c r="BA446" s="194"/>
      <c r="BB446" s="194"/>
      <c r="BC446" s="65">
        <v>0</v>
      </c>
      <c r="BD446" s="65">
        <v>0</v>
      </c>
      <c r="BE446" s="65">
        <v>0</v>
      </c>
      <c r="BF446" s="65">
        <v>0</v>
      </c>
      <c r="BG446" s="65">
        <v>0</v>
      </c>
      <c r="BH446" s="65">
        <v>0</v>
      </c>
      <c r="BI446" s="65">
        <v>1221.0413818344757</v>
      </c>
      <c r="BJ446" s="65">
        <v>0</v>
      </c>
      <c r="BK446" s="65">
        <v>0</v>
      </c>
      <c r="BL446" s="65">
        <v>0</v>
      </c>
      <c r="BM446" s="65">
        <v>0</v>
      </c>
      <c r="BN446" s="65">
        <v>0</v>
      </c>
      <c r="BO446" s="65">
        <v>0</v>
      </c>
      <c r="BP446" s="5"/>
      <c r="BQ446" s="5"/>
      <c r="BR446" s="5"/>
      <c r="BS446" s="63"/>
      <c r="BT446" s="65">
        <v>253.02683860642679</v>
      </c>
      <c r="BU446" s="65">
        <v>278.32908054087022</v>
      </c>
      <c r="BV446" s="144">
        <f t="shared" si="448"/>
        <v>1196.4575812000471</v>
      </c>
      <c r="BW446" s="144">
        <f t="shared" si="449"/>
        <v>2576.3552205648552</v>
      </c>
      <c r="BX446" s="144">
        <f t="shared" si="450"/>
        <v>826.54669910531788</v>
      </c>
      <c r="BY446" s="5"/>
      <c r="BZ446" s="5"/>
      <c r="CA446" s="4"/>
      <c r="CB446" s="5"/>
      <c r="CC446" s="5"/>
      <c r="CD446" s="5"/>
      <c r="CE446" s="5"/>
      <c r="CF446" s="64"/>
      <c r="CG446" s="70"/>
      <c r="CH446" s="70"/>
      <c r="CI446" s="70"/>
      <c r="CJ446" s="63"/>
      <c r="CK446" s="8">
        <f t="shared" si="559"/>
        <v>9554.8078018519955</v>
      </c>
      <c r="CL446" s="202">
        <f t="shared" si="481"/>
        <v>55858.108638567683</v>
      </c>
      <c r="CM446" s="202">
        <f t="shared" si="482"/>
        <v>55858.108638567683</v>
      </c>
      <c r="CN446" s="202">
        <f t="shared" si="483"/>
        <v>55858.108638567683</v>
      </c>
      <c r="CO446" s="9">
        <f t="shared" si="484"/>
        <v>50656.483255599618</v>
      </c>
      <c r="CP446" s="9">
        <f t="shared" si="485"/>
        <v>57475.028410752646</v>
      </c>
      <c r="CQ446" s="9">
        <f t="shared" si="486"/>
        <v>47178.295060080323</v>
      </c>
      <c r="CR446" s="202">
        <f t="shared" si="487"/>
        <v>55858.108638567683</v>
      </c>
      <c r="CS446" s="202">
        <f t="shared" si="488"/>
        <v>55858.108638567683</v>
      </c>
      <c r="CT446" s="202">
        <f t="shared" si="489"/>
        <v>55858.108638567683</v>
      </c>
      <c r="CU446" s="203">
        <f t="shared" si="490"/>
        <v>0.85393086989853384</v>
      </c>
      <c r="CV446" s="203">
        <f t="shared" si="491"/>
        <v>0.85393086989853384</v>
      </c>
      <c r="CW446" s="203">
        <f t="shared" si="492"/>
        <v>0.85393086989853384</v>
      </c>
      <c r="CX446" s="19">
        <f t="shared" si="493"/>
        <v>0.84131202580035835</v>
      </c>
      <c r="CY446" s="19">
        <f t="shared" si="494"/>
        <v>0.85745440625058156</v>
      </c>
      <c r="CZ446" s="19">
        <f t="shared" si="495"/>
        <v>0.83158319711324602</v>
      </c>
      <c r="DA446" s="203">
        <f t="shared" si="496"/>
        <v>0.85393086989853384</v>
      </c>
      <c r="DB446" s="203">
        <f t="shared" si="497"/>
        <v>0.85393086989853384</v>
      </c>
      <c r="DC446" s="203">
        <f t="shared" si="498"/>
        <v>0.85393086989853384</v>
      </c>
      <c r="DD446" s="65"/>
      <c r="DE446" s="66"/>
      <c r="DF446" s="66"/>
      <c r="DG446" s="66"/>
      <c r="DH446" s="66"/>
      <c r="DI446" s="66"/>
      <c r="DJ446" s="66"/>
      <c r="DK446" s="70"/>
      <c r="DL446" s="70"/>
      <c r="DM446" s="8">
        <f t="shared" si="560"/>
        <v>0</v>
      </c>
      <c r="DN446" s="8">
        <f t="shared" si="561"/>
        <v>9554.8078018519955</v>
      </c>
      <c r="DO446" s="202">
        <f t="shared" si="535"/>
        <v>55858.108638567683</v>
      </c>
      <c r="DP446" s="202">
        <f t="shared" si="536"/>
        <v>55858.108638567683</v>
      </c>
      <c r="DQ446" s="202">
        <f t="shared" si="537"/>
        <v>55858.108638567683</v>
      </c>
      <c r="DR446" s="9">
        <f t="shared" si="538"/>
        <v>50656.483255599618</v>
      </c>
      <c r="DS446" s="9">
        <f t="shared" si="501"/>
        <v>57475.028410752646</v>
      </c>
      <c r="DT446" s="9">
        <f t="shared" si="539"/>
        <v>47178.295060080323</v>
      </c>
      <c r="DU446" s="202">
        <f t="shared" si="540"/>
        <v>55858.108638567683</v>
      </c>
      <c r="DV446" s="202">
        <f t="shared" si="541"/>
        <v>55858.108638567683</v>
      </c>
      <c r="DW446" s="202">
        <f t="shared" si="542"/>
        <v>55858.108638567683</v>
      </c>
      <c r="DX446" s="203">
        <f t="shared" si="543"/>
        <v>0.85393086989853384</v>
      </c>
      <c r="DY446" s="203">
        <f t="shared" si="544"/>
        <v>0.85393086989853384</v>
      </c>
      <c r="DZ446" s="203">
        <f t="shared" si="545"/>
        <v>0.85393086989853384</v>
      </c>
      <c r="EA446" s="19">
        <f t="shared" si="546"/>
        <v>0.84131202580035835</v>
      </c>
      <c r="EB446" s="19">
        <f t="shared" si="502"/>
        <v>0.85745440625058156</v>
      </c>
      <c r="EC446" s="19">
        <f t="shared" si="547"/>
        <v>0.83158319711324602</v>
      </c>
      <c r="ED446" s="203">
        <f t="shared" si="548"/>
        <v>0.85393086989853384</v>
      </c>
      <c r="EE446" s="203">
        <f t="shared" si="549"/>
        <v>0.85393086989853384</v>
      </c>
      <c r="EF446" s="203">
        <f t="shared" si="550"/>
        <v>0.85393086989853384</v>
      </c>
      <c r="EH446" s="58">
        <f t="shared" si="442"/>
        <v>8358.3502206519479</v>
      </c>
      <c r="EI446" s="68">
        <f t="shared" si="443"/>
        <v>0.1246959666459725</v>
      </c>
      <c r="EJ446" s="58">
        <f t="shared" si="444"/>
        <v>8358.3502206519479</v>
      </c>
      <c r="EK446" s="68">
        <f t="shared" si="443"/>
        <v>0.1246959666459725</v>
      </c>
      <c r="EL446" s="58">
        <f t="shared" si="445"/>
        <v>4328.7525215466285</v>
      </c>
      <c r="EM446" s="58">
        <f t="shared" si="446"/>
        <v>5155.2992206519466</v>
      </c>
      <c r="EN446" s="68">
        <f t="shared" si="447"/>
        <v>7.6910514957852713E-2</v>
      </c>
      <c r="EO446" s="139">
        <f t="shared" si="464"/>
        <v>0.25197746931178833</v>
      </c>
      <c r="EP446">
        <f>+(SUM(M446:O446)*EO446*(1-'[1]Tier 3 Data'!$A$2))</f>
        <v>1544.6947495185038</v>
      </c>
    </row>
    <row r="447" spans="1:146" x14ac:dyDescent="0.2">
      <c r="A447" s="43">
        <v>0</v>
      </c>
      <c r="B447" s="43">
        <v>0</v>
      </c>
      <c r="C447" s="43">
        <v>0</v>
      </c>
      <c r="D447" s="70">
        <v>2044</v>
      </c>
      <c r="E447" s="70">
        <v>8</v>
      </c>
      <c r="F447" s="2">
        <v>744</v>
      </c>
      <c r="G447" s="133">
        <f t="shared" si="458"/>
        <v>46739.898323292735</v>
      </c>
      <c r="H447" s="65">
        <v>46739.898323292735</v>
      </c>
      <c r="I447" s="133">
        <f t="shared" si="459"/>
        <v>46739.898323292735</v>
      </c>
      <c r="J447" s="133">
        <f t="shared" si="440"/>
        <v>9372.9069999999883</v>
      </c>
      <c r="K447" s="64">
        <v>9372.9069999999883</v>
      </c>
      <c r="L447" s="133">
        <f t="shared" si="441"/>
        <v>9372.9069999999883</v>
      </c>
      <c r="M447" s="65">
        <v>1523.4196774399222</v>
      </c>
      <c r="N447" s="65">
        <v>3280.4090180505418</v>
      </c>
      <c r="O447" s="70">
        <v>1074.1440230540161</v>
      </c>
      <c r="P447" s="200">
        <f t="shared" si="434"/>
        <v>35603.599507729406</v>
      </c>
      <c r="Q447" s="200">
        <f t="shared" si="435"/>
        <v>35603.599507729406</v>
      </c>
      <c r="R447" s="200">
        <f t="shared" si="436"/>
        <v>35603.599507729406</v>
      </c>
      <c r="S447" s="133">
        <f t="shared" si="460"/>
        <v>37044.748116376548</v>
      </c>
      <c r="T447" s="133">
        <f t="shared" si="461"/>
        <v>37044.748116376548</v>
      </c>
      <c r="U447" s="133">
        <f t="shared" si="462"/>
        <v>37044.748116376548</v>
      </c>
      <c r="V447" s="200">
        <f t="shared" si="437"/>
        <v>35603.599507729406</v>
      </c>
      <c r="W447" s="200">
        <f t="shared" si="438"/>
        <v>35603.599507729406</v>
      </c>
      <c r="X447" s="200">
        <f t="shared" si="439"/>
        <v>35603.599507729406</v>
      </c>
      <c r="Y447" s="58">
        <v>20012.919779975859</v>
      </c>
      <c r="Z447">
        <v>25978.508447710479</v>
      </c>
      <c r="AA447" s="65">
        <v>16480.269694929433</v>
      </c>
      <c r="AB447" s="200">
        <f t="shared" si="451"/>
        <v>61582.107955439889</v>
      </c>
      <c r="AC447" s="200">
        <f t="shared" si="452"/>
        <v>61582.107955439889</v>
      </c>
      <c r="AD447" s="200">
        <f t="shared" si="453"/>
        <v>61582.107955439889</v>
      </c>
      <c r="AE447" s="199">
        <f t="shared" si="517"/>
        <v>57057.667896352403</v>
      </c>
      <c r="AF447" s="199">
        <f t="shared" si="454"/>
        <v>63023.256564087031</v>
      </c>
      <c r="AG447" s="199">
        <f t="shared" si="518"/>
        <v>53525.017811305981</v>
      </c>
      <c r="AH447" s="199">
        <f t="shared" si="463"/>
        <v>58274.137187696506</v>
      </c>
      <c r="AI447" s="200">
        <f t="shared" si="455"/>
        <v>61582.107955439889</v>
      </c>
      <c r="AJ447" s="200">
        <f t="shared" si="456"/>
        <v>61582.107955439889</v>
      </c>
      <c r="AK447" s="200">
        <f t="shared" si="457"/>
        <v>61582.107955439889</v>
      </c>
      <c r="AL447" s="4"/>
      <c r="AM447" s="4"/>
      <c r="AN447" s="4"/>
      <c r="AO447" s="4"/>
      <c r="AP447" s="63"/>
      <c r="AQ447" s="18"/>
      <c r="AR447" s="18"/>
      <c r="AS447" s="18"/>
      <c r="AT447" s="18">
        <v>0</v>
      </c>
      <c r="AU447" s="133">
        <f t="shared" ref="AU447" si="566">+AU435</f>
        <v>107.64</v>
      </c>
      <c r="AV447" s="133">
        <f t="shared" ref="AV447" si="567">+AV435</f>
        <v>3021.9279999999999</v>
      </c>
      <c r="AW447" s="194"/>
      <c r="AX447" s="194"/>
      <c r="AY447" s="194"/>
      <c r="AZ447" s="194"/>
      <c r="BA447" s="194"/>
      <c r="BB447" s="194"/>
      <c r="BC447" s="65">
        <v>0</v>
      </c>
      <c r="BD447" s="65">
        <v>0</v>
      </c>
      <c r="BE447" s="65">
        <v>0</v>
      </c>
      <c r="BF447" s="65">
        <v>0</v>
      </c>
      <c r="BG447" s="65">
        <v>0</v>
      </c>
      <c r="BH447" s="65">
        <v>0</v>
      </c>
      <c r="BI447" s="65">
        <v>1184.1353458996571</v>
      </c>
      <c r="BJ447" s="65">
        <v>0</v>
      </c>
      <c r="BK447" s="65">
        <v>0</v>
      </c>
      <c r="BL447" s="65">
        <v>0</v>
      </c>
      <c r="BM447" s="65">
        <v>0</v>
      </c>
      <c r="BN447" s="65">
        <v>0</v>
      </c>
      <c r="BO447" s="65">
        <v>0</v>
      </c>
      <c r="BP447" s="5"/>
      <c r="BQ447" s="5"/>
      <c r="BR447" s="5"/>
      <c r="BS447" s="63"/>
      <c r="BT447" s="65">
        <v>240.14825975276437</v>
      </c>
      <c r="BU447" s="65">
        <v>258.98021743430189</v>
      </c>
      <c r="BV447" s="144">
        <f t="shared" si="448"/>
        <v>1066.3937742079454</v>
      </c>
      <c r="BW447" s="144">
        <f t="shared" si="449"/>
        <v>2296.2863126353791</v>
      </c>
      <c r="BX447" s="144">
        <f t="shared" si="450"/>
        <v>751.90081613781126</v>
      </c>
      <c r="BY447" s="5"/>
      <c r="BZ447" s="5"/>
      <c r="CA447" s="4"/>
      <c r="CB447" s="5"/>
      <c r="CC447" s="5"/>
      <c r="CD447" s="5"/>
      <c r="CE447" s="5"/>
      <c r="CF447" s="64"/>
      <c r="CG447" s="70"/>
      <c r="CH447" s="70"/>
      <c r="CI447" s="70"/>
      <c r="CJ447" s="63"/>
      <c r="CK447" s="8">
        <f t="shared" si="559"/>
        <v>8927.4127260678597</v>
      </c>
      <c r="CL447" s="202">
        <f t="shared" si="481"/>
        <v>52654.695229372031</v>
      </c>
      <c r="CM447" s="202">
        <f t="shared" si="482"/>
        <v>52654.695229372031</v>
      </c>
      <c r="CN447" s="202">
        <f t="shared" si="483"/>
        <v>52654.695229372031</v>
      </c>
      <c r="CO447" s="9">
        <f t="shared" si="484"/>
        <v>48130.255170284545</v>
      </c>
      <c r="CP447" s="9">
        <f t="shared" si="485"/>
        <v>54095.843838019173</v>
      </c>
      <c r="CQ447" s="9">
        <f t="shared" si="486"/>
        <v>44597.605085238123</v>
      </c>
      <c r="CR447" s="202">
        <f t="shared" si="487"/>
        <v>52654.695229372031</v>
      </c>
      <c r="CS447" s="202">
        <f t="shared" si="488"/>
        <v>52654.695229372031</v>
      </c>
      <c r="CT447" s="202">
        <f t="shared" si="489"/>
        <v>52654.695229372031</v>
      </c>
      <c r="CU447" s="203">
        <f t="shared" si="490"/>
        <v>0.8550323621184317</v>
      </c>
      <c r="CV447" s="203">
        <f t="shared" si="491"/>
        <v>0.8550323621184317</v>
      </c>
      <c r="CW447" s="203">
        <f t="shared" si="492"/>
        <v>0.8550323621184317</v>
      </c>
      <c r="CX447" s="19">
        <f t="shared" si="493"/>
        <v>0.8435370204354502</v>
      </c>
      <c r="CY447" s="19">
        <f t="shared" si="494"/>
        <v>0.85834732743475806</v>
      </c>
      <c r="CZ447" s="19">
        <f t="shared" si="495"/>
        <v>0.83321046697191126</v>
      </c>
      <c r="DA447" s="203">
        <f t="shared" si="496"/>
        <v>0.8550323621184317</v>
      </c>
      <c r="DB447" s="203">
        <f t="shared" si="497"/>
        <v>0.8550323621184317</v>
      </c>
      <c r="DC447" s="203">
        <f t="shared" si="498"/>
        <v>0.8550323621184317</v>
      </c>
      <c r="DD447" s="65"/>
      <c r="DE447" s="66"/>
      <c r="DF447" s="66"/>
      <c r="DG447" s="66"/>
      <c r="DH447" s="66"/>
      <c r="DI447" s="66"/>
      <c r="DJ447" s="66"/>
      <c r="DK447" s="70"/>
      <c r="DL447" s="70"/>
      <c r="DM447" s="8">
        <f t="shared" si="560"/>
        <v>0</v>
      </c>
      <c r="DN447" s="8">
        <f t="shared" si="561"/>
        <v>8927.4127260678597</v>
      </c>
      <c r="DO447" s="202">
        <f t="shared" si="535"/>
        <v>52654.695229372031</v>
      </c>
      <c r="DP447" s="202">
        <f t="shared" si="536"/>
        <v>52654.695229372031</v>
      </c>
      <c r="DQ447" s="202">
        <f t="shared" si="537"/>
        <v>52654.695229372031</v>
      </c>
      <c r="DR447" s="9">
        <f t="shared" si="538"/>
        <v>48130.255170284545</v>
      </c>
      <c r="DS447" s="9">
        <f t="shared" si="501"/>
        <v>54095.843838019173</v>
      </c>
      <c r="DT447" s="9">
        <f t="shared" si="539"/>
        <v>44597.605085238123</v>
      </c>
      <c r="DU447" s="202">
        <f t="shared" si="540"/>
        <v>52654.695229372031</v>
      </c>
      <c r="DV447" s="202">
        <f t="shared" si="541"/>
        <v>52654.695229372031</v>
      </c>
      <c r="DW447" s="202">
        <f t="shared" si="542"/>
        <v>52654.695229372031</v>
      </c>
      <c r="DX447" s="203">
        <f t="shared" si="543"/>
        <v>0.8550323621184317</v>
      </c>
      <c r="DY447" s="203">
        <f t="shared" si="544"/>
        <v>0.8550323621184317</v>
      </c>
      <c r="DZ447" s="203">
        <f t="shared" si="545"/>
        <v>0.8550323621184317</v>
      </c>
      <c r="EA447" s="19">
        <f t="shared" si="546"/>
        <v>0.8435370204354502</v>
      </c>
      <c r="EB447" s="19">
        <f t="shared" si="502"/>
        <v>0.85834732743475806</v>
      </c>
      <c r="EC447" s="19">
        <f t="shared" si="547"/>
        <v>0.83321046697191126</v>
      </c>
      <c r="ED447" s="203">
        <f t="shared" si="548"/>
        <v>0.8550323621184317</v>
      </c>
      <c r="EE447" s="203">
        <f t="shared" si="549"/>
        <v>0.8550323621184317</v>
      </c>
      <c r="EF447" s="203">
        <f t="shared" si="550"/>
        <v>0.8550323621184317</v>
      </c>
      <c r="EH447" s="58">
        <f t="shared" si="442"/>
        <v>7861.0189518599145</v>
      </c>
      <c r="EI447" s="68">
        <f t="shared" si="443"/>
        <v>0.12473203354489003</v>
      </c>
      <c r="EJ447" s="58">
        <f t="shared" si="444"/>
        <v>7861.0189518599145</v>
      </c>
      <c r="EK447" s="68">
        <f t="shared" si="443"/>
        <v>0.12473203354489003</v>
      </c>
      <c r="EL447" s="58">
        <f t="shared" si="445"/>
        <v>3979.5501357221028</v>
      </c>
      <c r="EM447" s="58">
        <f t="shared" si="446"/>
        <v>4731.4509518599143</v>
      </c>
      <c r="EN447" s="68">
        <f t="shared" si="447"/>
        <v>7.5074682106415769E-2</v>
      </c>
      <c r="EO447" s="139">
        <f t="shared" si="464"/>
        <v>0.28519905910129462</v>
      </c>
      <c r="EP447">
        <f>+(SUM(M447:O447)*EO447*(1-'[1]Tier 3 Data'!$A$2))</f>
        <v>1564.0740054055832</v>
      </c>
    </row>
    <row r="448" spans="1:146" x14ac:dyDescent="0.2">
      <c r="A448" s="43">
        <v>0</v>
      </c>
      <c r="B448" s="43">
        <v>0</v>
      </c>
      <c r="C448" s="43">
        <v>0</v>
      </c>
      <c r="D448" s="70">
        <v>2044</v>
      </c>
      <c r="E448" s="70">
        <v>9</v>
      </c>
      <c r="F448" s="2">
        <v>720</v>
      </c>
      <c r="G448" s="133">
        <f t="shared" si="458"/>
        <v>40602.657122799697</v>
      </c>
      <c r="H448" s="65">
        <v>40602.657122799697</v>
      </c>
      <c r="I448" s="133">
        <f t="shared" si="459"/>
        <v>40602.657122799697</v>
      </c>
      <c r="J448" s="133">
        <f t="shared" si="440"/>
        <v>9412.7159999999876</v>
      </c>
      <c r="K448" s="64">
        <v>9412.7159999999876</v>
      </c>
      <c r="L448" s="133">
        <f t="shared" si="441"/>
        <v>9412.7159999999876</v>
      </c>
      <c r="M448" s="65">
        <v>1349.1581364153492</v>
      </c>
      <c r="N448" s="65">
        <v>2905.1682756984146</v>
      </c>
      <c r="O448" s="70">
        <v>951.4203490101587</v>
      </c>
      <c r="P448" s="200">
        <f t="shared" ref="P448:P511" si="568">+$G448-J448-(30%*SUM($M448:$O448))</f>
        <v>29628.217094462536</v>
      </c>
      <c r="Q448" s="200">
        <f t="shared" ref="Q448:Q511" si="569">+$G448-K448-(30%*SUM($M448:$O448))</f>
        <v>29628.217094462536</v>
      </c>
      <c r="R448" s="200">
        <f t="shared" ref="R448:R511" si="570">+$G448-L448-(30%*SUM($M448:$O448))</f>
        <v>29628.217094462536</v>
      </c>
      <c r="S448" s="133">
        <f t="shared" si="460"/>
        <v>30904.515018096663</v>
      </c>
      <c r="T448" s="133">
        <f t="shared" si="461"/>
        <v>30904.515018096663</v>
      </c>
      <c r="U448" s="133">
        <f t="shared" si="462"/>
        <v>30904.515018096663</v>
      </c>
      <c r="V448" s="200">
        <f t="shared" ref="V448:V511" si="571">+$I448-J448-(30%*SUM($M448:$O448))</f>
        <v>29628.217094462536</v>
      </c>
      <c r="W448" s="200">
        <f t="shared" ref="W448:W511" si="572">+$I448-K448-(30%*SUM($M448:$O448))</f>
        <v>29628.217094462536</v>
      </c>
      <c r="X448" s="200">
        <f t="shared" ref="X448:X511" si="573">+$I448-L448-(30%*SUM($M448:$O448))</f>
        <v>29628.217094462536</v>
      </c>
      <c r="Y448" s="58">
        <v>18678.276467478841</v>
      </c>
      <c r="Z448">
        <v>23969.446931975912</v>
      </c>
      <c r="AA448" s="65">
        <v>15101.195325847388</v>
      </c>
      <c r="AB448" s="200">
        <f t="shared" si="451"/>
        <v>53597.664026438448</v>
      </c>
      <c r="AC448" s="200">
        <f t="shared" si="452"/>
        <v>53597.664026438448</v>
      </c>
      <c r="AD448" s="200">
        <f t="shared" si="453"/>
        <v>53597.664026438448</v>
      </c>
      <c r="AE448" s="199">
        <f t="shared" si="517"/>
        <v>49582.791485575508</v>
      </c>
      <c r="AF448" s="199">
        <f t="shared" si="454"/>
        <v>54873.961950072575</v>
      </c>
      <c r="AG448" s="199">
        <f t="shared" si="518"/>
        <v>46005.710343944054</v>
      </c>
      <c r="AH448" s="199">
        <f t="shared" si="463"/>
        <v>50439.836147008318</v>
      </c>
      <c r="AI448" s="200">
        <f t="shared" si="455"/>
        <v>53597.664026438448</v>
      </c>
      <c r="AJ448" s="200">
        <f t="shared" si="456"/>
        <v>53597.664026438448</v>
      </c>
      <c r="AK448" s="200">
        <f t="shared" si="457"/>
        <v>53597.664026438448</v>
      </c>
      <c r="AL448" s="4"/>
      <c r="AM448" s="4"/>
      <c r="AN448" s="4"/>
      <c r="AO448" s="4"/>
      <c r="AP448" s="63"/>
      <c r="AQ448" s="18"/>
      <c r="AR448" s="18"/>
      <c r="AS448" s="18"/>
      <c r="AT448" s="18">
        <v>0</v>
      </c>
      <c r="AU448" s="133">
        <f t="shared" ref="AU448" si="574">+AU436</f>
        <v>102.375</v>
      </c>
      <c r="AV448" s="133">
        <f t="shared" ref="AV448" si="575">+AV436</f>
        <v>2969.6280000000002</v>
      </c>
      <c r="AW448" s="194"/>
      <c r="AX448" s="194"/>
      <c r="AY448" s="194"/>
      <c r="AZ448" s="194"/>
      <c r="BA448" s="194"/>
      <c r="BB448" s="194"/>
      <c r="BC448" s="65">
        <v>0</v>
      </c>
      <c r="BD448" s="65">
        <v>0</v>
      </c>
      <c r="BE448" s="65">
        <v>0</v>
      </c>
      <c r="BF448" s="65">
        <v>0</v>
      </c>
      <c r="BG448" s="65">
        <v>0</v>
      </c>
      <c r="BH448" s="65">
        <v>0</v>
      </c>
      <c r="BI448" s="65">
        <v>1101.7736902492113</v>
      </c>
      <c r="BJ448" s="65">
        <v>0</v>
      </c>
      <c r="BK448" s="65">
        <v>0</v>
      </c>
      <c r="BL448" s="65">
        <v>0</v>
      </c>
      <c r="BM448" s="65">
        <v>0</v>
      </c>
      <c r="BN448" s="65">
        <v>0</v>
      </c>
      <c r="BO448" s="65">
        <v>0</v>
      </c>
      <c r="BP448" s="5"/>
      <c r="BQ448" s="5"/>
      <c r="BR448" s="5"/>
      <c r="BS448" s="63"/>
      <c r="BT448" s="65">
        <v>206.84100464937504</v>
      </c>
      <c r="BU448" s="65">
        <v>212.64333116951241</v>
      </c>
      <c r="BV448" s="144">
        <f t="shared" si="448"/>
        <v>944.41069549074439</v>
      </c>
      <c r="BW448" s="144">
        <f t="shared" si="449"/>
        <v>2033.6177929888902</v>
      </c>
      <c r="BX448" s="144">
        <f t="shared" si="450"/>
        <v>665.9942443071111</v>
      </c>
      <c r="BY448" s="5"/>
      <c r="BZ448" s="5"/>
      <c r="CA448" s="4"/>
      <c r="CB448" s="5"/>
      <c r="CC448" s="5"/>
      <c r="CD448" s="5"/>
      <c r="CE448" s="5"/>
      <c r="CF448" s="64"/>
      <c r="CG448" s="70"/>
      <c r="CH448" s="70"/>
      <c r="CI448" s="70"/>
      <c r="CJ448" s="63"/>
      <c r="CK448" s="8">
        <f t="shared" si="559"/>
        <v>8237.2837588548446</v>
      </c>
      <c r="CL448" s="202">
        <f t="shared" si="481"/>
        <v>45360.380267583605</v>
      </c>
      <c r="CM448" s="202">
        <f t="shared" si="482"/>
        <v>45360.380267583605</v>
      </c>
      <c r="CN448" s="202">
        <f t="shared" si="483"/>
        <v>45360.380267583605</v>
      </c>
      <c r="CO448" s="9">
        <f t="shared" si="484"/>
        <v>41345.507726720665</v>
      </c>
      <c r="CP448" s="9">
        <f t="shared" si="485"/>
        <v>46636.678191217732</v>
      </c>
      <c r="CQ448" s="9">
        <f t="shared" si="486"/>
        <v>37768.426585089212</v>
      </c>
      <c r="CR448" s="202">
        <f t="shared" si="487"/>
        <v>45360.380267583605</v>
      </c>
      <c r="CS448" s="202">
        <f t="shared" si="488"/>
        <v>45360.380267583605</v>
      </c>
      <c r="CT448" s="202">
        <f t="shared" si="489"/>
        <v>45360.380267583605</v>
      </c>
      <c r="CU448" s="203">
        <f t="shared" si="490"/>
        <v>0.84631263491648467</v>
      </c>
      <c r="CV448" s="203">
        <f t="shared" si="491"/>
        <v>0.84631263491648467</v>
      </c>
      <c r="CW448" s="203">
        <f t="shared" si="492"/>
        <v>0.84631263491648467</v>
      </c>
      <c r="CX448" s="19">
        <f t="shared" si="493"/>
        <v>0.8338680918912923</v>
      </c>
      <c r="CY448" s="19">
        <f t="shared" si="494"/>
        <v>0.8498872057689294</v>
      </c>
      <c r="CZ448" s="19">
        <f t="shared" si="495"/>
        <v>0.82095084072668478</v>
      </c>
      <c r="DA448" s="203">
        <f t="shared" si="496"/>
        <v>0.84631263491648467</v>
      </c>
      <c r="DB448" s="203">
        <f t="shared" si="497"/>
        <v>0.84631263491648467</v>
      </c>
      <c r="DC448" s="203">
        <f t="shared" si="498"/>
        <v>0.84631263491648467</v>
      </c>
      <c r="DD448" s="65"/>
      <c r="DE448" s="66"/>
      <c r="DF448" s="66"/>
      <c r="DG448" s="66"/>
      <c r="DH448" s="66"/>
      <c r="DI448" s="66"/>
      <c r="DJ448" s="66"/>
      <c r="DK448" s="70"/>
      <c r="DL448" s="70"/>
      <c r="DM448" s="8">
        <f t="shared" si="560"/>
        <v>0</v>
      </c>
      <c r="DN448" s="8">
        <f t="shared" si="561"/>
        <v>8237.2837588548446</v>
      </c>
      <c r="DO448" s="202">
        <f t="shared" si="535"/>
        <v>45360.380267583605</v>
      </c>
      <c r="DP448" s="202">
        <f t="shared" si="536"/>
        <v>45360.380267583605</v>
      </c>
      <c r="DQ448" s="202">
        <f t="shared" si="537"/>
        <v>45360.380267583605</v>
      </c>
      <c r="DR448" s="9">
        <f t="shared" si="538"/>
        <v>41345.507726720665</v>
      </c>
      <c r="DS448" s="9">
        <f t="shared" si="501"/>
        <v>46636.678191217732</v>
      </c>
      <c r="DT448" s="9">
        <f t="shared" si="539"/>
        <v>37768.426585089212</v>
      </c>
      <c r="DU448" s="202">
        <f t="shared" si="540"/>
        <v>45360.380267583605</v>
      </c>
      <c r="DV448" s="202">
        <f t="shared" si="541"/>
        <v>45360.380267583605</v>
      </c>
      <c r="DW448" s="202">
        <f t="shared" si="542"/>
        <v>45360.380267583605</v>
      </c>
      <c r="DX448" s="203">
        <f t="shared" si="543"/>
        <v>0.84631263491648467</v>
      </c>
      <c r="DY448" s="203">
        <f t="shared" si="544"/>
        <v>0.84631263491648467</v>
      </c>
      <c r="DZ448" s="203">
        <f t="shared" si="545"/>
        <v>0.84631263491648467</v>
      </c>
      <c r="EA448" s="19">
        <f t="shared" si="546"/>
        <v>0.8338680918912923</v>
      </c>
      <c r="EB448" s="19">
        <f t="shared" si="502"/>
        <v>0.8498872057689294</v>
      </c>
      <c r="EC448" s="19">
        <f t="shared" si="547"/>
        <v>0.82095084072668478</v>
      </c>
      <c r="ED448" s="203">
        <f t="shared" si="548"/>
        <v>0.84631263491648467</v>
      </c>
      <c r="EE448" s="203">
        <f t="shared" si="549"/>
        <v>0.84631263491648467</v>
      </c>
      <c r="EF448" s="203">
        <f t="shared" si="550"/>
        <v>0.84631263491648467</v>
      </c>
      <c r="EH448" s="58">
        <f t="shared" si="442"/>
        <v>7292.8730633641007</v>
      </c>
      <c r="EI448" s="68">
        <f t="shared" si="443"/>
        <v>0.13290225098015646</v>
      </c>
      <c r="EJ448" s="58">
        <f t="shared" si="444"/>
        <v>7292.8730633641007</v>
      </c>
      <c r="EK448" s="68">
        <f t="shared" si="443"/>
        <v>0.13290225098015646</v>
      </c>
      <c r="EL448" s="58">
        <f t="shared" si="445"/>
        <v>3554.8758190569888</v>
      </c>
      <c r="EM448" s="58">
        <f t="shared" si="446"/>
        <v>4220.8700633641001</v>
      </c>
      <c r="EN448" s="68">
        <f t="shared" si="447"/>
        <v>7.6919360537598611E-2</v>
      </c>
      <c r="EO448" s="139">
        <f t="shared" si="464"/>
        <v>0.31860645638858931</v>
      </c>
      <c r="EP448">
        <f>+(SUM(M448:O448)*EO448*(1-'[1]Tier 3 Data'!$A$2))</f>
        <v>1547.4593650140587</v>
      </c>
    </row>
    <row r="449" spans="1:146" x14ac:dyDescent="0.2">
      <c r="A449" s="43">
        <v>0</v>
      </c>
      <c r="B449" s="43">
        <v>0</v>
      </c>
      <c r="C449" s="43">
        <v>0</v>
      </c>
      <c r="D449" s="70">
        <v>2044</v>
      </c>
      <c r="E449" s="70">
        <v>10</v>
      </c>
      <c r="F449" s="2">
        <v>744</v>
      </c>
      <c r="G449" s="133">
        <f t="shared" si="458"/>
        <v>42661.446398059146</v>
      </c>
      <c r="H449" s="65">
        <v>42661.446398059146</v>
      </c>
      <c r="I449" s="133">
        <f t="shared" si="459"/>
        <v>42661.446398059146</v>
      </c>
      <c r="J449" s="133">
        <f t="shared" ref="J449:J512" si="576">+K449</f>
        <v>9452.5249999999869</v>
      </c>
      <c r="K449" s="64">
        <v>9452.5249999999869</v>
      </c>
      <c r="L449" s="133">
        <f t="shared" ref="L449:L512" si="577">+K449</f>
        <v>9452.5249999999869</v>
      </c>
      <c r="M449" s="65">
        <v>957.87478015852639</v>
      </c>
      <c r="N449" s="65">
        <v>2062.6102665784465</v>
      </c>
      <c r="O449" s="70">
        <v>675.59313156944336</v>
      </c>
      <c r="P449" s="200">
        <f t="shared" si="568"/>
        <v>32100.097944567235</v>
      </c>
      <c r="Q449" s="200">
        <f t="shared" si="569"/>
        <v>32100.097944567235</v>
      </c>
      <c r="R449" s="200">
        <f t="shared" si="570"/>
        <v>32100.097944567235</v>
      </c>
      <c r="S449" s="133">
        <f t="shared" si="460"/>
        <v>33006.243458588324</v>
      </c>
      <c r="T449" s="133">
        <f t="shared" si="461"/>
        <v>33006.243458588324</v>
      </c>
      <c r="U449" s="133">
        <f t="shared" si="462"/>
        <v>33006.243458588324</v>
      </c>
      <c r="V449" s="200">
        <f t="shared" si="571"/>
        <v>32100.097944567235</v>
      </c>
      <c r="W449" s="200">
        <f t="shared" si="572"/>
        <v>32100.097944567235</v>
      </c>
      <c r="X449" s="200">
        <f t="shared" si="573"/>
        <v>32100.097944567235</v>
      </c>
      <c r="Y449" s="58">
        <v>20334.353858936338</v>
      </c>
      <c r="Z449">
        <v>27267.382311939706</v>
      </c>
      <c r="AA449" s="65">
        <v>16926.285937415814</v>
      </c>
      <c r="AB449" s="200">
        <f t="shared" si="451"/>
        <v>59367.48025650694</v>
      </c>
      <c r="AC449" s="200">
        <f t="shared" si="452"/>
        <v>59367.48025650694</v>
      </c>
      <c r="AD449" s="200">
        <f t="shared" si="453"/>
        <v>59367.48025650694</v>
      </c>
      <c r="AE449" s="199">
        <f t="shared" si="517"/>
        <v>53340.597317524662</v>
      </c>
      <c r="AF449" s="199">
        <f t="shared" si="454"/>
        <v>60273.62577052803</v>
      </c>
      <c r="AG449" s="199">
        <f t="shared" si="518"/>
        <v>49932.529396004138</v>
      </c>
      <c r="AH449" s="199">
        <f t="shared" si="463"/>
        <v>55103.077583266087</v>
      </c>
      <c r="AI449" s="200">
        <f t="shared" si="455"/>
        <v>59367.48025650694</v>
      </c>
      <c r="AJ449" s="200">
        <f t="shared" si="456"/>
        <v>59367.48025650694</v>
      </c>
      <c r="AK449" s="200">
        <f t="shared" si="457"/>
        <v>59367.48025650694</v>
      </c>
      <c r="AL449" s="4"/>
      <c r="AM449" s="4"/>
      <c r="AN449" s="4"/>
      <c r="AO449" s="4"/>
      <c r="AP449" s="63"/>
      <c r="AQ449" s="18"/>
      <c r="AR449" s="18"/>
      <c r="AS449" s="18"/>
      <c r="AT449" s="18">
        <v>0</v>
      </c>
      <c r="AU449" s="133">
        <f t="shared" ref="AU449" si="578">+AU437</f>
        <v>118.17</v>
      </c>
      <c r="AV449" s="133">
        <f t="shared" ref="AV449" si="579">+AV437</f>
        <v>3225.1860000000001</v>
      </c>
      <c r="AW449" s="194"/>
      <c r="AX449" s="194"/>
      <c r="AY449" s="194"/>
      <c r="AZ449" s="194"/>
      <c r="BA449" s="194"/>
      <c r="BB449" s="194"/>
      <c r="BC449" s="65">
        <v>0</v>
      </c>
      <c r="BD449" s="65">
        <v>0</v>
      </c>
      <c r="BE449" s="65">
        <v>0</v>
      </c>
      <c r="BF449" s="65">
        <v>0</v>
      </c>
      <c r="BG449" s="65">
        <v>0</v>
      </c>
      <c r="BH449" s="65">
        <v>0</v>
      </c>
      <c r="BI449" s="65">
        <v>779.73080055440209</v>
      </c>
      <c r="BJ449" s="65">
        <v>0</v>
      </c>
      <c r="BK449" s="65">
        <v>0</v>
      </c>
      <c r="BL449" s="65">
        <v>0</v>
      </c>
      <c r="BM449" s="65">
        <v>0</v>
      </c>
      <c r="BN449" s="65">
        <v>0</v>
      </c>
      <c r="BO449" s="65">
        <v>0</v>
      </c>
      <c r="BP449" s="5"/>
      <c r="BQ449" s="5"/>
      <c r="BR449" s="5"/>
      <c r="BS449" s="63"/>
      <c r="BT449" s="65">
        <v>145.59368784211949</v>
      </c>
      <c r="BU449" s="65">
        <v>145.16743831057605</v>
      </c>
      <c r="BV449" s="144">
        <f t="shared" si="448"/>
        <v>670.51234611096845</v>
      </c>
      <c r="BW449" s="144">
        <f t="shared" si="449"/>
        <v>1443.8271866049124</v>
      </c>
      <c r="BX449" s="144">
        <f t="shared" si="450"/>
        <v>472.91519209861031</v>
      </c>
      <c r="BY449" s="5"/>
      <c r="BZ449" s="5"/>
      <c r="CA449" s="4"/>
      <c r="CB449" s="5"/>
      <c r="CC449" s="5"/>
      <c r="CD449" s="5"/>
      <c r="CE449" s="5"/>
      <c r="CF449" s="64"/>
      <c r="CG449" s="70"/>
      <c r="CH449" s="70"/>
      <c r="CI449" s="70"/>
      <c r="CJ449" s="63"/>
      <c r="CK449" s="8">
        <f t="shared" si="559"/>
        <v>7001.1026515215908</v>
      </c>
      <c r="CL449" s="202">
        <f t="shared" si="481"/>
        <v>52366.377604985348</v>
      </c>
      <c r="CM449" s="202">
        <f t="shared" si="482"/>
        <v>52366.377604985348</v>
      </c>
      <c r="CN449" s="202">
        <f t="shared" si="483"/>
        <v>52366.377604985348</v>
      </c>
      <c r="CO449" s="9">
        <f t="shared" si="484"/>
        <v>46339.494666003069</v>
      </c>
      <c r="CP449" s="9">
        <f t="shared" si="485"/>
        <v>53272.523119006437</v>
      </c>
      <c r="CQ449" s="9">
        <f t="shared" si="486"/>
        <v>42931.426744482545</v>
      </c>
      <c r="CR449" s="202">
        <f t="shared" si="487"/>
        <v>52366.377604985348</v>
      </c>
      <c r="CS449" s="202">
        <f t="shared" si="488"/>
        <v>52366.377604985348</v>
      </c>
      <c r="CT449" s="202">
        <f t="shared" si="489"/>
        <v>52366.377604985348</v>
      </c>
      <c r="CU449" s="203">
        <f t="shared" si="490"/>
        <v>0.88207175677202099</v>
      </c>
      <c r="CV449" s="203">
        <f t="shared" si="491"/>
        <v>0.88207175677202099</v>
      </c>
      <c r="CW449" s="203">
        <f t="shared" si="492"/>
        <v>0.88207175677202099</v>
      </c>
      <c r="CX449" s="19">
        <f t="shared" si="493"/>
        <v>0.86874720187616961</v>
      </c>
      <c r="CY449" s="19">
        <f t="shared" si="494"/>
        <v>0.88384467398433963</v>
      </c>
      <c r="CZ449" s="19">
        <f t="shared" si="495"/>
        <v>0.85978874420726104</v>
      </c>
      <c r="DA449" s="203">
        <f t="shared" si="496"/>
        <v>0.88207175677202099</v>
      </c>
      <c r="DB449" s="203">
        <f t="shared" si="497"/>
        <v>0.88207175677202099</v>
      </c>
      <c r="DC449" s="203">
        <f t="shared" si="498"/>
        <v>0.88207175677202099</v>
      </c>
      <c r="DD449" s="65"/>
      <c r="DE449" s="66"/>
      <c r="DF449" s="66"/>
      <c r="DG449" s="66"/>
      <c r="DH449" s="66"/>
      <c r="DI449" s="66"/>
      <c r="DJ449" s="66"/>
      <c r="DK449" s="70"/>
      <c r="DL449" s="70"/>
      <c r="DM449" s="8">
        <f t="shared" si="560"/>
        <v>0</v>
      </c>
      <c r="DN449" s="8">
        <f t="shared" si="561"/>
        <v>7001.1026515215908</v>
      </c>
      <c r="DO449" s="202">
        <f t="shared" si="535"/>
        <v>52366.377604985348</v>
      </c>
      <c r="DP449" s="202">
        <f t="shared" si="536"/>
        <v>52366.377604985348</v>
      </c>
      <c r="DQ449" s="202">
        <f t="shared" si="537"/>
        <v>52366.377604985348</v>
      </c>
      <c r="DR449" s="9">
        <f t="shared" si="538"/>
        <v>46339.494666003069</v>
      </c>
      <c r="DS449" s="9">
        <f t="shared" si="501"/>
        <v>53272.523119006437</v>
      </c>
      <c r="DT449" s="9">
        <f t="shared" si="539"/>
        <v>42931.426744482545</v>
      </c>
      <c r="DU449" s="202">
        <f t="shared" si="540"/>
        <v>52366.377604985348</v>
      </c>
      <c r="DV449" s="202">
        <f t="shared" si="541"/>
        <v>52366.377604985348</v>
      </c>
      <c r="DW449" s="202">
        <f t="shared" si="542"/>
        <v>52366.377604985348</v>
      </c>
      <c r="DX449" s="203">
        <f t="shared" si="543"/>
        <v>0.88207175677202099</v>
      </c>
      <c r="DY449" s="203">
        <f t="shared" si="544"/>
        <v>0.88207175677202099</v>
      </c>
      <c r="DZ449" s="203">
        <f t="shared" si="545"/>
        <v>0.88207175677202099</v>
      </c>
      <c r="EA449" s="19">
        <f t="shared" si="546"/>
        <v>0.86874720187616961</v>
      </c>
      <c r="EB449" s="19">
        <f t="shared" si="502"/>
        <v>0.88384467398433963</v>
      </c>
      <c r="EC449" s="19">
        <f t="shared" si="547"/>
        <v>0.85978874420726104</v>
      </c>
      <c r="ED449" s="203">
        <f t="shared" si="548"/>
        <v>0.88207175677202099</v>
      </c>
      <c r="EE449" s="203">
        <f t="shared" si="549"/>
        <v>0.88207175677202099</v>
      </c>
      <c r="EF449" s="203">
        <f t="shared" si="550"/>
        <v>0.88207175677202099</v>
      </c>
      <c r="EH449" s="58">
        <f t="shared" si="442"/>
        <v>6330.590305410622</v>
      </c>
      <c r="EI449" s="68">
        <f t="shared" si="443"/>
        <v>0.10503085262386999</v>
      </c>
      <c r="EJ449" s="58">
        <f t="shared" si="444"/>
        <v>6330.590305410622</v>
      </c>
      <c r="EK449" s="68">
        <f t="shared" si="443"/>
        <v>0.10503085262386999</v>
      </c>
      <c r="EL449" s="58">
        <f t="shared" si="445"/>
        <v>2514.3191133120099</v>
      </c>
      <c r="EM449" s="58">
        <f t="shared" si="446"/>
        <v>2987.2343054106204</v>
      </c>
      <c r="EN449" s="68">
        <f t="shared" si="447"/>
        <v>4.9561217982530714E-2</v>
      </c>
      <c r="EO449" s="139">
        <f t="shared" si="464"/>
        <v>0.35739486552628164</v>
      </c>
      <c r="EP449">
        <f>+(SUM(M449:O449)*EO449*(1-'[1]Tier 3 Data'!$A$2))</f>
        <v>1232.4550861552459</v>
      </c>
    </row>
    <row r="450" spans="1:146" x14ac:dyDescent="0.2">
      <c r="A450" s="43">
        <v>0</v>
      </c>
      <c r="B450" s="43">
        <v>0</v>
      </c>
      <c r="C450" s="43">
        <v>0</v>
      </c>
      <c r="D450" s="70">
        <v>2044</v>
      </c>
      <c r="E450" s="70">
        <v>11</v>
      </c>
      <c r="F450" s="2">
        <v>721</v>
      </c>
      <c r="G450" s="133">
        <f t="shared" si="458"/>
        <v>45136.379848867153</v>
      </c>
      <c r="H450" s="65">
        <v>45136.379848867153</v>
      </c>
      <c r="I450" s="133">
        <f t="shared" si="459"/>
        <v>45136.379848867153</v>
      </c>
      <c r="J450" s="133">
        <f t="shared" si="576"/>
        <v>9492.3339999999862</v>
      </c>
      <c r="K450" s="64">
        <v>9492.3339999999862</v>
      </c>
      <c r="L450" s="133">
        <f t="shared" si="577"/>
        <v>9492.3339999999862</v>
      </c>
      <c r="M450" s="65">
        <v>403.62878784909356</v>
      </c>
      <c r="N450" s="65">
        <v>869.14166543394356</v>
      </c>
      <c r="O450" s="70">
        <v>284.73678159609597</v>
      </c>
      <c r="P450" s="200">
        <f t="shared" si="568"/>
        <v>35176.793678403425</v>
      </c>
      <c r="Q450" s="200">
        <f t="shared" si="569"/>
        <v>35176.793678403425</v>
      </c>
      <c r="R450" s="200">
        <f t="shared" si="570"/>
        <v>35176.793678403425</v>
      </c>
      <c r="S450" s="133">
        <f t="shared" si="460"/>
        <v>35558.624814388335</v>
      </c>
      <c r="T450" s="133">
        <f t="shared" si="461"/>
        <v>35558.624814388335</v>
      </c>
      <c r="U450" s="133">
        <f t="shared" si="462"/>
        <v>35558.624814388335</v>
      </c>
      <c r="V450" s="200">
        <f t="shared" si="571"/>
        <v>35176.793678403425</v>
      </c>
      <c r="W450" s="200">
        <f t="shared" si="572"/>
        <v>35176.793678403425</v>
      </c>
      <c r="X450" s="200">
        <f t="shared" si="573"/>
        <v>35176.793678403425</v>
      </c>
      <c r="Y450" s="58">
        <v>27975.719706194421</v>
      </c>
      <c r="Z450">
        <v>40443.279863939832</v>
      </c>
      <c r="AA450" s="65">
        <v>24517.558271031932</v>
      </c>
      <c r="AB450" s="200">
        <f t="shared" si="451"/>
        <v>75620.073542343249</v>
      </c>
      <c r="AC450" s="200">
        <f t="shared" si="452"/>
        <v>75620.073542343249</v>
      </c>
      <c r="AD450" s="200">
        <f t="shared" si="453"/>
        <v>75620.073542343249</v>
      </c>
      <c r="AE450" s="199">
        <f t="shared" si="517"/>
        <v>63534.344520582759</v>
      </c>
      <c r="AF450" s="199">
        <f t="shared" si="454"/>
        <v>76001.904678328166</v>
      </c>
      <c r="AG450" s="199">
        <f t="shared" si="518"/>
        <v>60076.183085420271</v>
      </c>
      <c r="AH450" s="199">
        <f t="shared" si="463"/>
        <v>68039.043881874211</v>
      </c>
      <c r="AI450" s="200">
        <f t="shared" si="455"/>
        <v>75620.073542343249</v>
      </c>
      <c r="AJ450" s="200">
        <f t="shared" si="456"/>
        <v>75620.073542343249</v>
      </c>
      <c r="AK450" s="200">
        <f t="shared" si="457"/>
        <v>75620.073542343249</v>
      </c>
      <c r="AL450" s="4"/>
      <c r="AM450" s="4"/>
      <c r="AN450" s="4"/>
      <c r="AO450" s="4"/>
      <c r="AP450" s="63"/>
      <c r="AQ450" s="18"/>
      <c r="AR450" s="18"/>
      <c r="AS450" s="18"/>
      <c r="AT450" s="18">
        <v>0</v>
      </c>
      <c r="AU450" s="133">
        <f t="shared" ref="AU450" si="580">+AU438</f>
        <v>104.364</v>
      </c>
      <c r="AV450" s="133">
        <f t="shared" ref="AV450" si="581">+AV438</f>
        <v>3268.3739999999998</v>
      </c>
      <c r="AW450" s="194"/>
      <c r="AX450" s="194"/>
      <c r="AY450" s="194"/>
      <c r="AZ450" s="194"/>
      <c r="BA450" s="194"/>
      <c r="BB450" s="194"/>
      <c r="BC450" s="65">
        <v>0</v>
      </c>
      <c r="BD450" s="65">
        <v>0</v>
      </c>
      <c r="BE450" s="65">
        <v>0</v>
      </c>
      <c r="BF450" s="65">
        <v>0</v>
      </c>
      <c r="BG450" s="65">
        <v>0</v>
      </c>
      <c r="BH450" s="65">
        <v>0</v>
      </c>
      <c r="BI450" s="65">
        <v>570.70399316428234</v>
      </c>
      <c r="BJ450" s="65">
        <v>0</v>
      </c>
      <c r="BK450" s="65">
        <v>0</v>
      </c>
      <c r="BL450" s="65">
        <v>0</v>
      </c>
      <c r="BM450" s="65">
        <v>0</v>
      </c>
      <c r="BN450" s="65">
        <v>0</v>
      </c>
      <c r="BO450" s="65">
        <v>0</v>
      </c>
      <c r="BP450" s="5"/>
      <c r="BQ450" s="5"/>
      <c r="BR450" s="5"/>
      <c r="BS450" s="63"/>
      <c r="BT450" s="65">
        <v>100.42214232335427</v>
      </c>
      <c r="BU450" s="65">
        <v>111.68714350351324</v>
      </c>
      <c r="BV450" s="144">
        <f t="shared" si="448"/>
        <v>282.54015149436549</v>
      </c>
      <c r="BW450" s="144">
        <f t="shared" si="449"/>
        <v>608.39916580376041</v>
      </c>
      <c r="BX450" s="144">
        <f t="shared" si="450"/>
        <v>199.31574711726716</v>
      </c>
      <c r="BY450" s="5"/>
      <c r="BZ450" s="5"/>
      <c r="CA450" s="4"/>
      <c r="CB450" s="5"/>
      <c r="CC450" s="5"/>
      <c r="CD450" s="5"/>
      <c r="CE450" s="5"/>
      <c r="CF450" s="64"/>
      <c r="CG450" s="70"/>
      <c r="CH450" s="70"/>
      <c r="CI450" s="70"/>
      <c r="CJ450" s="63"/>
      <c r="CK450" s="8">
        <f t="shared" si="559"/>
        <v>5245.8063434065425</v>
      </c>
      <c r="CL450" s="202">
        <f t="shared" si="481"/>
        <v>70374.267198936708</v>
      </c>
      <c r="CM450" s="202">
        <f t="shared" si="482"/>
        <v>70374.267198936708</v>
      </c>
      <c r="CN450" s="202">
        <f t="shared" si="483"/>
        <v>70374.267198936708</v>
      </c>
      <c r="CO450" s="9">
        <f t="shared" si="484"/>
        <v>58288.538177176219</v>
      </c>
      <c r="CP450" s="9">
        <f t="shared" si="485"/>
        <v>70756.098334921626</v>
      </c>
      <c r="CQ450" s="9">
        <f t="shared" si="486"/>
        <v>54830.37674201373</v>
      </c>
      <c r="CR450" s="202">
        <f t="shared" si="487"/>
        <v>70374.267198936708</v>
      </c>
      <c r="CS450" s="202">
        <f t="shared" si="488"/>
        <v>70374.267198936708</v>
      </c>
      <c r="CT450" s="202">
        <f t="shared" si="489"/>
        <v>70374.267198936708</v>
      </c>
      <c r="CU450" s="203">
        <f t="shared" si="490"/>
        <v>0.93062944668429648</v>
      </c>
      <c r="CV450" s="203">
        <f t="shared" si="491"/>
        <v>0.93062944668429648</v>
      </c>
      <c r="CW450" s="203">
        <f t="shared" si="492"/>
        <v>0.93062944668429648</v>
      </c>
      <c r="CX450" s="19">
        <f t="shared" si="493"/>
        <v>0.91743353326471966</v>
      </c>
      <c r="CY450" s="19">
        <f t="shared" si="494"/>
        <v>0.93097796212333117</v>
      </c>
      <c r="CZ450" s="19">
        <f t="shared" si="495"/>
        <v>0.91268076508875895</v>
      </c>
      <c r="DA450" s="203">
        <f t="shared" si="496"/>
        <v>0.93062944668429648</v>
      </c>
      <c r="DB450" s="203">
        <f t="shared" si="497"/>
        <v>0.93062944668429648</v>
      </c>
      <c r="DC450" s="203">
        <f t="shared" si="498"/>
        <v>0.93062944668429648</v>
      </c>
      <c r="DD450" s="65"/>
      <c r="DE450" s="66"/>
      <c r="DF450" s="66"/>
      <c r="DG450" s="66"/>
      <c r="DH450" s="66"/>
      <c r="DI450" s="66"/>
      <c r="DJ450" s="66"/>
      <c r="DK450" s="70"/>
      <c r="DL450" s="70"/>
      <c r="DM450" s="8">
        <f t="shared" si="560"/>
        <v>0</v>
      </c>
      <c r="DN450" s="8">
        <f t="shared" si="561"/>
        <v>5245.8063434065425</v>
      </c>
      <c r="DO450" s="202">
        <f t="shared" si="535"/>
        <v>70374.267198936708</v>
      </c>
      <c r="DP450" s="202">
        <f t="shared" si="536"/>
        <v>70374.267198936708</v>
      </c>
      <c r="DQ450" s="202">
        <f t="shared" si="537"/>
        <v>70374.267198936708</v>
      </c>
      <c r="DR450" s="9">
        <f t="shared" si="538"/>
        <v>58288.538177176219</v>
      </c>
      <c r="DS450" s="9">
        <f t="shared" si="501"/>
        <v>70756.098334921626</v>
      </c>
      <c r="DT450" s="9">
        <f t="shared" si="539"/>
        <v>54830.37674201373</v>
      </c>
      <c r="DU450" s="202">
        <f t="shared" si="540"/>
        <v>70374.267198936708</v>
      </c>
      <c r="DV450" s="202">
        <f t="shared" si="541"/>
        <v>70374.267198936708</v>
      </c>
      <c r="DW450" s="202">
        <f t="shared" si="542"/>
        <v>70374.267198936708</v>
      </c>
      <c r="DX450" s="203">
        <f t="shared" si="543"/>
        <v>0.93062944668429648</v>
      </c>
      <c r="DY450" s="203">
        <f t="shared" si="544"/>
        <v>0.93062944668429648</v>
      </c>
      <c r="DZ450" s="203">
        <f t="shared" si="545"/>
        <v>0.93062944668429648</v>
      </c>
      <c r="EA450" s="19">
        <f t="shared" si="546"/>
        <v>0.91743353326471966</v>
      </c>
      <c r="EB450" s="19">
        <f t="shared" si="502"/>
        <v>0.93097796212333117</v>
      </c>
      <c r="EC450" s="19">
        <f t="shared" si="547"/>
        <v>0.91268076508875895</v>
      </c>
      <c r="ED450" s="203">
        <f t="shared" si="548"/>
        <v>0.93062944668429648</v>
      </c>
      <c r="EE450" s="203">
        <f t="shared" si="549"/>
        <v>0.93062944668429648</v>
      </c>
      <c r="EF450" s="203">
        <f t="shared" si="550"/>
        <v>0.93062944668429648</v>
      </c>
      <c r="EH450" s="58">
        <f t="shared" si="442"/>
        <v>4963.2661919121774</v>
      </c>
      <c r="EI450" s="68">
        <f t="shared" si="443"/>
        <v>6.5304497471725148E-2</v>
      </c>
      <c r="EJ450" s="58">
        <f t="shared" si="444"/>
        <v>4963.2661919121774</v>
      </c>
      <c r="EK450" s="68">
        <f t="shared" si="443"/>
        <v>6.5304497471725148E-2</v>
      </c>
      <c r="EL450" s="58">
        <f t="shared" si="445"/>
        <v>1391.2124447949102</v>
      </c>
      <c r="EM450" s="58">
        <f t="shared" si="446"/>
        <v>1590.5281919121774</v>
      </c>
      <c r="EN450" s="68">
        <f t="shared" si="447"/>
        <v>2.0927478049977268E-2</v>
      </c>
      <c r="EO450" s="139">
        <f t="shared" si="464"/>
        <v>0.4050825009776523</v>
      </c>
      <c r="EP450">
        <f>+(SUM(M450:O450)*EO450*(1-'[1]Tier 3 Data'!$A$2))</f>
        <v>588.64735795392005</v>
      </c>
    </row>
    <row r="451" spans="1:146" x14ac:dyDescent="0.2">
      <c r="A451" s="43">
        <v>0</v>
      </c>
      <c r="B451" s="43">
        <v>0</v>
      </c>
      <c r="C451" s="43">
        <v>0</v>
      </c>
      <c r="D451" s="70">
        <v>2044</v>
      </c>
      <c r="E451" s="70">
        <v>12</v>
      </c>
      <c r="F451" s="2">
        <v>744</v>
      </c>
      <c r="G451" s="133">
        <f t="shared" si="458"/>
        <v>51266.444866453152</v>
      </c>
      <c r="H451" s="65">
        <v>51266.444866453152</v>
      </c>
      <c r="I451" s="133">
        <f t="shared" si="459"/>
        <v>51266.444866453152</v>
      </c>
      <c r="J451" s="133">
        <f t="shared" si="576"/>
        <v>9532.1429999999855</v>
      </c>
      <c r="K451" s="64">
        <v>9532.1429999999855</v>
      </c>
      <c r="L451" s="133">
        <f t="shared" si="577"/>
        <v>9532.1429999999855</v>
      </c>
      <c r="M451" s="65">
        <v>248.30627982623952</v>
      </c>
      <c r="N451" s="65">
        <v>534.68270867382159</v>
      </c>
      <c r="O451" s="70">
        <v>175.18754256078014</v>
      </c>
      <c r="P451" s="200">
        <f t="shared" si="568"/>
        <v>41446.848907134918</v>
      </c>
      <c r="Q451" s="200">
        <f t="shared" si="569"/>
        <v>41446.848907134918</v>
      </c>
      <c r="R451" s="200">
        <f t="shared" si="570"/>
        <v>41446.848907134918</v>
      </c>
      <c r="S451" s="133">
        <f t="shared" si="460"/>
        <v>41681.745603684933</v>
      </c>
      <c r="T451" s="133">
        <f t="shared" si="461"/>
        <v>41681.745603684933</v>
      </c>
      <c r="U451" s="133">
        <f t="shared" si="462"/>
        <v>41681.745603684933</v>
      </c>
      <c r="V451" s="200">
        <f t="shared" si="571"/>
        <v>41446.848907134918</v>
      </c>
      <c r="W451" s="200">
        <f t="shared" si="572"/>
        <v>41446.848907134918</v>
      </c>
      <c r="X451" s="200">
        <f t="shared" si="573"/>
        <v>41446.848907134918</v>
      </c>
      <c r="Y451" s="58">
        <v>30337.385423397565</v>
      </c>
      <c r="Z451">
        <v>43296.78602312693</v>
      </c>
      <c r="AA451" s="65">
        <v>26355.146863302922</v>
      </c>
      <c r="AB451" s="200">
        <f t="shared" si="451"/>
        <v>84743.634930261847</v>
      </c>
      <c r="AC451" s="200">
        <f t="shared" si="452"/>
        <v>84743.634930261847</v>
      </c>
      <c r="AD451" s="200">
        <f t="shared" si="453"/>
        <v>84743.634930261847</v>
      </c>
      <c r="AE451" s="199">
        <f t="shared" si="517"/>
        <v>72019.131027082505</v>
      </c>
      <c r="AF451" s="199">
        <f t="shared" si="454"/>
        <v>84978.531626811862</v>
      </c>
      <c r="AG451" s="199">
        <f t="shared" si="518"/>
        <v>68036.892466987862</v>
      </c>
      <c r="AH451" s="199">
        <f t="shared" si="463"/>
        <v>76507.712046899862</v>
      </c>
      <c r="AI451" s="200">
        <f t="shared" si="455"/>
        <v>84743.634930261847</v>
      </c>
      <c r="AJ451" s="200">
        <f t="shared" si="456"/>
        <v>84743.634930261847</v>
      </c>
      <c r="AK451" s="200">
        <f t="shared" si="457"/>
        <v>84743.634930261847</v>
      </c>
      <c r="AL451" s="4"/>
      <c r="AM451" s="4"/>
      <c r="AN451" s="4"/>
      <c r="AO451" s="4"/>
      <c r="AP451" s="63"/>
      <c r="AQ451" s="18"/>
      <c r="AR451" s="18"/>
      <c r="AS451" s="18"/>
      <c r="AT451" s="18">
        <v>0</v>
      </c>
      <c r="AU451" s="133">
        <f t="shared" ref="AU451" si="582">+AU439</f>
        <v>105.066</v>
      </c>
      <c r="AV451" s="133">
        <f t="shared" ref="AV451" si="583">+AV439</f>
        <v>3218.8470000000002</v>
      </c>
      <c r="AW451" s="194"/>
      <c r="AX451" s="194"/>
      <c r="AY451" s="194"/>
      <c r="AZ451" s="194"/>
      <c r="BA451" s="194"/>
      <c r="BB451" s="194"/>
      <c r="BC451" s="65">
        <v>0</v>
      </c>
      <c r="BD451" s="65">
        <v>0</v>
      </c>
      <c r="BE451" s="65">
        <v>0</v>
      </c>
      <c r="BF451" s="65">
        <v>0</v>
      </c>
      <c r="BG451" s="65">
        <v>0</v>
      </c>
      <c r="BH451" s="65">
        <v>0</v>
      </c>
      <c r="BI451" s="65">
        <v>267.43707868140399</v>
      </c>
      <c r="BJ451" s="65">
        <v>0</v>
      </c>
      <c r="BK451" s="65">
        <v>0</v>
      </c>
      <c r="BL451" s="65">
        <v>0</v>
      </c>
      <c r="BM451" s="65">
        <v>0</v>
      </c>
      <c r="BN451" s="65">
        <v>0</v>
      </c>
      <c r="BO451" s="65">
        <v>0</v>
      </c>
      <c r="BP451" s="5"/>
      <c r="BQ451" s="5"/>
      <c r="BR451" s="5"/>
      <c r="BS451" s="63"/>
      <c r="BT451" s="65">
        <v>92.458825578079953</v>
      </c>
      <c r="BU451" s="65">
        <v>98.295099816488658</v>
      </c>
      <c r="BV451" s="144">
        <f t="shared" si="448"/>
        <v>173.81439587836766</v>
      </c>
      <c r="BW451" s="144">
        <f t="shared" si="449"/>
        <v>374.27789607167512</v>
      </c>
      <c r="BX451" s="144">
        <f t="shared" si="450"/>
        <v>122.6312797925461</v>
      </c>
      <c r="BY451" s="5"/>
      <c r="BZ451" s="5"/>
      <c r="CA451" s="4"/>
      <c r="CB451" s="5"/>
      <c r="CC451" s="5"/>
      <c r="CD451" s="5"/>
      <c r="CE451" s="5"/>
      <c r="CF451" s="64"/>
      <c r="CG451" s="70"/>
      <c r="CH451" s="70"/>
      <c r="CI451" s="70"/>
      <c r="CJ451" s="63"/>
      <c r="CK451" s="8">
        <f t="shared" si="559"/>
        <v>4452.8275758185609</v>
      </c>
      <c r="CL451" s="202">
        <f t="shared" si="481"/>
        <v>80290.807354443285</v>
      </c>
      <c r="CM451" s="202">
        <f t="shared" si="482"/>
        <v>80290.807354443285</v>
      </c>
      <c r="CN451" s="202">
        <f t="shared" si="483"/>
        <v>80290.807354443285</v>
      </c>
      <c r="CO451" s="9">
        <f t="shared" si="484"/>
        <v>67566.303451263942</v>
      </c>
      <c r="CP451" s="9">
        <f t="shared" si="485"/>
        <v>80525.704050993299</v>
      </c>
      <c r="CQ451" s="9">
        <f t="shared" si="486"/>
        <v>63584.064891169299</v>
      </c>
      <c r="CR451" s="202">
        <f t="shared" si="487"/>
        <v>80290.807354443285</v>
      </c>
      <c r="CS451" s="202">
        <f t="shared" si="488"/>
        <v>80290.807354443285</v>
      </c>
      <c r="CT451" s="202">
        <f t="shared" si="489"/>
        <v>80290.807354443285</v>
      </c>
      <c r="CU451" s="203">
        <f t="shared" si="490"/>
        <v>0.94745531532270322</v>
      </c>
      <c r="CV451" s="203">
        <f t="shared" si="491"/>
        <v>0.94745531532270322</v>
      </c>
      <c r="CW451" s="203">
        <f t="shared" si="492"/>
        <v>0.94745531532270322</v>
      </c>
      <c r="CX451" s="19">
        <f t="shared" si="493"/>
        <v>0.93817160090220897</v>
      </c>
      <c r="CY451" s="19">
        <f t="shared" si="494"/>
        <v>0.94760055874613824</v>
      </c>
      <c r="CZ451" s="19">
        <f t="shared" si="495"/>
        <v>0.93455274904010177</v>
      </c>
      <c r="DA451" s="203">
        <f t="shared" si="496"/>
        <v>0.94745531532270322</v>
      </c>
      <c r="DB451" s="203">
        <f t="shared" si="497"/>
        <v>0.94745531532270322</v>
      </c>
      <c r="DC451" s="203">
        <f t="shared" si="498"/>
        <v>0.94745531532270322</v>
      </c>
      <c r="DD451" s="65"/>
      <c r="DE451" s="66"/>
      <c r="DF451" s="66"/>
      <c r="DG451" s="66"/>
      <c r="DH451" s="66"/>
      <c r="DI451" s="66"/>
      <c r="DJ451" s="66"/>
      <c r="DK451" s="70"/>
      <c r="DL451" s="70"/>
      <c r="DM451" s="8">
        <f t="shared" si="560"/>
        <v>0</v>
      </c>
      <c r="DN451" s="8">
        <f t="shared" si="561"/>
        <v>4452.8275758185609</v>
      </c>
      <c r="DO451" s="202">
        <f t="shared" si="535"/>
        <v>80290.807354443285</v>
      </c>
      <c r="DP451" s="202">
        <f t="shared" si="536"/>
        <v>80290.807354443285</v>
      </c>
      <c r="DQ451" s="202">
        <f t="shared" si="537"/>
        <v>80290.807354443285</v>
      </c>
      <c r="DR451" s="9">
        <f t="shared" si="538"/>
        <v>67566.303451263942</v>
      </c>
      <c r="DS451" s="9">
        <f t="shared" si="501"/>
        <v>80525.704050993299</v>
      </c>
      <c r="DT451" s="9">
        <f t="shared" si="539"/>
        <v>63584.064891169299</v>
      </c>
      <c r="DU451" s="202">
        <f t="shared" si="540"/>
        <v>80290.807354443285</v>
      </c>
      <c r="DV451" s="202">
        <f t="shared" si="541"/>
        <v>80290.807354443285</v>
      </c>
      <c r="DW451" s="202">
        <f t="shared" si="542"/>
        <v>80290.807354443285</v>
      </c>
      <c r="DX451" s="203">
        <f t="shared" si="543"/>
        <v>0.94745531532270322</v>
      </c>
      <c r="DY451" s="203">
        <f t="shared" si="544"/>
        <v>0.94745531532270322</v>
      </c>
      <c r="DZ451" s="203">
        <f t="shared" si="545"/>
        <v>0.94745531532270322</v>
      </c>
      <c r="EA451" s="19">
        <f t="shared" si="546"/>
        <v>0.93817160090220897</v>
      </c>
      <c r="EB451" s="19">
        <f t="shared" si="502"/>
        <v>0.94760055874613824</v>
      </c>
      <c r="EC451" s="19">
        <f t="shared" si="547"/>
        <v>0.93455274904010177</v>
      </c>
      <c r="ED451" s="203">
        <f t="shared" si="548"/>
        <v>0.94745531532270322</v>
      </c>
      <c r="EE451" s="203">
        <f t="shared" si="549"/>
        <v>0.94745531532270322</v>
      </c>
      <c r="EF451" s="203">
        <f t="shared" si="550"/>
        <v>0.94745531532270322</v>
      </c>
      <c r="EH451" s="58">
        <f t="shared" si="442"/>
        <v>4279.0131799401934</v>
      </c>
      <c r="EI451" s="68">
        <f t="shared" si="443"/>
        <v>5.0354049405463105E-2</v>
      </c>
      <c r="EJ451" s="58">
        <f t="shared" si="444"/>
        <v>4279.0131799401934</v>
      </c>
      <c r="EK451" s="68">
        <f t="shared" si="443"/>
        <v>5.0354049405463105E-2</v>
      </c>
      <c r="EL451" s="58">
        <f t="shared" si="445"/>
        <v>832.46890014764767</v>
      </c>
      <c r="EM451" s="58">
        <f t="shared" si="446"/>
        <v>955.10017994019381</v>
      </c>
      <c r="EN451" s="68">
        <f t="shared" si="447"/>
        <v>1.1239311407904429E-2</v>
      </c>
      <c r="EO451" s="139">
        <f t="shared" si="464"/>
        <v>0.32946562535829382</v>
      </c>
      <c r="EP451">
        <f>+(SUM(M451:O451)*EO451*(1-'[1]Tier 3 Data'!$A$2))</f>
        <v>294.53525259895747</v>
      </c>
    </row>
    <row r="452" spans="1:146" x14ac:dyDescent="0.2">
      <c r="A452" s="43">
        <v>0</v>
      </c>
      <c r="B452" s="43">
        <v>0</v>
      </c>
      <c r="C452" s="43">
        <v>0</v>
      </c>
      <c r="D452" s="70">
        <v>2045</v>
      </c>
      <c r="E452" s="70">
        <v>1</v>
      </c>
      <c r="F452" s="2">
        <v>744</v>
      </c>
      <c r="G452" s="133">
        <f t="shared" si="458"/>
        <v>53029.641133182689</v>
      </c>
      <c r="H452" s="65">
        <v>53029.641133182689</v>
      </c>
      <c r="I452" s="133">
        <f t="shared" si="459"/>
        <v>53029.641133182689</v>
      </c>
      <c r="J452" s="133">
        <f t="shared" si="576"/>
        <v>9571.9519999999848</v>
      </c>
      <c r="K452" s="64">
        <v>9571.9519999999848</v>
      </c>
      <c r="L452" s="133">
        <f t="shared" si="577"/>
        <v>9571.9519999999848</v>
      </c>
      <c r="M452" s="65">
        <v>350.79787520860157</v>
      </c>
      <c r="N452" s="65">
        <v>755.37984075477868</v>
      </c>
      <c r="O452" s="70">
        <v>247.51118445387084</v>
      </c>
      <c r="P452" s="200">
        <f t="shared" si="568"/>
        <v>43051.58246305753</v>
      </c>
      <c r="Q452" s="200">
        <f t="shared" si="569"/>
        <v>43051.58246305753</v>
      </c>
      <c r="R452" s="200">
        <f t="shared" si="570"/>
        <v>43051.58246305753</v>
      </c>
      <c r="S452" s="133">
        <f t="shared" si="460"/>
        <v>43383.435777846542</v>
      </c>
      <c r="T452" s="133">
        <f t="shared" si="461"/>
        <v>43383.435777846542</v>
      </c>
      <c r="U452" s="133">
        <f t="shared" si="462"/>
        <v>43383.435777846542</v>
      </c>
      <c r="V452" s="200">
        <f t="shared" si="571"/>
        <v>43051.58246305753</v>
      </c>
      <c r="W452" s="200">
        <f t="shared" si="572"/>
        <v>43051.58246305753</v>
      </c>
      <c r="X452" s="200">
        <f t="shared" si="573"/>
        <v>43051.58246305753</v>
      </c>
      <c r="Y452" s="58">
        <v>31547.454727476455</v>
      </c>
      <c r="Z452">
        <v>45696.785164372195</v>
      </c>
      <c r="AA452" s="65">
        <v>27722.402586216736</v>
      </c>
      <c r="AB452" s="200">
        <f t="shared" si="451"/>
        <v>88748.367627429718</v>
      </c>
      <c r="AC452" s="200">
        <f t="shared" si="452"/>
        <v>88748.367627429718</v>
      </c>
      <c r="AD452" s="200">
        <f t="shared" si="453"/>
        <v>88748.367627429718</v>
      </c>
      <c r="AE452" s="199">
        <f t="shared" si="517"/>
        <v>74930.890505322997</v>
      </c>
      <c r="AF452" s="199">
        <f t="shared" si="454"/>
        <v>89080.22094221873</v>
      </c>
      <c r="AG452" s="199">
        <f t="shared" si="518"/>
        <v>71105.838364063282</v>
      </c>
      <c r="AH452" s="199">
        <f t="shared" si="463"/>
        <v>80093.029653141013</v>
      </c>
      <c r="AI452" s="200">
        <f t="shared" si="455"/>
        <v>88748.367627429718</v>
      </c>
      <c r="AJ452" s="200">
        <f t="shared" si="456"/>
        <v>88748.367627429718</v>
      </c>
      <c r="AK452" s="200">
        <f t="shared" si="457"/>
        <v>88748.367627429718</v>
      </c>
      <c r="AL452" s="4"/>
      <c r="AM452" s="4"/>
      <c r="AN452" s="4"/>
      <c r="AO452" s="4"/>
      <c r="AP452" s="63"/>
      <c r="AQ452" s="18"/>
      <c r="AR452" s="18"/>
      <c r="AS452" s="18"/>
      <c r="AT452" s="18">
        <v>0</v>
      </c>
      <c r="AU452" s="133">
        <f t="shared" ref="AU452" si="584">+AU440</f>
        <v>98.513999999999996</v>
      </c>
      <c r="AV452" s="133">
        <f t="shared" ref="AV452" si="585">+AV440</f>
        <v>3278.6750000000002</v>
      </c>
      <c r="AW452" s="194"/>
      <c r="AX452" s="194"/>
      <c r="AY452" s="194"/>
      <c r="AZ452" s="194"/>
      <c r="BA452" s="194"/>
      <c r="BB452" s="194"/>
      <c r="BC452" s="65">
        <v>0</v>
      </c>
      <c r="BD452" s="65">
        <v>0</v>
      </c>
      <c r="BE452" s="65">
        <v>0</v>
      </c>
      <c r="BF452" s="65">
        <v>0</v>
      </c>
      <c r="BG452" s="65">
        <v>0</v>
      </c>
      <c r="BH452" s="65">
        <v>0</v>
      </c>
      <c r="BI452" s="65">
        <v>364.03477763071049</v>
      </c>
      <c r="BJ452" s="65">
        <v>0</v>
      </c>
      <c r="BK452" s="65">
        <v>0</v>
      </c>
      <c r="BL452" s="65">
        <v>0</v>
      </c>
      <c r="BM452" s="65">
        <v>0</v>
      </c>
      <c r="BN452" s="65">
        <v>0</v>
      </c>
      <c r="BO452" s="65">
        <v>0</v>
      </c>
      <c r="BP452" s="5"/>
      <c r="BQ452" s="5"/>
      <c r="BR452" s="5"/>
      <c r="BS452" s="63"/>
      <c r="BT452" s="65">
        <v>119.82907187421443</v>
      </c>
      <c r="BU452" s="65">
        <v>136.96089106121883</v>
      </c>
      <c r="BV452" s="144">
        <f t="shared" si="448"/>
        <v>245.55851264602109</v>
      </c>
      <c r="BW452" s="144">
        <f t="shared" si="449"/>
        <v>528.76588852834504</v>
      </c>
      <c r="BX452" s="144">
        <f t="shared" si="450"/>
        <v>173.25782911770958</v>
      </c>
      <c r="BY452" s="5"/>
      <c r="BZ452" s="5"/>
      <c r="CA452" s="4"/>
      <c r="CB452" s="5"/>
      <c r="CC452" s="5"/>
      <c r="CD452" s="5"/>
      <c r="CE452" s="5"/>
      <c r="CF452" s="64"/>
      <c r="CG452" s="70"/>
      <c r="CH452" s="70"/>
      <c r="CI452" s="70"/>
      <c r="CJ452" s="63"/>
      <c r="CK452" s="8">
        <f t="shared" si="559"/>
        <v>4945.5959708582204</v>
      </c>
      <c r="CL452" s="202">
        <f t="shared" si="481"/>
        <v>83802.771656571495</v>
      </c>
      <c r="CM452" s="202">
        <f t="shared" si="482"/>
        <v>83802.771656571495</v>
      </c>
      <c r="CN452" s="202">
        <f t="shared" si="483"/>
        <v>83802.771656571495</v>
      </c>
      <c r="CO452" s="9">
        <f t="shared" si="484"/>
        <v>69985.294534464774</v>
      </c>
      <c r="CP452" s="9">
        <f t="shared" si="485"/>
        <v>84134.624971360507</v>
      </c>
      <c r="CQ452" s="9">
        <f t="shared" si="486"/>
        <v>66160.242393205059</v>
      </c>
      <c r="CR452" s="202">
        <f t="shared" si="487"/>
        <v>83802.771656571495</v>
      </c>
      <c r="CS452" s="202">
        <f t="shared" si="488"/>
        <v>83802.771656571495</v>
      </c>
      <c r="CT452" s="202">
        <f t="shared" si="489"/>
        <v>83802.771656571495</v>
      </c>
      <c r="CU452" s="203">
        <f t="shared" si="490"/>
        <v>0.94427395001088821</v>
      </c>
      <c r="CV452" s="203">
        <f t="shared" si="491"/>
        <v>0.94427395001088821</v>
      </c>
      <c r="CW452" s="203">
        <f t="shared" si="492"/>
        <v>0.94427395001088821</v>
      </c>
      <c r="CX452" s="19">
        <f t="shared" si="493"/>
        <v>0.93399790210011058</v>
      </c>
      <c r="CY452" s="19">
        <f t="shared" si="494"/>
        <v>0.94448154799631501</v>
      </c>
      <c r="CZ452" s="19">
        <f t="shared" si="495"/>
        <v>0.93044739947320954</v>
      </c>
      <c r="DA452" s="203">
        <f t="shared" si="496"/>
        <v>0.94427395001088821</v>
      </c>
      <c r="DB452" s="203">
        <f t="shared" si="497"/>
        <v>0.94427395001088821</v>
      </c>
      <c r="DC452" s="203">
        <f t="shared" si="498"/>
        <v>0.94427395001088821</v>
      </c>
      <c r="DD452" s="65"/>
      <c r="DE452" s="66"/>
      <c r="DF452" s="66"/>
      <c r="DG452" s="66"/>
      <c r="DH452" s="66"/>
      <c r="DI452" s="66"/>
      <c r="DJ452" s="66"/>
      <c r="DK452" s="70"/>
      <c r="DL452" s="70"/>
      <c r="DM452" s="8">
        <f t="shared" si="560"/>
        <v>0</v>
      </c>
      <c r="DN452" s="8">
        <f t="shared" si="561"/>
        <v>4945.5959708582204</v>
      </c>
      <c r="DO452" s="202">
        <f t="shared" si="535"/>
        <v>83802.771656571495</v>
      </c>
      <c r="DP452" s="202">
        <f t="shared" si="536"/>
        <v>83802.771656571495</v>
      </c>
      <c r="DQ452" s="202">
        <f t="shared" si="537"/>
        <v>83802.771656571495</v>
      </c>
      <c r="DR452" s="9">
        <f t="shared" si="538"/>
        <v>69985.294534464774</v>
      </c>
      <c r="DS452" s="9">
        <f t="shared" si="501"/>
        <v>84134.624971360507</v>
      </c>
      <c r="DT452" s="9">
        <f t="shared" si="539"/>
        <v>66160.242393205059</v>
      </c>
      <c r="DU452" s="202">
        <f t="shared" si="540"/>
        <v>83802.771656571495</v>
      </c>
      <c r="DV452" s="202">
        <f t="shared" si="541"/>
        <v>83802.771656571495</v>
      </c>
      <c r="DW452" s="202">
        <f t="shared" si="542"/>
        <v>83802.771656571495</v>
      </c>
      <c r="DX452" s="203">
        <f t="shared" si="543"/>
        <v>0.94427395001088821</v>
      </c>
      <c r="DY452" s="203">
        <f t="shared" si="544"/>
        <v>0.94427395001088821</v>
      </c>
      <c r="DZ452" s="203">
        <f t="shared" si="545"/>
        <v>0.94427395001088821</v>
      </c>
      <c r="EA452" s="19">
        <f t="shared" si="546"/>
        <v>0.93399790210011058</v>
      </c>
      <c r="EB452" s="19">
        <f t="shared" si="502"/>
        <v>0.94448154799631501</v>
      </c>
      <c r="EC452" s="19">
        <f t="shared" si="547"/>
        <v>0.93044739947320954</v>
      </c>
      <c r="ED452" s="203">
        <f t="shared" si="548"/>
        <v>0.94427395001088821</v>
      </c>
      <c r="EE452" s="203">
        <f t="shared" si="549"/>
        <v>0.94427395001088821</v>
      </c>
      <c r="EF452" s="203">
        <f t="shared" si="550"/>
        <v>0.94427395001088821</v>
      </c>
      <c r="EH452" s="58">
        <f t="shared" si="442"/>
        <v>4700.0374582121985</v>
      </c>
      <c r="EI452" s="68">
        <f t="shared" si="443"/>
        <v>5.2761852277632373E-2</v>
      </c>
      <c r="EJ452" s="58">
        <f t="shared" si="444"/>
        <v>4700.0374582121985</v>
      </c>
      <c r="EK452" s="68">
        <f t="shared" si="443"/>
        <v>5.2761852277632373E-2</v>
      </c>
      <c r="EL452" s="58">
        <f t="shared" si="445"/>
        <v>1149.5906290944888</v>
      </c>
      <c r="EM452" s="58">
        <f t="shared" si="446"/>
        <v>1322.8484582121985</v>
      </c>
      <c r="EN452" s="68">
        <f t="shared" si="447"/>
        <v>1.4850080570301403E-2</v>
      </c>
      <c r="EO452" s="139">
        <f t="shared" si="464"/>
        <v>0.32527353469126524</v>
      </c>
      <c r="EP452">
        <f>+(SUM(M452:O452)*EO452*(1-'[1]Tier 3 Data'!$A$2))</f>
        <v>410.81778888581101</v>
      </c>
    </row>
    <row r="453" spans="1:146" x14ac:dyDescent="0.2">
      <c r="A453" s="43">
        <v>0</v>
      </c>
      <c r="B453" s="43">
        <v>0</v>
      </c>
      <c r="C453" s="43">
        <v>0</v>
      </c>
      <c r="D453" s="70">
        <v>2045</v>
      </c>
      <c r="E453" s="70">
        <v>2</v>
      </c>
      <c r="F453" s="2">
        <v>672</v>
      </c>
      <c r="G453" s="133">
        <f t="shared" si="458"/>
        <v>47928.883435634518</v>
      </c>
      <c r="H453" s="65">
        <v>47928.883435634518</v>
      </c>
      <c r="I453" s="133">
        <f t="shared" si="459"/>
        <v>47928.883435634518</v>
      </c>
      <c r="J453" s="133">
        <f t="shared" si="576"/>
        <v>9611.7609999999841</v>
      </c>
      <c r="K453" s="64">
        <v>9611.7609999999841</v>
      </c>
      <c r="L453" s="133">
        <f t="shared" si="577"/>
        <v>9611.7609999999841</v>
      </c>
      <c r="M453" s="65">
        <v>839.3555429628592</v>
      </c>
      <c r="N453" s="65">
        <v>1807.4005037883962</v>
      </c>
      <c r="O453" s="70">
        <v>592.23591427351528</v>
      </c>
      <c r="P453" s="200">
        <f t="shared" si="568"/>
        <v>37345.4248473271</v>
      </c>
      <c r="Q453" s="200">
        <f t="shared" si="569"/>
        <v>37345.4248473271</v>
      </c>
      <c r="R453" s="200">
        <f t="shared" si="570"/>
        <v>37345.4248473271</v>
      </c>
      <c r="S453" s="133">
        <f t="shared" si="460"/>
        <v>38139.451661352476</v>
      </c>
      <c r="T453" s="133">
        <f t="shared" si="461"/>
        <v>38139.451661352476</v>
      </c>
      <c r="U453" s="133">
        <f t="shared" si="462"/>
        <v>38139.451661352476</v>
      </c>
      <c r="V453" s="200">
        <f t="shared" si="571"/>
        <v>37345.4248473271</v>
      </c>
      <c r="W453" s="200">
        <f t="shared" si="572"/>
        <v>37345.4248473271</v>
      </c>
      <c r="X453" s="200">
        <f t="shared" si="573"/>
        <v>37345.4248473271</v>
      </c>
      <c r="Y453" s="58">
        <v>29307.17253884373</v>
      </c>
      <c r="Z453">
        <v>41429.407140532807</v>
      </c>
      <c r="AA453" s="65">
        <v>25300.263926166892</v>
      </c>
      <c r="AB453" s="200">
        <f t="shared" si="451"/>
        <v>78774.831987859914</v>
      </c>
      <c r="AC453" s="200">
        <f t="shared" si="452"/>
        <v>78774.831987859914</v>
      </c>
      <c r="AD453" s="200">
        <f t="shared" si="453"/>
        <v>78774.831987859914</v>
      </c>
      <c r="AE453" s="199">
        <f t="shared" si="517"/>
        <v>67446.624200196209</v>
      </c>
      <c r="AF453" s="199">
        <f t="shared" si="454"/>
        <v>79568.858801885275</v>
      </c>
      <c r="AG453" s="199">
        <f t="shared" si="518"/>
        <v>63439.715587519371</v>
      </c>
      <c r="AH453" s="199">
        <f t="shared" si="463"/>
        <v>71504.287194702323</v>
      </c>
      <c r="AI453" s="200">
        <f t="shared" si="455"/>
        <v>78774.831987859914</v>
      </c>
      <c r="AJ453" s="200">
        <f t="shared" si="456"/>
        <v>78774.831987859914</v>
      </c>
      <c r="AK453" s="200">
        <f t="shared" si="457"/>
        <v>78774.831987859914</v>
      </c>
      <c r="AL453" s="4"/>
      <c r="AM453" s="4"/>
      <c r="AN453" s="4"/>
      <c r="AO453" s="4"/>
      <c r="AP453" s="63"/>
      <c r="AQ453" s="18"/>
      <c r="AR453" s="18"/>
      <c r="AS453" s="18"/>
      <c r="AT453" s="18">
        <v>0</v>
      </c>
      <c r="AU453" s="133">
        <f t="shared" ref="AU453" si="586">+AU441</f>
        <v>92.897999999999996</v>
      </c>
      <c r="AV453" s="133">
        <f t="shared" ref="AV453" si="587">+AV441</f>
        <v>3057.587</v>
      </c>
      <c r="AW453" s="194"/>
      <c r="AX453" s="194"/>
      <c r="AY453" s="194"/>
      <c r="AZ453" s="194"/>
      <c r="BA453" s="194"/>
      <c r="BB453" s="194"/>
      <c r="BC453" s="65">
        <v>0</v>
      </c>
      <c r="BD453" s="65">
        <v>0</v>
      </c>
      <c r="BE453" s="65">
        <v>0</v>
      </c>
      <c r="BF453" s="65">
        <v>0</v>
      </c>
      <c r="BG453" s="65">
        <v>0</v>
      </c>
      <c r="BH453" s="65">
        <v>0</v>
      </c>
      <c r="BI453" s="65">
        <v>453.70757859210244</v>
      </c>
      <c r="BJ453" s="65">
        <v>0</v>
      </c>
      <c r="BK453" s="65">
        <v>0</v>
      </c>
      <c r="BL453" s="65">
        <v>0</v>
      </c>
      <c r="BM453" s="65">
        <v>0</v>
      </c>
      <c r="BN453" s="65">
        <v>0</v>
      </c>
      <c r="BO453" s="65">
        <v>0</v>
      </c>
      <c r="BP453" s="5"/>
      <c r="BQ453" s="5"/>
      <c r="BR453" s="5"/>
      <c r="BS453" s="63"/>
      <c r="BT453" s="65">
        <v>153.69631860424559</v>
      </c>
      <c r="BU453" s="65">
        <v>165.80635945540317</v>
      </c>
      <c r="BV453" s="144">
        <f t="shared" si="448"/>
        <v>587.54888007400143</v>
      </c>
      <c r="BW453" s="144">
        <f t="shared" si="449"/>
        <v>1265.1803526518772</v>
      </c>
      <c r="BX453" s="144">
        <f t="shared" si="450"/>
        <v>414.56513999146068</v>
      </c>
      <c r="BY453" s="5"/>
      <c r="BZ453" s="5"/>
      <c r="CA453" s="4"/>
      <c r="CB453" s="5"/>
      <c r="CC453" s="5"/>
      <c r="CD453" s="5"/>
      <c r="CE453" s="5"/>
      <c r="CF453" s="64"/>
      <c r="CG453" s="70"/>
      <c r="CH453" s="70"/>
      <c r="CI453" s="70"/>
      <c r="CJ453" s="63"/>
      <c r="CK453" s="8">
        <f t="shared" si="559"/>
        <v>6190.9896293690908</v>
      </c>
      <c r="CL453" s="202">
        <f t="shared" si="481"/>
        <v>72583.842358490831</v>
      </c>
      <c r="CM453" s="202">
        <f t="shared" si="482"/>
        <v>72583.842358490831</v>
      </c>
      <c r="CN453" s="202">
        <f t="shared" si="483"/>
        <v>72583.842358490831</v>
      </c>
      <c r="CO453" s="9">
        <f t="shared" si="484"/>
        <v>61255.634570827118</v>
      </c>
      <c r="CP453" s="9">
        <f t="shared" si="485"/>
        <v>73377.869172516192</v>
      </c>
      <c r="CQ453" s="9">
        <f t="shared" si="486"/>
        <v>57248.72595815028</v>
      </c>
      <c r="CR453" s="202">
        <f t="shared" si="487"/>
        <v>72583.842358490831</v>
      </c>
      <c r="CS453" s="202">
        <f t="shared" si="488"/>
        <v>72583.842358490831</v>
      </c>
      <c r="CT453" s="202">
        <f t="shared" si="489"/>
        <v>72583.842358490831</v>
      </c>
      <c r="CU453" s="203">
        <f t="shared" si="490"/>
        <v>0.92140904051279748</v>
      </c>
      <c r="CV453" s="203">
        <f t="shared" si="491"/>
        <v>0.92140904051279748</v>
      </c>
      <c r="CW453" s="203">
        <f t="shared" si="492"/>
        <v>0.92140904051279748</v>
      </c>
      <c r="CX453" s="19">
        <f t="shared" si="493"/>
        <v>0.90820905118997663</v>
      </c>
      <c r="CY453" s="19">
        <f t="shared" si="494"/>
        <v>0.92219330875683747</v>
      </c>
      <c r="CZ453" s="19">
        <f t="shared" si="495"/>
        <v>0.90241145358181496</v>
      </c>
      <c r="DA453" s="203">
        <f t="shared" si="496"/>
        <v>0.92140904051279748</v>
      </c>
      <c r="DB453" s="203">
        <f t="shared" si="497"/>
        <v>0.92140904051279748</v>
      </c>
      <c r="DC453" s="203">
        <f t="shared" si="498"/>
        <v>0.92140904051279748</v>
      </c>
      <c r="DD453" s="65"/>
      <c r="DE453" s="66"/>
      <c r="DF453" s="66"/>
      <c r="DG453" s="66"/>
      <c r="DH453" s="66"/>
      <c r="DI453" s="66"/>
      <c r="DJ453" s="66"/>
      <c r="DK453" s="70"/>
      <c r="DL453" s="70"/>
      <c r="DM453" s="8">
        <f t="shared" si="560"/>
        <v>0</v>
      </c>
      <c r="DN453" s="8">
        <f t="shared" si="561"/>
        <v>6190.9896293690908</v>
      </c>
      <c r="DO453" s="202">
        <f t="shared" si="535"/>
        <v>72583.842358490831</v>
      </c>
      <c r="DP453" s="202">
        <f t="shared" si="536"/>
        <v>72583.842358490831</v>
      </c>
      <c r="DQ453" s="202">
        <f t="shared" si="537"/>
        <v>72583.842358490831</v>
      </c>
      <c r="DR453" s="9">
        <f t="shared" si="538"/>
        <v>61255.634570827118</v>
      </c>
      <c r="DS453" s="9">
        <f t="shared" si="501"/>
        <v>73377.869172516192</v>
      </c>
      <c r="DT453" s="9">
        <f t="shared" si="539"/>
        <v>57248.72595815028</v>
      </c>
      <c r="DU453" s="202">
        <f t="shared" si="540"/>
        <v>72583.842358490831</v>
      </c>
      <c r="DV453" s="202">
        <f t="shared" si="541"/>
        <v>72583.842358490831</v>
      </c>
      <c r="DW453" s="202">
        <f t="shared" si="542"/>
        <v>72583.842358490831</v>
      </c>
      <c r="DX453" s="203">
        <f t="shared" si="543"/>
        <v>0.92140904051279748</v>
      </c>
      <c r="DY453" s="203">
        <f t="shared" si="544"/>
        <v>0.92140904051279748</v>
      </c>
      <c r="DZ453" s="203">
        <f t="shared" si="545"/>
        <v>0.92140904051279748</v>
      </c>
      <c r="EA453" s="19">
        <f t="shared" si="546"/>
        <v>0.90820905118997663</v>
      </c>
      <c r="EB453" s="19">
        <f t="shared" si="502"/>
        <v>0.92219330875683747</v>
      </c>
      <c r="EC453" s="19">
        <f t="shared" si="547"/>
        <v>0.90241145358181496</v>
      </c>
      <c r="ED453" s="203">
        <f t="shared" si="548"/>
        <v>0.92140904051279748</v>
      </c>
      <c r="EE453" s="203">
        <f t="shared" si="549"/>
        <v>0.92140904051279748</v>
      </c>
      <c r="EF453" s="203">
        <f t="shared" si="550"/>
        <v>0.92140904051279748</v>
      </c>
      <c r="EH453" s="58">
        <f t="shared" si="442"/>
        <v>5603.4407492950895</v>
      </c>
      <c r="EI453" s="68">
        <f t="shared" si="443"/>
        <v>7.0422535067982198E-2</v>
      </c>
      <c r="EJ453" s="58">
        <f t="shared" si="444"/>
        <v>5603.4407492950895</v>
      </c>
      <c r="EK453" s="68">
        <f t="shared" si="443"/>
        <v>7.0422535067982198E-2</v>
      </c>
      <c r="EL453" s="58">
        <f t="shared" si="445"/>
        <v>2038.3906093036283</v>
      </c>
      <c r="EM453" s="58">
        <f t="shared" si="446"/>
        <v>2452.9557492950889</v>
      </c>
      <c r="EN453" s="68">
        <f t="shared" si="447"/>
        <v>3.0828087598976216E-2</v>
      </c>
      <c r="EO453" s="139">
        <f t="shared" si="464"/>
        <v>0.3126447604730192</v>
      </c>
      <c r="EP453">
        <f>+(SUM(M453:O453)*EO453*(1-'[1]Tier 3 Data'!$A$2))</f>
        <v>944.80605681810641</v>
      </c>
    </row>
    <row r="454" spans="1:146" x14ac:dyDescent="0.2">
      <c r="A454" s="43">
        <v>0</v>
      </c>
      <c r="B454" s="43">
        <v>0</v>
      </c>
      <c r="C454" s="43">
        <v>0</v>
      </c>
      <c r="D454" s="70">
        <v>2045</v>
      </c>
      <c r="E454" s="70">
        <v>3</v>
      </c>
      <c r="F454" s="2">
        <v>743</v>
      </c>
      <c r="G454" s="133">
        <f t="shared" si="458"/>
        <v>50211.579737140521</v>
      </c>
      <c r="H454" s="65">
        <v>50211.579737140521</v>
      </c>
      <c r="I454" s="133">
        <f t="shared" si="459"/>
        <v>50211.579737140521</v>
      </c>
      <c r="J454" s="133">
        <f t="shared" si="576"/>
        <v>9651.5699999999833</v>
      </c>
      <c r="K454" s="64">
        <v>9651.5699999999833</v>
      </c>
      <c r="L454" s="133">
        <f t="shared" si="577"/>
        <v>9651.5699999999833</v>
      </c>
      <c r="M454" s="65">
        <v>1051.6160966561574</v>
      </c>
      <c r="N454" s="65">
        <v>2264.4652541151199</v>
      </c>
      <c r="O454" s="70">
        <v>742.03069055698245</v>
      </c>
      <c r="P454" s="200">
        <f t="shared" si="568"/>
        <v>39342.57612474206</v>
      </c>
      <c r="Q454" s="200">
        <f t="shared" si="569"/>
        <v>39342.57612474206</v>
      </c>
      <c r="R454" s="200">
        <f t="shared" si="570"/>
        <v>39342.57612474206</v>
      </c>
      <c r="S454" s="133">
        <f t="shared" si="460"/>
        <v>40337.400529973442</v>
      </c>
      <c r="T454" s="133">
        <f t="shared" si="461"/>
        <v>40337.400529973442</v>
      </c>
      <c r="U454" s="133">
        <f t="shared" si="462"/>
        <v>40337.400529973442</v>
      </c>
      <c r="V454" s="200">
        <f t="shared" si="571"/>
        <v>39342.57612474206</v>
      </c>
      <c r="W454" s="200">
        <f t="shared" si="572"/>
        <v>39342.57612474206</v>
      </c>
      <c r="X454" s="200">
        <f t="shared" si="573"/>
        <v>39342.57612474206</v>
      </c>
      <c r="Y454" s="58">
        <v>26663.170869954123</v>
      </c>
      <c r="Z454">
        <v>37168.383359098654</v>
      </c>
      <c r="AA454" s="65">
        <v>22812.982594196288</v>
      </c>
      <c r="AB454" s="200">
        <f t="shared" si="451"/>
        <v>76510.959483840707</v>
      </c>
      <c r="AC454" s="200">
        <f t="shared" si="452"/>
        <v>76510.959483840707</v>
      </c>
      <c r="AD454" s="200">
        <f t="shared" si="453"/>
        <v>76510.959483840707</v>
      </c>
      <c r="AE454" s="199">
        <f t="shared" si="517"/>
        <v>67000.571399927561</v>
      </c>
      <c r="AF454" s="199">
        <f t="shared" si="454"/>
        <v>77505.783889072103</v>
      </c>
      <c r="AG454" s="199">
        <f t="shared" si="518"/>
        <v>63150.383124169733</v>
      </c>
      <c r="AH454" s="199">
        <f t="shared" si="463"/>
        <v>70328.083506620926</v>
      </c>
      <c r="AI454" s="200">
        <f t="shared" si="455"/>
        <v>76510.959483840707</v>
      </c>
      <c r="AJ454" s="200">
        <f t="shared" si="456"/>
        <v>76510.959483840707</v>
      </c>
      <c r="AK454" s="200">
        <f t="shared" si="457"/>
        <v>76510.959483840707</v>
      </c>
      <c r="AL454" s="4"/>
      <c r="AM454" s="4"/>
      <c r="AN454" s="4"/>
      <c r="AO454" s="4"/>
      <c r="AP454" s="63"/>
      <c r="AQ454" s="18"/>
      <c r="AR454" s="18"/>
      <c r="AS454" s="18"/>
      <c r="AT454" s="18">
        <v>0</v>
      </c>
      <c r="AU454" s="133">
        <f t="shared" ref="AU454" si="588">+AU442</f>
        <v>87.516000000000005</v>
      </c>
      <c r="AV454" s="133">
        <f t="shared" ref="AV454" si="589">+AV442</f>
        <v>3232.7139999999999</v>
      </c>
      <c r="AW454" s="194"/>
      <c r="AX454" s="194"/>
      <c r="AY454" s="194"/>
      <c r="AZ454" s="194"/>
      <c r="BA454" s="194"/>
      <c r="BB454" s="194"/>
      <c r="BC454" s="65">
        <v>0</v>
      </c>
      <c r="BD454" s="65">
        <v>0</v>
      </c>
      <c r="BE454" s="65">
        <v>0</v>
      </c>
      <c r="BF454" s="65">
        <v>0</v>
      </c>
      <c r="BG454" s="65">
        <v>0</v>
      </c>
      <c r="BH454" s="65">
        <v>0</v>
      </c>
      <c r="BI454" s="65">
        <v>872.07185301500408</v>
      </c>
      <c r="BJ454" s="65">
        <v>0</v>
      </c>
      <c r="BK454" s="65">
        <v>0</v>
      </c>
      <c r="BL454" s="65">
        <v>0</v>
      </c>
      <c r="BM454" s="65">
        <v>0</v>
      </c>
      <c r="BN454" s="65">
        <v>0</v>
      </c>
      <c r="BO454" s="65">
        <v>0</v>
      </c>
      <c r="BP454" s="5"/>
      <c r="BQ454" s="5"/>
      <c r="BR454" s="5"/>
      <c r="BS454" s="63"/>
      <c r="BT454" s="65">
        <v>203.4134353962414</v>
      </c>
      <c r="BU454" s="65">
        <v>236.38507847978244</v>
      </c>
      <c r="BV454" s="144">
        <f t="shared" si="448"/>
        <v>736.1312676593102</v>
      </c>
      <c r="BW454" s="144">
        <f t="shared" si="449"/>
        <v>1585.1256778805839</v>
      </c>
      <c r="BX454" s="144">
        <f t="shared" si="450"/>
        <v>519.42148338988773</v>
      </c>
      <c r="BY454" s="5"/>
      <c r="BZ454" s="5"/>
      <c r="CA454" s="4"/>
      <c r="CB454" s="5"/>
      <c r="CC454" s="5"/>
      <c r="CD454" s="5"/>
      <c r="CE454" s="5"/>
      <c r="CF454" s="64"/>
      <c r="CG454" s="70"/>
      <c r="CH454" s="70"/>
      <c r="CI454" s="70"/>
      <c r="CJ454" s="63"/>
      <c r="CK454" s="8">
        <f t="shared" si="559"/>
        <v>7472.77879582081</v>
      </c>
      <c r="CL454" s="202">
        <f t="shared" si="481"/>
        <v>69038.1806880199</v>
      </c>
      <c r="CM454" s="202">
        <f t="shared" si="482"/>
        <v>69038.1806880199</v>
      </c>
      <c r="CN454" s="202">
        <f t="shared" si="483"/>
        <v>69038.1806880199</v>
      </c>
      <c r="CO454" s="9">
        <f t="shared" si="484"/>
        <v>59527.792604106755</v>
      </c>
      <c r="CP454" s="9">
        <f t="shared" si="485"/>
        <v>70033.005093251297</v>
      </c>
      <c r="CQ454" s="9">
        <f t="shared" si="486"/>
        <v>55677.604328348927</v>
      </c>
      <c r="CR454" s="202">
        <f t="shared" si="487"/>
        <v>69038.1806880199</v>
      </c>
      <c r="CS454" s="202">
        <f t="shared" si="488"/>
        <v>69038.1806880199</v>
      </c>
      <c r="CT454" s="202">
        <f t="shared" si="489"/>
        <v>69038.1806880199</v>
      </c>
      <c r="CU454" s="203">
        <f t="shared" si="490"/>
        <v>0.90233060928481656</v>
      </c>
      <c r="CV454" s="203">
        <f t="shared" si="491"/>
        <v>0.90233060928481656</v>
      </c>
      <c r="CW454" s="203">
        <f t="shared" si="492"/>
        <v>0.90233060928481656</v>
      </c>
      <c r="CX454" s="19">
        <f t="shared" si="493"/>
        <v>0.88846693931585063</v>
      </c>
      <c r="CY454" s="19">
        <f t="shared" si="494"/>
        <v>0.90358424338348731</v>
      </c>
      <c r="CZ454" s="19">
        <f t="shared" si="495"/>
        <v>0.88166692858969009</v>
      </c>
      <c r="DA454" s="203">
        <f t="shared" si="496"/>
        <v>0.90233060928481656</v>
      </c>
      <c r="DB454" s="203">
        <f t="shared" si="497"/>
        <v>0.90233060928481656</v>
      </c>
      <c r="DC454" s="203">
        <f t="shared" si="498"/>
        <v>0.90233060928481656</v>
      </c>
      <c r="DD454" s="65"/>
      <c r="DE454" s="66"/>
      <c r="DF454" s="66"/>
      <c r="DG454" s="66"/>
      <c r="DH454" s="66"/>
      <c r="DI454" s="66"/>
      <c r="DJ454" s="66"/>
      <c r="DK454" s="70"/>
      <c r="DL454" s="70"/>
      <c r="DM454" s="8">
        <f t="shared" si="560"/>
        <v>0</v>
      </c>
      <c r="DN454" s="8">
        <f t="shared" si="561"/>
        <v>7472.77879582081</v>
      </c>
      <c r="DO454" s="202">
        <f t="shared" si="535"/>
        <v>69038.1806880199</v>
      </c>
      <c r="DP454" s="202">
        <f t="shared" si="536"/>
        <v>69038.1806880199</v>
      </c>
      <c r="DQ454" s="202">
        <f t="shared" si="537"/>
        <v>69038.1806880199</v>
      </c>
      <c r="DR454" s="9">
        <f t="shared" si="538"/>
        <v>59527.792604106755</v>
      </c>
      <c r="DS454" s="9">
        <f t="shared" si="501"/>
        <v>70033.005093251297</v>
      </c>
      <c r="DT454" s="9">
        <f t="shared" si="539"/>
        <v>55677.604328348927</v>
      </c>
      <c r="DU454" s="202">
        <f t="shared" si="540"/>
        <v>69038.1806880199</v>
      </c>
      <c r="DV454" s="202">
        <f t="shared" si="541"/>
        <v>69038.1806880199</v>
      </c>
      <c r="DW454" s="202">
        <f t="shared" si="542"/>
        <v>69038.1806880199</v>
      </c>
      <c r="DX454" s="203">
        <f t="shared" si="543"/>
        <v>0.90233060928481656</v>
      </c>
      <c r="DY454" s="203">
        <f t="shared" si="544"/>
        <v>0.90233060928481656</v>
      </c>
      <c r="DZ454" s="203">
        <f t="shared" si="545"/>
        <v>0.90233060928481656</v>
      </c>
      <c r="EA454" s="19">
        <f t="shared" si="546"/>
        <v>0.88846693931585063</v>
      </c>
      <c r="EB454" s="19">
        <f t="shared" si="502"/>
        <v>0.90358424338348731</v>
      </c>
      <c r="EC454" s="19">
        <f t="shared" si="547"/>
        <v>0.88166692858969009</v>
      </c>
      <c r="ED454" s="203">
        <f t="shared" si="548"/>
        <v>0.90233060928481656</v>
      </c>
      <c r="EE454" s="203">
        <f t="shared" si="549"/>
        <v>0.90233060928481656</v>
      </c>
      <c r="EF454" s="203">
        <f t="shared" si="550"/>
        <v>0.90233060928481656</v>
      </c>
      <c r="EH454" s="58">
        <f t="shared" si="442"/>
        <v>6736.6475281614994</v>
      </c>
      <c r="EI454" s="68">
        <f t="shared" si="443"/>
        <v>8.6917997472332253E-2</v>
      </c>
      <c r="EJ454" s="58">
        <f t="shared" si="444"/>
        <v>6736.6475281614994</v>
      </c>
      <c r="EK454" s="68">
        <f t="shared" si="443"/>
        <v>8.6917997472332253E-2</v>
      </c>
      <c r="EL454" s="58">
        <f t="shared" si="445"/>
        <v>2896.9960447716117</v>
      </c>
      <c r="EM454" s="58">
        <f t="shared" si="446"/>
        <v>3416.4175281614994</v>
      </c>
      <c r="EN454" s="68">
        <f t="shared" si="447"/>
        <v>4.4079517124181948E-2</v>
      </c>
      <c r="EO454" s="139">
        <f t="shared" si="464"/>
        <v>0.32861286969700848</v>
      </c>
      <c r="EP454">
        <f>+(SUM(M454:O454)*EO454*(1-'[1]Tier 3 Data'!$A$2))</f>
        <v>1244.2001379415226</v>
      </c>
    </row>
    <row r="455" spans="1:146" x14ac:dyDescent="0.2">
      <c r="A455" s="43">
        <v>0</v>
      </c>
      <c r="B455" s="43">
        <v>0</v>
      </c>
      <c r="C455" s="43">
        <v>0</v>
      </c>
      <c r="D455" s="70">
        <v>2045</v>
      </c>
      <c r="E455" s="70">
        <v>4</v>
      </c>
      <c r="F455" s="2">
        <v>720</v>
      </c>
      <c r="G455" s="133">
        <f t="shared" si="458"/>
        <v>42215.469634987188</v>
      </c>
      <c r="H455" s="65">
        <v>42215.469634987188</v>
      </c>
      <c r="I455" s="133">
        <f t="shared" si="459"/>
        <v>42215.469634987188</v>
      </c>
      <c r="J455" s="133">
        <f t="shared" si="576"/>
        <v>9691.3789999999826</v>
      </c>
      <c r="K455" s="64">
        <v>9691.3789999999826</v>
      </c>
      <c r="L455" s="133">
        <f t="shared" si="577"/>
        <v>9691.3789999999826</v>
      </c>
      <c r="M455" s="65">
        <v>1465.5029776468293</v>
      </c>
      <c r="N455" s="65">
        <v>3155.6958696577994</v>
      </c>
      <c r="O455" s="70">
        <v>1034.1341469173249</v>
      </c>
      <c r="P455" s="200">
        <f t="shared" si="568"/>
        <v>30827.490736720618</v>
      </c>
      <c r="Q455" s="200">
        <f t="shared" si="569"/>
        <v>30827.490736720618</v>
      </c>
      <c r="R455" s="200">
        <f t="shared" si="570"/>
        <v>30827.490736720618</v>
      </c>
      <c r="S455" s="133">
        <f t="shared" si="460"/>
        <v>32213.850390912008</v>
      </c>
      <c r="T455" s="133">
        <f t="shared" si="461"/>
        <v>32213.850390912008</v>
      </c>
      <c r="U455" s="133">
        <f t="shared" si="462"/>
        <v>32213.850390912008</v>
      </c>
      <c r="V455" s="200">
        <f t="shared" si="571"/>
        <v>30827.490736720618</v>
      </c>
      <c r="W455" s="200">
        <f t="shared" si="572"/>
        <v>30827.490736720618</v>
      </c>
      <c r="X455" s="200">
        <f t="shared" si="573"/>
        <v>30827.490736720618</v>
      </c>
      <c r="Y455" s="58">
        <v>22700.709084712325</v>
      </c>
      <c r="Z455">
        <v>30420.682530272628</v>
      </c>
      <c r="AA455" s="65">
        <v>18863.804064513461</v>
      </c>
      <c r="AB455" s="200">
        <f t="shared" si="451"/>
        <v>61248.173266993246</v>
      </c>
      <c r="AC455" s="200">
        <f t="shared" si="452"/>
        <v>61248.173266993246</v>
      </c>
      <c r="AD455" s="200">
        <f t="shared" si="453"/>
        <v>61248.173266993246</v>
      </c>
      <c r="AE455" s="199">
        <f t="shared" si="517"/>
        <v>54914.559475624337</v>
      </c>
      <c r="AF455" s="199">
        <f t="shared" si="454"/>
        <v>62634.53292118464</v>
      </c>
      <c r="AG455" s="199">
        <f t="shared" si="518"/>
        <v>51077.654455425465</v>
      </c>
      <c r="AH455" s="199">
        <f t="shared" si="463"/>
        <v>56856.093688305053</v>
      </c>
      <c r="AI455" s="200">
        <f t="shared" si="455"/>
        <v>61248.173266993246</v>
      </c>
      <c r="AJ455" s="200">
        <f t="shared" si="456"/>
        <v>61248.173266993246</v>
      </c>
      <c r="AK455" s="200">
        <f t="shared" si="457"/>
        <v>61248.173266993246</v>
      </c>
      <c r="AL455" s="4"/>
      <c r="AM455" s="4"/>
      <c r="AN455" s="4"/>
      <c r="AO455" s="4"/>
      <c r="AP455" s="63"/>
      <c r="AQ455" s="18"/>
      <c r="AR455" s="18"/>
      <c r="AS455" s="18"/>
      <c r="AT455" s="18">
        <v>0</v>
      </c>
      <c r="AU455" s="133">
        <f t="shared" ref="AU455" si="590">+AU443</f>
        <v>96.057000000000002</v>
      </c>
      <c r="AV455" s="133">
        <f t="shared" ref="AV455" si="591">+AV443</f>
        <v>3017.9659999999999</v>
      </c>
      <c r="AW455" s="194"/>
      <c r="AX455" s="194"/>
      <c r="AY455" s="194"/>
      <c r="AZ455" s="194"/>
      <c r="BA455" s="194"/>
      <c r="BB455" s="194"/>
      <c r="BC455" s="65">
        <v>0</v>
      </c>
      <c r="BD455" s="65">
        <v>0</v>
      </c>
      <c r="BE455" s="65">
        <v>0</v>
      </c>
      <c r="BF455" s="65">
        <v>0</v>
      </c>
      <c r="BG455" s="65">
        <v>0</v>
      </c>
      <c r="BH455" s="65">
        <v>0</v>
      </c>
      <c r="BI455" s="65">
        <v>1101.2464806594983</v>
      </c>
      <c r="BJ455" s="65">
        <v>0</v>
      </c>
      <c r="BK455" s="65">
        <v>0</v>
      </c>
      <c r="BL455" s="65">
        <v>0</v>
      </c>
      <c r="BM455" s="65">
        <v>0</v>
      </c>
      <c r="BN455" s="65">
        <v>0</v>
      </c>
      <c r="BO455" s="65">
        <v>0</v>
      </c>
      <c r="BP455" s="5"/>
      <c r="BQ455" s="5"/>
      <c r="BR455" s="5"/>
      <c r="BS455" s="63"/>
      <c r="BT455" s="65">
        <v>225.23690741782283</v>
      </c>
      <c r="BU455" s="65">
        <v>241.85277610601406</v>
      </c>
      <c r="BV455" s="144">
        <f t="shared" si="448"/>
        <v>1025.8520843527804</v>
      </c>
      <c r="BW455" s="144">
        <f t="shared" si="449"/>
        <v>2208.9871087604593</v>
      </c>
      <c r="BX455" s="144">
        <f t="shared" si="450"/>
        <v>723.89390284212732</v>
      </c>
      <c r="BY455" s="5"/>
      <c r="BZ455" s="5"/>
      <c r="CA455" s="4"/>
      <c r="CB455" s="5"/>
      <c r="CC455" s="5"/>
      <c r="CD455" s="5"/>
      <c r="CE455" s="5"/>
      <c r="CF455" s="64"/>
      <c r="CG455" s="70"/>
      <c r="CH455" s="70"/>
      <c r="CI455" s="70"/>
      <c r="CJ455" s="63"/>
      <c r="CK455" s="8">
        <f t="shared" si="559"/>
        <v>8641.0922601387028</v>
      </c>
      <c r="CL455" s="202">
        <f t="shared" si="481"/>
        <v>52607.08100685454</v>
      </c>
      <c r="CM455" s="202">
        <f t="shared" si="482"/>
        <v>52607.08100685454</v>
      </c>
      <c r="CN455" s="202">
        <f t="shared" si="483"/>
        <v>52607.08100685454</v>
      </c>
      <c r="CO455" s="9">
        <f t="shared" si="484"/>
        <v>46273.467215485638</v>
      </c>
      <c r="CP455" s="9">
        <f t="shared" si="485"/>
        <v>53993.440661045941</v>
      </c>
      <c r="CQ455" s="9">
        <f t="shared" si="486"/>
        <v>42436.562195286766</v>
      </c>
      <c r="CR455" s="202">
        <f t="shared" si="487"/>
        <v>52607.08100685454</v>
      </c>
      <c r="CS455" s="202">
        <f t="shared" si="488"/>
        <v>52607.08100685454</v>
      </c>
      <c r="CT455" s="202">
        <f t="shared" si="489"/>
        <v>52607.08100685454</v>
      </c>
      <c r="CU455" s="203">
        <f t="shared" si="490"/>
        <v>0.85891673499435772</v>
      </c>
      <c r="CV455" s="203">
        <f t="shared" si="491"/>
        <v>0.85891673499435772</v>
      </c>
      <c r="CW455" s="203">
        <f t="shared" si="492"/>
        <v>0.85891673499435772</v>
      </c>
      <c r="CX455" s="19">
        <f t="shared" si="493"/>
        <v>0.84264478596110137</v>
      </c>
      <c r="CY455" s="19">
        <f t="shared" si="494"/>
        <v>0.86203948752979276</v>
      </c>
      <c r="CZ455" s="19">
        <f t="shared" si="495"/>
        <v>0.83082441133471341</v>
      </c>
      <c r="DA455" s="203">
        <f t="shared" si="496"/>
        <v>0.85891673499435772</v>
      </c>
      <c r="DB455" s="203">
        <f t="shared" si="497"/>
        <v>0.85891673499435772</v>
      </c>
      <c r="DC455" s="203">
        <f t="shared" si="498"/>
        <v>0.85891673499435772</v>
      </c>
      <c r="DD455" s="65"/>
      <c r="DE455" s="66"/>
      <c r="DF455" s="66"/>
      <c r="DG455" s="66"/>
      <c r="DH455" s="66"/>
      <c r="DI455" s="66"/>
      <c r="DJ455" s="66"/>
      <c r="DK455" s="70"/>
      <c r="DL455" s="70"/>
      <c r="DM455" s="8">
        <f t="shared" si="560"/>
        <v>0</v>
      </c>
      <c r="DN455" s="8">
        <f t="shared" si="561"/>
        <v>8641.0922601387028</v>
      </c>
      <c r="DO455" s="202">
        <f t="shared" si="535"/>
        <v>52607.08100685454</v>
      </c>
      <c r="DP455" s="202">
        <f t="shared" si="536"/>
        <v>52607.08100685454</v>
      </c>
      <c r="DQ455" s="202">
        <f t="shared" si="537"/>
        <v>52607.08100685454</v>
      </c>
      <c r="DR455" s="9">
        <f t="shared" si="538"/>
        <v>46273.467215485638</v>
      </c>
      <c r="DS455" s="9">
        <f t="shared" si="501"/>
        <v>53993.440661045941</v>
      </c>
      <c r="DT455" s="9">
        <f t="shared" si="539"/>
        <v>42436.562195286766</v>
      </c>
      <c r="DU455" s="202">
        <f t="shared" si="540"/>
        <v>52607.08100685454</v>
      </c>
      <c r="DV455" s="202">
        <f t="shared" si="541"/>
        <v>52607.08100685454</v>
      </c>
      <c r="DW455" s="202">
        <f t="shared" si="542"/>
        <v>52607.08100685454</v>
      </c>
      <c r="DX455" s="203">
        <f t="shared" si="543"/>
        <v>0.85891673499435772</v>
      </c>
      <c r="DY455" s="203">
        <f t="shared" si="544"/>
        <v>0.85891673499435772</v>
      </c>
      <c r="DZ455" s="203">
        <f t="shared" si="545"/>
        <v>0.85891673499435772</v>
      </c>
      <c r="EA455" s="19">
        <f t="shared" si="546"/>
        <v>0.84264478596110137</v>
      </c>
      <c r="EB455" s="19">
        <f t="shared" si="502"/>
        <v>0.86203948752979276</v>
      </c>
      <c r="EC455" s="19">
        <f t="shared" si="547"/>
        <v>0.83082441133471341</v>
      </c>
      <c r="ED455" s="203">
        <f t="shared" si="548"/>
        <v>0.85891673499435772</v>
      </c>
      <c r="EE455" s="203">
        <f t="shared" si="549"/>
        <v>0.85891673499435772</v>
      </c>
      <c r="EF455" s="203">
        <f t="shared" si="550"/>
        <v>0.85891673499435772</v>
      </c>
      <c r="EH455" s="58">
        <f t="shared" si="442"/>
        <v>7615.2401757859216</v>
      </c>
      <c r="EI455" s="68">
        <f t="shared" si="443"/>
        <v>0.12158213401812162</v>
      </c>
      <c r="EJ455" s="58">
        <f t="shared" si="444"/>
        <v>7615.2401757859216</v>
      </c>
      <c r="EK455" s="68">
        <f t="shared" si="443"/>
        <v>0.12158213401812162</v>
      </c>
      <c r="EL455" s="58">
        <f t="shared" si="445"/>
        <v>3777.3232729437941</v>
      </c>
      <c r="EM455" s="58">
        <f t="shared" si="446"/>
        <v>4501.2171757859214</v>
      </c>
      <c r="EN455" s="68">
        <f t="shared" si="447"/>
        <v>7.1864783943547089E-2</v>
      </c>
      <c r="EO455" s="139">
        <f t="shared" si="464"/>
        <v>0.35351678044029999</v>
      </c>
      <c r="EP455">
        <f>+(SUM(M455:O455)*EO455*(1-'[1]Tier 3 Data'!$A$2))</f>
        <v>1865.305019901992</v>
      </c>
    </row>
    <row r="456" spans="1:146" x14ac:dyDescent="0.2">
      <c r="A456" s="43">
        <v>0</v>
      </c>
      <c r="B456" s="43">
        <v>0</v>
      </c>
      <c r="C456" s="43">
        <v>0</v>
      </c>
      <c r="D456" s="70">
        <v>2045</v>
      </c>
      <c r="E456" s="70">
        <v>5</v>
      </c>
      <c r="F456" s="2">
        <v>744</v>
      </c>
      <c r="G456" s="133">
        <f t="shared" si="458"/>
        <v>40244.308788941162</v>
      </c>
      <c r="H456" s="65">
        <v>40244.308788941162</v>
      </c>
      <c r="I456" s="133">
        <f t="shared" si="459"/>
        <v>40244.308788941162</v>
      </c>
      <c r="J456" s="133">
        <f t="shared" si="576"/>
        <v>9731.1879999999819</v>
      </c>
      <c r="K456" s="64">
        <v>9731.1879999999819</v>
      </c>
      <c r="L456" s="133">
        <f t="shared" si="577"/>
        <v>9731.1879999999819</v>
      </c>
      <c r="M456" s="65">
        <v>1750.7817988213781</v>
      </c>
      <c r="N456" s="65">
        <v>3769.9922657844818</v>
      </c>
      <c r="O456" s="70">
        <v>1235.5217563354167</v>
      </c>
      <c r="P456" s="200">
        <f t="shared" si="568"/>
        <v>28486.232042658798</v>
      </c>
      <c r="Q456" s="200">
        <f t="shared" si="569"/>
        <v>28486.232042658798</v>
      </c>
      <c r="R456" s="200">
        <f t="shared" si="570"/>
        <v>28486.232042658798</v>
      </c>
      <c r="S456" s="133">
        <f t="shared" si="460"/>
        <v>30142.464262040558</v>
      </c>
      <c r="T456" s="133">
        <f t="shared" si="461"/>
        <v>30142.464262040558</v>
      </c>
      <c r="U456" s="133">
        <f t="shared" si="462"/>
        <v>30142.464262040558</v>
      </c>
      <c r="V456" s="200">
        <f t="shared" si="571"/>
        <v>28486.232042658798</v>
      </c>
      <c r="W456" s="200">
        <f t="shared" si="572"/>
        <v>28486.232042658798</v>
      </c>
      <c r="X456" s="200">
        <f t="shared" si="573"/>
        <v>28486.232042658798</v>
      </c>
      <c r="Y456" s="58">
        <v>18318.842877886811</v>
      </c>
      <c r="Z456">
        <v>23614.309505698948</v>
      </c>
      <c r="AA456" s="65">
        <v>14828.613208316059</v>
      </c>
      <c r="AB456" s="200">
        <f t="shared" si="451"/>
        <v>52100.541548357745</v>
      </c>
      <c r="AC456" s="200">
        <f t="shared" si="452"/>
        <v>52100.541548357745</v>
      </c>
      <c r="AD456" s="200">
        <f t="shared" si="453"/>
        <v>52100.541548357745</v>
      </c>
      <c r="AE456" s="199">
        <f t="shared" si="517"/>
        <v>48461.307139927369</v>
      </c>
      <c r="AF456" s="199">
        <f t="shared" si="454"/>
        <v>53756.773767739505</v>
      </c>
      <c r="AG456" s="199">
        <f t="shared" si="518"/>
        <v>44971.077470356613</v>
      </c>
      <c r="AH456" s="199">
        <f t="shared" si="463"/>
        <v>49363.925619048059</v>
      </c>
      <c r="AI456" s="200">
        <f t="shared" si="455"/>
        <v>52100.541548357745</v>
      </c>
      <c r="AJ456" s="200">
        <f t="shared" si="456"/>
        <v>52100.541548357745</v>
      </c>
      <c r="AK456" s="200">
        <f t="shared" si="457"/>
        <v>52100.541548357745</v>
      </c>
      <c r="AL456" s="4"/>
      <c r="AM456" s="4"/>
      <c r="AN456" s="4"/>
      <c r="AO456" s="4"/>
      <c r="AP456" s="63"/>
      <c r="AQ456" s="18"/>
      <c r="AR456" s="18"/>
      <c r="AS456" s="18"/>
      <c r="AT456" s="18">
        <v>0</v>
      </c>
      <c r="AU456" s="133">
        <f t="shared" ref="AU456" si="592">+AU444</f>
        <v>109.161</v>
      </c>
      <c r="AV456" s="133">
        <f t="shared" ref="AV456" si="593">+AV444</f>
        <v>3327.41</v>
      </c>
      <c r="AW456" s="194"/>
      <c r="AX456" s="194"/>
      <c r="AY456" s="194"/>
      <c r="AZ456" s="194"/>
      <c r="BA456" s="194"/>
      <c r="BB456" s="194"/>
      <c r="BC456" s="65">
        <v>0</v>
      </c>
      <c r="BD456" s="65">
        <v>0</v>
      </c>
      <c r="BE456" s="65">
        <v>0</v>
      </c>
      <c r="BF456" s="65">
        <v>0</v>
      </c>
      <c r="BG456" s="65">
        <v>0</v>
      </c>
      <c r="BH456" s="65">
        <v>0</v>
      </c>
      <c r="BI456" s="65">
        <v>1105.9847380503927</v>
      </c>
      <c r="BJ456" s="65">
        <v>0</v>
      </c>
      <c r="BK456" s="65">
        <v>0</v>
      </c>
      <c r="BL456" s="65">
        <v>0</v>
      </c>
      <c r="BM456" s="65">
        <v>0</v>
      </c>
      <c r="BN456" s="65">
        <v>0</v>
      </c>
      <c r="BO456" s="65">
        <v>0</v>
      </c>
      <c r="BP456" s="5"/>
      <c r="BQ456" s="5"/>
      <c r="BR456" s="5"/>
      <c r="BS456" s="63"/>
      <c r="BT456" s="5"/>
      <c r="BU456" s="65">
        <v>276.58312087439583</v>
      </c>
      <c r="BV456" s="144">
        <f t="shared" si="448"/>
        <v>1225.5472591749647</v>
      </c>
      <c r="BW456" s="144">
        <f t="shared" si="449"/>
        <v>2638.9945860491371</v>
      </c>
      <c r="BX456" s="144">
        <f t="shared" si="450"/>
        <v>864.86522943479167</v>
      </c>
      <c r="BY456" s="5"/>
      <c r="BZ456" s="5"/>
      <c r="CA456" s="4"/>
      <c r="CB456" s="5"/>
      <c r="CC456" s="5"/>
      <c r="CD456" s="5"/>
      <c r="CE456" s="5"/>
      <c r="CF456" s="64"/>
      <c r="CG456" s="70"/>
      <c r="CH456" s="70"/>
      <c r="CI456" s="70"/>
      <c r="CJ456" s="63"/>
      <c r="CK456" s="8">
        <f t="shared" si="559"/>
        <v>9548.5459335836822</v>
      </c>
      <c r="CL456" s="202">
        <f t="shared" si="481"/>
        <v>42551.99561477406</v>
      </c>
      <c r="CM456" s="202">
        <f t="shared" si="482"/>
        <v>42551.99561477406</v>
      </c>
      <c r="CN456" s="202">
        <f t="shared" si="483"/>
        <v>42551.99561477406</v>
      </c>
      <c r="CO456" s="9">
        <f t="shared" si="484"/>
        <v>38912.761206343683</v>
      </c>
      <c r="CP456" s="9">
        <f t="shared" si="485"/>
        <v>44208.227834155827</v>
      </c>
      <c r="CQ456" s="9">
        <f t="shared" si="486"/>
        <v>35422.531536772934</v>
      </c>
      <c r="CR456" s="202">
        <f t="shared" si="487"/>
        <v>42551.99561477406</v>
      </c>
      <c r="CS456" s="202">
        <f t="shared" si="488"/>
        <v>42551.99561477406</v>
      </c>
      <c r="CT456" s="202">
        <f t="shared" si="489"/>
        <v>42551.99561477406</v>
      </c>
      <c r="CU456" s="203">
        <f t="shared" si="490"/>
        <v>0.81672847057220921</v>
      </c>
      <c r="CV456" s="203">
        <f t="shared" si="491"/>
        <v>0.81672847057220921</v>
      </c>
      <c r="CW456" s="203">
        <f t="shared" si="492"/>
        <v>0.81672847057220921</v>
      </c>
      <c r="CX456" s="19">
        <f t="shared" si="493"/>
        <v>0.80296557197656315</v>
      </c>
      <c r="CY456" s="19">
        <f t="shared" si="494"/>
        <v>0.82237501873086838</v>
      </c>
      <c r="CZ456" s="19">
        <f t="shared" si="495"/>
        <v>0.78767362334429836</v>
      </c>
      <c r="DA456" s="203">
        <f t="shared" si="496"/>
        <v>0.81672847057220921</v>
      </c>
      <c r="DB456" s="203">
        <f t="shared" si="497"/>
        <v>0.81672847057220921</v>
      </c>
      <c r="DC456" s="203">
        <f t="shared" si="498"/>
        <v>0.81672847057220921</v>
      </c>
      <c r="DD456" s="65"/>
      <c r="DE456" s="66"/>
      <c r="DF456" s="66"/>
      <c r="DG456" s="66"/>
      <c r="DH456" s="66"/>
      <c r="DI456" s="66"/>
      <c r="DJ456" s="66"/>
      <c r="DK456" s="70"/>
      <c r="DL456" s="70"/>
      <c r="DM456" s="8">
        <f t="shared" si="560"/>
        <v>0</v>
      </c>
      <c r="DN456" s="8">
        <f t="shared" si="561"/>
        <v>9548.5459335836822</v>
      </c>
      <c r="DO456" s="202">
        <f t="shared" si="535"/>
        <v>42551.99561477406</v>
      </c>
      <c r="DP456" s="202">
        <f t="shared" si="536"/>
        <v>42551.99561477406</v>
      </c>
      <c r="DQ456" s="202">
        <f t="shared" si="537"/>
        <v>42551.99561477406</v>
      </c>
      <c r="DR456" s="9">
        <f t="shared" si="538"/>
        <v>38912.761206343683</v>
      </c>
      <c r="DS456" s="9">
        <f t="shared" si="501"/>
        <v>44208.227834155827</v>
      </c>
      <c r="DT456" s="9">
        <f t="shared" si="539"/>
        <v>35422.531536772934</v>
      </c>
      <c r="DU456" s="202">
        <f t="shared" si="540"/>
        <v>42551.99561477406</v>
      </c>
      <c r="DV456" s="202">
        <f t="shared" si="541"/>
        <v>42551.99561477406</v>
      </c>
      <c r="DW456" s="202">
        <f t="shared" si="542"/>
        <v>42551.99561477406</v>
      </c>
      <c r="DX456" s="203">
        <f t="shared" si="543"/>
        <v>0.81672847057220921</v>
      </c>
      <c r="DY456" s="203">
        <f t="shared" si="544"/>
        <v>0.81672847057220921</v>
      </c>
      <c r="DZ456" s="203">
        <f t="shared" si="545"/>
        <v>0.81672847057220921</v>
      </c>
      <c r="EA456" s="19">
        <f t="shared" si="546"/>
        <v>0.80296557197656315</v>
      </c>
      <c r="EB456" s="19">
        <f t="shared" si="502"/>
        <v>0.82237501873086838</v>
      </c>
      <c r="EC456" s="19">
        <f t="shared" si="547"/>
        <v>0.78767362334429836</v>
      </c>
      <c r="ED456" s="203">
        <f t="shared" si="548"/>
        <v>0.81672847057220921</v>
      </c>
      <c r="EE456" s="203">
        <f t="shared" si="549"/>
        <v>0.81672847057220921</v>
      </c>
      <c r="EF456" s="203">
        <f t="shared" si="550"/>
        <v>0.81672847057220921</v>
      </c>
      <c r="EH456" s="58">
        <f t="shared" si="442"/>
        <v>8322.9986744087164</v>
      </c>
      <c r="EI456" s="68">
        <f t="shared" si="443"/>
        <v>0.15482697511515303</v>
      </c>
      <c r="EJ456" s="58">
        <f t="shared" si="444"/>
        <v>8322.9986744087164</v>
      </c>
      <c r="EK456" s="68">
        <f t="shared" si="443"/>
        <v>0.15482697511515303</v>
      </c>
      <c r="EL456" s="58">
        <f t="shared" si="445"/>
        <v>4021.5624449739257</v>
      </c>
      <c r="EM456" s="58">
        <f t="shared" si="446"/>
        <v>4886.4276744087174</v>
      </c>
      <c r="EN456" s="68">
        <f t="shared" si="447"/>
        <v>9.0898826918462849E-2</v>
      </c>
      <c r="EO456" s="139">
        <f t="shared" si="464"/>
        <v>0.28868615856523006</v>
      </c>
      <c r="EP456">
        <f>+(SUM(M456:O456)*EO456*(1-'[1]Tier 3 Data'!$A$2))</f>
        <v>1819.7689978704384</v>
      </c>
    </row>
    <row r="457" spans="1:146" x14ac:dyDescent="0.2">
      <c r="A457" s="43">
        <v>0</v>
      </c>
      <c r="B457" s="43">
        <v>0</v>
      </c>
      <c r="C457" s="43">
        <v>0</v>
      </c>
      <c r="D457" s="70">
        <v>2045</v>
      </c>
      <c r="E457" s="70">
        <v>6</v>
      </c>
      <c r="F457" s="2">
        <v>720</v>
      </c>
      <c r="G457" s="133">
        <f t="shared" si="458"/>
        <v>42801.667895919716</v>
      </c>
      <c r="H457" s="65">
        <v>42801.667895919716</v>
      </c>
      <c r="I457" s="133">
        <f t="shared" si="459"/>
        <v>42801.667895919716</v>
      </c>
      <c r="J457" s="133">
        <f t="shared" si="576"/>
        <v>9770.9969999999812</v>
      </c>
      <c r="K457" s="64">
        <v>9770.9969999999812</v>
      </c>
      <c r="L457" s="133">
        <f t="shared" si="577"/>
        <v>9770.9969999999812</v>
      </c>
      <c r="M457" s="65">
        <v>1685.1147327511308</v>
      </c>
      <c r="N457" s="65">
        <v>3628.5901039798232</v>
      </c>
      <c r="O457" s="70">
        <v>1189.332727281979</v>
      </c>
      <c r="P457" s="200">
        <f t="shared" si="568"/>
        <v>31079.759626715855</v>
      </c>
      <c r="Q457" s="200">
        <f t="shared" si="569"/>
        <v>31079.759626715855</v>
      </c>
      <c r="R457" s="200">
        <f t="shared" si="570"/>
        <v>31079.759626715855</v>
      </c>
      <c r="S457" s="133">
        <f t="shared" si="460"/>
        <v>32673.871077735141</v>
      </c>
      <c r="T457" s="133">
        <f t="shared" si="461"/>
        <v>32673.871077735141</v>
      </c>
      <c r="U457" s="133">
        <f t="shared" si="462"/>
        <v>32673.871077735141</v>
      </c>
      <c r="V457" s="200">
        <f t="shared" si="571"/>
        <v>31079.759626715855</v>
      </c>
      <c r="W457" s="200">
        <f t="shared" si="572"/>
        <v>31079.759626715855</v>
      </c>
      <c r="X457" s="200">
        <f t="shared" si="573"/>
        <v>31079.759626715855</v>
      </c>
      <c r="Y457" s="58">
        <v>19363.322794289616</v>
      </c>
      <c r="Z457">
        <v>25171.579954748533</v>
      </c>
      <c r="AA457" s="65">
        <v>15942.8900483544</v>
      </c>
      <c r="AB457" s="200">
        <f t="shared" si="451"/>
        <v>56251.339581464388</v>
      </c>
      <c r="AC457" s="200">
        <f t="shared" si="452"/>
        <v>56251.339581464388</v>
      </c>
      <c r="AD457" s="200">
        <f t="shared" si="453"/>
        <v>56251.339581464388</v>
      </c>
      <c r="AE457" s="199">
        <f t="shared" si="517"/>
        <v>52037.193872024756</v>
      </c>
      <c r="AF457" s="199">
        <f t="shared" si="454"/>
        <v>57845.451032483674</v>
      </c>
      <c r="AG457" s="199">
        <f t="shared" si="518"/>
        <v>48616.761126089543</v>
      </c>
      <c r="AH457" s="199">
        <f t="shared" si="463"/>
        <v>53231.106079286605</v>
      </c>
      <c r="AI457" s="200">
        <f t="shared" si="455"/>
        <v>56251.339581464388</v>
      </c>
      <c r="AJ457" s="200">
        <f t="shared" si="456"/>
        <v>56251.339581464388</v>
      </c>
      <c r="AK457" s="200">
        <f t="shared" si="457"/>
        <v>56251.339581464388</v>
      </c>
      <c r="AL457" s="4"/>
      <c r="AM457" s="4"/>
      <c r="AN457" s="4"/>
      <c r="AO457" s="4"/>
      <c r="AP457" s="63"/>
      <c r="AQ457" s="18"/>
      <c r="AR457" s="18"/>
      <c r="AS457" s="18"/>
      <c r="AT457" s="18">
        <v>0</v>
      </c>
      <c r="AU457" s="133">
        <f t="shared" ref="AU457" si="594">+AU445</f>
        <v>128.934</v>
      </c>
      <c r="AV457" s="133">
        <f t="shared" ref="AV457" si="595">+AV445</f>
        <v>3110.2840000000001</v>
      </c>
      <c r="AW457" s="194"/>
      <c r="AX457" s="194"/>
      <c r="AY457" s="194"/>
      <c r="AZ457" s="194"/>
      <c r="BA457" s="194"/>
      <c r="BB457" s="194"/>
      <c r="BC457" s="65">
        <v>0</v>
      </c>
      <c r="BD457" s="65">
        <v>0</v>
      </c>
      <c r="BE457" s="65">
        <v>0</v>
      </c>
      <c r="BF457" s="65">
        <v>0</v>
      </c>
      <c r="BG457" s="65">
        <v>0</v>
      </c>
      <c r="BH457" s="65">
        <v>0</v>
      </c>
      <c r="BI457" s="65">
        <v>1175.4508772786985</v>
      </c>
      <c r="BJ457" s="65">
        <v>0</v>
      </c>
      <c r="BK457" s="65">
        <v>0</v>
      </c>
      <c r="BL457" s="65">
        <v>0</v>
      </c>
      <c r="BM457" s="65">
        <v>0</v>
      </c>
      <c r="BN457" s="65">
        <v>0</v>
      </c>
      <c r="BO457" s="65">
        <v>0</v>
      </c>
      <c r="BP457" s="5"/>
      <c r="BQ457" s="5"/>
      <c r="BR457" s="5"/>
      <c r="BS457" s="63"/>
      <c r="BT457" s="5"/>
      <c r="BU457" s="65">
        <v>269.35094029712798</v>
      </c>
      <c r="BV457" s="144">
        <f t="shared" si="448"/>
        <v>1179.5803129257915</v>
      </c>
      <c r="BW457" s="144">
        <f t="shared" si="449"/>
        <v>2540.0130727858759</v>
      </c>
      <c r="BX457" s="144">
        <f t="shared" si="450"/>
        <v>832.5329090973853</v>
      </c>
      <c r="BY457" s="5"/>
      <c r="BZ457" s="5"/>
      <c r="CA457" s="4"/>
      <c r="CB457" s="5"/>
      <c r="CC457" s="5"/>
      <c r="CD457" s="5"/>
      <c r="CE457" s="5"/>
      <c r="CF457" s="64"/>
      <c r="CG457" s="70"/>
      <c r="CH457" s="70"/>
      <c r="CI457" s="70"/>
      <c r="CJ457" s="63"/>
      <c r="CK457" s="8">
        <f t="shared" si="559"/>
        <v>9236.1461123848785</v>
      </c>
      <c r="CL457" s="202">
        <f t="shared" si="481"/>
        <v>47015.19346907951</v>
      </c>
      <c r="CM457" s="202">
        <f t="shared" si="482"/>
        <v>47015.19346907951</v>
      </c>
      <c r="CN457" s="202">
        <f t="shared" si="483"/>
        <v>47015.19346907951</v>
      </c>
      <c r="CO457" s="9">
        <f t="shared" si="484"/>
        <v>42801.047759639878</v>
      </c>
      <c r="CP457" s="9">
        <f t="shared" si="485"/>
        <v>48609.304920098795</v>
      </c>
      <c r="CQ457" s="9">
        <f t="shared" si="486"/>
        <v>39380.615013704664</v>
      </c>
      <c r="CR457" s="202">
        <f t="shared" si="487"/>
        <v>47015.19346907951</v>
      </c>
      <c r="CS457" s="202">
        <f t="shared" si="488"/>
        <v>47015.19346907951</v>
      </c>
      <c r="CT457" s="202">
        <f t="shared" si="489"/>
        <v>47015.19346907951</v>
      </c>
      <c r="CU457" s="203">
        <f t="shared" si="490"/>
        <v>0.83580575714096739</v>
      </c>
      <c r="CV457" s="203">
        <f t="shared" si="491"/>
        <v>0.83580575714096739</v>
      </c>
      <c r="CW457" s="203">
        <f t="shared" si="492"/>
        <v>0.83580575714096739</v>
      </c>
      <c r="CX457" s="19">
        <f t="shared" si="493"/>
        <v>0.82250875911757726</v>
      </c>
      <c r="CY457" s="19">
        <f t="shared" si="494"/>
        <v>0.84033064056846529</v>
      </c>
      <c r="CZ457" s="19">
        <f t="shared" si="495"/>
        <v>0.81002136097814992</v>
      </c>
      <c r="DA457" s="203">
        <f t="shared" si="496"/>
        <v>0.83580575714096739</v>
      </c>
      <c r="DB457" s="203">
        <f t="shared" si="497"/>
        <v>0.83580575714096739</v>
      </c>
      <c r="DC457" s="203">
        <f t="shared" si="498"/>
        <v>0.83580575714096739</v>
      </c>
      <c r="DD457" s="65"/>
      <c r="DE457" s="66"/>
      <c r="DF457" s="66"/>
      <c r="DG457" s="66"/>
      <c r="DH457" s="66"/>
      <c r="DI457" s="66"/>
      <c r="DJ457" s="66"/>
      <c r="DK457" s="70"/>
      <c r="DL457" s="70"/>
      <c r="DM457" s="8">
        <f t="shared" si="560"/>
        <v>0</v>
      </c>
      <c r="DN457" s="8">
        <f t="shared" si="561"/>
        <v>9236.1461123848785</v>
      </c>
      <c r="DO457" s="202">
        <f t="shared" si="535"/>
        <v>47015.19346907951</v>
      </c>
      <c r="DP457" s="202">
        <f t="shared" si="536"/>
        <v>47015.19346907951</v>
      </c>
      <c r="DQ457" s="202">
        <f t="shared" si="537"/>
        <v>47015.19346907951</v>
      </c>
      <c r="DR457" s="9">
        <f t="shared" si="538"/>
        <v>42801.047759639878</v>
      </c>
      <c r="DS457" s="9">
        <f t="shared" si="501"/>
        <v>48609.304920098795</v>
      </c>
      <c r="DT457" s="9">
        <f t="shared" si="539"/>
        <v>39380.615013704664</v>
      </c>
      <c r="DU457" s="202">
        <f t="shared" si="540"/>
        <v>47015.19346907951</v>
      </c>
      <c r="DV457" s="202">
        <f t="shared" si="541"/>
        <v>47015.19346907951</v>
      </c>
      <c r="DW457" s="202">
        <f t="shared" si="542"/>
        <v>47015.19346907951</v>
      </c>
      <c r="DX457" s="203">
        <f t="shared" si="543"/>
        <v>0.83580575714096739</v>
      </c>
      <c r="DY457" s="203">
        <f t="shared" si="544"/>
        <v>0.83580575714096739</v>
      </c>
      <c r="DZ457" s="203">
        <f t="shared" si="545"/>
        <v>0.83580575714096739</v>
      </c>
      <c r="EA457" s="19">
        <f t="shared" si="546"/>
        <v>0.82250875911757726</v>
      </c>
      <c r="EB457" s="19">
        <f t="shared" si="502"/>
        <v>0.84033064056846529</v>
      </c>
      <c r="EC457" s="19">
        <f t="shared" si="547"/>
        <v>0.81002136097814992</v>
      </c>
      <c r="ED457" s="203">
        <f t="shared" si="548"/>
        <v>0.83580575714096739</v>
      </c>
      <c r="EE457" s="203">
        <f t="shared" si="549"/>
        <v>0.83580575714096739</v>
      </c>
      <c r="EF457" s="203">
        <f t="shared" si="550"/>
        <v>0.83580575714096739</v>
      </c>
      <c r="EH457" s="58">
        <f t="shared" ref="EH457:EH520" si="596">SUMIF($AL$1:$DL$1,1,$AL457:$DL457)-0.5*BZ457</f>
        <v>8056.5657994590874</v>
      </c>
      <c r="EI457" s="68">
        <f t="shared" ref="EI457:EK520" si="597">+EH457/$AF457</f>
        <v>0.13927743073409254</v>
      </c>
      <c r="EJ457" s="58">
        <f t="shared" ref="EJ457:EJ520" si="598">SUMIF($AL$2:$DL$2,1,$AL457:$DL457)</f>
        <v>8056.5657994590874</v>
      </c>
      <c r="EK457" s="68">
        <f t="shared" si="597"/>
        <v>0.13927743073409254</v>
      </c>
      <c r="EL457" s="58">
        <f t="shared" ref="EL457:EL520" si="599">+EM457-BX457</f>
        <v>3984.8148903617021</v>
      </c>
      <c r="EM457" s="58">
        <f t="shared" ref="EM457:EM520" si="600">SUMIF($AL$3:$DL$3,1,$AL457:$DL457)</f>
        <v>4817.3477994590876</v>
      </c>
      <c r="EN457" s="68">
        <f t="shared" ref="EN457:EN520" si="601">+EM457/$AF457</f>
        <v>8.3279630696523735E-2</v>
      </c>
      <c r="EO457" s="139">
        <f t="shared" si="464"/>
        <v>0.24029016665052916</v>
      </c>
      <c r="EP457">
        <f>+(SUM(M457:O457)*EO457*(1-'[1]Tier 3 Data'!$A$2))</f>
        <v>1457.9207093319005</v>
      </c>
    </row>
    <row r="458" spans="1:146" x14ac:dyDescent="0.2">
      <c r="A458" s="43">
        <v>0</v>
      </c>
      <c r="B458" s="43">
        <v>0</v>
      </c>
      <c r="C458" s="43">
        <v>0</v>
      </c>
      <c r="D458" s="70">
        <v>2045</v>
      </c>
      <c r="E458" s="70">
        <v>7</v>
      </c>
      <c r="F458" s="2">
        <v>744</v>
      </c>
      <c r="G458" s="133">
        <f t="shared" si="458"/>
        <v>49154.033198848752</v>
      </c>
      <c r="H458" s="65">
        <v>49154.033198848752</v>
      </c>
      <c r="I458" s="133">
        <f t="shared" si="459"/>
        <v>49154.033198848752</v>
      </c>
      <c r="J458" s="133">
        <f t="shared" si="576"/>
        <v>9810.8059999999805</v>
      </c>
      <c r="K458" s="64">
        <v>9810.8059999999805</v>
      </c>
      <c r="L458" s="133">
        <f t="shared" si="577"/>
        <v>9810.8059999999805</v>
      </c>
      <c r="M458" s="65">
        <v>1709.2251160000674</v>
      </c>
      <c r="N458" s="65">
        <v>3680.5074579497937</v>
      </c>
      <c r="O458" s="70">
        <v>1206.494765945323</v>
      </c>
      <c r="P458" s="200">
        <f t="shared" si="568"/>
        <v>37364.358996880212</v>
      </c>
      <c r="Q458" s="200">
        <f t="shared" si="569"/>
        <v>37364.358996880212</v>
      </c>
      <c r="R458" s="200">
        <f t="shared" si="570"/>
        <v>37364.358996880212</v>
      </c>
      <c r="S458" s="133">
        <f t="shared" si="460"/>
        <v>38981.278769065175</v>
      </c>
      <c r="T458" s="133">
        <f t="shared" si="461"/>
        <v>38981.278769065175</v>
      </c>
      <c r="U458" s="133">
        <f t="shared" si="462"/>
        <v>38981.278769065175</v>
      </c>
      <c r="V458" s="200">
        <f t="shared" si="571"/>
        <v>37364.358996880212</v>
      </c>
      <c r="W458" s="200">
        <f t="shared" si="572"/>
        <v>37364.358996880212</v>
      </c>
      <c r="X458" s="200">
        <f t="shared" si="573"/>
        <v>37364.358996880212</v>
      </c>
      <c r="Y458" s="58">
        <v>21136.612917348197</v>
      </c>
      <c r="Z458">
        <v>28717.284915516579</v>
      </c>
      <c r="AA458" s="65">
        <v>17945.29504081624</v>
      </c>
      <c r="AB458" s="200">
        <f t="shared" si="451"/>
        <v>66081.643912396787</v>
      </c>
      <c r="AC458" s="200">
        <f t="shared" si="452"/>
        <v>66081.643912396787</v>
      </c>
      <c r="AD458" s="200">
        <f t="shared" si="453"/>
        <v>66081.643912396787</v>
      </c>
      <c r="AE458" s="199">
        <f t="shared" si="517"/>
        <v>60117.891686413372</v>
      </c>
      <c r="AF458" s="199">
        <f t="shared" si="454"/>
        <v>67698.56368458175</v>
      </c>
      <c r="AG458" s="199">
        <f t="shared" si="518"/>
        <v>56926.573809881418</v>
      </c>
      <c r="AH458" s="199">
        <f t="shared" si="463"/>
        <v>62312.568747231584</v>
      </c>
      <c r="AI458" s="200">
        <f t="shared" si="455"/>
        <v>66081.643912396787</v>
      </c>
      <c r="AJ458" s="200">
        <f t="shared" si="456"/>
        <v>66081.643912396787</v>
      </c>
      <c r="AK458" s="200">
        <f t="shared" si="457"/>
        <v>66081.643912396787</v>
      </c>
      <c r="AL458" s="4"/>
      <c r="AM458" s="4"/>
      <c r="AN458" s="4"/>
      <c r="AO458" s="4"/>
      <c r="AP458" s="63"/>
      <c r="AQ458" s="18"/>
      <c r="AR458" s="18"/>
      <c r="AS458" s="18"/>
      <c r="AT458" s="18">
        <v>0</v>
      </c>
      <c r="AU458" s="133">
        <f t="shared" ref="AU458" si="602">+AU446</f>
        <v>118.521</v>
      </c>
      <c r="AV458" s="133">
        <f t="shared" ref="AV458" si="603">+AV446</f>
        <v>3084.53</v>
      </c>
      <c r="AW458" s="194"/>
      <c r="AX458" s="194"/>
      <c r="AY458" s="194"/>
      <c r="AZ458" s="194"/>
      <c r="BA458" s="194"/>
      <c r="BB458" s="194"/>
      <c r="BC458" s="65">
        <v>0</v>
      </c>
      <c r="BD458" s="65">
        <v>0</v>
      </c>
      <c r="BE458" s="65">
        <v>0</v>
      </c>
      <c r="BF458" s="65">
        <v>0</v>
      </c>
      <c r="BG458" s="65">
        <v>0</v>
      </c>
      <c r="BH458" s="65">
        <v>0</v>
      </c>
      <c r="BI458" s="65">
        <v>1138.3624795531932</v>
      </c>
      <c r="BJ458" s="65">
        <v>0</v>
      </c>
      <c r="BK458" s="65">
        <v>0</v>
      </c>
      <c r="BL458" s="65">
        <v>0</v>
      </c>
      <c r="BM458" s="65">
        <v>0</v>
      </c>
      <c r="BN458" s="65">
        <v>0</v>
      </c>
      <c r="BO458" s="65">
        <v>0</v>
      </c>
      <c r="BP458" s="5"/>
      <c r="BQ458" s="5"/>
      <c r="BR458" s="5"/>
      <c r="BS458" s="63"/>
      <c r="BT458" s="5"/>
      <c r="BU458" s="65">
        <v>276.93743513816588</v>
      </c>
      <c r="BV458" s="144">
        <f t="shared" si="448"/>
        <v>1196.4575812000471</v>
      </c>
      <c r="BW458" s="144">
        <f t="shared" si="449"/>
        <v>2576.3552205648552</v>
      </c>
      <c r="BX458" s="144">
        <f t="shared" si="450"/>
        <v>844.54633616172612</v>
      </c>
      <c r="BY458" s="5"/>
      <c r="BZ458" s="5"/>
      <c r="CA458" s="4"/>
      <c r="CB458" s="5"/>
      <c r="CC458" s="5"/>
      <c r="CD458" s="5"/>
      <c r="CE458" s="5"/>
      <c r="CF458" s="64"/>
      <c r="CG458" s="70"/>
      <c r="CH458" s="70"/>
      <c r="CI458" s="70"/>
      <c r="CJ458" s="63"/>
      <c r="CK458" s="8">
        <f t="shared" si="559"/>
        <v>9235.7100526179875</v>
      </c>
      <c r="CL458" s="202">
        <f t="shared" si="481"/>
        <v>56845.933859778801</v>
      </c>
      <c r="CM458" s="202">
        <f t="shared" si="482"/>
        <v>56845.933859778801</v>
      </c>
      <c r="CN458" s="202">
        <f t="shared" si="483"/>
        <v>56845.933859778801</v>
      </c>
      <c r="CO458" s="9">
        <f t="shared" si="484"/>
        <v>50882.181633795386</v>
      </c>
      <c r="CP458" s="9">
        <f t="shared" si="485"/>
        <v>58462.853631963764</v>
      </c>
      <c r="CQ458" s="9">
        <f t="shared" si="486"/>
        <v>47690.863757263432</v>
      </c>
      <c r="CR458" s="202">
        <f t="shared" si="487"/>
        <v>56845.933859778801</v>
      </c>
      <c r="CS458" s="202">
        <f t="shared" si="488"/>
        <v>56845.933859778801</v>
      </c>
      <c r="CT458" s="202">
        <f t="shared" si="489"/>
        <v>56845.933859778801</v>
      </c>
      <c r="CU458" s="203">
        <f t="shared" si="490"/>
        <v>0.86023788898379105</v>
      </c>
      <c r="CV458" s="203">
        <f t="shared" si="491"/>
        <v>0.86023788898379105</v>
      </c>
      <c r="CW458" s="203">
        <f t="shared" si="492"/>
        <v>0.86023788898379105</v>
      </c>
      <c r="CX458" s="19">
        <f t="shared" si="493"/>
        <v>0.84637335419556547</v>
      </c>
      <c r="CY458" s="19">
        <f t="shared" si="494"/>
        <v>0.86357598226679355</v>
      </c>
      <c r="CZ458" s="19">
        <f t="shared" si="495"/>
        <v>0.83776100624881034</v>
      </c>
      <c r="DA458" s="203">
        <f t="shared" si="496"/>
        <v>0.86023788898379105</v>
      </c>
      <c r="DB458" s="203">
        <f t="shared" si="497"/>
        <v>0.86023788898379105</v>
      </c>
      <c r="DC458" s="203">
        <f t="shared" si="498"/>
        <v>0.86023788898379105</v>
      </c>
      <c r="DD458" s="65"/>
      <c r="DE458" s="66"/>
      <c r="DF458" s="66"/>
      <c r="DG458" s="66"/>
      <c r="DH458" s="66"/>
      <c r="DI458" s="66"/>
      <c r="DJ458" s="66"/>
      <c r="DK458" s="70"/>
      <c r="DL458" s="70"/>
      <c r="DM458" s="8">
        <f t="shared" si="560"/>
        <v>0</v>
      </c>
      <c r="DN458" s="8">
        <f t="shared" si="561"/>
        <v>9235.7100526179875</v>
      </c>
      <c r="DO458" s="202">
        <f t="shared" si="535"/>
        <v>56845.933859778801</v>
      </c>
      <c r="DP458" s="202">
        <f t="shared" si="536"/>
        <v>56845.933859778801</v>
      </c>
      <c r="DQ458" s="202">
        <f t="shared" si="537"/>
        <v>56845.933859778801</v>
      </c>
      <c r="DR458" s="9">
        <f t="shared" si="538"/>
        <v>50882.181633795386</v>
      </c>
      <c r="DS458" s="9">
        <f t="shared" si="501"/>
        <v>58462.853631963764</v>
      </c>
      <c r="DT458" s="9">
        <f t="shared" si="539"/>
        <v>47690.863757263432</v>
      </c>
      <c r="DU458" s="202">
        <f t="shared" si="540"/>
        <v>56845.933859778801</v>
      </c>
      <c r="DV458" s="202">
        <f t="shared" si="541"/>
        <v>56845.933859778801</v>
      </c>
      <c r="DW458" s="202">
        <f t="shared" si="542"/>
        <v>56845.933859778801</v>
      </c>
      <c r="DX458" s="203">
        <f t="shared" si="543"/>
        <v>0.86023788898379105</v>
      </c>
      <c r="DY458" s="203">
        <f t="shared" si="544"/>
        <v>0.86023788898379105</v>
      </c>
      <c r="DZ458" s="203">
        <f t="shared" si="545"/>
        <v>0.86023788898379105</v>
      </c>
      <c r="EA458" s="19">
        <f t="shared" si="546"/>
        <v>0.84637335419556547</v>
      </c>
      <c r="EB458" s="19">
        <f t="shared" si="502"/>
        <v>0.86357598226679355</v>
      </c>
      <c r="EC458" s="19">
        <f t="shared" si="547"/>
        <v>0.83776100624881034</v>
      </c>
      <c r="ED458" s="203">
        <f t="shared" si="548"/>
        <v>0.86023788898379105</v>
      </c>
      <c r="EE458" s="203">
        <f t="shared" si="549"/>
        <v>0.86023788898379105</v>
      </c>
      <c r="EF458" s="203">
        <f t="shared" si="550"/>
        <v>0.86023788898379105</v>
      </c>
      <c r="EH458" s="58">
        <f t="shared" si="596"/>
        <v>8039.2524714179399</v>
      </c>
      <c r="EI458" s="68">
        <f t="shared" si="597"/>
        <v>0.11875070952574535</v>
      </c>
      <c r="EJ458" s="58">
        <f t="shared" si="598"/>
        <v>8039.2524714179399</v>
      </c>
      <c r="EK458" s="68">
        <f t="shared" si="597"/>
        <v>0.11875070952574535</v>
      </c>
      <c r="EL458" s="58">
        <f t="shared" si="599"/>
        <v>3991.6551352562142</v>
      </c>
      <c r="EM458" s="58">
        <f t="shared" si="600"/>
        <v>4836.2014714179404</v>
      </c>
      <c r="EN458" s="68">
        <f t="shared" si="601"/>
        <v>7.1437283277538399E-2</v>
      </c>
      <c r="EO458" s="139">
        <f t="shared" si="464"/>
        <v>0.25197746931178833</v>
      </c>
      <c r="EP458">
        <f>+(SUM(M458:O458)*EO458*(1-'[1]Tier 3 Data'!$A$2))</f>
        <v>1550.7399270805129</v>
      </c>
    </row>
    <row r="459" spans="1:146" x14ac:dyDescent="0.2">
      <c r="A459" s="43">
        <v>0</v>
      </c>
      <c r="B459" s="43">
        <v>0</v>
      </c>
      <c r="C459" s="43">
        <v>0</v>
      </c>
      <c r="D459" s="70">
        <v>2045</v>
      </c>
      <c r="E459" s="70">
        <v>8</v>
      </c>
      <c r="F459" s="2">
        <v>744</v>
      </c>
      <c r="G459" s="133">
        <f t="shared" si="458"/>
        <v>46941.898624735841</v>
      </c>
      <c r="H459" s="65">
        <v>46941.898624735841</v>
      </c>
      <c r="I459" s="133">
        <f t="shared" si="459"/>
        <v>46941.898624735841</v>
      </c>
      <c r="J459" s="133">
        <f t="shared" si="576"/>
        <v>9850.6149999999798</v>
      </c>
      <c r="K459" s="64">
        <v>9850.6149999999798</v>
      </c>
      <c r="L459" s="133">
        <f t="shared" si="577"/>
        <v>9850.6149999999798</v>
      </c>
      <c r="M459" s="65">
        <v>1523.4196774399222</v>
      </c>
      <c r="N459" s="65">
        <v>3280.4090180505418</v>
      </c>
      <c r="O459" s="70">
        <v>1075.519859918094</v>
      </c>
      <c r="P459" s="200">
        <f t="shared" si="568"/>
        <v>35327.479058113298</v>
      </c>
      <c r="Q459" s="200">
        <f t="shared" si="569"/>
        <v>35327.479058113298</v>
      </c>
      <c r="R459" s="200">
        <f t="shared" si="570"/>
        <v>35327.479058113298</v>
      </c>
      <c r="S459" s="133">
        <f t="shared" si="460"/>
        <v>36768.62766676044</v>
      </c>
      <c r="T459" s="133">
        <f t="shared" si="461"/>
        <v>36768.62766676044</v>
      </c>
      <c r="U459" s="133">
        <f t="shared" si="462"/>
        <v>36768.62766676044</v>
      </c>
      <c r="V459" s="200">
        <f t="shared" si="571"/>
        <v>35327.479058113298</v>
      </c>
      <c r="W459" s="200">
        <f t="shared" si="572"/>
        <v>35327.479058113298</v>
      </c>
      <c r="X459" s="200">
        <f t="shared" si="573"/>
        <v>35327.479058113298</v>
      </c>
      <c r="Y459" s="58">
        <v>20177.689841533789</v>
      </c>
      <c r="Z459">
        <v>26886.43316731602</v>
      </c>
      <c r="AA459" s="65">
        <v>16889.78723162962</v>
      </c>
      <c r="AB459" s="200">
        <f t="shared" si="451"/>
        <v>62213.912225429318</v>
      </c>
      <c r="AC459" s="200">
        <f t="shared" si="452"/>
        <v>62213.912225429318</v>
      </c>
      <c r="AD459" s="200">
        <f t="shared" si="453"/>
        <v>62213.912225429318</v>
      </c>
      <c r="AE459" s="199">
        <f t="shared" si="517"/>
        <v>56946.317508294233</v>
      </c>
      <c r="AF459" s="199">
        <f t="shared" si="454"/>
        <v>63655.060834076459</v>
      </c>
      <c r="AG459" s="199">
        <f t="shared" si="518"/>
        <v>53658.41489839006</v>
      </c>
      <c r="AH459" s="199">
        <f t="shared" si="463"/>
        <v>58656.737866233263</v>
      </c>
      <c r="AI459" s="200">
        <f t="shared" si="455"/>
        <v>62213.912225429318</v>
      </c>
      <c r="AJ459" s="200">
        <f t="shared" si="456"/>
        <v>62213.912225429318</v>
      </c>
      <c r="AK459" s="200">
        <f t="shared" si="457"/>
        <v>62213.912225429318</v>
      </c>
      <c r="AL459" s="4"/>
      <c r="AM459" s="4"/>
      <c r="AN459" s="4"/>
      <c r="AO459" s="4"/>
      <c r="AP459" s="63"/>
      <c r="AQ459" s="18"/>
      <c r="AR459" s="18"/>
      <c r="AS459" s="18"/>
      <c r="AT459" s="18">
        <v>0</v>
      </c>
      <c r="AU459" s="133">
        <f t="shared" ref="AU459" si="604">+AU447</f>
        <v>107.64</v>
      </c>
      <c r="AV459" s="133">
        <f t="shared" ref="AV459" si="605">+AV447</f>
        <v>3021.9279999999999</v>
      </c>
      <c r="AW459" s="194"/>
      <c r="AX459" s="194"/>
      <c r="AY459" s="194"/>
      <c r="AZ459" s="194"/>
      <c r="BA459" s="194"/>
      <c r="BB459" s="194"/>
      <c r="BC459" s="65">
        <v>0</v>
      </c>
      <c r="BD459" s="65">
        <v>0</v>
      </c>
      <c r="BE459" s="65">
        <v>0</v>
      </c>
      <c r="BF459" s="65">
        <v>0</v>
      </c>
      <c r="BG459" s="65">
        <v>0</v>
      </c>
      <c r="BH459" s="65">
        <v>0</v>
      </c>
      <c r="BI459" s="65">
        <v>1103.9554175139688</v>
      </c>
      <c r="BJ459" s="65">
        <v>0</v>
      </c>
      <c r="BK459" s="65">
        <v>0</v>
      </c>
      <c r="BL459" s="65">
        <v>0</v>
      </c>
      <c r="BM459" s="65">
        <v>0</v>
      </c>
      <c r="BN459" s="65">
        <v>0</v>
      </c>
      <c r="BO459" s="65">
        <v>0</v>
      </c>
      <c r="BP459" s="5"/>
      <c r="BQ459" s="5"/>
      <c r="BR459" s="5"/>
      <c r="BS459" s="63"/>
      <c r="BT459" s="5"/>
      <c r="BU459" s="65">
        <v>257.68531634713037</v>
      </c>
      <c r="BV459" s="144">
        <f t="shared" si="448"/>
        <v>1066.3937742079454</v>
      </c>
      <c r="BW459" s="144">
        <f t="shared" si="449"/>
        <v>2296.2863126353791</v>
      </c>
      <c r="BX459" s="144">
        <f t="shared" si="450"/>
        <v>752.86390194266573</v>
      </c>
      <c r="BY459" s="5"/>
      <c r="BZ459" s="5"/>
      <c r="CA459" s="4"/>
      <c r="CB459" s="5"/>
      <c r="CC459" s="5"/>
      <c r="CD459" s="5"/>
      <c r="CE459" s="5"/>
      <c r="CF459" s="64"/>
      <c r="CG459" s="70"/>
      <c r="CH459" s="70"/>
      <c r="CI459" s="70"/>
      <c r="CJ459" s="63"/>
      <c r="CK459" s="8">
        <f t="shared" si="559"/>
        <v>8606.7527226470902</v>
      </c>
      <c r="CL459" s="202">
        <f t="shared" si="481"/>
        <v>53607.159502782226</v>
      </c>
      <c r="CM459" s="202">
        <f t="shared" si="482"/>
        <v>53607.159502782226</v>
      </c>
      <c r="CN459" s="202">
        <f t="shared" si="483"/>
        <v>53607.159502782226</v>
      </c>
      <c r="CO459" s="9">
        <f t="shared" si="484"/>
        <v>48339.564785647141</v>
      </c>
      <c r="CP459" s="9">
        <f t="shared" si="485"/>
        <v>55048.308111429367</v>
      </c>
      <c r="CQ459" s="9">
        <f t="shared" si="486"/>
        <v>45051.662175742968</v>
      </c>
      <c r="CR459" s="202">
        <f t="shared" si="487"/>
        <v>53607.159502782226</v>
      </c>
      <c r="CS459" s="202">
        <f t="shared" si="488"/>
        <v>53607.159502782226</v>
      </c>
      <c r="CT459" s="202">
        <f t="shared" si="489"/>
        <v>53607.159502782226</v>
      </c>
      <c r="CU459" s="203">
        <f t="shared" si="490"/>
        <v>0.86165871242012704</v>
      </c>
      <c r="CV459" s="203">
        <f t="shared" si="491"/>
        <v>0.86165871242012704</v>
      </c>
      <c r="CW459" s="203">
        <f t="shared" si="492"/>
        <v>0.86165871242012704</v>
      </c>
      <c r="CX459" s="19">
        <f t="shared" si="493"/>
        <v>0.84886199671482676</v>
      </c>
      <c r="CY459" s="19">
        <f t="shared" si="494"/>
        <v>0.8647907548925059</v>
      </c>
      <c r="CZ459" s="19">
        <f t="shared" si="495"/>
        <v>0.83960106277933821</v>
      </c>
      <c r="DA459" s="203">
        <f t="shared" si="496"/>
        <v>0.86165871242012704</v>
      </c>
      <c r="DB459" s="203">
        <f t="shared" si="497"/>
        <v>0.86165871242012704</v>
      </c>
      <c r="DC459" s="203">
        <f t="shared" si="498"/>
        <v>0.86165871242012704</v>
      </c>
      <c r="DD459" s="65"/>
      <c r="DE459" s="66"/>
      <c r="DF459" s="66"/>
      <c r="DG459" s="66"/>
      <c r="DH459" s="66"/>
      <c r="DI459" s="66"/>
      <c r="DJ459" s="66"/>
      <c r="DK459" s="70"/>
      <c r="DL459" s="70"/>
      <c r="DM459" s="8">
        <f t="shared" si="560"/>
        <v>0</v>
      </c>
      <c r="DN459" s="8">
        <f t="shared" si="561"/>
        <v>8606.7527226470902</v>
      </c>
      <c r="DO459" s="202">
        <f t="shared" si="535"/>
        <v>53607.159502782226</v>
      </c>
      <c r="DP459" s="202">
        <f t="shared" si="536"/>
        <v>53607.159502782226</v>
      </c>
      <c r="DQ459" s="202">
        <f t="shared" si="537"/>
        <v>53607.159502782226</v>
      </c>
      <c r="DR459" s="9">
        <f t="shared" si="538"/>
        <v>48339.564785647141</v>
      </c>
      <c r="DS459" s="9">
        <f t="shared" si="501"/>
        <v>55048.308111429367</v>
      </c>
      <c r="DT459" s="9">
        <f t="shared" si="539"/>
        <v>45051.662175742968</v>
      </c>
      <c r="DU459" s="202">
        <f t="shared" si="540"/>
        <v>53607.159502782226</v>
      </c>
      <c r="DV459" s="202">
        <f t="shared" si="541"/>
        <v>53607.159502782226</v>
      </c>
      <c r="DW459" s="202">
        <f t="shared" si="542"/>
        <v>53607.159502782226</v>
      </c>
      <c r="DX459" s="203">
        <f t="shared" si="543"/>
        <v>0.86165871242012704</v>
      </c>
      <c r="DY459" s="203">
        <f t="shared" si="544"/>
        <v>0.86165871242012704</v>
      </c>
      <c r="DZ459" s="203">
        <f t="shared" si="545"/>
        <v>0.86165871242012704</v>
      </c>
      <c r="EA459" s="19">
        <f t="shared" si="546"/>
        <v>0.84886199671482676</v>
      </c>
      <c r="EB459" s="19">
        <f t="shared" si="502"/>
        <v>0.8647907548925059</v>
      </c>
      <c r="EC459" s="19">
        <f t="shared" si="547"/>
        <v>0.83960106277933821</v>
      </c>
      <c r="ED459" s="203">
        <f t="shared" si="548"/>
        <v>0.86165871242012704</v>
      </c>
      <c r="EE459" s="203">
        <f t="shared" si="549"/>
        <v>0.86165871242012704</v>
      </c>
      <c r="EF459" s="203">
        <f t="shared" si="550"/>
        <v>0.86165871242012704</v>
      </c>
      <c r="EH459" s="58">
        <f t="shared" si="596"/>
        <v>7540.3589484391441</v>
      </c>
      <c r="EI459" s="68">
        <f t="shared" si="597"/>
        <v>0.11845655081681368</v>
      </c>
      <c r="EJ459" s="58">
        <f t="shared" si="598"/>
        <v>7540.3589484391441</v>
      </c>
      <c r="EK459" s="68">
        <f t="shared" si="597"/>
        <v>0.11845655081681368</v>
      </c>
      <c r="EL459" s="58">
        <f t="shared" si="599"/>
        <v>3657.9270464964784</v>
      </c>
      <c r="EM459" s="58">
        <f t="shared" si="600"/>
        <v>4410.7909484391439</v>
      </c>
      <c r="EN459" s="68">
        <f t="shared" si="601"/>
        <v>6.9292070271306933E-2</v>
      </c>
      <c r="EO459" s="139">
        <f t="shared" si="464"/>
        <v>0.28519905910129462</v>
      </c>
      <c r="EP459">
        <f>+(SUM(M459:O459)*EO459*(1-'[1]Tier 3 Data'!$A$2))</f>
        <v>1564.4401028302946</v>
      </c>
    </row>
    <row r="460" spans="1:146" x14ac:dyDescent="0.2">
      <c r="A460" s="43">
        <v>0</v>
      </c>
      <c r="B460" s="43">
        <v>0</v>
      </c>
      <c r="C460" s="43">
        <v>0</v>
      </c>
      <c r="D460" s="70">
        <v>2045</v>
      </c>
      <c r="E460" s="70">
        <v>9</v>
      </c>
      <c r="F460" s="2">
        <v>720</v>
      </c>
      <c r="G460" s="133">
        <f t="shared" si="458"/>
        <v>40778.107873603192</v>
      </c>
      <c r="H460" s="65">
        <v>40778.107873603192</v>
      </c>
      <c r="I460" s="133">
        <f t="shared" si="459"/>
        <v>40778.107873603192</v>
      </c>
      <c r="J460" s="133">
        <f t="shared" si="576"/>
        <v>9890.4239999999791</v>
      </c>
      <c r="K460" s="64">
        <v>9890.4239999999791</v>
      </c>
      <c r="L460" s="133">
        <f t="shared" si="577"/>
        <v>9890.4239999999791</v>
      </c>
      <c r="M460" s="65">
        <v>1349.1581364153492</v>
      </c>
      <c r="N460" s="65">
        <v>2905.1682756984146</v>
      </c>
      <c r="O460" s="70">
        <v>952.60655263776584</v>
      </c>
      <c r="P460" s="200">
        <f t="shared" si="568"/>
        <v>29325.603984177757</v>
      </c>
      <c r="Q460" s="200">
        <f t="shared" si="569"/>
        <v>29325.603984177757</v>
      </c>
      <c r="R460" s="200">
        <f t="shared" si="570"/>
        <v>29325.603984177757</v>
      </c>
      <c r="S460" s="133">
        <f t="shared" si="460"/>
        <v>30601.901907811884</v>
      </c>
      <c r="T460" s="133">
        <f t="shared" si="461"/>
        <v>30601.901907811884</v>
      </c>
      <c r="U460" s="133">
        <f t="shared" si="462"/>
        <v>30601.901907811884</v>
      </c>
      <c r="V460" s="200">
        <f t="shared" si="571"/>
        <v>29325.603984177757</v>
      </c>
      <c r="W460" s="200">
        <f t="shared" si="572"/>
        <v>29325.603984177757</v>
      </c>
      <c r="X460" s="200">
        <f t="shared" si="573"/>
        <v>29325.603984177757</v>
      </c>
      <c r="Y460" s="58">
        <v>18800.815034777886</v>
      </c>
      <c r="Z460">
        <v>24819.923336157422</v>
      </c>
      <c r="AA460" s="65">
        <v>15434.065188009939</v>
      </c>
      <c r="AB460" s="200">
        <f t="shared" si="451"/>
        <v>54145.527320335183</v>
      </c>
      <c r="AC460" s="200">
        <f t="shared" si="452"/>
        <v>54145.527320335183</v>
      </c>
      <c r="AD460" s="200">
        <f t="shared" si="453"/>
        <v>54145.527320335183</v>
      </c>
      <c r="AE460" s="199">
        <f t="shared" si="517"/>
        <v>49402.716942589774</v>
      </c>
      <c r="AF460" s="199">
        <f t="shared" si="454"/>
        <v>55421.825243969302</v>
      </c>
      <c r="AG460" s="199">
        <f t="shared" si="518"/>
        <v>46035.967095821819</v>
      </c>
      <c r="AH460" s="199">
        <f t="shared" si="463"/>
        <v>50728.896169895561</v>
      </c>
      <c r="AI460" s="200">
        <f t="shared" si="455"/>
        <v>54145.527320335183</v>
      </c>
      <c r="AJ460" s="200">
        <f t="shared" si="456"/>
        <v>54145.527320335183</v>
      </c>
      <c r="AK460" s="200">
        <f t="shared" si="457"/>
        <v>54145.527320335183</v>
      </c>
      <c r="AL460" s="4"/>
      <c r="AM460" s="4"/>
      <c r="AN460" s="4"/>
      <c r="AO460" s="4"/>
      <c r="AP460" s="63"/>
      <c r="AQ460" s="18"/>
      <c r="AR460" s="18"/>
      <c r="AS460" s="18"/>
      <c r="AT460" s="18">
        <v>0</v>
      </c>
      <c r="AU460" s="133">
        <f t="shared" ref="AU460" si="606">+AU448</f>
        <v>102.375</v>
      </c>
      <c r="AV460" s="133">
        <f t="shared" ref="AV460" si="607">+AV448</f>
        <v>2969.6280000000002</v>
      </c>
      <c r="AW460" s="194"/>
      <c r="AX460" s="194"/>
      <c r="AY460" s="194"/>
      <c r="AZ460" s="194"/>
      <c r="BA460" s="194"/>
      <c r="BB460" s="194"/>
      <c r="BC460" s="65">
        <v>0</v>
      </c>
      <c r="BD460" s="65">
        <v>0</v>
      </c>
      <c r="BE460" s="65">
        <v>0</v>
      </c>
      <c r="BF460" s="65">
        <v>0</v>
      </c>
      <c r="BG460" s="65">
        <v>0</v>
      </c>
      <c r="BH460" s="65">
        <v>0</v>
      </c>
      <c r="BI460" s="65">
        <v>1027.1706173088455</v>
      </c>
      <c r="BJ460" s="65">
        <v>0</v>
      </c>
      <c r="BK460" s="65">
        <v>0</v>
      </c>
      <c r="BL460" s="65">
        <v>0</v>
      </c>
      <c r="BM460" s="65">
        <v>0</v>
      </c>
      <c r="BN460" s="65">
        <v>0</v>
      </c>
      <c r="BO460" s="65">
        <v>0</v>
      </c>
      <c r="BP460" s="5"/>
      <c r="BQ460" s="5"/>
      <c r="BR460" s="5"/>
      <c r="BS460" s="63"/>
      <c r="BT460" s="5"/>
      <c r="BU460" s="65">
        <v>211.58011451366485</v>
      </c>
      <c r="BV460" s="144">
        <f t="shared" ref="BV460:BV523" si="608">+M460*0.7</f>
        <v>944.41069549074439</v>
      </c>
      <c r="BW460" s="144">
        <f t="shared" ref="BW460:BW523" si="609">+N460*0.7</f>
        <v>2033.6177929888902</v>
      </c>
      <c r="BX460" s="144">
        <f t="shared" ref="BX460:BX523" si="610">+O460*0.7</f>
        <v>666.82458684643609</v>
      </c>
      <c r="BY460" s="5"/>
      <c r="BZ460" s="5"/>
      <c r="CA460" s="4"/>
      <c r="CB460" s="5"/>
      <c r="CC460" s="5"/>
      <c r="CD460" s="5"/>
      <c r="CE460" s="5"/>
      <c r="CF460" s="64"/>
      <c r="CG460" s="70"/>
      <c r="CH460" s="70"/>
      <c r="CI460" s="70"/>
      <c r="CJ460" s="63"/>
      <c r="CK460" s="8">
        <f t="shared" si="559"/>
        <v>7955.6068071485815</v>
      </c>
      <c r="CL460" s="202">
        <f t="shared" si="481"/>
        <v>46189.920513186604</v>
      </c>
      <c r="CM460" s="202">
        <f t="shared" si="482"/>
        <v>46189.920513186604</v>
      </c>
      <c r="CN460" s="202">
        <f t="shared" si="483"/>
        <v>46189.920513186604</v>
      </c>
      <c r="CO460" s="9">
        <f t="shared" si="484"/>
        <v>41447.110135441195</v>
      </c>
      <c r="CP460" s="9">
        <f t="shared" si="485"/>
        <v>47466.218436820724</v>
      </c>
      <c r="CQ460" s="9">
        <f t="shared" si="486"/>
        <v>38080.360288673241</v>
      </c>
      <c r="CR460" s="202">
        <f t="shared" si="487"/>
        <v>46189.920513186604</v>
      </c>
      <c r="CS460" s="202">
        <f t="shared" si="488"/>
        <v>46189.920513186604</v>
      </c>
      <c r="CT460" s="202">
        <f t="shared" si="489"/>
        <v>46189.920513186604</v>
      </c>
      <c r="CU460" s="203">
        <f t="shared" si="490"/>
        <v>0.85306991729747683</v>
      </c>
      <c r="CV460" s="203">
        <f t="shared" si="491"/>
        <v>0.85306991729747683</v>
      </c>
      <c r="CW460" s="203">
        <f t="shared" si="492"/>
        <v>0.85306991729747683</v>
      </c>
      <c r="CX460" s="19">
        <f t="shared" si="493"/>
        <v>0.8389641845732152</v>
      </c>
      <c r="CY460" s="19">
        <f t="shared" si="494"/>
        <v>0.85645354024109366</v>
      </c>
      <c r="CZ460" s="19">
        <f t="shared" si="495"/>
        <v>0.82718714715845254</v>
      </c>
      <c r="DA460" s="203">
        <f t="shared" si="496"/>
        <v>0.85306991729747683</v>
      </c>
      <c r="DB460" s="203">
        <f t="shared" si="497"/>
        <v>0.85306991729747683</v>
      </c>
      <c r="DC460" s="203">
        <f t="shared" si="498"/>
        <v>0.85306991729747683</v>
      </c>
      <c r="DD460" s="65"/>
      <c r="DE460" s="66"/>
      <c r="DF460" s="66"/>
      <c r="DG460" s="66"/>
      <c r="DH460" s="66"/>
      <c r="DI460" s="66"/>
      <c r="DJ460" s="66"/>
      <c r="DK460" s="70"/>
      <c r="DL460" s="70"/>
      <c r="DM460" s="8">
        <f t="shared" si="560"/>
        <v>0</v>
      </c>
      <c r="DN460" s="8">
        <f t="shared" si="561"/>
        <v>7955.6068071485815</v>
      </c>
      <c r="DO460" s="202">
        <f t="shared" si="535"/>
        <v>46189.920513186604</v>
      </c>
      <c r="DP460" s="202">
        <f t="shared" si="536"/>
        <v>46189.920513186604</v>
      </c>
      <c r="DQ460" s="202">
        <f t="shared" si="537"/>
        <v>46189.920513186604</v>
      </c>
      <c r="DR460" s="9">
        <f t="shared" si="538"/>
        <v>41447.110135441195</v>
      </c>
      <c r="DS460" s="9">
        <f t="shared" si="501"/>
        <v>47466.218436820724</v>
      </c>
      <c r="DT460" s="9">
        <f t="shared" si="539"/>
        <v>38080.360288673241</v>
      </c>
      <c r="DU460" s="202">
        <f t="shared" si="540"/>
        <v>46189.920513186604</v>
      </c>
      <c r="DV460" s="202">
        <f t="shared" si="541"/>
        <v>46189.920513186604</v>
      </c>
      <c r="DW460" s="202">
        <f t="shared" si="542"/>
        <v>46189.920513186604</v>
      </c>
      <c r="DX460" s="203">
        <f t="shared" si="543"/>
        <v>0.85306991729747683</v>
      </c>
      <c r="DY460" s="203">
        <f t="shared" si="544"/>
        <v>0.85306991729747683</v>
      </c>
      <c r="DZ460" s="203">
        <f t="shared" si="545"/>
        <v>0.85306991729747683</v>
      </c>
      <c r="EA460" s="19">
        <f t="shared" si="546"/>
        <v>0.8389641845732152</v>
      </c>
      <c r="EB460" s="19">
        <f t="shared" si="502"/>
        <v>0.85645354024109366</v>
      </c>
      <c r="EC460" s="19">
        <f t="shared" si="547"/>
        <v>0.82718714715845254</v>
      </c>
      <c r="ED460" s="203">
        <f t="shared" si="548"/>
        <v>0.85306991729747683</v>
      </c>
      <c r="EE460" s="203">
        <f t="shared" si="549"/>
        <v>0.85306991729747683</v>
      </c>
      <c r="EF460" s="203">
        <f t="shared" si="550"/>
        <v>0.85306991729747683</v>
      </c>
      <c r="EH460" s="58">
        <f t="shared" si="596"/>
        <v>7011.1961116578368</v>
      </c>
      <c r="EI460" s="68">
        <f t="shared" si="597"/>
        <v>0.1265060484889165</v>
      </c>
      <c r="EJ460" s="58">
        <f t="shared" si="598"/>
        <v>7011.1961116578368</v>
      </c>
      <c r="EK460" s="68">
        <f t="shared" si="597"/>
        <v>0.1265060484889165</v>
      </c>
      <c r="EL460" s="58">
        <f t="shared" si="599"/>
        <v>3272.3685248114007</v>
      </c>
      <c r="EM460" s="58">
        <f t="shared" si="600"/>
        <v>3939.1931116578367</v>
      </c>
      <c r="EN460" s="68">
        <f t="shared" si="601"/>
        <v>7.1076567657548911E-2</v>
      </c>
      <c r="EO460" s="139">
        <f t="shared" si="464"/>
        <v>0.31860645638858931</v>
      </c>
      <c r="EP460">
        <f>+(SUM(M460:O460)*EO460*(1-'[1]Tier 3 Data'!$A$2))</f>
        <v>1547.8119756954045</v>
      </c>
    </row>
    <row r="461" spans="1:146" x14ac:dyDescent="0.2">
      <c r="A461" s="43">
        <v>0</v>
      </c>
      <c r="B461" s="43">
        <v>0</v>
      </c>
      <c r="C461" s="43">
        <v>0</v>
      </c>
      <c r="D461" s="70">
        <v>2045</v>
      </c>
      <c r="E461" s="70">
        <v>10</v>
      </c>
      <c r="F461" s="2">
        <v>744</v>
      </c>
      <c r="G461" s="133">
        <f t="shared" si="458"/>
        <v>42844.944913137748</v>
      </c>
      <c r="H461" s="65">
        <v>42844.944913137748</v>
      </c>
      <c r="I461" s="133">
        <f t="shared" si="459"/>
        <v>42844.944913137748</v>
      </c>
      <c r="J461" s="133">
        <f t="shared" si="576"/>
        <v>9930.2329999999783</v>
      </c>
      <c r="K461" s="64">
        <v>9930.2329999999783</v>
      </c>
      <c r="L461" s="133">
        <f t="shared" si="577"/>
        <v>9930.2329999999783</v>
      </c>
      <c r="M461" s="65">
        <v>957.87478015852639</v>
      </c>
      <c r="N461" s="65">
        <v>2062.6102665784465</v>
      </c>
      <c r="O461" s="70">
        <v>676.41231154455295</v>
      </c>
      <c r="P461" s="200">
        <f t="shared" si="568"/>
        <v>31805.64270565331</v>
      </c>
      <c r="Q461" s="200">
        <f t="shared" si="569"/>
        <v>31805.64270565331</v>
      </c>
      <c r="R461" s="200">
        <f t="shared" si="570"/>
        <v>31805.64270565331</v>
      </c>
      <c r="S461" s="133">
        <f t="shared" si="460"/>
        <v>32711.788219674403</v>
      </c>
      <c r="T461" s="133">
        <f t="shared" si="461"/>
        <v>32711.788219674403</v>
      </c>
      <c r="U461" s="133">
        <f t="shared" si="462"/>
        <v>32711.788219674403</v>
      </c>
      <c r="V461" s="200">
        <f t="shared" si="571"/>
        <v>31805.64270565331</v>
      </c>
      <c r="W461" s="200">
        <f t="shared" si="572"/>
        <v>31805.64270565331</v>
      </c>
      <c r="X461" s="200">
        <f t="shared" si="573"/>
        <v>31805.64270565331</v>
      </c>
      <c r="Y461" s="58">
        <v>20482.910630339589</v>
      </c>
      <c r="Z461">
        <v>28176.50260195111</v>
      </c>
      <c r="AA461" s="65">
        <v>17348.939009922753</v>
      </c>
      <c r="AB461" s="200">
        <f t="shared" ref="AB461:AB524" si="611">+P461+$Z461</f>
        <v>59982.14530760442</v>
      </c>
      <c r="AC461" s="200">
        <f t="shared" ref="AC461:AC524" si="612">+Q461+$Z461</f>
        <v>59982.14530760442</v>
      </c>
      <c r="AD461" s="200">
        <f t="shared" ref="AD461:AD524" si="613">+R461+$Z461</f>
        <v>59982.14530760442</v>
      </c>
      <c r="AE461" s="199">
        <f t="shared" si="517"/>
        <v>53194.698850013992</v>
      </c>
      <c r="AF461" s="199">
        <f t="shared" ref="AF461:AF524" si="614">+T461+$Z461</f>
        <v>60888.290821625516</v>
      </c>
      <c r="AG461" s="199">
        <f t="shared" si="518"/>
        <v>50060.727229597156</v>
      </c>
      <c r="AH461" s="199">
        <f t="shared" si="463"/>
        <v>55474.509025611333</v>
      </c>
      <c r="AI461" s="200">
        <f t="shared" ref="AI461:AI524" si="615">+V461+$Z461</f>
        <v>59982.14530760442</v>
      </c>
      <c r="AJ461" s="200">
        <f t="shared" ref="AJ461:AJ524" si="616">+W461+$Z461</f>
        <v>59982.14530760442</v>
      </c>
      <c r="AK461" s="200">
        <f t="shared" ref="AK461:AK524" si="617">+X461+$Z461</f>
        <v>59982.14530760442</v>
      </c>
      <c r="AL461" s="4"/>
      <c r="AM461" s="4"/>
      <c r="AN461" s="4"/>
      <c r="AO461" s="4"/>
      <c r="AP461" s="63"/>
      <c r="AQ461" s="18"/>
      <c r="AR461" s="18"/>
      <c r="AS461" s="18"/>
      <c r="AT461" s="18">
        <v>0</v>
      </c>
      <c r="AU461" s="133">
        <f t="shared" ref="AU461" si="618">+AU449</f>
        <v>118.17</v>
      </c>
      <c r="AV461" s="133">
        <f t="shared" ref="AV461" si="619">+AV449</f>
        <v>3225.1860000000001</v>
      </c>
      <c r="AW461" s="194"/>
      <c r="AX461" s="194"/>
      <c r="AY461" s="194"/>
      <c r="AZ461" s="194"/>
      <c r="BA461" s="194"/>
      <c r="BB461" s="194"/>
      <c r="BC461" s="65">
        <v>0</v>
      </c>
      <c r="BD461" s="65">
        <v>0</v>
      </c>
      <c r="BE461" s="65">
        <v>0</v>
      </c>
      <c r="BF461" s="65">
        <v>0</v>
      </c>
      <c r="BG461" s="65">
        <v>0</v>
      </c>
      <c r="BH461" s="65">
        <v>0</v>
      </c>
      <c r="BI461" s="65">
        <v>752.40725170387691</v>
      </c>
      <c r="BJ461" s="65">
        <v>0</v>
      </c>
      <c r="BK461" s="65">
        <v>0</v>
      </c>
      <c r="BL461" s="65">
        <v>0</v>
      </c>
      <c r="BM461" s="65">
        <v>0</v>
      </c>
      <c r="BN461" s="65">
        <v>0</v>
      </c>
      <c r="BO461" s="65">
        <v>0</v>
      </c>
      <c r="BP461" s="5"/>
      <c r="BQ461" s="5"/>
      <c r="BR461" s="5"/>
      <c r="BS461" s="63"/>
      <c r="BT461" s="5"/>
      <c r="BU461" s="65">
        <v>144.44160111902318</v>
      </c>
      <c r="BV461" s="144">
        <f t="shared" si="608"/>
        <v>670.51234611096845</v>
      </c>
      <c r="BW461" s="144">
        <f t="shared" si="609"/>
        <v>1443.8271866049124</v>
      </c>
      <c r="BX461" s="144">
        <f t="shared" si="610"/>
        <v>473.48861808118704</v>
      </c>
      <c r="BY461" s="5"/>
      <c r="BZ461" s="5"/>
      <c r="CA461" s="4"/>
      <c r="CB461" s="5"/>
      <c r="CC461" s="5"/>
      <c r="CD461" s="5"/>
      <c r="CE461" s="5"/>
      <c r="CF461" s="64"/>
      <c r="CG461" s="70"/>
      <c r="CH461" s="70"/>
      <c r="CI461" s="70"/>
      <c r="CJ461" s="63"/>
      <c r="CK461" s="8">
        <f t="shared" si="559"/>
        <v>6828.0330036199693</v>
      </c>
      <c r="CL461" s="202">
        <f t="shared" si="481"/>
        <v>53154.112303984453</v>
      </c>
      <c r="CM461" s="202">
        <f t="shared" si="482"/>
        <v>53154.112303984453</v>
      </c>
      <c r="CN461" s="202">
        <f t="shared" si="483"/>
        <v>53154.112303984453</v>
      </c>
      <c r="CO461" s="9">
        <f t="shared" si="484"/>
        <v>46366.665846394026</v>
      </c>
      <c r="CP461" s="9">
        <f t="shared" si="485"/>
        <v>54060.25781800555</v>
      </c>
      <c r="CQ461" s="9">
        <f t="shared" si="486"/>
        <v>43232.694225977189</v>
      </c>
      <c r="CR461" s="202">
        <f t="shared" si="487"/>
        <v>53154.112303984453</v>
      </c>
      <c r="CS461" s="202">
        <f t="shared" si="488"/>
        <v>53154.112303984453</v>
      </c>
      <c r="CT461" s="202">
        <f t="shared" si="489"/>
        <v>53154.112303984453</v>
      </c>
      <c r="CU461" s="203">
        <f t="shared" si="490"/>
        <v>0.88616557529571516</v>
      </c>
      <c r="CV461" s="203">
        <f t="shared" si="491"/>
        <v>0.88616557529571516</v>
      </c>
      <c r="CW461" s="203">
        <f t="shared" si="492"/>
        <v>0.88616557529571516</v>
      </c>
      <c r="CX461" s="19">
        <f t="shared" si="493"/>
        <v>0.87164072452271868</v>
      </c>
      <c r="CY461" s="19">
        <f t="shared" si="494"/>
        <v>0.88785967036547409</v>
      </c>
      <c r="CZ461" s="19">
        <f t="shared" si="495"/>
        <v>0.86360499773996369</v>
      </c>
      <c r="DA461" s="203">
        <f t="shared" si="496"/>
        <v>0.88616557529571516</v>
      </c>
      <c r="DB461" s="203">
        <f t="shared" si="497"/>
        <v>0.88616557529571516</v>
      </c>
      <c r="DC461" s="203">
        <f t="shared" si="498"/>
        <v>0.88616557529571516</v>
      </c>
      <c r="DD461" s="65"/>
      <c r="DE461" s="66"/>
      <c r="DF461" s="66"/>
      <c r="DG461" s="66"/>
      <c r="DH461" s="66"/>
      <c r="DI461" s="66"/>
      <c r="DJ461" s="66"/>
      <c r="DK461" s="70"/>
      <c r="DL461" s="70"/>
      <c r="DM461" s="8">
        <f t="shared" si="560"/>
        <v>0</v>
      </c>
      <c r="DN461" s="8">
        <f t="shared" si="561"/>
        <v>6828.0330036199693</v>
      </c>
      <c r="DO461" s="202">
        <f t="shared" si="535"/>
        <v>53154.112303984453</v>
      </c>
      <c r="DP461" s="202">
        <f t="shared" si="536"/>
        <v>53154.112303984453</v>
      </c>
      <c r="DQ461" s="202">
        <f t="shared" si="537"/>
        <v>53154.112303984453</v>
      </c>
      <c r="DR461" s="9">
        <f t="shared" si="538"/>
        <v>46366.665846394026</v>
      </c>
      <c r="DS461" s="9">
        <f t="shared" si="501"/>
        <v>54060.25781800555</v>
      </c>
      <c r="DT461" s="9">
        <f t="shared" si="539"/>
        <v>43232.694225977189</v>
      </c>
      <c r="DU461" s="202">
        <f t="shared" si="540"/>
        <v>53154.112303984453</v>
      </c>
      <c r="DV461" s="202">
        <f t="shared" si="541"/>
        <v>53154.112303984453</v>
      </c>
      <c r="DW461" s="202">
        <f t="shared" si="542"/>
        <v>53154.112303984453</v>
      </c>
      <c r="DX461" s="203">
        <f t="shared" si="543"/>
        <v>0.88616557529571516</v>
      </c>
      <c r="DY461" s="203">
        <f t="shared" si="544"/>
        <v>0.88616557529571516</v>
      </c>
      <c r="DZ461" s="203">
        <f t="shared" si="545"/>
        <v>0.88616557529571516</v>
      </c>
      <c r="EA461" s="19">
        <f t="shared" si="546"/>
        <v>0.87164072452271868</v>
      </c>
      <c r="EB461" s="19">
        <f t="shared" si="502"/>
        <v>0.88785967036547409</v>
      </c>
      <c r="EC461" s="19">
        <f t="shared" si="547"/>
        <v>0.86360499773996369</v>
      </c>
      <c r="ED461" s="203">
        <f t="shared" si="548"/>
        <v>0.88616557529571516</v>
      </c>
      <c r="EE461" s="203">
        <f t="shared" si="549"/>
        <v>0.88616557529571516</v>
      </c>
      <c r="EF461" s="203">
        <f t="shared" si="550"/>
        <v>0.88616557529571516</v>
      </c>
      <c r="EH461" s="58">
        <f t="shared" si="596"/>
        <v>6157.5206575090006</v>
      </c>
      <c r="EI461" s="68">
        <f t="shared" si="597"/>
        <v>0.10112815739150378</v>
      </c>
      <c r="EJ461" s="58">
        <f t="shared" si="598"/>
        <v>6157.5206575090006</v>
      </c>
      <c r="EK461" s="68">
        <f t="shared" si="597"/>
        <v>0.10112815739150378</v>
      </c>
      <c r="EL461" s="58">
        <f t="shared" si="599"/>
        <v>2340.6760394278126</v>
      </c>
      <c r="EM461" s="58">
        <f t="shared" si="600"/>
        <v>2814.1646575089999</v>
      </c>
      <c r="EN461" s="68">
        <f t="shared" si="601"/>
        <v>4.6218486666889672E-2</v>
      </c>
      <c r="EO461" s="139">
        <f t="shared" si="464"/>
        <v>0.35739486552628164</v>
      </c>
      <c r="EP461">
        <f>+(SUM(M461:O461)*EO461*(1-'[1]Tier 3 Data'!$A$2))</f>
        <v>1232.7282412342499</v>
      </c>
    </row>
    <row r="462" spans="1:146" x14ac:dyDescent="0.2">
      <c r="A462" s="43">
        <v>0</v>
      </c>
      <c r="B462" s="43">
        <v>0</v>
      </c>
      <c r="C462" s="43">
        <v>0</v>
      </c>
      <c r="D462" s="70">
        <v>2045</v>
      </c>
      <c r="E462" s="70">
        <v>11</v>
      </c>
      <c r="F462" s="2">
        <v>721</v>
      </c>
      <c r="G462" s="133">
        <f t="shared" si="458"/>
        <v>45329.645238042023</v>
      </c>
      <c r="H462" s="65">
        <v>45329.645238042023</v>
      </c>
      <c r="I462" s="133">
        <f t="shared" si="459"/>
        <v>45329.645238042023</v>
      </c>
      <c r="J462" s="133">
        <f t="shared" si="576"/>
        <v>9970.0419999999776</v>
      </c>
      <c r="K462" s="64">
        <v>9970.0419999999776</v>
      </c>
      <c r="L462" s="133">
        <f t="shared" si="577"/>
        <v>9970.0419999999776</v>
      </c>
      <c r="M462" s="65">
        <v>403.62878784909356</v>
      </c>
      <c r="N462" s="65">
        <v>869.14166543394356</v>
      </c>
      <c r="O462" s="70">
        <v>285.06965945833815</v>
      </c>
      <c r="P462" s="200">
        <f t="shared" si="568"/>
        <v>34892.251204219632</v>
      </c>
      <c r="Q462" s="200">
        <f t="shared" si="569"/>
        <v>34892.251204219632</v>
      </c>
      <c r="R462" s="200">
        <f t="shared" si="570"/>
        <v>34892.251204219632</v>
      </c>
      <c r="S462" s="133">
        <f t="shared" si="460"/>
        <v>35274.082340204543</v>
      </c>
      <c r="T462" s="133">
        <f t="shared" si="461"/>
        <v>35274.082340204543</v>
      </c>
      <c r="U462" s="133">
        <f t="shared" si="462"/>
        <v>35274.082340204543</v>
      </c>
      <c r="V462" s="200">
        <f t="shared" si="571"/>
        <v>34892.251204219632</v>
      </c>
      <c r="W462" s="200">
        <f t="shared" si="572"/>
        <v>34892.251204219632</v>
      </c>
      <c r="X462" s="200">
        <f t="shared" si="573"/>
        <v>34892.251204219632</v>
      </c>
      <c r="Y462" s="58">
        <v>28218.240889944653</v>
      </c>
      <c r="Z462">
        <v>41651.524474816651</v>
      </c>
      <c r="AA462" s="65">
        <v>25258.525925944727</v>
      </c>
      <c r="AB462" s="200">
        <f t="shared" si="611"/>
        <v>76543.775679036276</v>
      </c>
      <c r="AC462" s="200">
        <f t="shared" si="612"/>
        <v>76543.775679036276</v>
      </c>
      <c r="AD462" s="200">
        <f t="shared" si="613"/>
        <v>76543.775679036276</v>
      </c>
      <c r="AE462" s="199">
        <f t="shared" si="517"/>
        <v>63492.323230149195</v>
      </c>
      <c r="AF462" s="199">
        <f t="shared" si="614"/>
        <v>76925.606815021194</v>
      </c>
      <c r="AG462" s="199">
        <f t="shared" si="518"/>
        <v>60532.608266149269</v>
      </c>
      <c r="AH462" s="199">
        <f t="shared" si="463"/>
        <v>68729.107540585232</v>
      </c>
      <c r="AI462" s="200">
        <f t="shared" si="615"/>
        <v>76543.775679036276</v>
      </c>
      <c r="AJ462" s="200">
        <f t="shared" si="616"/>
        <v>76543.775679036276</v>
      </c>
      <c r="AK462" s="200">
        <f t="shared" si="617"/>
        <v>76543.775679036276</v>
      </c>
      <c r="AL462" s="4"/>
      <c r="AM462" s="4"/>
      <c r="AN462" s="4"/>
      <c r="AO462" s="4"/>
      <c r="AP462" s="63"/>
      <c r="AQ462" s="18"/>
      <c r="AR462" s="18"/>
      <c r="AS462" s="18"/>
      <c r="AT462" s="18">
        <v>0</v>
      </c>
      <c r="AU462" s="133">
        <f t="shared" ref="AU462" si="620">+AU450</f>
        <v>104.364</v>
      </c>
      <c r="AV462" s="133">
        <f t="shared" ref="AV462" si="621">+AV450</f>
        <v>3268.3739999999998</v>
      </c>
      <c r="AW462" s="194"/>
      <c r="AX462" s="194"/>
      <c r="AY462" s="194"/>
      <c r="AZ462" s="194"/>
      <c r="BA462" s="194"/>
      <c r="BB462" s="194"/>
      <c r="BC462" s="65">
        <v>0</v>
      </c>
      <c r="BD462" s="65">
        <v>0</v>
      </c>
      <c r="BE462" s="65">
        <v>0</v>
      </c>
      <c r="BF462" s="65">
        <v>0</v>
      </c>
      <c r="BG462" s="65">
        <v>0</v>
      </c>
      <c r="BH462" s="65">
        <v>0</v>
      </c>
      <c r="BI462" s="65">
        <v>550.70522124796628</v>
      </c>
      <c r="BJ462" s="65">
        <v>0</v>
      </c>
      <c r="BK462" s="65">
        <v>0</v>
      </c>
      <c r="BL462" s="65">
        <v>0</v>
      </c>
      <c r="BM462" s="65">
        <v>0</v>
      </c>
      <c r="BN462" s="65">
        <v>0</v>
      </c>
      <c r="BO462" s="65">
        <v>0</v>
      </c>
      <c r="BP462" s="5"/>
      <c r="BQ462" s="5"/>
      <c r="BR462" s="5"/>
      <c r="BS462" s="63"/>
      <c r="BT462" s="5"/>
      <c r="BU462" s="65">
        <v>111.12870778599567</v>
      </c>
      <c r="BV462" s="144">
        <f t="shared" si="608"/>
        <v>282.54015149436549</v>
      </c>
      <c r="BW462" s="144">
        <f t="shared" si="609"/>
        <v>608.39916580376041</v>
      </c>
      <c r="BX462" s="144">
        <f t="shared" si="610"/>
        <v>199.5487616208367</v>
      </c>
      <c r="BY462" s="5"/>
      <c r="BZ462" s="5"/>
      <c r="CA462" s="4"/>
      <c r="CB462" s="5"/>
      <c r="CC462" s="5"/>
      <c r="CD462" s="5"/>
      <c r="CE462" s="5"/>
      <c r="CF462" s="64"/>
      <c r="CG462" s="70"/>
      <c r="CH462" s="70"/>
      <c r="CI462" s="70"/>
      <c r="CJ462" s="63"/>
      <c r="CK462" s="8">
        <f t="shared" si="559"/>
        <v>5125.060007952924</v>
      </c>
      <c r="CL462" s="202">
        <f t="shared" si="481"/>
        <v>71418.715671083351</v>
      </c>
      <c r="CM462" s="202">
        <f t="shared" si="482"/>
        <v>71418.715671083351</v>
      </c>
      <c r="CN462" s="202">
        <f t="shared" si="483"/>
        <v>71418.715671083351</v>
      </c>
      <c r="CO462" s="9">
        <f t="shared" si="484"/>
        <v>58367.26322219627</v>
      </c>
      <c r="CP462" s="9">
        <f t="shared" si="485"/>
        <v>71800.546807068269</v>
      </c>
      <c r="CQ462" s="9">
        <f t="shared" si="486"/>
        <v>55407.548258196344</v>
      </c>
      <c r="CR462" s="202">
        <f t="shared" si="487"/>
        <v>71418.715671083351</v>
      </c>
      <c r="CS462" s="202">
        <f t="shared" si="488"/>
        <v>71418.715671083351</v>
      </c>
      <c r="CT462" s="202">
        <f t="shared" si="489"/>
        <v>71418.715671083351</v>
      </c>
      <c r="CU462" s="203">
        <f t="shared" si="490"/>
        <v>0.93304406579780763</v>
      </c>
      <c r="CV462" s="203">
        <f t="shared" si="491"/>
        <v>0.93304406579780763</v>
      </c>
      <c r="CW462" s="203">
        <f t="shared" si="492"/>
        <v>0.93304406579780763</v>
      </c>
      <c r="CX462" s="19">
        <f t="shared" si="493"/>
        <v>0.91928063508756119</v>
      </c>
      <c r="CY462" s="19">
        <f t="shared" si="494"/>
        <v>0.93337641105286462</v>
      </c>
      <c r="CZ462" s="19">
        <f t="shared" si="495"/>
        <v>0.91533389763383222</v>
      </c>
      <c r="DA462" s="203">
        <f t="shared" si="496"/>
        <v>0.93304406579780763</v>
      </c>
      <c r="DB462" s="203">
        <f t="shared" si="497"/>
        <v>0.93304406579780763</v>
      </c>
      <c r="DC462" s="203">
        <f t="shared" si="498"/>
        <v>0.93304406579780763</v>
      </c>
      <c r="DD462" s="65"/>
      <c r="DE462" s="66"/>
      <c r="DF462" s="66"/>
      <c r="DG462" s="66"/>
      <c r="DH462" s="66"/>
      <c r="DI462" s="66"/>
      <c r="DJ462" s="66"/>
      <c r="DK462" s="70"/>
      <c r="DL462" s="70"/>
      <c r="DM462" s="8">
        <f t="shared" si="560"/>
        <v>0</v>
      </c>
      <c r="DN462" s="8">
        <f t="shared" si="561"/>
        <v>5125.060007952924</v>
      </c>
      <c r="DO462" s="202">
        <f t="shared" si="535"/>
        <v>71418.715671083351</v>
      </c>
      <c r="DP462" s="202">
        <f t="shared" si="536"/>
        <v>71418.715671083351</v>
      </c>
      <c r="DQ462" s="202">
        <f t="shared" si="537"/>
        <v>71418.715671083351</v>
      </c>
      <c r="DR462" s="9">
        <f t="shared" si="538"/>
        <v>58367.26322219627</v>
      </c>
      <c r="DS462" s="9">
        <f t="shared" si="501"/>
        <v>71800.546807068269</v>
      </c>
      <c r="DT462" s="9">
        <f t="shared" si="539"/>
        <v>55407.548258196344</v>
      </c>
      <c r="DU462" s="202">
        <f t="shared" si="540"/>
        <v>71418.715671083351</v>
      </c>
      <c r="DV462" s="202">
        <f t="shared" si="541"/>
        <v>71418.715671083351</v>
      </c>
      <c r="DW462" s="202">
        <f t="shared" si="542"/>
        <v>71418.715671083351</v>
      </c>
      <c r="DX462" s="203">
        <f t="shared" si="543"/>
        <v>0.93304406579780763</v>
      </c>
      <c r="DY462" s="203">
        <f t="shared" si="544"/>
        <v>0.93304406579780763</v>
      </c>
      <c r="DZ462" s="203">
        <f t="shared" si="545"/>
        <v>0.93304406579780763</v>
      </c>
      <c r="EA462" s="19">
        <f t="shared" si="546"/>
        <v>0.91928063508756119</v>
      </c>
      <c r="EB462" s="19">
        <f t="shared" si="502"/>
        <v>0.93337641105286462</v>
      </c>
      <c r="EC462" s="19">
        <f t="shared" si="547"/>
        <v>0.91533389763383222</v>
      </c>
      <c r="ED462" s="203">
        <f t="shared" si="548"/>
        <v>0.93304406579780763</v>
      </c>
      <c r="EE462" s="203">
        <f t="shared" si="549"/>
        <v>0.93304406579780763</v>
      </c>
      <c r="EF462" s="203">
        <f t="shared" si="550"/>
        <v>0.93304406579780763</v>
      </c>
      <c r="EH462" s="58">
        <f t="shared" si="596"/>
        <v>4842.5198564585589</v>
      </c>
      <c r="EI462" s="68">
        <f t="shared" si="597"/>
        <v>6.2950687774268738E-2</v>
      </c>
      <c r="EJ462" s="58">
        <f t="shared" si="598"/>
        <v>4842.5198564585589</v>
      </c>
      <c r="EK462" s="68">
        <f t="shared" si="597"/>
        <v>6.2950687774268738E-2</v>
      </c>
      <c r="EL462" s="58">
        <f t="shared" si="599"/>
        <v>1270.2330948377223</v>
      </c>
      <c r="EM462" s="58">
        <f t="shared" si="600"/>
        <v>1469.7818564585591</v>
      </c>
      <c r="EN462" s="68">
        <f t="shared" si="601"/>
        <v>1.9106535746839973E-2</v>
      </c>
      <c r="EO462" s="139">
        <f t="shared" si="464"/>
        <v>0.4050825009776523</v>
      </c>
      <c r="EP462">
        <f>+(SUM(M462:O462)*EO462*(1-'[1]Tier 3 Data'!$A$2))</f>
        <v>588.77316647008104</v>
      </c>
    </row>
    <row r="463" spans="1:146" x14ac:dyDescent="0.2">
      <c r="A463" s="43">
        <v>0</v>
      </c>
      <c r="B463" s="43">
        <v>0</v>
      </c>
      <c r="C463" s="43">
        <v>0</v>
      </c>
      <c r="D463" s="70">
        <v>2045</v>
      </c>
      <c r="E463" s="70">
        <v>12</v>
      </c>
      <c r="F463" s="2">
        <v>744</v>
      </c>
      <c r="G463" s="133">
        <f t="shared" si="458"/>
        <v>51488.085822618123</v>
      </c>
      <c r="H463" s="65">
        <v>51488.085822618123</v>
      </c>
      <c r="I463" s="133">
        <f t="shared" si="459"/>
        <v>51488.085822618123</v>
      </c>
      <c r="J463" s="133">
        <f t="shared" si="576"/>
        <v>10009.850999999977</v>
      </c>
      <c r="K463" s="64">
        <v>10009.850999999977</v>
      </c>
      <c r="L463" s="133">
        <f t="shared" si="577"/>
        <v>10009.850999999977</v>
      </c>
      <c r="M463" s="65">
        <v>248.30627982623952</v>
      </c>
      <c r="N463" s="65">
        <v>534.68270867382159</v>
      </c>
      <c r="O463" s="70">
        <v>175.38750320646045</v>
      </c>
      <c r="P463" s="200">
        <f t="shared" si="568"/>
        <v>41190.721875106196</v>
      </c>
      <c r="Q463" s="200">
        <f t="shared" si="569"/>
        <v>41190.721875106196</v>
      </c>
      <c r="R463" s="200">
        <f t="shared" si="570"/>
        <v>41190.721875106196</v>
      </c>
      <c r="S463" s="133">
        <f t="shared" si="460"/>
        <v>41425.61857165621</v>
      </c>
      <c r="T463" s="133">
        <f t="shared" si="461"/>
        <v>41425.61857165621</v>
      </c>
      <c r="U463" s="133">
        <f t="shared" si="462"/>
        <v>41425.61857165621</v>
      </c>
      <c r="V463" s="200">
        <f t="shared" si="571"/>
        <v>41190.721875106196</v>
      </c>
      <c r="W463" s="200">
        <f t="shared" si="572"/>
        <v>41190.721875106196</v>
      </c>
      <c r="X463" s="200">
        <f t="shared" si="573"/>
        <v>41190.721875106196</v>
      </c>
      <c r="Y463" s="58">
        <v>30590.802497799836</v>
      </c>
      <c r="Z463">
        <v>44616.698033667031</v>
      </c>
      <c r="AA463" s="65">
        <v>27116.180738938841</v>
      </c>
      <c r="AB463" s="200">
        <f t="shared" si="611"/>
        <v>85807.419908773227</v>
      </c>
      <c r="AC463" s="200">
        <f t="shared" si="612"/>
        <v>85807.419908773227</v>
      </c>
      <c r="AD463" s="200">
        <f t="shared" si="613"/>
        <v>85807.419908773227</v>
      </c>
      <c r="AE463" s="199">
        <f t="shared" si="517"/>
        <v>72016.421069456046</v>
      </c>
      <c r="AF463" s="199">
        <f t="shared" si="614"/>
        <v>86042.316605323242</v>
      </c>
      <c r="AG463" s="199">
        <f t="shared" si="518"/>
        <v>68541.799310595059</v>
      </c>
      <c r="AH463" s="199">
        <f t="shared" si="463"/>
        <v>77292.057957959158</v>
      </c>
      <c r="AI463" s="200">
        <f t="shared" si="615"/>
        <v>85807.419908773227</v>
      </c>
      <c r="AJ463" s="200">
        <f t="shared" si="616"/>
        <v>85807.419908773227</v>
      </c>
      <c r="AK463" s="200">
        <f t="shared" si="617"/>
        <v>85807.419908773227</v>
      </c>
      <c r="AL463" s="4"/>
      <c r="AM463" s="4"/>
      <c r="AN463" s="4"/>
      <c r="AO463" s="4"/>
      <c r="AP463" s="63"/>
      <c r="AQ463" s="18"/>
      <c r="AR463" s="18"/>
      <c r="AS463" s="18"/>
      <c r="AT463" s="18">
        <v>0</v>
      </c>
      <c r="AU463" s="133">
        <f t="shared" ref="AU463" si="622">+AU451</f>
        <v>105.066</v>
      </c>
      <c r="AV463" s="133">
        <f t="shared" ref="AV463" si="623">+AV451</f>
        <v>3218.8470000000002</v>
      </c>
      <c r="AW463" s="194"/>
      <c r="AX463" s="194"/>
      <c r="AY463" s="194"/>
      <c r="AZ463" s="194"/>
      <c r="BA463" s="194"/>
      <c r="BB463" s="194"/>
      <c r="BC463" s="65">
        <v>0</v>
      </c>
      <c r="BD463" s="65">
        <v>0</v>
      </c>
      <c r="BE463" s="65">
        <v>0</v>
      </c>
      <c r="BF463" s="65">
        <v>0</v>
      </c>
      <c r="BG463" s="65">
        <v>0</v>
      </c>
      <c r="BH463" s="65">
        <v>0</v>
      </c>
      <c r="BI463" s="65">
        <v>258.06547238010432</v>
      </c>
      <c r="BJ463" s="65">
        <v>0</v>
      </c>
      <c r="BK463" s="65">
        <v>0</v>
      </c>
      <c r="BL463" s="65">
        <v>0</v>
      </c>
      <c r="BM463" s="65">
        <v>0</v>
      </c>
      <c r="BN463" s="65">
        <v>0</v>
      </c>
      <c r="BO463" s="65">
        <v>0</v>
      </c>
      <c r="BP463" s="5"/>
      <c r="BQ463" s="5"/>
      <c r="BR463" s="5"/>
      <c r="BS463" s="63"/>
      <c r="BT463" s="5"/>
      <c r="BU463" s="65">
        <v>97.803624317406218</v>
      </c>
      <c r="BV463" s="144">
        <f t="shared" si="608"/>
        <v>173.81439587836766</v>
      </c>
      <c r="BW463" s="144">
        <f t="shared" si="609"/>
        <v>374.27789607167512</v>
      </c>
      <c r="BX463" s="144">
        <f t="shared" si="610"/>
        <v>122.7712522445223</v>
      </c>
      <c r="BY463" s="5"/>
      <c r="BZ463" s="5"/>
      <c r="CA463" s="4"/>
      <c r="CB463" s="5"/>
      <c r="CC463" s="5"/>
      <c r="CD463" s="5"/>
      <c r="CE463" s="5"/>
      <c r="CF463" s="64"/>
      <c r="CG463" s="70"/>
      <c r="CH463" s="70"/>
      <c r="CI463" s="70"/>
      <c r="CJ463" s="63"/>
      <c r="CK463" s="8">
        <f t="shared" si="559"/>
        <v>4350.6456408920758</v>
      </c>
      <c r="CL463" s="202">
        <f t="shared" si="481"/>
        <v>81456.774267881148</v>
      </c>
      <c r="CM463" s="202">
        <f t="shared" si="482"/>
        <v>81456.774267881148</v>
      </c>
      <c r="CN463" s="202">
        <f t="shared" si="483"/>
        <v>81456.774267881148</v>
      </c>
      <c r="CO463" s="9">
        <f t="shared" si="484"/>
        <v>67665.775428563968</v>
      </c>
      <c r="CP463" s="9">
        <f t="shared" si="485"/>
        <v>81691.670964431163</v>
      </c>
      <c r="CQ463" s="9">
        <f t="shared" si="486"/>
        <v>64191.153669702981</v>
      </c>
      <c r="CR463" s="202">
        <f t="shared" si="487"/>
        <v>81456.774267881148</v>
      </c>
      <c r="CS463" s="202">
        <f t="shared" si="488"/>
        <v>81456.774267881148</v>
      </c>
      <c r="CT463" s="202">
        <f t="shared" si="489"/>
        <v>81456.774267881148</v>
      </c>
      <c r="CU463" s="203">
        <f t="shared" si="490"/>
        <v>0.94929755905121604</v>
      </c>
      <c r="CV463" s="203">
        <f t="shared" si="491"/>
        <v>0.94929755905121604</v>
      </c>
      <c r="CW463" s="203">
        <f t="shared" si="492"/>
        <v>0.94929755905121604</v>
      </c>
      <c r="CX463" s="19">
        <f t="shared" si="493"/>
        <v>0.93958814425537596</v>
      </c>
      <c r="CY463" s="19">
        <f t="shared" si="494"/>
        <v>0.9494359774057628</v>
      </c>
      <c r="CZ463" s="19">
        <f t="shared" si="495"/>
        <v>0.93652565756003481</v>
      </c>
      <c r="DA463" s="203">
        <f t="shared" si="496"/>
        <v>0.94929755905121604</v>
      </c>
      <c r="DB463" s="203">
        <f t="shared" si="497"/>
        <v>0.94929755905121604</v>
      </c>
      <c r="DC463" s="203">
        <f t="shared" si="498"/>
        <v>0.94929755905121604</v>
      </c>
      <c r="DD463" s="65"/>
      <c r="DE463" s="66"/>
      <c r="DF463" s="66"/>
      <c r="DG463" s="66"/>
      <c r="DH463" s="66"/>
      <c r="DI463" s="66"/>
      <c r="DJ463" s="66"/>
      <c r="DK463" s="70"/>
      <c r="DL463" s="70"/>
      <c r="DM463" s="8">
        <f t="shared" si="560"/>
        <v>0</v>
      </c>
      <c r="DN463" s="8">
        <f t="shared" si="561"/>
        <v>4350.6456408920758</v>
      </c>
      <c r="DO463" s="202">
        <f t="shared" si="535"/>
        <v>81456.774267881148</v>
      </c>
      <c r="DP463" s="202">
        <f t="shared" si="536"/>
        <v>81456.774267881148</v>
      </c>
      <c r="DQ463" s="202">
        <f t="shared" si="537"/>
        <v>81456.774267881148</v>
      </c>
      <c r="DR463" s="9">
        <f t="shared" si="538"/>
        <v>67665.775428563968</v>
      </c>
      <c r="DS463" s="9">
        <f t="shared" si="501"/>
        <v>81691.670964431163</v>
      </c>
      <c r="DT463" s="9">
        <f t="shared" si="539"/>
        <v>64191.153669702981</v>
      </c>
      <c r="DU463" s="202">
        <f t="shared" si="540"/>
        <v>81456.774267881148</v>
      </c>
      <c r="DV463" s="202">
        <f t="shared" si="541"/>
        <v>81456.774267881148</v>
      </c>
      <c r="DW463" s="202">
        <f t="shared" si="542"/>
        <v>81456.774267881148</v>
      </c>
      <c r="DX463" s="203">
        <f t="shared" si="543"/>
        <v>0.94929755905121604</v>
      </c>
      <c r="DY463" s="203">
        <f t="shared" si="544"/>
        <v>0.94929755905121604</v>
      </c>
      <c r="DZ463" s="203">
        <f t="shared" si="545"/>
        <v>0.94929755905121604</v>
      </c>
      <c r="EA463" s="19">
        <f t="shared" si="546"/>
        <v>0.93958814425537596</v>
      </c>
      <c r="EB463" s="19">
        <f t="shared" si="502"/>
        <v>0.9494359774057628</v>
      </c>
      <c r="EC463" s="19">
        <f t="shared" si="547"/>
        <v>0.93652565756003481</v>
      </c>
      <c r="ED463" s="203">
        <f t="shared" si="548"/>
        <v>0.94929755905121604</v>
      </c>
      <c r="EE463" s="203">
        <f t="shared" si="549"/>
        <v>0.94929755905121604</v>
      </c>
      <c r="EF463" s="203">
        <f t="shared" si="550"/>
        <v>0.94929755905121604</v>
      </c>
      <c r="EH463" s="58">
        <f t="shared" si="596"/>
        <v>4176.8312450137082</v>
      </c>
      <c r="EI463" s="68">
        <f t="shared" si="597"/>
        <v>4.8543918966906303E-2</v>
      </c>
      <c r="EJ463" s="58">
        <f t="shared" si="598"/>
        <v>4176.8312450137082</v>
      </c>
      <c r="EK463" s="68">
        <f t="shared" si="597"/>
        <v>4.8543918966906303E-2</v>
      </c>
      <c r="EL463" s="58">
        <f t="shared" si="599"/>
        <v>730.14699276918566</v>
      </c>
      <c r="EM463" s="58">
        <f t="shared" si="600"/>
        <v>852.91824501370797</v>
      </c>
      <c r="EN463" s="68">
        <f t="shared" si="601"/>
        <v>9.9127763949691215E-3</v>
      </c>
      <c r="EO463" s="139">
        <f t="shared" si="464"/>
        <v>0.32946562535829382</v>
      </c>
      <c r="EP463">
        <f>+(SUM(M463:O463)*EO463*(1-'[1]Tier 3 Data'!$A$2))</f>
        <v>294.59671878746877</v>
      </c>
    </row>
    <row r="464" spans="1:146" x14ac:dyDescent="0.2">
      <c r="A464" s="43">
        <v>0</v>
      </c>
      <c r="B464" s="43">
        <v>0</v>
      </c>
      <c r="C464" s="43">
        <v>0</v>
      </c>
      <c r="D464" s="70">
        <v>2046</v>
      </c>
      <c r="E464" s="70">
        <v>1</v>
      </c>
      <c r="F464" s="2">
        <v>744</v>
      </c>
      <c r="G464" s="133">
        <f t="shared" si="458"/>
        <v>0</v>
      </c>
      <c r="H464" s="64"/>
      <c r="I464" s="133">
        <f t="shared" si="459"/>
        <v>0</v>
      </c>
      <c r="J464" s="133">
        <f t="shared" si="576"/>
        <v>0</v>
      </c>
      <c r="K464" s="64"/>
      <c r="L464" s="133">
        <f t="shared" si="577"/>
        <v>0</v>
      </c>
      <c r="M464" s="65">
        <v>350.79787520860157</v>
      </c>
      <c r="N464" s="65">
        <v>755.37984075477868</v>
      </c>
      <c r="O464" s="70">
        <v>247.79086559810642</v>
      </c>
      <c r="P464" s="200">
        <f t="shared" si="568"/>
        <v>-406.19057446844596</v>
      </c>
      <c r="Q464" s="200">
        <f t="shared" si="569"/>
        <v>-406.19057446844596</v>
      </c>
      <c r="R464" s="200">
        <f t="shared" si="570"/>
        <v>-406.19057446844596</v>
      </c>
      <c r="S464" s="133">
        <f t="shared" si="460"/>
        <v>-74.337259679431924</v>
      </c>
      <c r="T464" s="133">
        <f t="shared" si="461"/>
        <v>-74.337259679431924</v>
      </c>
      <c r="U464" s="133">
        <f t="shared" si="462"/>
        <v>-74.337259679431924</v>
      </c>
      <c r="V464" s="200">
        <f t="shared" si="571"/>
        <v>-406.19057446844596</v>
      </c>
      <c r="W464" s="200">
        <f t="shared" si="572"/>
        <v>-406.19057446844596</v>
      </c>
      <c r="X464" s="200">
        <f t="shared" si="573"/>
        <v>-406.19057446844596</v>
      </c>
      <c r="Y464" s="58">
        <f t="shared" ref="Y464:Y524" si="624">+Z464*$Y$6</f>
        <v>0</v>
      </c>
      <c r="AA464" s="58">
        <f t="shared" ref="AA464:AA524" si="625">+Z464*$AA$6</f>
        <v>0</v>
      </c>
      <c r="AB464" s="200">
        <f t="shared" si="611"/>
        <v>-406.19057446844596</v>
      </c>
      <c r="AC464" s="200">
        <f t="shared" si="612"/>
        <v>-406.19057446844596</v>
      </c>
      <c r="AD464" s="200">
        <f t="shared" si="613"/>
        <v>-406.19057446844596</v>
      </c>
      <c r="AE464" s="199">
        <f t="shared" si="517"/>
        <v>-74.337259679431924</v>
      </c>
      <c r="AF464" s="199">
        <f t="shared" si="614"/>
        <v>-74.337259679431924</v>
      </c>
      <c r="AG464" s="199">
        <f t="shared" si="518"/>
        <v>-74.337259679431924</v>
      </c>
      <c r="AH464" s="199">
        <f t="shared" si="463"/>
        <v>-74.337259679431924</v>
      </c>
      <c r="AI464" s="200">
        <f t="shared" si="615"/>
        <v>-406.19057446844596</v>
      </c>
      <c r="AJ464" s="200">
        <f t="shared" si="616"/>
        <v>-406.19057446844596</v>
      </c>
      <c r="AK464" s="200">
        <f t="shared" si="617"/>
        <v>-406.19057446844596</v>
      </c>
      <c r="AL464" s="4"/>
      <c r="AM464" s="4"/>
      <c r="AN464" s="4"/>
      <c r="AO464" s="4"/>
      <c r="AP464" s="63"/>
      <c r="AQ464" s="18"/>
      <c r="AR464" s="18"/>
      <c r="AS464" s="18"/>
      <c r="AT464" s="18">
        <v>0</v>
      </c>
      <c r="AU464" s="133">
        <f t="shared" ref="AU464" si="626">+AU452</f>
        <v>98.513999999999996</v>
      </c>
      <c r="AV464" s="133">
        <f t="shared" ref="AV464" si="627">+AV452</f>
        <v>3278.6750000000002</v>
      </c>
      <c r="AW464" s="194"/>
      <c r="AX464" s="194"/>
      <c r="AY464" s="194"/>
      <c r="AZ464" s="194"/>
      <c r="BA464" s="194"/>
      <c r="BB464" s="194"/>
      <c r="BC464" s="65">
        <v>0</v>
      </c>
      <c r="BD464" s="65">
        <v>0</v>
      </c>
      <c r="BE464" s="65">
        <v>0</v>
      </c>
      <c r="BF464" s="65">
        <v>0</v>
      </c>
      <c r="BG464" s="65">
        <v>0</v>
      </c>
      <c r="BH464" s="65">
        <v>0</v>
      </c>
      <c r="BI464" s="65">
        <v>364.03477763071049</v>
      </c>
      <c r="BJ464" s="65">
        <v>0</v>
      </c>
      <c r="BK464" s="65">
        <v>0</v>
      </c>
      <c r="BL464" s="65">
        <v>0</v>
      </c>
      <c r="BM464" s="65">
        <v>0</v>
      </c>
      <c r="BN464" s="65">
        <v>0</v>
      </c>
      <c r="BO464" s="65">
        <v>0</v>
      </c>
      <c r="BP464" s="5"/>
      <c r="BQ464" s="5"/>
      <c r="BR464" s="5"/>
      <c r="BS464" s="63"/>
      <c r="BT464" s="5"/>
      <c r="BU464" s="65">
        <v>136.27608660591272</v>
      </c>
      <c r="BV464" s="144">
        <f t="shared" si="608"/>
        <v>245.55851264602109</v>
      </c>
      <c r="BW464" s="144">
        <f t="shared" si="609"/>
        <v>528.76588852834504</v>
      </c>
      <c r="BX464" s="144">
        <f t="shared" si="610"/>
        <v>173.4536059186745</v>
      </c>
      <c r="BY464" s="5"/>
      <c r="BZ464" s="5"/>
      <c r="CA464" s="4"/>
      <c r="CB464" s="5"/>
      <c r="CC464" s="5"/>
      <c r="CD464" s="5"/>
      <c r="CE464" s="5"/>
      <c r="CF464" s="64"/>
      <c r="CG464" s="70"/>
      <c r="CH464" s="70"/>
      <c r="CI464" s="70"/>
      <c r="CJ464" s="63"/>
      <c r="CK464" s="8">
        <f t="shared" si="559"/>
        <v>4825.2778713296648</v>
      </c>
      <c r="CL464" s="202">
        <f t="shared" si="481"/>
        <v>-5231.4684457981111</v>
      </c>
      <c r="CM464" s="202">
        <f t="shared" si="482"/>
        <v>-5231.4684457981111</v>
      </c>
      <c r="CN464" s="202">
        <f t="shared" si="483"/>
        <v>-5231.4684457981111</v>
      </c>
      <c r="CO464" s="9">
        <f t="shared" si="484"/>
        <v>-4899.6151310090963</v>
      </c>
      <c r="CP464" s="9">
        <f t="shared" si="485"/>
        <v>-4899.6151310090963</v>
      </c>
      <c r="CQ464" s="9">
        <f t="shared" si="486"/>
        <v>-4899.6151310090963</v>
      </c>
      <c r="CR464" s="202">
        <f t="shared" si="487"/>
        <v>-5231.4684457981111</v>
      </c>
      <c r="CS464" s="202">
        <f t="shared" si="488"/>
        <v>-5231.4684457981111</v>
      </c>
      <c r="CT464" s="202">
        <f t="shared" si="489"/>
        <v>-5231.4684457981111</v>
      </c>
      <c r="CU464" s="203">
        <f t="shared" si="490"/>
        <v>12.879344757431111</v>
      </c>
      <c r="CV464" s="203">
        <f t="shared" si="491"/>
        <v>12.879344757431111</v>
      </c>
      <c r="CW464" s="203">
        <f t="shared" si="492"/>
        <v>12.879344757431111</v>
      </c>
      <c r="CX464" s="19">
        <f t="shared" si="493"/>
        <v>65.91062344963936</v>
      </c>
      <c r="CY464" s="19">
        <f t="shared" si="494"/>
        <v>65.91062344963936</v>
      </c>
      <c r="CZ464" s="19">
        <f t="shared" si="495"/>
        <v>65.91062344963936</v>
      </c>
      <c r="DA464" s="203">
        <f t="shared" si="496"/>
        <v>12.879344757431111</v>
      </c>
      <c r="DB464" s="203">
        <f t="shared" si="497"/>
        <v>12.879344757431111</v>
      </c>
      <c r="DC464" s="203">
        <f t="shared" si="498"/>
        <v>12.879344757431111</v>
      </c>
      <c r="DD464" s="65"/>
      <c r="DE464" s="66"/>
      <c r="DF464" s="66"/>
      <c r="DG464" s="66"/>
      <c r="DH464" s="66"/>
      <c r="DI464" s="66"/>
      <c r="DJ464" s="66"/>
      <c r="DK464" s="70"/>
      <c r="DL464" s="70"/>
      <c r="DM464" s="8">
        <f t="shared" si="560"/>
        <v>0</v>
      </c>
      <c r="DN464" s="8">
        <f t="shared" si="561"/>
        <v>4825.2778713296648</v>
      </c>
      <c r="DO464" s="202">
        <f t="shared" si="535"/>
        <v>-5231.4684457981111</v>
      </c>
      <c r="DP464" s="202">
        <f t="shared" si="536"/>
        <v>-5231.4684457981111</v>
      </c>
      <c r="DQ464" s="202">
        <f t="shared" si="537"/>
        <v>-5231.4684457981111</v>
      </c>
      <c r="DR464" s="9">
        <f t="shared" si="538"/>
        <v>-4899.6151310090963</v>
      </c>
      <c r="DS464" s="9">
        <f t="shared" si="501"/>
        <v>-4899.6151310090963</v>
      </c>
      <c r="DT464" s="9">
        <f t="shared" si="539"/>
        <v>-4899.6151310090963</v>
      </c>
      <c r="DU464" s="202">
        <f t="shared" si="540"/>
        <v>-5231.4684457981111</v>
      </c>
      <c r="DV464" s="202">
        <f t="shared" si="541"/>
        <v>-5231.4684457981111</v>
      </c>
      <c r="DW464" s="202">
        <f t="shared" si="542"/>
        <v>-5231.4684457981111</v>
      </c>
      <c r="DX464" s="203">
        <f t="shared" si="543"/>
        <v>12.879344757431111</v>
      </c>
      <c r="DY464" s="203">
        <f t="shared" si="544"/>
        <v>12.879344757431111</v>
      </c>
      <c r="DZ464" s="203">
        <f t="shared" si="545"/>
        <v>12.879344757431111</v>
      </c>
      <c r="EA464" s="19">
        <f t="shared" si="546"/>
        <v>65.91062344963936</v>
      </c>
      <c r="EB464" s="19">
        <f t="shared" si="502"/>
        <v>65.91062344963936</v>
      </c>
      <c r="EC464" s="19">
        <f t="shared" si="547"/>
        <v>65.91062344963936</v>
      </c>
      <c r="ED464" s="203">
        <f t="shared" si="548"/>
        <v>12.879344757431111</v>
      </c>
      <c r="EE464" s="203">
        <f t="shared" si="549"/>
        <v>12.879344757431111</v>
      </c>
      <c r="EF464" s="203">
        <f t="shared" si="550"/>
        <v>12.879344757431111</v>
      </c>
      <c r="EH464" s="58">
        <f t="shared" si="596"/>
        <v>4579.7193586836438</v>
      </c>
      <c r="EI464" s="68">
        <f t="shared" si="597"/>
        <v>-61.607320184157771</v>
      </c>
      <c r="EJ464" s="58">
        <f t="shared" si="598"/>
        <v>4579.7193586836438</v>
      </c>
      <c r="EK464" s="68">
        <f t="shared" si="597"/>
        <v>-61.607320184157771</v>
      </c>
      <c r="EL464" s="58">
        <f t="shared" si="599"/>
        <v>1029.0767527649682</v>
      </c>
      <c r="EM464" s="58">
        <f t="shared" si="600"/>
        <v>1202.5303586836426</v>
      </c>
      <c r="EN464" s="68">
        <f t="shared" si="601"/>
        <v>-16.176683992245223</v>
      </c>
      <c r="EO464" s="139">
        <f t="shared" si="464"/>
        <v>0.32527353469126524</v>
      </c>
      <c r="EP464">
        <f>+(SUM(M464:O464)*EO464*(1-'[1]Tier 3 Data'!$A$2))</f>
        <v>410.90266657760009</v>
      </c>
    </row>
    <row r="465" spans="1:146" x14ac:dyDescent="0.2">
      <c r="A465" s="43">
        <v>0</v>
      </c>
      <c r="B465" s="43">
        <v>0</v>
      </c>
      <c r="C465" s="43">
        <v>0</v>
      </c>
      <c r="D465" s="70">
        <v>2046</v>
      </c>
      <c r="E465" s="70">
        <v>2</v>
      </c>
      <c r="F465" s="2">
        <v>672</v>
      </c>
      <c r="G465" s="133">
        <f t="shared" si="458"/>
        <v>0</v>
      </c>
      <c r="H465" s="64"/>
      <c r="I465" s="133">
        <f t="shared" si="459"/>
        <v>0</v>
      </c>
      <c r="J465" s="133">
        <f t="shared" si="576"/>
        <v>0</v>
      </c>
      <c r="K465" s="64"/>
      <c r="L465" s="133">
        <f t="shared" si="577"/>
        <v>0</v>
      </c>
      <c r="M465" s="65">
        <v>839.3555429628592</v>
      </c>
      <c r="N465" s="65">
        <v>1807.4005037883962</v>
      </c>
      <c r="O465" s="70">
        <v>592.90182264484679</v>
      </c>
      <c r="P465" s="200">
        <f t="shared" si="568"/>
        <v>-971.89736081883052</v>
      </c>
      <c r="Q465" s="200">
        <f t="shared" si="569"/>
        <v>-971.89736081883052</v>
      </c>
      <c r="R465" s="200">
        <f t="shared" si="570"/>
        <v>-971.89736081883052</v>
      </c>
      <c r="S465" s="133">
        <f t="shared" si="460"/>
        <v>-177.87054679345403</v>
      </c>
      <c r="T465" s="133">
        <f t="shared" si="461"/>
        <v>-177.87054679345403</v>
      </c>
      <c r="U465" s="133">
        <f t="shared" si="462"/>
        <v>-177.87054679345403</v>
      </c>
      <c r="V465" s="200">
        <f t="shared" si="571"/>
        <v>-971.89736081883052</v>
      </c>
      <c r="W465" s="200">
        <f t="shared" si="572"/>
        <v>-971.89736081883052</v>
      </c>
      <c r="X465" s="200">
        <f t="shared" si="573"/>
        <v>-971.89736081883052</v>
      </c>
      <c r="Y465" s="58">
        <f t="shared" si="624"/>
        <v>0</v>
      </c>
      <c r="AA465" s="58">
        <f t="shared" si="625"/>
        <v>0</v>
      </c>
      <c r="AB465" s="200">
        <f t="shared" si="611"/>
        <v>-971.89736081883052</v>
      </c>
      <c r="AC465" s="200">
        <f t="shared" si="612"/>
        <v>-971.89736081883052</v>
      </c>
      <c r="AD465" s="200">
        <f t="shared" si="613"/>
        <v>-971.89736081883052</v>
      </c>
      <c r="AE465" s="199">
        <f t="shared" si="517"/>
        <v>-177.87054679345403</v>
      </c>
      <c r="AF465" s="199">
        <f t="shared" si="614"/>
        <v>-177.87054679345403</v>
      </c>
      <c r="AG465" s="199">
        <f t="shared" si="518"/>
        <v>-177.87054679345403</v>
      </c>
      <c r="AH465" s="199">
        <f t="shared" si="463"/>
        <v>-177.87054679345403</v>
      </c>
      <c r="AI465" s="200">
        <f t="shared" si="615"/>
        <v>-971.89736081883052</v>
      </c>
      <c r="AJ465" s="200">
        <f t="shared" si="616"/>
        <v>-971.89736081883052</v>
      </c>
      <c r="AK465" s="200">
        <f t="shared" si="617"/>
        <v>-971.89736081883052</v>
      </c>
      <c r="AL465" s="4"/>
      <c r="AM465" s="4"/>
      <c r="AN465" s="4"/>
      <c r="AO465" s="4"/>
      <c r="AP465" s="63"/>
      <c r="AQ465" s="18"/>
      <c r="AR465" s="18"/>
      <c r="AS465" s="18"/>
      <c r="AT465" s="18">
        <v>0</v>
      </c>
      <c r="AU465" s="133">
        <f t="shared" ref="AU465" si="628">+AU453</f>
        <v>92.897999999999996</v>
      </c>
      <c r="AV465" s="133">
        <f t="shared" ref="AV465" si="629">+AV453</f>
        <v>3057.587</v>
      </c>
      <c r="AW465" s="194"/>
      <c r="AX465" s="194"/>
      <c r="AY465" s="194"/>
      <c r="AZ465" s="194"/>
      <c r="BA465" s="194"/>
      <c r="BB465" s="194"/>
      <c r="BC465" s="65">
        <v>0</v>
      </c>
      <c r="BD465" s="65">
        <v>0</v>
      </c>
      <c r="BE465" s="65">
        <v>0</v>
      </c>
      <c r="BF465" s="65">
        <v>0</v>
      </c>
      <c r="BG465" s="65">
        <v>0</v>
      </c>
      <c r="BH465" s="65">
        <v>0</v>
      </c>
      <c r="BI465" s="65">
        <v>453.70757859210244</v>
      </c>
      <c r="BJ465" s="65">
        <v>0</v>
      </c>
      <c r="BK465" s="65">
        <v>0</v>
      </c>
      <c r="BL465" s="65">
        <v>0</v>
      </c>
      <c r="BM465" s="65">
        <v>0</v>
      </c>
      <c r="BN465" s="65">
        <v>0</v>
      </c>
      <c r="BO465" s="65">
        <v>0</v>
      </c>
      <c r="BP465" s="5"/>
      <c r="BQ465" s="5"/>
      <c r="BR465" s="5"/>
      <c r="BS465" s="63"/>
      <c r="BT465" s="5"/>
      <c r="BU465" s="65">
        <v>164.97732765812614</v>
      </c>
      <c r="BV465" s="144">
        <f t="shared" si="608"/>
        <v>587.54888007400143</v>
      </c>
      <c r="BW465" s="144">
        <f t="shared" si="609"/>
        <v>1265.1803526518772</v>
      </c>
      <c r="BX465" s="144">
        <f t="shared" si="610"/>
        <v>415.03127585139271</v>
      </c>
      <c r="BY465" s="5"/>
      <c r="BZ465" s="5"/>
      <c r="CA465" s="4"/>
      <c r="CB465" s="5"/>
      <c r="CC465" s="5"/>
      <c r="CD465" s="5"/>
      <c r="CE465" s="5"/>
      <c r="CF465" s="64"/>
      <c r="CG465" s="70"/>
      <c r="CH465" s="70"/>
      <c r="CI465" s="70"/>
      <c r="CJ465" s="63"/>
      <c r="CK465" s="8">
        <f t="shared" si="559"/>
        <v>6036.9304148275005</v>
      </c>
      <c r="CL465" s="202">
        <f t="shared" si="481"/>
        <v>-7008.8277756463312</v>
      </c>
      <c r="CM465" s="202">
        <f t="shared" si="482"/>
        <v>-7008.8277756463312</v>
      </c>
      <c r="CN465" s="202">
        <f t="shared" si="483"/>
        <v>-7008.8277756463312</v>
      </c>
      <c r="CO465" s="9">
        <f t="shared" si="484"/>
        <v>-6214.8009616209547</v>
      </c>
      <c r="CP465" s="9">
        <f t="shared" si="485"/>
        <v>-6214.8009616209547</v>
      </c>
      <c r="CQ465" s="9">
        <f t="shared" si="486"/>
        <v>-6214.8009616209547</v>
      </c>
      <c r="CR465" s="202">
        <f t="shared" si="487"/>
        <v>-7008.8277756463312</v>
      </c>
      <c r="CS465" s="202">
        <f t="shared" si="488"/>
        <v>-7008.8277756463312</v>
      </c>
      <c r="CT465" s="202">
        <f t="shared" si="489"/>
        <v>-7008.8277756463312</v>
      </c>
      <c r="CU465" s="203">
        <f t="shared" si="490"/>
        <v>7.2114896677374896</v>
      </c>
      <c r="CV465" s="203">
        <f t="shared" si="491"/>
        <v>7.2114896677374896</v>
      </c>
      <c r="CW465" s="203">
        <f t="shared" si="492"/>
        <v>7.2114896677374896</v>
      </c>
      <c r="CX465" s="19">
        <f t="shared" si="493"/>
        <v>34.940022806798225</v>
      </c>
      <c r="CY465" s="19">
        <f t="shared" si="494"/>
        <v>34.940022806798225</v>
      </c>
      <c r="CZ465" s="19">
        <f t="shared" si="495"/>
        <v>34.940022806798225</v>
      </c>
      <c r="DA465" s="203">
        <f t="shared" si="496"/>
        <v>7.2114896677374896</v>
      </c>
      <c r="DB465" s="203">
        <f t="shared" si="497"/>
        <v>7.2114896677374896</v>
      </c>
      <c r="DC465" s="203">
        <f t="shared" si="498"/>
        <v>7.2114896677374896</v>
      </c>
      <c r="DD465" s="65"/>
      <c r="DE465" s="66"/>
      <c r="DF465" s="66"/>
      <c r="DG465" s="66"/>
      <c r="DH465" s="66"/>
      <c r="DI465" s="66"/>
      <c r="DJ465" s="66"/>
      <c r="DK465" s="70"/>
      <c r="DL465" s="70"/>
      <c r="DM465" s="8">
        <f t="shared" si="560"/>
        <v>0</v>
      </c>
      <c r="DN465" s="8">
        <f t="shared" si="561"/>
        <v>6036.9304148275005</v>
      </c>
      <c r="DO465" s="202">
        <f t="shared" si="535"/>
        <v>-7008.8277756463312</v>
      </c>
      <c r="DP465" s="202">
        <f t="shared" si="536"/>
        <v>-7008.8277756463312</v>
      </c>
      <c r="DQ465" s="202">
        <f t="shared" si="537"/>
        <v>-7008.8277756463312</v>
      </c>
      <c r="DR465" s="9">
        <f t="shared" si="538"/>
        <v>-6214.8009616209547</v>
      </c>
      <c r="DS465" s="9">
        <f t="shared" si="501"/>
        <v>-6214.8009616209547</v>
      </c>
      <c r="DT465" s="9">
        <f t="shared" si="539"/>
        <v>-6214.8009616209547</v>
      </c>
      <c r="DU465" s="202">
        <f t="shared" si="540"/>
        <v>-7008.8277756463312</v>
      </c>
      <c r="DV465" s="202">
        <f t="shared" si="541"/>
        <v>-7008.8277756463312</v>
      </c>
      <c r="DW465" s="202">
        <f t="shared" si="542"/>
        <v>-7008.8277756463312</v>
      </c>
      <c r="DX465" s="203">
        <f t="shared" si="543"/>
        <v>7.2114896677374896</v>
      </c>
      <c r="DY465" s="203">
        <f t="shared" si="544"/>
        <v>7.2114896677374896</v>
      </c>
      <c r="DZ465" s="203">
        <f t="shared" si="545"/>
        <v>7.2114896677374896</v>
      </c>
      <c r="EA465" s="19">
        <f t="shared" si="546"/>
        <v>34.940022806798225</v>
      </c>
      <c r="EB465" s="19">
        <f t="shared" si="502"/>
        <v>34.940022806798225</v>
      </c>
      <c r="EC465" s="19">
        <f t="shared" si="547"/>
        <v>34.940022806798225</v>
      </c>
      <c r="ED465" s="203">
        <f t="shared" si="548"/>
        <v>7.2114896677374896</v>
      </c>
      <c r="EE465" s="203">
        <f t="shared" si="549"/>
        <v>7.2114896677374896</v>
      </c>
      <c r="EF465" s="203">
        <f t="shared" si="550"/>
        <v>7.2114896677374896</v>
      </c>
      <c r="EH465" s="58">
        <f t="shared" si="596"/>
        <v>5449.3815347534992</v>
      </c>
      <c r="EI465" s="68">
        <f t="shared" si="597"/>
        <v>-30.636784071290922</v>
      </c>
      <c r="EJ465" s="58">
        <f t="shared" si="598"/>
        <v>5449.3815347534992</v>
      </c>
      <c r="EK465" s="68">
        <f t="shared" si="597"/>
        <v>-30.636784071290922</v>
      </c>
      <c r="EL465" s="58">
        <f t="shared" si="599"/>
        <v>1883.8652589021058</v>
      </c>
      <c r="EM465" s="58">
        <f t="shared" si="600"/>
        <v>2298.8965347534986</v>
      </c>
      <c r="EN465" s="68">
        <f t="shared" si="601"/>
        <v>-12.924548646173625</v>
      </c>
      <c r="EO465" s="139">
        <f t="shared" si="464"/>
        <v>0.3126447604730192</v>
      </c>
      <c r="EP465">
        <f>+(SUM(M465:O465)*EO465*(1-'[1]Tier 3 Data'!$A$2))</f>
        <v>945.00030066622037</v>
      </c>
    </row>
    <row r="466" spans="1:146" x14ac:dyDescent="0.2">
      <c r="A466" s="43">
        <v>0</v>
      </c>
      <c r="B466" s="43">
        <v>0</v>
      </c>
      <c r="C466" s="43">
        <v>0</v>
      </c>
      <c r="D466" s="70">
        <v>2046</v>
      </c>
      <c r="E466" s="70">
        <v>3</v>
      </c>
      <c r="F466" s="2">
        <v>743</v>
      </c>
      <c r="G466" s="133">
        <f t="shared" si="458"/>
        <v>0</v>
      </c>
      <c r="H466" s="64"/>
      <c r="I466" s="133">
        <f t="shared" si="459"/>
        <v>0</v>
      </c>
      <c r="J466" s="133">
        <f t="shared" si="576"/>
        <v>0</v>
      </c>
      <c r="K466" s="64"/>
      <c r="L466" s="133">
        <f t="shared" si="577"/>
        <v>0</v>
      </c>
      <c r="M466" s="65">
        <v>1051.6160966561574</v>
      </c>
      <c r="N466" s="65">
        <v>2264.4652541151199</v>
      </c>
      <c r="O466" s="70">
        <v>742.85900654464126</v>
      </c>
      <c r="P466" s="200">
        <f t="shared" si="568"/>
        <v>-1217.6821071947757</v>
      </c>
      <c r="Q466" s="200">
        <f t="shared" si="569"/>
        <v>-1217.6821071947757</v>
      </c>
      <c r="R466" s="200">
        <f t="shared" si="570"/>
        <v>-1217.6821071947757</v>
      </c>
      <c r="S466" s="133">
        <f t="shared" si="460"/>
        <v>-222.85770196339237</v>
      </c>
      <c r="T466" s="133">
        <f t="shared" si="461"/>
        <v>-222.85770196339237</v>
      </c>
      <c r="U466" s="133">
        <f t="shared" si="462"/>
        <v>-222.85770196339237</v>
      </c>
      <c r="V466" s="200">
        <f t="shared" si="571"/>
        <v>-1217.6821071947757</v>
      </c>
      <c r="W466" s="200">
        <f t="shared" si="572"/>
        <v>-1217.6821071947757</v>
      </c>
      <c r="X466" s="200">
        <f t="shared" si="573"/>
        <v>-1217.6821071947757</v>
      </c>
      <c r="Y466" s="58">
        <f t="shared" si="624"/>
        <v>0</v>
      </c>
      <c r="AA466" s="58">
        <f t="shared" si="625"/>
        <v>0</v>
      </c>
      <c r="AB466" s="200">
        <f t="shared" si="611"/>
        <v>-1217.6821071947757</v>
      </c>
      <c r="AC466" s="200">
        <f t="shared" si="612"/>
        <v>-1217.6821071947757</v>
      </c>
      <c r="AD466" s="200">
        <f t="shared" si="613"/>
        <v>-1217.6821071947757</v>
      </c>
      <c r="AE466" s="199">
        <f t="shared" si="517"/>
        <v>-222.85770196339237</v>
      </c>
      <c r="AF466" s="199">
        <f t="shared" si="614"/>
        <v>-222.85770196339237</v>
      </c>
      <c r="AG466" s="199">
        <f t="shared" si="518"/>
        <v>-222.85770196339237</v>
      </c>
      <c r="AH466" s="199">
        <f t="shared" si="463"/>
        <v>-222.85770196339237</v>
      </c>
      <c r="AI466" s="200">
        <f t="shared" si="615"/>
        <v>-1217.6821071947757</v>
      </c>
      <c r="AJ466" s="200">
        <f t="shared" si="616"/>
        <v>-1217.6821071947757</v>
      </c>
      <c r="AK466" s="200">
        <f t="shared" si="617"/>
        <v>-1217.6821071947757</v>
      </c>
      <c r="AL466" s="4"/>
      <c r="AM466" s="4"/>
      <c r="AN466" s="4"/>
      <c r="AO466" s="4"/>
      <c r="AP466" s="63"/>
      <c r="AQ466" s="18"/>
      <c r="AR466" s="18"/>
      <c r="AS466" s="18"/>
      <c r="AT466" s="18">
        <v>0</v>
      </c>
      <c r="AU466" s="133">
        <f t="shared" ref="AU466" si="630">+AU454</f>
        <v>87.516000000000005</v>
      </c>
      <c r="AV466" s="133">
        <f t="shared" ref="AV466" si="631">+AV454</f>
        <v>3232.7139999999999</v>
      </c>
      <c r="AW466" s="194"/>
      <c r="AX466" s="194"/>
      <c r="AY466" s="194"/>
      <c r="AZ466" s="194"/>
      <c r="BA466" s="194"/>
      <c r="BB466" s="194"/>
      <c r="BC466" s="65">
        <v>0</v>
      </c>
      <c r="BD466" s="65">
        <v>0</v>
      </c>
      <c r="BE466" s="65">
        <v>0</v>
      </c>
      <c r="BF466" s="65">
        <v>0</v>
      </c>
      <c r="BG466" s="65">
        <v>0</v>
      </c>
      <c r="BH466" s="65">
        <v>0</v>
      </c>
      <c r="BI466" s="65">
        <v>872.07185301500408</v>
      </c>
      <c r="BJ466" s="65">
        <v>0</v>
      </c>
      <c r="BK466" s="65">
        <v>0</v>
      </c>
      <c r="BL466" s="65">
        <v>0</v>
      </c>
      <c r="BM466" s="65">
        <v>0</v>
      </c>
      <c r="BN466" s="65">
        <v>0</v>
      </c>
      <c r="BO466" s="65">
        <v>0</v>
      </c>
      <c r="BP466" s="5"/>
      <c r="BQ466" s="5"/>
      <c r="BR466" s="5"/>
      <c r="BS466" s="63"/>
      <c r="BT466" s="5"/>
      <c r="BU466" s="65">
        <v>235.20315308738353</v>
      </c>
      <c r="BV466" s="144">
        <f t="shared" si="608"/>
        <v>736.1312676593102</v>
      </c>
      <c r="BW466" s="144">
        <f t="shared" si="609"/>
        <v>1585.1256778805839</v>
      </c>
      <c r="BX466" s="144">
        <f t="shared" si="610"/>
        <v>520.00130458124886</v>
      </c>
      <c r="BY466" s="5"/>
      <c r="BZ466" s="5"/>
      <c r="CA466" s="4"/>
      <c r="CB466" s="5"/>
      <c r="CC466" s="5"/>
      <c r="CD466" s="5"/>
      <c r="CE466" s="5"/>
      <c r="CF466" s="64"/>
      <c r="CG466" s="70"/>
      <c r="CH466" s="70"/>
      <c r="CI466" s="70"/>
      <c r="CJ466" s="63"/>
      <c r="CK466" s="8">
        <f t="shared" si="559"/>
        <v>7268.7632562235303</v>
      </c>
      <c r="CL466" s="202">
        <f t="shared" si="481"/>
        <v>-8486.4453634183064</v>
      </c>
      <c r="CM466" s="202">
        <f t="shared" si="482"/>
        <v>-8486.4453634183064</v>
      </c>
      <c r="CN466" s="202">
        <f t="shared" si="483"/>
        <v>-8486.4453634183064</v>
      </c>
      <c r="CO466" s="9">
        <f t="shared" si="484"/>
        <v>-7491.6209581869225</v>
      </c>
      <c r="CP466" s="9">
        <f t="shared" si="485"/>
        <v>-7491.6209581869225</v>
      </c>
      <c r="CQ466" s="9">
        <f t="shared" si="486"/>
        <v>-7491.6209581869225</v>
      </c>
      <c r="CR466" s="202">
        <f t="shared" si="487"/>
        <v>-8486.4453634183064</v>
      </c>
      <c r="CS466" s="202">
        <f t="shared" si="488"/>
        <v>-8486.4453634183064</v>
      </c>
      <c r="CT466" s="202">
        <f t="shared" si="489"/>
        <v>-8486.4453634183064</v>
      </c>
      <c r="CU466" s="203">
        <f t="shared" si="490"/>
        <v>6.9693438979479456</v>
      </c>
      <c r="CV466" s="203">
        <f t="shared" si="491"/>
        <v>6.9693438979479456</v>
      </c>
      <c r="CW466" s="203">
        <f t="shared" si="492"/>
        <v>6.9693438979479456</v>
      </c>
      <c r="CX466" s="19">
        <f t="shared" si="493"/>
        <v>33.616163552729851</v>
      </c>
      <c r="CY466" s="19">
        <f t="shared" si="494"/>
        <v>33.616163552729851</v>
      </c>
      <c r="CZ466" s="19">
        <f t="shared" si="495"/>
        <v>33.616163552729851</v>
      </c>
      <c r="DA466" s="203">
        <f t="shared" si="496"/>
        <v>6.9693438979479456</v>
      </c>
      <c r="DB466" s="203">
        <f t="shared" si="497"/>
        <v>6.9693438979479456</v>
      </c>
      <c r="DC466" s="203">
        <f t="shared" si="498"/>
        <v>6.9693438979479456</v>
      </c>
      <c r="DD466" s="65"/>
      <c r="DE466" s="66"/>
      <c r="DF466" s="66"/>
      <c r="DG466" s="66"/>
      <c r="DH466" s="66"/>
      <c r="DI466" s="66"/>
      <c r="DJ466" s="66"/>
      <c r="DK466" s="70"/>
      <c r="DL466" s="70"/>
      <c r="DM466" s="8">
        <f t="shared" si="560"/>
        <v>0</v>
      </c>
      <c r="DN466" s="8">
        <f t="shared" si="561"/>
        <v>7268.7632562235303</v>
      </c>
      <c r="DO466" s="202">
        <f t="shared" si="535"/>
        <v>-8486.4453634183064</v>
      </c>
      <c r="DP466" s="202">
        <f t="shared" si="536"/>
        <v>-8486.4453634183064</v>
      </c>
      <c r="DQ466" s="202">
        <f t="shared" si="537"/>
        <v>-8486.4453634183064</v>
      </c>
      <c r="DR466" s="9">
        <f t="shared" si="538"/>
        <v>-7491.6209581869225</v>
      </c>
      <c r="DS466" s="9">
        <f t="shared" si="501"/>
        <v>-7491.6209581869225</v>
      </c>
      <c r="DT466" s="9">
        <f t="shared" si="539"/>
        <v>-7491.6209581869225</v>
      </c>
      <c r="DU466" s="202">
        <f t="shared" si="540"/>
        <v>-8486.4453634183064</v>
      </c>
      <c r="DV466" s="202">
        <f t="shared" si="541"/>
        <v>-8486.4453634183064</v>
      </c>
      <c r="DW466" s="202">
        <f t="shared" si="542"/>
        <v>-8486.4453634183064</v>
      </c>
      <c r="DX466" s="203">
        <f t="shared" si="543"/>
        <v>6.9693438979479456</v>
      </c>
      <c r="DY466" s="203">
        <f t="shared" si="544"/>
        <v>6.9693438979479456</v>
      </c>
      <c r="DZ466" s="203">
        <f t="shared" si="545"/>
        <v>6.9693438979479456</v>
      </c>
      <c r="EA466" s="19">
        <f t="shared" si="546"/>
        <v>33.616163552729851</v>
      </c>
      <c r="EB466" s="19">
        <f t="shared" si="502"/>
        <v>33.616163552729851</v>
      </c>
      <c r="EC466" s="19">
        <f t="shared" si="547"/>
        <v>33.616163552729851</v>
      </c>
      <c r="ED466" s="203">
        <f t="shared" si="548"/>
        <v>6.9693438979479456</v>
      </c>
      <c r="EE466" s="203">
        <f t="shared" si="549"/>
        <v>6.9693438979479456</v>
      </c>
      <c r="EF466" s="203">
        <f t="shared" si="550"/>
        <v>6.9693438979479456</v>
      </c>
      <c r="EH466" s="58">
        <f t="shared" si="596"/>
        <v>6532.6319885642206</v>
      </c>
      <c r="EI466" s="68">
        <f t="shared" si="597"/>
        <v>-29.313018715580675</v>
      </c>
      <c r="EJ466" s="58">
        <f t="shared" si="598"/>
        <v>6532.6319885642206</v>
      </c>
      <c r="EK466" s="68">
        <f t="shared" si="597"/>
        <v>-29.313018715580675</v>
      </c>
      <c r="EL466" s="58">
        <f t="shared" si="599"/>
        <v>2692.4006839829717</v>
      </c>
      <c r="EM466" s="58">
        <f t="shared" si="600"/>
        <v>3212.4019885642206</v>
      </c>
      <c r="EN466" s="68">
        <f t="shared" si="601"/>
        <v>-14.414588144195728</v>
      </c>
      <c r="EO466" s="139">
        <f t="shared" si="464"/>
        <v>0.32861286969700848</v>
      </c>
      <c r="EP466">
        <f>+(SUM(M466:O466)*EO466*(1-'[1]Tier 3 Data'!$A$2))</f>
        <v>1244.4540961505641</v>
      </c>
    </row>
    <row r="467" spans="1:146" x14ac:dyDescent="0.2">
      <c r="A467" s="43">
        <v>0</v>
      </c>
      <c r="B467" s="43">
        <v>0</v>
      </c>
      <c r="C467" s="43">
        <v>0</v>
      </c>
      <c r="D467" s="70">
        <v>2046</v>
      </c>
      <c r="E467" s="70">
        <v>4</v>
      </c>
      <c r="F467" s="2">
        <v>720</v>
      </c>
      <c r="G467" s="133">
        <f t="shared" si="458"/>
        <v>0</v>
      </c>
      <c r="H467" s="64"/>
      <c r="I467" s="133">
        <f t="shared" si="459"/>
        <v>0</v>
      </c>
      <c r="J467" s="133">
        <f t="shared" si="576"/>
        <v>0</v>
      </c>
      <c r="K467" s="64"/>
      <c r="L467" s="133">
        <f t="shared" si="577"/>
        <v>0</v>
      </c>
      <c r="M467" s="65">
        <v>1465.5029776468293</v>
      </c>
      <c r="N467" s="65">
        <v>3155.6958696577994</v>
      </c>
      <c r="O467" s="70">
        <v>1035.2750303208011</v>
      </c>
      <c r="P467" s="200">
        <f t="shared" si="568"/>
        <v>-1696.942163287629</v>
      </c>
      <c r="Q467" s="200">
        <f t="shared" si="569"/>
        <v>-1696.942163287629</v>
      </c>
      <c r="R467" s="200">
        <f t="shared" si="570"/>
        <v>-1696.942163287629</v>
      </c>
      <c r="S467" s="133">
        <f t="shared" si="460"/>
        <v>-310.5825090962403</v>
      </c>
      <c r="T467" s="133">
        <f t="shared" si="461"/>
        <v>-310.5825090962403</v>
      </c>
      <c r="U467" s="133">
        <f t="shared" si="462"/>
        <v>-310.5825090962403</v>
      </c>
      <c r="V467" s="200">
        <f t="shared" si="571"/>
        <v>-1696.942163287629</v>
      </c>
      <c r="W467" s="200">
        <f t="shared" si="572"/>
        <v>-1696.942163287629</v>
      </c>
      <c r="X467" s="200">
        <f t="shared" si="573"/>
        <v>-1696.942163287629</v>
      </c>
      <c r="Y467" s="58">
        <f t="shared" si="624"/>
        <v>0</v>
      </c>
      <c r="AA467" s="58">
        <f t="shared" si="625"/>
        <v>0</v>
      </c>
      <c r="AB467" s="200">
        <f t="shared" si="611"/>
        <v>-1696.942163287629</v>
      </c>
      <c r="AC467" s="200">
        <f t="shared" si="612"/>
        <v>-1696.942163287629</v>
      </c>
      <c r="AD467" s="200">
        <f t="shared" si="613"/>
        <v>-1696.942163287629</v>
      </c>
      <c r="AE467" s="199">
        <f t="shared" si="517"/>
        <v>-310.5825090962403</v>
      </c>
      <c r="AF467" s="199">
        <f t="shared" si="614"/>
        <v>-310.5825090962403</v>
      </c>
      <c r="AG467" s="199">
        <f t="shared" si="518"/>
        <v>-310.5825090962403</v>
      </c>
      <c r="AH467" s="199">
        <f t="shared" si="463"/>
        <v>-310.5825090962403</v>
      </c>
      <c r="AI467" s="200">
        <f t="shared" si="615"/>
        <v>-1696.942163287629</v>
      </c>
      <c r="AJ467" s="200">
        <f t="shared" si="616"/>
        <v>-1696.942163287629</v>
      </c>
      <c r="AK467" s="200">
        <f t="shared" si="617"/>
        <v>-1696.942163287629</v>
      </c>
      <c r="AL467" s="4"/>
      <c r="AM467" s="4"/>
      <c r="AN467" s="4"/>
      <c r="AO467" s="4"/>
      <c r="AP467" s="63"/>
      <c r="AQ467" s="18"/>
      <c r="AR467" s="18"/>
      <c r="AS467" s="18"/>
      <c r="AT467" s="18">
        <v>0</v>
      </c>
      <c r="AU467" s="133">
        <f t="shared" ref="AU467" si="632">+AU455</f>
        <v>96.057000000000002</v>
      </c>
      <c r="AV467" s="133">
        <f t="shared" ref="AV467" si="633">+AV455</f>
        <v>3017.9659999999999</v>
      </c>
      <c r="AW467" s="194"/>
      <c r="AX467" s="194"/>
      <c r="AY467" s="194"/>
      <c r="AZ467" s="194"/>
      <c r="BA467" s="194"/>
      <c r="BB467" s="194"/>
      <c r="BC467" s="65">
        <v>0</v>
      </c>
      <c r="BD467" s="65">
        <v>0</v>
      </c>
      <c r="BE467" s="65">
        <v>0</v>
      </c>
      <c r="BF467" s="65">
        <v>0</v>
      </c>
      <c r="BG467" s="65">
        <v>0</v>
      </c>
      <c r="BH467" s="65">
        <v>0</v>
      </c>
      <c r="BI467" s="65">
        <v>1101.2464806594983</v>
      </c>
      <c r="BJ467" s="65">
        <v>0</v>
      </c>
      <c r="BK467" s="65">
        <v>0</v>
      </c>
      <c r="BL467" s="65">
        <v>0</v>
      </c>
      <c r="BM467" s="65">
        <v>0</v>
      </c>
      <c r="BN467" s="65">
        <v>0</v>
      </c>
      <c r="BO467" s="65">
        <v>0</v>
      </c>
      <c r="BP467" s="5"/>
      <c r="BQ467" s="5"/>
      <c r="BR467" s="5"/>
      <c r="BS467" s="63"/>
      <c r="BT467" s="5"/>
      <c r="BU467" s="65">
        <v>240.64351222548399</v>
      </c>
      <c r="BV467" s="144">
        <f t="shared" si="608"/>
        <v>1025.8520843527804</v>
      </c>
      <c r="BW467" s="144">
        <f t="shared" si="609"/>
        <v>2208.9871087604593</v>
      </c>
      <c r="BX467" s="144">
        <f t="shared" si="610"/>
        <v>724.69252122456066</v>
      </c>
      <c r="BY467" s="5"/>
      <c r="BZ467" s="5"/>
      <c r="CA467" s="4"/>
      <c r="CB467" s="5"/>
      <c r="CC467" s="5"/>
      <c r="CD467" s="5"/>
      <c r="CE467" s="5"/>
      <c r="CF467" s="64"/>
      <c r="CG467" s="70"/>
      <c r="CH467" s="70"/>
      <c r="CI467" s="70"/>
      <c r="CJ467" s="63"/>
      <c r="CK467" s="8">
        <f t="shared" si="559"/>
        <v>8415.4447072227831</v>
      </c>
      <c r="CL467" s="202">
        <f t="shared" si="481"/>
        <v>-10112.386870510412</v>
      </c>
      <c r="CM467" s="202">
        <f t="shared" si="482"/>
        <v>-10112.386870510412</v>
      </c>
      <c r="CN467" s="202">
        <f t="shared" si="483"/>
        <v>-10112.386870510412</v>
      </c>
      <c r="CO467" s="9">
        <f t="shared" si="484"/>
        <v>-8726.0272163190239</v>
      </c>
      <c r="CP467" s="9">
        <f t="shared" si="485"/>
        <v>-8726.0272163190239</v>
      </c>
      <c r="CQ467" s="9">
        <f t="shared" si="486"/>
        <v>-8726.0272163190239</v>
      </c>
      <c r="CR467" s="202">
        <f t="shared" si="487"/>
        <v>-10112.386870510412</v>
      </c>
      <c r="CS467" s="202">
        <f t="shared" si="488"/>
        <v>-10112.386870510412</v>
      </c>
      <c r="CT467" s="202">
        <f t="shared" si="489"/>
        <v>-10112.386870510412</v>
      </c>
      <c r="CU467" s="203">
        <f t="shared" si="490"/>
        <v>5.9591818090716968</v>
      </c>
      <c r="CV467" s="203">
        <f t="shared" si="491"/>
        <v>5.9591818090716968</v>
      </c>
      <c r="CW467" s="203">
        <f t="shared" si="492"/>
        <v>5.9591818090716968</v>
      </c>
      <c r="CX467" s="19">
        <f t="shared" si="493"/>
        <v>28.09568137533169</v>
      </c>
      <c r="CY467" s="19">
        <f t="shared" si="494"/>
        <v>28.09568137533169</v>
      </c>
      <c r="CZ467" s="19">
        <f t="shared" si="495"/>
        <v>28.09568137533169</v>
      </c>
      <c r="DA467" s="203">
        <f t="shared" si="496"/>
        <v>5.9591818090716968</v>
      </c>
      <c r="DB467" s="203">
        <f t="shared" si="497"/>
        <v>5.9591818090716968</v>
      </c>
      <c r="DC467" s="203">
        <f t="shared" si="498"/>
        <v>5.9591818090716968</v>
      </c>
      <c r="DD467" s="65"/>
      <c r="DE467" s="66"/>
      <c r="DF467" s="66"/>
      <c r="DG467" s="66"/>
      <c r="DH467" s="66"/>
      <c r="DI467" s="66"/>
      <c r="DJ467" s="66"/>
      <c r="DK467" s="70"/>
      <c r="DL467" s="70"/>
      <c r="DM467" s="8">
        <f t="shared" si="560"/>
        <v>0</v>
      </c>
      <c r="DN467" s="8">
        <f t="shared" si="561"/>
        <v>8415.4447072227831</v>
      </c>
      <c r="DO467" s="202">
        <f t="shared" si="535"/>
        <v>-10112.386870510412</v>
      </c>
      <c r="DP467" s="202">
        <f t="shared" si="536"/>
        <v>-10112.386870510412</v>
      </c>
      <c r="DQ467" s="202">
        <f t="shared" si="537"/>
        <v>-10112.386870510412</v>
      </c>
      <c r="DR467" s="9">
        <f t="shared" si="538"/>
        <v>-8726.0272163190239</v>
      </c>
      <c r="DS467" s="9">
        <f t="shared" si="501"/>
        <v>-8726.0272163190239</v>
      </c>
      <c r="DT467" s="9">
        <f t="shared" si="539"/>
        <v>-8726.0272163190239</v>
      </c>
      <c r="DU467" s="202">
        <f t="shared" si="540"/>
        <v>-10112.386870510412</v>
      </c>
      <c r="DV467" s="202">
        <f t="shared" si="541"/>
        <v>-10112.386870510412</v>
      </c>
      <c r="DW467" s="202">
        <f t="shared" si="542"/>
        <v>-10112.386870510412</v>
      </c>
      <c r="DX467" s="203">
        <f t="shared" si="543"/>
        <v>5.9591818090716968</v>
      </c>
      <c r="DY467" s="203">
        <f t="shared" si="544"/>
        <v>5.9591818090716968</v>
      </c>
      <c r="DZ467" s="203">
        <f t="shared" si="545"/>
        <v>5.9591818090716968</v>
      </c>
      <c r="EA467" s="19">
        <f t="shared" si="546"/>
        <v>28.09568137533169</v>
      </c>
      <c r="EB467" s="19">
        <f t="shared" si="502"/>
        <v>28.09568137533169</v>
      </c>
      <c r="EC467" s="19">
        <f t="shared" si="547"/>
        <v>28.09568137533169</v>
      </c>
      <c r="ED467" s="203">
        <f t="shared" si="548"/>
        <v>5.9591818090716968</v>
      </c>
      <c r="EE467" s="203">
        <f t="shared" si="549"/>
        <v>5.9591818090716968</v>
      </c>
      <c r="EF467" s="203">
        <f t="shared" si="550"/>
        <v>5.9591818090716968</v>
      </c>
      <c r="EH467" s="58">
        <f t="shared" si="596"/>
        <v>7389.5926228700027</v>
      </c>
      <c r="EI467" s="68">
        <f t="shared" si="597"/>
        <v>-23.792687631936758</v>
      </c>
      <c r="EJ467" s="58">
        <f t="shared" si="598"/>
        <v>7389.5926228700027</v>
      </c>
      <c r="EK467" s="68">
        <f t="shared" si="597"/>
        <v>-23.792687631936758</v>
      </c>
      <c r="EL467" s="58">
        <f t="shared" si="599"/>
        <v>3550.8771016454421</v>
      </c>
      <c r="EM467" s="58">
        <f t="shared" si="600"/>
        <v>4275.5696228700026</v>
      </c>
      <c r="EN467" s="68">
        <f t="shared" si="601"/>
        <v>-13.766292362410951</v>
      </c>
      <c r="EO467" s="139">
        <f t="shared" si="464"/>
        <v>0.35351678044029999</v>
      </c>
      <c r="EP467">
        <f>+(SUM(M467:O467)*EO467*(1-'[1]Tier 3 Data'!$A$2))</f>
        <v>1865.681318793994</v>
      </c>
    </row>
    <row r="468" spans="1:146" x14ac:dyDescent="0.2">
      <c r="A468" s="43">
        <v>0</v>
      </c>
      <c r="B468" s="43">
        <v>0</v>
      </c>
      <c r="C468" s="43">
        <v>0</v>
      </c>
      <c r="D468" s="70">
        <v>2046</v>
      </c>
      <c r="E468" s="70">
        <v>5</v>
      </c>
      <c r="F468" s="2">
        <v>744</v>
      </c>
      <c r="G468" s="133">
        <f t="shared" si="458"/>
        <v>0</v>
      </c>
      <c r="H468" s="64"/>
      <c r="I468" s="133">
        <f t="shared" si="459"/>
        <v>0</v>
      </c>
      <c r="J468" s="133">
        <f t="shared" si="576"/>
        <v>0</v>
      </c>
      <c r="K468" s="64"/>
      <c r="L468" s="133">
        <f t="shared" si="577"/>
        <v>0</v>
      </c>
      <c r="M468" s="65">
        <v>1750.7817988213781</v>
      </c>
      <c r="N468" s="65">
        <v>3769.9922657844818</v>
      </c>
      <c r="O468" s="70">
        <v>1236.8669973617241</v>
      </c>
      <c r="P468" s="200">
        <f t="shared" si="568"/>
        <v>-2027.2923185902753</v>
      </c>
      <c r="Q468" s="200">
        <f t="shared" si="569"/>
        <v>-2027.2923185902753</v>
      </c>
      <c r="R468" s="200">
        <f t="shared" si="570"/>
        <v>-2027.2923185902753</v>
      </c>
      <c r="S468" s="133">
        <f t="shared" si="460"/>
        <v>-371.06009920851722</v>
      </c>
      <c r="T468" s="133">
        <f t="shared" si="461"/>
        <v>-371.06009920851722</v>
      </c>
      <c r="U468" s="133">
        <f t="shared" si="462"/>
        <v>-371.06009920851722</v>
      </c>
      <c r="V468" s="200">
        <f t="shared" si="571"/>
        <v>-2027.2923185902753</v>
      </c>
      <c r="W468" s="200">
        <f t="shared" si="572"/>
        <v>-2027.2923185902753</v>
      </c>
      <c r="X468" s="200">
        <f t="shared" si="573"/>
        <v>-2027.2923185902753</v>
      </c>
      <c r="Y468" s="58">
        <f t="shared" si="624"/>
        <v>0</v>
      </c>
      <c r="AA468" s="58">
        <f t="shared" si="625"/>
        <v>0</v>
      </c>
      <c r="AB468" s="200">
        <f t="shared" si="611"/>
        <v>-2027.2923185902753</v>
      </c>
      <c r="AC468" s="200">
        <f t="shared" si="612"/>
        <v>-2027.2923185902753</v>
      </c>
      <c r="AD468" s="200">
        <f t="shared" si="613"/>
        <v>-2027.2923185902753</v>
      </c>
      <c r="AE468" s="199">
        <f t="shared" si="517"/>
        <v>-371.06009920851722</v>
      </c>
      <c r="AF468" s="199">
        <f t="shared" si="614"/>
        <v>-371.06009920851722</v>
      </c>
      <c r="AG468" s="199">
        <f t="shared" si="518"/>
        <v>-371.06009920851722</v>
      </c>
      <c r="AH468" s="199">
        <f t="shared" si="463"/>
        <v>-371.06009920851722</v>
      </c>
      <c r="AI468" s="200">
        <f t="shared" si="615"/>
        <v>-2027.2923185902753</v>
      </c>
      <c r="AJ468" s="200">
        <f t="shared" si="616"/>
        <v>-2027.2923185902753</v>
      </c>
      <c r="AK468" s="200">
        <f t="shared" si="617"/>
        <v>-2027.2923185902753</v>
      </c>
      <c r="AL468" s="4"/>
      <c r="AM468" s="4"/>
      <c r="AN468" s="4"/>
      <c r="AO468" s="4"/>
      <c r="AP468" s="63"/>
      <c r="AQ468" s="18"/>
      <c r="AR468" s="18"/>
      <c r="AS468" s="18"/>
      <c r="AT468" s="18">
        <v>0</v>
      </c>
      <c r="AU468" s="133">
        <f t="shared" ref="AU468" si="634">+AU456</f>
        <v>109.161</v>
      </c>
      <c r="AV468" s="133">
        <f t="shared" ref="AV468" si="635">+AV456</f>
        <v>3327.41</v>
      </c>
      <c r="AW468" s="194"/>
      <c r="AX468" s="194"/>
      <c r="AY468" s="194"/>
      <c r="AZ468" s="194"/>
      <c r="BA468" s="194"/>
      <c r="BB468" s="194"/>
      <c r="BC468" s="65">
        <v>0</v>
      </c>
      <c r="BD468" s="65">
        <v>0</v>
      </c>
      <c r="BE468" s="65">
        <v>0</v>
      </c>
      <c r="BF468" s="65">
        <v>0</v>
      </c>
      <c r="BG468" s="65">
        <v>0</v>
      </c>
      <c r="BH468" s="65">
        <v>0</v>
      </c>
      <c r="BI468" s="65">
        <v>1105.9847380503927</v>
      </c>
      <c r="BJ468" s="65">
        <v>0</v>
      </c>
      <c r="BK468" s="65">
        <v>0</v>
      </c>
      <c r="BL468" s="65">
        <v>0</v>
      </c>
      <c r="BM468" s="65">
        <v>0</v>
      </c>
      <c r="BN468" s="65">
        <v>0</v>
      </c>
      <c r="BO468" s="65">
        <v>0</v>
      </c>
      <c r="BP468" s="5"/>
      <c r="BQ468" s="5"/>
      <c r="BR468" s="5"/>
      <c r="BS468" s="63"/>
      <c r="BT468" s="5"/>
      <c r="BU468" s="65">
        <v>275.20020527002384</v>
      </c>
      <c r="BV468" s="144">
        <f t="shared" si="608"/>
        <v>1225.5472591749647</v>
      </c>
      <c r="BW468" s="144">
        <f t="shared" si="609"/>
        <v>2638.9945860491371</v>
      </c>
      <c r="BX468" s="144">
        <f t="shared" si="610"/>
        <v>865.80689815320682</v>
      </c>
      <c r="BY468" s="5"/>
      <c r="BZ468" s="5"/>
      <c r="CA468" s="4"/>
      <c r="CB468" s="5"/>
      <c r="CC468" s="5"/>
      <c r="CD468" s="5"/>
      <c r="CE468" s="5"/>
      <c r="CF468" s="64"/>
      <c r="CG468" s="70"/>
      <c r="CH468" s="70"/>
      <c r="CI468" s="70"/>
      <c r="CJ468" s="63"/>
      <c r="CK468" s="8">
        <f t="shared" si="559"/>
        <v>9548.1046866977249</v>
      </c>
      <c r="CL468" s="202">
        <f t="shared" si="481"/>
        <v>-11575.397005287999</v>
      </c>
      <c r="CM468" s="202">
        <f t="shared" si="482"/>
        <v>-11575.397005287999</v>
      </c>
      <c r="CN468" s="202">
        <f t="shared" si="483"/>
        <v>-11575.397005287999</v>
      </c>
      <c r="CO468" s="9">
        <f t="shared" si="484"/>
        <v>-9919.1647859062414</v>
      </c>
      <c r="CP468" s="9">
        <f t="shared" si="485"/>
        <v>-9919.1647859062414</v>
      </c>
      <c r="CQ468" s="9">
        <f t="shared" si="486"/>
        <v>-9919.1647859062414</v>
      </c>
      <c r="CR468" s="202">
        <f t="shared" si="487"/>
        <v>-11575.397005287999</v>
      </c>
      <c r="CS468" s="202">
        <f t="shared" si="488"/>
        <v>-11575.397005287999</v>
      </c>
      <c r="CT468" s="202">
        <f t="shared" si="489"/>
        <v>-11575.397005287999</v>
      </c>
      <c r="CU468" s="203">
        <f t="shared" si="490"/>
        <v>5.7097819091709576</v>
      </c>
      <c r="CV468" s="203">
        <f t="shared" si="491"/>
        <v>5.7097819091709576</v>
      </c>
      <c r="CW468" s="203">
        <f t="shared" si="492"/>
        <v>5.7097819091709576</v>
      </c>
      <c r="CX468" s="19">
        <f t="shared" si="493"/>
        <v>26.731962846622771</v>
      </c>
      <c r="CY468" s="19">
        <f t="shared" si="494"/>
        <v>26.731962846622771</v>
      </c>
      <c r="CZ468" s="19">
        <f t="shared" si="495"/>
        <v>26.731962846622771</v>
      </c>
      <c r="DA468" s="203">
        <f t="shared" si="496"/>
        <v>5.7097819091709576</v>
      </c>
      <c r="DB468" s="203">
        <f t="shared" si="497"/>
        <v>5.7097819091709576</v>
      </c>
      <c r="DC468" s="203">
        <f t="shared" si="498"/>
        <v>5.7097819091709576</v>
      </c>
      <c r="DD468" s="65"/>
      <c r="DE468" s="66"/>
      <c r="DF468" s="66"/>
      <c r="DG468" s="66"/>
      <c r="DH468" s="66"/>
      <c r="DI468" s="66"/>
      <c r="DJ468" s="66"/>
      <c r="DK468" s="70"/>
      <c r="DL468" s="70"/>
      <c r="DM468" s="8">
        <f t="shared" si="560"/>
        <v>0</v>
      </c>
      <c r="DN468" s="8">
        <f t="shared" si="561"/>
        <v>9548.1046866977249</v>
      </c>
      <c r="DO468" s="202">
        <f t="shared" si="535"/>
        <v>-11575.397005287999</v>
      </c>
      <c r="DP468" s="202">
        <f t="shared" si="536"/>
        <v>-11575.397005287999</v>
      </c>
      <c r="DQ468" s="202">
        <f t="shared" si="537"/>
        <v>-11575.397005287999</v>
      </c>
      <c r="DR468" s="9">
        <f t="shared" si="538"/>
        <v>-9919.1647859062414</v>
      </c>
      <c r="DS468" s="9">
        <f t="shared" si="501"/>
        <v>-9919.1647859062414</v>
      </c>
      <c r="DT468" s="9">
        <f t="shared" si="539"/>
        <v>-9919.1647859062414</v>
      </c>
      <c r="DU468" s="202">
        <f t="shared" si="540"/>
        <v>-11575.397005287999</v>
      </c>
      <c r="DV468" s="202">
        <f t="shared" si="541"/>
        <v>-11575.397005287999</v>
      </c>
      <c r="DW468" s="202">
        <f t="shared" si="542"/>
        <v>-11575.397005287999</v>
      </c>
      <c r="DX468" s="203">
        <f t="shared" si="543"/>
        <v>5.7097819091709576</v>
      </c>
      <c r="DY468" s="203">
        <f t="shared" si="544"/>
        <v>5.7097819091709576</v>
      </c>
      <c r="DZ468" s="203">
        <f t="shared" si="545"/>
        <v>5.7097819091709576</v>
      </c>
      <c r="EA468" s="19">
        <f t="shared" si="546"/>
        <v>26.731962846622771</v>
      </c>
      <c r="EB468" s="19">
        <f t="shared" si="502"/>
        <v>26.731962846622771</v>
      </c>
      <c r="EC468" s="19">
        <f t="shared" si="547"/>
        <v>26.731962846622771</v>
      </c>
      <c r="ED468" s="203">
        <f t="shared" si="548"/>
        <v>5.7097819091709576</v>
      </c>
      <c r="EE468" s="203">
        <f t="shared" si="549"/>
        <v>5.7097819091709576</v>
      </c>
      <c r="EF468" s="203">
        <f t="shared" si="550"/>
        <v>5.7097819091709576</v>
      </c>
      <c r="EH468" s="58">
        <f t="shared" si="596"/>
        <v>8322.5574275227591</v>
      </c>
      <c r="EI468" s="68">
        <f t="shared" si="597"/>
        <v>-22.429135995152897</v>
      </c>
      <c r="EJ468" s="58">
        <f t="shared" si="598"/>
        <v>8322.5574275227591</v>
      </c>
      <c r="EK468" s="68">
        <f t="shared" si="597"/>
        <v>-22.429135995152897</v>
      </c>
      <c r="EL468" s="58">
        <f t="shared" si="599"/>
        <v>4020.1795293695532</v>
      </c>
      <c r="EM468" s="58">
        <f t="shared" si="600"/>
        <v>4885.9864275227601</v>
      </c>
      <c r="EN468" s="68">
        <f t="shared" si="601"/>
        <v>-13.167641678382347</v>
      </c>
      <c r="EO468" s="139">
        <f t="shared" si="464"/>
        <v>0.28868615856523006</v>
      </c>
      <c r="EP468">
        <f>+(SUM(M468:O468)*EO468*(1-'[1]Tier 3 Data'!$A$2))</f>
        <v>1820.1313307195642</v>
      </c>
    </row>
    <row r="469" spans="1:146" x14ac:dyDescent="0.2">
      <c r="A469" s="43">
        <v>0</v>
      </c>
      <c r="B469" s="43">
        <v>0</v>
      </c>
      <c r="C469" s="43">
        <v>0</v>
      </c>
      <c r="D469" s="70">
        <v>2046</v>
      </c>
      <c r="E469" s="70">
        <v>6</v>
      </c>
      <c r="F469" s="2">
        <v>720</v>
      </c>
      <c r="G469" s="133">
        <f t="shared" ref="G469:G532" si="636">+H469</f>
        <v>0</v>
      </c>
      <c r="H469" s="64"/>
      <c r="I469" s="133">
        <f t="shared" ref="I469:I532" si="637">+H469</f>
        <v>0</v>
      </c>
      <c r="J469" s="133">
        <f t="shared" si="576"/>
        <v>0</v>
      </c>
      <c r="K469" s="64"/>
      <c r="L469" s="133">
        <f t="shared" si="577"/>
        <v>0</v>
      </c>
      <c r="M469" s="65">
        <v>1685.1147327511308</v>
      </c>
      <c r="N469" s="65">
        <v>3628.5901039798232</v>
      </c>
      <c r="O469" s="70">
        <v>1190.5939125772754</v>
      </c>
      <c r="P469" s="200">
        <f t="shared" si="568"/>
        <v>-1951.2896247924689</v>
      </c>
      <c r="Q469" s="200">
        <f t="shared" si="569"/>
        <v>-1951.2896247924689</v>
      </c>
      <c r="R469" s="200">
        <f t="shared" si="570"/>
        <v>-1951.2896247924689</v>
      </c>
      <c r="S469" s="133">
        <f t="shared" ref="S469:S532" si="638">+$H469-J469-(30%*SUM($O469:$O469))</f>
        <v>-357.17817377318261</v>
      </c>
      <c r="T469" s="133">
        <f t="shared" ref="T469:T532" si="639">+$H469-K469-(30%*SUM($O469:$O469))</f>
        <v>-357.17817377318261</v>
      </c>
      <c r="U469" s="133">
        <f t="shared" ref="U469:U532" si="640">+$H469-L469-(30%*SUM($O469:$O469))</f>
        <v>-357.17817377318261</v>
      </c>
      <c r="V469" s="200">
        <f t="shared" si="571"/>
        <v>-1951.2896247924689</v>
      </c>
      <c r="W469" s="200">
        <f t="shared" si="572"/>
        <v>-1951.2896247924689</v>
      </c>
      <c r="X469" s="200">
        <f t="shared" si="573"/>
        <v>-1951.2896247924689</v>
      </c>
      <c r="Y469" s="58">
        <f t="shared" si="624"/>
        <v>0</v>
      </c>
      <c r="AA469" s="58">
        <f t="shared" si="625"/>
        <v>0</v>
      </c>
      <c r="AB469" s="200">
        <f t="shared" si="611"/>
        <v>-1951.2896247924689</v>
      </c>
      <c r="AC469" s="200">
        <f t="shared" si="612"/>
        <v>-1951.2896247924689</v>
      </c>
      <c r="AD469" s="200">
        <f t="shared" si="613"/>
        <v>-1951.2896247924689</v>
      </c>
      <c r="AE469" s="199">
        <f t="shared" si="517"/>
        <v>-357.17817377318261</v>
      </c>
      <c r="AF469" s="199">
        <f t="shared" si="614"/>
        <v>-357.17817377318261</v>
      </c>
      <c r="AG469" s="199">
        <f t="shared" si="518"/>
        <v>-357.17817377318261</v>
      </c>
      <c r="AH469" s="199">
        <f t="shared" ref="AH469:AH532" si="641">+(MIN(AE469:AG469)+MAX(AE469:AG469))/2</f>
        <v>-357.17817377318261</v>
      </c>
      <c r="AI469" s="200">
        <f t="shared" si="615"/>
        <v>-1951.2896247924689</v>
      </c>
      <c r="AJ469" s="200">
        <f t="shared" si="616"/>
        <v>-1951.2896247924689</v>
      </c>
      <c r="AK469" s="200">
        <f t="shared" si="617"/>
        <v>-1951.2896247924689</v>
      </c>
      <c r="AL469" s="4"/>
      <c r="AM469" s="4"/>
      <c r="AN469" s="4"/>
      <c r="AO469" s="4"/>
      <c r="AP469" s="63"/>
      <c r="AQ469" s="18"/>
      <c r="AR469" s="18"/>
      <c r="AS469" s="18"/>
      <c r="AT469" s="18">
        <v>0</v>
      </c>
      <c r="AU469" s="133">
        <f t="shared" ref="AU469" si="642">+AU457</f>
        <v>128.934</v>
      </c>
      <c r="AV469" s="133">
        <f t="shared" ref="AV469" si="643">+AV457</f>
        <v>3110.2840000000001</v>
      </c>
      <c r="AW469" s="194"/>
      <c r="AX469" s="194"/>
      <c r="AY469" s="194"/>
      <c r="AZ469" s="194"/>
      <c r="BA469" s="194"/>
      <c r="BB469" s="194"/>
      <c r="BC469" s="65">
        <v>0</v>
      </c>
      <c r="BD469" s="65">
        <v>0</v>
      </c>
      <c r="BE469" s="65">
        <v>0</v>
      </c>
      <c r="BF469" s="65">
        <v>0</v>
      </c>
      <c r="BG469" s="65">
        <v>0</v>
      </c>
      <c r="BH469" s="65">
        <v>0</v>
      </c>
      <c r="BI469" s="65">
        <v>1175.4508772786985</v>
      </c>
      <c r="BJ469" s="65">
        <v>0</v>
      </c>
      <c r="BK469" s="65">
        <v>0</v>
      </c>
      <c r="BL469" s="65">
        <v>0</v>
      </c>
      <c r="BM469" s="65">
        <v>0</v>
      </c>
      <c r="BN469" s="65">
        <v>0</v>
      </c>
      <c r="BO469" s="65">
        <v>0</v>
      </c>
      <c r="BP469" s="5"/>
      <c r="BQ469" s="5"/>
      <c r="BR469" s="5"/>
      <c r="BS469" s="63"/>
      <c r="BT469" s="5"/>
      <c r="BU469" s="65">
        <v>268.00418559564235</v>
      </c>
      <c r="BV469" s="144">
        <f t="shared" si="608"/>
        <v>1179.5803129257915</v>
      </c>
      <c r="BW469" s="144">
        <f t="shared" si="609"/>
        <v>2540.0130727858759</v>
      </c>
      <c r="BX469" s="144">
        <f t="shared" si="610"/>
        <v>833.41573880409271</v>
      </c>
      <c r="BY469" s="5"/>
      <c r="BZ469" s="5"/>
      <c r="CA469" s="4"/>
      <c r="CB469" s="5"/>
      <c r="CC469" s="5"/>
      <c r="CD469" s="5"/>
      <c r="CE469" s="5"/>
      <c r="CF469" s="64"/>
      <c r="CG469" s="70"/>
      <c r="CH469" s="70"/>
      <c r="CI469" s="70"/>
      <c r="CJ469" s="63"/>
      <c r="CK469" s="8">
        <f t="shared" si="559"/>
        <v>9235.6821873901008</v>
      </c>
      <c r="CL469" s="202">
        <f t="shared" si="481"/>
        <v>-11186.97181218257</v>
      </c>
      <c r="CM469" s="202">
        <f t="shared" si="482"/>
        <v>-11186.97181218257</v>
      </c>
      <c r="CN469" s="202">
        <f t="shared" si="483"/>
        <v>-11186.97181218257</v>
      </c>
      <c r="CO469" s="9">
        <f t="shared" si="484"/>
        <v>-9592.8603611632825</v>
      </c>
      <c r="CP469" s="9">
        <f t="shared" si="485"/>
        <v>-9592.8603611632825</v>
      </c>
      <c r="CQ469" s="9">
        <f t="shared" si="486"/>
        <v>-9592.8603611632825</v>
      </c>
      <c r="CR469" s="202">
        <f t="shared" si="487"/>
        <v>-11186.97181218257</v>
      </c>
      <c r="CS469" s="202">
        <f t="shared" si="488"/>
        <v>-11186.97181218257</v>
      </c>
      <c r="CT469" s="202">
        <f t="shared" si="489"/>
        <v>-11186.97181218257</v>
      </c>
      <c r="CU469" s="203">
        <f t="shared" si="490"/>
        <v>5.7331170473334376</v>
      </c>
      <c r="CV469" s="203">
        <f t="shared" si="491"/>
        <v>5.7331170473334376</v>
      </c>
      <c r="CW469" s="203">
        <f t="shared" si="492"/>
        <v>5.7331170473334376</v>
      </c>
      <c r="CX469" s="19">
        <f t="shared" si="493"/>
        <v>26.857353179858624</v>
      </c>
      <c r="CY469" s="19">
        <f t="shared" si="494"/>
        <v>26.857353179858624</v>
      </c>
      <c r="CZ469" s="19">
        <f t="shared" si="495"/>
        <v>26.857353179858624</v>
      </c>
      <c r="DA469" s="203">
        <f t="shared" si="496"/>
        <v>5.7331170473334376</v>
      </c>
      <c r="DB469" s="203">
        <f t="shared" si="497"/>
        <v>5.7331170473334376</v>
      </c>
      <c r="DC469" s="203">
        <f t="shared" si="498"/>
        <v>5.7331170473334376</v>
      </c>
      <c r="DD469" s="65"/>
      <c r="DE469" s="66"/>
      <c r="DF469" s="66"/>
      <c r="DG469" s="66"/>
      <c r="DH469" s="66"/>
      <c r="DI469" s="66"/>
      <c r="DJ469" s="66"/>
      <c r="DK469" s="70"/>
      <c r="DL469" s="70"/>
      <c r="DM469" s="8">
        <f t="shared" si="560"/>
        <v>0</v>
      </c>
      <c r="DN469" s="8">
        <f t="shared" si="561"/>
        <v>9235.6821873901008</v>
      </c>
      <c r="DO469" s="202">
        <f t="shared" si="535"/>
        <v>-11186.97181218257</v>
      </c>
      <c r="DP469" s="202">
        <f t="shared" si="536"/>
        <v>-11186.97181218257</v>
      </c>
      <c r="DQ469" s="202">
        <f t="shared" si="537"/>
        <v>-11186.97181218257</v>
      </c>
      <c r="DR469" s="9">
        <f t="shared" si="538"/>
        <v>-9592.8603611632825</v>
      </c>
      <c r="DS469" s="9">
        <f t="shared" si="501"/>
        <v>-9592.8603611632825</v>
      </c>
      <c r="DT469" s="9">
        <f t="shared" si="539"/>
        <v>-9592.8603611632825</v>
      </c>
      <c r="DU469" s="202">
        <f t="shared" si="540"/>
        <v>-11186.97181218257</v>
      </c>
      <c r="DV469" s="202">
        <f t="shared" si="541"/>
        <v>-11186.97181218257</v>
      </c>
      <c r="DW469" s="202">
        <f t="shared" si="542"/>
        <v>-11186.97181218257</v>
      </c>
      <c r="DX469" s="203">
        <f t="shared" si="543"/>
        <v>5.7331170473334376</v>
      </c>
      <c r="DY469" s="203">
        <f t="shared" si="544"/>
        <v>5.7331170473334376</v>
      </c>
      <c r="DZ469" s="203">
        <f t="shared" si="545"/>
        <v>5.7331170473334376</v>
      </c>
      <c r="EA469" s="19">
        <f t="shared" si="546"/>
        <v>26.857353179858624</v>
      </c>
      <c r="EB469" s="19">
        <f t="shared" si="502"/>
        <v>26.857353179858624</v>
      </c>
      <c r="EC469" s="19">
        <f t="shared" si="547"/>
        <v>26.857353179858624</v>
      </c>
      <c r="ED469" s="203">
        <f t="shared" si="548"/>
        <v>5.7331170473334376</v>
      </c>
      <c r="EE469" s="203">
        <f t="shared" si="549"/>
        <v>5.7331170473334376</v>
      </c>
      <c r="EF469" s="203">
        <f t="shared" si="550"/>
        <v>5.7331170473334376</v>
      </c>
      <c r="EH469" s="58">
        <f t="shared" si="596"/>
        <v>8056.1018744643097</v>
      </c>
      <c r="EI469" s="68">
        <f t="shared" si="597"/>
        <v>-22.55485487637927</v>
      </c>
      <c r="EJ469" s="58">
        <f t="shared" si="598"/>
        <v>8056.1018744643097</v>
      </c>
      <c r="EK469" s="68">
        <f t="shared" si="597"/>
        <v>-22.55485487637927</v>
      </c>
      <c r="EL469" s="58">
        <f t="shared" si="599"/>
        <v>3983.4681356602173</v>
      </c>
      <c r="EM469" s="58">
        <f t="shared" si="600"/>
        <v>4816.8838744643099</v>
      </c>
      <c r="EN469" s="68">
        <f t="shared" si="601"/>
        <v>-13.485941270093273</v>
      </c>
      <c r="EO469" s="139">
        <f t="shared" si="464"/>
        <v>0.24029016665052916</v>
      </c>
      <c r="EP469">
        <f>+(SUM(M469:O469)*EO469*(1-'[1]Tier 3 Data'!$A$2))</f>
        <v>1458.2034553782241</v>
      </c>
    </row>
    <row r="470" spans="1:146" x14ac:dyDescent="0.2">
      <c r="A470" s="43">
        <v>0</v>
      </c>
      <c r="B470" s="43">
        <v>0</v>
      </c>
      <c r="C470" s="43">
        <v>0</v>
      </c>
      <c r="D470" s="70">
        <v>2046</v>
      </c>
      <c r="E470" s="70">
        <v>7</v>
      </c>
      <c r="F470" s="2">
        <v>744</v>
      </c>
      <c r="G470" s="133">
        <f t="shared" si="636"/>
        <v>0</v>
      </c>
      <c r="H470" s="64"/>
      <c r="I470" s="133">
        <f t="shared" si="637"/>
        <v>0</v>
      </c>
      <c r="J470" s="133">
        <f t="shared" si="576"/>
        <v>0</v>
      </c>
      <c r="K470" s="64"/>
      <c r="L470" s="133">
        <f t="shared" si="577"/>
        <v>0</v>
      </c>
      <c r="M470" s="65">
        <v>1709.2251160000674</v>
      </c>
      <c r="N470" s="65">
        <v>3680.5074579497937</v>
      </c>
      <c r="O470" s="70">
        <v>1207.7418993379595</v>
      </c>
      <c r="P470" s="200">
        <f t="shared" si="568"/>
        <v>-1979.2423419863462</v>
      </c>
      <c r="Q470" s="200">
        <f t="shared" si="569"/>
        <v>-1979.2423419863462</v>
      </c>
      <c r="R470" s="200">
        <f t="shared" si="570"/>
        <v>-1979.2423419863462</v>
      </c>
      <c r="S470" s="133">
        <f t="shared" si="638"/>
        <v>-362.32256980138783</v>
      </c>
      <c r="T470" s="133">
        <f t="shared" si="639"/>
        <v>-362.32256980138783</v>
      </c>
      <c r="U470" s="133">
        <f t="shared" si="640"/>
        <v>-362.32256980138783</v>
      </c>
      <c r="V470" s="200">
        <f t="shared" si="571"/>
        <v>-1979.2423419863462</v>
      </c>
      <c r="W470" s="200">
        <f t="shared" si="572"/>
        <v>-1979.2423419863462</v>
      </c>
      <c r="X470" s="200">
        <f t="shared" si="573"/>
        <v>-1979.2423419863462</v>
      </c>
      <c r="Y470" s="58">
        <f t="shared" si="624"/>
        <v>0</v>
      </c>
      <c r="AA470" s="58">
        <f t="shared" si="625"/>
        <v>0</v>
      </c>
      <c r="AB470" s="200">
        <f t="shared" si="611"/>
        <v>-1979.2423419863462</v>
      </c>
      <c r="AC470" s="200">
        <f t="shared" si="612"/>
        <v>-1979.2423419863462</v>
      </c>
      <c r="AD470" s="200">
        <f t="shared" si="613"/>
        <v>-1979.2423419863462</v>
      </c>
      <c r="AE470" s="199">
        <f t="shared" si="517"/>
        <v>-362.32256980138783</v>
      </c>
      <c r="AF470" s="199">
        <f t="shared" si="614"/>
        <v>-362.32256980138783</v>
      </c>
      <c r="AG470" s="199">
        <f t="shared" si="518"/>
        <v>-362.32256980138783</v>
      </c>
      <c r="AH470" s="199">
        <f t="shared" si="641"/>
        <v>-362.32256980138783</v>
      </c>
      <c r="AI470" s="200">
        <f t="shared" si="615"/>
        <v>-1979.2423419863462</v>
      </c>
      <c r="AJ470" s="200">
        <f t="shared" si="616"/>
        <v>-1979.2423419863462</v>
      </c>
      <c r="AK470" s="200">
        <f t="shared" si="617"/>
        <v>-1979.2423419863462</v>
      </c>
      <c r="AL470" s="4"/>
      <c r="AM470" s="4"/>
      <c r="AN470" s="4"/>
      <c r="AO470" s="4"/>
      <c r="AP470" s="63"/>
      <c r="AQ470" s="18"/>
      <c r="AR470" s="18"/>
      <c r="AS470" s="18"/>
      <c r="AT470" s="18">
        <v>0</v>
      </c>
      <c r="AU470" s="133">
        <f t="shared" ref="AU470" si="644">+AU458</f>
        <v>118.521</v>
      </c>
      <c r="AV470" s="133">
        <f t="shared" ref="AV470" si="645">+AV458</f>
        <v>3084.53</v>
      </c>
      <c r="AW470" s="194"/>
      <c r="AX470" s="194"/>
      <c r="AY470" s="194"/>
      <c r="AZ470" s="194"/>
      <c r="BA470" s="194"/>
      <c r="BB470" s="194"/>
      <c r="BC470" s="65">
        <v>0</v>
      </c>
      <c r="BD470" s="65">
        <v>0</v>
      </c>
      <c r="BE470" s="65">
        <v>0</v>
      </c>
      <c r="BF470" s="65">
        <v>0</v>
      </c>
      <c r="BG470" s="65">
        <v>0</v>
      </c>
      <c r="BH470" s="65">
        <v>0</v>
      </c>
      <c r="BI470" s="65">
        <v>1097.0230284125523</v>
      </c>
      <c r="BJ470" s="65">
        <v>0</v>
      </c>
      <c r="BK470" s="65">
        <v>0</v>
      </c>
      <c r="BL470" s="65">
        <v>0</v>
      </c>
      <c r="BM470" s="65">
        <v>0</v>
      </c>
      <c r="BN470" s="65">
        <v>0</v>
      </c>
      <c r="BO470" s="65">
        <v>0</v>
      </c>
      <c r="BP470" s="5"/>
      <c r="BQ470" s="5"/>
      <c r="BR470" s="5"/>
      <c r="BS470" s="63"/>
      <c r="BT470" s="5"/>
      <c r="BU470" s="65">
        <v>275.55274796247505</v>
      </c>
      <c r="BV470" s="144">
        <f t="shared" si="608"/>
        <v>1196.4575812000471</v>
      </c>
      <c r="BW470" s="144">
        <f t="shared" si="609"/>
        <v>2576.3552205648552</v>
      </c>
      <c r="BX470" s="144">
        <f t="shared" si="610"/>
        <v>845.41932953657158</v>
      </c>
      <c r="BY470" s="5"/>
      <c r="BZ470" s="5"/>
      <c r="CA470" s="4"/>
      <c r="CB470" s="5"/>
      <c r="CC470" s="5"/>
      <c r="CD470" s="5"/>
      <c r="CE470" s="5"/>
      <c r="CF470" s="64"/>
      <c r="CG470" s="70"/>
      <c r="CH470" s="70"/>
      <c r="CI470" s="70"/>
      <c r="CJ470" s="63"/>
      <c r="CK470" s="8">
        <f t="shared" si="559"/>
        <v>9193.858907676502</v>
      </c>
      <c r="CL470" s="202">
        <f t="shared" si="481"/>
        <v>-11173.101249662848</v>
      </c>
      <c r="CM470" s="202">
        <f t="shared" si="482"/>
        <v>-11173.101249662848</v>
      </c>
      <c r="CN470" s="202">
        <f t="shared" si="483"/>
        <v>-11173.101249662848</v>
      </c>
      <c r="CO470" s="9">
        <f t="shared" si="484"/>
        <v>-9556.1814774778904</v>
      </c>
      <c r="CP470" s="9">
        <f t="shared" si="485"/>
        <v>-9556.1814774778904</v>
      </c>
      <c r="CQ470" s="9">
        <f t="shared" si="486"/>
        <v>-9556.1814774778904</v>
      </c>
      <c r="CR470" s="202">
        <f t="shared" si="487"/>
        <v>-11173.101249662848</v>
      </c>
      <c r="CS470" s="202">
        <f t="shared" si="488"/>
        <v>-11173.101249662848</v>
      </c>
      <c r="CT470" s="202">
        <f t="shared" si="489"/>
        <v>-11173.101249662848</v>
      </c>
      <c r="CU470" s="203">
        <f t="shared" si="490"/>
        <v>5.6451405735639453</v>
      </c>
      <c r="CV470" s="203">
        <f t="shared" si="491"/>
        <v>5.6451405735639453</v>
      </c>
      <c r="CW470" s="203">
        <f t="shared" si="492"/>
        <v>5.6451405735639453</v>
      </c>
      <c r="CX470" s="19">
        <f t="shared" si="493"/>
        <v>26.374789411314467</v>
      </c>
      <c r="CY470" s="19">
        <f t="shared" si="494"/>
        <v>26.374789411314467</v>
      </c>
      <c r="CZ470" s="19">
        <f t="shared" si="495"/>
        <v>26.374789411314467</v>
      </c>
      <c r="DA470" s="203">
        <f t="shared" si="496"/>
        <v>5.6451405735639453</v>
      </c>
      <c r="DB470" s="203">
        <f t="shared" si="497"/>
        <v>5.6451405735639453</v>
      </c>
      <c r="DC470" s="203">
        <f t="shared" si="498"/>
        <v>5.6451405735639453</v>
      </c>
      <c r="DD470" s="65"/>
      <c r="DE470" s="66"/>
      <c r="DF470" s="66"/>
      <c r="DG470" s="66"/>
      <c r="DH470" s="66"/>
      <c r="DI470" s="66"/>
      <c r="DJ470" s="66"/>
      <c r="DK470" s="70"/>
      <c r="DL470" s="70"/>
      <c r="DM470" s="8">
        <f t="shared" si="560"/>
        <v>0</v>
      </c>
      <c r="DN470" s="8">
        <f t="shared" si="561"/>
        <v>9193.858907676502</v>
      </c>
      <c r="DO470" s="202">
        <f t="shared" si="535"/>
        <v>-11173.101249662848</v>
      </c>
      <c r="DP470" s="202">
        <f t="shared" si="536"/>
        <v>-11173.101249662848</v>
      </c>
      <c r="DQ470" s="202">
        <f t="shared" si="537"/>
        <v>-11173.101249662848</v>
      </c>
      <c r="DR470" s="9">
        <f t="shared" si="538"/>
        <v>-9556.1814774778904</v>
      </c>
      <c r="DS470" s="9">
        <f t="shared" si="501"/>
        <v>-9556.1814774778904</v>
      </c>
      <c r="DT470" s="9">
        <f t="shared" si="539"/>
        <v>-9556.1814774778904</v>
      </c>
      <c r="DU470" s="202">
        <f t="shared" si="540"/>
        <v>-11173.101249662848</v>
      </c>
      <c r="DV470" s="202">
        <f t="shared" si="541"/>
        <v>-11173.101249662848</v>
      </c>
      <c r="DW470" s="202">
        <f t="shared" si="542"/>
        <v>-11173.101249662848</v>
      </c>
      <c r="DX470" s="203">
        <f t="shared" si="543"/>
        <v>5.6451405735639453</v>
      </c>
      <c r="DY470" s="203">
        <f t="shared" si="544"/>
        <v>5.6451405735639453</v>
      </c>
      <c r="DZ470" s="203">
        <f t="shared" si="545"/>
        <v>5.6451405735639453</v>
      </c>
      <c r="EA470" s="19">
        <f t="shared" si="546"/>
        <v>26.374789411314467</v>
      </c>
      <c r="EB470" s="19">
        <f t="shared" si="502"/>
        <v>26.374789411314467</v>
      </c>
      <c r="EC470" s="19">
        <f t="shared" si="547"/>
        <v>26.374789411314467</v>
      </c>
      <c r="ED470" s="203">
        <f t="shared" si="548"/>
        <v>5.6451405735639453</v>
      </c>
      <c r="EE470" s="203">
        <f t="shared" si="549"/>
        <v>5.6451405735639453</v>
      </c>
      <c r="EF470" s="203">
        <f t="shared" si="550"/>
        <v>5.6451405735639453</v>
      </c>
      <c r="EH470" s="58">
        <f t="shared" si="596"/>
        <v>7997.4013264764544</v>
      </c>
      <c r="EI470" s="68">
        <f t="shared" si="597"/>
        <v>-22.072600475483327</v>
      </c>
      <c r="EJ470" s="58">
        <f t="shared" si="598"/>
        <v>7997.4013264764544</v>
      </c>
      <c r="EK470" s="68">
        <f t="shared" si="597"/>
        <v>-22.072600475483327</v>
      </c>
      <c r="EL470" s="58">
        <f t="shared" si="599"/>
        <v>3948.9309969398823</v>
      </c>
      <c r="EM470" s="58">
        <f t="shared" si="600"/>
        <v>4794.350326476454</v>
      </c>
      <c r="EN470" s="68">
        <f t="shared" si="601"/>
        <v>-13.232270705919712</v>
      </c>
      <c r="EO470" s="139">
        <f t="shared" si="464"/>
        <v>0.25197746931178833</v>
      </c>
      <c r="EP470">
        <f>+(SUM(M470:O470)*EO470*(1-'[1]Tier 3 Data'!$A$2))</f>
        <v>1551.0331218791002</v>
      </c>
    </row>
    <row r="471" spans="1:146" x14ac:dyDescent="0.2">
      <c r="A471" s="43">
        <v>0</v>
      </c>
      <c r="B471" s="43">
        <v>0</v>
      </c>
      <c r="C471" s="43">
        <v>0</v>
      </c>
      <c r="D471" s="70">
        <v>2046</v>
      </c>
      <c r="E471" s="70">
        <v>8</v>
      </c>
      <c r="F471" s="2">
        <v>744</v>
      </c>
      <c r="G471" s="133">
        <f t="shared" si="636"/>
        <v>0</v>
      </c>
      <c r="H471" s="64"/>
      <c r="I471" s="133">
        <f t="shared" si="637"/>
        <v>0</v>
      </c>
      <c r="J471" s="133">
        <f t="shared" si="576"/>
        <v>0</v>
      </c>
      <c r="K471" s="64"/>
      <c r="L471" s="133">
        <f t="shared" si="577"/>
        <v>0</v>
      </c>
      <c r="M471" s="65">
        <v>1523.4196774399222</v>
      </c>
      <c r="N471" s="65">
        <v>3280.4090180505418</v>
      </c>
      <c r="O471" s="70">
        <v>1098.0832197238758</v>
      </c>
      <c r="P471" s="200">
        <f t="shared" si="568"/>
        <v>-1770.5735745643021</v>
      </c>
      <c r="Q471" s="200">
        <f t="shared" si="569"/>
        <v>-1770.5735745643021</v>
      </c>
      <c r="R471" s="200">
        <f t="shared" si="570"/>
        <v>-1770.5735745643021</v>
      </c>
      <c r="S471" s="133">
        <f t="shared" si="638"/>
        <v>-329.42496591716275</v>
      </c>
      <c r="T471" s="133">
        <f t="shared" si="639"/>
        <v>-329.42496591716275</v>
      </c>
      <c r="U471" s="133">
        <f t="shared" si="640"/>
        <v>-329.42496591716275</v>
      </c>
      <c r="V471" s="200">
        <f t="shared" si="571"/>
        <v>-1770.5735745643021</v>
      </c>
      <c r="W471" s="200">
        <f t="shared" si="572"/>
        <v>-1770.5735745643021</v>
      </c>
      <c r="X471" s="200">
        <f t="shared" si="573"/>
        <v>-1770.5735745643021</v>
      </c>
      <c r="Y471" s="58">
        <f t="shared" si="624"/>
        <v>0</v>
      </c>
      <c r="AA471" s="58">
        <f t="shared" si="625"/>
        <v>0</v>
      </c>
      <c r="AB471" s="200">
        <f t="shared" si="611"/>
        <v>-1770.5735745643021</v>
      </c>
      <c r="AC471" s="200">
        <f t="shared" si="612"/>
        <v>-1770.5735745643021</v>
      </c>
      <c r="AD471" s="200">
        <f t="shared" si="613"/>
        <v>-1770.5735745643021</v>
      </c>
      <c r="AE471" s="199">
        <f t="shared" si="517"/>
        <v>-329.42496591716275</v>
      </c>
      <c r="AF471" s="199">
        <f t="shared" si="614"/>
        <v>-329.42496591716275</v>
      </c>
      <c r="AG471" s="199">
        <f t="shared" si="518"/>
        <v>-329.42496591716275</v>
      </c>
      <c r="AH471" s="199">
        <f t="shared" si="641"/>
        <v>-329.42496591716275</v>
      </c>
      <c r="AI471" s="200">
        <f t="shared" si="615"/>
        <v>-1770.5735745643021</v>
      </c>
      <c r="AJ471" s="200">
        <f t="shared" si="616"/>
        <v>-1770.5735745643021</v>
      </c>
      <c r="AK471" s="200">
        <f t="shared" si="617"/>
        <v>-1770.5735745643021</v>
      </c>
      <c r="AL471" s="4"/>
      <c r="AM471" s="4"/>
      <c r="AN471" s="4"/>
      <c r="AO471" s="4"/>
      <c r="AP471" s="63"/>
      <c r="AQ471" s="18"/>
      <c r="AR471" s="18"/>
      <c r="AS471" s="18"/>
      <c r="AT471" s="18">
        <v>0</v>
      </c>
      <c r="AU471" s="133">
        <f t="shared" ref="AU471" si="646">+AU459</f>
        <v>107.64</v>
      </c>
      <c r="AV471" s="133">
        <f t="shared" ref="AV471" si="647">+AV459</f>
        <v>3021.9279999999999</v>
      </c>
      <c r="AW471" s="194"/>
      <c r="AX471" s="194"/>
      <c r="AY471" s="194"/>
      <c r="AZ471" s="194"/>
      <c r="BA471" s="194"/>
      <c r="BB471" s="194"/>
      <c r="BC471" s="65">
        <v>0</v>
      </c>
      <c r="BD471" s="65">
        <v>0</v>
      </c>
      <c r="BE471" s="65">
        <v>0</v>
      </c>
      <c r="BF471" s="65">
        <v>0</v>
      </c>
      <c r="BG471" s="65">
        <v>0</v>
      </c>
      <c r="BH471" s="65">
        <v>0</v>
      </c>
      <c r="BI471" s="65">
        <v>1063.8654533211243</v>
      </c>
      <c r="BJ471" s="65">
        <v>0</v>
      </c>
      <c r="BK471" s="65">
        <v>0</v>
      </c>
      <c r="BL471" s="65">
        <v>0</v>
      </c>
      <c r="BM471" s="65">
        <v>0</v>
      </c>
      <c r="BN471" s="65">
        <v>0</v>
      </c>
      <c r="BO471" s="65">
        <v>0</v>
      </c>
      <c r="BP471" s="5"/>
      <c r="BQ471" s="5"/>
      <c r="BR471" s="5"/>
      <c r="BS471" s="63"/>
      <c r="BT471" s="5"/>
      <c r="BU471" s="65">
        <v>256.39688976539469</v>
      </c>
      <c r="BV471" s="144">
        <f t="shared" si="608"/>
        <v>1066.3937742079454</v>
      </c>
      <c r="BW471" s="144">
        <f t="shared" si="609"/>
        <v>2296.2863126353791</v>
      </c>
      <c r="BX471" s="144">
        <f t="shared" si="610"/>
        <v>768.65825380671299</v>
      </c>
      <c r="BY471" s="5"/>
      <c r="BZ471" s="5"/>
      <c r="CA471" s="4"/>
      <c r="CB471" s="5"/>
      <c r="CC471" s="5"/>
      <c r="CD471" s="5"/>
      <c r="CE471" s="5"/>
      <c r="CF471" s="64"/>
      <c r="CG471" s="70"/>
      <c r="CH471" s="70"/>
      <c r="CI471" s="70"/>
      <c r="CJ471" s="63"/>
      <c r="CK471" s="8">
        <f t="shared" si="559"/>
        <v>8581.168683736556</v>
      </c>
      <c r="CL471" s="202">
        <f t="shared" si="481"/>
        <v>-10351.742258300857</v>
      </c>
      <c r="CM471" s="202">
        <f t="shared" si="482"/>
        <v>-10351.742258300857</v>
      </c>
      <c r="CN471" s="202">
        <f t="shared" si="483"/>
        <v>-10351.742258300857</v>
      </c>
      <c r="CO471" s="9">
        <f t="shared" si="484"/>
        <v>-8910.5936496537179</v>
      </c>
      <c r="CP471" s="9">
        <f t="shared" si="485"/>
        <v>-8910.5936496537179</v>
      </c>
      <c r="CQ471" s="9">
        <f t="shared" si="486"/>
        <v>-8910.5936496537179</v>
      </c>
      <c r="CR471" s="202">
        <f t="shared" si="487"/>
        <v>-10351.742258300857</v>
      </c>
      <c r="CS471" s="202">
        <f t="shared" si="488"/>
        <v>-10351.742258300857</v>
      </c>
      <c r="CT471" s="202">
        <f t="shared" si="489"/>
        <v>-10351.742258300857</v>
      </c>
      <c r="CU471" s="203">
        <f t="shared" si="490"/>
        <v>5.8465473601390361</v>
      </c>
      <c r="CV471" s="203">
        <f t="shared" si="491"/>
        <v>5.8465473601390361</v>
      </c>
      <c r="CW471" s="203">
        <f t="shared" si="492"/>
        <v>5.8465473601390361</v>
      </c>
      <c r="CX471" s="19">
        <f t="shared" si="493"/>
        <v>27.048932447622615</v>
      </c>
      <c r="CY471" s="19">
        <f t="shared" si="494"/>
        <v>27.048932447622615</v>
      </c>
      <c r="CZ471" s="19">
        <f t="shared" si="495"/>
        <v>27.048932447622615</v>
      </c>
      <c r="DA471" s="203">
        <f t="shared" si="496"/>
        <v>5.8465473601390361</v>
      </c>
      <c r="DB471" s="203">
        <f t="shared" si="497"/>
        <v>5.8465473601390361</v>
      </c>
      <c r="DC471" s="203">
        <f t="shared" si="498"/>
        <v>5.8465473601390361</v>
      </c>
      <c r="DD471" s="65"/>
      <c r="DE471" s="66"/>
      <c r="DF471" s="66"/>
      <c r="DG471" s="66"/>
      <c r="DH471" s="66"/>
      <c r="DI471" s="66"/>
      <c r="DJ471" s="66"/>
      <c r="DK471" s="70"/>
      <c r="DL471" s="70"/>
      <c r="DM471" s="8">
        <f t="shared" si="560"/>
        <v>0</v>
      </c>
      <c r="DN471" s="8">
        <f t="shared" si="561"/>
        <v>8581.168683736556</v>
      </c>
      <c r="DO471" s="202">
        <f t="shared" si="535"/>
        <v>-10351.742258300857</v>
      </c>
      <c r="DP471" s="202">
        <f t="shared" si="536"/>
        <v>-10351.742258300857</v>
      </c>
      <c r="DQ471" s="202">
        <f t="shared" si="537"/>
        <v>-10351.742258300857</v>
      </c>
      <c r="DR471" s="9">
        <f t="shared" si="538"/>
        <v>-8910.5936496537179</v>
      </c>
      <c r="DS471" s="9">
        <f t="shared" si="501"/>
        <v>-8910.5936496537179</v>
      </c>
      <c r="DT471" s="9">
        <f t="shared" si="539"/>
        <v>-8910.5936496537179</v>
      </c>
      <c r="DU471" s="202">
        <f t="shared" si="540"/>
        <v>-10351.742258300857</v>
      </c>
      <c r="DV471" s="202">
        <f t="shared" si="541"/>
        <v>-10351.742258300857</v>
      </c>
      <c r="DW471" s="202">
        <f t="shared" si="542"/>
        <v>-10351.742258300857</v>
      </c>
      <c r="DX471" s="203">
        <f t="shared" si="543"/>
        <v>5.8465473601390361</v>
      </c>
      <c r="DY471" s="203">
        <f t="shared" si="544"/>
        <v>5.8465473601390361</v>
      </c>
      <c r="DZ471" s="203">
        <f t="shared" si="545"/>
        <v>5.8465473601390361</v>
      </c>
      <c r="EA471" s="19">
        <f t="shared" si="546"/>
        <v>27.048932447622615</v>
      </c>
      <c r="EB471" s="19">
        <f t="shared" si="502"/>
        <v>27.048932447622615</v>
      </c>
      <c r="EC471" s="19">
        <f t="shared" si="547"/>
        <v>27.048932447622615</v>
      </c>
      <c r="ED471" s="203">
        <f t="shared" si="548"/>
        <v>5.8465473601390361</v>
      </c>
      <c r="EE471" s="203">
        <f t="shared" si="549"/>
        <v>5.8465473601390361</v>
      </c>
      <c r="EF471" s="203">
        <f t="shared" si="550"/>
        <v>5.8465473601390361</v>
      </c>
      <c r="EH471" s="58">
        <f t="shared" si="596"/>
        <v>7514.7749095286117</v>
      </c>
      <c r="EI471" s="68">
        <f t="shared" si="597"/>
        <v>-22.811795361673585</v>
      </c>
      <c r="EJ471" s="58">
        <f t="shared" si="598"/>
        <v>7514.7749095286117</v>
      </c>
      <c r="EK471" s="68">
        <f t="shared" si="597"/>
        <v>-22.811795361673585</v>
      </c>
      <c r="EL471" s="58">
        <f t="shared" si="599"/>
        <v>3616.5486557218983</v>
      </c>
      <c r="EM471" s="58">
        <f t="shared" si="600"/>
        <v>4385.2069095286115</v>
      </c>
      <c r="EN471" s="68">
        <f t="shared" si="601"/>
        <v>-13.311701793212954</v>
      </c>
      <c r="EO471" s="139">
        <f t="shared" si="464"/>
        <v>0.28519905910129462</v>
      </c>
      <c r="EP471">
        <f>+(SUM(M471:O471)*EO471*(1-'[1]Tier 3 Data'!$A$2))</f>
        <v>1570.4440035349537</v>
      </c>
    </row>
    <row r="472" spans="1:146" x14ac:dyDescent="0.2">
      <c r="A472" s="43">
        <v>0</v>
      </c>
      <c r="B472" s="43">
        <v>0</v>
      </c>
      <c r="C472" s="43">
        <v>0</v>
      </c>
      <c r="D472" s="70">
        <v>2046</v>
      </c>
      <c r="E472" s="70">
        <v>9</v>
      </c>
      <c r="F472" s="2">
        <v>720</v>
      </c>
      <c r="G472" s="133">
        <f t="shared" si="636"/>
        <v>0</v>
      </c>
      <c r="H472" s="64"/>
      <c r="I472" s="133">
        <f t="shared" si="637"/>
        <v>0</v>
      </c>
      <c r="J472" s="133">
        <f t="shared" si="576"/>
        <v>0</v>
      </c>
      <c r="K472" s="64"/>
      <c r="L472" s="133">
        <f t="shared" si="577"/>
        <v>0</v>
      </c>
      <c r="M472" s="65">
        <v>1349.1581364153492</v>
      </c>
      <c r="N472" s="65">
        <v>2905.1682756984146</v>
      </c>
      <c r="O472" s="70">
        <v>972.56380034975166</v>
      </c>
      <c r="P472" s="200">
        <f t="shared" si="568"/>
        <v>-1568.0670637390544</v>
      </c>
      <c r="Q472" s="200">
        <f t="shared" si="569"/>
        <v>-1568.0670637390544</v>
      </c>
      <c r="R472" s="200">
        <f t="shared" si="570"/>
        <v>-1568.0670637390544</v>
      </c>
      <c r="S472" s="133">
        <f t="shared" si="638"/>
        <v>-291.7691401049255</v>
      </c>
      <c r="T472" s="133">
        <f t="shared" si="639"/>
        <v>-291.7691401049255</v>
      </c>
      <c r="U472" s="133">
        <f t="shared" si="640"/>
        <v>-291.7691401049255</v>
      </c>
      <c r="V472" s="200">
        <f t="shared" si="571"/>
        <v>-1568.0670637390544</v>
      </c>
      <c r="W472" s="200">
        <f t="shared" si="572"/>
        <v>-1568.0670637390544</v>
      </c>
      <c r="X472" s="200">
        <f t="shared" si="573"/>
        <v>-1568.0670637390544</v>
      </c>
      <c r="Y472" s="58">
        <f t="shared" si="624"/>
        <v>0</v>
      </c>
      <c r="AA472" s="58">
        <f t="shared" si="625"/>
        <v>0</v>
      </c>
      <c r="AB472" s="200">
        <f t="shared" si="611"/>
        <v>-1568.0670637390544</v>
      </c>
      <c r="AC472" s="200">
        <f t="shared" si="612"/>
        <v>-1568.0670637390544</v>
      </c>
      <c r="AD472" s="200">
        <f t="shared" si="613"/>
        <v>-1568.0670637390544</v>
      </c>
      <c r="AE472" s="199">
        <f t="shared" si="517"/>
        <v>-291.7691401049255</v>
      </c>
      <c r="AF472" s="199">
        <f t="shared" si="614"/>
        <v>-291.7691401049255</v>
      </c>
      <c r="AG472" s="199">
        <f t="shared" si="518"/>
        <v>-291.7691401049255</v>
      </c>
      <c r="AH472" s="199">
        <f t="shared" si="641"/>
        <v>-291.7691401049255</v>
      </c>
      <c r="AI472" s="200">
        <f t="shared" si="615"/>
        <v>-1568.0670637390544</v>
      </c>
      <c r="AJ472" s="200">
        <f t="shared" si="616"/>
        <v>-1568.0670637390544</v>
      </c>
      <c r="AK472" s="200">
        <f t="shared" si="617"/>
        <v>-1568.0670637390544</v>
      </c>
      <c r="AL472" s="4"/>
      <c r="AM472" s="4"/>
      <c r="AN472" s="4"/>
      <c r="AO472" s="4"/>
      <c r="AP472" s="63"/>
      <c r="AQ472" s="18"/>
      <c r="AR472" s="18"/>
      <c r="AS472" s="18"/>
      <c r="AT472" s="18">
        <v>0</v>
      </c>
      <c r="AU472" s="133">
        <f t="shared" ref="AU472" si="648">+AU460</f>
        <v>102.375</v>
      </c>
      <c r="AV472" s="133">
        <f t="shared" ref="AV472" si="649">+AV460</f>
        <v>2969.6280000000002</v>
      </c>
      <c r="AW472" s="194"/>
      <c r="AX472" s="194"/>
      <c r="AY472" s="194"/>
      <c r="AZ472" s="194"/>
      <c r="BA472" s="194"/>
      <c r="BB472" s="194"/>
      <c r="BC472" s="65">
        <v>0</v>
      </c>
      <c r="BD472" s="65">
        <v>0</v>
      </c>
      <c r="BE472" s="65">
        <v>0</v>
      </c>
      <c r="BF472" s="65">
        <v>0</v>
      </c>
      <c r="BG472" s="65">
        <v>0</v>
      </c>
      <c r="BH472" s="65">
        <v>0</v>
      </c>
      <c r="BI472" s="65">
        <v>952.56754436847962</v>
      </c>
      <c r="BJ472" s="65">
        <v>0</v>
      </c>
      <c r="BK472" s="65">
        <v>0</v>
      </c>
      <c r="BL472" s="65">
        <v>0</v>
      </c>
      <c r="BM472" s="65">
        <v>0</v>
      </c>
      <c r="BN472" s="65">
        <v>0</v>
      </c>
      <c r="BO472" s="65">
        <v>0</v>
      </c>
      <c r="BP472" s="5"/>
      <c r="BQ472" s="5"/>
      <c r="BR472" s="5"/>
      <c r="BS472" s="63"/>
      <c r="BT472" s="5"/>
      <c r="BU472" s="65">
        <v>210.52221394109654</v>
      </c>
      <c r="BV472" s="144">
        <f t="shared" si="608"/>
        <v>944.41069549074439</v>
      </c>
      <c r="BW472" s="144">
        <f t="shared" si="609"/>
        <v>2033.6177929888902</v>
      </c>
      <c r="BX472" s="144">
        <f t="shared" si="610"/>
        <v>680.7946602448261</v>
      </c>
      <c r="BY472" s="5"/>
      <c r="BZ472" s="5"/>
      <c r="CA472" s="4"/>
      <c r="CB472" s="5"/>
      <c r="CC472" s="5"/>
      <c r="CD472" s="5"/>
      <c r="CE472" s="5"/>
      <c r="CF472" s="64"/>
      <c r="CG472" s="70"/>
      <c r="CH472" s="70"/>
      <c r="CI472" s="70"/>
      <c r="CJ472" s="63"/>
      <c r="CK472" s="8">
        <f t="shared" si="559"/>
        <v>7893.9159070340374</v>
      </c>
      <c r="CL472" s="202">
        <f t="shared" si="481"/>
        <v>-9461.9829707730914</v>
      </c>
      <c r="CM472" s="202">
        <f t="shared" si="482"/>
        <v>-9461.9829707730914</v>
      </c>
      <c r="CN472" s="202">
        <f t="shared" si="483"/>
        <v>-9461.9829707730914</v>
      </c>
      <c r="CO472" s="9">
        <f t="shared" si="484"/>
        <v>-8185.6850471389625</v>
      </c>
      <c r="CP472" s="9">
        <f t="shared" si="485"/>
        <v>-8185.6850471389625</v>
      </c>
      <c r="CQ472" s="9">
        <f t="shared" si="486"/>
        <v>-8185.6850471389625</v>
      </c>
      <c r="CR472" s="202">
        <f t="shared" si="487"/>
        <v>-9461.9829707730914</v>
      </c>
      <c r="CS472" s="202">
        <f t="shared" si="488"/>
        <v>-9461.9829707730914</v>
      </c>
      <c r="CT472" s="202">
        <f t="shared" si="489"/>
        <v>-9461.9829707730914</v>
      </c>
      <c r="CU472" s="203">
        <f t="shared" si="490"/>
        <v>6.0341698321314157</v>
      </c>
      <c r="CV472" s="203">
        <f t="shared" si="491"/>
        <v>6.0341698321314157</v>
      </c>
      <c r="CW472" s="203">
        <f t="shared" si="492"/>
        <v>6.0341698321314157</v>
      </c>
      <c r="CX472" s="19">
        <f t="shared" si="493"/>
        <v>28.055348979659883</v>
      </c>
      <c r="CY472" s="19">
        <f t="shared" si="494"/>
        <v>28.055348979659883</v>
      </c>
      <c r="CZ472" s="19">
        <f t="shared" si="495"/>
        <v>28.055348979659883</v>
      </c>
      <c r="DA472" s="203">
        <f t="shared" si="496"/>
        <v>6.0341698321314157</v>
      </c>
      <c r="DB472" s="203">
        <f t="shared" si="497"/>
        <v>6.0341698321314157</v>
      </c>
      <c r="DC472" s="203">
        <f t="shared" si="498"/>
        <v>6.0341698321314157</v>
      </c>
      <c r="DD472" s="65"/>
      <c r="DE472" s="66"/>
      <c r="DF472" s="66"/>
      <c r="DG472" s="66"/>
      <c r="DH472" s="66"/>
      <c r="DI472" s="66"/>
      <c r="DJ472" s="66"/>
      <c r="DK472" s="70"/>
      <c r="DL472" s="70"/>
      <c r="DM472" s="8">
        <f t="shared" si="560"/>
        <v>0</v>
      </c>
      <c r="DN472" s="8">
        <f t="shared" si="561"/>
        <v>7893.9159070340374</v>
      </c>
      <c r="DO472" s="202">
        <f t="shared" si="535"/>
        <v>-9461.9829707730914</v>
      </c>
      <c r="DP472" s="202">
        <f t="shared" si="536"/>
        <v>-9461.9829707730914</v>
      </c>
      <c r="DQ472" s="202">
        <f t="shared" si="537"/>
        <v>-9461.9829707730914</v>
      </c>
      <c r="DR472" s="9">
        <f t="shared" si="538"/>
        <v>-8185.6850471389625</v>
      </c>
      <c r="DS472" s="9">
        <f t="shared" si="501"/>
        <v>-8185.6850471389625</v>
      </c>
      <c r="DT472" s="9">
        <f t="shared" si="539"/>
        <v>-8185.6850471389625</v>
      </c>
      <c r="DU472" s="202">
        <f t="shared" si="540"/>
        <v>-9461.9829707730914</v>
      </c>
      <c r="DV472" s="202">
        <f t="shared" si="541"/>
        <v>-9461.9829707730914</v>
      </c>
      <c r="DW472" s="202">
        <f t="shared" si="542"/>
        <v>-9461.9829707730914</v>
      </c>
      <c r="DX472" s="203">
        <f t="shared" si="543"/>
        <v>6.0341698321314157</v>
      </c>
      <c r="DY472" s="203">
        <f t="shared" si="544"/>
        <v>6.0341698321314157</v>
      </c>
      <c r="DZ472" s="203">
        <f t="shared" si="545"/>
        <v>6.0341698321314157</v>
      </c>
      <c r="EA472" s="19">
        <f t="shared" si="546"/>
        <v>28.055348979659883</v>
      </c>
      <c r="EB472" s="19">
        <f t="shared" si="502"/>
        <v>28.055348979659883</v>
      </c>
      <c r="EC472" s="19">
        <f t="shared" si="547"/>
        <v>28.055348979659883</v>
      </c>
      <c r="ED472" s="203">
        <f t="shared" si="548"/>
        <v>6.0341698321314157</v>
      </c>
      <c r="EE472" s="203">
        <f t="shared" si="549"/>
        <v>6.0341698321314157</v>
      </c>
      <c r="EF472" s="203">
        <f t="shared" si="550"/>
        <v>6.0341698321314157</v>
      </c>
      <c r="EH472" s="58">
        <f t="shared" si="596"/>
        <v>6949.5052115432927</v>
      </c>
      <c r="EI472" s="68">
        <f t="shared" si="597"/>
        <v>-23.818506676354204</v>
      </c>
      <c r="EJ472" s="58">
        <f t="shared" si="598"/>
        <v>6949.5052115432927</v>
      </c>
      <c r="EK472" s="68">
        <f t="shared" si="597"/>
        <v>-23.818506676354204</v>
      </c>
      <c r="EL472" s="58">
        <f t="shared" si="599"/>
        <v>3196.7075512984666</v>
      </c>
      <c r="EM472" s="58">
        <f t="shared" si="600"/>
        <v>3877.5022115432926</v>
      </c>
      <c r="EN472" s="68">
        <f t="shared" si="601"/>
        <v>-13.289624153359304</v>
      </c>
      <c r="EO472" s="139">
        <f t="shared" si="464"/>
        <v>0.31860645638858931</v>
      </c>
      <c r="EP472">
        <f>+(SUM(M472:O472)*EO472*(1-'[1]Tier 3 Data'!$A$2))</f>
        <v>1553.7444636340128</v>
      </c>
    </row>
    <row r="473" spans="1:146" x14ac:dyDescent="0.2">
      <c r="A473" s="43">
        <v>0</v>
      </c>
      <c r="B473" s="43">
        <v>0</v>
      </c>
      <c r="C473" s="43">
        <v>0</v>
      </c>
      <c r="D473" s="70">
        <v>2046</v>
      </c>
      <c r="E473" s="70">
        <v>10</v>
      </c>
      <c r="F473" s="2">
        <v>744</v>
      </c>
      <c r="G473" s="133">
        <f t="shared" si="636"/>
        <v>0</v>
      </c>
      <c r="H473" s="64"/>
      <c r="I473" s="133">
        <f t="shared" si="637"/>
        <v>0</v>
      </c>
      <c r="J473" s="133">
        <f t="shared" si="576"/>
        <v>0</v>
      </c>
      <c r="K473" s="64"/>
      <c r="L473" s="133">
        <f t="shared" si="577"/>
        <v>0</v>
      </c>
      <c r="M473" s="65">
        <v>957.87478015852639</v>
      </c>
      <c r="N473" s="65">
        <v>2062.6102665784465</v>
      </c>
      <c r="O473" s="70">
        <v>690.56363334772277</v>
      </c>
      <c r="P473" s="200">
        <f t="shared" si="568"/>
        <v>-1113.3146040254087</v>
      </c>
      <c r="Q473" s="200">
        <f t="shared" si="569"/>
        <v>-1113.3146040254087</v>
      </c>
      <c r="R473" s="200">
        <f t="shared" si="570"/>
        <v>-1113.3146040254087</v>
      </c>
      <c r="S473" s="133">
        <f t="shared" si="638"/>
        <v>-207.16909000431681</v>
      </c>
      <c r="T473" s="133">
        <f t="shared" si="639"/>
        <v>-207.16909000431681</v>
      </c>
      <c r="U473" s="133">
        <f t="shared" si="640"/>
        <v>-207.16909000431681</v>
      </c>
      <c r="V473" s="200">
        <f t="shared" si="571"/>
        <v>-1113.3146040254087</v>
      </c>
      <c r="W473" s="200">
        <f t="shared" si="572"/>
        <v>-1113.3146040254087</v>
      </c>
      <c r="X473" s="200">
        <f t="shared" si="573"/>
        <v>-1113.3146040254087</v>
      </c>
      <c r="Y473" s="58">
        <f t="shared" si="624"/>
        <v>0</v>
      </c>
      <c r="AA473" s="58">
        <f t="shared" si="625"/>
        <v>0</v>
      </c>
      <c r="AB473" s="200">
        <f t="shared" si="611"/>
        <v>-1113.3146040254087</v>
      </c>
      <c r="AC473" s="200">
        <f t="shared" si="612"/>
        <v>-1113.3146040254087</v>
      </c>
      <c r="AD473" s="200">
        <f t="shared" si="613"/>
        <v>-1113.3146040254087</v>
      </c>
      <c r="AE473" s="199">
        <f t="shared" si="517"/>
        <v>-207.16909000431681</v>
      </c>
      <c r="AF473" s="199">
        <f t="shared" si="614"/>
        <v>-207.16909000431681</v>
      </c>
      <c r="AG473" s="199">
        <f t="shared" si="518"/>
        <v>-207.16909000431681</v>
      </c>
      <c r="AH473" s="199">
        <f t="shared" si="641"/>
        <v>-207.16909000431681</v>
      </c>
      <c r="AI473" s="200">
        <f t="shared" si="615"/>
        <v>-1113.3146040254087</v>
      </c>
      <c r="AJ473" s="200">
        <f t="shared" si="616"/>
        <v>-1113.3146040254087</v>
      </c>
      <c r="AK473" s="200">
        <f t="shared" si="617"/>
        <v>-1113.3146040254087</v>
      </c>
      <c r="AL473" s="4"/>
      <c r="AM473" s="4"/>
      <c r="AN473" s="4"/>
      <c r="AO473" s="4"/>
      <c r="AP473" s="63"/>
      <c r="AQ473" s="18"/>
      <c r="AR473" s="18"/>
      <c r="AS473" s="18"/>
      <c r="AT473" s="18">
        <v>0</v>
      </c>
      <c r="AU473" s="133">
        <f t="shared" ref="AU473" si="650">+AU461</f>
        <v>118.17</v>
      </c>
      <c r="AV473" s="133">
        <f t="shared" ref="AV473" si="651">+AV461</f>
        <v>3225.1860000000001</v>
      </c>
      <c r="AW473" s="194"/>
      <c r="AX473" s="194"/>
      <c r="AY473" s="194"/>
      <c r="AZ473" s="194"/>
      <c r="BA473" s="194"/>
      <c r="BB473" s="194"/>
      <c r="BC473" s="65">
        <v>0</v>
      </c>
      <c r="BD473" s="65">
        <v>0</v>
      </c>
      <c r="BE473" s="65">
        <v>0</v>
      </c>
      <c r="BF473" s="65">
        <v>0</v>
      </c>
      <c r="BG473" s="65">
        <v>0</v>
      </c>
      <c r="BH473" s="65">
        <v>0</v>
      </c>
      <c r="BI473" s="65">
        <v>697.76015400282665</v>
      </c>
      <c r="BJ473" s="65">
        <v>0</v>
      </c>
      <c r="BK473" s="65">
        <v>0</v>
      </c>
      <c r="BL473" s="65">
        <v>0</v>
      </c>
      <c r="BM473" s="65">
        <v>0</v>
      </c>
      <c r="BN473" s="65">
        <v>0</v>
      </c>
      <c r="BO473" s="65">
        <v>0</v>
      </c>
      <c r="BP473" s="5"/>
      <c r="BQ473" s="5"/>
      <c r="BR473" s="5"/>
      <c r="BS473" s="63"/>
      <c r="BT473" s="5"/>
      <c r="BU473" s="65">
        <v>143.71939311342805</v>
      </c>
      <c r="BV473" s="144">
        <f t="shared" si="608"/>
        <v>670.51234611096845</v>
      </c>
      <c r="BW473" s="144">
        <f t="shared" si="609"/>
        <v>1443.8271866049124</v>
      </c>
      <c r="BX473" s="144">
        <f t="shared" si="610"/>
        <v>483.39454334340593</v>
      </c>
      <c r="BY473" s="5"/>
      <c r="BZ473" s="5"/>
      <c r="CA473" s="4"/>
      <c r="CB473" s="5"/>
      <c r="CC473" s="5"/>
      <c r="CD473" s="5"/>
      <c r="CE473" s="5"/>
      <c r="CF473" s="64"/>
      <c r="CG473" s="70"/>
      <c r="CH473" s="70"/>
      <c r="CI473" s="70"/>
      <c r="CJ473" s="63"/>
      <c r="CK473" s="8">
        <f t="shared" si="559"/>
        <v>6782.5696231755419</v>
      </c>
      <c r="CL473" s="202">
        <f t="shared" si="481"/>
        <v>-7895.8842272009506</v>
      </c>
      <c r="CM473" s="202">
        <f t="shared" si="482"/>
        <v>-7895.8842272009506</v>
      </c>
      <c r="CN473" s="202">
        <f t="shared" si="483"/>
        <v>-7895.8842272009506</v>
      </c>
      <c r="CO473" s="9">
        <f t="shared" si="484"/>
        <v>-6989.7387131798587</v>
      </c>
      <c r="CP473" s="9">
        <f t="shared" si="485"/>
        <v>-6989.7387131798587</v>
      </c>
      <c r="CQ473" s="9">
        <f t="shared" si="486"/>
        <v>-6989.7387131798587</v>
      </c>
      <c r="CR473" s="202">
        <f t="shared" si="487"/>
        <v>-7895.8842272009506</v>
      </c>
      <c r="CS473" s="202">
        <f t="shared" si="488"/>
        <v>-7895.8842272009506</v>
      </c>
      <c r="CT473" s="202">
        <f t="shared" si="489"/>
        <v>-7895.8842272009506</v>
      </c>
      <c r="CU473" s="203">
        <f t="shared" si="490"/>
        <v>7.0922308920154489</v>
      </c>
      <c r="CV473" s="203">
        <f t="shared" si="491"/>
        <v>7.0922308920154489</v>
      </c>
      <c r="CW473" s="203">
        <f t="shared" si="492"/>
        <v>7.0922308920154489</v>
      </c>
      <c r="CX473" s="19">
        <f t="shared" si="493"/>
        <v>33.739293410200396</v>
      </c>
      <c r="CY473" s="19">
        <f t="shared" si="494"/>
        <v>33.739293410200396</v>
      </c>
      <c r="CZ473" s="19">
        <f t="shared" si="495"/>
        <v>33.739293410200396</v>
      </c>
      <c r="DA473" s="203">
        <f t="shared" si="496"/>
        <v>7.0922308920154489</v>
      </c>
      <c r="DB473" s="203">
        <f t="shared" si="497"/>
        <v>7.0922308920154489</v>
      </c>
      <c r="DC473" s="203">
        <f t="shared" si="498"/>
        <v>7.0922308920154489</v>
      </c>
      <c r="DD473" s="65"/>
      <c r="DE473" s="66"/>
      <c r="DF473" s="66"/>
      <c r="DG473" s="66"/>
      <c r="DH473" s="66"/>
      <c r="DI473" s="66"/>
      <c r="DJ473" s="66"/>
      <c r="DK473" s="70"/>
      <c r="DL473" s="70"/>
      <c r="DM473" s="8">
        <f t="shared" si="560"/>
        <v>0</v>
      </c>
      <c r="DN473" s="8">
        <f t="shared" si="561"/>
        <v>6782.5696231755419</v>
      </c>
      <c r="DO473" s="202">
        <f t="shared" si="535"/>
        <v>-7895.8842272009506</v>
      </c>
      <c r="DP473" s="202">
        <f t="shared" si="536"/>
        <v>-7895.8842272009506</v>
      </c>
      <c r="DQ473" s="202">
        <f t="shared" si="537"/>
        <v>-7895.8842272009506</v>
      </c>
      <c r="DR473" s="9">
        <f t="shared" si="538"/>
        <v>-6989.7387131798587</v>
      </c>
      <c r="DS473" s="9">
        <f t="shared" si="501"/>
        <v>-6989.7387131798587</v>
      </c>
      <c r="DT473" s="9">
        <f t="shared" si="539"/>
        <v>-6989.7387131798587</v>
      </c>
      <c r="DU473" s="202">
        <f t="shared" si="540"/>
        <v>-7895.8842272009506</v>
      </c>
      <c r="DV473" s="202">
        <f t="shared" si="541"/>
        <v>-7895.8842272009506</v>
      </c>
      <c r="DW473" s="202">
        <f t="shared" si="542"/>
        <v>-7895.8842272009506</v>
      </c>
      <c r="DX473" s="203">
        <f t="shared" si="543"/>
        <v>7.0922308920154489</v>
      </c>
      <c r="DY473" s="203">
        <f t="shared" si="544"/>
        <v>7.0922308920154489</v>
      </c>
      <c r="DZ473" s="203">
        <f t="shared" si="545"/>
        <v>7.0922308920154489</v>
      </c>
      <c r="EA473" s="19">
        <f t="shared" si="546"/>
        <v>33.739293410200396</v>
      </c>
      <c r="EB473" s="19">
        <f t="shared" si="502"/>
        <v>33.739293410200396</v>
      </c>
      <c r="EC473" s="19">
        <f t="shared" si="547"/>
        <v>33.739293410200396</v>
      </c>
      <c r="ED473" s="203">
        <f t="shared" si="548"/>
        <v>7.0922308920154489</v>
      </c>
      <c r="EE473" s="203">
        <f t="shared" si="549"/>
        <v>7.0922308920154489</v>
      </c>
      <c r="EF473" s="203">
        <f t="shared" si="550"/>
        <v>7.0922308920154489</v>
      </c>
      <c r="EH473" s="58">
        <f t="shared" si="596"/>
        <v>6112.0572770645731</v>
      </c>
      <c r="EI473" s="68">
        <f t="shared" si="597"/>
        <v>-29.502747137312884</v>
      </c>
      <c r="EJ473" s="58">
        <f t="shared" si="598"/>
        <v>6112.0572770645731</v>
      </c>
      <c r="EK473" s="68">
        <f t="shared" si="597"/>
        <v>-29.502747137312884</v>
      </c>
      <c r="EL473" s="58">
        <f t="shared" si="599"/>
        <v>2285.3067337211669</v>
      </c>
      <c r="EM473" s="58">
        <f t="shared" si="600"/>
        <v>2768.7012770645729</v>
      </c>
      <c r="EN473" s="68">
        <f t="shared" si="601"/>
        <v>-13.364451603310519</v>
      </c>
      <c r="EO473" s="139">
        <f t="shared" ref="EO473:EO536" si="652">+EO461</f>
        <v>0.35739486552628164</v>
      </c>
      <c r="EP473">
        <f>+(SUM(M473:O473)*EO473*(1-'[1]Tier 3 Data'!$A$2))</f>
        <v>1237.4469911336712</v>
      </c>
    </row>
    <row r="474" spans="1:146" x14ac:dyDescent="0.2">
      <c r="A474" s="43">
        <v>0</v>
      </c>
      <c r="B474" s="43">
        <v>0</v>
      </c>
      <c r="C474" s="43">
        <v>0</v>
      </c>
      <c r="D474" s="70">
        <v>2046</v>
      </c>
      <c r="E474" s="70">
        <v>11</v>
      </c>
      <c r="F474" s="2">
        <v>721</v>
      </c>
      <c r="G474" s="133">
        <f t="shared" si="636"/>
        <v>0</v>
      </c>
      <c r="H474" s="64"/>
      <c r="I474" s="133">
        <f t="shared" si="637"/>
        <v>0</v>
      </c>
      <c r="J474" s="133">
        <f t="shared" si="576"/>
        <v>0</v>
      </c>
      <c r="K474" s="64"/>
      <c r="L474" s="133">
        <f t="shared" si="577"/>
        <v>0</v>
      </c>
      <c r="M474" s="65">
        <v>403.62878784909356</v>
      </c>
      <c r="N474" s="65">
        <v>869.14166543394356</v>
      </c>
      <c r="O474" s="70">
        <v>291.02314848479909</v>
      </c>
      <c r="P474" s="200">
        <f t="shared" si="568"/>
        <v>-469.13808053035086</v>
      </c>
      <c r="Q474" s="200">
        <f t="shared" si="569"/>
        <v>-469.13808053035086</v>
      </c>
      <c r="R474" s="200">
        <f t="shared" si="570"/>
        <v>-469.13808053035086</v>
      </c>
      <c r="S474" s="133">
        <f t="shared" si="638"/>
        <v>-87.30694454543972</v>
      </c>
      <c r="T474" s="133">
        <f t="shared" si="639"/>
        <v>-87.30694454543972</v>
      </c>
      <c r="U474" s="133">
        <f t="shared" si="640"/>
        <v>-87.30694454543972</v>
      </c>
      <c r="V474" s="200">
        <f t="shared" si="571"/>
        <v>-469.13808053035086</v>
      </c>
      <c r="W474" s="200">
        <f t="shared" si="572"/>
        <v>-469.13808053035086</v>
      </c>
      <c r="X474" s="200">
        <f t="shared" si="573"/>
        <v>-469.13808053035086</v>
      </c>
      <c r="Y474" s="58">
        <f t="shared" si="624"/>
        <v>0</v>
      </c>
      <c r="AA474" s="58">
        <f t="shared" si="625"/>
        <v>0</v>
      </c>
      <c r="AB474" s="200">
        <f t="shared" si="611"/>
        <v>-469.13808053035086</v>
      </c>
      <c r="AC474" s="200">
        <f t="shared" si="612"/>
        <v>-469.13808053035086</v>
      </c>
      <c r="AD474" s="200">
        <f t="shared" si="613"/>
        <v>-469.13808053035086</v>
      </c>
      <c r="AE474" s="199">
        <f t="shared" si="517"/>
        <v>-87.30694454543972</v>
      </c>
      <c r="AF474" s="199">
        <f t="shared" si="614"/>
        <v>-87.30694454543972</v>
      </c>
      <c r="AG474" s="199">
        <f t="shared" si="518"/>
        <v>-87.30694454543972</v>
      </c>
      <c r="AH474" s="199">
        <f t="shared" si="641"/>
        <v>-87.30694454543972</v>
      </c>
      <c r="AI474" s="200">
        <f t="shared" si="615"/>
        <v>-469.13808053035086</v>
      </c>
      <c r="AJ474" s="200">
        <f t="shared" si="616"/>
        <v>-469.13808053035086</v>
      </c>
      <c r="AK474" s="200">
        <f t="shared" si="617"/>
        <v>-469.13808053035086</v>
      </c>
      <c r="AL474" s="4"/>
      <c r="AM474" s="4"/>
      <c r="AN474" s="4"/>
      <c r="AO474" s="4"/>
      <c r="AP474" s="63"/>
      <c r="AQ474" s="18"/>
      <c r="AR474" s="18"/>
      <c r="AS474" s="18"/>
      <c r="AT474" s="18">
        <v>0</v>
      </c>
      <c r="AU474" s="133">
        <f t="shared" ref="AU474" si="653">+AU462</f>
        <v>104.364</v>
      </c>
      <c r="AV474" s="133">
        <f t="shared" ref="AV474" si="654">+AV462</f>
        <v>3268.3739999999998</v>
      </c>
      <c r="AW474" s="194"/>
      <c r="AX474" s="194"/>
      <c r="AY474" s="194"/>
      <c r="AZ474" s="194"/>
      <c r="BA474" s="194"/>
      <c r="BB474" s="194"/>
      <c r="BC474" s="65">
        <v>0</v>
      </c>
      <c r="BD474" s="65">
        <v>0</v>
      </c>
      <c r="BE474" s="65">
        <v>0</v>
      </c>
      <c r="BF474" s="65">
        <v>0</v>
      </c>
      <c r="BG474" s="65">
        <v>0</v>
      </c>
      <c r="BH474" s="65">
        <v>0</v>
      </c>
      <c r="BI474" s="65">
        <v>471.6191686698071</v>
      </c>
      <c r="BJ474" s="65">
        <v>0</v>
      </c>
      <c r="BK474" s="65">
        <v>0</v>
      </c>
      <c r="BL474" s="65">
        <v>0</v>
      </c>
      <c r="BM474" s="65">
        <v>0</v>
      </c>
      <c r="BN474" s="65">
        <v>0</v>
      </c>
      <c r="BO474" s="65">
        <v>0</v>
      </c>
      <c r="BP474" s="5"/>
      <c r="BQ474" s="5"/>
      <c r="BR474" s="5"/>
      <c r="BS474" s="63"/>
      <c r="BT474" s="5"/>
      <c r="BU474" s="5"/>
      <c r="BV474" s="144">
        <f t="shared" si="608"/>
        <v>282.54015149436549</v>
      </c>
      <c r="BW474" s="144">
        <f t="shared" si="609"/>
        <v>608.39916580376041</v>
      </c>
      <c r="BX474" s="144">
        <f t="shared" si="610"/>
        <v>203.71620393935936</v>
      </c>
      <c r="BY474" s="5"/>
      <c r="BZ474" s="5"/>
      <c r="CA474" s="4"/>
      <c r="CB474" s="5"/>
      <c r="CC474" s="5"/>
      <c r="CD474" s="5"/>
      <c r="CE474" s="5"/>
      <c r="CF474" s="64"/>
      <c r="CG474" s="70"/>
      <c r="CH474" s="70"/>
      <c r="CI474" s="70"/>
      <c r="CJ474" s="63"/>
      <c r="CK474" s="8">
        <f t="shared" si="559"/>
        <v>4939.012689907292</v>
      </c>
      <c r="CL474" s="202">
        <f t="shared" si="481"/>
        <v>-5408.1507704376427</v>
      </c>
      <c r="CM474" s="202">
        <f t="shared" si="482"/>
        <v>-5408.1507704376427</v>
      </c>
      <c r="CN474" s="202">
        <f t="shared" si="483"/>
        <v>-5408.1507704376427</v>
      </c>
      <c r="CO474" s="9">
        <f t="shared" si="484"/>
        <v>-5026.3196344527314</v>
      </c>
      <c r="CP474" s="9">
        <f t="shared" si="485"/>
        <v>-5026.3196344527314</v>
      </c>
      <c r="CQ474" s="9">
        <f t="shared" si="486"/>
        <v>-5026.3196344527314</v>
      </c>
      <c r="CR474" s="202">
        <f t="shared" si="487"/>
        <v>-5408.1507704376427</v>
      </c>
      <c r="CS474" s="202">
        <f t="shared" si="488"/>
        <v>-5408.1507704376427</v>
      </c>
      <c r="CT474" s="202">
        <f t="shared" si="489"/>
        <v>-5408.1507704376427</v>
      </c>
      <c r="CU474" s="203">
        <f t="shared" si="490"/>
        <v>11.527844348776464</v>
      </c>
      <c r="CV474" s="203">
        <f t="shared" si="491"/>
        <v>11.527844348776464</v>
      </c>
      <c r="CW474" s="203">
        <f t="shared" si="492"/>
        <v>11.527844348776464</v>
      </c>
      <c r="CX474" s="19">
        <f t="shared" si="493"/>
        <v>57.570673909413195</v>
      </c>
      <c r="CY474" s="19">
        <f t="shared" si="494"/>
        <v>57.570673909413195</v>
      </c>
      <c r="CZ474" s="19">
        <f t="shared" si="495"/>
        <v>57.570673909413195</v>
      </c>
      <c r="DA474" s="203">
        <f t="shared" si="496"/>
        <v>11.527844348776464</v>
      </c>
      <c r="DB474" s="203">
        <f t="shared" si="497"/>
        <v>11.527844348776464</v>
      </c>
      <c r="DC474" s="203">
        <f t="shared" si="498"/>
        <v>11.527844348776464</v>
      </c>
      <c r="DD474" s="65"/>
      <c r="DE474" s="66"/>
      <c r="DF474" s="66"/>
      <c r="DG474" s="66"/>
      <c r="DH474" s="66"/>
      <c r="DI474" s="66"/>
      <c r="DJ474" s="66"/>
      <c r="DK474" s="70"/>
      <c r="DL474" s="70"/>
      <c r="DM474" s="8">
        <f t="shared" si="560"/>
        <v>0</v>
      </c>
      <c r="DN474" s="8">
        <f t="shared" si="561"/>
        <v>4939.012689907292</v>
      </c>
      <c r="DO474" s="202">
        <f t="shared" si="535"/>
        <v>-5408.1507704376427</v>
      </c>
      <c r="DP474" s="202">
        <f t="shared" si="536"/>
        <v>-5408.1507704376427</v>
      </c>
      <c r="DQ474" s="202">
        <f t="shared" si="537"/>
        <v>-5408.1507704376427</v>
      </c>
      <c r="DR474" s="9">
        <f t="shared" si="538"/>
        <v>-5026.3196344527314</v>
      </c>
      <c r="DS474" s="9">
        <f t="shared" si="501"/>
        <v>-5026.3196344527314</v>
      </c>
      <c r="DT474" s="9">
        <f t="shared" si="539"/>
        <v>-5026.3196344527314</v>
      </c>
      <c r="DU474" s="202">
        <f t="shared" si="540"/>
        <v>-5408.1507704376427</v>
      </c>
      <c r="DV474" s="202">
        <f t="shared" si="541"/>
        <v>-5408.1507704376427</v>
      </c>
      <c r="DW474" s="202">
        <f t="shared" si="542"/>
        <v>-5408.1507704376427</v>
      </c>
      <c r="DX474" s="203">
        <f t="shared" si="543"/>
        <v>11.527844348776464</v>
      </c>
      <c r="DY474" s="203">
        <f t="shared" si="544"/>
        <v>11.527844348776464</v>
      </c>
      <c r="DZ474" s="203">
        <f t="shared" si="545"/>
        <v>11.527844348776464</v>
      </c>
      <c r="EA474" s="19">
        <f t="shared" si="546"/>
        <v>57.570673909413195</v>
      </c>
      <c r="EB474" s="19">
        <f t="shared" si="502"/>
        <v>57.570673909413195</v>
      </c>
      <c r="EC474" s="19">
        <f t="shared" si="547"/>
        <v>57.570673909413195</v>
      </c>
      <c r="ED474" s="203">
        <f t="shared" si="548"/>
        <v>11.527844348776464</v>
      </c>
      <c r="EE474" s="203">
        <f t="shared" si="549"/>
        <v>11.527844348776464</v>
      </c>
      <c r="EF474" s="203">
        <f t="shared" si="550"/>
        <v>11.527844348776464</v>
      </c>
      <c r="EH474" s="58">
        <f t="shared" si="596"/>
        <v>4656.472538412927</v>
      </c>
      <c r="EI474" s="68">
        <f t="shared" si="597"/>
        <v>-53.334503488315548</v>
      </c>
      <c r="EJ474" s="58">
        <f t="shared" si="598"/>
        <v>4656.472538412927</v>
      </c>
      <c r="EK474" s="68">
        <f t="shared" si="597"/>
        <v>-53.334503488315548</v>
      </c>
      <c r="EL474" s="58">
        <f t="shared" si="599"/>
        <v>1080.0183344735674</v>
      </c>
      <c r="EM474" s="58">
        <f t="shared" si="600"/>
        <v>1283.7345384129267</v>
      </c>
      <c r="EN474" s="68">
        <f t="shared" si="601"/>
        <v>-14.703693332719885</v>
      </c>
      <c r="EO474" s="139">
        <f t="shared" si="652"/>
        <v>0.4050825009776523</v>
      </c>
      <c r="EP474">
        <f>+(SUM(M474:O474)*EO474*(1-'[1]Tier 3 Data'!$A$2))</f>
        <v>591.02323986142926</v>
      </c>
    </row>
    <row r="475" spans="1:146" x14ac:dyDescent="0.2">
      <c r="A475" s="43">
        <v>0</v>
      </c>
      <c r="B475" s="43">
        <v>0</v>
      </c>
      <c r="C475" s="43">
        <v>0</v>
      </c>
      <c r="D475" s="70">
        <v>2046</v>
      </c>
      <c r="E475" s="70">
        <v>12</v>
      </c>
      <c r="F475" s="2">
        <v>744</v>
      </c>
      <c r="G475" s="133">
        <f t="shared" si="636"/>
        <v>0</v>
      </c>
      <c r="H475" s="64"/>
      <c r="I475" s="133">
        <f t="shared" si="637"/>
        <v>0</v>
      </c>
      <c r="J475" s="133">
        <f t="shared" si="576"/>
        <v>0</v>
      </c>
      <c r="K475" s="64"/>
      <c r="L475" s="133">
        <f t="shared" si="577"/>
        <v>0</v>
      </c>
      <c r="M475" s="65">
        <v>248.30627982623952</v>
      </c>
      <c r="N475" s="65">
        <v>534.68270867382159</v>
      </c>
      <c r="O475" s="70">
        <v>179.04624357817045</v>
      </c>
      <c r="P475" s="200">
        <f t="shared" si="568"/>
        <v>-288.61056962346947</v>
      </c>
      <c r="Q475" s="200">
        <f t="shared" si="569"/>
        <v>-288.61056962346947</v>
      </c>
      <c r="R475" s="200">
        <f t="shared" si="570"/>
        <v>-288.61056962346947</v>
      </c>
      <c r="S475" s="133">
        <f t="shared" si="638"/>
        <v>-53.713873073451133</v>
      </c>
      <c r="T475" s="133">
        <f t="shared" si="639"/>
        <v>-53.713873073451133</v>
      </c>
      <c r="U475" s="133">
        <f t="shared" si="640"/>
        <v>-53.713873073451133</v>
      </c>
      <c r="V475" s="200">
        <f t="shared" si="571"/>
        <v>-288.61056962346947</v>
      </c>
      <c r="W475" s="200">
        <f t="shared" si="572"/>
        <v>-288.61056962346947</v>
      </c>
      <c r="X475" s="200">
        <f t="shared" si="573"/>
        <v>-288.61056962346947</v>
      </c>
      <c r="Y475" s="58">
        <f t="shared" si="624"/>
        <v>0</v>
      </c>
      <c r="AA475" s="58">
        <f t="shared" si="625"/>
        <v>0</v>
      </c>
      <c r="AB475" s="200">
        <f t="shared" si="611"/>
        <v>-288.61056962346947</v>
      </c>
      <c r="AC475" s="200">
        <f t="shared" si="612"/>
        <v>-288.61056962346947</v>
      </c>
      <c r="AD475" s="200">
        <f t="shared" si="613"/>
        <v>-288.61056962346947</v>
      </c>
      <c r="AE475" s="199">
        <f t="shared" si="517"/>
        <v>-53.713873073451133</v>
      </c>
      <c r="AF475" s="199">
        <f t="shared" si="614"/>
        <v>-53.713873073451133</v>
      </c>
      <c r="AG475" s="199">
        <f t="shared" si="518"/>
        <v>-53.713873073451133</v>
      </c>
      <c r="AH475" s="199">
        <f t="shared" si="641"/>
        <v>-53.713873073451133</v>
      </c>
      <c r="AI475" s="200">
        <f t="shared" si="615"/>
        <v>-288.61056962346947</v>
      </c>
      <c r="AJ475" s="200">
        <f t="shared" si="616"/>
        <v>-288.61056962346947</v>
      </c>
      <c r="AK475" s="200">
        <f t="shared" si="617"/>
        <v>-288.61056962346947</v>
      </c>
      <c r="AL475" s="4"/>
      <c r="AM475" s="4"/>
      <c r="AN475" s="4"/>
      <c r="AO475" s="4"/>
      <c r="AP475" s="63"/>
      <c r="AQ475" s="18"/>
      <c r="AR475" s="18"/>
      <c r="AS475" s="18"/>
      <c r="AT475" s="18">
        <v>0</v>
      </c>
      <c r="AU475" s="133">
        <f t="shared" ref="AU475" si="655">+AU463</f>
        <v>105.066</v>
      </c>
      <c r="AV475" s="133">
        <f t="shared" ref="AV475" si="656">+AV463</f>
        <v>3218.8470000000002</v>
      </c>
      <c r="AW475" s="194"/>
      <c r="AX475" s="194"/>
      <c r="AY475" s="194"/>
      <c r="AZ475" s="194"/>
      <c r="BA475" s="194"/>
      <c r="BB475" s="194"/>
      <c r="BC475" s="65">
        <v>0</v>
      </c>
      <c r="BD475" s="65">
        <v>0</v>
      </c>
      <c r="BE475" s="65">
        <v>0</v>
      </c>
      <c r="BF475" s="65">
        <v>0</v>
      </c>
      <c r="BG475" s="65">
        <v>0</v>
      </c>
      <c r="BH475" s="65">
        <v>0</v>
      </c>
      <c r="BI475" s="65">
        <v>221.00502927951021</v>
      </c>
      <c r="BJ475" s="65">
        <v>0</v>
      </c>
      <c r="BK475" s="65">
        <v>0</v>
      </c>
      <c r="BL475" s="65">
        <v>0</v>
      </c>
      <c r="BM475" s="65">
        <v>0</v>
      </c>
      <c r="BN475" s="65">
        <v>0</v>
      </c>
      <c r="BO475" s="65">
        <v>0</v>
      </c>
      <c r="BP475" s="5"/>
      <c r="BQ475" s="5"/>
      <c r="BR475" s="5"/>
      <c r="BS475" s="63"/>
      <c r="BT475" s="5"/>
      <c r="BU475" s="5"/>
      <c r="BV475" s="144">
        <f t="shared" si="608"/>
        <v>173.81439587836766</v>
      </c>
      <c r="BW475" s="144">
        <f t="shared" si="609"/>
        <v>374.27789607167512</v>
      </c>
      <c r="BX475" s="144">
        <f t="shared" si="610"/>
        <v>125.33237050471931</v>
      </c>
      <c r="BY475" s="5"/>
      <c r="BZ475" s="5"/>
      <c r="CA475" s="4"/>
      <c r="CB475" s="5"/>
      <c r="CC475" s="5"/>
      <c r="CD475" s="5"/>
      <c r="CE475" s="5"/>
      <c r="CF475" s="64"/>
      <c r="CG475" s="70"/>
      <c r="CH475" s="70"/>
      <c r="CI475" s="70"/>
      <c r="CJ475" s="63"/>
      <c r="CK475" s="8">
        <f t="shared" si="559"/>
        <v>4218.3426917342722</v>
      </c>
      <c r="CL475" s="202">
        <f t="shared" si="481"/>
        <v>-4506.9532613577412</v>
      </c>
      <c r="CM475" s="202">
        <f t="shared" si="482"/>
        <v>-4506.9532613577412</v>
      </c>
      <c r="CN475" s="202">
        <f t="shared" si="483"/>
        <v>-4506.9532613577412</v>
      </c>
      <c r="CO475" s="9">
        <f t="shared" si="484"/>
        <v>-4272.0565648077236</v>
      </c>
      <c r="CP475" s="9">
        <f t="shared" si="485"/>
        <v>-4272.0565648077236</v>
      </c>
      <c r="CQ475" s="9">
        <f t="shared" si="486"/>
        <v>-4272.0565648077236</v>
      </c>
      <c r="CR475" s="202">
        <f t="shared" si="487"/>
        <v>-4506.9532613577412</v>
      </c>
      <c r="CS475" s="202">
        <f t="shared" si="488"/>
        <v>-4506.9532613577412</v>
      </c>
      <c r="CT475" s="202">
        <f t="shared" si="489"/>
        <v>-4506.9532613577412</v>
      </c>
      <c r="CU475" s="203">
        <f t="shared" si="490"/>
        <v>15.616036748888495</v>
      </c>
      <c r="CV475" s="203">
        <f t="shared" si="491"/>
        <v>15.616036748888495</v>
      </c>
      <c r="CW475" s="203">
        <f t="shared" si="492"/>
        <v>15.616036748888495</v>
      </c>
      <c r="CX475" s="19">
        <f t="shared" si="493"/>
        <v>79.533578950188385</v>
      </c>
      <c r="CY475" s="19">
        <f t="shared" si="494"/>
        <v>79.533578950188385</v>
      </c>
      <c r="CZ475" s="19">
        <f t="shared" si="495"/>
        <v>79.533578950188385</v>
      </c>
      <c r="DA475" s="203">
        <f t="shared" si="496"/>
        <v>15.616036748888495</v>
      </c>
      <c r="DB475" s="203">
        <f t="shared" si="497"/>
        <v>15.616036748888495</v>
      </c>
      <c r="DC475" s="203">
        <f t="shared" si="498"/>
        <v>15.616036748888495</v>
      </c>
      <c r="DD475" s="65"/>
      <c r="DE475" s="66"/>
      <c r="DF475" s="66"/>
      <c r="DG475" s="66"/>
      <c r="DH475" s="66"/>
      <c r="DI475" s="66"/>
      <c r="DJ475" s="66"/>
      <c r="DK475" s="70"/>
      <c r="DL475" s="70"/>
      <c r="DM475" s="8">
        <f t="shared" si="560"/>
        <v>0</v>
      </c>
      <c r="DN475" s="8">
        <f t="shared" si="561"/>
        <v>4218.3426917342722</v>
      </c>
      <c r="DO475" s="202">
        <f t="shared" si="535"/>
        <v>-4506.9532613577412</v>
      </c>
      <c r="DP475" s="202">
        <f t="shared" si="536"/>
        <v>-4506.9532613577412</v>
      </c>
      <c r="DQ475" s="202">
        <f t="shared" si="537"/>
        <v>-4506.9532613577412</v>
      </c>
      <c r="DR475" s="9">
        <f t="shared" si="538"/>
        <v>-4272.0565648077236</v>
      </c>
      <c r="DS475" s="9">
        <f t="shared" si="501"/>
        <v>-4272.0565648077236</v>
      </c>
      <c r="DT475" s="9">
        <f t="shared" si="539"/>
        <v>-4272.0565648077236</v>
      </c>
      <c r="DU475" s="202">
        <f t="shared" si="540"/>
        <v>-4506.9532613577412</v>
      </c>
      <c r="DV475" s="202">
        <f t="shared" si="541"/>
        <v>-4506.9532613577412</v>
      </c>
      <c r="DW475" s="202">
        <f t="shared" si="542"/>
        <v>-4506.9532613577412</v>
      </c>
      <c r="DX475" s="203">
        <f t="shared" si="543"/>
        <v>15.616036748888495</v>
      </c>
      <c r="DY475" s="203">
        <f t="shared" si="544"/>
        <v>15.616036748888495</v>
      </c>
      <c r="DZ475" s="203">
        <f t="shared" si="545"/>
        <v>15.616036748888495</v>
      </c>
      <c r="EA475" s="19">
        <f t="shared" si="546"/>
        <v>79.533578950188385</v>
      </c>
      <c r="EB475" s="19">
        <f t="shared" si="502"/>
        <v>79.533578950188385</v>
      </c>
      <c r="EC475" s="19">
        <f t="shared" si="547"/>
        <v>79.533578950188385</v>
      </c>
      <c r="ED475" s="203">
        <f t="shared" si="548"/>
        <v>15.616036748888495</v>
      </c>
      <c r="EE475" s="203">
        <f t="shared" si="549"/>
        <v>15.616036748888495</v>
      </c>
      <c r="EF475" s="203">
        <f t="shared" si="550"/>
        <v>15.616036748888495</v>
      </c>
      <c r="EH475" s="58">
        <f t="shared" si="596"/>
        <v>4044.5282958559046</v>
      </c>
      <c r="EI475" s="68">
        <f t="shared" si="597"/>
        <v>-75.297647785055588</v>
      </c>
      <c r="EJ475" s="58">
        <f t="shared" si="598"/>
        <v>4044.5282958559046</v>
      </c>
      <c r="EK475" s="68">
        <f t="shared" si="597"/>
        <v>-75.297647785055588</v>
      </c>
      <c r="EL475" s="58">
        <f t="shared" si="599"/>
        <v>595.28292535118533</v>
      </c>
      <c r="EM475" s="58">
        <f t="shared" si="600"/>
        <v>720.61529585590461</v>
      </c>
      <c r="EN475" s="68">
        <f t="shared" si="601"/>
        <v>-13.415813357389029</v>
      </c>
      <c r="EO475" s="139">
        <f t="shared" si="652"/>
        <v>0.32946562535829382</v>
      </c>
      <c r="EP475">
        <f>+(SUM(M475:O475)*EO475*(1-'[1]Tier 3 Data'!$A$2))</f>
        <v>295.72138421669041</v>
      </c>
    </row>
    <row r="476" spans="1:146" x14ac:dyDescent="0.2">
      <c r="A476" s="43">
        <v>0</v>
      </c>
      <c r="B476" s="43">
        <v>0</v>
      </c>
      <c r="C476" s="43">
        <v>0</v>
      </c>
      <c r="D476" s="70">
        <v>2047</v>
      </c>
      <c r="E476" s="70">
        <v>1</v>
      </c>
      <c r="F476" s="2">
        <v>744</v>
      </c>
      <c r="G476" s="133">
        <f t="shared" si="636"/>
        <v>0</v>
      </c>
      <c r="H476" s="64"/>
      <c r="I476" s="133">
        <f t="shared" si="637"/>
        <v>0</v>
      </c>
      <c r="J476" s="133">
        <f t="shared" si="576"/>
        <v>0</v>
      </c>
      <c r="K476" s="64"/>
      <c r="L476" s="133">
        <f t="shared" si="577"/>
        <v>0</v>
      </c>
      <c r="M476" s="5"/>
      <c r="N476" s="5"/>
      <c r="O476" s="5"/>
      <c r="P476" s="200">
        <f t="shared" si="568"/>
        <v>0</v>
      </c>
      <c r="Q476" s="200">
        <f t="shared" si="569"/>
        <v>0</v>
      </c>
      <c r="R476" s="200">
        <f t="shared" si="570"/>
        <v>0</v>
      </c>
      <c r="S476" s="133">
        <f t="shared" si="638"/>
        <v>0</v>
      </c>
      <c r="T476" s="133">
        <f t="shared" si="639"/>
        <v>0</v>
      </c>
      <c r="U476" s="133">
        <f t="shared" si="640"/>
        <v>0</v>
      </c>
      <c r="V476" s="200">
        <f t="shared" si="571"/>
        <v>0</v>
      </c>
      <c r="W476" s="200">
        <f t="shared" si="572"/>
        <v>0</v>
      </c>
      <c r="X476" s="200">
        <f t="shared" si="573"/>
        <v>0</v>
      </c>
      <c r="Y476" s="58">
        <f t="shared" si="624"/>
        <v>0</v>
      </c>
      <c r="AA476" s="58">
        <f t="shared" si="625"/>
        <v>0</v>
      </c>
      <c r="AB476" s="200">
        <f t="shared" si="611"/>
        <v>0</v>
      </c>
      <c r="AC476" s="200">
        <f t="shared" si="612"/>
        <v>0</v>
      </c>
      <c r="AD476" s="200">
        <f t="shared" si="613"/>
        <v>0</v>
      </c>
      <c r="AE476" s="199">
        <f t="shared" si="517"/>
        <v>0</v>
      </c>
      <c r="AF476" s="199">
        <f t="shared" si="614"/>
        <v>0</v>
      </c>
      <c r="AG476" s="199">
        <f t="shared" si="518"/>
        <v>0</v>
      </c>
      <c r="AH476" s="199">
        <f t="shared" si="641"/>
        <v>0</v>
      </c>
      <c r="AI476" s="200">
        <f t="shared" si="615"/>
        <v>0</v>
      </c>
      <c r="AJ476" s="200">
        <f t="shared" si="616"/>
        <v>0</v>
      </c>
      <c r="AK476" s="200">
        <f t="shared" si="617"/>
        <v>0</v>
      </c>
      <c r="AL476" s="4"/>
      <c r="AM476" s="4"/>
      <c r="AN476" s="4"/>
      <c r="AO476" s="4"/>
      <c r="AP476" s="63"/>
      <c r="AQ476" s="18"/>
      <c r="AR476" s="18"/>
      <c r="AS476" s="18"/>
      <c r="AT476" s="18">
        <v>0</v>
      </c>
      <c r="AU476" s="133">
        <f t="shared" ref="AU476" si="657">+AU464</f>
        <v>98.513999999999996</v>
      </c>
      <c r="AV476" s="133">
        <f t="shared" ref="AV476" si="658">+AV464</f>
        <v>3278.6750000000002</v>
      </c>
      <c r="AW476" s="194"/>
      <c r="AX476" s="194"/>
      <c r="AY476" s="194"/>
      <c r="AZ476" s="194"/>
      <c r="BA476" s="194"/>
      <c r="BB476" s="194"/>
      <c r="BC476" s="65">
        <v>0</v>
      </c>
      <c r="BD476" s="65">
        <v>0</v>
      </c>
      <c r="BE476" s="65">
        <v>0</v>
      </c>
      <c r="BF476" s="65">
        <v>0</v>
      </c>
      <c r="BG476" s="65">
        <v>0</v>
      </c>
      <c r="BH476" s="65">
        <v>0</v>
      </c>
      <c r="BI476" s="65">
        <v>311.75622196577791</v>
      </c>
      <c r="BJ476" s="65">
        <v>0</v>
      </c>
      <c r="BK476" s="65">
        <v>0</v>
      </c>
      <c r="BL476" s="65">
        <v>0</v>
      </c>
      <c r="BM476" s="65">
        <v>0</v>
      </c>
      <c r="BN476" s="65">
        <v>0</v>
      </c>
      <c r="BO476" s="65">
        <v>0</v>
      </c>
      <c r="BP476" s="5"/>
      <c r="BQ476" s="5"/>
      <c r="BR476" s="5"/>
      <c r="BS476" s="63"/>
      <c r="BT476" s="5"/>
      <c r="BU476" s="5"/>
      <c r="BV476" s="144">
        <f t="shared" si="608"/>
        <v>0</v>
      </c>
      <c r="BW476" s="144">
        <f t="shared" si="609"/>
        <v>0</v>
      </c>
      <c r="BX476" s="144">
        <f t="shared" si="610"/>
        <v>0</v>
      </c>
      <c r="BY476" s="5"/>
      <c r="BZ476" s="5"/>
      <c r="CA476" s="4"/>
      <c r="CB476" s="5"/>
      <c r="CC476" s="5"/>
      <c r="CD476" s="5"/>
      <c r="CE476" s="5"/>
      <c r="CF476" s="64"/>
      <c r="CG476" s="70"/>
      <c r="CH476" s="70"/>
      <c r="CI476" s="70"/>
      <c r="CJ476" s="63"/>
      <c r="CK476" s="8">
        <f t="shared" si="559"/>
        <v>3688.9452219657783</v>
      </c>
      <c r="CL476" s="202">
        <f t="shared" si="481"/>
        <v>-3688.9452219657783</v>
      </c>
      <c r="CM476" s="202">
        <f t="shared" si="482"/>
        <v>-3688.9452219657783</v>
      </c>
      <c r="CN476" s="202">
        <f t="shared" si="483"/>
        <v>-3688.9452219657783</v>
      </c>
      <c r="CO476" s="9">
        <f t="shared" si="484"/>
        <v>-3688.9452219657783</v>
      </c>
      <c r="CP476" s="9">
        <f t="shared" si="485"/>
        <v>-3688.9452219657783</v>
      </c>
      <c r="CQ476" s="9">
        <f t="shared" si="486"/>
        <v>-3688.9452219657783</v>
      </c>
      <c r="CR476" s="202">
        <f t="shared" si="487"/>
        <v>-3688.9452219657783</v>
      </c>
      <c r="CS476" s="202">
        <f t="shared" si="488"/>
        <v>-3688.9452219657783</v>
      </c>
      <c r="CT476" s="202">
        <f t="shared" si="489"/>
        <v>-3688.9452219657783</v>
      </c>
      <c r="CU476" s="203" t="e">
        <f t="shared" si="490"/>
        <v>#DIV/0!</v>
      </c>
      <c r="CV476" s="203" t="e">
        <f t="shared" si="491"/>
        <v>#DIV/0!</v>
      </c>
      <c r="CW476" s="203" t="e">
        <f t="shared" si="492"/>
        <v>#DIV/0!</v>
      </c>
      <c r="CX476" s="19" t="e">
        <f t="shared" si="493"/>
        <v>#DIV/0!</v>
      </c>
      <c r="CY476" s="19" t="e">
        <f t="shared" si="494"/>
        <v>#DIV/0!</v>
      </c>
      <c r="CZ476" s="19" t="e">
        <f t="shared" si="495"/>
        <v>#DIV/0!</v>
      </c>
      <c r="DA476" s="203" t="e">
        <f t="shared" si="496"/>
        <v>#DIV/0!</v>
      </c>
      <c r="DB476" s="203" t="e">
        <f t="shared" si="497"/>
        <v>#DIV/0!</v>
      </c>
      <c r="DC476" s="203" t="e">
        <f t="shared" si="498"/>
        <v>#DIV/0!</v>
      </c>
      <c r="DD476" s="65"/>
      <c r="DE476" s="66"/>
      <c r="DF476" s="66"/>
      <c r="DG476" s="66"/>
      <c r="DH476" s="66"/>
      <c r="DI476" s="66"/>
      <c r="DJ476" s="66"/>
      <c r="DK476" s="70"/>
      <c r="DL476" s="70"/>
      <c r="DM476" s="8">
        <f t="shared" si="560"/>
        <v>0</v>
      </c>
      <c r="DN476" s="8">
        <f t="shared" si="561"/>
        <v>3688.9452219657783</v>
      </c>
      <c r="DO476" s="202">
        <f t="shared" si="535"/>
        <v>-3688.9452219657783</v>
      </c>
      <c r="DP476" s="202">
        <f t="shared" si="536"/>
        <v>-3688.9452219657783</v>
      </c>
      <c r="DQ476" s="202">
        <f t="shared" si="537"/>
        <v>-3688.9452219657783</v>
      </c>
      <c r="DR476" s="9">
        <f t="shared" si="538"/>
        <v>-3688.9452219657783</v>
      </c>
      <c r="DS476" s="9">
        <f t="shared" si="501"/>
        <v>-3688.9452219657783</v>
      </c>
      <c r="DT476" s="9">
        <f t="shared" si="539"/>
        <v>-3688.9452219657783</v>
      </c>
      <c r="DU476" s="202">
        <f t="shared" si="540"/>
        <v>-3688.9452219657783</v>
      </c>
      <c r="DV476" s="202">
        <f t="shared" si="541"/>
        <v>-3688.9452219657783</v>
      </c>
      <c r="DW476" s="202">
        <f t="shared" si="542"/>
        <v>-3688.9452219657783</v>
      </c>
      <c r="DX476" s="203" t="e">
        <f t="shared" si="543"/>
        <v>#DIV/0!</v>
      </c>
      <c r="DY476" s="203" t="e">
        <f t="shared" si="544"/>
        <v>#DIV/0!</v>
      </c>
      <c r="DZ476" s="203" t="e">
        <f t="shared" si="545"/>
        <v>#DIV/0!</v>
      </c>
      <c r="EA476" s="19" t="e">
        <f t="shared" si="546"/>
        <v>#DIV/0!</v>
      </c>
      <c r="EB476" s="19" t="e">
        <f t="shared" si="502"/>
        <v>#DIV/0!</v>
      </c>
      <c r="EC476" s="19" t="e">
        <f t="shared" si="547"/>
        <v>#DIV/0!</v>
      </c>
      <c r="ED476" s="203" t="e">
        <f t="shared" si="548"/>
        <v>#DIV/0!</v>
      </c>
      <c r="EE476" s="203" t="e">
        <f t="shared" si="549"/>
        <v>#DIV/0!</v>
      </c>
      <c r="EF476" s="203" t="e">
        <f t="shared" si="550"/>
        <v>#DIV/0!</v>
      </c>
      <c r="EH476" s="58">
        <f t="shared" si="596"/>
        <v>3688.9452219657783</v>
      </c>
      <c r="EI476" s="68" t="e">
        <f t="shared" si="597"/>
        <v>#DIV/0!</v>
      </c>
      <c r="EJ476" s="58">
        <f t="shared" si="598"/>
        <v>3688.9452219657783</v>
      </c>
      <c r="EK476" s="68" t="e">
        <f t="shared" si="597"/>
        <v>#DIV/0!</v>
      </c>
      <c r="EL476" s="58">
        <f t="shared" si="599"/>
        <v>311.75622196577791</v>
      </c>
      <c r="EM476" s="58">
        <f t="shared" si="600"/>
        <v>311.75622196577791</v>
      </c>
      <c r="EN476" s="68" t="e">
        <f t="shared" si="601"/>
        <v>#DIV/0!</v>
      </c>
      <c r="EO476" s="139">
        <f t="shared" si="652"/>
        <v>0.32527353469126524</v>
      </c>
      <c r="EP476">
        <f>+(SUM(M476:O476)*EO476*(1-'[1]Tier 3 Data'!$A$2))</f>
        <v>0</v>
      </c>
    </row>
    <row r="477" spans="1:146" x14ac:dyDescent="0.2">
      <c r="A477" s="43">
        <v>0</v>
      </c>
      <c r="B477" s="43">
        <v>0</v>
      </c>
      <c r="C477" s="43">
        <v>0</v>
      </c>
      <c r="D477" s="70">
        <v>2047</v>
      </c>
      <c r="E477" s="70">
        <v>2</v>
      </c>
      <c r="F477" s="2">
        <v>672</v>
      </c>
      <c r="G477" s="133">
        <f t="shared" si="636"/>
        <v>0</v>
      </c>
      <c r="H477" s="64"/>
      <c r="I477" s="133">
        <f t="shared" si="637"/>
        <v>0</v>
      </c>
      <c r="J477" s="133">
        <f t="shared" si="576"/>
        <v>0</v>
      </c>
      <c r="K477" s="64"/>
      <c r="L477" s="133">
        <f t="shared" si="577"/>
        <v>0</v>
      </c>
      <c r="M477" s="5"/>
      <c r="N477" s="5"/>
      <c r="O477" s="5"/>
      <c r="P477" s="200">
        <f t="shared" si="568"/>
        <v>0</v>
      </c>
      <c r="Q477" s="200">
        <f t="shared" si="569"/>
        <v>0</v>
      </c>
      <c r="R477" s="200">
        <f t="shared" si="570"/>
        <v>0</v>
      </c>
      <c r="S477" s="133">
        <f t="shared" si="638"/>
        <v>0</v>
      </c>
      <c r="T477" s="133">
        <f t="shared" si="639"/>
        <v>0</v>
      </c>
      <c r="U477" s="133">
        <f t="shared" si="640"/>
        <v>0</v>
      </c>
      <c r="V477" s="200">
        <f t="shared" si="571"/>
        <v>0</v>
      </c>
      <c r="W477" s="200">
        <f t="shared" si="572"/>
        <v>0</v>
      </c>
      <c r="X477" s="200">
        <f t="shared" si="573"/>
        <v>0</v>
      </c>
      <c r="Y477" s="58">
        <f t="shared" si="624"/>
        <v>0</v>
      </c>
      <c r="AA477" s="58">
        <f t="shared" si="625"/>
        <v>0</v>
      </c>
      <c r="AB477" s="200">
        <f t="shared" si="611"/>
        <v>0</v>
      </c>
      <c r="AC477" s="200">
        <f t="shared" si="612"/>
        <v>0</v>
      </c>
      <c r="AD477" s="200">
        <f t="shared" si="613"/>
        <v>0</v>
      </c>
      <c r="AE477" s="199">
        <f t="shared" si="517"/>
        <v>0</v>
      </c>
      <c r="AF477" s="199">
        <f t="shared" si="614"/>
        <v>0</v>
      </c>
      <c r="AG477" s="199">
        <f t="shared" si="518"/>
        <v>0</v>
      </c>
      <c r="AH477" s="199">
        <f t="shared" si="641"/>
        <v>0</v>
      </c>
      <c r="AI477" s="200">
        <f t="shared" si="615"/>
        <v>0</v>
      </c>
      <c r="AJ477" s="200">
        <f t="shared" si="616"/>
        <v>0</v>
      </c>
      <c r="AK477" s="200">
        <f t="shared" si="617"/>
        <v>0</v>
      </c>
      <c r="AL477" s="4"/>
      <c r="AM477" s="4"/>
      <c r="AN477" s="4"/>
      <c r="AO477" s="4"/>
      <c r="AP477" s="63"/>
      <c r="AQ477" s="18"/>
      <c r="AR477" s="18"/>
      <c r="AS477" s="18"/>
      <c r="AT477" s="18">
        <v>0</v>
      </c>
      <c r="AU477" s="133">
        <f t="shared" ref="AU477" si="659">+AU465</f>
        <v>92.897999999999996</v>
      </c>
      <c r="AV477" s="133">
        <f t="shared" ref="AV477" si="660">+AV465</f>
        <v>3057.587</v>
      </c>
      <c r="AW477" s="194"/>
      <c r="AX477" s="194"/>
      <c r="AY477" s="194"/>
      <c r="AZ477" s="194"/>
      <c r="BA477" s="194"/>
      <c r="BB477" s="194"/>
      <c r="BC477" s="65">
        <v>0</v>
      </c>
      <c r="BD477" s="65">
        <v>0</v>
      </c>
      <c r="BE477" s="65">
        <v>0</v>
      </c>
      <c r="BF477" s="65">
        <v>0</v>
      </c>
      <c r="BG477" s="65">
        <v>0</v>
      </c>
      <c r="BH477" s="65">
        <v>0</v>
      </c>
      <c r="BI477" s="65">
        <v>388.55122991189324</v>
      </c>
      <c r="BJ477" s="65">
        <v>0</v>
      </c>
      <c r="BK477" s="65">
        <v>0</v>
      </c>
      <c r="BL477" s="65">
        <v>0</v>
      </c>
      <c r="BM477" s="65">
        <v>0</v>
      </c>
      <c r="BN477" s="65">
        <v>0</v>
      </c>
      <c r="BO477" s="65">
        <v>0</v>
      </c>
      <c r="BP477" s="5"/>
      <c r="BQ477" s="5"/>
      <c r="BR477" s="5"/>
      <c r="BS477" s="63"/>
      <c r="BT477" s="5"/>
      <c r="BU477" s="5"/>
      <c r="BV477" s="144">
        <f t="shared" si="608"/>
        <v>0</v>
      </c>
      <c r="BW477" s="144">
        <f t="shared" si="609"/>
        <v>0</v>
      </c>
      <c r="BX477" s="144">
        <f t="shared" si="610"/>
        <v>0</v>
      </c>
      <c r="BY477" s="5"/>
      <c r="BZ477" s="5"/>
      <c r="CA477" s="4"/>
      <c r="CB477" s="5"/>
      <c r="CC477" s="5"/>
      <c r="CD477" s="5"/>
      <c r="CE477" s="5"/>
      <c r="CF477" s="64"/>
      <c r="CG477" s="70"/>
      <c r="CH477" s="70"/>
      <c r="CI477" s="70"/>
      <c r="CJ477" s="63"/>
      <c r="CK477" s="8">
        <f t="shared" si="559"/>
        <v>3539.0362299118933</v>
      </c>
      <c r="CL477" s="202">
        <f t="shared" si="481"/>
        <v>-3539.0362299118933</v>
      </c>
      <c r="CM477" s="202">
        <f t="shared" si="482"/>
        <v>-3539.0362299118933</v>
      </c>
      <c r="CN477" s="202">
        <f t="shared" si="483"/>
        <v>-3539.0362299118933</v>
      </c>
      <c r="CO477" s="9">
        <f t="shared" si="484"/>
        <v>-3539.0362299118933</v>
      </c>
      <c r="CP477" s="9">
        <f t="shared" si="485"/>
        <v>-3539.0362299118933</v>
      </c>
      <c r="CQ477" s="9">
        <f t="shared" si="486"/>
        <v>-3539.0362299118933</v>
      </c>
      <c r="CR477" s="202">
        <f t="shared" si="487"/>
        <v>-3539.0362299118933</v>
      </c>
      <c r="CS477" s="202">
        <f t="shared" si="488"/>
        <v>-3539.0362299118933</v>
      </c>
      <c r="CT477" s="202">
        <f t="shared" si="489"/>
        <v>-3539.0362299118933</v>
      </c>
      <c r="CU477" s="203" t="e">
        <f t="shared" si="490"/>
        <v>#DIV/0!</v>
      </c>
      <c r="CV477" s="203" t="e">
        <f t="shared" si="491"/>
        <v>#DIV/0!</v>
      </c>
      <c r="CW477" s="203" t="e">
        <f t="shared" si="492"/>
        <v>#DIV/0!</v>
      </c>
      <c r="CX477" s="19" t="e">
        <f t="shared" si="493"/>
        <v>#DIV/0!</v>
      </c>
      <c r="CY477" s="19" t="e">
        <f t="shared" si="494"/>
        <v>#DIV/0!</v>
      </c>
      <c r="CZ477" s="19" t="e">
        <f t="shared" si="495"/>
        <v>#DIV/0!</v>
      </c>
      <c r="DA477" s="203" t="e">
        <f t="shared" si="496"/>
        <v>#DIV/0!</v>
      </c>
      <c r="DB477" s="203" t="e">
        <f t="shared" si="497"/>
        <v>#DIV/0!</v>
      </c>
      <c r="DC477" s="203" t="e">
        <f t="shared" si="498"/>
        <v>#DIV/0!</v>
      </c>
      <c r="DD477" s="65"/>
      <c r="DE477" s="66"/>
      <c r="DF477" s="66"/>
      <c r="DG477" s="66"/>
      <c r="DH477" s="66"/>
      <c r="DI477" s="66"/>
      <c r="DJ477" s="66"/>
      <c r="DK477" s="70"/>
      <c r="DL477" s="70"/>
      <c r="DM477" s="8">
        <f t="shared" si="560"/>
        <v>0</v>
      </c>
      <c r="DN477" s="8">
        <f t="shared" si="561"/>
        <v>3539.0362299118933</v>
      </c>
      <c r="DO477" s="202">
        <f t="shared" si="535"/>
        <v>-3539.0362299118933</v>
      </c>
      <c r="DP477" s="202">
        <f t="shared" si="536"/>
        <v>-3539.0362299118933</v>
      </c>
      <c r="DQ477" s="202">
        <f t="shared" si="537"/>
        <v>-3539.0362299118933</v>
      </c>
      <c r="DR477" s="9">
        <f t="shared" si="538"/>
        <v>-3539.0362299118933</v>
      </c>
      <c r="DS477" s="9">
        <f t="shared" si="501"/>
        <v>-3539.0362299118933</v>
      </c>
      <c r="DT477" s="9">
        <f t="shared" si="539"/>
        <v>-3539.0362299118933</v>
      </c>
      <c r="DU477" s="202">
        <f t="shared" si="540"/>
        <v>-3539.0362299118933</v>
      </c>
      <c r="DV477" s="202">
        <f t="shared" si="541"/>
        <v>-3539.0362299118933</v>
      </c>
      <c r="DW477" s="202">
        <f t="shared" si="542"/>
        <v>-3539.0362299118933</v>
      </c>
      <c r="DX477" s="203" t="e">
        <f t="shared" si="543"/>
        <v>#DIV/0!</v>
      </c>
      <c r="DY477" s="203" t="e">
        <f t="shared" si="544"/>
        <v>#DIV/0!</v>
      </c>
      <c r="DZ477" s="203" t="e">
        <f t="shared" si="545"/>
        <v>#DIV/0!</v>
      </c>
      <c r="EA477" s="19" t="e">
        <f t="shared" si="546"/>
        <v>#DIV/0!</v>
      </c>
      <c r="EB477" s="19" t="e">
        <f t="shared" si="502"/>
        <v>#DIV/0!</v>
      </c>
      <c r="EC477" s="19" t="e">
        <f t="shared" si="547"/>
        <v>#DIV/0!</v>
      </c>
      <c r="ED477" s="203" t="e">
        <f t="shared" si="548"/>
        <v>#DIV/0!</v>
      </c>
      <c r="EE477" s="203" t="e">
        <f t="shared" si="549"/>
        <v>#DIV/0!</v>
      </c>
      <c r="EF477" s="203" t="e">
        <f t="shared" si="550"/>
        <v>#DIV/0!</v>
      </c>
      <c r="EH477" s="58">
        <f t="shared" si="596"/>
        <v>3539.0362299118933</v>
      </c>
      <c r="EI477" s="68" t="e">
        <f t="shared" si="597"/>
        <v>#DIV/0!</v>
      </c>
      <c r="EJ477" s="58">
        <f t="shared" si="598"/>
        <v>3539.0362299118933</v>
      </c>
      <c r="EK477" s="68" t="e">
        <f t="shared" si="597"/>
        <v>#DIV/0!</v>
      </c>
      <c r="EL477" s="58">
        <f t="shared" si="599"/>
        <v>388.55122991189324</v>
      </c>
      <c r="EM477" s="58">
        <f t="shared" si="600"/>
        <v>388.55122991189324</v>
      </c>
      <c r="EN477" s="68" t="e">
        <f t="shared" si="601"/>
        <v>#DIV/0!</v>
      </c>
      <c r="EO477" s="139">
        <f t="shared" si="652"/>
        <v>0.3126447604730192</v>
      </c>
      <c r="EP477">
        <f>+(SUM(M477:O477)*EO477*(1-'[1]Tier 3 Data'!$A$2))</f>
        <v>0</v>
      </c>
    </row>
    <row r="478" spans="1:146" x14ac:dyDescent="0.2">
      <c r="A478" s="43">
        <v>0</v>
      </c>
      <c r="B478" s="43">
        <v>0</v>
      </c>
      <c r="C478" s="43">
        <v>0</v>
      </c>
      <c r="D478" s="70">
        <v>2047</v>
      </c>
      <c r="E478" s="70">
        <v>3</v>
      </c>
      <c r="F478" s="2">
        <v>743</v>
      </c>
      <c r="G478" s="133">
        <f t="shared" si="636"/>
        <v>0</v>
      </c>
      <c r="H478" s="64"/>
      <c r="I478" s="133">
        <f t="shared" si="637"/>
        <v>0</v>
      </c>
      <c r="J478" s="133">
        <f t="shared" si="576"/>
        <v>0</v>
      </c>
      <c r="K478" s="64"/>
      <c r="L478" s="133">
        <f t="shared" si="577"/>
        <v>0</v>
      </c>
      <c r="M478" s="5"/>
      <c r="N478" s="5"/>
      <c r="O478" s="5"/>
      <c r="P478" s="200">
        <f t="shared" si="568"/>
        <v>0</v>
      </c>
      <c r="Q478" s="200">
        <f t="shared" si="569"/>
        <v>0</v>
      </c>
      <c r="R478" s="200">
        <f t="shared" si="570"/>
        <v>0</v>
      </c>
      <c r="S478" s="133">
        <f t="shared" si="638"/>
        <v>0</v>
      </c>
      <c r="T478" s="133">
        <f t="shared" si="639"/>
        <v>0</v>
      </c>
      <c r="U478" s="133">
        <f t="shared" si="640"/>
        <v>0</v>
      </c>
      <c r="V478" s="200">
        <f t="shared" si="571"/>
        <v>0</v>
      </c>
      <c r="W478" s="200">
        <f t="shared" si="572"/>
        <v>0</v>
      </c>
      <c r="X478" s="200">
        <f t="shared" si="573"/>
        <v>0</v>
      </c>
      <c r="Y478" s="58">
        <f t="shared" si="624"/>
        <v>0</v>
      </c>
      <c r="AA478" s="58">
        <f t="shared" si="625"/>
        <v>0</v>
      </c>
      <c r="AB478" s="200">
        <f t="shared" si="611"/>
        <v>0</v>
      </c>
      <c r="AC478" s="200">
        <f t="shared" si="612"/>
        <v>0</v>
      </c>
      <c r="AD478" s="200">
        <f t="shared" si="613"/>
        <v>0</v>
      </c>
      <c r="AE478" s="199">
        <f t="shared" si="517"/>
        <v>0</v>
      </c>
      <c r="AF478" s="199">
        <f t="shared" si="614"/>
        <v>0</v>
      </c>
      <c r="AG478" s="199">
        <f t="shared" si="518"/>
        <v>0</v>
      </c>
      <c r="AH478" s="199">
        <f t="shared" si="641"/>
        <v>0</v>
      </c>
      <c r="AI478" s="200">
        <f t="shared" si="615"/>
        <v>0</v>
      </c>
      <c r="AJ478" s="200">
        <f t="shared" si="616"/>
        <v>0</v>
      </c>
      <c r="AK478" s="200">
        <f t="shared" si="617"/>
        <v>0</v>
      </c>
      <c r="AL478" s="4"/>
      <c r="AM478" s="4"/>
      <c r="AN478" s="4"/>
      <c r="AO478" s="4"/>
      <c r="AP478" s="63"/>
      <c r="AQ478" s="18"/>
      <c r="AR478" s="18"/>
      <c r="AS478" s="18"/>
      <c r="AT478" s="18">
        <v>0</v>
      </c>
      <c r="AU478" s="133">
        <f t="shared" ref="AU478" si="661">+AU466</f>
        <v>87.516000000000005</v>
      </c>
      <c r="AV478" s="133">
        <f t="shared" ref="AV478" si="662">+AV466</f>
        <v>3232.7139999999999</v>
      </c>
      <c r="AW478" s="194"/>
      <c r="AX478" s="194"/>
      <c r="AY478" s="194"/>
      <c r="AZ478" s="194"/>
      <c r="BA478" s="194"/>
      <c r="BB478" s="194"/>
      <c r="BC478" s="65">
        <v>0</v>
      </c>
      <c r="BD478" s="65">
        <v>0</v>
      </c>
      <c r="BE478" s="65">
        <v>0</v>
      </c>
      <c r="BF478" s="65">
        <v>0</v>
      </c>
      <c r="BG478" s="65">
        <v>0</v>
      </c>
      <c r="BH478" s="65">
        <v>0</v>
      </c>
      <c r="BI478" s="65">
        <v>746.83476108552236</v>
      </c>
      <c r="BJ478" s="65">
        <v>0</v>
      </c>
      <c r="BK478" s="65">
        <v>0</v>
      </c>
      <c r="BL478" s="65">
        <v>0</v>
      </c>
      <c r="BM478" s="65">
        <v>0</v>
      </c>
      <c r="BN478" s="65">
        <v>0</v>
      </c>
      <c r="BO478" s="65">
        <v>0</v>
      </c>
      <c r="BP478" s="5"/>
      <c r="BQ478" s="5"/>
      <c r="BR478" s="5"/>
      <c r="BS478" s="63"/>
      <c r="BT478" s="5"/>
      <c r="BU478" s="5"/>
      <c r="BV478" s="144">
        <f t="shared" si="608"/>
        <v>0</v>
      </c>
      <c r="BW478" s="144">
        <f t="shared" si="609"/>
        <v>0</v>
      </c>
      <c r="BX478" s="144">
        <f t="shared" si="610"/>
        <v>0</v>
      </c>
      <c r="BY478" s="5"/>
      <c r="BZ478" s="5"/>
      <c r="CA478" s="4"/>
      <c r="CB478" s="5"/>
      <c r="CC478" s="5"/>
      <c r="CD478" s="5"/>
      <c r="CE478" s="5"/>
      <c r="CF478" s="64"/>
      <c r="CG478" s="70"/>
      <c r="CH478" s="70"/>
      <c r="CI478" s="70"/>
      <c r="CJ478" s="63"/>
      <c r="CK478" s="8">
        <f t="shared" si="559"/>
        <v>4067.0647610855222</v>
      </c>
      <c r="CL478" s="202">
        <f t="shared" si="481"/>
        <v>-4067.0647610855222</v>
      </c>
      <c r="CM478" s="202">
        <f t="shared" si="482"/>
        <v>-4067.0647610855222</v>
      </c>
      <c r="CN478" s="202">
        <f t="shared" si="483"/>
        <v>-4067.0647610855222</v>
      </c>
      <c r="CO478" s="9">
        <f t="shared" si="484"/>
        <v>-4067.0647610855222</v>
      </c>
      <c r="CP478" s="9">
        <f t="shared" si="485"/>
        <v>-4067.0647610855222</v>
      </c>
      <c r="CQ478" s="9">
        <f t="shared" si="486"/>
        <v>-4067.0647610855222</v>
      </c>
      <c r="CR478" s="202">
        <f t="shared" si="487"/>
        <v>-4067.0647610855222</v>
      </c>
      <c r="CS478" s="202">
        <f t="shared" si="488"/>
        <v>-4067.0647610855222</v>
      </c>
      <c r="CT478" s="202">
        <f t="shared" si="489"/>
        <v>-4067.0647610855222</v>
      </c>
      <c r="CU478" s="203" t="e">
        <f t="shared" si="490"/>
        <v>#DIV/0!</v>
      </c>
      <c r="CV478" s="203" t="e">
        <f t="shared" si="491"/>
        <v>#DIV/0!</v>
      </c>
      <c r="CW478" s="203" t="e">
        <f t="shared" si="492"/>
        <v>#DIV/0!</v>
      </c>
      <c r="CX478" s="19" t="e">
        <f t="shared" si="493"/>
        <v>#DIV/0!</v>
      </c>
      <c r="CY478" s="19" t="e">
        <f t="shared" si="494"/>
        <v>#DIV/0!</v>
      </c>
      <c r="CZ478" s="19" t="e">
        <f t="shared" si="495"/>
        <v>#DIV/0!</v>
      </c>
      <c r="DA478" s="203" t="e">
        <f t="shared" si="496"/>
        <v>#DIV/0!</v>
      </c>
      <c r="DB478" s="203" t="e">
        <f t="shared" si="497"/>
        <v>#DIV/0!</v>
      </c>
      <c r="DC478" s="203" t="e">
        <f t="shared" si="498"/>
        <v>#DIV/0!</v>
      </c>
      <c r="DD478" s="65"/>
      <c r="DE478" s="66"/>
      <c r="DF478" s="66"/>
      <c r="DG478" s="66"/>
      <c r="DH478" s="66"/>
      <c r="DI478" s="66"/>
      <c r="DJ478" s="66"/>
      <c r="DK478" s="70"/>
      <c r="DL478" s="70"/>
      <c r="DM478" s="8">
        <f t="shared" si="560"/>
        <v>0</v>
      </c>
      <c r="DN478" s="8">
        <f t="shared" si="561"/>
        <v>4067.0647610855222</v>
      </c>
      <c r="DO478" s="202">
        <f t="shared" si="535"/>
        <v>-4067.0647610855222</v>
      </c>
      <c r="DP478" s="202">
        <f t="shared" si="536"/>
        <v>-4067.0647610855222</v>
      </c>
      <c r="DQ478" s="202">
        <f t="shared" si="537"/>
        <v>-4067.0647610855222</v>
      </c>
      <c r="DR478" s="9">
        <f t="shared" si="538"/>
        <v>-4067.0647610855222</v>
      </c>
      <c r="DS478" s="9">
        <f t="shared" si="501"/>
        <v>-4067.0647610855222</v>
      </c>
      <c r="DT478" s="9">
        <f t="shared" si="539"/>
        <v>-4067.0647610855222</v>
      </c>
      <c r="DU478" s="202">
        <f t="shared" si="540"/>
        <v>-4067.0647610855222</v>
      </c>
      <c r="DV478" s="202">
        <f t="shared" si="541"/>
        <v>-4067.0647610855222</v>
      </c>
      <c r="DW478" s="202">
        <f t="shared" si="542"/>
        <v>-4067.0647610855222</v>
      </c>
      <c r="DX478" s="203" t="e">
        <f t="shared" si="543"/>
        <v>#DIV/0!</v>
      </c>
      <c r="DY478" s="203" t="e">
        <f t="shared" si="544"/>
        <v>#DIV/0!</v>
      </c>
      <c r="DZ478" s="203" t="e">
        <f t="shared" si="545"/>
        <v>#DIV/0!</v>
      </c>
      <c r="EA478" s="19" t="e">
        <f t="shared" si="546"/>
        <v>#DIV/0!</v>
      </c>
      <c r="EB478" s="19" t="e">
        <f t="shared" si="502"/>
        <v>#DIV/0!</v>
      </c>
      <c r="EC478" s="19" t="e">
        <f t="shared" si="547"/>
        <v>#DIV/0!</v>
      </c>
      <c r="ED478" s="203" t="e">
        <f t="shared" si="548"/>
        <v>#DIV/0!</v>
      </c>
      <c r="EE478" s="203" t="e">
        <f t="shared" si="549"/>
        <v>#DIV/0!</v>
      </c>
      <c r="EF478" s="203" t="e">
        <f t="shared" si="550"/>
        <v>#DIV/0!</v>
      </c>
      <c r="EH478" s="58">
        <f t="shared" si="596"/>
        <v>4067.0647610855222</v>
      </c>
      <c r="EI478" s="68" t="e">
        <f t="shared" si="597"/>
        <v>#DIV/0!</v>
      </c>
      <c r="EJ478" s="58">
        <f t="shared" si="598"/>
        <v>4067.0647610855222</v>
      </c>
      <c r="EK478" s="68" t="e">
        <f t="shared" si="597"/>
        <v>#DIV/0!</v>
      </c>
      <c r="EL478" s="58">
        <f t="shared" si="599"/>
        <v>746.83476108552236</v>
      </c>
      <c r="EM478" s="58">
        <f t="shared" si="600"/>
        <v>746.83476108552236</v>
      </c>
      <c r="EN478" s="68" t="e">
        <f t="shared" si="601"/>
        <v>#DIV/0!</v>
      </c>
      <c r="EO478" s="139">
        <f t="shared" si="652"/>
        <v>0.32861286969700848</v>
      </c>
      <c r="EP478">
        <f>+(SUM(M478:O478)*EO478*(1-'[1]Tier 3 Data'!$A$2))</f>
        <v>0</v>
      </c>
    </row>
    <row r="479" spans="1:146" x14ac:dyDescent="0.2">
      <c r="A479" s="43">
        <v>0</v>
      </c>
      <c r="B479" s="43">
        <v>0</v>
      </c>
      <c r="C479" s="43">
        <v>0</v>
      </c>
      <c r="D479" s="70">
        <v>2047</v>
      </c>
      <c r="E479" s="70">
        <v>4</v>
      </c>
      <c r="F479" s="2">
        <v>720</v>
      </c>
      <c r="G479" s="133">
        <f t="shared" si="636"/>
        <v>0</v>
      </c>
      <c r="H479" s="64"/>
      <c r="I479" s="133">
        <f t="shared" si="637"/>
        <v>0</v>
      </c>
      <c r="J479" s="133">
        <f t="shared" si="576"/>
        <v>0</v>
      </c>
      <c r="K479" s="64"/>
      <c r="L479" s="133">
        <f t="shared" si="577"/>
        <v>0</v>
      </c>
      <c r="M479" s="5"/>
      <c r="N479" s="5"/>
      <c r="O479" s="5"/>
      <c r="P479" s="200">
        <f t="shared" si="568"/>
        <v>0</v>
      </c>
      <c r="Q479" s="200">
        <f t="shared" si="569"/>
        <v>0</v>
      </c>
      <c r="R479" s="200">
        <f t="shared" si="570"/>
        <v>0</v>
      </c>
      <c r="S479" s="133">
        <f t="shared" si="638"/>
        <v>0</v>
      </c>
      <c r="T479" s="133">
        <f t="shared" si="639"/>
        <v>0</v>
      </c>
      <c r="U479" s="133">
        <f t="shared" si="640"/>
        <v>0</v>
      </c>
      <c r="V479" s="200">
        <f t="shared" si="571"/>
        <v>0</v>
      </c>
      <c r="W479" s="200">
        <f t="shared" si="572"/>
        <v>0</v>
      </c>
      <c r="X479" s="200">
        <f t="shared" si="573"/>
        <v>0</v>
      </c>
      <c r="Y479" s="58">
        <f t="shared" si="624"/>
        <v>0</v>
      </c>
      <c r="AA479" s="58">
        <f t="shared" si="625"/>
        <v>0</v>
      </c>
      <c r="AB479" s="200">
        <f t="shared" si="611"/>
        <v>0</v>
      </c>
      <c r="AC479" s="200">
        <f t="shared" si="612"/>
        <v>0</v>
      </c>
      <c r="AD479" s="200">
        <f t="shared" si="613"/>
        <v>0</v>
      </c>
      <c r="AE479" s="199">
        <f t="shared" si="517"/>
        <v>0</v>
      </c>
      <c r="AF479" s="199">
        <f t="shared" si="614"/>
        <v>0</v>
      </c>
      <c r="AG479" s="199">
        <f t="shared" si="518"/>
        <v>0</v>
      </c>
      <c r="AH479" s="199">
        <f t="shared" si="641"/>
        <v>0</v>
      </c>
      <c r="AI479" s="200">
        <f t="shared" si="615"/>
        <v>0</v>
      </c>
      <c r="AJ479" s="200">
        <f t="shared" si="616"/>
        <v>0</v>
      </c>
      <c r="AK479" s="200">
        <f t="shared" si="617"/>
        <v>0</v>
      </c>
      <c r="AL479" s="4"/>
      <c r="AM479" s="4"/>
      <c r="AN479" s="4"/>
      <c r="AO479" s="4"/>
      <c r="AP479" s="63"/>
      <c r="AQ479" s="18"/>
      <c r="AR479" s="18"/>
      <c r="AS479" s="18"/>
      <c r="AT479" s="18">
        <v>0</v>
      </c>
      <c r="AU479" s="133">
        <f t="shared" ref="AU479" si="663">+AU467</f>
        <v>96.057000000000002</v>
      </c>
      <c r="AV479" s="133">
        <f t="shared" ref="AV479" si="664">+AV467</f>
        <v>3017.9659999999999</v>
      </c>
      <c r="AW479" s="194"/>
      <c r="AX479" s="194"/>
      <c r="AY479" s="194"/>
      <c r="AZ479" s="194"/>
      <c r="BA479" s="194"/>
      <c r="BB479" s="194"/>
      <c r="BC479" s="65">
        <v>0</v>
      </c>
      <c r="BD479" s="65">
        <v>0</v>
      </c>
      <c r="BE479" s="65">
        <v>0</v>
      </c>
      <c r="BF479" s="65">
        <v>0</v>
      </c>
      <c r="BG479" s="65">
        <v>0</v>
      </c>
      <c r="BH479" s="65">
        <v>0</v>
      </c>
      <c r="BI479" s="65">
        <v>943.09792184688058</v>
      </c>
      <c r="BJ479" s="65">
        <v>0</v>
      </c>
      <c r="BK479" s="65">
        <v>0</v>
      </c>
      <c r="BL479" s="65">
        <v>0</v>
      </c>
      <c r="BM479" s="65">
        <v>0</v>
      </c>
      <c r="BN479" s="65">
        <v>0</v>
      </c>
      <c r="BO479" s="65">
        <v>0</v>
      </c>
      <c r="BP479" s="5"/>
      <c r="BQ479" s="5"/>
      <c r="BR479" s="5"/>
      <c r="BS479" s="63"/>
      <c r="BT479" s="5"/>
      <c r="BU479" s="5"/>
      <c r="BV479" s="144">
        <f t="shared" si="608"/>
        <v>0</v>
      </c>
      <c r="BW479" s="144">
        <f t="shared" si="609"/>
        <v>0</v>
      </c>
      <c r="BX479" s="144">
        <f t="shared" si="610"/>
        <v>0</v>
      </c>
      <c r="BY479" s="5"/>
      <c r="BZ479" s="5"/>
      <c r="CA479" s="4"/>
      <c r="CB479" s="5"/>
      <c r="CC479" s="5"/>
      <c r="CD479" s="5"/>
      <c r="CE479" s="5"/>
      <c r="CF479" s="64"/>
      <c r="CG479" s="70"/>
      <c r="CH479" s="70"/>
      <c r="CI479" s="70"/>
      <c r="CJ479" s="63"/>
      <c r="CK479" s="8">
        <f t="shared" si="559"/>
        <v>4057.1209218468803</v>
      </c>
      <c r="CL479" s="202">
        <f t="shared" si="481"/>
        <v>-4057.1209218468803</v>
      </c>
      <c r="CM479" s="202">
        <f t="shared" si="482"/>
        <v>-4057.1209218468803</v>
      </c>
      <c r="CN479" s="202">
        <f t="shared" si="483"/>
        <v>-4057.1209218468803</v>
      </c>
      <c r="CO479" s="9">
        <f t="shared" si="484"/>
        <v>-4057.1209218468803</v>
      </c>
      <c r="CP479" s="9">
        <f t="shared" si="485"/>
        <v>-4057.1209218468803</v>
      </c>
      <c r="CQ479" s="9">
        <f t="shared" si="486"/>
        <v>-4057.1209218468803</v>
      </c>
      <c r="CR479" s="202">
        <f t="shared" si="487"/>
        <v>-4057.1209218468803</v>
      </c>
      <c r="CS479" s="202">
        <f t="shared" si="488"/>
        <v>-4057.1209218468803</v>
      </c>
      <c r="CT479" s="202">
        <f t="shared" si="489"/>
        <v>-4057.1209218468803</v>
      </c>
      <c r="CU479" s="203" t="e">
        <f t="shared" si="490"/>
        <v>#DIV/0!</v>
      </c>
      <c r="CV479" s="203" t="e">
        <f t="shared" si="491"/>
        <v>#DIV/0!</v>
      </c>
      <c r="CW479" s="203" t="e">
        <f t="shared" si="492"/>
        <v>#DIV/0!</v>
      </c>
      <c r="CX479" s="19" t="e">
        <f t="shared" si="493"/>
        <v>#DIV/0!</v>
      </c>
      <c r="CY479" s="19" t="e">
        <f t="shared" si="494"/>
        <v>#DIV/0!</v>
      </c>
      <c r="CZ479" s="19" t="e">
        <f t="shared" si="495"/>
        <v>#DIV/0!</v>
      </c>
      <c r="DA479" s="203" t="e">
        <f t="shared" si="496"/>
        <v>#DIV/0!</v>
      </c>
      <c r="DB479" s="203" t="e">
        <f t="shared" si="497"/>
        <v>#DIV/0!</v>
      </c>
      <c r="DC479" s="203" t="e">
        <f t="shared" si="498"/>
        <v>#DIV/0!</v>
      </c>
      <c r="DD479" s="65"/>
      <c r="DE479" s="66"/>
      <c r="DF479" s="66"/>
      <c r="DG479" s="66"/>
      <c r="DH479" s="66"/>
      <c r="DI479" s="66"/>
      <c r="DJ479" s="66"/>
      <c r="DK479" s="70"/>
      <c r="DL479" s="70"/>
      <c r="DM479" s="8">
        <f t="shared" si="560"/>
        <v>0</v>
      </c>
      <c r="DN479" s="8">
        <f t="shared" si="561"/>
        <v>4057.1209218468803</v>
      </c>
      <c r="DO479" s="202">
        <f t="shared" si="535"/>
        <v>-4057.1209218468803</v>
      </c>
      <c r="DP479" s="202">
        <f t="shared" si="536"/>
        <v>-4057.1209218468803</v>
      </c>
      <c r="DQ479" s="202">
        <f t="shared" si="537"/>
        <v>-4057.1209218468803</v>
      </c>
      <c r="DR479" s="9">
        <f t="shared" si="538"/>
        <v>-4057.1209218468803</v>
      </c>
      <c r="DS479" s="9">
        <f t="shared" si="501"/>
        <v>-4057.1209218468803</v>
      </c>
      <c r="DT479" s="9">
        <f t="shared" si="539"/>
        <v>-4057.1209218468803</v>
      </c>
      <c r="DU479" s="202">
        <f t="shared" si="540"/>
        <v>-4057.1209218468803</v>
      </c>
      <c r="DV479" s="202">
        <f t="shared" si="541"/>
        <v>-4057.1209218468803</v>
      </c>
      <c r="DW479" s="202">
        <f t="shared" si="542"/>
        <v>-4057.1209218468803</v>
      </c>
      <c r="DX479" s="203" t="e">
        <f t="shared" si="543"/>
        <v>#DIV/0!</v>
      </c>
      <c r="DY479" s="203" t="e">
        <f t="shared" si="544"/>
        <v>#DIV/0!</v>
      </c>
      <c r="DZ479" s="203" t="e">
        <f t="shared" si="545"/>
        <v>#DIV/0!</v>
      </c>
      <c r="EA479" s="19" t="e">
        <f t="shared" si="546"/>
        <v>#DIV/0!</v>
      </c>
      <c r="EB479" s="19" t="e">
        <f t="shared" si="502"/>
        <v>#DIV/0!</v>
      </c>
      <c r="EC479" s="19" t="e">
        <f t="shared" si="547"/>
        <v>#DIV/0!</v>
      </c>
      <c r="ED479" s="203" t="e">
        <f t="shared" si="548"/>
        <v>#DIV/0!</v>
      </c>
      <c r="EE479" s="203" t="e">
        <f t="shared" si="549"/>
        <v>#DIV/0!</v>
      </c>
      <c r="EF479" s="203" t="e">
        <f t="shared" si="550"/>
        <v>#DIV/0!</v>
      </c>
      <c r="EH479" s="58">
        <f t="shared" si="596"/>
        <v>4057.1209218468803</v>
      </c>
      <c r="EI479" s="68" t="e">
        <f t="shared" si="597"/>
        <v>#DIV/0!</v>
      </c>
      <c r="EJ479" s="58">
        <f t="shared" si="598"/>
        <v>4057.1209218468803</v>
      </c>
      <c r="EK479" s="68" t="e">
        <f t="shared" si="597"/>
        <v>#DIV/0!</v>
      </c>
      <c r="EL479" s="58">
        <f t="shared" si="599"/>
        <v>943.09792184688058</v>
      </c>
      <c r="EM479" s="58">
        <f t="shared" si="600"/>
        <v>943.09792184688058</v>
      </c>
      <c r="EN479" s="68" t="e">
        <f t="shared" si="601"/>
        <v>#DIV/0!</v>
      </c>
      <c r="EO479" s="139">
        <f t="shared" si="652"/>
        <v>0.35351678044029999</v>
      </c>
      <c r="EP479">
        <f>+(SUM(M479:O479)*EO479*(1-'[1]Tier 3 Data'!$A$2))</f>
        <v>0</v>
      </c>
    </row>
    <row r="480" spans="1:146" x14ac:dyDescent="0.2">
      <c r="A480" s="43">
        <v>0</v>
      </c>
      <c r="B480" s="43">
        <v>0</v>
      </c>
      <c r="C480" s="43">
        <v>0</v>
      </c>
      <c r="D480" s="70">
        <v>2047</v>
      </c>
      <c r="E480" s="70">
        <v>5</v>
      </c>
      <c r="F480" s="2">
        <v>744</v>
      </c>
      <c r="G480" s="133">
        <f t="shared" si="636"/>
        <v>0</v>
      </c>
      <c r="H480" s="64"/>
      <c r="I480" s="133">
        <f t="shared" si="637"/>
        <v>0</v>
      </c>
      <c r="J480" s="133">
        <f t="shared" si="576"/>
        <v>0</v>
      </c>
      <c r="K480" s="64"/>
      <c r="L480" s="133">
        <f t="shared" si="577"/>
        <v>0</v>
      </c>
      <c r="M480" s="5"/>
      <c r="N480" s="5"/>
      <c r="O480" s="5"/>
      <c r="P480" s="200">
        <f t="shared" si="568"/>
        <v>0</v>
      </c>
      <c r="Q480" s="200">
        <f t="shared" si="569"/>
        <v>0</v>
      </c>
      <c r="R480" s="200">
        <f t="shared" si="570"/>
        <v>0</v>
      </c>
      <c r="S480" s="133">
        <f t="shared" si="638"/>
        <v>0</v>
      </c>
      <c r="T480" s="133">
        <f t="shared" si="639"/>
        <v>0</v>
      </c>
      <c r="U480" s="133">
        <f t="shared" si="640"/>
        <v>0</v>
      </c>
      <c r="V480" s="200">
        <f t="shared" si="571"/>
        <v>0</v>
      </c>
      <c r="W480" s="200">
        <f t="shared" si="572"/>
        <v>0</v>
      </c>
      <c r="X480" s="200">
        <f t="shared" si="573"/>
        <v>0</v>
      </c>
      <c r="Y480" s="58">
        <f t="shared" si="624"/>
        <v>0</v>
      </c>
      <c r="AA480" s="58">
        <f t="shared" si="625"/>
        <v>0</v>
      </c>
      <c r="AB480" s="200">
        <f t="shared" si="611"/>
        <v>0</v>
      </c>
      <c r="AC480" s="200">
        <f t="shared" si="612"/>
        <v>0</v>
      </c>
      <c r="AD480" s="200">
        <f t="shared" si="613"/>
        <v>0</v>
      </c>
      <c r="AE480" s="199">
        <f t="shared" si="517"/>
        <v>0</v>
      </c>
      <c r="AF480" s="199">
        <f t="shared" si="614"/>
        <v>0</v>
      </c>
      <c r="AG480" s="199">
        <f t="shared" si="518"/>
        <v>0</v>
      </c>
      <c r="AH480" s="199">
        <f t="shared" si="641"/>
        <v>0</v>
      </c>
      <c r="AI480" s="200">
        <f t="shared" si="615"/>
        <v>0</v>
      </c>
      <c r="AJ480" s="200">
        <f t="shared" si="616"/>
        <v>0</v>
      </c>
      <c r="AK480" s="200">
        <f t="shared" si="617"/>
        <v>0</v>
      </c>
      <c r="AL480" s="4"/>
      <c r="AM480" s="4"/>
      <c r="AN480" s="4"/>
      <c r="AO480" s="4"/>
      <c r="AP480" s="63"/>
      <c r="AQ480" s="18"/>
      <c r="AR480" s="18"/>
      <c r="AS480" s="18"/>
      <c r="AT480" s="18">
        <v>0</v>
      </c>
      <c r="AU480" s="133">
        <f t="shared" ref="AU480" si="665">+AU468</f>
        <v>109.161</v>
      </c>
      <c r="AV480" s="133">
        <f t="shared" ref="AV480" si="666">+AV468</f>
        <v>3327.41</v>
      </c>
      <c r="AW480" s="194"/>
      <c r="AX480" s="194"/>
      <c r="AY480" s="194"/>
      <c r="AZ480" s="194"/>
      <c r="BA480" s="194"/>
      <c r="BB480" s="194"/>
      <c r="BC480" s="65">
        <v>0</v>
      </c>
      <c r="BD480" s="65">
        <v>0</v>
      </c>
      <c r="BE480" s="65">
        <v>0</v>
      </c>
      <c r="BF480" s="65">
        <v>0</v>
      </c>
      <c r="BG480" s="65">
        <v>0</v>
      </c>
      <c r="BH480" s="65">
        <v>0</v>
      </c>
      <c r="BI480" s="65">
        <v>947.15572432526108</v>
      </c>
      <c r="BJ480" s="65">
        <v>0</v>
      </c>
      <c r="BK480" s="65">
        <v>0</v>
      </c>
      <c r="BL480" s="65">
        <v>0</v>
      </c>
      <c r="BM480" s="65">
        <v>0</v>
      </c>
      <c r="BN480" s="65">
        <v>0</v>
      </c>
      <c r="BO480" s="65">
        <v>0</v>
      </c>
      <c r="BP480" s="5"/>
      <c r="BQ480" s="5"/>
      <c r="BR480" s="5"/>
      <c r="BS480" s="63"/>
      <c r="BT480" s="5"/>
      <c r="BU480" s="5"/>
      <c r="BV480" s="144">
        <f t="shared" si="608"/>
        <v>0</v>
      </c>
      <c r="BW480" s="144">
        <f t="shared" si="609"/>
        <v>0</v>
      </c>
      <c r="BX480" s="144">
        <f t="shared" si="610"/>
        <v>0</v>
      </c>
      <c r="BY480" s="5"/>
      <c r="BZ480" s="5"/>
      <c r="CA480" s="4"/>
      <c r="CB480" s="5"/>
      <c r="CC480" s="5"/>
      <c r="CD480" s="5"/>
      <c r="CE480" s="5"/>
      <c r="CF480" s="64"/>
      <c r="CG480" s="70"/>
      <c r="CH480" s="70"/>
      <c r="CI480" s="70"/>
      <c r="CJ480" s="63"/>
      <c r="CK480" s="8">
        <f t="shared" si="559"/>
        <v>4383.7267243252609</v>
      </c>
      <c r="CL480" s="202">
        <f t="shared" si="481"/>
        <v>-4383.7267243252609</v>
      </c>
      <c r="CM480" s="202">
        <f t="shared" si="482"/>
        <v>-4383.7267243252609</v>
      </c>
      <c r="CN480" s="202">
        <f t="shared" si="483"/>
        <v>-4383.7267243252609</v>
      </c>
      <c r="CO480" s="9">
        <f t="shared" si="484"/>
        <v>-4383.7267243252609</v>
      </c>
      <c r="CP480" s="9">
        <f t="shared" si="485"/>
        <v>-4383.7267243252609</v>
      </c>
      <c r="CQ480" s="9">
        <f t="shared" si="486"/>
        <v>-4383.7267243252609</v>
      </c>
      <c r="CR480" s="202">
        <f t="shared" si="487"/>
        <v>-4383.7267243252609</v>
      </c>
      <c r="CS480" s="202">
        <f t="shared" si="488"/>
        <v>-4383.7267243252609</v>
      </c>
      <c r="CT480" s="202">
        <f t="shared" si="489"/>
        <v>-4383.7267243252609</v>
      </c>
      <c r="CU480" s="203" t="e">
        <f t="shared" si="490"/>
        <v>#DIV/0!</v>
      </c>
      <c r="CV480" s="203" t="e">
        <f t="shared" si="491"/>
        <v>#DIV/0!</v>
      </c>
      <c r="CW480" s="203" t="e">
        <f t="shared" si="492"/>
        <v>#DIV/0!</v>
      </c>
      <c r="CX480" s="19" t="e">
        <f t="shared" si="493"/>
        <v>#DIV/0!</v>
      </c>
      <c r="CY480" s="19" t="e">
        <f t="shared" si="494"/>
        <v>#DIV/0!</v>
      </c>
      <c r="CZ480" s="19" t="e">
        <f t="shared" si="495"/>
        <v>#DIV/0!</v>
      </c>
      <c r="DA480" s="203" t="e">
        <f t="shared" si="496"/>
        <v>#DIV/0!</v>
      </c>
      <c r="DB480" s="203" t="e">
        <f t="shared" si="497"/>
        <v>#DIV/0!</v>
      </c>
      <c r="DC480" s="203" t="e">
        <f t="shared" si="498"/>
        <v>#DIV/0!</v>
      </c>
      <c r="DD480" s="65"/>
      <c r="DE480" s="66"/>
      <c r="DF480" s="66"/>
      <c r="DG480" s="66"/>
      <c r="DH480" s="66"/>
      <c r="DI480" s="66"/>
      <c r="DJ480" s="66"/>
      <c r="DK480" s="70"/>
      <c r="DL480" s="70"/>
      <c r="DM480" s="8">
        <f t="shared" si="560"/>
        <v>0</v>
      </c>
      <c r="DN480" s="8">
        <f t="shared" si="561"/>
        <v>4383.7267243252609</v>
      </c>
      <c r="DO480" s="202">
        <f t="shared" si="535"/>
        <v>-4383.7267243252609</v>
      </c>
      <c r="DP480" s="202">
        <f t="shared" si="536"/>
        <v>-4383.7267243252609</v>
      </c>
      <c r="DQ480" s="202">
        <f t="shared" si="537"/>
        <v>-4383.7267243252609</v>
      </c>
      <c r="DR480" s="9">
        <f t="shared" si="538"/>
        <v>-4383.7267243252609</v>
      </c>
      <c r="DS480" s="9">
        <f t="shared" si="501"/>
        <v>-4383.7267243252609</v>
      </c>
      <c r="DT480" s="9">
        <f t="shared" si="539"/>
        <v>-4383.7267243252609</v>
      </c>
      <c r="DU480" s="202">
        <f t="shared" si="540"/>
        <v>-4383.7267243252609</v>
      </c>
      <c r="DV480" s="202">
        <f t="shared" si="541"/>
        <v>-4383.7267243252609</v>
      </c>
      <c r="DW480" s="202">
        <f t="shared" si="542"/>
        <v>-4383.7267243252609</v>
      </c>
      <c r="DX480" s="203" t="e">
        <f t="shared" si="543"/>
        <v>#DIV/0!</v>
      </c>
      <c r="DY480" s="203" t="e">
        <f t="shared" si="544"/>
        <v>#DIV/0!</v>
      </c>
      <c r="DZ480" s="203" t="e">
        <f t="shared" si="545"/>
        <v>#DIV/0!</v>
      </c>
      <c r="EA480" s="19" t="e">
        <f t="shared" si="546"/>
        <v>#DIV/0!</v>
      </c>
      <c r="EB480" s="19" t="e">
        <f t="shared" si="502"/>
        <v>#DIV/0!</v>
      </c>
      <c r="EC480" s="19" t="e">
        <f t="shared" si="547"/>
        <v>#DIV/0!</v>
      </c>
      <c r="ED480" s="203" t="e">
        <f t="shared" si="548"/>
        <v>#DIV/0!</v>
      </c>
      <c r="EE480" s="203" t="e">
        <f t="shared" si="549"/>
        <v>#DIV/0!</v>
      </c>
      <c r="EF480" s="203" t="e">
        <f t="shared" si="550"/>
        <v>#DIV/0!</v>
      </c>
      <c r="EH480" s="58">
        <f t="shared" si="596"/>
        <v>4383.7267243252609</v>
      </c>
      <c r="EI480" s="68" t="e">
        <f t="shared" si="597"/>
        <v>#DIV/0!</v>
      </c>
      <c r="EJ480" s="58">
        <f t="shared" si="598"/>
        <v>4383.7267243252609</v>
      </c>
      <c r="EK480" s="68" t="e">
        <f t="shared" si="597"/>
        <v>#DIV/0!</v>
      </c>
      <c r="EL480" s="58">
        <f t="shared" si="599"/>
        <v>947.15572432526108</v>
      </c>
      <c r="EM480" s="58">
        <f t="shared" si="600"/>
        <v>947.15572432526108</v>
      </c>
      <c r="EN480" s="68" t="e">
        <f t="shared" si="601"/>
        <v>#DIV/0!</v>
      </c>
      <c r="EO480" s="139">
        <f t="shared" si="652"/>
        <v>0.28868615856523006</v>
      </c>
      <c r="EP480">
        <f>+(SUM(M480:O480)*EO480*(1-'[1]Tier 3 Data'!$A$2))</f>
        <v>0</v>
      </c>
    </row>
    <row r="481" spans="1:146" x14ac:dyDescent="0.2">
      <c r="A481" s="43">
        <v>0</v>
      </c>
      <c r="B481" s="43">
        <v>0</v>
      </c>
      <c r="C481" s="43">
        <v>0</v>
      </c>
      <c r="D481" s="70">
        <v>2047</v>
      </c>
      <c r="E481" s="70">
        <v>6</v>
      </c>
      <c r="F481" s="2">
        <v>720</v>
      </c>
      <c r="G481" s="133">
        <f t="shared" si="636"/>
        <v>0</v>
      </c>
      <c r="H481" s="64"/>
      <c r="I481" s="133">
        <f t="shared" si="637"/>
        <v>0</v>
      </c>
      <c r="J481" s="133">
        <f t="shared" si="576"/>
        <v>0</v>
      </c>
      <c r="K481" s="64"/>
      <c r="L481" s="133">
        <f t="shared" si="577"/>
        <v>0</v>
      </c>
      <c r="M481" s="5"/>
      <c r="N481" s="5"/>
      <c r="O481" s="5"/>
      <c r="P481" s="200">
        <f t="shared" si="568"/>
        <v>0</v>
      </c>
      <c r="Q481" s="200">
        <f t="shared" si="569"/>
        <v>0</v>
      </c>
      <c r="R481" s="200">
        <f t="shared" si="570"/>
        <v>0</v>
      </c>
      <c r="S481" s="133">
        <f t="shared" si="638"/>
        <v>0</v>
      </c>
      <c r="T481" s="133">
        <f t="shared" si="639"/>
        <v>0</v>
      </c>
      <c r="U481" s="133">
        <f t="shared" si="640"/>
        <v>0</v>
      </c>
      <c r="V481" s="200">
        <f t="shared" si="571"/>
        <v>0</v>
      </c>
      <c r="W481" s="200">
        <f t="shared" si="572"/>
        <v>0</v>
      </c>
      <c r="X481" s="200">
        <f t="shared" si="573"/>
        <v>0</v>
      </c>
      <c r="Y481" s="58">
        <f t="shared" si="624"/>
        <v>0</v>
      </c>
      <c r="AA481" s="58">
        <f t="shared" si="625"/>
        <v>0</v>
      </c>
      <c r="AB481" s="200">
        <f t="shared" si="611"/>
        <v>0</v>
      </c>
      <c r="AC481" s="200">
        <f t="shared" si="612"/>
        <v>0</v>
      </c>
      <c r="AD481" s="200">
        <f t="shared" si="613"/>
        <v>0</v>
      </c>
      <c r="AE481" s="199">
        <f t="shared" si="517"/>
        <v>0</v>
      </c>
      <c r="AF481" s="199">
        <f t="shared" si="614"/>
        <v>0</v>
      </c>
      <c r="AG481" s="199">
        <f t="shared" si="518"/>
        <v>0</v>
      </c>
      <c r="AH481" s="199">
        <f t="shared" si="641"/>
        <v>0</v>
      </c>
      <c r="AI481" s="200">
        <f t="shared" si="615"/>
        <v>0</v>
      </c>
      <c r="AJ481" s="200">
        <f t="shared" si="616"/>
        <v>0</v>
      </c>
      <c r="AK481" s="200">
        <f t="shared" si="617"/>
        <v>0</v>
      </c>
      <c r="AL481" s="4"/>
      <c r="AM481" s="4"/>
      <c r="AN481" s="4"/>
      <c r="AO481" s="4"/>
      <c r="AP481" s="63"/>
      <c r="AQ481" s="18"/>
      <c r="AR481" s="18"/>
      <c r="AS481" s="18"/>
      <c r="AT481" s="18">
        <v>0</v>
      </c>
      <c r="AU481" s="133">
        <f t="shared" ref="AU481" si="667">+AU469</f>
        <v>128.934</v>
      </c>
      <c r="AV481" s="133">
        <f t="shared" ref="AV481" si="668">+AV469</f>
        <v>3110.2840000000001</v>
      </c>
      <c r="AW481" s="194"/>
      <c r="AX481" s="194"/>
      <c r="AY481" s="194"/>
      <c r="AZ481" s="194"/>
      <c r="BA481" s="194"/>
      <c r="BB481" s="194"/>
      <c r="BC481" s="65">
        <v>0</v>
      </c>
      <c r="BD481" s="65">
        <v>0</v>
      </c>
      <c r="BE481" s="65">
        <v>0</v>
      </c>
      <c r="BF481" s="65">
        <v>0</v>
      </c>
      <c r="BG481" s="65">
        <v>0</v>
      </c>
      <c r="BH481" s="65">
        <v>0</v>
      </c>
      <c r="BI481" s="65">
        <v>838.81111144973113</v>
      </c>
      <c r="BJ481" s="65">
        <v>0</v>
      </c>
      <c r="BK481" s="65">
        <v>0</v>
      </c>
      <c r="BL481" s="65">
        <v>0</v>
      </c>
      <c r="BM481" s="65">
        <v>0</v>
      </c>
      <c r="BN481" s="65">
        <v>0</v>
      </c>
      <c r="BO481" s="65">
        <v>0</v>
      </c>
      <c r="BP481" s="5"/>
      <c r="BQ481" s="5"/>
      <c r="BR481" s="5"/>
      <c r="BS481" s="63"/>
      <c r="BT481" s="5"/>
      <c r="BU481" s="5"/>
      <c r="BV481" s="144">
        <f t="shared" si="608"/>
        <v>0</v>
      </c>
      <c r="BW481" s="144">
        <f t="shared" si="609"/>
        <v>0</v>
      </c>
      <c r="BX481" s="144">
        <f t="shared" si="610"/>
        <v>0</v>
      </c>
      <c r="BY481" s="5"/>
      <c r="BZ481" s="5"/>
      <c r="CA481" s="4"/>
      <c r="CB481" s="5"/>
      <c r="CC481" s="5"/>
      <c r="CD481" s="5"/>
      <c r="CE481" s="5"/>
      <c r="CF481" s="64"/>
      <c r="CG481" s="70"/>
      <c r="CH481" s="70"/>
      <c r="CI481" s="70"/>
      <c r="CJ481" s="63"/>
      <c r="CK481" s="8">
        <f t="shared" si="559"/>
        <v>4078.0291114497313</v>
      </c>
      <c r="CL481" s="202">
        <f t="shared" si="481"/>
        <v>-4078.0291114497313</v>
      </c>
      <c r="CM481" s="202">
        <f t="shared" si="482"/>
        <v>-4078.0291114497313</v>
      </c>
      <c r="CN481" s="202">
        <f t="shared" si="483"/>
        <v>-4078.0291114497313</v>
      </c>
      <c r="CO481" s="9">
        <f t="shared" si="484"/>
        <v>-4078.0291114497313</v>
      </c>
      <c r="CP481" s="9">
        <f t="shared" si="485"/>
        <v>-4078.0291114497313</v>
      </c>
      <c r="CQ481" s="9">
        <f t="shared" si="486"/>
        <v>-4078.0291114497313</v>
      </c>
      <c r="CR481" s="202">
        <f t="shared" si="487"/>
        <v>-4078.0291114497313</v>
      </c>
      <c r="CS481" s="202">
        <f t="shared" si="488"/>
        <v>-4078.0291114497313</v>
      </c>
      <c r="CT481" s="202">
        <f t="shared" si="489"/>
        <v>-4078.0291114497313</v>
      </c>
      <c r="CU481" s="203" t="e">
        <f t="shared" si="490"/>
        <v>#DIV/0!</v>
      </c>
      <c r="CV481" s="203" t="e">
        <f t="shared" si="491"/>
        <v>#DIV/0!</v>
      </c>
      <c r="CW481" s="203" t="e">
        <f t="shared" si="492"/>
        <v>#DIV/0!</v>
      </c>
      <c r="CX481" s="19" t="e">
        <f t="shared" si="493"/>
        <v>#DIV/0!</v>
      </c>
      <c r="CY481" s="19" t="e">
        <f t="shared" si="494"/>
        <v>#DIV/0!</v>
      </c>
      <c r="CZ481" s="19" t="e">
        <f t="shared" si="495"/>
        <v>#DIV/0!</v>
      </c>
      <c r="DA481" s="203" t="e">
        <f t="shared" si="496"/>
        <v>#DIV/0!</v>
      </c>
      <c r="DB481" s="203" t="e">
        <f t="shared" si="497"/>
        <v>#DIV/0!</v>
      </c>
      <c r="DC481" s="203" t="e">
        <f t="shared" si="498"/>
        <v>#DIV/0!</v>
      </c>
      <c r="DD481" s="65"/>
      <c r="DE481" s="66"/>
      <c r="DF481" s="66"/>
      <c r="DG481" s="66"/>
      <c r="DH481" s="66"/>
      <c r="DI481" s="66"/>
      <c r="DJ481" s="66"/>
      <c r="DK481" s="70"/>
      <c r="DL481" s="70"/>
      <c r="DM481" s="8">
        <f t="shared" si="560"/>
        <v>0</v>
      </c>
      <c r="DN481" s="8">
        <f t="shared" si="561"/>
        <v>4078.0291114497313</v>
      </c>
      <c r="DO481" s="202">
        <f t="shared" si="535"/>
        <v>-4078.0291114497313</v>
      </c>
      <c r="DP481" s="202">
        <f t="shared" si="536"/>
        <v>-4078.0291114497313</v>
      </c>
      <c r="DQ481" s="202">
        <f t="shared" si="537"/>
        <v>-4078.0291114497313</v>
      </c>
      <c r="DR481" s="9">
        <f t="shared" si="538"/>
        <v>-4078.0291114497313</v>
      </c>
      <c r="DS481" s="9">
        <f t="shared" si="501"/>
        <v>-4078.0291114497313</v>
      </c>
      <c r="DT481" s="9">
        <f t="shared" si="539"/>
        <v>-4078.0291114497313</v>
      </c>
      <c r="DU481" s="202">
        <f t="shared" si="540"/>
        <v>-4078.0291114497313</v>
      </c>
      <c r="DV481" s="202">
        <f t="shared" si="541"/>
        <v>-4078.0291114497313</v>
      </c>
      <c r="DW481" s="202">
        <f t="shared" si="542"/>
        <v>-4078.0291114497313</v>
      </c>
      <c r="DX481" s="203" t="e">
        <f t="shared" si="543"/>
        <v>#DIV/0!</v>
      </c>
      <c r="DY481" s="203" t="e">
        <f t="shared" si="544"/>
        <v>#DIV/0!</v>
      </c>
      <c r="DZ481" s="203" t="e">
        <f t="shared" si="545"/>
        <v>#DIV/0!</v>
      </c>
      <c r="EA481" s="19" t="e">
        <f t="shared" si="546"/>
        <v>#DIV/0!</v>
      </c>
      <c r="EB481" s="19" t="e">
        <f t="shared" si="502"/>
        <v>#DIV/0!</v>
      </c>
      <c r="EC481" s="19" t="e">
        <f t="shared" si="547"/>
        <v>#DIV/0!</v>
      </c>
      <c r="ED481" s="203" t="e">
        <f t="shared" si="548"/>
        <v>#DIV/0!</v>
      </c>
      <c r="EE481" s="203" t="e">
        <f t="shared" si="549"/>
        <v>#DIV/0!</v>
      </c>
      <c r="EF481" s="203" t="e">
        <f t="shared" si="550"/>
        <v>#DIV/0!</v>
      </c>
      <c r="EH481" s="58">
        <f t="shared" si="596"/>
        <v>4078.0291114497313</v>
      </c>
      <c r="EI481" s="68" t="e">
        <f t="shared" si="597"/>
        <v>#DIV/0!</v>
      </c>
      <c r="EJ481" s="58">
        <f t="shared" si="598"/>
        <v>4078.0291114497313</v>
      </c>
      <c r="EK481" s="68" t="e">
        <f t="shared" si="597"/>
        <v>#DIV/0!</v>
      </c>
      <c r="EL481" s="58">
        <f t="shared" si="599"/>
        <v>838.81111144973113</v>
      </c>
      <c r="EM481" s="58">
        <f t="shared" si="600"/>
        <v>838.81111144973113</v>
      </c>
      <c r="EN481" s="68" t="e">
        <f t="shared" si="601"/>
        <v>#DIV/0!</v>
      </c>
      <c r="EO481" s="139">
        <f t="shared" si="652"/>
        <v>0.24029016665052916</v>
      </c>
      <c r="EP481">
        <f>+(SUM(M481:O481)*EO481*(1-'[1]Tier 3 Data'!$A$2))</f>
        <v>0</v>
      </c>
    </row>
    <row r="482" spans="1:146" x14ac:dyDescent="0.2">
      <c r="A482" s="43">
        <v>0</v>
      </c>
      <c r="B482" s="43">
        <v>0</v>
      </c>
      <c r="C482" s="43">
        <v>0</v>
      </c>
      <c r="D482" s="70">
        <v>2047</v>
      </c>
      <c r="E482" s="70">
        <v>7</v>
      </c>
      <c r="F482" s="2">
        <v>744</v>
      </c>
      <c r="G482" s="133">
        <f t="shared" si="636"/>
        <v>0</v>
      </c>
      <c r="H482" s="64"/>
      <c r="I482" s="133">
        <f t="shared" si="637"/>
        <v>0</v>
      </c>
      <c r="J482" s="133">
        <f t="shared" si="576"/>
        <v>0</v>
      </c>
      <c r="K482" s="64"/>
      <c r="L482" s="133">
        <f t="shared" si="577"/>
        <v>0</v>
      </c>
      <c r="M482" s="5"/>
      <c r="N482" s="5"/>
      <c r="O482" s="5"/>
      <c r="P482" s="200">
        <f t="shared" si="568"/>
        <v>0</v>
      </c>
      <c r="Q482" s="200">
        <f t="shared" si="569"/>
        <v>0</v>
      </c>
      <c r="R482" s="200">
        <f t="shared" si="570"/>
        <v>0</v>
      </c>
      <c r="S482" s="133">
        <f t="shared" si="638"/>
        <v>0</v>
      </c>
      <c r="T482" s="133">
        <f t="shared" si="639"/>
        <v>0</v>
      </c>
      <c r="U482" s="133">
        <f t="shared" si="640"/>
        <v>0</v>
      </c>
      <c r="V482" s="200">
        <f t="shared" si="571"/>
        <v>0</v>
      </c>
      <c r="W482" s="200">
        <f t="shared" si="572"/>
        <v>0</v>
      </c>
      <c r="X482" s="200">
        <f t="shared" si="573"/>
        <v>0</v>
      </c>
      <c r="Y482" s="58">
        <f t="shared" si="624"/>
        <v>0</v>
      </c>
      <c r="AA482" s="58">
        <f t="shared" si="625"/>
        <v>0</v>
      </c>
      <c r="AB482" s="200">
        <f t="shared" si="611"/>
        <v>0</v>
      </c>
      <c r="AC482" s="200">
        <f t="shared" si="612"/>
        <v>0</v>
      </c>
      <c r="AD482" s="200">
        <f t="shared" si="613"/>
        <v>0</v>
      </c>
      <c r="AE482" s="199">
        <f t="shared" si="517"/>
        <v>0</v>
      </c>
      <c r="AF482" s="199">
        <f t="shared" si="614"/>
        <v>0</v>
      </c>
      <c r="AG482" s="199">
        <f t="shared" si="518"/>
        <v>0</v>
      </c>
      <c r="AH482" s="199">
        <f t="shared" si="641"/>
        <v>0</v>
      </c>
      <c r="AI482" s="200">
        <f t="shared" si="615"/>
        <v>0</v>
      </c>
      <c r="AJ482" s="200">
        <f t="shared" si="616"/>
        <v>0</v>
      </c>
      <c r="AK482" s="200">
        <f t="shared" si="617"/>
        <v>0</v>
      </c>
      <c r="AL482" s="4"/>
      <c r="AM482" s="4"/>
      <c r="AN482" s="4"/>
      <c r="AO482" s="4"/>
      <c r="AP482" s="63"/>
      <c r="AQ482" s="18"/>
      <c r="AR482" s="18"/>
      <c r="AS482" s="18"/>
      <c r="AT482" s="18">
        <v>0</v>
      </c>
      <c r="AU482" s="133">
        <f t="shared" ref="AU482" si="669">+AU470</f>
        <v>118.521</v>
      </c>
      <c r="AV482" s="133">
        <f t="shared" ref="AV482" si="670">+AV470</f>
        <v>3084.53</v>
      </c>
      <c r="AW482" s="194"/>
      <c r="AX482" s="194"/>
      <c r="AY482" s="194"/>
      <c r="AZ482" s="194"/>
      <c r="BA482" s="194"/>
      <c r="BB482" s="194"/>
      <c r="BC482" s="65">
        <v>0</v>
      </c>
      <c r="BD482" s="65">
        <v>0</v>
      </c>
      <c r="BE482" s="65">
        <v>0</v>
      </c>
      <c r="BF482" s="65">
        <v>0</v>
      </c>
      <c r="BG482" s="65">
        <v>0</v>
      </c>
      <c r="BH482" s="65">
        <v>0</v>
      </c>
      <c r="BI482" s="65">
        <v>646.98673076784394</v>
      </c>
      <c r="BJ482" s="65">
        <v>0</v>
      </c>
      <c r="BK482" s="65">
        <v>0</v>
      </c>
      <c r="BL482" s="65">
        <v>0</v>
      </c>
      <c r="BM482" s="65">
        <v>0</v>
      </c>
      <c r="BN482" s="65">
        <v>0</v>
      </c>
      <c r="BO482" s="65">
        <v>0</v>
      </c>
      <c r="BP482" s="5"/>
      <c r="BQ482" s="5"/>
      <c r="BR482" s="5"/>
      <c r="BS482" s="63"/>
      <c r="BT482" s="5"/>
      <c r="BU482" s="5"/>
      <c r="BV482" s="144">
        <f t="shared" si="608"/>
        <v>0</v>
      </c>
      <c r="BW482" s="144">
        <f t="shared" si="609"/>
        <v>0</v>
      </c>
      <c r="BX482" s="144">
        <f t="shared" si="610"/>
        <v>0</v>
      </c>
      <c r="BY482" s="5"/>
      <c r="BZ482" s="5"/>
      <c r="CA482" s="4"/>
      <c r="CB482" s="5"/>
      <c r="CC482" s="5"/>
      <c r="CD482" s="5"/>
      <c r="CE482" s="5"/>
      <c r="CF482" s="64"/>
      <c r="CG482" s="70"/>
      <c r="CH482" s="70"/>
      <c r="CI482" s="70"/>
      <c r="CJ482" s="63"/>
      <c r="CK482" s="8">
        <f t="shared" si="559"/>
        <v>3850.0377307678446</v>
      </c>
      <c r="CL482" s="202">
        <f t="shared" si="481"/>
        <v>-3850.0377307678446</v>
      </c>
      <c r="CM482" s="202">
        <f t="shared" si="482"/>
        <v>-3850.0377307678446</v>
      </c>
      <c r="CN482" s="202">
        <f t="shared" si="483"/>
        <v>-3850.0377307678446</v>
      </c>
      <c r="CO482" s="9">
        <f t="shared" si="484"/>
        <v>-3850.0377307678446</v>
      </c>
      <c r="CP482" s="9">
        <f t="shared" si="485"/>
        <v>-3850.0377307678446</v>
      </c>
      <c r="CQ482" s="9">
        <f t="shared" si="486"/>
        <v>-3850.0377307678446</v>
      </c>
      <c r="CR482" s="202">
        <f t="shared" si="487"/>
        <v>-3850.0377307678446</v>
      </c>
      <c r="CS482" s="202">
        <f t="shared" si="488"/>
        <v>-3850.0377307678446</v>
      </c>
      <c r="CT482" s="202">
        <f t="shared" si="489"/>
        <v>-3850.0377307678446</v>
      </c>
      <c r="CU482" s="203" t="e">
        <f t="shared" si="490"/>
        <v>#DIV/0!</v>
      </c>
      <c r="CV482" s="203" t="e">
        <f t="shared" si="491"/>
        <v>#DIV/0!</v>
      </c>
      <c r="CW482" s="203" t="e">
        <f t="shared" si="492"/>
        <v>#DIV/0!</v>
      </c>
      <c r="CX482" s="19" t="e">
        <f t="shared" si="493"/>
        <v>#DIV/0!</v>
      </c>
      <c r="CY482" s="19" t="e">
        <f t="shared" si="494"/>
        <v>#DIV/0!</v>
      </c>
      <c r="CZ482" s="19" t="e">
        <f t="shared" si="495"/>
        <v>#DIV/0!</v>
      </c>
      <c r="DA482" s="203" t="e">
        <f t="shared" si="496"/>
        <v>#DIV/0!</v>
      </c>
      <c r="DB482" s="203" t="e">
        <f t="shared" si="497"/>
        <v>#DIV/0!</v>
      </c>
      <c r="DC482" s="203" t="e">
        <f t="shared" si="498"/>
        <v>#DIV/0!</v>
      </c>
      <c r="DD482" s="65"/>
      <c r="DE482" s="66"/>
      <c r="DF482" s="66"/>
      <c r="DG482" s="66"/>
      <c r="DH482" s="66"/>
      <c r="DI482" s="66"/>
      <c r="DJ482" s="66"/>
      <c r="DK482" s="70"/>
      <c r="DL482" s="70"/>
      <c r="DM482" s="8">
        <f t="shared" si="560"/>
        <v>0</v>
      </c>
      <c r="DN482" s="8">
        <f t="shared" si="561"/>
        <v>3850.0377307678446</v>
      </c>
      <c r="DO482" s="202">
        <f t="shared" si="535"/>
        <v>-3850.0377307678446</v>
      </c>
      <c r="DP482" s="202">
        <f t="shared" si="536"/>
        <v>-3850.0377307678446</v>
      </c>
      <c r="DQ482" s="202">
        <f t="shared" si="537"/>
        <v>-3850.0377307678446</v>
      </c>
      <c r="DR482" s="9">
        <f t="shared" si="538"/>
        <v>-3850.0377307678446</v>
      </c>
      <c r="DS482" s="9">
        <f t="shared" si="501"/>
        <v>-3850.0377307678446</v>
      </c>
      <c r="DT482" s="9">
        <f t="shared" si="539"/>
        <v>-3850.0377307678446</v>
      </c>
      <c r="DU482" s="202">
        <f t="shared" si="540"/>
        <v>-3850.0377307678446</v>
      </c>
      <c r="DV482" s="202">
        <f t="shared" si="541"/>
        <v>-3850.0377307678446</v>
      </c>
      <c r="DW482" s="202">
        <f t="shared" si="542"/>
        <v>-3850.0377307678446</v>
      </c>
      <c r="DX482" s="203" t="e">
        <f t="shared" si="543"/>
        <v>#DIV/0!</v>
      </c>
      <c r="DY482" s="203" t="e">
        <f t="shared" si="544"/>
        <v>#DIV/0!</v>
      </c>
      <c r="DZ482" s="203" t="e">
        <f t="shared" si="545"/>
        <v>#DIV/0!</v>
      </c>
      <c r="EA482" s="19" t="e">
        <f t="shared" si="546"/>
        <v>#DIV/0!</v>
      </c>
      <c r="EB482" s="19" t="e">
        <f t="shared" si="502"/>
        <v>#DIV/0!</v>
      </c>
      <c r="EC482" s="19" t="e">
        <f t="shared" si="547"/>
        <v>#DIV/0!</v>
      </c>
      <c r="ED482" s="203" t="e">
        <f t="shared" si="548"/>
        <v>#DIV/0!</v>
      </c>
      <c r="EE482" s="203" t="e">
        <f t="shared" si="549"/>
        <v>#DIV/0!</v>
      </c>
      <c r="EF482" s="203" t="e">
        <f t="shared" si="550"/>
        <v>#DIV/0!</v>
      </c>
      <c r="EH482" s="58">
        <f t="shared" si="596"/>
        <v>3850.0377307678446</v>
      </c>
      <c r="EI482" s="68" t="e">
        <f t="shared" si="597"/>
        <v>#DIV/0!</v>
      </c>
      <c r="EJ482" s="58">
        <f t="shared" si="598"/>
        <v>3850.0377307678446</v>
      </c>
      <c r="EK482" s="68" t="e">
        <f t="shared" si="597"/>
        <v>#DIV/0!</v>
      </c>
      <c r="EL482" s="58">
        <f t="shared" si="599"/>
        <v>646.98673076784394</v>
      </c>
      <c r="EM482" s="58">
        <f t="shared" si="600"/>
        <v>646.98673076784394</v>
      </c>
      <c r="EN482" s="68" t="e">
        <f t="shared" si="601"/>
        <v>#DIV/0!</v>
      </c>
      <c r="EO482" s="139">
        <f t="shared" si="652"/>
        <v>0.25197746931178833</v>
      </c>
      <c r="EP482">
        <f>+(SUM(M482:O482)*EO482*(1-'[1]Tier 3 Data'!$A$2))</f>
        <v>0</v>
      </c>
    </row>
    <row r="483" spans="1:146" x14ac:dyDescent="0.2">
      <c r="A483" s="43">
        <v>0</v>
      </c>
      <c r="B483" s="43">
        <v>0</v>
      </c>
      <c r="C483" s="43">
        <v>0</v>
      </c>
      <c r="D483" s="70">
        <v>2047</v>
      </c>
      <c r="E483" s="70">
        <v>8</v>
      </c>
      <c r="F483" s="2">
        <v>744</v>
      </c>
      <c r="G483" s="133">
        <f t="shared" si="636"/>
        <v>0</v>
      </c>
      <c r="H483" s="64"/>
      <c r="I483" s="133">
        <f t="shared" si="637"/>
        <v>0</v>
      </c>
      <c r="J483" s="133">
        <f t="shared" si="576"/>
        <v>0</v>
      </c>
      <c r="K483" s="64"/>
      <c r="L483" s="133">
        <f t="shared" si="577"/>
        <v>0</v>
      </c>
      <c r="M483" s="5"/>
      <c r="N483" s="5"/>
      <c r="O483" s="5"/>
      <c r="P483" s="200">
        <f t="shared" si="568"/>
        <v>0</v>
      </c>
      <c r="Q483" s="200">
        <f t="shared" si="569"/>
        <v>0</v>
      </c>
      <c r="R483" s="200">
        <f t="shared" si="570"/>
        <v>0</v>
      </c>
      <c r="S483" s="133">
        <f t="shared" si="638"/>
        <v>0</v>
      </c>
      <c r="T483" s="133">
        <f t="shared" si="639"/>
        <v>0</v>
      </c>
      <c r="U483" s="133">
        <f t="shared" si="640"/>
        <v>0</v>
      </c>
      <c r="V483" s="200">
        <f t="shared" si="571"/>
        <v>0</v>
      </c>
      <c r="W483" s="200">
        <f t="shared" si="572"/>
        <v>0</v>
      </c>
      <c r="X483" s="200">
        <f t="shared" si="573"/>
        <v>0</v>
      </c>
      <c r="Y483" s="58">
        <f t="shared" si="624"/>
        <v>0</v>
      </c>
      <c r="AA483" s="58">
        <f t="shared" si="625"/>
        <v>0</v>
      </c>
      <c r="AB483" s="200">
        <f t="shared" si="611"/>
        <v>0</v>
      </c>
      <c r="AC483" s="200">
        <f t="shared" si="612"/>
        <v>0</v>
      </c>
      <c r="AD483" s="200">
        <f t="shared" si="613"/>
        <v>0</v>
      </c>
      <c r="AE483" s="199">
        <f t="shared" si="517"/>
        <v>0</v>
      </c>
      <c r="AF483" s="199">
        <f t="shared" si="614"/>
        <v>0</v>
      </c>
      <c r="AG483" s="199">
        <f t="shared" si="518"/>
        <v>0</v>
      </c>
      <c r="AH483" s="199">
        <f t="shared" si="641"/>
        <v>0</v>
      </c>
      <c r="AI483" s="200">
        <f t="shared" si="615"/>
        <v>0</v>
      </c>
      <c r="AJ483" s="200">
        <f t="shared" si="616"/>
        <v>0</v>
      </c>
      <c r="AK483" s="200">
        <f t="shared" si="617"/>
        <v>0</v>
      </c>
      <c r="AL483" s="4"/>
      <c r="AM483" s="4"/>
      <c r="AN483" s="4"/>
      <c r="AO483" s="4"/>
      <c r="AP483" s="63"/>
      <c r="AQ483" s="18"/>
      <c r="AR483" s="18"/>
      <c r="AS483" s="18"/>
      <c r="AT483" s="18">
        <v>0</v>
      </c>
      <c r="AU483" s="133">
        <f t="shared" ref="AU483" si="671">+AU471</f>
        <v>107.64</v>
      </c>
      <c r="AV483" s="133">
        <f t="shared" ref="AV483" si="672">+AV471</f>
        <v>3021.9279999999999</v>
      </c>
      <c r="AW483" s="194"/>
      <c r="AX483" s="194"/>
      <c r="AY483" s="194"/>
      <c r="AZ483" s="194"/>
      <c r="BA483" s="194"/>
      <c r="BB483" s="194"/>
      <c r="BC483" s="65">
        <v>0</v>
      </c>
      <c r="BD483" s="65">
        <v>0</v>
      </c>
      <c r="BE483" s="65">
        <v>0</v>
      </c>
      <c r="BF483" s="65">
        <v>0</v>
      </c>
      <c r="BG483" s="65">
        <v>0</v>
      </c>
      <c r="BH483" s="65">
        <v>0</v>
      </c>
      <c r="BI483" s="65">
        <v>627.43152494902461</v>
      </c>
      <c r="BJ483" s="65">
        <v>0</v>
      </c>
      <c r="BK483" s="65">
        <v>0</v>
      </c>
      <c r="BL483" s="65">
        <v>0</v>
      </c>
      <c r="BM483" s="65">
        <v>0</v>
      </c>
      <c r="BN483" s="65">
        <v>0</v>
      </c>
      <c r="BO483" s="65">
        <v>0</v>
      </c>
      <c r="BP483" s="5"/>
      <c r="BQ483" s="5"/>
      <c r="BR483" s="5"/>
      <c r="BS483" s="63"/>
      <c r="BT483" s="5"/>
      <c r="BU483" s="5"/>
      <c r="BV483" s="144">
        <f t="shared" si="608"/>
        <v>0</v>
      </c>
      <c r="BW483" s="144">
        <f t="shared" si="609"/>
        <v>0</v>
      </c>
      <c r="BX483" s="144">
        <f t="shared" si="610"/>
        <v>0</v>
      </c>
      <c r="BY483" s="5"/>
      <c r="BZ483" s="5"/>
      <c r="CA483" s="4"/>
      <c r="CB483" s="5"/>
      <c r="CC483" s="5"/>
      <c r="CD483" s="5"/>
      <c r="CE483" s="5"/>
      <c r="CF483" s="64"/>
      <c r="CG483" s="70"/>
      <c r="CH483" s="70"/>
      <c r="CI483" s="70"/>
      <c r="CJ483" s="63"/>
      <c r="CK483" s="8">
        <f t="shared" si="559"/>
        <v>3756.9995249490244</v>
      </c>
      <c r="CL483" s="202">
        <f t="shared" si="481"/>
        <v>-3756.9995249490244</v>
      </c>
      <c r="CM483" s="202">
        <f t="shared" si="482"/>
        <v>-3756.9995249490244</v>
      </c>
      <c r="CN483" s="202">
        <f t="shared" si="483"/>
        <v>-3756.9995249490244</v>
      </c>
      <c r="CO483" s="9">
        <f t="shared" si="484"/>
        <v>-3756.9995249490244</v>
      </c>
      <c r="CP483" s="9">
        <f t="shared" si="485"/>
        <v>-3756.9995249490244</v>
      </c>
      <c r="CQ483" s="9">
        <f t="shared" si="486"/>
        <v>-3756.9995249490244</v>
      </c>
      <c r="CR483" s="202">
        <f t="shared" si="487"/>
        <v>-3756.9995249490244</v>
      </c>
      <c r="CS483" s="202">
        <f t="shared" si="488"/>
        <v>-3756.9995249490244</v>
      </c>
      <c r="CT483" s="202">
        <f t="shared" si="489"/>
        <v>-3756.9995249490244</v>
      </c>
      <c r="CU483" s="203" t="e">
        <f t="shared" si="490"/>
        <v>#DIV/0!</v>
      </c>
      <c r="CV483" s="203" t="e">
        <f t="shared" si="491"/>
        <v>#DIV/0!</v>
      </c>
      <c r="CW483" s="203" t="e">
        <f t="shared" si="492"/>
        <v>#DIV/0!</v>
      </c>
      <c r="CX483" s="19" t="e">
        <f t="shared" si="493"/>
        <v>#DIV/0!</v>
      </c>
      <c r="CY483" s="19" t="e">
        <f t="shared" si="494"/>
        <v>#DIV/0!</v>
      </c>
      <c r="CZ483" s="19" t="e">
        <f t="shared" si="495"/>
        <v>#DIV/0!</v>
      </c>
      <c r="DA483" s="203" t="e">
        <f t="shared" si="496"/>
        <v>#DIV/0!</v>
      </c>
      <c r="DB483" s="203" t="e">
        <f t="shared" si="497"/>
        <v>#DIV/0!</v>
      </c>
      <c r="DC483" s="203" t="e">
        <f t="shared" si="498"/>
        <v>#DIV/0!</v>
      </c>
      <c r="DD483" s="65"/>
      <c r="DE483" s="66"/>
      <c r="DF483" s="66"/>
      <c r="DG483" s="66"/>
      <c r="DH483" s="66"/>
      <c r="DI483" s="66"/>
      <c r="DJ483" s="66"/>
      <c r="DK483" s="70"/>
      <c r="DL483" s="70"/>
      <c r="DM483" s="8">
        <f t="shared" si="560"/>
        <v>0</v>
      </c>
      <c r="DN483" s="8">
        <f t="shared" si="561"/>
        <v>3756.9995249490244</v>
      </c>
      <c r="DO483" s="202">
        <f t="shared" si="535"/>
        <v>-3756.9995249490244</v>
      </c>
      <c r="DP483" s="202">
        <f t="shared" si="536"/>
        <v>-3756.9995249490244</v>
      </c>
      <c r="DQ483" s="202">
        <f t="shared" si="537"/>
        <v>-3756.9995249490244</v>
      </c>
      <c r="DR483" s="9">
        <f t="shared" si="538"/>
        <v>-3756.9995249490244</v>
      </c>
      <c r="DS483" s="9">
        <f t="shared" si="501"/>
        <v>-3756.9995249490244</v>
      </c>
      <c r="DT483" s="9">
        <f t="shared" si="539"/>
        <v>-3756.9995249490244</v>
      </c>
      <c r="DU483" s="202">
        <f t="shared" si="540"/>
        <v>-3756.9995249490244</v>
      </c>
      <c r="DV483" s="202">
        <f t="shared" si="541"/>
        <v>-3756.9995249490244</v>
      </c>
      <c r="DW483" s="202">
        <f t="shared" si="542"/>
        <v>-3756.9995249490244</v>
      </c>
      <c r="DX483" s="203" t="e">
        <f t="shared" si="543"/>
        <v>#DIV/0!</v>
      </c>
      <c r="DY483" s="203" t="e">
        <f t="shared" si="544"/>
        <v>#DIV/0!</v>
      </c>
      <c r="DZ483" s="203" t="e">
        <f t="shared" si="545"/>
        <v>#DIV/0!</v>
      </c>
      <c r="EA483" s="19" t="e">
        <f t="shared" si="546"/>
        <v>#DIV/0!</v>
      </c>
      <c r="EB483" s="19" t="e">
        <f t="shared" si="502"/>
        <v>#DIV/0!</v>
      </c>
      <c r="EC483" s="19" t="e">
        <f t="shared" si="547"/>
        <v>#DIV/0!</v>
      </c>
      <c r="ED483" s="203" t="e">
        <f t="shared" si="548"/>
        <v>#DIV/0!</v>
      </c>
      <c r="EE483" s="203" t="e">
        <f t="shared" si="549"/>
        <v>#DIV/0!</v>
      </c>
      <c r="EF483" s="203" t="e">
        <f t="shared" si="550"/>
        <v>#DIV/0!</v>
      </c>
      <c r="EH483" s="58">
        <f t="shared" si="596"/>
        <v>3756.9995249490244</v>
      </c>
      <c r="EI483" s="68" t="e">
        <f t="shared" si="597"/>
        <v>#DIV/0!</v>
      </c>
      <c r="EJ483" s="58">
        <f t="shared" si="598"/>
        <v>3756.9995249490244</v>
      </c>
      <c r="EK483" s="68" t="e">
        <f t="shared" si="597"/>
        <v>#DIV/0!</v>
      </c>
      <c r="EL483" s="58">
        <f t="shared" si="599"/>
        <v>627.43152494902461</v>
      </c>
      <c r="EM483" s="58">
        <f t="shared" si="600"/>
        <v>627.43152494902461</v>
      </c>
      <c r="EN483" s="68" t="e">
        <f t="shared" si="601"/>
        <v>#DIV/0!</v>
      </c>
      <c r="EO483" s="139">
        <f t="shared" si="652"/>
        <v>0.28519905910129462</v>
      </c>
      <c r="EP483">
        <f>+(SUM(M483:O483)*EO483*(1-'[1]Tier 3 Data'!$A$2))</f>
        <v>0</v>
      </c>
    </row>
    <row r="484" spans="1:146" x14ac:dyDescent="0.2">
      <c r="A484" s="43">
        <v>0</v>
      </c>
      <c r="B484" s="43">
        <v>0</v>
      </c>
      <c r="C484" s="43">
        <v>0</v>
      </c>
      <c r="D484" s="70">
        <v>2047</v>
      </c>
      <c r="E484" s="70">
        <v>9</v>
      </c>
      <c r="F484" s="2">
        <v>720</v>
      </c>
      <c r="G484" s="133">
        <f t="shared" si="636"/>
        <v>0</v>
      </c>
      <c r="H484" s="64"/>
      <c r="I484" s="133">
        <f t="shared" si="637"/>
        <v>0</v>
      </c>
      <c r="J484" s="133">
        <f t="shared" si="576"/>
        <v>0</v>
      </c>
      <c r="K484" s="64"/>
      <c r="L484" s="133">
        <f t="shared" si="577"/>
        <v>0</v>
      </c>
      <c r="M484" s="5"/>
      <c r="N484" s="5"/>
      <c r="O484" s="5"/>
      <c r="P484" s="200">
        <f t="shared" si="568"/>
        <v>0</v>
      </c>
      <c r="Q484" s="200">
        <f t="shared" si="569"/>
        <v>0</v>
      </c>
      <c r="R484" s="200">
        <f t="shared" si="570"/>
        <v>0</v>
      </c>
      <c r="S484" s="133">
        <f t="shared" si="638"/>
        <v>0</v>
      </c>
      <c r="T484" s="133">
        <f t="shared" si="639"/>
        <v>0</v>
      </c>
      <c r="U484" s="133">
        <f t="shared" si="640"/>
        <v>0</v>
      </c>
      <c r="V484" s="200">
        <f t="shared" si="571"/>
        <v>0</v>
      </c>
      <c r="W484" s="200">
        <f t="shared" si="572"/>
        <v>0</v>
      </c>
      <c r="X484" s="200">
        <f t="shared" si="573"/>
        <v>0</v>
      </c>
      <c r="Y484" s="58">
        <f t="shared" si="624"/>
        <v>0</v>
      </c>
      <c r="AA484" s="58">
        <f t="shared" si="625"/>
        <v>0</v>
      </c>
      <c r="AB484" s="200">
        <f t="shared" si="611"/>
        <v>0</v>
      </c>
      <c r="AC484" s="200">
        <f t="shared" si="612"/>
        <v>0</v>
      </c>
      <c r="AD484" s="200">
        <f t="shared" si="613"/>
        <v>0</v>
      </c>
      <c r="AE484" s="199">
        <f t="shared" si="517"/>
        <v>0</v>
      </c>
      <c r="AF484" s="199">
        <f t="shared" si="614"/>
        <v>0</v>
      </c>
      <c r="AG484" s="199">
        <f t="shared" si="518"/>
        <v>0</v>
      </c>
      <c r="AH484" s="199">
        <f t="shared" si="641"/>
        <v>0</v>
      </c>
      <c r="AI484" s="200">
        <f t="shared" si="615"/>
        <v>0</v>
      </c>
      <c r="AJ484" s="200">
        <f t="shared" si="616"/>
        <v>0</v>
      </c>
      <c r="AK484" s="200">
        <f t="shared" si="617"/>
        <v>0</v>
      </c>
      <c r="AL484" s="4"/>
      <c r="AM484" s="4"/>
      <c r="AN484" s="4"/>
      <c r="AO484" s="4"/>
      <c r="AP484" s="63"/>
      <c r="AQ484" s="18"/>
      <c r="AR484" s="18"/>
      <c r="AS484" s="18"/>
      <c r="AT484" s="18">
        <v>0</v>
      </c>
      <c r="AU484" s="133">
        <f t="shared" ref="AU484" si="673">+AU472</f>
        <v>102.375</v>
      </c>
      <c r="AV484" s="133">
        <f t="shared" ref="AV484" si="674">+AV472</f>
        <v>2969.6280000000002</v>
      </c>
      <c r="AW484" s="194"/>
      <c r="AX484" s="194"/>
      <c r="AY484" s="194"/>
      <c r="AZ484" s="194"/>
      <c r="BA484" s="194"/>
      <c r="BB484" s="194"/>
      <c r="BC484" s="65">
        <v>0</v>
      </c>
      <c r="BD484" s="65">
        <v>0</v>
      </c>
      <c r="BE484" s="65">
        <v>0</v>
      </c>
      <c r="BF484" s="65">
        <v>0</v>
      </c>
      <c r="BG484" s="65">
        <v>0</v>
      </c>
      <c r="BH484" s="65">
        <v>0</v>
      </c>
      <c r="BI484" s="65">
        <v>583.79099062917101</v>
      </c>
      <c r="BJ484" s="65">
        <v>0</v>
      </c>
      <c r="BK484" s="65">
        <v>0</v>
      </c>
      <c r="BL484" s="65">
        <v>0</v>
      </c>
      <c r="BM484" s="65">
        <v>0</v>
      </c>
      <c r="BN484" s="65">
        <v>0</v>
      </c>
      <c r="BO484" s="65">
        <v>0</v>
      </c>
      <c r="BP484" s="5"/>
      <c r="BQ484" s="5"/>
      <c r="BR484" s="5"/>
      <c r="BS484" s="63"/>
      <c r="BT484" s="5"/>
      <c r="BU484" s="5"/>
      <c r="BV484" s="144">
        <f t="shared" si="608"/>
        <v>0</v>
      </c>
      <c r="BW484" s="144">
        <f t="shared" si="609"/>
        <v>0</v>
      </c>
      <c r="BX484" s="144">
        <f t="shared" si="610"/>
        <v>0</v>
      </c>
      <c r="BY484" s="5"/>
      <c r="BZ484" s="5"/>
      <c r="CA484" s="4"/>
      <c r="CB484" s="5"/>
      <c r="CC484" s="5"/>
      <c r="CD484" s="5"/>
      <c r="CE484" s="5"/>
      <c r="CF484" s="64"/>
      <c r="CG484" s="70"/>
      <c r="CH484" s="70"/>
      <c r="CI484" s="70"/>
      <c r="CJ484" s="63"/>
      <c r="CK484" s="8">
        <f t="shared" si="559"/>
        <v>3655.7939906291713</v>
      </c>
      <c r="CL484" s="202">
        <f t="shared" si="481"/>
        <v>-3655.7939906291713</v>
      </c>
      <c r="CM484" s="202">
        <f t="shared" si="482"/>
        <v>-3655.7939906291713</v>
      </c>
      <c r="CN484" s="202">
        <f t="shared" si="483"/>
        <v>-3655.7939906291713</v>
      </c>
      <c r="CO484" s="9">
        <f t="shared" si="484"/>
        <v>-3655.7939906291713</v>
      </c>
      <c r="CP484" s="9">
        <f t="shared" si="485"/>
        <v>-3655.7939906291713</v>
      </c>
      <c r="CQ484" s="9">
        <f t="shared" si="486"/>
        <v>-3655.7939906291713</v>
      </c>
      <c r="CR484" s="202">
        <f t="shared" si="487"/>
        <v>-3655.7939906291713</v>
      </c>
      <c r="CS484" s="202">
        <f t="shared" si="488"/>
        <v>-3655.7939906291713</v>
      </c>
      <c r="CT484" s="202">
        <f t="shared" si="489"/>
        <v>-3655.7939906291713</v>
      </c>
      <c r="CU484" s="203" t="e">
        <f t="shared" si="490"/>
        <v>#DIV/0!</v>
      </c>
      <c r="CV484" s="203" t="e">
        <f t="shared" si="491"/>
        <v>#DIV/0!</v>
      </c>
      <c r="CW484" s="203" t="e">
        <f t="shared" si="492"/>
        <v>#DIV/0!</v>
      </c>
      <c r="CX484" s="19" t="e">
        <f t="shared" si="493"/>
        <v>#DIV/0!</v>
      </c>
      <c r="CY484" s="19" t="e">
        <f t="shared" si="494"/>
        <v>#DIV/0!</v>
      </c>
      <c r="CZ484" s="19" t="e">
        <f t="shared" si="495"/>
        <v>#DIV/0!</v>
      </c>
      <c r="DA484" s="203" t="e">
        <f t="shared" si="496"/>
        <v>#DIV/0!</v>
      </c>
      <c r="DB484" s="203" t="e">
        <f t="shared" si="497"/>
        <v>#DIV/0!</v>
      </c>
      <c r="DC484" s="203" t="e">
        <f t="shared" si="498"/>
        <v>#DIV/0!</v>
      </c>
      <c r="DD484" s="65"/>
      <c r="DE484" s="66"/>
      <c r="DF484" s="66"/>
      <c r="DG484" s="66"/>
      <c r="DH484" s="66"/>
      <c r="DI484" s="66"/>
      <c r="DJ484" s="66"/>
      <c r="DK484" s="70"/>
      <c r="DL484" s="70"/>
      <c r="DM484" s="8">
        <f t="shared" si="560"/>
        <v>0</v>
      </c>
      <c r="DN484" s="8">
        <f t="shared" si="561"/>
        <v>3655.7939906291713</v>
      </c>
      <c r="DO484" s="202">
        <f t="shared" si="535"/>
        <v>-3655.7939906291713</v>
      </c>
      <c r="DP484" s="202">
        <f t="shared" si="536"/>
        <v>-3655.7939906291713</v>
      </c>
      <c r="DQ484" s="202">
        <f t="shared" si="537"/>
        <v>-3655.7939906291713</v>
      </c>
      <c r="DR484" s="9">
        <f t="shared" si="538"/>
        <v>-3655.7939906291713</v>
      </c>
      <c r="DS484" s="9">
        <f t="shared" si="501"/>
        <v>-3655.7939906291713</v>
      </c>
      <c r="DT484" s="9">
        <f t="shared" si="539"/>
        <v>-3655.7939906291713</v>
      </c>
      <c r="DU484" s="202">
        <f t="shared" si="540"/>
        <v>-3655.7939906291713</v>
      </c>
      <c r="DV484" s="202">
        <f t="shared" si="541"/>
        <v>-3655.7939906291713</v>
      </c>
      <c r="DW484" s="202">
        <f t="shared" si="542"/>
        <v>-3655.7939906291713</v>
      </c>
      <c r="DX484" s="203" t="e">
        <f t="shared" si="543"/>
        <v>#DIV/0!</v>
      </c>
      <c r="DY484" s="203" t="e">
        <f t="shared" si="544"/>
        <v>#DIV/0!</v>
      </c>
      <c r="DZ484" s="203" t="e">
        <f t="shared" si="545"/>
        <v>#DIV/0!</v>
      </c>
      <c r="EA484" s="19" t="e">
        <f t="shared" si="546"/>
        <v>#DIV/0!</v>
      </c>
      <c r="EB484" s="19" t="e">
        <f t="shared" si="502"/>
        <v>#DIV/0!</v>
      </c>
      <c r="EC484" s="19" t="e">
        <f t="shared" si="547"/>
        <v>#DIV/0!</v>
      </c>
      <c r="ED484" s="203" t="e">
        <f t="shared" si="548"/>
        <v>#DIV/0!</v>
      </c>
      <c r="EE484" s="203" t="e">
        <f t="shared" si="549"/>
        <v>#DIV/0!</v>
      </c>
      <c r="EF484" s="203" t="e">
        <f t="shared" si="550"/>
        <v>#DIV/0!</v>
      </c>
      <c r="EH484" s="58">
        <f t="shared" si="596"/>
        <v>3655.7939906291713</v>
      </c>
      <c r="EI484" s="68" t="e">
        <f t="shared" si="597"/>
        <v>#DIV/0!</v>
      </c>
      <c r="EJ484" s="58">
        <f t="shared" si="598"/>
        <v>3655.7939906291713</v>
      </c>
      <c r="EK484" s="68" t="e">
        <f t="shared" si="597"/>
        <v>#DIV/0!</v>
      </c>
      <c r="EL484" s="58">
        <f t="shared" si="599"/>
        <v>583.79099062917101</v>
      </c>
      <c r="EM484" s="58">
        <f t="shared" si="600"/>
        <v>583.79099062917101</v>
      </c>
      <c r="EN484" s="68" t="e">
        <f t="shared" si="601"/>
        <v>#DIV/0!</v>
      </c>
      <c r="EO484" s="139">
        <f t="shared" si="652"/>
        <v>0.31860645638858931</v>
      </c>
      <c r="EP484">
        <f>+(SUM(M484:O484)*EO484*(1-'[1]Tier 3 Data'!$A$2))</f>
        <v>0</v>
      </c>
    </row>
    <row r="485" spans="1:146" x14ac:dyDescent="0.2">
      <c r="A485" s="43">
        <v>0</v>
      </c>
      <c r="B485" s="43">
        <v>0</v>
      </c>
      <c r="C485" s="43">
        <v>0</v>
      </c>
      <c r="D485" s="70">
        <v>2047</v>
      </c>
      <c r="E485" s="70">
        <v>10</v>
      </c>
      <c r="F485" s="2">
        <v>744</v>
      </c>
      <c r="G485" s="133">
        <f t="shared" si="636"/>
        <v>0</v>
      </c>
      <c r="H485" s="64"/>
      <c r="I485" s="133">
        <f t="shared" si="637"/>
        <v>0</v>
      </c>
      <c r="J485" s="133">
        <f t="shared" si="576"/>
        <v>0</v>
      </c>
      <c r="K485" s="64"/>
      <c r="L485" s="133">
        <f t="shared" si="577"/>
        <v>0</v>
      </c>
      <c r="M485" s="5"/>
      <c r="N485" s="5"/>
      <c r="O485" s="5"/>
      <c r="P485" s="200">
        <f t="shared" si="568"/>
        <v>0</v>
      </c>
      <c r="Q485" s="200">
        <f t="shared" si="569"/>
        <v>0</v>
      </c>
      <c r="R485" s="200">
        <f t="shared" si="570"/>
        <v>0</v>
      </c>
      <c r="S485" s="133">
        <f t="shared" si="638"/>
        <v>0</v>
      </c>
      <c r="T485" s="133">
        <f t="shared" si="639"/>
        <v>0</v>
      </c>
      <c r="U485" s="133">
        <f t="shared" si="640"/>
        <v>0</v>
      </c>
      <c r="V485" s="200">
        <f t="shared" si="571"/>
        <v>0</v>
      </c>
      <c r="W485" s="200">
        <f t="shared" si="572"/>
        <v>0</v>
      </c>
      <c r="X485" s="200">
        <f t="shared" si="573"/>
        <v>0</v>
      </c>
      <c r="Y485" s="58">
        <f t="shared" si="624"/>
        <v>0</v>
      </c>
      <c r="AA485" s="58">
        <f t="shared" si="625"/>
        <v>0</v>
      </c>
      <c r="AB485" s="200">
        <f t="shared" si="611"/>
        <v>0</v>
      </c>
      <c r="AC485" s="200">
        <f t="shared" si="612"/>
        <v>0</v>
      </c>
      <c r="AD485" s="200">
        <f t="shared" si="613"/>
        <v>0</v>
      </c>
      <c r="AE485" s="199">
        <f t="shared" si="517"/>
        <v>0</v>
      </c>
      <c r="AF485" s="199">
        <f t="shared" si="614"/>
        <v>0</v>
      </c>
      <c r="AG485" s="199">
        <f t="shared" si="518"/>
        <v>0</v>
      </c>
      <c r="AH485" s="199">
        <f t="shared" si="641"/>
        <v>0</v>
      </c>
      <c r="AI485" s="200">
        <f t="shared" si="615"/>
        <v>0</v>
      </c>
      <c r="AJ485" s="200">
        <f t="shared" si="616"/>
        <v>0</v>
      </c>
      <c r="AK485" s="200">
        <f t="shared" si="617"/>
        <v>0</v>
      </c>
      <c r="AL485" s="4"/>
      <c r="AM485" s="4"/>
      <c r="AN485" s="4"/>
      <c r="AO485" s="4"/>
      <c r="AP485" s="63"/>
      <c r="AQ485" s="18"/>
      <c r="AR485" s="18"/>
      <c r="AS485" s="18"/>
      <c r="AT485" s="18">
        <v>0</v>
      </c>
      <c r="AU485" s="133">
        <f t="shared" ref="AU485" si="675">+AU473</f>
        <v>118.17</v>
      </c>
      <c r="AV485" s="133">
        <f t="shared" ref="AV485" si="676">+AV473</f>
        <v>3225.1860000000001</v>
      </c>
      <c r="AW485" s="194"/>
      <c r="AX485" s="194"/>
      <c r="AY485" s="194"/>
      <c r="AZ485" s="194"/>
      <c r="BA485" s="194"/>
      <c r="BB485" s="194"/>
      <c r="BC485" s="65">
        <v>0</v>
      </c>
      <c r="BD485" s="65">
        <v>0</v>
      </c>
      <c r="BE485" s="65">
        <v>0</v>
      </c>
      <c r="BF485" s="65">
        <v>0</v>
      </c>
      <c r="BG485" s="65">
        <v>0</v>
      </c>
      <c r="BH485" s="65">
        <v>0</v>
      </c>
      <c r="BI485" s="65">
        <v>385.01364289376301</v>
      </c>
      <c r="BJ485" s="65">
        <v>0</v>
      </c>
      <c r="BK485" s="65">
        <v>0</v>
      </c>
      <c r="BL485" s="65">
        <v>0</v>
      </c>
      <c r="BM485" s="65">
        <v>0</v>
      </c>
      <c r="BN485" s="65">
        <v>0</v>
      </c>
      <c r="BO485" s="65">
        <v>0</v>
      </c>
      <c r="BP485" s="5"/>
      <c r="BQ485" s="5"/>
      <c r="BR485" s="5"/>
      <c r="BS485" s="63"/>
      <c r="BT485" s="5"/>
      <c r="BU485" s="5"/>
      <c r="BV485" s="144">
        <f t="shared" si="608"/>
        <v>0</v>
      </c>
      <c r="BW485" s="144">
        <f t="shared" si="609"/>
        <v>0</v>
      </c>
      <c r="BX485" s="144">
        <f t="shared" si="610"/>
        <v>0</v>
      </c>
      <c r="BY485" s="5"/>
      <c r="BZ485" s="5"/>
      <c r="CA485" s="4"/>
      <c r="CB485" s="5"/>
      <c r="CC485" s="5"/>
      <c r="CD485" s="5"/>
      <c r="CE485" s="5"/>
      <c r="CF485" s="64"/>
      <c r="CG485" s="70"/>
      <c r="CH485" s="70"/>
      <c r="CI485" s="70"/>
      <c r="CJ485" s="63"/>
      <c r="CK485" s="8">
        <f t="shared" si="559"/>
        <v>3728.3696428937633</v>
      </c>
      <c r="CL485" s="202">
        <f t="shared" si="481"/>
        <v>-3728.3696428937633</v>
      </c>
      <c r="CM485" s="202">
        <f t="shared" si="482"/>
        <v>-3728.3696428937633</v>
      </c>
      <c r="CN485" s="202">
        <f t="shared" si="483"/>
        <v>-3728.3696428937633</v>
      </c>
      <c r="CO485" s="9">
        <f t="shared" si="484"/>
        <v>-3728.3696428937633</v>
      </c>
      <c r="CP485" s="9">
        <f t="shared" si="485"/>
        <v>-3728.3696428937633</v>
      </c>
      <c r="CQ485" s="9">
        <f t="shared" si="486"/>
        <v>-3728.3696428937633</v>
      </c>
      <c r="CR485" s="202">
        <f t="shared" si="487"/>
        <v>-3728.3696428937633</v>
      </c>
      <c r="CS485" s="202">
        <f t="shared" si="488"/>
        <v>-3728.3696428937633</v>
      </c>
      <c r="CT485" s="202">
        <f t="shared" si="489"/>
        <v>-3728.3696428937633</v>
      </c>
      <c r="CU485" s="203" t="e">
        <f t="shared" si="490"/>
        <v>#DIV/0!</v>
      </c>
      <c r="CV485" s="203" t="e">
        <f t="shared" si="491"/>
        <v>#DIV/0!</v>
      </c>
      <c r="CW485" s="203" t="e">
        <f t="shared" si="492"/>
        <v>#DIV/0!</v>
      </c>
      <c r="CX485" s="19" t="e">
        <f t="shared" si="493"/>
        <v>#DIV/0!</v>
      </c>
      <c r="CY485" s="19" t="e">
        <f t="shared" si="494"/>
        <v>#DIV/0!</v>
      </c>
      <c r="CZ485" s="19" t="e">
        <f t="shared" si="495"/>
        <v>#DIV/0!</v>
      </c>
      <c r="DA485" s="203" t="e">
        <f t="shared" si="496"/>
        <v>#DIV/0!</v>
      </c>
      <c r="DB485" s="203" t="e">
        <f t="shared" si="497"/>
        <v>#DIV/0!</v>
      </c>
      <c r="DC485" s="203" t="e">
        <f t="shared" si="498"/>
        <v>#DIV/0!</v>
      </c>
      <c r="DD485" s="65"/>
      <c r="DE485" s="66"/>
      <c r="DF485" s="66"/>
      <c r="DG485" s="66"/>
      <c r="DH485" s="66"/>
      <c r="DI485" s="66"/>
      <c r="DJ485" s="66"/>
      <c r="DK485" s="70"/>
      <c r="DL485" s="70"/>
      <c r="DM485" s="8">
        <f t="shared" si="560"/>
        <v>0</v>
      </c>
      <c r="DN485" s="8">
        <f t="shared" si="561"/>
        <v>3728.3696428937633</v>
      </c>
      <c r="DO485" s="202">
        <f t="shared" si="535"/>
        <v>-3728.3696428937633</v>
      </c>
      <c r="DP485" s="202">
        <f t="shared" si="536"/>
        <v>-3728.3696428937633</v>
      </c>
      <c r="DQ485" s="202">
        <f t="shared" si="537"/>
        <v>-3728.3696428937633</v>
      </c>
      <c r="DR485" s="9">
        <f t="shared" si="538"/>
        <v>-3728.3696428937633</v>
      </c>
      <c r="DS485" s="9">
        <f t="shared" si="501"/>
        <v>-3728.3696428937633</v>
      </c>
      <c r="DT485" s="9">
        <f t="shared" si="539"/>
        <v>-3728.3696428937633</v>
      </c>
      <c r="DU485" s="202">
        <f t="shared" si="540"/>
        <v>-3728.3696428937633</v>
      </c>
      <c r="DV485" s="202">
        <f t="shared" si="541"/>
        <v>-3728.3696428937633</v>
      </c>
      <c r="DW485" s="202">
        <f t="shared" si="542"/>
        <v>-3728.3696428937633</v>
      </c>
      <c r="DX485" s="203" t="e">
        <f t="shared" si="543"/>
        <v>#DIV/0!</v>
      </c>
      <c r="DY485" s="203" t="e">
        <f t="shared" si="544"/>
        <v>#DIV/0!</v>
      </c>
      <c r="DZ485" s="203" t="e">
        <f t="shared" si="545"/>
        <v>#DIV/0!</v>
      </c>
      <c r="EA485" s="19" t="e">
        <f t="shared" si="546"/>
        <v>#DIV/0!</v>
      </c>
      <c r="EB485" s="19" t="e">
        <f t="shared" si="502"/>
        <v>#DIV/0!</v>
      </c>
      <c r="EC485" s="19" t="e">
        <f t="shared" si="547"/>
        <v>#DIV/0!</v>
      </c>
      <c r="ED485" s="203" t="e">
        <f t="shared" si="548"/>
        <v>#DIV/0!</v>
      </c>
      <c r="EE485" s="203" t="e">
        <f t="shared" si="549"/>
        <v>#DIV/0!</v>
      </c>
      <c r="EF485" s="203" t="e">
        <f t="shared" si="550"/>
        <v>#DIV/0!</v>
      </c>
      <c r="EH485" s="58">
        <f t="shared" si="596"/>
        <v>3728.3696428937633</v>
      </c>
      <c r="EI485" s="68" t="e">
        <f t="shared" si="597"/>
        <v>#DIV/0!</v>
      </c>
      <c r="EJ485" s="58">
        <f t="shared" si="598"/>
        <v>3728.3696428937633</v>
      </c>
      <c r="EK485" s="68" t="e">
        <f t="shared" si="597"/>
        <v>#DIV/0!</v>
      </c>
      <c r="EL485" s="58">
        <f t="shared" si="599"/>
        <v>385.01364289376301</v>
      </c>
      <c r="EM485" s="58">
        <f t="shared" si="600"/>
        <v>385.01364289376301</v>
      </c>
      <c r="EN485" s="68" t="e">
        <f t="shared" si="601"/>
        <v>#DIV/0!</v>
      </c>
      <c r="EO485" s="139">
        <f t="shared" si="652"/>
        <v>0.35739486552628164</v>
      </c>
      <c r="EP485">
        <f>+(SUM(M485:O485)*EO485*(1-'[1]Tier 3 Data'!$A$2))</f>
        <v>0</v>
      </c>
    </row>
    <row r="486" spans="1:146" x14ac:dyDescent="0.2">
      <c r="A486" s="43">
        <v>0</v>
      </c>
      <c r="B486" s="43">
        <v>0</v>
      </c>
      <c r="C486" s="43">
        <v>0</v>
      </c>
      <c r="D486" s="70">
        <v>2047</v>
      </c>
      <c r="E486" s="70">
        <v>11</v>
      </c>
      <c r="F486" s="2">
        <v>721</v>
      </c>
      <c r="G486" s="133">
        <f t="shared" si="636"/>
        <v>0</v>
      </c>
      <c r="H486" s="64"/>
      <c r="I486" s="133">
        <f t="shared" si="637"/>
        <v>0</v>
      </c>
      <c r="J486" s="133">
        <f t="shared" si="576"/>
        <v>0</v>
      </c>
      <c r="K486" s="64"/>
      <c r="L486" s="133">
        <f t="shared" si="577"/>
        <v>0</v>
      </c>
      <c r="M486" s="5"/>
      <c r="N486" s="5"/>
      <c r="O486" s="5"/>
      <c r="P486" s="200">
        <f t="shared" si="568"/>
        <v>0</v>
      </c>
      <c r="Q486" s="200">
        <f t="shared" si="569"/>
        <v>0</v>
      </c>
      <c r="R486" s="200">
        <f t="shared" si="570"/>
        <v>0</v>
      </c>
      <c r="S486" s="133">
        <f t="shared" si="638"/>
        <v>0</v>
      </c>
      <c r="T486" s="133">
        <f t="shared" si="639"/>
        <v>0</v>
      </c>
      <c r="U486" s="133">
        <f t="shared" si="640"/>
        <v>0</v>
      </c>
      <c r="V486" s="200">
        <f t="shared" si="571"/>
        <v>0</v>
      </c>
      <c r="W486" s="200">
        <f t="shared" si="572"/>
        <v>0</v>
      </c>
      <c r="X486" s="200">
        <f t="shared" si="573"/>
        <v>0</v>
      </c>
      <c r="Y486" s="58">
        <f t="shared" si="624"/>
        <v>0</v>
      </c>
      <c r="AA486" s="58">
        <f t="shared" si="625"/>
        <v>0</v>
      </c>
      <c r="AB486" s="200">
        <f t="shared" si="611"/>
        <v>0</v>
      </c>
      <c r="AC486" s="200">
        <f t="shared" si="612"/>
        <v>0</v>
      </c>
      <c r="AD486" s="200">
        <f t="shared" si="613"/>
        <v>0</v>
      </c>
      <c r="AE486" s="199">
        <f t="shared" si="517"/>
        <v>0</v>
      </c>
      <c r="AF486" s="199">
        <f t="shared" si="614"/>
        <v>0</v>
      </c>
      <c r="AG486" s="199">
        <f t="shared" si="518"/>
        <v>0</v>
      </c>
      <c r="AH486" s="199">
        <f t="shared" si="641"/>
        <v>0</v>
      </c>
      <c r="AI486" s="200">
        <f t="shared" si="615"/>
        <v>0</v>
      </c>
      <c r="AJ486" s="200">
        <f t="shared" si="616"/>
        <v>0</v>
      </c>
      <c r="AK486" s="200">
        <f t="shared" si="617"/>
        <v>0</v>
      </c>
      <c r="AL486" s="4"/>
      <c r="AM486" s="4"/>
      <c r="AN486" s="4"/>
      <c r="AO486" s="4"/>
      <c r="AP486" s="63"/>
      <c r="AQ486" s="18"/>
      <c r="AR486" s="18"/>
      <c r="AS486" s="18"/>
      <c r="AT486" s="18">
        <v>0</v>
      </c>
      <c r="AU486" s="133">
        <f t="shared" ref="AU486" si="677">+AU474</f>
        <v>104.364</v>
      </c>
      <c r="AV486" s="133">
        <f t="shared" ref="AV486" si="678">+AV474</f>
        <v>3268.3739999999998</v>
      </c>
      <c r="AW486" s="194"/>
      <c r="AX486" s="194"/>
      <c r="AY486" s="194"/>
      <c r="AZ486" s="194"/>
      <c r="BA486" s="194"/>
      <c r="BB486" s="194"/>
      <c r="BC486" s="65">
        <v>0</v>
      </c>
      <c r="BD486" s="65">
        <v>0</v>
      </c>
      <c r="BE486" s="65">
        <v>0</v>
      </c>
      <c r="BF486" s="65">
        <v>0</v>
      </c>
      <c r="BG486" s="65">
        <v>0</v>
      </c>
      <c r="BH486" s="65">
        <v>0</v>
      </c>
      <c r="BI486" s="65">
        <v>281.80087700263539</v>
      </c>
      <c r="BJ486" s="65">
        <v>0</v>
      </c>
      <c r="BK486" s="65">
        <v>0</v>
      </c>
      <c r="BL486" s="65">
        <v>0</v>
      </c>
      <c r="BM486" s="65">
        <v>0</v>
      </c>
      <c r="BN486" s="65">
        <v>0</v>
      </c>
      <c r="BO486" s="65">
        <v>0</v>
      </c>
      <c r="BP486" s="5"/>
      <c r="BQ486" s="5"/>
      <c r="BR486" s="5"/>
      <c r="BS486" s="63"/>
      <c r="BT486" s="5"/>
      <c r="BU486" s="5"/>
      <c r="BV486" s="144">
        <f t="shared" si="608"/>
        <v>0</v>
      </c>
      <c r="BW486" s="144">
        <f t="shared" si="609"/>
        <v>0</v>
      </c>
      <c r="BX486" s="144">
        <f t="shared" si="610"/>
        <v>0</v>
      </c>
      <c r="BY486" s="5"/>
      <c r="BZ486" s="5"/>
      <c r="CA486" s="4"/>
      <c r="CB486" s="5"/>
      <c r="CC486" s="5"/>
      <c r="CD486" s="5"/>
      <c r="CE486" s="5"/>
      <c r="CF486" s="64"/>
      <c r="CG486" s="70"/>
      <c r="CH486" s="70"/>
      <c r="CI486" s="70"/>
      <c r="CJ486" s="63"/>
      <c r="CK486" s="8">
        <f t="shared" si="559"/>
        <v>3654.5388770026352</v>
      </c>
      <c r="CL486" s="202">
        <f t="shared" si="481"/>
        <v>-3654.5388770026352</v>
      </c>
      <c r="CM486" s="202">
        <f t="shared" si="482"/>
        <v>-3654.5388770026352</v>
      </c>
      <c r="CN486" s="202">
        <f t="shared" si="483"/>
        <v>-3654.5388770026352</v>
      </c>
      <c r="CO486" s="9">
        <f t="shared" si="484"/>
        <v>-3654.5388770026352</v>
      </c>
      <c r="CP486" s="9">
        <f t="shared" si="485"/>
        <v>-3654.5388770026352</v>
      </c>
      <c r="CQ486" s="9">
        <f t="shared" si="486"/>
        <v>-3654.5388770026352</v>
      </c>
      <c r="CR486" s="202">
        <f t="shared" si="487"/>
        <v>-3654.5388770026352</v>
      </c>
      <c r="CS486" s="202">
        <f t="shared" si="488"/>
        <v>-3654.5388770026352</v>
      </c>
      <c r="CT486" s="202">
        <f t="shared" si="489"/>
        <v>-3654.5388770026352</v>
      </c>
      <c r="CU486" s="203" t="e">
        <f t="shared" si="490"/>
        <v>#DIV/0!</v>
      </c>
      <c r="CV486" s="203" t="e">
        <f t="shared" si="491"/>
        <v>#DIV/0!</v>
      </c>
      <c r="CW486" s="203" t="e">
        <f t="shared" si="492"/>
        <v>#DIV/0!</v>
      </c>
      <c r="CX486" s="19" t="e">
        <f t="shared" si="493"/>
        <v>#DIV/0!</v>
      </c>
      <c r="CY486" s="19" t="e">
        <f t="shared" si="494"/>
        <v>#DIV/0!</v>
      </c>
      <c r="CZ486" s="19" t="e">
        <f t="shared" si="495"/>
        <v>#DIV/0!</v>
      </c>
      <c r="DA486" s="203" t="e">
        <f t="shared" si="496"/>
        <v>#DIV/0!</v>
      </c>
      <c r="DB486" s="203" t="e">
        <f t="shared" si="497"/>
        <v>#DIV/0!</v>
      </c>
      <c r="DC486" s="203" t="e">
        <f t="shared" si="498"/>
        <v>#DIV/0!</v>
      </c>
      <c r="DD486" s="65"/>
      <c r="DE486" s="66"/>
      <c r="DF486" s="66"/>
      <c r="DG486" s="66"/>
      <c r="DH486" s="66"/>
      <c r="DI486" s="66"/>
      <c r="DJ486" s="66"/>
      <c r="DK486" s="70"/>
      <c r="DL486" s="70"/>
      <c r="DM486" s="8">
        <f t="shared" si="560"/>
        <v>0</v>
      </c>
      <c r="DN486" s="8">
        <f t="shared" si="561"/>
        <v>3654.5388770026352</v>
      </c>
      <c r="DO486" s="202">
        <f t="shared" si="535"/>
        <v>-3654.5388770026352</v>
      </c>
      <c r="DP486" s="202">
        <f t="shared" si="536"/>
        <v>-3654.5388770026352</v>
      </c>
      <c r="DQ486" s="202">
        <f t="shared" si="537"/>
        <v>-3654.5388770026352</v>
      </c>
      <c r="DR486" s="9">
        <f t="shared" si="538"/>
        <v>-3654.5388770026352</v>
      </c>
      <c r="DS486" s="9">
        <f t="shared" si="501"/>
        <v>-3654.5388770026352</v>
      </c>
      <c r="DT486" s="9">
        <f t="shared" si="539"/>
        <v>-3654.5388770026352</v>
      </c>
      <c r="DU486" s="202">
        <f t="shared" si="540"/>
        <v>-3654.5388770026352</v>
      </c>
      <c r="DV486" s="202">
        <f t="shared" si="541"/>
        <v>-3654.5388770026352</v>
      </c>
      <c r="DW486" s="202">
        <f t="shared" si="542"/>
        <v>-3654.5388770026352</v>
      </c>
      <c r="DX486" s="203" t="e">
        <f t="shared" si="543"/>
        <v>#DIV/0!</v>
      </c>
      <c r="DY486" s="203" t="e">
        <f t="shared" si="544"/>
        <v>#DIV/0!</v>
      </c>
      <c r="DZ486" s="203" t="e">
        <f t="shared" si="545"/>
        <v>#DIV/0!</v>
      </c>
      <c r="EA486" s="19" t="e">
        <f t="shared" si="546"/>
        <v>#DIV/0!</v>
      </c>
      <c r="EB486" s="19" t="e">
        <f t="shared" si="502"/>
        <v>#DIV/0!</v>
      </c>
      <c r="EC486" s="19" t="e">
        <f t="shared" si="547"/>
        <v>#DIV/0!</v>
      </c>
      <c r="ED486" s="203" t="e">
        <f t="shared" si="548"/>
        <v>#DIV/0!</v>
      </c>
      <c r="EE486" s="203" t="e">
        <f t="shared" si="549"/>
        <v>#DIV/0!</v>
      </c>
      <c r="EF486" s="203" t="e">
        <f t="shared" si="550"/>
        <v>#DIV/0!</v>
      </c>
      <c r="EH486" s="58">
        <f t="shared" si="596"/>
        <v>3654.5388770026352</v>
      </c>
      <c r="EI486" s="68" t="e">
        <f t="shared" si="597"/>
        <v>#DIV/0!</v>
      </c>
      <c r="EJ486" s="58">
        <f t="shared" si="598"/>
        <v>3654.5388770026352</v>
      </c>
      <c r="EK486" s="68" t="e">
        <f t="shared" si="597"/>
        <v>#DIV/0!</v>
      </c>
      <c r="EL486" s="58">
        <f t="shared" si="599"/>
        <v>281.80087700263539</v>
      </c>
      <c r="EM486" s="58">
        <f t="shared" si="600"/>
        <v>281.80087700263539</v>
      </c>
      <c r="EN486" s="68" t="e">
        <f t="shared" si="601"/>
        <v>#DIV/0!</v>
      </c>
      <c r="EO486" s="139">
        <f t="shared" si="652"/>
        <v>0.4050825009776523</v>
      </c>
      <c r="EP486">
        <f>+(SUM(M486:O486)*EO486*(1-'[1]Tier 3 Data'!$A$2))</f>
        <v>0</v>
      </c>
    </row>
    <row r="487" spans="1:146" x14ac:dyDescent="0.2">
      <c r="A487" s="43">
        <v>0</v>
      </c>
      <c r="B487" s="43">
        <v>0</v>
      </c>
      <c r="C487" s="43">
        <v>0</v>
      </c>
      <c r="D487" s="70">
        <v>2047</v>
      </c>
      <c r="E487" s="70">
        <v>12</v>
      </c>
      <c r="F487" s="2">
        <v>744</v>
      </c>
      <c r="G487" s="133">
        <f t="shared" si="636"/>
        <v>0</v>
      </c>
      <c r="H487" s="64"/>
      <c r="I487" s="133">
        <f t="shared" si="637"/>
        <v>0</v>
      </c>
      <c r="J487" s="133">
        <f t="shared" si="576"/>
        <v>0</v>
      </c>
      <c r="K487" s="64"/>
      <c r="L487" s="133">
        <f t="shared" si="577"/>
        <v>0</v>
      </c>
      <c r="M487" s="5"/>
      <c r="N487" s="5"/>
      <c r="O487" s="5"/>
      <c r="P487" s="200">
        <f t="shared" si="568"/>
        <v>0</v>
      </c>
      <c r="Q487" s="200">
        <f t="shared" si="569"/>
        <v>0</v>
      </c>
      <c r="R487" s="200">
        <f t="shared" si="570"/>
        <v>0</v>
      </c>
      <c r="S487" s="133">
        <f t="shared" si="638"/>
        <v>0</v>
      </c>
      <c r="T487" s="133">
        <f t="shared" si="639"/>
        <v>0</v>
      </c>
      <c r="U487" s="133">
        <f t="shared" si="640"/>
        <v>0</v>
      </c>
      <c r="V487" s="200">
        <f t="shared" si="571"/>
        <v>0</v>
      </c>
      <c r="W487" s="200">
        <f t="shared" si="572"/>
        <v>0</v>
      </c>
      <c r="X487" s="200">
        <f t="shared" si="573"/>
        <v>0</v>
      </c>
      <c r="Y487" s="58">
        <f t="shared" si="624"/>
        <v>0</v>
      </c>
      <c r="AA487" s="58">
        <f t="shared" si="625"/>
        <v>0</v>
      </c>
      <c r="AB487" s="200">
        <f t="shared" si="611"/>
        <v>0</v>
      </c>
      <c r="AC487" s="200">
        <f t="shared" si="612"/>
        <v>0</v>
      </c>
      <c r="AD487" s="200">
        <f t="shared" si="613"/>
        <v>0</v>
      </c>
      <c r="AE487" s="199">
        <f t="shared" si="517"/>
        <v>0</v>
      </c>
      <c r="AF487" s="199">
        <f t="shared" si="614"/>
        <v>0</v>
      </c>
      <c r="AG487" s="199">
        <f t="shared" si="518"/>
        <v>0</v>
      </c>
      <c r="AH487" s="199">
        <f t="shared" si="641"/>
        <v>0</v>
      </c>
      <c r="AI487" s="200">
        <f t="shared" si="615"/>
        <v>0</v>
      </c>
      <c r="AJ487" s="200">
        <f t="shared" si="616"/>
        <v>0</v>
      </c>
      <c r="AK487" s="200">
        <f t="shared" si="617"/>
        <v>0</v>
      </c>
      <c r="AL487" s="4"/>
      <c r="AM487" s="4"/>
      <c r="AN487" s="4"/>
      <c r="AO487" s="4"/>
      <c r="AP487" s="63"/>
      <c r="AQ487" s="18"/>
      <c r="AR487" s="18"/>
      <c r="AS487" s="18"/>
      <c r="AT487" s="18">
        <v>0</v>
      </c>
      <c r="AU487" s="133">
        <f t="shared" ref="AU487" si="679">+AU475</f>
        <v>105.066</v>
      </c>
      <c r="AV487" s="133">
        <f t="shared" ref="AV487" si="680">+AV475</f>
        <v>3218.8470000000002</v>
      </c>
      <c r="AW487" s="194"/>
      <c r="AX487" s="194"/>
      <c r="AY487" s="194"/>
      <c r="AZ487" s="194"/>
      <c r="BA487" s="194"/>
      <c r="BB487" s="194"/>
      <c r="BC487" s="65">
        <v>0</v>
      </c>
      <c r="BD487" s="65">
        <v>0</v>
      </c>
      <c r="BE487" s="65">
        <v>0</v>
      </c>
      <c r="BF487" s="65">
        <v>0</v>
      </c>
      <c r="BG487" s="65">
        <v>0</v>
      </c>
      <c r="BH487" s="65">
        <v>0</v>
      </c>
      <c r="BI487" s="65">
        <v>132.05445242740447</v>
      </c>
      <c r="BJ487" s="65">
        <v>0</v>
      </c>
      <c r="BK487" s="65">
        <v>0</v>
      </c>
      <c r="BL487" s="65">
        <v>0</v>
      </c>
      <c r="BM487" s="65">
        <v>0</v>
      </c>
      <c r="BN487" s="65">
        <v>0</v>
      </c>
      <c r="BO487" s="65">
        <v>0</v>
      </c>
      <c r="BP487" s="5"/>
      <c r="BQ487" s="5"/>
      <c r="BR487" s="5"/>
      <c r="BS487" s="63"/>
      <c r="BT487" s="5"/>
      <c r="BU487" s="5"/>
      <c r="BV487" s="144">
        <f t="shared" si="608"/>
        <v>0</v>
      </c>
      <c r="BW487" s="144">
        <f t="shared" si="609"/>
        <v>0</v>
      </c>
      <c r="BX487" s="144">
        <f t="shared" si="610"/>
        <v>0</v>
      </c>
      <c r="BY487" s="5"/>
      <c r="BZ487" s="5"/>
      <c r="CA487" s="4"/>
      <c r="CB487" s="5"/>
      <c r="CC487" s="5"/>
      <c r="CD487" s="5"/>
      <c r="CE487" s="5"/>
      <c r="CF487" s="64"/>
      <c r="CG487" s="70"/>
      <c r="CH487" s="70"/>
      <c r="CI487" s="70"/>
      <c r="CJ487" s="63"/>
      <c r="CK487" s="8">
        <f t="shared" si="559"/>
        <v>3455.9674524274046</v>
      </c>
      <c r="CL487" s="202">
        <f t="shared" si="481"/>
        <v>-3455.9674524274046</v>
      </c>
      <c r="CM487" s="202">
        <f t="shared" si="482"/>
        <v>-3455.9674524274046</v>
      </c>
      <c r="CN487" s="202">
        <f t="shared" si="483"/>
        <v>-3455.9674524274046</v>
      </c>
      <c r="CO487" s="9">
        <f t="shared" si="484"/>
        <v>-3455.9674524274046</v>
      </c>
      <c r="CP487" s="9">
        <f t="shared" si="485"/>
        <v>-3455.9674524274046</v>
      </c>
      <c r="CQ487" s="9">
        <f t="shared" si="486"/>
        <v>-3455.9674524274046</v>
      </c>
      <c r="CR487" s="202">
        <f t="shared" si="487"/>
        <v>-3455.9674524274046</v>
      </c>
      <c r="CS487" s="202">
        <f t="shared" si="488"/>
        <v>-3455.9674524274046</v>
      </c>
      <c r="CT487" s="202">
        <f t="shared" si="489"/>
        <v>-3455.9674524274046</v>
      </c>
      <c r="CU487" s="203" t="e">
        <f t="shared" si="490"/>
        <v>#DIV/0!</v>
      </c>
      <c r="CV487" s="203" t="e">
        <f t="shared" si="491"/>
        <v>#DIV/0!</v>
      </c>
      <c r="CW487" s="203" t="e">
        <f t="shared" si="492"/>
        <v>#DIV/0!</v>
      </c>
      <c r="CX487" s="19" t="e">
        <f t="shared" si="493"/>
        <v>#DIV/0!</v>
      </c>
      <c r="CY487" s="19" t="e">
        <f t="shared" si="494"/>
        <v>#DIV/0!</v>
      </c>
      <c r="CZ487" s="19" t="e">
        <f t="shared" si="495"/>
        <v>#DIV/0!</v>
      </c>
      <c r="DA487" s="203" t="e">
        <f t="shared" si="496"/>
        <v>#DIV/0!</v>
      </c>
      <c r="DB487" s="203" t="e">
        <f t="shared" si="497"/>
        <v>#DIV/0!</v>
      </c>
      <c r="DC487" s="203" t="e">
        <f t="shared" si="498"/>
        <v>#DIV/0!</v>
      </c>
      <c r="DD487" s="65"/>
      <c r="DE487" s="66"/>
      <c r="DF487" s="66"/>
      <c r="DG487" s="66"/>
      <c r="DH487" s="66"/>
      <c r="DI487" s="66"/>
      <c r="DJ487" s="66"/>
      <c r="DK487" s="70"/>
      <c r="DL487" s="70"/>
      <c r="DM487" s="8">
        <f t="shared" si="560"/>
        <v>0</v>
      </c>
      <c r="DN487" s="8">
        <f t="shared" si="561"/>
        <v>3455.9674524274046</v>
      </c>
      <c r="DO487" s="202">
        <f t="shared" si="535"/>
        <v>-3455.9674524274046</v>
      </c>
      <c r="DP487" s="202">
        <f t="shared" si="536"/>
        <v>-3455.9674524274046</v>
      </c>
      <c r="DQ487" s="202">
        <f t="shared" si="537"/>
        <v>-3455.9674524274046</v>
      </c>
      <c r="DR487" s="9">
        <f t="shared" si="538"/>
        <v>-3455.9674524274046</v>
      </c>
      <c r="DS487" s="9">
        <f t="shared" si="501"/>
        <v>-3455.9674524274046</v>
      </c>
      <c r="DT487" s="9">
        <f t="shared" si="539"/>
        <v>-3455.9674524274046</v>
      </c>
      <c r="DU487" s="202">
        <f t="shared" si="540"/>
        <v>-3455.9674524274046</v>
      </c>
      <c r="DV487" s="202">
        <f t="shared" si="541"/>
        <v>-3455.9674524274046</v>
      </c>
      <c r="DW487" s="202">
        <f t="shared" si="542"/>
        <v>-3455.9674524274046</v>
      </c>
      <c r="DX487" s="203" t="e">
        <f t="shared" si="543"/>
        <v>#DIV/0!</v>
      </c>
      <c r="DY487" s="203" t="e">
        <f t="shared" si="544"/>
        <v>#DIV/0!</v>
      </c>
      <c r="DZ487" s="203" t="e">
        <f t="shared" si="545"/>
        <v>#DIV/0!</v>
      </c>
      <c r="EA487" s="19" t="e">
        <f t="shared" si="546"/>
        <v>#DIV/0!</v>
      </c>
      <c r="EB487" s="19" t="e">
        <f t="shared" si="502"/>
        <v>#DIV/0!</v>
      </c>
      <c r="EC487" s="19" t="e">
        <f t="shared" si="547"/>
        <v>#DIV/0!</v>
      </c>
      <c r="ED487" s="203" t="e">
        <f t="shared" si="548"/>
        <v>#DIV/0!</v>
      </c>
      <c r="EE487" s="203" t="e">
        <f t="shared" si="549"/>
        <v>#DIV/0!</v>
      </c>
      <c r="EF487" s="203" t="e">
        <f t="shared" si="550"/>
        <v>#DIV/0!</v>
      </c>
      <c r="EH487" s="58">
        <f t="shared" si="596"/>
        <v>3455.9674524274046</v>
      </c>
      <c r="EI487" s="68" t="e">
        <f t="shared" si="597"/>
        <v>#DIV/0!</v>
      </c>
      <c r="EJ487" s="58">
        <f t="shared" si="598"/>
        <v>3455.9674524274046</v>
      </c>
      <c r="EK487" s="68" t="e">
        <f t="shared" si="597"/>
        <v>#DIV/0!</v>
      </c>
      <c r="EL487" s="58">
        <f t="shared" si="599"/>
        <v>132.05445242740447</v>
      </c>
      <c r="EM487" s="58">
        <f t="shared" si="600"/>
        <v>132.05445242740447</v>
      </c>
      <c r="EN487" s="68" t="e">
        <f t="shared" si="601"/>
        <v>#DIV/0!</v>
      </c>
      <c r="EO487" s="139">
        <f t="shared" si="652"/>
        <v>0.32946562535829382</v>
      </c>
      <c r="EP487">
        <f>+(SUM(M487:O487)*EO487*(1-'[1]Tier 3 Data'!$A$2))</f>
        <v>0</v>
      </c>
    </row>
    <row r="488" spans="1:146" x14ac:dyDescent="0.2">
      <c r="A488" s="43">
        <v>0</v>
      </c>
      <c r="B488" s="43">
        <v>0</v>
      </c>
      <c r="C488" s="43">
        <v>0</v>
      </c>
      <c r="D488" s="70">
        <v>2048</v>
      </c>
      <c r="E488" s="70">
        <v>1</v>
      </c>
      <c r="F488" s="2">
        <v>744</v>
      </c>
      <c r="G488" s="133">
        <f t="shared" si="636"/>
        <v>0</v>
      </c>
      <c r="H488" s="64"/>
      <c r="I488" s="133">
        <f t="shared" si="637"/>
        <v>0</v>
      </c>
      <c r="J488" s="133">
        <f t="shared" si="576"/>
        <v>0</v>
      </c>
      <c r="K488" s="64"/>
      <c r="L488" s="133">
        <f t="shared" si="577"/>
        <v>0</v>
      </c>
      <c r="M488" s="5"/>
      <c r="N488" s="5"/>
      <c r="O488" s="5"/>
      <c r="P488" s="200">
        <f t="shared" si="568"/>
        <v>0</v>
      </c>
      <c r="Q488" s="200">
        <f t="shared" si="569"/>
        <v>0</v>
      </c>
      <c r="R488" s="200">
        <f t="shared" si="570"/>
        <v>0</v>
      </c>
      <c r="S488" s="133">
        <f t="shared" si="638"/>
        <v>0</v>
      </c>
      <c r="T488" s="133">
        <f t="shared" si="639"/>
        <v>0</v>
      </c>
      <c r="U488" s="133">
        <f t="shared" si="640"/>
        <v>0</v>
      </c>
      <c r="V488" s="200">
        <f t="shared" si="571"/>
        <v>0</v>
      </c>
      <c r="W488" s="200">
        <f t="shared" si="572"/>
        <v>0</v>
      </c>
      <c r="X488" s="200">
        <f t="shared" si="573"/>
        <v>0</v>
      </c>
      <c r="Y488" s="58">
        <f t="shared" si="624"/>
        <v>0</v>
      </c>
      <c r="AA488" s="58">
        <f t="shared" si="625"/>
        <v>0</v>
      </c>
      <c r="AB488" s="200">
        <f t="shared" si="611"/>
        <v>0</v>
      </c>
      <c r="AC488" s="200">
        <f t="shared" si="612"/>
        <v>0</v>
      </c>
      <c r="AD488" s="200">
        <f t="shared" si="613"/>
        <v>0</v>
      </c>
      <c r="AE488" s="199">
        <f t="shared" si="517"/>
        <v>0</v>
      </c>
      <c r="AF488" s="199">
        <f t="shared" si="614"/>
        <v>0</v>
      </c>
      <c r="AG488" s="199">
        <f t="shared" si="518"/>
        <v>0</v>
      </c>
      <c r="AH488" s="199">
        <f t="shared" si="641"/>
        <v>0</v>
      </c>
      <c r="AI488" s="200">
        <f t="shared" si="615"/>
        <v>0</v>
      </c>
      <c r="AJ488" s="200">
        <f t="shared" si="616"/>
        <v>0</v>
      </c>
      <c r="AK488" s="200">
        <f t="shared" si="617"/>
        <v>0</v>
      </c>
      <c r="AL488" s="4"/>
      <c r="AM488" s="4"/>
      <c r="AN488" s="4"/>
      <c r="AO488" s="4"/>
      <c r="AP488" s="63"/>
      <c r="AQ488" s="18"/>
      <c r="AR488" s="18"/>
      <c r="AS488" s="18"/>
      <c r="AT488" s="18">
        <v>0</v>
      </c>
      <c r="AU488" s="133">
        <f t="shared" ref="AU488" si="681">+AU476</f>
        <v>98.513999999999996</v>
      </c>
      <c r="AV488" s="133">
        <f t="shared" ref="AV488" si="682">+AV476</f>
        <v>3278.6750000000002</v>
      </c>
      <c r="AW488" s="194"/>
      <c r="AX488" s="194"/>
      <c r="AY488" s="194"/>
      <c r="AZ488" s="194"/>
      <c r="BA488" s="194"/>
      <c r="BB488" s="194"/>
      <c r="BC488" s="65">
        <v>0</v>
      </c>
      <c r="BD488" s="65">
        <v>0</v>
      </c>
      <c r="BE488" s="65">
        <v>0</v>
      </c>
      <c r="BF488" s="65">
        <v>0</v>
      </c>
      <c r="BG488" s="65">
        <v>0</v>
      </c>
      <c r="BH488" s="65">
        <v>0</v>
      </c>
      <c r="BI488" s="65">
        <v>186.27991098998945</v>
      </c>
      <c r="BJ488" s="65">
        <v>0</v>
      </c>
      <c r="BK488" s="65">
        <v>0</v>
      </c>
      <c r="BL488" s="65">
        <v>0</v>
      </c>
      <c r="BM488" s="65">
        <v>0</v>
      </c>
      <c r="BN488" s="65">
        <v>0</v>
      </c>
      <c r="BO488" s="65">
        <v>0</v>
      </c>
      <c r="BP488" s="5"/>
      <c r="BQ488" s="5"/>
      <c r="BR488" s="5"/>
      <c r="BS488" s="64"/>
      <c r="BT488" s="5"/>
      <c r="BU488" s="5"/>
      <c r="BV488" s="144">
        <f t="shared" si="608"/>
        <v>0</v>
      </c>
      <c r="BW488" s="144">
        <f t="shared" si="609"/>
        <v>0</v>
      </c>
      <c r="BX488" s="144">
        <f t="shared" si="610"/>
        <v>0</v>
      </c>
      <c r="BY488" s="5"/>
      <c r="BZ488" s="5"/>
      <c r="CA488" s="4"/>
      <c r="CB488" s="5"/>
      <c r="CC488" s="5"/>
      <c r="CD488" s="5"/>
      <c r="CE488" s="5"/>
      <c r="CF488" s="64"/>
      <c r="CG488" s="70"/>
      <c r="CH488" s="70"/>
      <c r="CI488" s="70"/>
      <c r="CJ488" s="63"/>
      <c r="CK488" s="8">
        <f t="shared" si="559"/>
        <v>3563.4689109899896</v>
      </c>
      <c r="CL488" s="202">
        <f t="shared" ref="CL488:CL551" si="683">+AB488-$CK488</f>
        <v>-3563.4689109899896</v>
      </c>
      <c r="CM488" s="202">
        <f t="shared" ref="CM488:CM551" si="684">+AC488-$CK488</f>
        <v>-3563.4689109899896</v>
      </c>
      <c r="CN488" s="202">
        <f t="shared" ref="CN488:CN551" si="685">+AD488-$CK488</f>
        <v>-3563.4689109899896</v>
      </c>
      <c r="CO488" s="9">
        <f t="shared" ref="CO488:CO551" si="686">+AE488-$CK488</f>
        <v>-3563.4689109899896</v>
      </c>
      <c r="CP488" s="9">
        <f t="shared" ref="CP488:CP551" si="687">+AF488-$CK488</f>
        <v>-3563.4689109899896</v>
      </c>
      <c r="CQ488" s="9">
        <f t="shared" ref="CQ488:CQ551" si="688">+AG488-$CK488</f>
        <v>-3563.4689109899896</v>
      </c>
      <c r="CR488" s="202">
        <f t="shared" ref="CR488:CR551" si="689">+AI488-$CK488</f>
        <v>-3563.4689109899896</v>
      </c>
      <c r="CS488" s="202">
        <f t="shared" ref="CS488:CS551" si="690">+AJ488-$CK488</f>
        <v>-3563.4689109899896</v>
      </c>
      <c r="CT488" s="202">
        <f t="shared" ref="CT488:CT551" si="691">+AK488-$CK488</f>
        <v>-3563.4689109899896</v>
      </c>
      <c r="CU488" s="203" t="e">
        <f t="shared" ref="CU488:CU551" si="692">+CL488/AB488</f>
        <v>#DIV/0!</v>
      </c>
      <c r="CV488" s="203" t="e">
        <f t="shared" ref="CV488:CV551" si="693">+CM488/AC488</f>
        <v>#DIV/0!</v>
      </c>
      <c r="CW488" s="203" t="e">
        <f t="shared" ref="CW488:CW551" si="694">+CN488/AD488</f>
        <v>#DIV/0!</v>
      </c>
      <c r="CX488" s="19" t="e">
        <f t="shared" ref="CX488:CX551" si="695">+CO488/AE488</f>
        <v>#DIV/0!</v>
      </c>
      <c r="CY488" s="19" t="e">
        <f t="shared" ref="CY488:CY551" si="696">+CP488/AF488</f>
        <v>#DIV/0!</v>
      </c>
      <c r="CZ488" s="19" t="e">
        <f t="shared" ref="CZ488:CZ551" si="697">+CQ488/AG488</f>
        <v>#DIV/0!</v>
      </c>
      <c r="DA488" s="203" t="e">
        <f t="shared" ref="DA488:DA551" si="698">+CR488/AI488</f>
        <v>#DIV/0!</v>
      </c>
      <c r="DB488" s="203" t="e">
        <f t="shared" ref="DB488:DB551" si="699">+CS488/AJ488</f>
        <v>#DIV/0!</v>
      </c>
      <c r="DC488" s="203" t="e">
        <f t="shared" ref="DC488:DC551" si="700">+CT488/AK488</f>
        <v>#DIV/0!</v>
      </c>
      <c r="DD488" s="65"/>
      <c r="DE488" s="66"/>
      <c r="DF488" s="66"/>
      <c r="DG488" s="66"/>
      <c r="DH488" s="66"/>
      <c r="DI488" s="66"/>
      <c r="DJ488" s="66"/>
      <c r="DK488" s="70"/>
      <c r="DL488" s="70"/>
      <c r="DM488" s="8">
        <f t="shared" si="560"/>
        <v>0</v>
      </c>
      <c r="DN488" s="8">
        <f t="shared" si="561"/>
        <v>3563.4689109899896</v>
      </c>
      <c r="DO488" s="202">
        <f t="shared" si="535"/>
        <v>-3563.4689109899896</v>
      </c>
      <c r="DP488" s="202">
        <f t="shared" si="536"/>
        <v>-3563.4689109899896</v>
      </c>
      <c r="DQ488" s="202">
        <f t="shared" si="537"/>
        <v>-3563.4689109899896</v>
      </c>
      <c r="DR488" s="9">
        <f t="shared" si="538"/>
        <v>-3563.4689109899896</v>
      </c>
      <c r="DS488" s="9">
        <f t="shared" si="501"/>
        <v>-3563.4689109899896</v>
      </c>
      <c r="DT488" s="9">
        <f t="shared" si="539"/>
        <v>-3563.4689109899896</v>
      </c>
      <c r="DU488" s="202">
        <f t="shared" si="540"/>
        <v>-3563.4689109899896</v>
      </c>
      <c r="DV488" s="202">
        <f t="shared" si="541"/>
        <v>-3563.4689109899896</v>
      </c>
      <c r="DW488" s="202">
        <f t="shared" si="542"/>
        <v>-3563.4689109899896</v>
      </c>
      <c r="DX488" s="203" t="e">
        <f t="shared" si="543"/>
        <v>#DIV/0!</v>
      </c>
      <c r="DY488" s="203" t="e">
        <f t="shared" si="544"/>
        <v>#DIV/0!</v>
      </c>
      <c r="DZ488" s="203" t="e">
        <f t="shared" si="545"/>
        <v>#DIV/0!</v>
      </c>
      <c r="EA488" s="19" t="e">
        <f t="shared" si="546"/>
        <v>#DIV/0!</v>
      </c>
      <c r="EB488" s="19" t="e">
        <f t="shared" si="502"/>
        <v>#DIV/0!</v>
      </c>
      <c r="EC488" s="19" t="e">
        <f t="shared" si="547"/>
        <v>#DIV/0!</v>
      </c>
      <c r="ED488" s="203" t="e">
        <f t="shared" si="548"/>
        <v>#DIV/0!</v>
      </c>
      <c r="EE488" s="203" t="e">
        <f t="shared" si="549"/>
        <v>#DIV/0!</v>
      </c>
      <c r="EF488" s="203" t="e">
        <f t="shared" si="550"/>
        <v>#DIV/0!</v>
      </c>
      <c r="EH488" s="58">
        <f t="shared" si="596"/>
        <v>3563.4689109899896</v>
      </c>
      <c r="EI488" s="68" t="e">
        <f t="shared" si="597"/>
        <v>#DIV/0!</v>
      </c>
      <c r="EJ488" s="58">
        <f t="shared" si="598"/>
        <v>3563.4689109899896</v>
      </c>
      <c r="EK488" s="68" t="e">
        <f t="shared" si="597"/>
        <v>#DIV/0!</v>
      </c>
      <c r="EL488" s="58">
        <f t="shared" si="599"/>
        <v>186.27991098998945</v>
      </c>
      <c r="EM488" s="58">
        <f t="shared" si="600"/>
        <v>186.27991098998945</v>
      </c>
      <c r="EN488" s="68" t="e">
        <f t="shared" si="601"/>
        <v>#DIV/0!</v>
      </c>
      <c r="EO488" s="139">
        <f t="shared" si="652"/>
        <v>0.32527353469126524</v>
      </c>
      <c r="EP488">
        <f>+(SUM(M488:O488)*EO488*(1-'[1]Tier 3 Data'!$A$2))</f>
        <v>0</v>
      </c>
    </row>
    <row r="489" spans="1:146" x14ac:dyDescent="0.2">
      <c r="A489" s="43">
        <v>0</v>
      </c>
      <c r="B489" s="43">
        <v>0</v>
      </c>
      <c r="C489" s="43">
        <v>0</v>
      </c>
      <c r="D489" s="70">
        <v>2048</v>
      </c>
      <c r="E489" s="70">
        <v>2</v>
      </c>
      <c r="F489" s="2">
        <v>696</v>
      </c>
      <c r="G489" s="133">
        <f t="shared" si="636"/>
        <v>0</v>
      </c>
      <c r="H489" s="64"/>
      <c r="I489" s="133">
        <f t="shared" si="637"/>
        <v>0</v>
      </c>
      <c r="J489" s="133">
        <f t="shared" si="576"/>
        <v>0</v>
      </c>
      <c r="K489" s="64"/>
      <c r="L489" s="133">
        <f t="shared" si="577"/>
        <v>0</v>
      </c>
      <c r="M489" s="5"/>
      <c r="N489" s="5"/>
      <c r="O489" s="5"/>
      <c r="P489" s="200">
        <f t="shared" si="568"/>
        <v>0</v>
      </c>
      <c r="Q489" s="200">
        <f t="shared" si="569"/>
        <v>0</v>
      </c>
      <c r="R489" s="200">
        <f t="shared" si="570"/>
        <v>0</v>
      </c>
      <c r="S489" s="133">
        <f t="shared" si="638"/>
        <v>0</v>
      </c>
      <c r="T489" s="133">
        <f t="shared" si="639"/>
        <v>0</v>
      </c>
      <c r="U489" s="133">
        <f t="shared" si="640"/>
        <v>0</v>
      </c>
      <c r="V489" s="200">
        <f t="shared" si="571"/>
        <v>0</v>
      </c>
      <c r="W489" s="200">
        <f t="shared" si="572"/>
        <v>0</v>
      </c>
      <c r="X489" s="200">
        <f t="shared" si="573"/>
        <v>0</v>
      </c>
      <c r="Y489" s="58">
        <f t="shared" si="624"/>
        <v>0</v>
      </c>
      <c r="AA489" s="58">
        <f t="shared" si="625"/>
        <v>0</v>
      </c>
      <c r="AB489" s="200">
        <f t="shared" si="611"/>
        <v>0</v>
      </c>
      <c r="AC489" s="200">
        <f t="shared" si="612"/>
        <v>0</v>
      </c>
      <c r="AD489" s="200">
        <f t="shared" si="613"/>
        <v>0</v>
      </c>
      <c r="AE489" s="199">
        <f t="shared" si="517"/>
        <v>0</v>
      </c>
      <c r="AF489" s="199">
        <f t="shared" si="614"/>
        <v>0</v>
      </c>
      <c r="AG489" s="199">
        <f t="shared" si="518"/>
        <v>0</v>
      </c>
      <c r="AH489" s="199">
        <f t="shared" si="641"/>
        <v>0</v>
      </c>
      <c r="AI489" s="200">
        <f t="shared" si="615"/>
        <v>0</v>
      </c>
      <c r="AJ489" s="200">
        <f t="shared" si="616"/>
        <v>0</v>
      </c>
      <c r="AK489" s="200">
        <f t="shared" si="617"/>
        <v>0</v>
      </c>
      <c r="AL489" s="4"/>
      <c r="AM489" s="4"/>
      <c r="AN489" s="4"/>
      <c r="AO489" s="4"/>
      <c r="AP489" s="63"/>
      <c r="AQ489" s="18"/>
      <c r="AR489" s="18"/>
      <c r="AS489" s="18"/>
      <c r="AT489" s="18">
        <v>0</v>
      </c>
      <c r="AU489" s="133">
        <f t="shared" ref="AU489" si="701">+AU477</f>
        <v>92.897999999999996</v>
      </c>
      <c r="AV489" s="133">
        <f t="shared" ref="AV489" si="702">+AV477</f>
        <v>3057.587</v>
      </c>
      <c r="AW489" s="194"/>
      <c r="AX489" s="194"/>
      <c r="AY489" s="194"/>
      <c r="AZ489" s="194"/>
      <c r="BA489" s="194"/>
      <c r="BB489" s="194"/>
      <c r="BC489" s="65">
        <v>0</v>
      </c>
      <c r="BD489" s="65">
        <v>0</v>
      </c>
      <c r="BE489" s="65">
        <v>0</v>
      </c>
      <c r="BF489" s="65">
        <v>0</v>
      </c>
      <c r="BG489" s="65">
        <v>0</v>
      </c>
      <c r="BH489" s="65">
        <v>0</v>
      </c>
      <c r="BI489" s="65">
        <v>232.16629989499813</v>
      </c>
      <c r="BJ489" s="65">
        <v>0</v>
      </c>
      <c r="BK489" s="65">
        <v>0</v>
      </c>
      <c r="BL489" s="65">
        <v>0</v>
      </c>
      <c r="BM489" s="65">
        <v>0</v>
      </c>
      <c r="BN489" s="65">
        <v>0</v>
      </c>
      <c r="BO489" s="65">
        <v>0</v>
      </c>
      <c r="BP489" s="5"/>
      <c r="BQ489" s="5"/>
      <c r="BR489" s="5"/>
      <c r="BS489" s="64"/>
      <c r="BT489" s="5"/>
      <c r="BU489" s="5"/>
      <c r="BV489" s="144">
        <f t="shared" si="608"/>
        <v>0</v>
      </c>
      <c r="BW489" s="144">
        <f t="shared" si="609"/>
        <v>0</v>
      </c>
      <c r="BX489" s="144">
        <f t="shared" si="610"/>
        <v>0</v>
      </c>
      <c r="BY489" s="5"/>
      <c r="BZ489" s="5"/>
      <c r="CA489" s="4"/>
      <c r="CB489" s="5"/>
      <c r="CC489" s="5"/>
      <c r="CD489" s="5"/>
      <c r="CE489" s="5"/>
      <c r="CF489" s="64"/>
      <c r="CG489" s="70"/>
      <c r="CH489" s="70"/>
      <c r="CI489" s="70"/>
      <c r="CJ489" s="63"/>
      <c r="CK489" s="8">
        <f t="shared" si="559"/>
        <v>3382.6512998949984</v>
      </c>
      <c r="CL489" s="202">
        <f t="shared" si="683"/>
        <v>-3382.6512998949984</v>
      </c>
      <c r="CM489" s="202">
        <f t="shared" si="684"/>
        <v>-3382.6512998949984</v>
      </c>
      <c r="CN489" s="202">
        <f t="shared" si="685"/>
        <v>-3382.6512998949984</v>
      </c>
      <c r="CO489" s="9">
        <f t="shared" si="686"/>
        <v>-3382.6512998949984</v>
      </c>
      <c r="CP489" s="9">
        <f t="shared" si="687"/>
        <v>-3382.6512998949984</v>
      </c>
      <c r="CQ489" s="9">
        <f t="shared" si="688"/>
        <v>-3382.6512998949984</v>
      </c>
      <c r="CR489" s="202">
        <f t="shared" si="689"/>
        <v>-3382.6512998949984</v>
      </c>
      <c r="CS489" s="202">
        <f t="shared" si="690"/>
        <v>-3382.6512998949984</v>
      </c>
      <c r="CT489" s="202">
        <f t="shared" si="691"/>
        <v>-3382.6512998949984</v>
      </c>
      <c r="CU489" s="203" t="e">
        <f t="shared" si="692"/>
        <v>#DIV/0!</v>
      </c>
      <c r="CV489" s="203" t="e">
        <f t="shared" si="693"/>
        <v>#DIV/0!</v>
      </c>
      <c r="CW489" s="203" t="e">
        <f t="shared" si="694"/>
        <v>#DIV/0!</v>
      </c>
      <c r="CX489" s="19" t="e">
        <f t="shared" si="695"/>
        <v>#DIV/0!</v>
      </c>
      <c r="CY489" s="19" t="e">
        <f t="shared" si="696"/>
        <v>#DIV/0!</v>
      </c>
      <c r="CZ489" s="19" t="e">
        <f t="shared" si="697"/>
        <v>#DIV/0!</v>
      </c>
      <c r="DA489" s="203" t="e">
        <f t="shared" si="698"/>
        <v>#DIV/0!</v>
      </c>
      <c r="DB489" s="203" t="e">
        <f t="shared" si="699"/>
        <v>#DIV/0!</v>
      </c>
      <c r="DC489" s="203" t="e">
        <f t="shared" si="700"/>
        <v>#DIV/0!</v>
      </c>
      <c r="DD489" s="65"/>
      <c r="DE489" s="66"/>
      <c r="DF489" s="66"/>
      <c r="DG489" s="66"/>
      <c r="DH489" s="66"/>
      <c r="DI489" s="66"/>
      <c r="DJ489" s="66"/>
      <c r="DK489" s="70"/>
      <c r="DL489" s="70"/>
      <c r="DM489" s="8">
        <f t="shared" si="560"/>
        <v>0</v>
      </c>
      <c r="DN489" s="8">
        <f t="shared" si="561"/>
        <v>3382.6512998949984</v>
      </c>
      <c r="DO489" s="202">
        <f t="shared" si="535"/>
        <v>-3382.6512998949984</v>
      </c>
      <c r="DP489" s="202">
        <f t="shared" si="536"/>
        <v>-3382.6512998949984</v>
      </c>
      <c r="DQ489" s="202">
        <f t="shared" si="537"/>
        <v>-3382.6512998949984</v>
      </c>
      <c r="DR489" s="9">
        <f t="shared" si="538"/>
        <v>-3382.6512998949984</v>
      </c>
      <c r="DS489" s="9">
        <f t="shared" ref="DS489:DS552" si="703">+AF489-$DN489</f>
        <v>-3382.6512998949984</v>
      </c>
      <c r="DT489" s="9">
        <f t="shared" si="539"/>
        <v>-3382.6512998949984</v>
      </c>
      <c r="DU489" s="202">
        <f t="shared" si="540"/>
        <v>-3382.6512998949984</v>
      </c>
      <c r="DV489" s="202">
        <f t="shared" si="541"/>
        <v>-3382.6512998949984</v>
      </c>
      <c r="DW489" s="202">
        <f t="shared" si="542"/>
        <v>-3382.6512998949984</v>
      </c>
      <c r="DX489" s="203" t="e">
        <f t="shared" si="543"/>
        <v>#DIV/0!</v>
      </c>
      <c r="DY489" s="203" t="e">
        <f t="shared" si="544"/>
        <v>#DIV/0!</v>
      </c>
      <c r="DZ489" s="203" t="e">
        <f t="shared" si="545"/>
        <v>#DIV/0!</v>
      </c>
      <c r="EA489" s="19" t="e">
        <f t="shared" si="546"/>
        <v>#DIV/0!</v>
      </c>
      <c r="EB489" s="19" t="e">
        <f t="shared" ref="EB489:EB552" si="704">+DS489/AF489</f>
        <v>#DIV/0!</v>
      </c>
      <c r="EC489" s="19" t="e">
        <f t="shared" si="547"/>
        <v>#DIV/0!</v>
      </c>
      <c r="ED489" s="203" t="e">
        <f t="shared" si="548"/>
        <v>#DIV/0!</v>
      </c>
      <c r="EE489" s="203" t="e">
        <f t="shared" si="549"/>
        <v>#DIV/0!</v>
      </c>
      <c r="EF489" s="203" t="e">
        <f t="shared" si="550"/>
        <v>#DIV/0!</v>
      </c>
      <c r="EH489" s="58">
        <f t="shared" si="596"/>
        <v>3382.6512998949984</v>
      </c>
      <c r="EI489" s="68" t="e">
        <f t="shared" si="597"/>
        <v>#DIV/0!</v>
      </c>
      <c r="EJ489" s="58">
        <f t="shared" si="598"/>
        <v>3382.6512998949984</v>
      </c>
      <c r="EK489" s="68" t="e">
        <f t="shared" si="597"/>
        <v>#DIV/0!</v>
      </c>
      <c r="EL489" s="58">
        <f t="shared" si="599"/>
        <v>232.16629989499813</v>
      </c>
      <c r="EM489" s="58">
        <f t="shared" si="600"/>
        <v>232.16629989499813</v>
      </c>
      <c r="EN489" s="68" t="e">
        <f t="shared" si="601"/>
        <v>#DIV/0!</v>
      </c>
      <c r="EO489" s="139">
        <f t="shared" si="652"/>
        <v>0.3126447604730192</v>
      </c>
      <c r="EP489">
        <f>+(SUM(M489:O489)*EO489*(1-'[1]Tier 3 Data'!$A$2))</f>
        <v>0</v>
      </c>
    </row>
    <row r="490" spans="1:146" x14ac:dyDescent="0.2">
      <c r="A490" s="43">
        <v>0</v>
      </c>
      <c r="B490" s="43">
        <v>0</v>
      </c>
      <c r="C490" s="43">
        <v>0</v>
      </c>
      <c r="D490" s="70">
        <v>2048</v>
      </c>
      <c r="E490" s="70">
        <v>3</v>
      </c>
      <c r="F490" s="2">
        <v>743</v>
      </c>
      <c r="G490" s="133">
        <f t="shared" si="636"/>
        <v>0</v>
      </c>
      <c r="H490" s="64"/>
      <c r="I490" s="133">
        <f t="shared" si="637"/>
        <v>0</v>
      </c>
      <c r="J490" s="133">
        <f t="shared" si="576"/>
        <v>0</v>
      </c>
      <c r="K490" s="64"/>
      <c r="L490" s="133">
        <f t="shared" si="577"/>
        <v>0</v>
      </c>
      <c r="M490" s="5"/>
      <c r="N490" s="5"/>
      <c r="O490" s="5"/>
      <c r="P490" s="200">
        <f t="shared" si="568"/>
        <v>0</v>
      </c>
      <c r="Q490" s="200">
        <f t="shared" si="569"/>
        <v>0</v>
      </c>
      <c r="R490" s="200">
        <f t="shared" si="570"/>
        <v>0</v>
      </c>
      <c r="S490" s="133">
        <f t="shared" si="638"/>
        <v>0</v>
      </c>
      <c r="T490" s="133">
        <f t="shared" si="639"/>
        <v>0</v>
      </c>
      <c r="U490" s="133">
        <f t="shared" si="640"/>
        <v>0</v>
      </c>
      <c r="V490" s="200">
        <f t="shared" si="571"/>
        <v>0</v>
      </c>
      <c r="W490" s="200">
        <f t="shared" si="572"/>
        <v>0</v>
      </c>
      <c r="X490" s="200">
        <f t="shared" si="573"/>
        <v>0</v>
      </c>
      <c r="Y490" s="58">
        <f t="shared" si="624"/>
        <v>0</v>
      </c>
      <c r="AA490" s="58">
        <f t="shared" si="625"/>
        <v>0</v>
      </c>
      <c r="AB490" s="200">
        <f t="shared" si="611"/>
        <v>0</v>
      </c>
      <c r="AC490" s="200">
        <f t="shared" si="612"/>
        <v>0</v>
      </c>
      <c r="AD490" s="200">
        <f t="shared" si="613"/>
        <v>0</v>
      </c>
      <c r="AE490" s="199">
        <f t="shared" si="517"/>
        <v>0</v>
      </c>
      <c r="AF490" s="199">
        <f t="shared" si="614"/>
        <v>0</v>
      </c>
      <c r="AG490" s="199">
        <f t="shared" si="518"/>
        <v>0</v>
      </c>
      <c r="AH490" s="199">
        <f t="shared" si="641"/>
        <v>0</v>
      </c>
      <c r="AI490" s="200">
        <f t="shared" si="615"/>
        <v>0</v>
      </c>
      <c r="AJ490" s="200">
        <f t="shared" si="616"/>
        <v>0</v>
      </c>
      <c r="AK490" s="200">
        <f t="shared" si="617"/>
        <v>0</v>
      </c>
      <c r="AL490" s="4"/>
      <c r="AM490" s="4"/>
      <c r="AN490" s="4"/>
      <c r="AO490" s="4"/>
      <c r="AP490" s="63"/>
      <c r="AQ490" s="18"/>
      <c r="AR490" s="18"/>
      <c r="AS490" s="18"/>
      <c r="AT490" s="18">
        <v>0</v>
      </c>
      <c r="AU490" s="133">
        <f t="shared" ref="AU490" si="705">+AU478</f>
        <v>87.516000000000005</v>
      </c>
      <c r="AV490" s="133">
        <f t="shared" ref="AV490" si="706">+AV478</f>
        <v>3232.7139999999999</v>
      </c>
      <c r="AW490" s="194"/>
      <c r="AX490" s="194"/>
      <c r="AY490" s="194"/>
      <c r="AZ490" s="194"/>
      <c r="BA490" s="194"/>
      <c r="BB490" s="194"/>
      <c r="BC490" s="65">
        <v>0</v>
      </c>
      <c r="BD490" s="65">
        <v>0</v>
      </c>
      <c r="BE490" s="65">
        <v>0</v>
      </c>
      <c r="BF490" s="65">
        <v>0</v>
      </c>
      <c r="BG490" s="65">
        <v>0</v>
      </c>
      <c r="BH490" s="65">
        <v>0</v>
      </c>
      <c r="BI490" s="65">
        <v>446.24710917401563</v>
      </c>
      <c r="BJ490" s="65">
        <v>0</v>
      </c>
      <c r="BK490" s="65">
        <v>0</v>
      </c>
      <c r="BL490" s="65">
        <v>0</v>
      </c>
      <c r="BM490" s="65">
        <v>0</v>
      </c>
      <c r="BN490" s="65">
        <v>0</v>
      </c>
      <c r="BO490" s="65">
        <v>0</v>
      </c>
      <c r="BP490" s="5"/>
      <c r="BQ490" s="5"/>
      <c r="BR490" s="5"/>
      <c r="BS490" s="64"/>
      <c r="BT490" s="5"/>
      <c r="BU490" s="5"/>
      <c r="BV490" s="144">
        <f t="shared" si="608"/>
        <v>0</v>
      </c>
      <c r="BW490" s="144">
        <f t="shared" si="609"/>
        <v>0</v>
      </c>
      <c r="BX490" s="144">
        <f t="shared" si="610"/>
        <v>0</v>
      </c>
      <c r="BY490" s="5"/>
      <c r="BZ490" s="5"/>
      <c r="CA490" s="4"/>
      <c r="CB490" s="5"/>
      <c r="CC490" s="5"/>
      <c r="CD490" s="5"/>
      <c r="CE490" s="5"/>
      <c r="CF490" s="64"/>
      <c r="CG490" s="70"/>
      <c r="CH490" s="70"/>
      <c r="CI490" s="70"/>
      <c r="CJ490" s="63"/>
      <c r="CK490" s="8">
        <f t="shared" si="559"/>
        <v>3766.4771091740158</v>
      </c>
      <c r="CL490" s="202">
        <f t="shared" si="683"/>
        <v>-3766.4771091740158</v>
      </c>
      <c r="CM490" s="202">
        <f t="shared" si="684"/>
        <v>-3766.4771091740158</v>
      </c>
      <c r="CN490" s="202">
        <f t="shared" si="685"/>
        <v>-3766.4771091740158</v>
      </c>
      <c r="CO490" s="9">
        <f t="shared" si="686"/>
        <v>-3766.4771091740158</v>
      </c>
      <c r="CP490" s="9">
        <f t="shared" si="687"/>
        <v>-3766.4771091740158</v>
      </c>
      <c r="CQ490" s="9">
        <f t="shared" si="688"/>
        <v>-3766.4771091740158</v>
      </c>
      <c r="CR490" s="202">
        <f t="shared" si="689"/>
        <v>-3766.4771091740158</v>
      </c>
      <c r="CS490" s="202">
        <f t="shared" si="690"/>
        <v>-3766.4771091740158</v>
      </c>
      <c r="CT490" s="202">
        <f t="shared" si="691"/>
        <v>-3766.4771091740158</v>
      </c>
      <c r="CU490" s="203" t="e">
        <f t="shared" si="692"/>
        <v>#DIV/0!</v>
      </c>
      <c r="CV490" s="203" t="e">
        <f t="shared" si="693"/>
        <v>#DIV/0!</v>
      </c>
      <c r="CW490" s="203" t="e">
        <f t="shared" si="694"/>
        <v>#DIV/0!</v>
      </c>
      <c r="CX490" s="19" t="e">
        <f t="shared" si="695"/>
        <v>#DIV/0!</v>
      </c>
      <c r="CY490" s="19" t="e">
        <f t="shared" si="696"/>
        <v>#DIV/0!</v>
      </c>
      <c r="CZ490" s="19" t="e">
        <f t="shared" si="697"/>
        <v>#DIV/0!</v>
      </c>
      <c r="DA490" s="203" t="e">
        <f t="shared" si="698"/>
        <v>#DIV/0!</v>
      </c>
      <c r="DB490" s="203" t="e">
        <f t="shared" si="699"/>
        <v>#DIV/0!</v>
      </c>
      <c r="DC490" s="203" t="e">
        <f t="shared" si="700"/>
        <v>#DIV/0!</v>
      </c>
      <c r="DD490" s="65"/>
      <c r="DE490" s="66"/>
      <c r="DF490" s="66"/>
      <c r="DG490" s="66"/>
      <c r="DH490" s="66"/>
      <c r="DI490" s="66"/>
      <c r="DJ490" s="66"/>
      <c r="DK490" s="70"/>
      <c r="DL490" s="70"/>
      <c r="DM490" s="8">
        <f t="shared" si="560"/>
        <v>0</v>
      </c>
      <c r="DN490" s="8">
        <f t="shared" si="561"/>
        <v>3766.4771091740158</v>
      </c>
      <c r="DO490" s="202">
        <f t="shared" si="535"/>
        <v>-3766.4771091740158</v>
      </c>
      <c r="DP490" s="202">
        <f t="shared" si="536"/>
        <v>-3766.4771091740158</v>
      </c>
      <c r="DQ490" s="202">
        <f t="shared" si="537"/>
        <v>-3766.4771091740158</v>
      </c>
      <c r="DR490" s="9">
        <f t="shared" si="538"/>
        <v>-3766.4771091740158</v>
      </c>
      <c r="DS490" s="9">
        <f t="shared" si="703"/>
        <v>-3766.4771091740158</v>
      </c>
      <c r="DT490" s="9">
        <f t="shared" si="539"/>
        <v>-3766.4771091740158</v>
      </c>
      <c r="DU490" s="202">
        <f t="shared" si="540"/>
        <v>-3766.4771091740158</v>
      </c>
      <c r="DV490" s="202">
        <f t="shared" si="541"/>
        <v>-3766.4771091740158</v>
      </c>
      <c r="DW490" s="202">
        <f t="shared" si="542"/>
        <v>-3766.4771091740158</v>
      </c>
      <c r="DX490" s="203" t="e">
        <f t="shared" si="543"/>
        <v>#DIV/0!</v>
      </c>
      <c r="DY490" s="203" t="e">
        <f t="shared" si="544"/>
        <v>#DIV/0!</v>
      </c>
      <c r="DZ490" s="203" t="e">
        <f t="shared" si="545"/>
        <v>#DIV/0!</v>
      </c>
      <c r="EA490" s="19" t="e">
        <f t="shared" si="546"/>
        <v>#DIV/0!</v>
      </c>
      <c r="EB490" s="19" t="e">
        <f t="shared" si="704"/>
        <v>#DIV/0!</v>
      </c>
      <c r="EC490" s="19" t="e">
        <f t="shared" si="547"/>
        <v>#DIV/0!</v>
      </c>
      <c r="ED490" s="203" t="e">
        <f t="shared" si="548"/>
        <v>#DIV/0!</v>
      </c>
      <c r="EE490" s="203" t="e">
        <f t="shared" si="549"/>
        <v>#DIV/0!</v>
      </c>
      <c r="EF490" s="203" t="e">
        <f t="shared" si="550"/>
        <v>#DIV/0!</v>
      </c>
      <c r="EH490" s="58">
        <f t="shared" si="596"/>
        <v>3766.4771091740158</v>
      </c>
      <c r="EI490" s="68" t="e">
        <f t="shared" si="597"/>
        <v>#DIV/0!</v>
      </c>
      <c r="EJ490" s="58">
        <f t="shared" si="598"/>
        <v>3766.4771091740158</v>
      </c>
      <c r="EK490" s="68" t="e">
        <f t="shared" si="597"/>
        <v>#DIV/0!</v>
      </c>
      <c r="EL490" s="58">
        <f t="shared" si="599"/>
        <v>446.24710917401563</v>
      </c>
      <c r="EM490" s="58">
        <f t="shared" si="600"/>
        <v>446.24710917401563</v>
      </c>
      <c r="EN490" s="68" t="e">
        <f t="shared" si="601"/>
        <v>#DIV/0!</v>
      </c>
      <c r="EO490" s="139">
        <f t="shared" si="652"/>
        <v>0.32861286969700848</v>
      </c>
      <c r="EP490">
        <f>+(SUM(M490:O490)*EO490*(1-'[1]Tier 3 Data'!$A$2))</f>
        <v>0</v>
      </c>
    </row>
    <row r="491" spans="1:146" x14ac:dyDescent="0.2">
      <c r="A491" s="43">
        <v>0</v>
      </c>
      <c r="B491" s="43">
        <v>0</v>
      </c>
      <c r="C491" s="43">
        <v>0</v>
      </c>
      <c r="D491" s="70">
        <v>2048</v>
      </c>
      <c r="E491" s="70">
        <v>4</v>
      </c>
      <c r="F491" s="2">
        <v>720</v>
      </c>
      <c r="G491" s="133">
        <f t="shared" si="636"/>
        <v>0</v>
      </c>
      <c r="H491" s="64"/>
      <c r="I491" s="133">
        <f t="shared" si="637"/>
        <v>0</v>
      </c>
      <c r="J491" s="133">
        <f t="shared" si="576"/>
        <v>0</v>
      </c>
      <c r="K491" s="64"/>
      <c r="L491" s="133">
        <f t="shared" si="577"/>
        <v>0</v>
      </c>
      <c r="M491" s="5"/>
      <c r="N491" s="5"/>
      <c r="O491" s="5"/>
      <c r="P491" s="200">
        <f t="shared" si="568"/>
        <v>0</v>
      </c>
      <c r="Q491" s="200">
        <f t="shared" si="569"/>
        <v>0</v>
      </c>
      <c r="R491" s="200">
        <f t="shared" si="570"/>
        <v>0</v>
      </c>
      <c r="S491" s="133">
        <f t="shared" si="638"/>
        <v>0</v>
      </c>
      <c r="T491" s="133">
        <f t="shared" si="639"/>
        <v>0</v>
      </c>
      <c r="U491" s="133">
        <f t="shared" si="640"/>
        <v>0</v>
      </c>
      <c r="V491" s="200">
        <f t="shared" si="571"/>
        <v>0</v>
      </c>
      <c r="W491" s="200">
        <f t="shared" si="572"/>
        <v>0</v>
      </c>
      <c r="X491" s="200">
        <f t="shared" si="573"/>
        <v>0</v>
      </c>
      <c r="Y491" s="58">
        <f t="shared" si="624"/>
        <v>0</v>
      </c>
      <c r="AA491" s="58">
        <f t="shared" si="625"/>
        <v>0</v>
      </c>
      <c r="AB491" s="200">
        <f t="shared" si="611"/>
        <v>0</v>
      </c>
      <c r="AC491" s="200">
        <f t="shared" si="612"/>
        <v>0</v>
      </c>
      <c r="AD491" s="200">
        <f t="shared" si="613"/>
        <v>0</v>
      </c>
      <c r="AE491" s="199">
        <f t="shared" si="517"/>
        <v>0</v>
      </c>
      <c r="AF491" s="199">
        <f t="shared" si="614"/>
        <v>0</v>
      </c>
      <c r="AG491" s="199">
        <f t="shared" si="518"/>
        <v>0</v>
      </c>
      <c r="AH491" s="199">
        <f t="shared" si="641"/>
        <v>0</v>
      </c>
      <c r="AI491" s="200">
        <f t="shared" si="615"/>
        <v>0</v>
      </c>
      <c r="AJ491" s="200">
        <f t="shared" si="616"/>
        <v>0</v>
      </c>
      <c r="AK491" s="200">
        <f t="shared" si="617"/>
        <v>0</v>
      </c>
      <c r="AL491" s="4"/>
      <c r="AM491" s="4"/>
      <c r="AN491" s="4"/>
      <c r="AO491" s="4"/>
      <c r="AP491" s="63"/>
      <c r="AQ491" s="18"/>
      <c r="AR491" s="18"/>
      <c r="AS491" s="18"/>
      <c r="AT491" s="18">
        <v>0</v>
      </c>
      <c r="AU491" s="133">
        <f t="shared" ref="AU491" si="707">+AU479</f>
        <v>96.057000000000002</v>
      </c>
      <c r="AV491" s="133">
        <f t="shared" ref="AV491" si="708">+AV479</f>
        <v>3017.9659999999999</v>
      </c>
      <c r="AW491" s="194"/>
      <c r="AX491" s="194"/>
      <c r="AY491" s="194"/>
      <c r="AZ491" s="194"/>
      <c r="BA491" s="194"/>
      <c r="BB491" s="194"/>
      <c r="BC491" s="65">
        <v>0</v>
      </c>
      <c r="BD491" s="65">
        <v>0</v>
      </c>
      <c r="BE491" s="65">
        <v>0</v>
      </c>
      <c r="BF491" s="65">
        <v>0</v>
      </c>
      <c r="BG491" s="65">
        <v>0</v>
      </c>
      <c r="BH491" s="65">
        <v>0</v>
      </c>
      <c r="BI491" s="65">
        <v>363.55990531636246</v>
      </c>
      <c r="BJ491" s="65">
        <v>0</v>
      </c>
      <c r="BK491" s="65">
        <v>0</v>
      </c>
      <c r="BL491" s="65">
        <v>0</v>
      </c>
      <c r="BM491" s="65">
        <v>0</v>
      </c>
      <c r="BN491" s="65">
        <v>0</v>
      </c>
      <c r="BO491" s="65">
        <v>0</v>
      </c>
      <c r="BP491" s="5"/>
      <c r="BQ491" s="5"/>
      <c r="BR491" s="5"/>
      <c r="BS491" s="64"/>
      <c r="BT491" s="5"/>
      <c r="BU491" s="5"/>
      <c r="BV491" s="144">
        <f t="shared" si="608"/>
        <v>0</v>
      </c>
      <c r="BW491" s="144">
        <f t="shared" si="609"/>
        <v>0</v>
      </c>
      <c r="BX491" s="144">
        <f t="shared" si="610"/>
        <v>0</v>
      </c>
      <c r="BY491" s="5"/>
      <c r="BZ491" s="5"/>
      <c r="CA491" s="4"/>
      <c r="CB491" s="5"/>
      <c r="CC491" s="5"/>
      <c r="CD491" s="5"/>
      <c r="CE491" s="5"/>
      <c r="CF491" s="64"/>
      <c r="CG491" s="70"/>
      <c r="CH491" s="70"/>
      <c r="CI491" s="70"/>
      <c r="CJ491" s="63"/>
      <c r="CK491" s="8">
        <f t="shared" si="559"/>
        <v>3477.582905316362</v>
      </c>
      <c r="CL491" s="202">
        <f t="shared" si="683"/>
        <v>-3477.582905316362</v>
      </c>
      <c r="CM491" s="202">
        <f t="shared" si="684"/>
        <v>-3477.582905316362</v>
      </c>
      <c r="CN491" s="202">
        <f t="shared" si="685"/>
        <v>-3477.582905316362</v>
      </c>
      <c r="CO491" s="9">
        <f t="shared" si="686"/>
        <v>-3477.582905316362</v>
      </c>
      <c r="CP491" s="9">
        <f t="shared" si="687"/>
        <v>-3477.582905316362</v>
      </c>
      <c r="CQ491" s="9">
        <f t="shared" si="688"/>
        <v>-3477.582905316362</v>
      </c>
      <c r="CR491" s="202">
        <f t="shared" si="689"/>
        <v>-3477.582905316362</v>
      </c>
      <c r="CS491" s="202">
        <f t="shared" si="690"/>
        <v>-3477.582905316362</v>
      </c>
      <c r="CT491" s="202">
        <f t="shared" si="691"/>
        <v>-3477.582905316362</v>
      </c>
      <c r="CU491" s="203" t="e">
        <f t="shared" si="692"/>
        <v>#DIV/0!</v>
      </c>
      <c r="CV491" s="203" t="e">
        <f t="shared" si="693"/>
        <v>#DIV/0!</v>
      </c>
      <c r="CW491" s="203" t="e">
        <f t="shared" si="694"/>
        <v>#DIV/0!</v>
      </c>
      <c r="CX491" s="19" t="e">
        <f t="shared" si="695"/>
        <v>#DIV/0!</v>
      </c>
      <c r="CY491" s="19" t="e">
        <f t="shared" si="696"/>
        <v>#DIV/0!</v>
      </c>
      <c r="CZ491" s="19" t="e">
        <f t="shared" si="697"/>
        <v>#DIV/0!</v>
      </c>
      <c r="DA491" s="203" t="e">
        <f t="shared" si="698"/>
        <v>#DIV/0!</v>
      </c>
      <c r="DB491" s="203" t="e">
        <f t="shared" si="699"/>
        <v>#DIV/0!</v>
      </c>
      <c r="DC491" s="203" t="e">
        <f t="shared" si="700"/>
        <v>#DIV/0!</v>
      </c>
      <c r="DD491" s="65"/>
      <c r="DE491" s="66"/>
      <c r="DF491" s="66"/>
      <c r="DG491" s="66"/>
      <c r="DH491" s="66"/>
      <c r="DI491" s="66"/>
      <c r="DJ491" s="66"/>
      <c r="DK491" s="70"/>
      <c r="DL491" s="70"/>
      <c r="DM491" s="8">
        <f t="shared" si="560"/>
        <v>0</v>
      </c>
      <c r="DN491" s="8">
        <f t="shared" si="561"/>
        <v>3477.582905316362</v>
      </c>
      <c r="DO491" s="202">
        <f t="shared" si="535"/>
        <v>-3477.582905316362</v>
      </c>
      <c r="DP491" s="202">
        <f t="shared" si="536"/>
        <v>-3477.582905316362</v>
      </c>
      <c r="DQ491" s="202">
        <f t="shared" si="537"/>
        <v>-3477.582905316362</v>
      </c>
      <c r="DR491" s="9">
        <f t="shared" si="538"/>
        <v>-3477.582905316362</v>
      </c>
      <c r="DS491" s="9">
        <f t="shared" si="703"/>
        <v>-3477.582905316362</v>
      </c>
      <c r="DT491" s="9">
        <f t="shared" si="539"/>
        <v>-3477.582905316362</v>
      </c>
      <c r="DU491" s="202">
        <f t="shared" si="540"/>
        <v>-3477.582905316362</v>
      </c>
      <c r="DV491" s="202">
        <f t="shared" si="541"/>
        <v>-3477.582905316362</v>
      </c>
      <c r="DW491" s="202">
        <f t="shared" si="542"/>
        <v>-3477.582905316362</v>
      </c>
      <c r="DX491" s="203" t="e">
        <f t="shared" si="543"/>
        <v>#DIV/0!</v>
      </c>
      <c r="DY491" s="203" t="e">
        <f t="shared" si="544"/>
        <v>#DIV/0!</v>
      </c>
      <c r="DZ491" s="203" t="e">
        <f t="shared" si="545"/>
        <v>#DIV/0!</v>
      </c>
      <c r="EA491" s="19" t="e">
        <f t="shared" si="546"/>
        <v>#DIV/0!</v>
      </c>
      <c r="EB491" s="19" t="e">
        <f t="shared" si="704"/>
        <v>#DIV/0!</v>
      </c>
      <c r="EC491" s="19" t="e">
        <f t="shared" si="547"/>
        <v>#DIV/0!</v>
      </c>
      <c r="ED491" s="203" t="e">
        <f t="shared" si="548"/>
        <v>#DIV/0!</v>
      </c>
      <c r="EE491" s="203" t="e">
        <f t="shared" si="549"/>
        <v>#DIV/0!</v>
      </c>
      <c r="EF491" s="203" t="e">
        <f t="shared" si="550"/>
        <v>#DIV/0!</v>
      </c>
      <c r="EH491" s="58">
        <f t="shared" si="596"/>
        <v>3477.582905316362</v>
      </c>
      <c r="EI491" s="68" t="e">
        <f t="shared" si="597"/>
        <v>#DIV/0!</v>
      </c>
      <c r="EJ491" s="58">
        <f t="shared" si="598"/>
        <v>3477.582905316362</v>
      </c>
      <c r="EK491" s="68" t="e">
        <f t="shared" si="597"/>
        <v>#DIV/0!</v>
      </c>
      <c r="EL491" s="58">
        <f t="shared" si="599"/>
        <v>363.55990531636246</v>
      </c>
      <c r="EM491" s="58">
        <f t="shared" si="600"/>
        <v>363.55990531636246</v>
      </c>
      <c r="EN491" s="68" t="e">
        <f t="shared" si="601"/>
        <v>#DIV/0!</v>
      </c>
      <c r="EO491" s="139">
        <f t="shared" si="652"/>
        <v>0.35351678044029999</v>
      </c>
      <c r="EP491">
        <f>+(SUM(M491:O491)*EO491*(1-'[1]Tier 3 Data'!$A$2))</f>
        <v>0</v>
      </c>
    </row>
    <row r="492" spans="1:146" x14ac:dyDescent="0.2">
      <c r="A492" s="43">
        <v>0</v>
      </c>
      <c r="B492" s="43">
        <v>0</v>
      </c>
      <c r="C492" s="43">
        <v>0</v>
      </c>
      <c r="D492" s="70">
        <v>2048</v>
      </c>
      <c r="E492" s="70">
        <v>5</v>
      </c>
      <c r="F492" s="2">
        <v>744</v>
      </c>
      <c r="G492" s="133">
        <f t="shared" si="636"/>
        <v>0</v>
      </c>
      <c r="H492" s="64"/>
      <c r="I492" s="133">
        <f t="shared" si="637"/>
        <v>0</v>
      </c>
      <c r="J492" s="133">
        <f t="shared" si="576"/>
        <v>0</v>
      </c>
      <c r="K492" s="64"/>
      <c r="L492" s="133">
        <f t="shared" si="577"/>
        <v>0</v>
      </c>
      <c r="M492" s="5"/>
      <c r="N492" s="5"/>
      <c r="O492" s="5"/>
      <c r="P492" s="200">
        <f t="shared" si="568"/>
        <v>0</v>
      </c>
      <c r="Q492" s="200">
        <f t="shared" si="569"/>
        <v>0</v>
      </c>
      <c r="R492" s="200">
        <f t="shared" si="570"/>
        <v>0</v>
      </c>
      <c r="S492" s="133">
        <f t="shared" si="638"/>
        <v>0</v>
      </c>
      <c r="T492" s="133">
        <f t="shared" si="639"/>
        <v>0</v>
      </c>
      <c r="U492" s="133">
        <f t="shared" si="640"/>
        <v>0</v>
      </c>
      <c r="V492" s="200">
        <f t="shared" si="571"/>
        <v>0</v>
      </c>
      <c r="W492" s="200">
        <f t="shared" si="572"/>
        <v>0</v>
      </c>
      <c r="X492" s="200">
        <f t="shared" si="573"/>
        <v>0</v>
      </c>
      <c r="Y492" s="58">
        <f t="shared" si="624"/>
        <v>0</v>
      </c>
      <c r="AA492" s="58">
        <f t="shared" si="625"/>
        <v>0</v>
      </c>
      <c r="AB492" s="200">
        <f t="shared" si="611"/>
        <v>0</v>
      </c>
      <c r="AC492" s="200">
        <f t="shared" si="612"/>
        <v>0</v>
      </c>
      <c r="AD492" s="200">
        <f t="shared" si="613"/>
        <v>0</v>
      </c>
      <c r="AE492" s="199">
        <f t="shared" si="517"/>
        <v>0</v>
      </c>
      <c r="AF492" s="199">
        <f t="shared" si="614"/>
        <v>0</v>
      </c>
      <c r="AG492" s="199">
        <f t="shared" si="518"/>
        <v>0</v>
      </c>
      <c r="AH492" s="199">
        <f t="shared" si="641"/>
        <v>0</v>
      </c>
      <c r="AI492" s="200">
        <f t="shared" si="615"/>
        <v>0</v>
      </c>
      <c r="AJ492" s="200">
        <f t="shared" si="616"/>
        <v>0</v>
      </c>
      <c r="AK492" s="200">
        <f t="shared" si="617"/>
        <v>0</v>
      </c>
      <c r="AL492" s="4"/>
      <c r="AM492" s="4"/>
      <c r="AN492" s="4"/>
      <c r="AO492" s="4"/>
      <c r="AP492" s="63"/>
      <c r="AQ492" s="18"/>
      <c r="AR492" s="18"/>
      <c r="AS492" s="18"/>
      <c r="AT492" s="18">
        <v>0</v>
      </c>
      <c r="AU492" s="133">
        <f t="shared" ref="AU492" si="709">+AU480</f>
        <v>109.161</v>
      </c>
      <c r="AV492" s="133">
        <f t="shared" ref="AV492" si="710">+AV480</f>
        <v>3327.41</v>
      </c>
      <c r="AW492" s="194"/>
      <c r="AX492" s="194"/>
      <c r="AY492" s="194"/>
      <c r="AZ492" s="194"/>
      <c r="BA492" s="194"/>
      <c r="BB492" s="194"/>
      <c r="BC492" s="65">
        <v>0</v>
      </c>
      <c r="BD492" s="65">
        <v>0</v>
      </c>
      <c r="BE492" s="65">
        <v>0</v>
      </c>
      <c r="BF492" s="65">
        <v>0</v>
      </c>
      <c r="BG492" s="65">
        <v>0</v>
      </c>
      <c r="BH492" s="65">
        <v>0</v>
      </c>
      <c r="BI492" s="65">
        <v>365.12416948306065</v>
      </c>
      <c r="BJ492" s="65">
        <v>0</v>
      </c>
      <c r="BK492" s="65">
        <v>0</v>
      </c>
      <c r="BL492" s="65">
        <v>0</v>
      </c>
      <c r="BM492" s="65">
        <v>0</v>
      </c>
      <c r="BN492" s="65">
        <v>0</v>
      </c>
      <c r="BO492" s="65">
        <v>0</v>
      </c>
      <c r="BP492" s="5"/>
      <c r="BQ492" s="5"/>
      <c r="BR492" s="5"/>
      <c r="BS492" s="64"/>
      <c r="BT492" s="5"/>
      <c r="BU492" s="5"/>
      <c r="BV492" s="144">
        <f t="shared" si="608"/>
        <v>0</v>
      </c>
      <c r="BW492" s="144">
        <f t="shared" si="609"/>
        <v>0</v>
      </c>
      <c r="BX492" s="144">
        <f t="shared" si="610"/>
        <v>0</v>
      </c>
      <c r="BY492" s="5"/>
      <c r="BZ492" s="5"/>
      <c r="CA492" s="4"/>
      <c r="CB492" s="5"/>
      <c r="CC492" s="5"/>
      <c r="CD492" s="5"/>
      <c r="CE492" s="5"/>
      <c r="CF492" s="64"/>
      <c r="CG492" s="70"/>
      <c r="CH492" s="70"/>
      <c r="CI492" s="70"/>
      <c r="CJ492" s="63"/>
      <c r="CK492" s="8">
        <f t="shared" si="559"/>
        <v>3801.6951694830605</v>
      </c>
      <c r="CL492" s="202">
        <f t="shared" si="683"/>
        <v>-3801.6951694830605</v>
      </c>
      <c r="CM492" s="202">
        <f t="shared" si="684"/>
        <v>-3801.6951694830605</v>
      </c>
      <c r="CN492" s="202">
        <f t="shared" si="685"/>
        <v>-3801.6951694830605</v>
      </c>
      <c r="CO492" s="9">
        <f t="shared" si="686"/>
        <v>-3801.6951694830605</v>
      </c>
      <c r="CP492" s="9">
        <f t="shared" si="687"/>
        <v>-3801.6951694830605</v>
      </c>
      <c r="CQ492" s="9">
        <f t="shared" si="688"/>
        <v>-3801.6951694830605</v>
      </c>
      <c r="CR492" s="202">
        <f t="shared" si="689"/>
        <v>-3801.6951694830605</v>
      </c>
      <c r="CS492" s="202">
        <f t="shared" si="690"/>
        <v>-3801.6951694830605</v>
      </c>
      <c r="CT492" s="202">
        <f t="shared" si="691"/>
        <v>-3801.6951694830605</v>
      </c>
      <c r="CU492" s="203" t="e">
        <f t="shared" si="692"/>
        <v>#DIV/0!</v>
      </c>
      <c r="CV492" s="203" t="e">
        <f t="shared" si="693"/>
        <v>#DIV/0!</v>
      </c>
      <c r="CW492" s="203" t="e">
        <f t="shared" si="694"/>
        <v>#DIV/0!</v>
      </c>
      <c r="CX492" s="19" t="e">
        <f t="shared" si="695"/>
        <v>#DIV/0!</v>
      </c>
      <c r="CY492" s="19" t="e">
        <f t="shared" si="696"/>
        <v>#DIV/0!</v>
      </c>
      <c r="CZ492" s="19" t="e">
        <f t="shared" si="697"/>
        <v>#DIV/0!</v>
      </c>
      <c r="DA492" s="203" t="e">
        <f t="shared" si="698"/>
        <v>#DIV/0!</v>
      </c>
      <c r="DB492" s="203" t="e">
        <f t="shared" si="699"/>
        <v>#DIV/0!</v>
      </c>
      <c r="DC492" s="203" t="e">
        <f t="shared" si="700"/>
        <v>#DIV/0!</v>
      </c>
      <c r="DD492" s="65"/>
      <c r="DE492" s="66"/>
      <c r="DF492" s="66"/>
      <c r="DG492" s="66"/>
      <c r="DH492" s="66"/>
      <c r="DI492" s="66"/>
      <c r="DJ492" s="66"/>
      <c r="DK492" s="70"/>
      <c r="DL492" s="70"/>
      <c r="DM492" s="8">
        <f t="shared" si="560"/>
        <v>0</v>
      </c>
      <c r="DN492" s="8">
        <f t="shared" si="561"/>
        <v>3801.6951694830605</v>
      </c>
      <c r="DO492" s="202">
        <f t="shared" si="535"/>
        <v>-3801.6951694830605</v>
      </c>
      <c r="DP492" s="202">
        <f t="shared" si="536"/>
        <v>-3801.6951694830605</v>
      </c>
      <c r="DQ492" s="202">
        <f t="shared" si="537"/>
        <v>-3801.6951694830605</v>
      </c>
      <c r="DR492" s="9">
        <f t="shared" si="538"/>
        <v>-3801.6951694830605</v>
      </c>
      <c r="DS492" s="9">
        <f t="shared" si="703"/>
        <v>-3801.6951694830605</v>
      </c>
      <c r="DT492" s="9">
        <f t="shared" si="539"/>
        <v>-3801.6951694830605</v>
      </c>
      <c r="DU492" s="202">
        <f t="shared" si="540"/>
        <v>-3801.6951694830605</v>
      </c>
      <c r="DV492" s="202">
        <f t="shared" si="541"/>
        <v>-3801.6951694830605</v>
      </c>
      <c r="DW492" s="202">
        <f t="shared" si="542"/>
        <v>-3801.6951694830605</v>
      </c>
      <c r="DX492" s="203" t="e">
        <f t="shared" si="543"/>
        <v>#DIV/0!</v>
      </c>
      <c r="DY492" s="203" t="e">
        <f t="shared" si="544"/>
        <v>#DIV/0!</v>
      </c>
      <c r="DZ492" s="203" t="e">
        <f t="shared" si="545"/>
        <v>#DIV/0!</v>
      </c>
      <c r="EA492" s="19" t="e">
        <f t="shared" si="546"/>
        <v>#DIV/0!</v>
      </c>
      <c r="EB492" s="19" t="e">
        <f t="shared" si="704"/>
        <v>#DIV/0!</v>
      </c>
      <c r="EC492" s="19" t="e">
        <f t="shared" si="547"/>
        <v>#DIV/0!</v>
      </c>
      <c r="ED492" s="203" t="e">
        <f t="shared" si="548"/>
        <v>#DIV/0!</v>
      </c>
      <c r="EE492" s="203" t="e">
        <f t="shared" si="549"/>
        <v>#DIV/0!</v>
      </c>
      <c r="EF492" s="203" t="e">
        <f t="shared" si="550"/>
        <v>#DIV/0!</v>
      </c>
      <c r="EH492" s="58">
        <f t="shared" si="596"/>
        <v>3801.6951694830605</v>
      </c>
      <c r="EI492" s="68" t="e">
        <f t="shared" si="597"/>
        <v>#DIV/0!</v>
      </c>
      <c r="EJ492" s="58">
        <f t="shared" si="598"/>
        <v>3801.6951694830605</v>
      </c>
      <c r="EK492" s="68" t="e">
        <f t="shared" si="597"/>
        <v>#DIV/0!</v>
      </c>
      <c r="EL492" s="58">
        <f t="shared" si="599"/>
        <v>365.12416948306065</v>
      </c>
      <c r="EM492" s="58">
        <f t="shared" si="600"/>
        <v>365.12416948306065</v>
      </c>
      <c r="EN492" s="68" t="e">
        <f t="shared" si="601"/>
        <v>#DIV/0!</v>
      </c>
      <c r="EO492" s="139">
        <f t="shared" si="652"/>
        <v>0.28868615856523006</v>
      </c>
      <c r="EP492">
        <f>+(SUM(M492:O492)*EO492*(1-'[1]Tier 3 Data'!$A$2))</f>
        <v>0</v>
      </c>
    </row>
    <row r="493" spans="1:146" x14ac:dyDescent="0.2">
      <c r="A493" s="43">
        <v>0</v>
      </c>
      <c r="B493" s="43">
        <v>0</v>
      </c>
      <c r="C493" s="43">
        <v>0</v>
      </c>
      <c r="D493" s="70">
        <v>2048</v>
      </c>
      <c r="E493" s="70">
        <v>6</v>
      </c>
      <c r="F493" s="2">
        <v>720</v>
      </c>
      <c r="G493" s="133">
        <f t="shared" si="636"/>
        <v>0</v>
      </c>
      <c r="H493" s="64"/>
      <c r="I493" s="133">
        <f t="shared" si="637"/>
        <v>0</v>
      </c>
      <c r="J493" s="133">
        <f t="shared" si="576"/>
        <v>0</v>
      </c>
      <c r="K493" s="64"/>
      <c r="L493" s="133">
        <f t="shared" si="577"/>
        <v>0</v>
      </c>
      <c r="M493" s="5"/>
      <c r="N493" s="5"/>
      <c r="O493" s="5"/>
      <c r="P493" s="200">
        <f t="shared" si="568"/>
        <v>0</v>
      </c>
      <c r="Q493" s="200">
        <f t="shared" si="569"/>
        <v>0</v>
      </c>
      <c r="R493" s="200">
        <f t="shared" si="570"/>
        <v>0</v>
      </c>
      <c r="S493" s="133">
        <f t="shared" si="638"/>
        <v>0</v>
      </c>
      <c r="T493" s="133">
        <f t="shared" si="639"/>
        <v>0</v>
      </c>
      <c r="U493" s="133">
        <f t="shared" si="640"/>
        <v>0</v>
      </c>
      <c r="V493" s="200">
        <f t="shared" si="571"/>
        <v>0</v>
      </c>
      <c r="W493" s="200">
        <f t="shared" si="572"/>
        <v>0</v>
      </c>
      <c r="X493" s="200">
        <f t="shared" si="573"/>
        <v>0</v>
      </c>
      <c r="Y493" s="58">
        <f t="shared" si="624"/>
        <v>0</v>
      </c>
      <c r="AA493" s="58">
        <f t="shared" si="625"/>
        <v>0</v>
      </c>
      <c r="AB493" s="200">
        <f t="shared" si="611"/>
        <v>0</v>
      </c>
      <c r="AC493" s="200">
        <f t="shared" si="612"/>
        <v>0</v>
      </c>
      <c r="AD493" s="200">
        <f t="shared" si="613"/>
        <v>0</v>
      </c>
      <c r="AE493" s="199">
        <f t="shared" si="517"/>
        <v>0</v>
      </c>
      <c r="AF493" s="199">
        <f t="shared" si="614"/>
        <v>0</v>
      </c>
      <c r="AG493" s="199">
        <f t="shared" si="518"/>
        <v>0</v>
      </c>
      <c r="AH493" s="199">
        <f t="shared" si="641"/>
        <v>0</v>
      </c>
      <c r="AI493" s="200">
        <f t="shared" si="615"/>
        <v>0</v>
      </c>
      <c r="AJ493" s="200">
        <f t="shared" si="616"/>
        <v>0</v>
      </c>
      <c r="AK493" s="200">
        <f t="shared" si="617"/>
        <v>0</v>
      </c>
      <c r="AL493" s="4"/>
      <c r="AM493" s="4"/>
      <c r="AN493" s="4"/>
      <c r="AO493" s="4"/>
      <c r="AP493" s="63"/>
      <c r="AQ493" s="18"/>
      <c r="AR493" s="18"/>
      <c r="AS493" s="18"/>
      <c r="AT493" s="18">
        <v>0</v>
      </c>
      <c r="AU493" s="133">
        <f t="shared" ref="AU493" si="711">+AU481</f>
        <v>128.934</v>
      </c>
      <c r="AV493" s="133">
        <f t="shared" ref="AV493" si="712">+AV481</f>
        <v>3110.2840000000001</v>
      </c>
      <c r="AW493" s="194"/>
      <c r="AX493" s="194"/>
      <c r="AY493" s="194"/>
      <c r="AZ493" s="194"/>
      <c r="BA493" s="194"/>
      <c r="BB493" s="194"/>
      <c r="BC493" s="65">
        <v>0</v>
      </c>
      <c r="BD493" s="65">
        <v>0</v>
      </c>
      <c r="BE493" s="65">
        <v>0</v>
      </c>
      <c r="BF493" s="65">
        <v>0</v>
      </c>
      <c r="BG493" s="65">
        <v>0</v>
      </c>
      <c r="BH493" s="65">
        <v>0</v>
      </c>
      <c r="BI493" s="65">
        <v>388.05736694981834</v>
      </c>
      <c r="BJ493" s="65">
        <v>0</v>
      </c>
      <c r="BK493" s="65">
        <v>0</v>
      </c>
      <c r="BL493" s="65">
        <v>0</v>
      </c>
      <c r="BM493" s="65">
        <v>0</v>
      </c>
      <c r="BN493" s="65">
        <v>0</v>
      </c>
      <c r="BO493" s="65">
        <v>0</v>
      </c>
      <c r="BP493" s="5"/>
      <c r="BQ493" s="5"/>
      <c r="BR493" s="5"/>
      <c r="BS493" s="64"/>
      <c r="BT493" s="5"/>
      <c r="BU493" s="5"/>
      <c r="BV493" s="144">
        <f t="shared" si="608"/>
        <v>0</v>
      </c>
      <c r="BW493" s="144">
        <f t="shared" si="609"/>
        <v>0</v>
      </c>
      <c r="BX493" s="144">
        <f t="shared" si="610"/>
        <v>0</v>
      </c>
      <c r="BY493" s="5"/>
      <c r="BZ493" s="5"/>
      <c r="CA493" s="4"/>
      <c r="CB493" s="5"/>
      <c r="CC493" s="5"/>
      <c r="CD493" s="5"/>
      <c r="CE493" s="5"/>
      <c r="CF493" s="64"/>
      <c r="CG493" s="70"/>
      <c r="CH493" s="70"/>
      <c r="CI493" s="70"/>
      <c r="CJ493" s="63"/>
      <c r="CK493" s="8">
        <f t="shared" si="559"/>
        <v>3627.2753669498188</v>
      </c>
      <c r="CL493" s="202">
        <f t="shared" si="683"/>
        <v>-3627.2753669498188</v>
      </c>
      <c r="CM493" s="202">
        <f t="shared" si="684"/>
        <v>-3627.2753669498188</v>
      </c>
      <c r="CN493" s="202">
        <f t="shared" si="685"/>
        <v>-3627.2753669498188</v>
      </c>
      <c r="CO493" s="9">
        <f t="shared" si="686"/>
        <v>-3627.2753669498188</v>
      </c>
      <c r="CP493" s="9">
        <f t="shared" si="687"/>
        <v>-3627.2753669498188</v>
      </c>
      <c r="CQ493" s="9">
        <f t="shared" si="688"/>
        <v>-3627.2753669498188</v>
      </c>
      <c r="CR493" s="202">
        <f t="shared" si="689"/>
        <v>-3627.2753669498188</v>
      </c>
      <c r="CS493" s="202">
        <f t="shared" si="690"/>
        <v>-3627.2753669498188</v>
      </c>
      <c r="CT493" s="202">
        <f t="shared" si="691"/>
        <v>-3627.2753669498188</v>
      </c>
      <c r="CU493" s="203" t="e">
        <f t="shared" si="692"/>
        <v>#DIV/0!</v>
      </c>
      <c r="CV493" s="203" t="e">
        <f t="shared" si="693"/>
        <v>#DIV/0!</v>
      </c>
      <c r="CW493" s="203" t="e">
        <f t="shared" si="694"/>
        <v>#DIV/0!</v>
      </c>
      <c r="CX493" s="19" t="e">
        <f t="shared" si="695"/>
        <v>#DIV/0!</v>
      </c>
      <c r="CY493" s="19" t="e">
        <f t="shared" si="696"/>
        <v>#DIV/0!</v>
      </c>
      <c r="CZ493" s="19" t="e">
        <f t="shared" si="697"/>
        <v>#DIV/0!</v>
      </c>
      <c r="DA493" s="203" t="e">
        <f t="shared" si="698"/>
        <v>#DIV/0!</v>
      </c>
      <c r="DB493" s="203" t="e">
        <f t="shared" si="699"/>
        <v>#DIV/0!</v>
      </c>
      <c r="DC493" s="203" t="e">
        <f t="shared" si="700"/>
        <v>#DIV/0!</v>
      </c>
      <c r="DD493" s="65"/>
      <c r="DE493" s="66"/>
      <c r="DF493" s="66"/>
      <c r="DG493" s="66"/>
      <c r="DH493" s="66"/>
      <c r="DI493" s="66"/>
      <c r="DJ493" s="66"/>
      <c r="DK493" s="70"/>
      <c r="DL493" s="70"/>
      <c r="DM493" s="8">
        <f t="shared" si="560"/>
        <v>0</v>
      </c>
      <c r="DN493" s="8">
        <f t="shared" si="561"/>
        <v>3627.2753669498188</v>
      </c>
      <c r="DO493" s="202">
        <f t="shared" si="535"/>
        <v>-3627.2753669498188</v>
      </c>
      <c r="DP493" s="202">
        <f t="shared" si="536"/>
        <v>-3627.2753669498188</v>
      </c>
      <c r="DQ493" s="202">
        <f t="shared" si="537"/>
        <v>-3627.2753669498188</v>
      </c>
      <c r="DR493" s="9">
        <f t="shared" si="538"/>
        <v>-3627.2753669498188</v>
      </c>
      <c r="DS493" s="9">
        <f t="shared" si="703"/>
        <v>-3627.2753669498188</v>
      </c>
      <c r="DT493" s="9">
        <f t="shared" si="539"/>
        <v>-3627.2753669498188</v>
      </c>
      <c r="DU493" s="202">
        <f t="shared" si="540"/>
        <v>-3627.2753669498188</v>
      </c>
      <c r="DV493" s="202">
        <f t="shared" si="541"/>
        <v>-3627.2753669498188</v>
      </c>
      <c r="DW493" s="202">
        <f t="shared" si="542"/>
        <v>-3627.2753669498188</v>
      </c>
      <c r="DX493" s="203" t="e">
        <f t="shared" si="543"/>
        <v>#DIV/0!</v>
      </c>
      <c r="DY493" s="203" t="e">
        <f t="shared" si="544"/>
        <v>#DIV/0!</v>
      </c>
      <c r="DZ493" s="203" t="e">
        <f t="shared" si="545"/>
        <v>#DIV/0!</v>
      </c>
      <c r="EA493" s="19" t="e">
        <f t="shared" si="546"/>
        <v>#DIV/0!</v>
      </c>
      <c r="EB493" s="19" t="e">
        <f t="shared" si="704"/>
        <v>#DIV/0!</v>
      </c>
      <c r="EC493" s="19" t="e">
        <f t="shared" si="547"/>
        <v>#DIV/0!</v>
      </c>
      <c r="ED493" s="203" t="e">
        <f t="shared" si="548"/>
        <v>#DIV/0!</v>
      </c>
      <c r="EE493" s="203" t="e">
        <f t="shared" si="549"/>
        <v>#DIV/0!</v>
      </c>
      <c r="EF493" s="203" t="e">
        <f t="shared" si="550"/>
        <v>#DIV/0!</v>
      </c>
      <c r="EH493" s="58">
        <f t="shared" si="596"/>
        <v>3627.2753669498188</v>
      </c>
      <c r="EI493" s="68" t="e">
        <f t="shared" si="597"/>
        <v>#DIV/0!</v>
      </c>
      <c r="EJ493" s="58">
        <f t="shared" si="598"/>
        <v>3627.2753669498188</v>
      </c>
      <c r="EK493" s="68" t="e">
        <f t="shared" si="597"/>
        <v>#DIV/0!</v>
      </c>
      <c r="EL493" s="58">
        <f t="shared" si="599"/>
        <v>388.05736694981834</v>
      </c>
      <c r="EM493" s="58">
        <f t="shared" si="600"/>
        <v>388.05736694981834</v>
      </c>
      <c r="EN493" s="68" t="e">
        <f t="shared" si="601"/>
        <v>#DIV/0!</v>
      </c>
      <c r="EO493" s="139">
        <f t="shared" si="652"/>
        <v>0.24029016665052916</v>
      </c>
      <c r="EP493">
        <f>+(SUM(M493:O493)*EO493*(1-'[1]Tier 3 Data'!$A$2))</f>
        <v>0</v>
      </c>
    </row>
    <row r="494" spans="1:146" x14ac:dyDescent="0.2">
      <c r="A494" s="43">
        <v>0</v>
      </c>
      <c r="B494" s="43">
        <v>0</v>
      </c>
      <c r="C494" s="43">
        <v>0</v>
      </c>
      <c r="D494" s="70">
        <v>2048</v>
      </c>
      <c r="E494" s="70">
        <v>7</v>
      </c>
      <c r="F494" s="2">
        <v>744</v>
      </c>
      <c r="G494" s="133">
        <f t="shared" si="636"/>
        <v>0</v>
      </c>
      <c r="H494" s="64"/>
      <c r="I494" s="133">
        <f t="shared" si="637"/>
        <v>0</v>
      </c>
      <c r="J494" s="133">
        <f t="shared" si="576"/>
        <v>0</v>
      </c>
      <c r="K494" s="64"/>
      <c r="L494" s="133">
        <f t="shared" si="577"/>
        <v>0</v>
      </c>
      <c r="M494" s="5"/>
      <c r="N494" s="5"/>
      <c r="O494" s="5"/>
      <c r="P494" s="200">
        <f t="shared" si="568"/>
        <v>0</v>
      </c>
      <c r="Q494" s="200">
        <f t="shared" si="569"/>
        <v>0</v>
      </c>
      <c r="R494" s="200">
        <f t="shared" si="570"/>
        <v>0</v>
      </c>
      <c r="S494" s="133">
        <f t="shared" si="638"/>
        <v>0</v>
      </c>
      <c r="T494" s="133">
        <f t="shared" si="639"/>
        <v>0</v>
      </c>
      <c r="U494" s="133">
        <f t="shared" si="640"/>
        <v>0</v>
      </c>
      <c r="V494" s="200">
        <f t="shared" si="571"/>
        <v>0</v>
      </c>
      <c r="W494" s="200">
        <f t="shared" si="572"/>
        <v>0</v>
      </c>
      <c r="X494" s="200">
        <f t="shared" si="573"/>
        <v>0</v>
      </c>
      <c r="Y494" s="58">
        <f t="shared" si="624"/>
        <v>0</v>
      </c>
      <c r="AA494" s="58">
        <f t="shared" si="625"/>
        <v>0</v>
      </c>
      <c r="AB494" s="200">
        <f t="shared" si="611"/>
        <v>0</v>
      </c>
      <c r="AC494" s="200">
        <f t="shared" si="612"/>
        <v>0</v>
      </c>
      <c r="AD494" s="200">
        <f t="shared" si="613"/>
        <v>0</v>
      </c>
      <c r="AE494" s="199">
        <f t="shared" si="517"/>
        <v>0</v>
      </c>
      <c r="AF494" s="199">
        <f t="shared" si="614"/>
        <v>0</v>
      </c>
      <c r="AG494" s="199">
        <f t="shared" si="518"/>
        <v>0</v>
      </c>
      <c r="AH494" s="199">
        <f t="shared" si="641"/>
        <v>0</v>
      </c>
      <c r="AI494" s="200">
        <f t="shared" si="615"/>
        <v>0</v>
      </c>
      <c r="AJ494" s="200">
        <f t="shared" si="616"/>
        <v>0</v>
      </c>
      <c r="AK494" s="200">
        <f t="shared" si="617"/>
        <v>0</v>
      </c>
      <c r="AL494" s="4"/>
      <c r="AM494" s="4"/>
      <c r="AN494" s="4"/>
      <c r="AO494" s="4"/>
      <c r="AP494" s="63"/>
      <c r="AQ494" s="18"/>
      <c r="AR494" s="18"/>
      <c r="AS494" s="18"/>
      <c r="AT494" s="18">
        <v>0</v>
      </c>
      <c r="AU494" s="133">
        <f t="shared" ref="AU494" si="713">+AU482</f>
        <v>118.521</v>
      </c>
      <c r="AV494" s="133">
        <f t="shared" ref="AV494" si="714">+AV482</f>
        <v>3084.53</v>
      </c>
      <c r="AW494" s="194"/>
      <c r="AX494" s="194"/>
      <c r="AY494" s="194"/>
      <c r="AZ494" s="194"/>
      <c r="BA494" s="194"/>
      <c r="BB494" s="194"/>
      <c r="BC494" s="65">
        <v>0</v>
      </c>
      <c r="BD494" s="65">
        <v>0</v>
      </c>
      <c r="BE494" s="65">
        <v>0</v>
      </c>
      <c r="BF494" s="65">
        <v>0</v>
      </c>
      <c r="BG494" s="65">
        <v>0</v>
      </c>
      <c r="BH494" s="65">
        <v>0</v>
      </c>
      <c r="BI494" s="65">
        <v>187.90659609382385</v>
      </c>
      <c r="BJ494" s="65">
        <v>0</v>
      </c>
      <c r="BK494" s="65">
        <v>0</v>
      </c>
      <c r="BL494" s="65">
        <v>0</v>
      </c>
      <c r="BM494" s="65">
        <v>0</v>
      </c>
      <c r="BN494" s="65">
        <v>0</v>
      </c>
      <c r="BO494" s="65">
        <v>0</v>
      </c>
      <c r="BP494" s="5"/>
      <c r="BQ494" s="5"/>
      <c r="BR494" s="5"/>
      <c r="BS494" s="64"/>
      <c r="BT494" s="5"/>
      <c r="BU494" s="5"/>
      <c r="BV494" s="144">
        <f t="shared" si="608"/>
        <v>0</v>
      </c>
      <c r="BW494" s="144">
        <f t="shared" si="609"/>
        <v>0</v>
      </c>
      <c r="BX494" s="144">
        <f t="shared" si="610"/>
        <v>0</v>
      </c>
      <c r="BY494" s="5"/>
      <c r="BZ494" s="5"/>
      <c r="CA494" s="4"/>
      <c r="CB494" s="5"/>
      <c r="CC494" s="5"/>
      <c r="CD494" s="5"/>
      <c r="CE494" s="5"/>
      <c r="CF494" s="64"/>
      <c r="CG494" s="70"/>
      <c r="CH494" s="70"/>
      <c r="CI494" s="70"/>
      <c r="CJ494" s="63"/>
      <c r="CK494" s="8">
        <f t="shared" si="559"/>
        <v>3390.9575960938241</v>
      </c>
      <c r="CL494" s="202">
        <f t="shared" si="683"/>
        <v>-3390.9575960938241</v>
      </c>
      <c r="CM494" s="202">
        <f t="shared" si="684"/>
        <v>-3390.9575960938241</v>
      </c>
      <c r="CN494" s="202">
        <f t="shared" si="685"/>
        <v>-3390.9575960938241</v>
      </c>
      <c r="CO494" s="9">
        <f t="shared" si="686"/>
        <v>-3390.9575960938241</v>
      </c>
      <c r="CP494" s="9">
        <f t="shared" si="687"/>
        <v>-3390.9575960938241</v>
      </c>
      <c r="CQ494" s="9">
        <f t="shared" si="688"/>
        <v>-3390.9575960938241</v>
      </c>
      <c r="CR494" s="202">
        <f t="shared" si="689"/>
        <v>-3390.9575960938241</v>
      </c>
      <c r="CS494" s="202">
        <f t="shared" si="690"/>
        <v>-3390.9575960938241</v>
      </c>
      <c r="CT494" s="202">
        <f t="shared" si="691"/>
        <v>-3390.9575960938241</v>
      </c>
      <c r="CU494" s="203" t="e">
        <f t="shared" si="692"/>
        <v>#DIV/0!</v>
      </c>
      <c r="CV494" s="203" t="e">
        <f t="shared" si="693"/>
        <v>#DIV/0!</v>
      </c>
      <c r="CW494" s="203" t="e">
        <f t="shared" si="694"/>
        <v>#DIV/0!</v>
      </c>
      <c r="CX494" s="19" t="e">
        <f t="shared" si="695"/>
        <v>#DIV/0!</v>
      </c>
      <c r="CY494" s="19" t="e">
        <f t="shared" si="696"/>
        <v>#DIV/0!</v>
      </c>
      <c r="CZ494" s="19" t="e">
        <f t="shared" si="697"/>
        <v>#DIV/0!</v>
      </c>
      <c r="DA494" s="203" t="e">
        <f t="shared" si="698"/>
        <v>#DIV/0!</v>
      </c>
      <c r="DB494" s="203" t="e">
        <f t="shared" si="699"/>
        <v>#DIV/0!</v>
      </c>
      <c r="DC494" s="203" t="e">
        <f t="shared" si="700"/>
        <v>#DIV/0!</v>
      </c>
      <c r="DD494" s="65"/>
      <c r="DE494" s="66"/>
      <c r="DF494" s="66"/>
      <c r="DG494" s="66"/>
      <c r="DH494" s="66"/>
      <c r="DI494" s="66"/>
      <c r="DJ494" s="66"/>
      <c r="DK494" s="70"/>
      <c r="DL494" s="70"/>
      <c r="DM494" s="8">
        <f t="shared" si="560"/>
        <v>0</v>
      </c>
      <c r="DN494" s="8">
        <f t="shared" si="561"/>
        <v>3390.9575960938241</v>
      </c>
      <c r="DO494" s="202">
        <f t="shared" si="535"/>
        <v>-3390.9575960938241</v>
      </c>
      <c r="DP494" s="202">
        <f t="shared" si="536"/>
        <v>-3390.9575960938241</v>
      </c>
      <c r="DQ494" s="202">
        <f t="shared" si="537"/>
        <v>-3390.9575960938241</v>
      </c>
      <c r="DR494" s="9">
        <f t="shared" si="538"/>
        <v>-3390.9575960938241</v>
      </c>
      <c r="DS494" s="9">
        <f t="shared" si="703"/>
        <v>-3390.9575960938241</v>
      </c>
      <c r="DT494" s="9">
        <f t="shared" si="539"/>
        <v>-3390.9575960938241</v>
      </c>
      <c r="DU494" s="202">
        <f t="shared" si="540"/>
        <v>-3390.9575960938241</v>
      </c>
      <c r="DV494" s="202">
        <f t="shared" si="541"/>
        <v>-3390.9575960938241</v>
      </c>
      <c r="DW494" s="202">
        <f t="shared" si="542"/>
        <v>-3390.9575960938241</v>
      </c>
      <c r="DX494" s="203" t="e">
        <f t="shared" si="543"/>
        <v>#DIV/0!</v>
      </c>
      <c r="DY494" s="203" t="e">
        <f t="shared" si="544"/>
        <v>#DIV/0!</v>
      </c>
      <c r="DZ494" s="203" t="e">
        <f t="shared" si="545"/>
        <v>#DIV/0!</v>
      </c>
      <c r="EA494" s="19" t="e">
        <f t="shared" si="546"/>
        <v>#DIV/0!</v>
      </c>
      <c r="EB494" s="19" t="e">
        <f t="shared" si="704"/>
        <v>#DIV/0!</v>
      </c>
      <c r="EC494" s="19" t="e">
        <f t="shared" si="547"/>
        <v>#DIV/0!</v>
      </c>
      <c r="ED494" s="203" t="e">
        <f t="shared" si="548"/>
        <v>#DIV/0!</v>
      </c>
      <c r="EE494" s="203" t="e">
        <f t="shared" si="549"/>
        <v>#DIV/0!</v>
      </c>
      <c r="EF494" s="203" t="e">
        <f t="shared" si="550"/>
        <v>#DIV/0!</v>
      </c>
      <c r="EH494" s="58">
        <f t="shared" si="596"/>
        <v>3390.9575960938241</v>
      </c>
      <c r="EI494" s="68" t="e">
        <f t="shared" si="597"/>
        <v>#DIV/0!</v>
      </c>
      <c r="EJ494" s="58">
        <f t="shared" si="598"/>
        <v>3390.9575960938241</v>
      </c>
      <c r="EK494" s="68" t="e">
        <f t="shared" si="597"/>
        <v>#DIV/0!</v>
      </c>
      <c r="EL494" s="58">
        <f t="shared" si="599"/>
        <v>187.90659609382385</v>
      </c>
      <c r="EM494" s="58">
        <f t="shared" si="600"/>
        <v>187.90659609382385</v>
      </c>
      <c r="EN494" s="68" t="e">
        <f t="shared" si="601"/>
        <v>#DIV/0!</v>
      </c>
      <c r="EO494" s="139">
        <f t="shared" si="652"/>
        <v>0.25197746931178833</v>
      </c>
      <c r="EP494">
        <f>+(SUM(M494:O494)*EO494*(1-'[1]Tier 3 Data'!$A$2))</f>
        <v>0</v>
      </c>
    </row>
    <row r="495" spans="1:146" x14ac:dyDescent="0.2">
      <c r="A495" s="43">
        <v>0</v>
      </c>
      <c r="B495" s="43">
        <v>0</v>
      </c>
      <c r="C495" s="43">
        <v>0</v>
      </c>
      <c r="D495" s="70">
        <v>2048</v>
      </c>
      <c r="E495" s="70">
        <v>8</v>
      </c>
      <c r="F495" s="2">
        <v>744</v>
      </c>
      <c r="G495" s="133">
        <f t="shared" si="636"/>
        <v>0</v>
      </c>
      <c r="H495" s="64"/>
      <c r="I495" s="133">
        <f t="shared" si="637"/>
        <v>0</v>
      </c>
      <c r="J495" s="133">
        <f t="shared" si="576"/>
        <v>0</v>
      </c>
      <c r="K495" s="64"/>
      <c r="L495" s="133">
        <f t="shared" si="577"/>
        <v>0</v>
      </c>
      <c r="M495" s="5"/>
      <c r="N495" s="5"/>
      <c r="O495" s="5"/>
      <c r="P495" s="200">
        <f t="shared" si="568"/>
        <v>0</v>
      </c>
      <c r="Q495" s="200">
        <f t="shared" si="569"/>
        <v>0</v>
      </c>
      <c r="R495" s="200">
        <f t="shared" si="570"/>
        <v>0</v>
      </c>
      <c r="S495" s="133">
        <f t="shared" si="638"/>
        <v>0</v>
      </c>
      <c r="T495" s="133">
        <f t="shared" si="639"/>
        <v>0</v>
      </c>
      <c r="U495" s="133">
        <f t="shared" si="640"/>
        <v>0</v>
      </c>
      <c r="V495" s="200">
        <f t="shared" si="571"/>
        <v>0</v>
      </c>
      <c r="W495" s="200">
        <f t="shared" si="572"/>
        <v>0</v>
      </c>
      <c r="X495" s="200">
        <f t="shared" si="573"/>
        <v>0</v>
      </c>
      <c r="Y495" s="58">
        <f t="shared" si="624"/>
        <v>0</v>
      </c>
      <c r="AA495" s="58">
        <f t="shared" si="625"/>
        <v>0</v>
      </c>
      <c r="AB495" s="200">
        <f t="shared" si="611"/>
        <v>0</v>
      </c>
      <c r="AC495" s="200">
        <f t="shared" si="612"/>
        <v>0</v>
      </c>
      <c r="AD495" s="200">
        <f t="shared" si="613"/>
        <v>0</v>
      </c>
      <c r="AE495" s="199">
        <f t="shared" si="517"/>
        <v>0</v>
      </c>
      <c r="AF495" s="199">
        <f t="shared" si="614"/>
        <v>0</v>
      </c>
      <c r="AG495" s="199">
        <f t="shared" si="518"/>
        <v>0</v>
      </c>
      <c r="AH495" s="199">
        <f t="shared" si="641"/>
        <v>0</v>
      </c>
      <c r="AI495" s="200">
        <f t="shared" si="615"/>
        <v>0</v>
      </c>
      <c r="AJ495" s="200">
        <f t="shared" si="616"/>
        <v>0</v>
      </c>
      <c r="AK495" s="200">
        <f t="shared" si="617"/>
        <v>0</v>
      </c>
      <c r="AL495" s="4"/>
      <c r="AM495" s="4"/>
      <c r="AN495" s="4"/>
      <c r="AO495" s="4"/>
      <c r="AP495" s="63"/>
      <c r="AQ495" s="18"/>
      <c r="AR495" s="18"/>
      <c r="AS495" s="18"/>
      <c r="AT495" s="18">
        <v>0</v>
      </c>
      <c r="AU495" s="133">
        <f t="shared" ref="AU495" si="715">+AU483</f>
        <v>107.64</v>
      </c>
      <c r="AV495" s="133">
        <f t="shared" ref="AV495" si="716">+AV483</f>
        <v>3021.9279999999999</v>
      </c>
      <c r="AW495" s="194"/>
      <c r="AX495" s="194"/>
      <c r="AY495" s="194"/>
      <c r="AZ495" s="194"/>
      <c r="BA495" s="194"/>
      <c r="BB495" s="194"/>
      <c r="BC495" s="65">
        <v>0</v>
      </c>
      <c r="BD495" s="65">
        <v>0</v>
      </c>
      <c r="BE495" s="65">
        <v>0</v>
      </c>
      <c r="BF495" s="65">
        <v>0</v>
      </c>
      <c r="BG495" s="65">
        <v>0</v>
      </c>
      <c r="BH495" s="65">
        <v>0</v>
      </c>
      <c r="BI495" s="65">
        <v>182.22710996747389</v>
      </c>
      <c r="BJ495" s="65">
        <v>0</v>
      </c>
      <c r="BK495" s="65">
        <v>0</v>
      </c>
      <c r="BL495" s="65">
        <v>0</v>
      </c>
      <c r="BM495" s="65">
        <v>0</v>
      </c>
      <c r="BN495" s="65">
        <v>0</v>
      </c>
      <c r="BO495" s="65">
        <v>0</v>
      </c>
      <c r="BP495" s="5"/>
      <c r="BQ495" s="5"/>
      <c r="BR495" s="5"/>
      <c r="BS495" s="64"/>
      <c r="BT495" s="5"/>
      <c r="BU495" s="5"/>
      <c r="BV495" s="144">
        <f t="shared" si="608"/>
        <v>0</v>
      </c>
      <c r="BW495" s="144">
        <f t="shared" si="609"/>
        <v>0</v>
      </c>
      <c r="BX495" s="144">
        <f t="shared" si="610"/>
        <v>0</v>
      </c>
      <c r="BY495" s="5"/>
      <c r="BZ495" s="5"/>
      <c r="CA495" s="4"/>
      <c r="CB495" s="5"/>
      <c r="CC495" s="5"/>
      <c r="CD495" s="5"/>
      <c r="CE495" s="5"/>
      <c r="CF495" s="64"/>
      <c r="CG495" s="70"/>
      <c r="CH495" s="70"/>
      <c r="CI495" s="70"/>
      <c r="CJ495" s="63"/>
      <c r="CK495" s="8">
        <f t="shared" si="559"/>
        <v>3311.7951099674738</v>
      </c>
      <c r="CL495" s="202">
        <f t="shared" si="683"/>
        <v>-3311.7951099674738</v>
      </c>
      <c r="CM495" s="202">
        <f t="shared" si="684"/>
        <v>-3311.7951099674738</v>
      </c>
      <c r="CN495" s="202">
        <f t="shared" si="685"/>
        <v>-3311.7951099674738</v>
      </c>
      <c r="CO495" s="9">
        <f t="shared" si="686"/>
        <v>-3311.7951099674738</v>
      </c>
      <c r="CP495" s="9">
        <f t="shared" si="687"/>
        <v>-3311.7951099674738</v>
      </c>
      <c r="CQ495" s="9">
        <f t="shared" si="688"/>
        <v>-3311.7951099674738</v>
      </c>
      <c r="CR495" s="202">
        <f t="shared" si="689"/>
        <v>-3311.7951099674738</v>
      </c>
      <c r="CS495" s="202">
        <f t="shared" si="690"/>
        <v>-3311.7951099674738</v>
      </c>
      <c r="CT495" s="202">
        <f t="shared" si="691"/>
        <v>-3311.7951099674738</v>
      </c>
      <c r="CU495" s="203" t="e">
        <f t="shared" si="692"/>
        <v>#DIV/0!</v>
      </c>
      <c r="CV495" s="203" t="e">
        <f t="shared" si="693"/>
        <v>#DIV/0!</v>
      </c>
      <c r="CW495" s="203" t="e">
        <f t="shared" si="694"/>
        <v>#DIV/0!</v>
      </c>
      <c r="CX495" s="19" t="e">
        <f t="shared" si="695"/>
        <v>#DIV/0!</v>
      </c>
      <c r="CY495" s="19" t="e">
        <f t="shared" si="696"/>
        <v>#DIV/0!</v>
      </c>
      <c r="CZ495" s="19" t="e">
        <f t="shared" si="697"/>
        <v>#DIV/0!</v>
      </c>
      <c r="DA495" s="203" t="e">
        <f t="shared" si="698"/>
        <v>#DIV/0!</v>
      </c>
      <c r="DB495" s="203" t="e">
        <f t="shared" si="699"/>
        <v>#DIV/0!</v>
      </c>
      <c r="DC495" s="203" t="e">
        <f t="shared" si="700"/>
        <v>#DIV/0!</v>
      </c>
      <c r="DD495" s="65"/>
      <c r="DE495" s="66"/>
      <c r="DF495" s="66"/>
      <c r="DG495" s="66"/>
      <c r="DH495" s="66"/>
      <c r="DI495" s="66"/>
      <c r="DJ495" s="66"/>
      <c r="DK495" s="70"/>
      <c r="DL495" s="70"/>
      <c r="DM495" s="8">
        <f t="shared" si="560"/>
        <v>0</v>
      </c>
      <c r="DN495" s="8">
        <f t="shared" si="561"/>
        <v>3311.7951099674738</v>
      </c>
      <c r="DO495" s="202">
        <f t="shared" si="535"/>
        <v>-3311.7951099674738</v>
      </c>
      <c r="DP495" s="202">
        <f t="shared" si="536"/>
        <v>-3311.7951099674738</v>
      </c>
      <c r="DQ495" s="202">
        <f t="shared" si="537"/>
        <v>-3311.7951099674738</v>
      </c>
      <c r="DR495" s="9">
        <f t="shared" si="538"/>
        <v>-3311.7951099674738</v>
      </c>
      <c r="DS495" s="9">
        <f t="shared" si="703"/>
        <v>-3311.7951099674738</v>
      </c>
      <c r="DT495" s="9">
        <f t="shared" si="539"/>
        <v>-3311.7951099674738</v>
      </c>
      <c r="DU495" s="202">
        <f t="shared" si="540"/>
        <v>-3311.7951099674738</v>
      </c>
      <c r="DV495" s="202">
        <f t="shared" si="541"/>
        <v>-3311.7951099674738</v>
      </c>
      <c r="DW495" s="202">
        <f t="shared" si="542"/>
        <v>-3311.7951099674738</v>
      </c>
      <c r="DX495" s="203" t="e">
        <f t="shared" si="543"/>
        <v>#DIV/0!</v>
      </c>
      <c r="DY495" s="203" t="e">
        <f t="shared" si="544"/>
        <v>#DIV/0!</v>
      </c>
      <c r="DZ495" s="203" t="e">
        <f t="shared" si="545"/>
        <v>#DIV/0!</v>
      </c>
      <c r="EA495" s="19" t="e">
        <f t="shared" si="546"/>
        <v>#DIV/0!</v>
      </c>
      <c r="EB495" s="19" t="e">
        <f t="shared" si="704"/>
        <v>#DIV/0!</v>
      </c>
      <c r="EC495" s="19" t="e">
        <f t="shared" si="547"/>
        <v>#DIV/0!</v>
      </c>
      <c r="ED495" s="203" t="e">
        <f t="shared" si="548"/>
        <v>#DIV/0!</v>
      </c>
      <c r="EE495" s="203" t="e">
        <f t="shared" si="549"/>
        <v>#DIV/0!</v>
      </c>
      <c r="EF495" s="203" t="e">
        <f t="shared" si="550"/>
        <v>#DIV/0!</v>
      </c>
      <c r="EH495" s="58">
        <f t="shared" si="596"/>
        <v>3311.7951099674738</v>
      </c>
      <c r="EI495" s="68" t="e">
        <f t="shared" si="597"/>
        <v>#DIV/0!</v>
      </c>
      <c r="EJ495" s="58">
        <f t="shared" si="598"/>
        <v>3311.7951099674738</v>
      </c>
      <c r="EK495" s="68" t="e">
        <f t="shared" si="597"/>
        <v>#DIV/0!</v>
      </c>
      <c r="EL495" s="58">
        <f t="shared" si="599"/>
        <v>182.22710996747389</v>
      </c>
      <c r="EM495" s="58">
        <f t="shared" si="600"/>
        <v>182.22710996747389</v>
      </c>
      <c r="EN495" s="68" t="e">
        <f t="shared" si="601"/>
        <v>#DIV/0!</v>
      </c>
      <c r="EO495" s="139">
        <f t="shared" si="652"/>
        <v>0.28519905910129462</v>
      </c>
      <c r="EP495">
        <f>+(SUM(M495:O495)*EO495*(1-'[1]Tier 3 Data'!$A$2))</f>
        <v>0</v>
      </c>
    </row>
    <row r="496" spans="1:146" x14ac:dyDescent="0.2">
      <c r="A496" s="43">
        <v>0</v>
      </c>
      <c r="B496" s="43">
        <v>0</v>
      </c>
      <c r="C496" s="43">
        <v>0</v>
      </c>
      <c r="D496" s="70">
        <v>2048</v>
      </c>
      <c r="E496" s="70">
        <v>9</v>
      </c>
      <c r="F496" s="2">
        <v>720</v>
      </c>
      <c r="G496" s="133">
        <f t="shared" si="636"/>
        <v>0</v>
      </c>
      <c r="H496" s="64"/>
      <c r="I496" s="133">
        <f t="shared" si="637"/>
        <v>0</v>
      </c>
      <c r="J496" s="133">
        <f t="shared" si="576"/>
        <v>0</v>
      </c>
      <c r="K496" s="64"/>
      <c r="L496" s="133">
        <f t="shared" si="577"/>
        <v>0</v>
      </c>
      <c r="M496" s="5"/>
      <c r="N496" s="5"/>
      <c r="O496" s="5"/>
      <c r="P496" s="200">
        <f t="shared" si="568"/>
        <v>0</v>
      </c>
      <c r="Q496" s="200">
        <f t="shared" si="569"/>
        <v>0</v>
      </c>
      <c r="R496" s="200">
        <f t="shared" si="570"/>
        <v>0</v>
      </c>
      <c r="S496" s="133">
        <f t="shared" si="638"/>
        <v>0</v>
      </c>
      <c r="T496" s="133">
        <f t="shared" si="639"/>
        <v>0</v>
      </c>
      <c r="U496" s="133">
        <f t="shared" si="640"/>
        <v>0</v>
      </c>
      <c r="V496" s="200">
        <f t="shared" si="571"/>
        <v>0</v>
      </c>
      <c r="W496" s="200">
        <f t="shared" si="572"/>
        <v>0</v>
      </c>
      <c r="X496" s="200">
        <f t="shared" si="573"/>
        <v>0</v>
      </c>
      <c r="Y496" s="58">
        <f t="shared" si="624"/>
        <v>0</v>
      </c>
      <c r="AA496" s="58">
        <f t="shared" si="625"/>
        <v>0</v>
      </c>
      <c r="AB496" s="200">
        <f t="shared" si="611"/>
        <v>0</v>
      </c>
      <c r="AC496" s="200">
        <f t="shared" si="612"/>
        <v>0</v>
      </c>
      <c r="AD496" s="200">
        <f t="shared" si="613"/>
        <v>0</v>
      </c>
      <c r="AE496" s="199">
        <f t="shared" si="517"/>
        <v>0</v>
      </c>
      <c r="AF496" s="199">
        <f t="shared" si="614"/>
        <v>0</v>
      </c>
      <c r="AG496" s="199">
        <f t="shared" si="518"/>
        <v>0</v>
      </c>
      <c r="AH496" s="199">
        <f t="shared" si="641"/>
        <v>0</v>
      </c>
      <c r="AI496" s="200">
        <f t="shared" si="615"/>
        <v>0</v>
      </c>
      <c r="AJ496" s="200">
        <f t="shared" si="616"/>
        <v>0</v>
      </c>
      <c r="AK496" s="200">
        <f t="shared" si="617"/>
        <v>0</v>
      </c>
      <c r="AL496" s="4"/>
      <c r="AM496" s="4"/>
      <c r="AN496" s="4"/>
      <c r="AO496" s="4"/>
      <c r="AP496" s="63"/>
      <c r="AQ496" s="18"/>
      <c r="AR496" s="18"/>
      <c r="AS496" s="18"/>
      <c r="AT496" s="18">
        <v>0</v>
      </c>
      <c r="AU496" s="133">
        <f t="shared" ref="AU496" si="717">+AU484</f>
        <v>102.375</v>
      </c>
      <c r="AV496" s="133">
        <f t="shared" ref="AV496" si="718">+AV484</f>
        <v>2969.6280000000002</v>
      </c>
      <c r="AW496" s="194"/>
      <c r="AX496" s="194"/>
      <c r="AY496" s="194"/>
      <c r="AZ496" s="194"/>
      <c r="BA496" s="194"/>
      <c r="BB496" s="194"/>
      <c r="BC496" s="65">
        <v>0</v>
      </c>
      <c r="BD496" s="65">
        <v>0</v>
      </c>
      <c r="BE496" s="65">
        <v>0</v>
      </c>
      <c r="BF496" s="65">
        <v>0</v>
      </c>
      <c r="BG496" s="65">
        <v>0</v>
      </c>
      <c r="BH496" s="65">
        <v>0</v>
      </c>
      <c r="BI496" s="65">
        <v>169.55243850083158</v>
      </c>
      <c r="BJ496" s="65">
        <v>0</v>
      </c>
      <c r="BK496" s="65">
        <v>0</v>
      </c>
      <c r="BL496" s="65">
        <v>0</v>
      </c>
      <c r="BM496" s="65">
        <v>0</v>
      </c>
      <c r="BN496" s="65">
        <v>0</v>
      </c>
      <c r="BO496" s="65">
        <v>0</v>
      </c>
      <c r="BP496" s="5"/>
      <c r="BQ496" s="5"/>
      <c r="BR496" s="5"/>
      <c r="BS496" s="64"/>
      <c r="BT496" s="5"/>
      <c r="BU496" s="5"/>
      <c r="BV496" s="144">
        <f t="shared" si="608"/>
        <v>0</v>
      </c>
      <c r="BW496" s="144">
        <f t="shared" si="609"/>
        <v>0</v>
      </c>
      <c r="BX496" s="144">
        <f t="shared" si="610"/>
        <v>0</v>
      </c>
      <c r="BY496" s="5"/>
      <c r="BZ496" s="5"/>
      <c r="CA496" s="4"/>
      <c r="CB496" s="5"/>
      <c r="CC496" s="5"/>
      <c r="CD496" s="5"/>
      <c r="CE496" s="5"/>
      <c r="CF496" s="64"/>
      <c r="CG496" s="70"/>
      <c r="CH496" s="70"/>
      <c r="CI496" s="70"/>
      <c r="CJ496" s="63"/>
      <c r="CK496" s="8">
        <f t="shared" si="559"/>
        <v>3241.5554385008318</v>
      </c>
      <c r="CL496" s="202">
        <f t="shared" si="683"/>
        <v>-3241.5554385008318</v>
      </c>
      <c r="CM496" s="202">
        <f t="shared" si="684"/>
        <v>-3241.5554385008318</v>
      </c>
      <c r="CN496" s="202">
        <f t="shared" si="685"/>
        <v>-3241.5554385008318</v>
      </c>
      <c r="CO496" s="9">
        <f t="shared" si="686"/>
        <v>-3241.5554385008318</v>
      </c>
      <c r="CP496" s="9">
        <f t="shared" si="687"/>
        <v>-3241.5554385008318</v>
      </c>
      <c r="CQ496" s="9">
        <f t="shared" si="688"/>
        <v>-3241.5554385008318</v>
      </c>
      <c r="CR496" s="202">
        <f t="shared" si="689"/>
        <v>-3241.5554385008318</v>
      </c>
      <c r="CS496" s="202">
        <f t="shared" si="690"/>
        <v>-3241.5554385008318</v>
      </c>
      <c r="CT496" s="202">
        <f t="shared" si="691"/>
        <v>-3241.5554385008318</v>
      </c>
      <c r="CU496" s="203" t="e">
        <f t="shared" si="692"/>
        <v>#DIV/0!</v>
      </c>
      <c r="CV496" s="203" t="e">
        <f t="shared" si="693"/>
        <v>#DIV/0!</v>
      </c>
      <c r="CW496" s="203" t="e">
        <f t="shared" si="694"/>
        <v>#DIV/0!</v>
      </c>
      <c r="CX496" s="19" t="e">
        <f t="shared" si="695"/>
        <v>#DIV/0!</v>
      </c>
      <c r="CY496" s="19" t="e">
        <f t="shared" si="696"/>
        <v>#DIV/0!</v>
      </c>
      <c r="CZ496" s="19" t="e">
        <f t="shared" si="697"/>
        <v>#DIV/0!</v>
      </c>
      <c r="DA496" s="203" t="e">
        <f t="shared" si="698"/>
        <v>#DIV/0!</v>
      </c>
      <c r="DB496" s="203" t="e">
        <f t="shared" si="699"/>
        <v>#DIV/0!</v>
      </c>
      <c r="DC496" s="203" t="e">
        <f t="shared" si="700"/>
        <v>#DIV/0!</v>
      </c>
      <c r="DD496" s="65"/>
      <c r="DE496" s="66"/>
      <c r="DF496" s="66"/>
      <c r="DG496" s="66"/>
      <c r="DH496" s="66"/>
      <c r="DI496" s="66"/>
      <c r="DJ496" s="66"/>
      <c r="DK496" s="70"/>
      <c r="DL496" s="70"/>
      <c r="DM496" s="8">
        <f t="shared" si="560"/>
        <v>0</v>
      </c>
      <c r="DN496" s="8">
        <f t="shared" si="561"/>
        <v>3241.5554385008318</v>
      </c>
      <c r="DO496" s="202">
        <f t="shared" si="535"/>
        <v>-3241.5554385008318</v>
      </c>
      <c r="DP496" s="202">
        <f t="shared" si="536"/>
        <v>-3241.5554385008318</v>
      </c>
      <c r="DQ496" s="202">
        <f t="shared" si="537"/>
        <v>-3241.5554385008318</v>
      </c>
      <c r="DR496" s="9">
        <f t="shared" si="538"/>
        <v>-3241.5554385008318</v>
      </c>
      <c r="DS496" s="9">
        <f t="shared" si="703"/>
        <v>-3241.5554385008318</v>
      </c>
      <c r="DT496" s="9">
        <f t="shared" si="539"/>
        <v>-3241.5554385008318</v>
      </c>
      <c r="DU496" s="202">
        <f t="shared" si="540"/>
        <v>-3241.5554385008318</v>
      </c>
      <c r="DV496" s="202">
        <f t="shared" si="541"/>
        <v>-3241.5554385008318</v>
      </c>
      <c r="DW496" s="202">
        <f t="shared" si="542"/>
        <v>-3241.5554385008318</v>
      </c>
      <c r="DX496" s="203" t="e">
        <f t="shared" si="543"/>
        <v>#DIV/0!</v>
      </c>
      <c r="DY496" s="203" t="e">
        <f t="shared" si="544"/>
        <v>#DIV/0!</v>
      </c>
      <c r="DZ496" s="203" t="e">
        <f t="shared" si="545"/>
        <v>#DIV/0!</v>
      </c>
      <c r="EA496" s="19" t="e">
        <f t="shared" si="546"/>
        <v>#DIV/0!</v>
      </c>
      <c r="EB496" s="19" t="e">
        <f t="shared" si="704"/>
        <v>#DIV/0!</v>
      </c>
      <c r="EC496" s="19" t="e">
        <f t="shared" si="547"/>
        <v>#DIV/0!</v>
      </c>
      <c r="ED496" s="203" t="e">
        <f t="shared" si="548"/>
        <v>#DIV/0!</v>
      </c>
      <c r="EE496" s="203" t="e">
        <f t="shared" si="549"/>
        <v>#DIV/0!</v>
      </c>
      <c r="EF496" s="203" t="e">
        <f t="shared" si="550"/>
        <v>#DIV/0!</v>
      </c>
      <c r="EH496" s="58">
        <f t="shared" si="596"/>
        <v>3241.5554385008318</v>
      </c>
      <c r="EI496" s="68" t="e">
        <f t="shared" si="597"/>
        <v>#DIV/0!</v>
      </c>
      <c r="EJ496" s="58">
        <f t="shared" si="598"/>
        <v>3241.5554385008318</v>
      </c>
      <c r="EK496" s="68" t="e">
        <f t="shared" si="597"/>
        <v>#DIV/0!</v>
      </c>
      <c r="EL496" s="58">
        <f t="shared" si="599"/>
        <v>169.55243850083158</v>
      </c>
      <c r="EM496" s="58">
        <f t="shared" si="600"/>
        <v>169.55243850083158</v>
      </c>
      <c r="EN496" s="68" t="e">
        <f t="shared" si="601"/>
        <v>#DIV/0!</v>
      </c>
      <c r="EO496" s="139">
        <f t="shared" si="652"/>
        <v>0.31860645638858931</v>
      </c>
      <c r="EP496">
        <f>+(SUM(M496:O496)*EO496*(1-'[1]Tier 3 Data'!$A$2))</f>
        <v>0</v>
      </c>
    </row>
    <row r="497" spans="1:146" x14ac:dyDescent="0.2">
      <c r="A497" s="43">
        <v>0</v>
      </c>
      <c r="B497" s="43">
        <v>0</v>
      </c>
      <c r="C497" s="43">
        <v>0</v>
      </c>
      <c r="D497" s="70">
        <v>2048</v>
      </c>
      <c r="E497" s="70">
        <v>10</v>
      </c>
      <c r="F497" s="2">
        <v>744</v>
      </c>
      <c r="G497" s="133">
        <f t="shared" si="636"/>
        <v>0</v>
      </c>
      <c r="H497" s="64"/>
      <c r="I497" s="133">
        <f t="shared" si="637"/>
        <v>0</v>
      </c>
      <c r="J497" s="133">
        <f t="shared" si="576"/>
        <v>0</v>
      </c>
      <c r="K497" s="64"/>
      <c r="L497" s="133">
        <f t="shared" si="577"/>
        <v>0</v>
      </c>
      <c r="M497" s="5"/>
      <c r="N497" s="5"/>
      <c r="O497" s="5"/>
      <c r="P497" s="200">
        <f t="shared" si="568"/>
        <v>0</v>
      </c>
      <c r="Q497" s="200">
        <f t="shared" si="569"/>
        <v>0</v>
      </c>
      <c r="R497" s="200">
        <f t="shared" si="570"/>
        <v>0</v>
      </c>
      <c r="S497" s="133">
        <f t="shared" si="638"/>
        <v>0</v>
      </c>
      <c r="T497" s="133">
        <f t="shared" si="639"/>
        <v>0</v>
      </c>
      <c r="U497" s="133">
        <f t="shared" si="640"/>
        <v>0</v>
      </c>
      <c r="V497" s="200">
        <f t="shared" si="571"/>
        <v>0</v>
      </c>
      <c r="W497" s="200">
        <f t="shared" si="572"/>
        <v>0</v>
      </c>
      <c r="X497" s="200">
        <f t="shared" si="573"/>
        <v>0</v>
      </c>
      <c r="Y497" s="58">
        <f t="shared" si="624"/>
        <v>0</v>
      </c>
      <c r="AA497" s="58">
        <f t="shared" si="625"/>
        <v>0</v>
      </c>
      <c r="AB497" s="200">
        <f t="shared" si="611"/>
        <v>0</v>
      </c>
      <c r="AC497" s="200">
        <f t="shared" si="612"/>
        <v>0</v>
      </c>
      <c r="AD497" s="200">
        <f t="shared" si="613"/>
        <v>0</v>
      </c>
      <c r="AE497" s="199">
        <f t="shared" ref="AE497:AE560" si="719">+S497+$Y497</f>
        <v>0</v>
      </c>
      <c r="AF497" s="199">
        <f t="shared" si="614"/>
        <v>0</v>
      </c>
      <c r="AG497" s="199">
        <f t="shared" ref="AG497:AG560" si="720">+U497+$AA497</f>
        <v>0</v>
      </c>
      <c r="AH497" s="199">
        <f t="shared" si="641"/>
        <v>0</v>
      </c>
      <c r="AI497" s="200">
        <f t="shared" si="615"/>
        <v>0</v>
      </c>
      <c r="AJ497" s="200">
        <f t="shared" si="616"/>
        <v>0</v>
      </c>
      <c r="AK497" s="200">
        <f t="shared" si="617"/>
        <v>0</v>
      </c>
      <c r="AL497" s="4"/>
      <c r="AM497" s="4"/>
      <c r="AN497" s="4"/>
      <c r="AO497" s="4"/>
      <c r="AP497" s="63"/>
      <c r="AQ497" s="18"/>
      <c r="AR497" s="18"/>
      <c r="AS497" s="18"/>
      <c r="AT497" s="18">
        <v>0</v>
      </c>
      <c r="AU497" s="133">
        <f t="shared" ref="AU497" si="721">+AU485</f>
        <v>118.17</v>
      </c>
      <c r="AV497" s="133">
        <f t="shared" ref="AV497" si="722">+AV485</f>
        <v>3225.1860000000001</v>
      </c>
      <c r="AW497" s="194"/>
      <c r="AX497" s="194"/>
      <c r="AY497" s="194"/>
      <c r="AZ497" s="194"/>
      <c r="BA497" s="194"/>
      <c r="BB497" s="194"/>
      <c r="BC497" s="65">
        <v>0</v>
      </c>
      <c r="BD497" s="65">
        <v>0</v>
      </c>
      <c r="BE497" s="65">
        <v>0</v>
      </c>
      <c r="BF497" s="65">
        <v>0</v>
      </c>
      <c r="BG497" s="65">
        <v>0</v>
      </c>
      <c r="BH497" s="65">
        <v>0</v>
      </c>
      <c r="BI497" s="65">
        <v>124.19794932056872</v>
      </c>
      <c r="BJ497" s="65">
        <v>0</v>
      </c>
      <c r="BK497" s="65">
        <v>0</v>
      </c>
      <c r="BL497" s="65">
        <v>0</v>
      </c>
      <c r="BM497" s="65">
        <v>0</v>
      </c>
      <c r="BN497" s="65">
        <v>0</v>
      </c>
      <c r="BO497" s="65">
        <v>0</v>
      </c>
      <c r="BP497" s="5"/>
      <c r="BQ497" s="5"/>
      <c r="BR497" s="5"/>
      <c r="BS497" s="64"/>
      <c r="BT497" s="5"/>
      <c r="BU497" s="5"/>
      <c r="BV497" s="144">
        <f t="shared" si="608"/>
        <v>0</v>
      </c>
      <c r="BW497" s="144">
        <f t="shared" si="609"/>
        <v>0</v>
      </c>
      <c r="BX497" s="144">
        <f t="shared" si="610"/>
        <v>0</v>
      </c>
      <c r="BY497" s="5"/>
      <c r="BZ497" s="5"/>
      <c r="CA497" s="4"/>
      <c r="CB497" s="5"/>
      <c r="CC497" s="5"/>
      <c r="CD497" s="5"/>
      <c r="CE497" s="5"/>
      <c r="CF497" s="64"/>
      <c r="CG497" s="70"/>
      <c r="CH497" s="70"/>
      <c r="CI497" s="70"/>
      <c r="CJ497" s="63"/>
      <c r="CK497" s="8">
        <f t="shared" si="559"/>
        <v>3467.5539493205688</v>
      </c>
      <c r="CL497" s="202">
        <f t="shared" si="683"/>
        <v>-3467.5539493205688</v>
      </c>
      <c r="CM497" s="202">
        <f t="shared" si="684"/>
        <v>-3467.5539493205688</v>
      </c>
      <c r="CN497" s="202">
        <f t="shared" si="685"/>
        <v>-3467.5539493205688</v>
      </c>
      <c r="CO497" s="9">
        <f t="shared" si="686"/>
        <v>-3467.5539493205688</v>
      </c>
      <c r="CP497" s="9">
        <f t="shared" si="687"/>
        <v>-3467.5539493205688</v>
      </c>
      <c r="CQ497" s="9">
        <f t="shared" si="688"/>
        <v>-3467.5539493205688</v>
      </c>
      <c r="CR497" s="202">
        <f t="shared" si="689"/>
        <v>-3467.5539493205688</v>
      </c>
      <c r="CS497" s="202">
        <f t="shared" si="690"/>
        <v>-3467.5539493205688</v>
      </c>
      <c r="CT497" s="202">
        <f t="shared" si="691"/>
        <v>-3467.5539493205688</v>
      </c>
      <c r="CU497" s="203" t="e">
        <f t="shared" si="692"/>
        <v>#DIV/0!</v>
      </c>
      <c r="CV497" s="203" t="e">
        <f t="shared" si="693"/>
        <v>#DIV/0!</v>
      </c>
      <c r="CW497" s="203" t="e">
        <f t="shared" si="694"/>
        <v>#DIV/0!</v>
      </c>
      <c r="CX497" s="19" t="e">
        <f t="shared" si="695"/>
        <v>#DIV/0!</v>
      </c>
      <c r="CY497" s="19" t="e">
        <f t="shared" si="696"/>
        <v>#DIV/0!</v>
      </c>
      <c r="CZ497" s="19" t="e">
        <f t="shared" si="697"/>
        <v>#DIV/0!</v>
      </c>
      <c r="DA497" s="203" t="e">
        <f t="shared" si="698"/>
        <v>#DIV/0!</v>
      </c>
      <c r="DB497" s="203" t="e">
        <f t="shared" si="699"/>
        <v>#DIV/0!</v>
      </c>
      <c r="DC497" s="203" t="e">
        <f t="shared" si="700"/>
        <v>#DIV/0!</v>
      </c>
      <c r="DD497" s="65"/>
      <c r="DE497" s="66"/>
      <c r="DF497" s="66"/>
      <c r="DG497" s="66"/>
      <c r="DH497" s="66"/>
      <c r="DI497" s="66"/>
      <c r="DJ497" s="66"/>
      <c r="DK497" s="70"/>
      <c r="DL497" s="70"/>
      <c r="DM497" s="8">
        <f t="shared" si="560"/>
        <v>0</v>
      </c>
      <c r="DN497" s="8">
        <f t="shared" si="561"/>
        <v>3467.5539493205688</v>
      </c>
      <c r="DO497" s="202">
        <f t="shared" si="535"/>
        <v>-3467.5539493205688</v>
      </c>
      <c r="DP497" s="202">
        <f t="shared" si="536"/>
        <v>-3467.5539493205688</v>
      </c>
      <c r="DQ497" s="202">
        <f t="shared" si="537"/>
        <v>-3467.5539493205688</v>
      </c>
      <c r="DR497" s="9">
        <f t="shared" si="538"/>
        <v>-3467.5539493205688</v>
      </c>
      <c r="DS497" s="9">
        <f t="shared" si="703"/>
        <v>-3467.5539493205688</v>
      </c>
      <c r="DT497" s="9">
        <f t="shared" si="539"/>
        <v>-3467.5539493205688</v>
      </c>
      <c r="DU497" s="202">
        <f t="shared" si="540"/>
        <v>-3467.5539493205688</v>
      </c>
      <c r="DV497" s="202">
        <f t="shared" si="541"/>
        <v>-3467.5539493205688</v>
      </c>
      <c r="DW497" s="202">
        <f t="shared" si="542"/>
        <v>-3467.5539493205688</v>
      </c>
      <c r="DX497" s="203" t="e">
        <f t="shared" si="543"/>
        <v>#DIV/0!</v>
      </c>
      <c r="DY497" s="203" t="e">
        <f t="shared" si="544"/>
        <v>#DIV/0!</v>
      </c>
      <c r="DZ497" s="203" t="e">
        <f t="shared" si="545"/>
        <v>#DIV/0!</v>
      </c>
      <c r="EA497" s="19" t="e">
        <f t="shared" si="546"/>
        <v>#DIV/0!</v>
      </c>
      <c r="EB497" s="19" t="e">
        <f t="shared" si="704"/>
        <v>#DIV/0!</v>
      </c>
      <c r="EC497" s="19" t="e">
        <f t="shared" si="547"/>
        <v>#DIV/0!</v>
      </c>
      <c r="ED497" s="203" t="e">
        <f t="shared" si="548"/>
        <v>#DIV/0!</v>
      </c>
      <c r="EE497" s="203" t="e">
        <f t="shared" si="549"/>
        <v>#DIV/0!</v>
      </c>
      <c r="EF497" s="203" t="e">
        <f t="shared" si="550"/>
        <v>#DIV/0!</v>
      </c>
      <c r="EH497" s="58">
        <f t="shared" si="596"/>
        <v>3467.5539493205688</v>
      </c>
      <c r="EI497" s="68" t="e">
        <f t="shared" si="597"/>
        <v>#DIV/0!</v>
      </c>
      <c r="EJ497" s="58">
        <f t="shared" si="598"/>
        <v>3467.5539493205688</v>
      </c>
      <c r="EK497" s="68" t="e">
        <f t="shared" si="597"/>
        <v>#DIV/0!</v>
      </c>
      <c r="EL497" s="58">
        <f t="shared" si="599"/>
        <v>124.19794932056872</v>
      </c>
      <c r="EM497" s="58">
        <f t="shared" si="600"/>
        <v>124.19794932056872</v>
      </c>
      <c r="EN497" s="68" t="e">
        <f t="shared" si="601"/>
        <v>#DIV/0!</v>
      </c>
      <c r="EO497" s="139">
        <f t="shared" si="652"/>
        <v>0.35739486552628164</v>
      </c>
      <c r="EP497">
        <f>+(SUM(M497:O497)*EO497*(1-'[1]Tier 3 Data'!$A$2))</f>
        <v>0</v>
      </c>
    </row>
    <row r="498" spans="1:146" x14ac:dyDescent="0.2">
      <c r="A498" s="43">
        <v>0</v>
      </c>
      <c r="B498" s="43">
        <v>0</v>
      </c>
      <c r="C498" s="43">
        <v>0</v>
      </c>
      <c r="D498" s="70">
        <v>2048</v>
      </c>
      <c r="E498" s="70">
        <v>11</v>
      </c>
      <c r="F498" s="2">
        <v>721</v>
      </c>
      <c r="G498" s="133">
        <f t="shared" si="636"/>
        <v>0</v>
      </c>
      <c r="H498" s="64"/>
      <c r="I498" s="133">
        <f t="shared" si="637"/>
        <v>0</v>
      </c>
      <c r="J498" s="133">
        <f t="shared" si="576"/>
        <v>0</v>
      </c>
      <c r="K498" s="64"/>
      <c r="L498" s="133">
        <f t="shared" si="577"/>
        <v>0</v>
      </c>
      <c r="M498" s="5"/>
      <c r="N498" s="5"/>
      <c r="O498" s="5"/>
      <c r="P498" s="200">
        <f t="shared" si="568"/>
        <v>0</v>
      </c>
      <c r="Q498" s="200">
        <f t="shared" si="569"/>
        <v>0</v>
      </c>
      <c r="R498" s="200">
        <f t="shared" si="570"/>
        <v>0</v>
      </c>
      <c r="S498" s="133">
        <f t="shared" si="638"/>
        <v>0</v>
      </c>
      <c r="T498" s="133">
        <f t="shared" si="639"/>
        <v>0</v>
      </c>
      <c r="U498" s="133">
        <f t="shared" si="640"/>
        <v>0</v>
      </c>
      <c r="V498" s="200">
        <f t="shared" si="571"/>
        <v>0</v>
      </c>
      <c r="W498" s="200">
        <f t="shared" si="572"/>
        <v>0</v>
      </c>
      <c r="X498" s="200">
        <f t="shared" si="573"/>
        <v>0</v>
      </c>
      <c r="Y498" s="58">
        <f t="shared" si="624"/>
        <v>0</v>
      </c>
      <c r="AA498" s="58">
        <f t="shared" si="625"/>
        <v>0</v>
      </c>
      <c r="AB498" s="200">
        <f t="shared" si="611"/>
        <v>0</v>
      </c>
      <c r="AC498" s="200">
        <f t="shared" si="612"/>
        <v>0</v>
      </c>
      <c r="AD498" s="200">
        <f t="shared" si="613"/>
        <v>0</v>
      </c>
      <c r="AE498" s="199">
        <f t="shared" si="719"/>
        <v>0</v>
      </c>
      <c r="AF498" s="199">
        <f t="shared" si="614"/>
        <v>0</v>
      </c>
      <c r="AG498" s="199">
        <f t="shared" si="720"/>
        <v>0</v>
      </c>
      <c r="AH498" s="199">
        <f t="shared" si="641"/>
        <v>0</v>
      </c>
      <c r="AI498" s="200">
        <f t="shared" si="615"/>
        <v>0</v>
      </c>
      <c r="AJ498" s="200">
        <f t="shared" si="616"/>
        <v>0</v>
      </c>
      <c r="AK498" s="200">
        <f t="shared" si="617"/>
        <v>0</v>
      </c>
      <c r="AL498" s="4"/>
      <c r="AM498" s="4"/>
      <c r="AN498" s="4"/>
      <c r="AO498" s="4"/>
      <c r="AP498" s="63"/>
      <c r="AQ498" s="18"/>
      <c r="AR498" s="18"/>
      <c r="AS498" s="18"/>
      <c r="AT498" s="18">
        <v>0</v>
      </c>
      <c r="AU498" s="133">
        <f t="shared" ref="AU498" si="723">+AU486</f>
        <v>104.364</v>
      </c>
      <c r="AV498" s="133">
        <f t="shared" ref="AV498" si="724">+AV486</f>
        <v>3268.3739999999998</v>
      </c>
      <c r="AW498" s="194"/>
      <c r="AX498" s="194"/>
      <c r="AY498" s="194"/>
      <c r="AZ498" s="194"/>
      <c r="BA498" s="194"/>
      <c r="BB498" s="194"/>
      <c r="BC498" s="65">
        <v>0</v>
      </c>
      <c r="BD498" s="65">
        <v>0</v>
      </c>
      <c r="BE498" s="65">
        <v>0</v>
      </c>
      <c r="BF498" s="65">
        <v>0</v>
      </c>
      <c r="BG498" s="65">
        <v>0</v>
      </c>
      <c r="BH498" s="65">
        <v>0</v>
      </c>
      <c r="BI498" s="65">
        <v>90.903508710527561</v>
      </c>
      <c r="BJ498" s="65">
        <v>0</v>
      </c>
      <c r="BK498" s="65">
        <v>0</v>
      </c>
      <c r="BL498" s="65">
        <v>0</v>
      </c>
      <c r="BM498" s="65">
        <v>0</v>
      </c>
      <c r="BN498" s="65">
        <v>0</v>
      </c>
      <c r="BO498" s="65">
        <v>0</v>
      </c>
      <c r="BP498" s="5"/>
      <c r="BQ498" s="5"/>
      <c r="BR498" s="5"/>
      <c r="BS498" s="64"/>
      <c r="BT498" s="5"/>
      <c r="BU498" s="5"/>
      <c r="BV498" s="144">
        <f t="shared" si="608"/>
        <v>0</v>
      </c>
      <c r="BW498" s="144">
        <f t="shared" si="609"/>
        <v>0</v>
      </c>
      <c r="BX498" s="144">
        <f t="shared" si="610"/>
        <v>0</v>
      </c>
      <c r="BY498" s="5"/>
      <c r="BZ498" s="5"/>
      <c r="CA498" s="4"/>
      <c r="CB498" s="5"/>
      <c r="CC498" s="5"/>
      <c r="CD498" s="5"/>
      <c r="CE498" s="5"/>
      <c r="CF498" s="64"/>
      <c r="CG498" s="70"/>
      <c r="CH498" s="70"/>
      <c r="CI498" s="70"/>
      <c r="CJ498" s="63"/>
      <c r="CK498" s="8">
        <f t="shared" si="559"/>
        <v>3463.6415087105274</v>
      </c>
      <c r="CL498" s="202">
        <f t="shared" si="683"/>
        <v>-3463.6415087105274</v>
      </c>
      <c r="CM498" s="202">
        <f t="shared" si="684"/>
        <v>-3463.6415087105274</v>
      </c>
      <c r="CN498" s="202">
        <f t="shared" si="685"/>
        <v>-3463.6415087105274</v>
      </c>
      <c r="CO498" s="9">
        <f t="shared" si="686"/>
        <v>-3463.6415087105274</v>
      </c>
      <c r="CP498" s="9">
        <f t="shared" si="687"/>
        <v>-3463.6415087105274</v>
      </c>
      <c r="CQ498" s="9">
        <f t="shared" si="688"/>
        <v>-3463.6415087105274</v>
      </c>
      <c r="CR498" s="202">
        <f t="shared" si="689"/>
        <v>-3463.6415087105274</v>
      </c>
      <c r="CS498" s="202">
        <f t="shared" si="690"/>
        <v>-3463.6415087105274</v>
      </c>
      <c r="CT498" s="202">
        <f t="shared" si="691"/>
        <v>-3463.6415087105274</v>
      </c>
      <c r="CU498" s="203" t="e">
        <f t="shared" si="692"/>
        <v>#DIV/0!</v>
      </c>
      <c r="CV498" s="203" t="e">
        <f t="shared" si="693"/>
        <v>#DIV/0!</v>
      </c>
      <c r="CW498" s="203" t="e">
        <f t="shared" si="694"/>
        <v>#DIV/0!</v>
      </c>
      <c r="CX498" s="19" t="e">
        <f t="shared" si="695"/>
        <v>#DIV/0!</v>
      </c>
      <c r="CY498" s="19" t="e">
        <f t="shared" si="696"/>
        <v>#DIV/0!</v>
      </c>
      <c r="CZ498" s="19" t="e">
        <f t="shared" si="697"/>
        <v>#DIV/0!</v>
      </c>
      <c r="DA498" s="203" t="e">
        <f t="shared" si="698"/>
        <v>#DIV/0!</v>
      </c>
      <c r="DB498" s="203" t="e">
        <f t="shared" si="699"/>
        <v>#DIV/0!</v>
      </c>
      <c r="DC498" s="203" t="e">
        <f t="shared" si="700"/>
        <v>#DIV/0!</v>
      </c>
      <c r="DD498" s="65"/>
      <c r="DE498" s="66"/>
      <c r="DF498" s="66"/>
      <c r="DG498" s="66"/>
      <c r="DH498" s="66"/>
      <c r="DI498" s="66"/>
      <c r="DJ498" s="66"/>
      <c r="DK498" s="70"/>
      <c r="DL498" s="70"/>
      <c r="DM498" s="8">
        <f t="shared" si="560"/>
        <v>0</v>
      </c>
      <c r="DN498" s="8">
        <f t="shared" si="561"/>
        <v>3463.6415087105274</v>
      </c>
      <c r="DO498" s="202">
        <f t="shared" si="535"/>
        <v>-3463.6415087105274</v>
      </c>
      <c r="DP498" s="202">
        <f t="shared" si="536"/>
        <v>-3463.6415087105274</v>
      </c>
      <c r="DQ498" s="202">
        <f t="shared" si="537"/>
        <v>-3463.6415087105274</v>
      </c>
      <c r="DR498" s="9">
        <f t="shared" si="538"/>
        <v>-3463.6415087105274</v>
      </c>
      <c r="DS498" s="9">
        <f t="shared" si="703"/>
        <v>-3463.6415087105274</v>
      </c>
      <c r="DT498" s="9">
        <f t="shared" si="539"/>
        <v>-3463.6415087105274</v>
      </c>
      <c r="DU498" s="202">
        <f t="shared" si="540"/>
        <v>-3463.6415087105274</v>
      </c>
      <c r="DV498" s="202">
        <f t="shared" si="541"/>
        <v>-3463.6415087105274</v>
      </c>
      <c r="DW498" s="202">
        <f t="shared" si="542"/>
        <v>-3463.6415087105274</v>
      </c>
      <c r="DX498" s="203" t="e">
        <f t="shared" si="543"/>
        <v>#DIV/0!</v>
      </c>
      <c r="DY498" s="203" t="e">
        <f t="shared" si="544"/>
        <v>#DIV/0!</v>
      </c>
      <c r="DZ498" s="203" t="e">
        <f t="shared" si="545"/>
        <v>#DIV/0!</v>
      </c>
      <c r="EA498" s="19" t="e">
        <f t="shared" si="546"/>
        <v>#DIV/0!</v>
      </c>
      <c r="EB498" s="19" t="e">
        <f t="shared" si="704"/>
        <v>#DIV/0!</v>
      </c>
      <c r="EC498" s="19" t="e">
        <f t="shared" si="547"/>
        <v>#DIV/0!</v>
      </c>
      <c r="ED498" s="203" t="e">
        <f t="shared" si="548"/>
        <v>#DIV/0!</v>
      </c>
      <c r="EE498" s="203" t="e">
        <f t="shared" si="549"/>
        <v>#DIV/0!</v>
      </c>
      <c r="EF498" s="203" t="e">
        <f t="shared" si="550"/>
        <v>#DIV/0!</v>
      </c>
      <c r="EH498" s="58">
        <f t="shared" si="596"/>
        <v>3463.6415087105274</v>
      </c>
      <c r="EI498" s="68" t="e">
        <f t="shared" si="597"/>
        <v>#DIV/0!</v>
      </c>
      <c r="EJ498" s="58">
        <f t="shared" si="598"/>
        <v>3463.6415087105274</v>
      </c>
      <c r="EK498" s="68" t="e">
        <f t="shared" si="597"/>
        <v>#DIV/0!</v>
      </c>
      <c r="EL498" s="58">
        <f t="shared" si="599"/>
        <v>90.903508710527561</v>
      </c>
      <c r="EM498" s="58">
        <f t="shared" si="600"/>
        <v>90.903508710527561</v>
      </c>
      <c r="EN498" s="68" t="e">
        <f t="shared" si="601"/>
        <v>#DIV/0!</v>
      </c>
      <c r="EO498" s="139">
        <f t="shared" si="652"/>
        <v>0.4050825009776523</v>
      </c>
      <c r="EP498">
        <f>+(SUM(M498:O498)*EO498*(1-'[1]Tier 3 Data'!$A$2))</f>
        <v>0</v>
      </c>
    </row>
    <row r="499" spans="1:146" x14ac:dyDescent="0.2">
      <c r="A499" s="43">
        <v>0</v>
      </c>
      <c r="B499" s="43">
        <v>0</v>
      </c>
      <c r="C499" s="43">
        <v>0</v>
      </c>
      <c r="D499" s="70">
        <v>2048</v>
      </c>
      <c r="E499" s="70">
        <v>12</v>
      </c>
      <c r="F499" s="2">
        <v>744</v>
      </c>
      <c r="G499" s="133">
        <f t="shared" si="636"/>
        <v>0</v>
      </c>
      <c r="H499" s="64"/>
      <c r="I499" s="133">
        <f t="shared" si="637"/>
        <v>0</v>
      </c>
      <c r="J499" s="133">
        <f t="shared" si="576"/>
        <v>0</v>
      </c>
      <c r="K499" s="64"/>
      <c r="L499" s="133">
        <f t="shared" si="577"/>
        <v>0</v>
      </c>
      <c r="M499" s="5"/>
      <c r="N499" s="5"/>
      <c r="O499" s="5"/>
      <c r="P499" s="200">
        <f t="shared" si="568"/>
        <v>0</v>
      </c>
      <c r="Q499" s="200">
        <f t="shared" si="569"/>
        <v>0</v>
      </c>
      <c r="R499" s="200">
        <f t="shared" si="570"/>
        <v>0</v>
      </c>
      <c r="S499" s="133">
        <f t="shared" si="638"/>
        <v>0</v>
      </c>
      <c r="T499" s="133">
        <f t="shared" si="639"/>
        <v>0</v>
      </c>
      <c r="U499" s="133">
        <f t="shared" si="640"/>
        <v>0</v>
      </c>
      <c r="V499" s="200">
        <f t="shared" si="571"/>
        <v>0</v>
      </c>
      <c r="W499" s="200">
        <f t="shared" si="572"/>
        <v>0</v>
      </c>
      <c r="X499" s="200">
        <f t="shared" si="573"/>
        <v>0</v>
      </c>
      <c r="Y499" s="58">
        <f t="shared" si="624"/>
        <v>0</v>
      </c>
      <c r="AA499" s="58">
        <f t="shared" si="625"/>
        <v>0</v>
      </c>
      <c r="AB499" s="200">
        <f t="shared" si="611"/>
        <v>0</v>
      </c>
      <c r="AC499" s="200">
        <f t="shared" si="612"/>
        <v>0</v>
      </c>
      <c r="AD499" s="200">
        <f t="shared" si="613"/>
        <v>0</v>
      </c>
      <c r="AE499" s="199">
        <f t="shared" si="719"/>
        <v>0</v>
      </c>
      <c r="AF499" s="199">
        <f t="shared" si="614"/>
        <v>0</v>
      </c>
      <c r="AG499" s="199">
        <f t="shared" si="720"/>
        <v>0</v>
      </c>
      <c r="AH499" s="199">
        <f t="shared" si="641"/>
        <v>0</v>
      </c>
      <c r="AI499" s="200">
        <f t="shared" si="615"/>
        <v>0</v>
      </c>
      <c r="AJ499" s="200">
        <f t="shared" si="616"/>
        <v>0</v>
      </c>
      <c r="AK499" s="200">
        <f t="shared" si="617"/>
        <v>0</v>
      </c>
      <c r="AL499" s="4"/>
      <c r="AM499" s="4"/>
      <c r="AN499" s="4"/>
      <c r="AO499" s="4"/>
      <c r="AP499" s="63"/>
      <c r="AQ499" s="18"/>
      <c r="AR499" s="18"/>
      <c r="AS499" s="18"/>
      <c r="AT499" s="18">
        <v>0</v>
      </c>
      <c r="AU499" s="133">
        <f t="shared" ref="AU499" si="725">+AU487</f>
        <v>105.066</v>
      </c>
      <c r="AV499" s="133">
        <f t="shared" ref="AV499" si="726">+AV487</f>
        <v>3218.8470000000002</v>
      </c>
      <c r="AW499" s="194"/>
      <c r="AX499" s="194"/>
      <c r="AY499" s="194"/>
      <c r="AZ499" s="194"/>
      <c r="BA499" s="194"/>
      <c r="BB499" s="194"/>
      <c r="BC499" s="65">
        <v>0</v>
      </c>
      <c r="BD499" s="65">
        <v>0</v>
      </c>
      <c r="BE499" s="65">
        <v>0</v>
      </c>
      <c r="BF499" s="65">
        <v>0</v>
      </c>
      <c r="BG499" s="65">
        <v>0</v>
      </c>
      <c r="BH499" s="65">
        <v>0</v>
      </c>
      <c r="BI499" s="65">
        <v>42.59821046045306</v>
      </c>
      <c r="BJ499" s="65">
        <v>0</v>
      </c>
      <c r="BK499" s="65">
        <v>0</v>
      </c>
      <c r="BL499" s="65">
        <v>0</v>
      </c>
      <c r="BM499" s="65">
        <v>0</v>
      </c>
      <c r="BN499" s="65">
        <v>0</v>
      </c>
      <c r="BO499" s="65">
        <v>0</v>
      </c>
      <c r="BP499" s="5"/>
      <c r="BQ499" s="5"/>
      <c r="BR499" s="5"/>
      <c r="BS499" s="64"/>
      <c r="BT499" s="5"/>
      <c r="BU499" s="5"/>
      <c r="BV499" s="144">
        <f t="shared" si="608"/>
        <v>0</v>
      </c>
      <c r="BW499" s="144">
        <f t="shared" si="609"/>
        <v>0</v>
      </c>
      <c r="BX499" s="144">
        <f t="shared" si="610"/>
        <v>0</v>
      </c>
      <c r="BY499" s="5"/>
      <c r="BZ499" s="5"/>
      <c r="CA499" s="4"/>
      <c r="CB499" s="5"/>
      <c r="CC499" s="5"/>
      <c r="CD499" s="5"/>
      <c r="CE499" s="5"/>
      <c r="CF499" s="64"/>
      <c r="CG499" s="70"/>
      <c r="CH499" s="70"/>
      <c r="CI499" s="70"/>
      <c r="CJ499" s="63"/>
      <c r="CK499" s="8">
        <f t="shared" si="559"/>
        <v>3366.5112104604532</v>
      </c>
      <c r="CL499" s="202">
        <f t="shared" si="683"/>
        <v>-3366.5112104604532</v>
      </c>
      <c r="CM499" s="202">
        <f t="shared" si="684"/>
        <v>-3366.5112104604532</v>
      </c>
      <c r="CN499" s="202">
        <f t="shared" si="685"/>
        <v>-3366.5112104604532</v>
      </c>
      <c r="CO499" s="9">
        <f t="shared" si="686"/>
        <v>-3366.5112104604532</v>
      </c>
      <c r="CP499" s="9">
        <f t="shared" si="687"/>
        <v>-3366.5112104604532</v>
      </c>
      <c r="CQ499" s="9">
        <f t="shared" si="688"/>
        <v>-3366.5112104604532</v>
      </c>
      <c r="CR499" s="202">
        <f t="shared" si="689"/>
        <v>-3366.5112104604532</v>
      </c>
      <c r="CS499" s="202">
        <f t="shared" si="690"/>
        <v>-3366.5112104604532</v>
      </c>
      <c r="CT499" s="202">
        <f t="shared" si="691"/>
        <v>-3366.5112104604532</v>
      </c>
      <c r="CU499" s="203" t="e">
        <f t="shared" si="692"/>
        <v>#DIV/0!</v>
      </c>
      <c r="CV499" s="203" t="e">
        <f t="shared" si="693"/>
        <v>#DIV/0!</v>
      </c>
      <c r="CW499" s="203" t="e">
        <f t="shared" si="694"/>
        <v>#DIV/0!</v>
      </c>
      <c r="CX499" s="19" t="e">
        <f t="shared" si="695"/>
        <v>#DIV/0!</v>
      </c>
      <c r="CY499" s="19" t="e">
        <f t="shared" si="696"/>
        <v>#DIV/0!</v>
      </c>
      <c r="CZ499" s="19" t="e">
        <f t="shared" si="697"/>
        <v>#DIV/0!</v>
      </c>
      <c r="DA499" s="203" t="e">
        <f t="shared" si="698"/>
        <v>#DIV/0!</v>
      </c>
      <c r="DB499" s="203" t="e">
        <f t="shared" si="699"/>
        <v>#DIV/0!</v>
      </c>
      <c r="DC499" s="203" t="e">
        <f t="shared" si="700"/>
        <v>#DIV/0!</v>
      </c>
      <c r="DD499" s="65"/>
      <c r="DE499" s="66"/>
      <c r="DF499" s="66"/>
      <c r="DG499" s="66"/>
      <c r="DH499" s="66"/>
      <c r="DI499" s="66"/>
      <c r="DJ499" s="66"/>
      <c r="DK499" s="70"/>
      <c r="DL499" s="70"/>
      <c r="DM499" s="8">
        <f t="shared" si="560"/>
        <v>0</v>
      </c>
      <c r="DN499" s="8">
        <f t="shared" si="561"/>
        <v>3366.5112104604532</v>
      </c>
      <c r="DO499" s="202">
        <f t="shared" si="535"/>
        <v>-3366.5112104604532</v>
      </c>
      <c r="DP499" s="202">
        <f t="shared" si="536"/>
        <v>-3366.5112104604532</v>
      </c>
      <c r="DQ499" s="202">
        <f t="shared" si="537"/>
        <v>-3366.5112104604532</v>
      </c>
      <c r="DR499" s="9">
        <f t="shared" si="538"/>
        <v>-3366.5112104604532</v>
      </c>
      <c r="DS499" s="9">
        <f t="shared" si="703"/>
        <v>-3366.5112104604532</v>
      </c>
      <c r="DT499" s="9">
        <f t="shared" si="539"/>
        <v>-3366.5112104604532</v>
      </c>
      <c r="DU499" s="202">
        <f t="shared" si="540"/>
        <v>-3366.5112104604532</v>
      </c>
      <c r="DV499" s="202">
        <f t="shared" si="541"/>
        <v>-3366.5112104604532</v>
      </c>
      <c r="DW499" s="202">
        <f t="shared" si="542"/>
        <v>-3366.5112104604532</v>
      </c>
      <c r="DX499" s="203" t="e">
        <f t="shared" si="543"/>
        <v>#DIV/0!</v>
      </c>
      <c r="DY499" s="203" t="e">
        <f t="shared" si="544"/>
        <v>#DIV/0!</v>
      </c>
      <c r="DZ499" s="203" t="e">
        <f t="shared" si="545"/>
        <v>#DIV/0!</v>
      </c>
      <c r="EA499" s="19" t="e">
        <f t="shared" si="546"/>
        <v>#DIV/0!</v>
      </c>
      <c r="EB499" s="19" t="e">
        <f t="shared" si="704"/>
        <v>#DIV/0!</v>
      </c>
      <c r="EC499" s="19" t="e">
        <f t="shared" si="547"/>
        <v>#DIV/0!</v>
      </c>
      <c r="ED499" s="203" t="e">
        <f t="shared" si="548"/>
        <v>#DIV/0!</v>
      </c>
      <c r="EE499" s="203" t="e">
        <f t="shared" si="549"/>
        <v>#DIV/0!</v>
      </c>
      <c r="EF499" s="203" t="e">
        <f t="shared" si="550"/>
        <v>#DIV/0!</v>
      </c>
      <c r="EH499" s="58">
        <f t="shared" si="596"/>
        <v>3366.5112104604532</v>
      </c>
      <c r="EI499" s="68" t="e">
        <f t="shared" si="597"/>
        <v>#DIV/0!</v>
      </c>
      <c r="EJ499" s="58">
        <f t="shared" si="598"/>
        <v>3366.5112104604532</v>
      </c>
      <c r="EK499" s="68" t="e">
        <f t="shared" si="597"/>
        <v>#DIV/0!</v>
      </c>
      <c r="EL499" s="58">
        <f t="shared" si="599"/>
        <v>42.59821046045306</v>
      </c>
      <c r="EM499" s="58">
        <f t="shared" si="600"/>
        <v>42.59821046045306</v>
      </c>
      <c r="EN499" s="68" t="e">
        <f t="shared" si="601"/>
        <v>#DIV/0!</v>
      </c>
      <c r="EO499" s="139">
        <f t="shared" si="652"/>
        <v>0.32946562535829382</v>
      </c>
      <c r="EP499">
        <f>+(SUM(M499:O499)*EO499*(1-'[1]Tier 3 Data'!$A$2))</f>
        <v>0</v>
      </c>
    </row>
    <row r="500" spans="1:146" x14ac:dyDescent="0.2">
      <c r="A500" s="43">
        <v>0</v>
      </c>
      <c r="B500" s="43">
        <v>0</v>
      </c>
      <c r="C500" s="43">
        <v>0</v>
      </c>
      <c r="D500" s="70">
        <v>2049</v>
      </c>
      <c r="E500" s="70">
        <v>1</v>
      </c>
      <c r="F500" s="2">
        <v>744</v>
      </c>
      <c r="G500" s="133">
        <f t="shared" si="636"/>
        <v>0</v>
      </c>
      <c r="H500" s="64"/>
      <c r="I500" s="133">
        <f t="shared" si="637"/>
        <v>0</v>
      </c>
      <c r="J500" s="133">
        <f t="shared" si="576"/>
        <v>0</v>
      </c>
      <c r="K500" s="64"/>
      <c r="L500" s="133">
        <f t="shared" si="577"/>
        <v>0</v>
      </c>
      <c r="M500" s="5"/>
      <c r="N500" s="5"/>
      <c r="O500" s="5"/>
      <c r="P500" s="200">
        <f t="shared" si="568"/>
        <v>0</v>
      </c>
      <c r="Q500" s="200">
        <f t="shared" si="569"/>
        <v>0</v>
      </c>
      <c r="R500" s="200">
        <f t="shared" si="570"/>
        <v>0</v>
      </c>
      <c r="S500" s="133">
        <f t="shared" si="638"/>
        <v>0</v>
      </c>
      <c r="T500" s="133">
        <f t="shared" si="639"/>
        <v>0</v>
      </c>
      <c r="U500" s="133">
        <f t="shared" si="640"/>
        <v>0</v>
      </c>
      <c r="V500" s="200">
        <f t="shared" si="571"/>
        <v>0</v>
      </c>
      <c r="W500" s="200">
        <f t="shared" si="572"/>
        <v>0</v>
      </c>
      <c r="X500" s="200">
        <f t="shared" si="573"/>
        <v>0</v>
      </c>
      <c r="Y500" s="58">
        <f t="shared" si="624"/>
        <v>0</v>
      </c>
      <c r="AA500" s="58">
        <f t="shared" si="625"/>
        <v>0</v>
      </c>
      <c r="AB500" s="200">
        <f t="shared" si="611"/>
        <v>0</v>
      </c>
      <c r="AC500" s="200">
        <f t="shared" si="612"/>
        <v>0</v>
      </c>
      <c r="AD500" s="200">
        <f t="shared" si="613"/>
        <v>0</v>
      </c>
      <c r="AE500" s="199">
        <f t="shared" si="719"/>
        <v>0</v>
      </c>
      <c r="AF500" s="199">
        <f t="shared" si="614"/>
        <v>0</v>
      </c>
      <c r="AG500" s="199">
        <f t="shared" si="720"/>
        <v>0</v>
      </c>
      <c r="AH500" s="199">
        <f t="shared" si="641"/>
        <v>0</v>
      </c>
      <c r="AI500" s="200">
        <f t="shared" si="615"/>
        <v>0</v>
      </c>
      <c r="AJ500" s="200">
        <f t="shared" si="616"/>
        <v>0</v>
      </c>
      <c r="AK500" s="200">
        <f t="shared" si="617"/>
        <v>0</v>
      </c>
      <c r="AL500" s="4"/>
      <c r="AM500" s="4"/>
      <c r="AN500" s="4"/>
      <c r="AO500" s="4"/>
      <c r="AP500" s="63"/>
      <c r="AQ500" s="18"/>
      <c r="AR500" s="18"/>
      <c r="AS500" s="18"/>
      <c r="AT500" s="18">
        <v>0</v>
      </c>
      <c r="AU500" s="133">
        <f t="shared" ref="AU500" si="727">+AU488</f>
        <v>98.513999999999996</v>
      </c>
      <c r="AV500" s="133">
        <f t="shared" ref="AV500" si="728">+AV488</f>
        <v>3278.6750000000002</v>
      </c>
      <c r="AW500" s="194"/>
      <c r="AX500" s="194"/>
      <c r="AY500" s="194"/>
      <c r="AZ500" s="194"/>
      <c r="BA500" s="194"/>
      <c r="BB500" s="194"/>
      <c r="BC500" s="65">
        <v>0</v>
      </c>
      <c r="BD500" s="65">
        <v>0</v>
      </c>
      <c r="BE500" s="65">
        <v>0</v>
      </c>
      <c r="BF500" s="65">
        <v>0</v>
      </c>
      <c r="BG500" s="65">
        <v>0</v>
      </c>
      <c r="BH500" s="65">
        <v>0</v>
      </c>
      <c r="BI500" s="65">
        <v>60.090293867738531</v>
      </c>
      <c r="BJ500" s="65">
        <v>0</v>
      </c>
      <c r="BK500" s="65">
        <v>0</v>
      </c>
      <c r="BL500" s="65">
        <v>0</v>
      </c>
      <c r="BM500" s="65">
        <v>0</v>
      </c>
      <c r="BN500" s="65">
        <v>0</v>
      </c>
      <c r="BO500" s="65">
        <v>0</v>
      </c>
      <c r="BP500" s="5"/>
      <c r="BQ500" s="5"/>
      <c r="BR500" s="5"/>
      <c r="BS500" s="64"/>
      <c r="BT500" s="5"/>
      <c r="BU500" s="5"/>
      <c r="BV500" s="144">
        <f t="shared" si="608"/>
        <v>0</v>
      </c>
      <c r="BW500" s="144">
        <f t="shared" si="609"/>
        <v>0</v>
      </c>
      <c r="BX500" s="144">
        <f t="shared" si="610"/>
        <v>0</v>
      </c>
      <c r="BY500" s="5"/>
      <c r="BZ500" s="5"/>
      <c r="CA500" s="4"/>
      <c r="CB500" s="5"/>
      <c r="CC500" s="5"/>
      <c r="CD500" s="5"/>
      <c r="CE500" s="5"/>
      <c r="CF500" s="64"/>
      <c r="CG500" s="70"/>
      <c r="CH500" s="70"/>
      <c r="CI500" s="70"/>
      <c r="CJ500" s="63"/>
      <c r="CK500" s="8">
        <f t="shared" si="559"/>
        <v>3437.2792938677389</v>
      </c>
      <c r="CL500" s="202">
        <f t="shared" si="683"/>
        <v>-3437.2792938677389</v>
      </c>
      <c r="CM500" s="202">
        <f t="shared" si="684"/>
        <v>-3437.2792938677389</v>
      </c>
      <c r="CN500" s="202">
        <f t="shared" si="685"/>
        <v>-3437.2792938677389</v>
      </c>
      <c r="CO500" s="9">
        <f t="shared" si="686"/>
        <v>-3437.2792938677389</v>
      </c>
      <c r="CP500" s="9">
        <f t="shared" si="687"/>
        <v>-3437.2792938677389</v>
      </c>
      <c r="CQ500" s="9">
        <f t="shared" si="688"/>
        <v>-3437.2792938677389</v>
      </c>
      <c r="CR500" s="202">
        <f t="shared" si="689"/>
        <v>-3437.2792938677389</v>
      </c>
      <c r="CS500" s="202">
        <f t="shared" si="690"/>
        <v>-3437.2792938677389</v>
      </c>
      <c r="CT500" s="202">
        <f t="shared" si="691"/>
        <v>-3437.2792938677389</v>
      </c>
      <c r="CU500" s="203" t="e">
        <f t="shared" si="692"/>
        <v>#DIV/0!</v>
      </c>
      <c r="CV500" s="203" t="e">
        <f t="shared" si="693"/>
        <v>#DIV/0!</v>
      </c>
      <c r="CW500" s="203" t="e">
        <f t="shared" si="694"/>
        <v>#DIV/0!</v>
      </c>
      <c r="CX500" s="19" t="e">
        <f t="shared" si="695"/>
        <v>#DIV/0!</v>
      </c>
      <c r="CY500" s="19" t="e">
        <f t="shared" si="696"/>
        <v>#DIV/0!</v>
      </c>
      <c r="CZ500" s="19" t="e">
        <f t="shared" si="697"/>
        <v>#DIV/0!</v>
      </c>
      <c r="DA500" s="203" t="e">
        <f t="shared" si="698"/>
        <v>#DIV/0!</v>
      </c>
      <c r="DB500" s="203" t="e">
        <f t="shared" si="699"/>
        <v>#DIV/0!</v>
      </c>
      <c r="DC500" s="203" t="e">
        <f t="shared" si="700"/>
        <v>#DIV/0!</v>
      </c>
      <c r="DD500" s="65"/>
      <c r="DE500" s="66"/>
      <c r="DF500" s="66"/>
      <c r="DG500" s="66"/>
      <c r="DH500" s="66"/>
      <c r="DI500" s="66"/>
      <c r="DJ500" s="66"/>
      <c r="DK500" s="70"/>
      <c r="DL500" s="70"/>
      <c r="DM500" s="8">
        <f t="shared" si="560"/>
        <v>0</v>
      </c>
      <c r="DN500" s="8">
        <f t="shared" si="561"/>
        <v>3437.2792938677389</v>
      </c>
      <c r="DO500" s="202">
        <f t="shared" si="535"/>
        <v>-3437.2792938677389</v>
      </c>
      <c r="DP500" s="202">
        <f t="shared" si="536"/>
        <v>-3437.2792938677389</v>
      </c>
      <c r="DQ500" s="202">
        <f t="shared" si="537"/>
        <v>-3437.2792938677389</v>
      </c>
      <c r="DR500" s="9">
        <f t="shared" si="538"/>
        <v>-3437.2792938677389</v>
      </c>
      <c r="DS500" s="9">
        <f t="shared" si="703"/>
        <v>-3437.2792938677389</v>
      </c>
      <c r="DT500" s="9">
        <f t="shared" si="539"/>
        <v>-3437.2792938677389</v>
      </c>
      <c r="DU500" s="202">
        <f t="shared" si="540"/>
        <v>-3437.2792938677389</v>
      </c>
      <c r="DV500" s="202">
        <f t="shared" si="541"/>
        <v>-3437.2792938677389</v>
      </c>
      <c r="DW500" s="202">
        <f t="shared" si="542"/>
        <v>-3437.2792938677389</v>
      </c>
      <c r="DX500" s="203" t="e">
        <f t="shared" si="543"/>
        <v>#DIV/0!</v>
      </c>
      <c r="DY500" s="203" t="e">
        <f t="shared" si="544"/>
        <v>#DIV/0!</v>
      </c>
      <c r="DZ500" s="203" t="e">
        <f t="shared" si="545"/>
        <v>#DIV/0!</v>
      </c>
      <c r="EA500" s="19" t="e">
        <f t="shared" si="546"/>
        <v>#DIV/0!</v>
      </c>
      <c r="EB500" s="19" t="e">
        <f t="shared" si="704"/>
        <v>#DIV/0!</v>
      </c>
      <c r="EC500" s="19" t="e">
        <f t="shared" si="547"/>
        <v>#DIV/0!</v>
      </c>
      <c r="ED500" s="203" t="e">
        <f t="shared" si="548"/>
        <v>#DIV/0!</v>
      </c>
      <c r="EE500" s="203" t="e">
        <f t="shared" si="549"/>
        <v>#DIV/0!</v>
      </c>
      <c r="EF500" s="203" t="e">
        <f t="shared" si="550"/>
        <v>#DIV/0!</v>
      </c>
      <c r="EH500" s="58">
        <f t="shared" si="596"/>
        <v>3437.2792938677389</v>
      </c>
      <c r="EI500" s="68" t="e">
        <f t="shared" si="597"/>
        <v>#DIV/0!</v>
      </c>
      <c r="EJ500" s="58">
        <f t="shared" si="598"/>
        <v>3437.2792938677389</v>
      </c>
      <c r="EK500" s="68" t="e">
        <f t="shared" si="597"/>
        <v>#DIV/0!</v>
      </c>
      <c r="EL500" s="58">
        <f t="shared" si="599"/>
        <v>60.090293867738531</v>
      </c>
      <c r="EM500" s="58">
        <f t="shared" si="600"/>
        <v>60.090293867738531</v>
      </c>
      <c r="EN500" s="68" t="e">
        <f t="shared" si="601"/>
        <v>#DIV/0!</v>
      </c>
      <c r="EO500" s="139">
        <f t="shared" si="652"/>
        <v>0.32527353469126524</v>
      </c>
      <c r="EP500">
        <f>+(SUM(M500:O500)*EO500*(1-'[1]Tier 3 Data'!$A$2))</f>
        <v>0</v>
      </c>
    </row>
    <row r="501" spans="1:146" x14ac:dyDescent="0.2">
      <c r="A501" s="43">
        <v>0</v>
      </c>
      <c r="B501" s="43">
        <v>0</v>
      </c>
      <c r="C501" s="43">
        <v>0</v>
      </c>
      <c r="D501" s="70">
        <v>2049</v>
      </c>
      <c r="E501" s="70">
        <v>2</v>
      </c>
      <c r="F501" s="2">
        <v>672</v>
      </c>
      <c r="G501" s="133">
        <f t="shared" si="636"/>
        <v>0</v>
      </c>
      <c r="H501" s="64"/>
      <c r="I501" s="133">
        <f t="shared" si="637"/>
        <v>0</v>
      </c>
      <c r="J501" s="133">
        <f t="shared" si="576"/>
        <v>0</v>
      </c>
      <c r="K501" s="64"/>
      <c r="L501" s="133">
        <f t="shared" si="577"/>
        <v>0</v>
      </c>
      <c r="M501" s="5"/>
      <c r="N501" s="5"/>
      <c r="O501" s="5"/>
      <c r="P501" s="200">
        <f t="shared" si="568"/>
        <v>0</v>
      </c>
      <c r="Q501" s="200">
        <f t="shared" si="569"/>
        <v>0</v>
      </c>
      <c r="R501" s="200">
        <f t="shared" si="570"/>
        <v>0</v>
      </c>
      <c r="S501" s="133">
        <f t="shared" si="638"/>
        <v>0</v>
      </c>
      <c r="T501" s="133">
        <f t="shared" si="639"/>
        <v>0</v>
      </c>
      <c r="U501" s="133">
        <f t="shared" si="640"/>
        <v>0</v>
      </c>
      <c r="V501" s="200">
        <f t="shared" si="571"/>
        <v>0</v>
      </c>
      <c r="W501" s="200">
        <f t="shared" si="572"/>
        <v>0</v>
      </c>
      <c r="X501" s="200">
        <f t="shared" si="573"/>
        <v>0</v>
      </c>
      <c r="Y501" s="58">
        <f t="shared" si="624"/>
        <v>0</v>
      </c>
      <c r="AA501" s="58">
        <f t="shared" si="625"/>
        <v>0</v>
      </c>
      <c r="AB501" s="200">
        <f t="shared" si="611"/>
        <v>0</v>
      </c>
      <c r="AC501" s="200">
        <f t="shared" si="612"/>
        <v>0</v>
      </c>
      <c r="AD501" s="200">
        <f t="shared" si="613"/>
        <v>0</v>
      </c>
      <c r="AE501" s="199">
        <f t="shared" si="719"/>
        <v>0</v>
      </c>
      <c r="AF501" s="199">
        <f t="shared" si="614"/>
        <v>0</v>
      </c>
      <c r="AG501" s="199">
        <f t="shared" si="720"/>
        <v>0</v>
      </c>
      <c r="AH501" s="199">
        <f t="shared" si="641"/>
        <v>0</v>
      </c>
      <c r="AI501" s="200">
        <f t="shared" si="615"/>
        <v>0</v>
      </c>
      <c r="AJ501" s="200">
        <f t="shared" si="616"/>
        <v>0</v>
      </c>
      <c r="AK501" s="200">
        <f t="shared" si="617"/>
        <v>0</v>
      </c>
      <c r="AL501" s="4"/>
      <c r="AM501" s="4"/>
      <c r="AN501" s="4"/>
      <c r="AO501" s="4"/>
      <c r="AP501" s="63"/>
      <c r="AQ501" s="18"/>
      <c r="AR501" s="18"/>
      <c r="AS501" s="18"/>
      <c r="AT501" s="18">
        <v>0</v>
      </c>
      <c r="AU501" s="133">
        <f t="shared" ref="AU501" si="729">+AU489</f>
        <v>92.897999999999996</v>
      </c>
      <c r="AV501" s="133">
        <f t="shared" ref="AV501" si="730">+AV489</f>
        <v>3057.587</v>
      </c>
      <c r="AW501" s="194"/>
      <c r="AX501" s="194"/>
      <c r="AY501" s="194"/>
      <c r="AZ501" s="194"/>
      <c r="BA501" s="194"/>
      <c r="BB501" s="194"/>
      <c r="BC501" s="65">
        <v>0</v>
      </c>
      <c r="BD501" s="65">
        <v>0</v>
      </c>
      <c r="BE501" s="65">
        <v>0</v>
      </c>
      <c r="BF501" s="65">
        <v>0</v>
      </c>
      <c r="BG501" s="65">
        <v>0</v>
      </c>
      <c r="BH501" s="65">
        <v>0</v>
      </c>
      <c r="BI501" s="65">
        <v>74.892354804838121</v>
      </c>
      <c r="BJ501" s="65">
        <v>0</v>
      </c>
      <c r="BK501" s="65">
        <v>0</v>
      </c>
      <c r="BL501" s="65">
        <v>0</v>
      </c>
      <c r="BM501" s="65">
        <v>0</v>
      </c>
      <c r="BN501" s="65">
        <v>0</v>
      </c>
      <c r="BO501" s="65">
        <v>0</v>
      </c>
      <c r="BP501" s="5"/>
      <c r="BQ501" s="5"/>
      <c r="BR501" s="5"/>
      <c r="BS501" s="64"/>
      <c r="BT501" s="5"/>
      <c r="BU501" s="5"/>
      <c r="BV501" s="144">
        <f t="shared" si="608"/>
        <v>0</v>
      </c>
      <c r="BW501" s="144">
        <f t="shared" si="609"/>
        <v>0</v>
      </c>
      <c r="BX501" s="144">
        <f t="shared" si="610"/>
        <v>0</v>
      </c>
      <c r="BY501" s="5"/>
      <c r="BZ501" s="5"/>
      <c r="CA501" s="4"/>
      <c r="CB501" s="5"/>
      <c r="CC501" s="5"/>
      <c r="CD501" s="5"/>
      <c r="CE501" s="5"/>
      <c r="CF501" s="64"/>
      <c r="CG501" s="70"/>
      <c r="CH501" s="70"/>
      <c r="CI501" s="70"/>
      <c r="CJ501" s="63"/>
      <c r="CK501" s="8">
        <f t="shared" si="559"/>
        <v>3225.3773548048384</v>
      </c>
      <c r="CL501" s="202">
        <f t="shared" si="683"/>
        <v>-3225.3773548048384</v>
      </c>
      <c r="CM501" s="202">
        <f t="shared" si="684"/>
        <v>-3225.3773548048384</v>
      </c>
      <c r="CN501" s="202">
        <f t="shared" si="685"/>
        <v>-3225.3773548048384</v>
      </c>
      <c r="CO501" s="9">
        <f t="shared" si="686"/>
        <v>-3225.3773548048384</v>
      </c>
      <c r="CP501" s="9">
        <f t="shared" si="687"/>
        <v>-3225.3773548048384</v>
      </c>
      <c r="CQ501" s="9">
        <f t="shared" si="688"/>
        <v>-3225.3773548048384</v>
      </c>
      <c r="CR501" s="202">
        <f t="shared" si="689"/>
        <v>-3225.3773548048384</v>
      </c>
      <c r="CS501" s="202">
        <f t="shared" si="690"/>
        <v>-3225.3773548048384</v>
      </c>
      <c r="CT501" s="202">
        <f t="shared" si="691"/>
        <v>-3225.3773548048384</v>
      </c>
      <c r="CU501" s="203" t="e">
        <f t="shared" si="692"/>
        <v>#DIV/0!</v>
      </c>
      <c r="CV501" s="203" t="e">
        <f t="shared" si="693"/>
        <v>#DIV/0!</v>
      </c>
      <c r="CW501" s="203" t="e">
        <f t="shared" si="694"/>
        <v>#DIV/0!</v>
      </c>
      <c r="CX501" s="19" t="e">
        <f t="shared" si="695"/>
        <v>#DIV/0!</v>
      </c>
      <c r="CY501" s="19" t="e">
        <f t="shared" si="696"/>
        <v>#DIV/0!</v>
      </c>
      <c r="CZ501" s="19" t="e">
        <f t="shared" si="697"/>
        <v>#DIV/0!</v>
      </c>
      <c r="DA501" s="203" t="e">
        <f t="shared" si="698"/>
        <v>#DIV/0!</v>
      </c>
      <c r="DB501" s="203" t="e">
        <f t="shared" si="699"/>
        <v>#DIV/0!</v>
      </c>
      <c r="DC501" s="203" t="e">
        <f t="shared" si="700"/>
        <v>#DIV/0!</v>
      </c>
      <c r="DD501" s="65"/>
      <c r="DE501" s="66"/>
      <c r="DF501" s="66"/>
      <c r="DG501" s="66"/>
      <c r="DH501" s="66"/>
      <c r="DI501" s="66"/>
      <c r="DJ501" s="66"/>
      <c r="DK501" s="70"/>
      <c r="DL501" s="70"/>
      <c r="DM501" s="8">
        <f t="shared" si="560"/>
        <v>0</v>
      </c>
      <c r="DN501" s="8">
        <f t="shared" si="561"/>
        <v>3225.3773548048384</v>
      </c>
      <c r="DO501" s="202">
        <f t="shared" si="535"/>
        <v>-3225.3773548048384</v>
      </c>
      <c r="DP501" s="202">
        <f t="shared" si="536"/>
        <v>-3225.3773548048384</v>
      </c>
      <c r="DQ501" s="202">
        <f t="shared" si="537"/>
        <v>-3225.3773548048384</v>
      </c>
      <c r="DR501" s="9">
        <f t="shared" si="538"/>
        <v>-3225.3773548048384</v>
      </c>
      <c r="DS501" s="9">
        <f t="shared" si="703"/>
        <v>-3225.3773548048384</v>
      </c>
      <c r="DT501" s="9">
        <f t="shared" si="539"/>
        <v>-3225.3773548048384</v>
      </c>
      <c r="DU501" s="202">
        <f t="shared" si="540"/>
        <v>-3225.3773548048384</v>
      </c>
      <c r="DV501" s="202">
        <f t="shared" si="541"/>
        <v>-3225.3773548048384</v>
      </c>
      <c r="DW501" s="202">
        <f t="shared" si="542"/>
        <v>-3225.3773548048384</v>
      </c>
      <c r="DX501" s="203" t="e">
        <f t="shared" si="543"/>
        <v>#DIV/0!</v>
      </c>
      <c r="DY501" s="203" t="e">
        <f t="shared" si="544"/>
        <v>#DIV/0!</v>
      </c>
      <c r="DZ501" s="203" t="e">
        <f t="shared" si="545"/>
        <v>#DIV/0!</v>
      </c>
      <c r="EA501" s="19" t="e">
        <f t="shared" si="546"/>
        <v>#DIV/0!</v>
      </c>
      <c r="EB501" s="19" t="e">
        <f t="shared" si="704"/>
        <v>#DIV/0!</v>
      </c>
      <c r="EC501" s="19" t="e">
        <f t="shared" si="547"/>
        <v>#DIV/0!</v>
      </c>
      <c r="ED501" s="203" t="e">
        <f t="shared" si="548"/>
        <v>#DIV/0!</v>
      </c>
      <c r="EE501" s="203" t="e">
        <f t="shared" si="549"/>
        <v>#DIV/0!</v>
      </c>
      <c r="EF501" s="203" t="e">
        <f t="shared" si="550"/>
        <v>#DIV/0!</v>
      </c>
      <c r="EH501" s="58">
        <f t="shared" si="596"/>
        <v>3225.3773548048384</v>
      </c>
      <c r="EI501" s="68" t="e">
        <f t="shared" si="597"/>
        <v>#DIV/0!</v>
      </c>
      <c r="EJ501" s="58">
        <f t="shared" si="598"/>
        <v>3225.3773548048384</v>
      </c>
      <c r="EK501" s="68" t="e">
        <f t="shared" si="597"/>
        <v>#DIV/0!</v>
      </c>
      <c r="EL501" s="58">
        <f t="shared" si="599"/>
        <v>74.892354804838121</v>
      </c>
      <c r="EM501" s="58">
        <f t="shared" si="600"/>
        <v>74.892354804838121</v>
      </c>
      <c r="EN501" s="68" t="e">
        <f t="shared" si="601"/>
        <v>#DIV/0!</v>
      </c>
      <c r="EO501" s="139">
        <f t="shared" si="652"/>
        <v>0.3126447604730192</v>
      </c>
      <c r="EP501">
        <f>+(SUM(M501:O501)*EO501*(1-'[1]Tier 3 Data'!$A$2))</f>
        <v>0</v>
      </c>
    </row>
    <row r="502" spans="1:146" x14ac:dyDescent="0.2">
      <c r="A502" s="43">
        <v>0</v>
      </c>
      <c r="B502" s="43">
        <v>0</v>
      </c>
      <c r="C502" s="43">
        <v>0</v>
      </c>
      <c r="D502" s="70">
        <v>2049</v>
      </c>
      <c r="E502" s="70">
        <v>3</v>
      </c>
      <c r="F502" s="2">
        <v>743</v>
      </c>
      <c r="G502" s="133">
        <f t="shared" si="636"/>
        <v>0</v>
      </c>
      <c r="H502" s="64"/>
      <c r="I502" s="133">
        <f t="shared" si="637"/>
        <v>0</v>
      </c>
      <c r="J502" s="133">
        <f t="shared" si="576"/>
        <v>0</v>
      </c>
      <c r="K502" s="64"/>
      <c r="L502" s="133">
        <f t="shared" si="577"/>
        <v>0</v>
      </c>
      <c r="M502" s="5"/>
      <c r="N502" s="5"/>
      <c r="O502" s="5"/>
      <c r="P502" s="200">
        <f t="shared" si="568"/>
        <v>0</v>
      </c>
      <c r="Q502" s="200">
        <f t="shared" si="569"/>
        <v>0</v>
      </c>
      <c r="R502" s="200">
        <f t="shared" si="570"/>
        <v>0</v>
      </c>
      <c r="S502" s="133">
        <f t="shared" si="638"/>
        <v>0</v>
      </c>
      <c r="T502" s="133">
        <f t="shared" si="639"/>
        <v>0</v>
      </c>
      <c r="U502" s="133">
        <f t="shared" si="640"/>
        <v>0</v>
      </c>
      <c r="V502" s="200">
        <f t="shared" si="571"/>
        <v>0</v>
      </c>
      <c r="W502" s="200">
        <f t="shared" si="572"/>
        <v>0</v>
      </c>
      <c r="X502" s="200">
        <f t="shared" si="573"/>
        <v>0</v>
      </c>
      <c r="Y502" s="58">
        <f t="shared" si="624"/>
        <v>0</v>
      </c>
      <c r="AA502" s="58">
        <f t="shared" si="625"/>
        <v>0</v>
      </c>
      <c r="AB502" s="200">
        <f t="shared" si="611"/>
        <v>0</v>
      </c>
      <c r="AC502" s="200">
        <f t="shared" si="612"/>
        <v>0</v>
      </c>
      <c r="AD502" s="200">
        <f t="shared" si="613"/>
        <v>0</v>
      </c>
      <c r="AE502" s="199">
        <f t="shared" si="719"/>
        <v>0</v>
      </c>
      <c r="AF502" s="199">
        <f t="shared" si="614"/>
        <v>0</v>
      </c>
      <c r="AG502" s="199">
        <f t="shared" si="720"/>
        <v>0</v>
      </c>
      <c r="AH502" s="199">
        <f t="shared" si="641"/>
        <v>0</v>
      </c>
      <c r="AI502" s="200">
        <f t="shared" si="615"/>
        <v>0</v>
      </c>
      <c r="AJ502" s="200">
        <f t="shared" si="616"/>
        <v>0</v>
      </c>
      <c r="AK502" s="200">
        <f t="shared" si="617"/>
        <v>0</v>
      </c>
      <c r="AL502" s="4"/>
      <c r="AM502" s="4"/>
      <c r="AN502" s="4"/>
      <c r="AO502" s="4"/>
      <c r="AP502" s="63"/>
      <c r="AQ502" s="18"/>
      <c r="AR502" s="18"/>
      <c r="AS502" s="18"/>
      <c r="AT502" s="18">
        <v>0</v>
      </c>
      <c r="AU502" s="133">
        <f t="shared" ref="AU502" si="731">+AU490</f>
        <v>87.516000000000005</v>
      </c>
      <c r="AV502" s="133">
        <f t="shared" ref="AV502" si="732">+AV490</f>
        <v>3232.7139999999999</v>
      </c>
      <c r="AW502" s="194"/>
      <c r="AX502" s="194"/>
      <c r="AY502" s="194"/>
      <c r="AZ502" s="194"/>
      <c r="BA502" s="194"/>
      <c r="BB502" s="194"/>
      <c r="BC502" s="65">
        <v>0</v>
      </c>
      <c r="BD502" s="65">
        <v>0</v>
      </c>
      <c r="BE502" s="65">
        <v>0</v>
      </c>
      <c r="BF502" s="65">
        <v>0</v>
      </c>
      <c r="BG502" s="65">
        <v>0</v>
      </c>
      <c r="BH502" s="65">
        <v>0</v>
      </c>
      <c r="BI502" s="65">
        <v>143.95068037871471</v>
      </c>
      <c r="BJ502" s="65">
        <v>0</v>
      </c>
      <c r="BK502" s="65">
        <v>0</v>
      </c>
      <c r="BL502" s="65">
        <v>0</v>
      </c>
      <c r="BM502" s="65">
        <v>0</v>
      </c>
      <c r="BN502" s="65">
        <v>0</v>
      </c>
      <c r="BO502" s="65">
        <v>0</v>
      </c>
      <c r="BP502" s="5"/>
      <c r="BQ502" s="5"/>
      <c r="BR502" s="5"/>
      <c r="BS502" s="64"/>
      <c r="BT502" s="5"/>
      <c r="BU502" s="5"/>
      <c r="BV502" s="144">
        <f t="shared" si="608"/>
        <v>0</v>
      </c>
      <c r="BW502" s="144">
        <f t="shared" si="609"/>
        <v>0</v>
      </c>
      <c r="BX502" s="144">
        <f t="shared" si="610"/>
        <v>0</v>
      </c>
      <c r="BY502" s="5"/>
      <c r="BZ502" s="5"/>
      <c r="CA502" s="4"/>
      <c r="CB502" s="5"/>
      <c r="CC502" s="5"/>
      <c r="CD502" s="5"/>
      <c r="CE502" s="5"/>
      <c r="CF502" s="64"/>
      <c r="CG502" s="70"/>
      <c r="CH502" s="70"/>
      <c r="CI502" s="70"/>
      <c r="CJ502" s="63"/>
      <c r="CK502" s="8">
        <f t="shared" si="559"/>
        <v>3464.1806803787149</v>
      </c>
      <c r="CL502" s="202">
        <f t="shared" si="683"/>
        <v>-3464.1806803787149</v>
      </c>
      <c r="CM502" s="202">
        <f t="shared" si="684"/>
        <v>-3464.1806803787149</v>
      </c>
      <c r="CN502" s="202">
        <f t="shared" si="685"/>
        <v>-3464.1806803787149</v>
      </c>
      <c r="CO502" s="9">
        <f t="shared" si="686"/>
        <v>-3464.1806803787149</v>
      </c>
      <c r="CP502" s="9">
        <f t="shared" si="687"/>
        <v>-3464.1806803787149</v>
      </c>
      <c r="CQ502" s="9">
        <f t="shared" si="688"/>
        <v>-3464.1806803787149</v>
      </c>
      <c r="CR502" s="202">
        <f t="shared" si="689"/>
        <v>-3464.1806803787149</v>
      </c>
      <c r="CS502" s="202">
        <f t="shared" si="690"/>
        <v>-3464.1806803787149</v>
      </c>
      <c r="CT502" s="202">
        <f t="shared" si="691"/>
        <v>-3464.1806803787149</v>
      </c>
      <c r="CU502" s="203" t="e">
        <f t="shared" si="692"/>
        <v>#DIV/0!</v>
      </c>
      <c r="CV502" s="203" t="e">
        <f t="shared" si="693"/>
        <v>#DIV/0!</v>
      </c>
      <c r="CW502" s="203" t="e">
        <f t="shared" si="694"/>
        <v>#DIV/0!</v>
      </c>
      <c r="CX502" s="19" t="e">
        <f t="shared" si="695"/>
        <v>#DIV/0!</v>
      </c>
      <c r="CY502" s="19" t="e">
        <f t="shared" si="696"/>
        <v>#DIV/0!</v>
      </c>
      <c r="CZ502" s="19" t="e">
        <f t="shared" si="697"/>
        <v>#DIV/0!</v>
      </c>
      <c r="DA502" s="203" t="e">
        <f t="shared" si="698"/>
        <v>#DIV/0!</v>
      </c>
      <c r="DB502" s="203" t="e">
        <f t="shared" si="699"/>
        <v>#DIV/0!</v>
      </c>
      <c r="DC502" s="203" t="e">
        <f t="shared" si="700"/>
        <v>#DIV/0!</v>
      </c>
      <c r="DD502" s="65"/>
      <c r="DE502" s="66"/>
      <c r="DF502" s="66"/>
      <c r="DG502" s="66"/>
      <c r="DH502" s="66"/>
      <c r="DI502" s="66"/>
      <c r="DJ502" s="66"/>
      <c r="DK502" s="70"/>
      <c r="DL502" s="70"/>
      <c r="DM502" s="8">
        <f t="shared" si="560"/>
        <v>0</v>
      </c>
      <c r="DN502" s="8">
        <f t="shared" si="561"/>
        <v>3464.1806803787149</v>
      </c>
      <c r="DO502" s="202">
        <f t="shared" si="535"/>
        <v>-3464.1806803787149</v>
      </c>
      <c r="DP502" s="202">
        <f t="shared" si="536"/>
        <v>-3464.1806803787149</v>
      </c>
      <c r="DQ502" s="202">
        <f t="shared" si="537"/>
        <v>-3464.1806803787149</v>
      </c>
      <c r="DR502" s="9">
        <f t="shared" si="538"/>
        <v>-3464.1806803787149</v>
      </c>
      <c r="DS502" s="9">
        <f t="shared" si="703"/>
        <v>-3464.1806803787149</v>
      </c>
      <c r="DT502" s="9">
        <f t="shared" si="539"/>
        <v>-3464.1806803787149</v>
      </c>
      <c r="DU502" s="202">
        <f t="shared" si="540"/>
        <v>-3464.1806803787149</v>
      </c>
      <c r="DV502" s="202">
        <f t="shared" si="541"/>
        <v>-3464.1806803787149</v>
      </c>
      <c r="DW502" s="202">
        <f t="shared" si="542"/>
        <v>-3464.1806803787149</v>
      </c>
      <c r="DX502" s="203" t="e">
        <f t="shared" si="543"/>
        <v>#DIV/0!</v>
      </c>
      <c r="DY502" s="203" t="e">
        <f t="shared" si="544"/>
        <v>#DIV/0!</v>
      </c>
      <c r="DZ502" s="203" t="e">
        <f t="shared" si="545"/>
        <v>#DIV/0!</v>
      </c>
      <c r="EA502" s="19" t="e">
        <f t="shared" si="546"/>
        <v>#DIV/0!</v>
      </c>
      <c r="EB502" s="19" t="e">
        <f t="shared" si="704"/>
        <v>#DIV/0!</v>
      </c>
      <c r="EC502" s="19" t="e">
        <f t="shared" si="547"/>
        <v>#DIV/0!</v>
      </c>
      <c r="ED502" s="203" t="e">
        <f t="shared" si="548"/>
        <v>#DIV/0!</v>
      </c>
      <c r="EE502" s="203" t="e">
        <f t="shared" si="549"/>
        <v>#DIV/0!</v>
      </c>
      <c r="EF502" s="203" t="e">
        <f t="shared" si="550"/>
        <v>#DIV/0!</v>
      </c>
      <c r="EH502" s="58">
        <f t="shared" si="596"/>
        <v>3464.1806803787149</v>
      </c>
      <c r="EI502" s="68" t="e">
        <f t="shared" si="597"/>
        <v>#DIV/0!</v>
      </c>
      <c r="EJ502" s="58">
        <f t="shared" si="598"/>
        <v>3464.1806803787149</v>
      </c>
      <c r="EK502" s="68" t="e">
        <f t="shared" si="597"/>
        <v>#DIV/0!</v>
      </c>
      <c r="EL502" s="58">
        <f t="shared" si="599"/>
        <v>143.95068037871471</v>
      </c>
      <c r="EM502" s="58">
        <f t="shared" si="600"/>
        <v>143.95068037871471</v>
      </c>
      <c r="EN502" s="68" t="e">
        <f t="shared" si="601"/>
        <v>#DIV/0!</v>
      </c>
      <c r="EO502" s="139">
        <f t="shared" si="652"/>
        <v>0.32861286969700848</v>
      </c>
      <c r="EP502">
        <f>+(SUM(M502:O502)*EO502*(1-'[1]Tier 3 Data'!$A$2))</f>
        <v>0</v>
      </c>
    </row>
    <row r="503" spans="1:146" x14ac:dyDescent="0.2">
      <c r="A503" s="43">
        <v>0</v>
      </c>
      <c r="B503" s="43">
        <v>0</v>
      </c>
      <c r="C503" s="43">
        <v>0</v>
      </c>
      <c r="D503" s="70">
        <v>2049</v>
      </c>
      <c r="E503" s="70">
        <v>4</v>
      </c>
      <c r="F503" s="2">
        <v>720</v>
      </c>
      <c r="G503" s="133">
        <f t="shared" si="636"/>
        <v>0</v>
      </c>
      <c r="H503" s="64"/>
      <c r="I503" s="133">
        <f t="shared" si="637"/>
        <v>0</v>
      </c>
      <c r="J503" s="133">
        <f t="shared" si="576"/>
        <v>0</v>
      </c>
      <c r="K503" s="64"/>
      <c r="L503" s="133">
        <f t="shared" si="577"/>
        <v>0</v>
      </c>
      <c r="M503" s="5"/>
      <c r="N503" s="5"/>
      <c r="O503" s="5"/>
      <c r="P503" s="200">
        <f t="shared" si="568"/>
        <v>0</v>
      </c>
      <c r="Q503" s="200">
        <f t="shared" si="569"/>
        <v>0</v>
      </c>
      <c r="R503" s="200">
        <f t="shared" si="570"/>
        <v>0</v>
      </c>
      <c r="S503" s="133">
        <f t="shared" si="638"/>
        <v>0</v>
      </c>
      <c r="T503" s="133">
        <f t="shared" si="639"/>
        <v>0</v>
      </c>
      <c r="U503" s="133">
        <f t="shared" si="640"/>
        <v>0</v>
      </c>
      <c r="V503" s="200">
        <f t="shared" si="571"/>
        <v>0</v>
      </c>
      <c r="W503" s="200">
        <f t="shared" si="572"/>
        <v>0</v>
      </c>
      <c r="X503" s="200">
        <f t="shared" si="573"/>
        <v>0</v>
      </c>
      <c r="Y503" s="58">
        <f t="shared" si="624"/>
        <v>0</v>
      </c>
      <c r="AA503" s="58">
        <f t="shared" si="625"/>
        <v>0</v>
      </c>
      <c r="AB503" s="200">
        <f t="shared" si="611"/>
        <v>0</v>
      </c>
      <c r="AC503" s="200">
        <f t="shared" si="612"/>
        <v>0</v>
      </c>
      <c r="AD503" s="200">
        <f t="shared" si="613"/>
        <v>0</v>
      </c>
      <c r="AE503" s="199">
        <f t="shared" si="719"/>
        <v>0</v>
      </c>
      <c r="AF503" s="199">
        <f t="shared" si="614"/>
        <v>0</v>
      </c>
      <c r="AG503" s="199">
        <f t="shared" si="720"/>
        <v>0</v>
      </c>
      <c r="AH503" s="199">
        <f t="shared" si="641"/>
        <v>0</v>
      </c>
      <c r="AI503" s="200">
        <f t="shared" si="615"/>
        <v>0</v>
      </c>
      <c r="AJ503" s="200">
        <f t="shared" si="616"/>
        <v>0</v>
      </c>
      <c r="AK503" s="200">
        <f t="shared" si="617"/>
        <v>0</v>
      </c>
      <c r="AL503" s="4"/>
      <c r="AM503" s="4"/>
      <c r="AN503" s="4"/>
      <c r="AO503" s="4"/>
      <c r="AP503" s="63"/>
      <c r="AQ503" s="18"/>
      <c r="AR503" s="18"/>
      <c r="AS503" s="18"/>
      <c r="AT503" s="18">
        <v>0</v>
      </c>
      <c r="AU503" s="133">
        <f t="shared" ref="AU503" si="733">+AU491</f>
        <v>96.057000000000002</v>
      </c>
      <c r="AV503" s="133">
        <f t="shared" ref="AV503" si="734">+AV491</f>
        <v>3017.9659999999999</v>
      </c>
      <c r="AW503" s="194"/>
      <c r="AX503" s="194"/>
      <c r="AY503" s="194"/>
      <c r="AZ503" s="194"/>
      <c r="BA503" s="194"/>
      <c r="BB503" s="194"/>
      <c r="BC503" s="65">
        <v>0</v>
      </c>
      <c r="BD503" s="65">
        <v>0</v>
      </c>
      <c r="BE503" s="65">
        <v>0</v>
      </c>
      <c r="BF503" s="65">
        <v>0</v>
      </c>
      <c r="BG503" s="65">
        <v>0</v>
      </c>
      <c r="BH503" s="65">
        <v>0</v>
      </c>
      <c r="BI503" s="65">
        <v>181.77995265818123</v>
      </c>
      <c r="BJ503" s="65">
        <v>0</v>
      </c>
      <c r="BK503" s="65">
        <v>0</v>
      </c>
      <c r="BL503" s="65">
        <v>0</v>
      </c>
      <c r="BM503" s="65">
        <v>0</v>
      </c>
      <c r="BN503" s="65">
        <v>0</v>
      </c>
      <c r="BO503" s="65">
        <v>0</v>
      </c>
      <c r="BP503" s="5"/>
      <c r="BQ503" s="5"/>
      <c r="BR503" s="5"/>
      <c r="BS503" s="64"/>
      <c r="BT503" s="5"/>
      <c r="BU503" s="5"/>
      <c r="BV503" s="144">
        <f t="shared" si="608"/>
        <v>0</v>
      </c>
      <c r="BW503" s="144">
        <f t="shared" si="609"/>
        <v>0</v>
      </c>
      <c r="BX503" s="144">
        <f t="shared" si="610"/>
        <v>0</v>
      </c>
      <c r="BY503" s="5"/>
      <c r="BZ503" s="5"/>
      <c r="CA503" s="4"/>
      <c r="CB503" s="5"/>
      <c r="CC503" s="5"/>
      <c r="CD503" s="5"/>
      <c r="CE503" s="5"/>
      <c r="CF503" s="64"/>
      <c r="CG503" s="70"/>
      <c r="CH503" s="70"/>
      <c r="CI503" s="70"/>
      <c r="CJ503" s="63"/>
      <c r="CK503" s="8">
        <f t="shared" si="559"/>
        <v>3295.8029526581809</v>
      </c>
      <c r="CL503" s="202">
        <f t="shared" si="683"/>
        <v>-3295.8029526581809</v>
      </c>
      <c r="CM503" s="202">
        <f t="shared" si="684"/>
        <v>-3295.8029526581809</v>
      </c>
      <c r="CN503" s="202">
        <f t="shared" si="685"/>
        <v>-3295.8029526581809</v>
      </c>
      <c r="CO503" s="9">
        <f t="shared" si="686"/>
        <v>-3295.8029526581809</v>
      </c>
      <c r="CP503" s="9">
        <f t="shared" si="687"/>
        <v>-3295.8029526581809</v>
      </c>
      <c r="CQ503" s="9">
        <f t="shared" si="688"/>
        <v>-3295.8029526581809</v>
      </c>
      <c r="CR503" s="202">
        <f t="shared" si="689"/>
        <v>-3295.8029526581809</v>
      </c>
      <c r="CS503" s="202">
        <f t="shared" si="690"/>
        <v>-3295.8029526581809</v>
      </c>
      <c r="CT503" s="202">
        <f t="shared" si="691"/>
        <v>-3295.8029526581809</v>
      </c>
      <c r="CU503" s="203" t="e">
        <f t="shared" si="692"/>
        <v>#DIV/0!</v>
      </c>
      <c r="CV503" s="203" t="e">
        <f t="shared" si="693"/>
        <v>#DIV/0!</v>
      </c>
      <c r="CW503" s="203" t="e">
        <f t="shared" si="694"/>
        <v>#DIV/0!</v>
      </c>
      <c r="CX503" s="19" t="e">
        <f t="shared" si="695"/>
        <v>#DIV/0!</v>
      </c>
      <c r="CY503" s="19" t="e">
        <f t="shared" si="696"/>
        <v>#DIV/0!</v>
      </c>
      <c r="CZ503" s="19" t="e">
        <f t="shared" si="697"/>
        <v>#DIV/0!</v>
      </c>
      <c r="DA503" s="203" t="e">
        <f t="shared" si="698"/>
        <v>#DIV/0!</v>
      </c>
      <c r="DB503" s="203" t="e">
        <f t="shared" si="699"/>
        <v>#DIV/0!</v>
      </c>
      <c r="DC503" s="203" t="e">
        <f t="shared" si="700"/>
        <v>#DIV/0!</v>
      </c>
      <c r="DD503" s="65"/>
      <c r="DE503" s="66"/>
      <c r="DF503" s="66"/>
      <c r="DG503" s="66"/>
      <c r="DH503" s="66"/>
      <c r="DI503" s="66"/>
      <c r="DJ503" s="66"/>
      <c r="DK503" s="70"/>
      <c r="DL503" s="70"/>
      <c r="DM503" s="8">
        <f t="shared" si="560"/>
        <v>0</v>
      </c>
      <c r="DN503" s="8">
        <f t="shared" si="561"/>
        <v>3295.8029526581809</v>
      </c>
      <c r="DO503" s="202">
        <f t="shared" si="535"/>
        <v>-3295.8029526581809</v>
      </c>
      <c r="DP503" s="202">
        <f t="shared" si="536"/>
        <v>-3295.8029526581809</v>
      </c>
      <c r="DQ503" s="202">
        <f t="shared" si="537"/>
        <v>-3295.8029526581809</v>
      </c>
      <c r="DR503" s="9">
        <f t="shared" si="538"/>
        <v>-3295.8029526581809</v>
      </c>
      <c r="DS503" s="9">
        <f t="shared" si="703"/>
        <v>-3295.8029526581809</v>
      </c>
      <c r="DT503" s="9">
        <f t="shared" si="539"/>
        <v>-3295.8029526581809</v>
      </c>
      <c r="DU503" s="202">
        <f t="shared" si="540"/>
        <v>-3295.8029526581809</v>
      </c>
      <c r="DV503" s="202">
        <f t="shared" si="541"/>
        <v>-3295.8029526581809</v>
      </c>
      <c r="DW503" s="202">
        <f t="shared" si="542"/>
        <v>-3295.8029526581809</v>
      </c>
      <c r="DX503" s="203" t="e">
        <f t="shared" si="543"/>
        <v>#DIV/0!</v>
      </c>
      <c r="DY503" s="203" t="e">
        <f t="shared" si="544"/>
        <v>#DIV/0!</v>
      </c>
      <c r="DZ503" s="203" t="e">
        <f t="shared" si="545"/>
        <v>#DIV/0!</v>
      </c>
      <c r="EA503" s="19" t="e">
        <f t="shared" si="546"/>
        <v>#DIV/0!</v>
      </c>
      <c r="EB503" s="19" t="e">
        <f t="shared" si="704"/>
        <v>#DIV/0!</v>
      </c>
      <c r="EC503" s="19" t="e">
        <f t="shared" si="547"/>
        <v>#DIV/0!</v>
      </c>
      <c r="ED503" s="203" t="e">
        <f t="shared" si="548"/>
        <v>#DIV/0!</v>
      </c>
      <c r="EE503" s="203" t="e">
        <f t="shared" si="549"/>
        <v>#DIV/0!</v>
      </c>
      <c r="EF503" s="203" t="e">
        <f t="shared" si="550"/>
        <v>#DIV/0!</v>
      </c>
      <c r="EH503" s="58">
        <f t="shared" si="596"/>
        <v>3295.8029526581809</v>
      </c>
      <c r="EI503" s="68" t="e">
        <f t="shared" si="597"/>
        <v>#DIV/0!</v>
      </c>
      <c r="EJ503" s="58">
        <f t="shared" si="598"/>
        <v>3295.8029526581809</v>
      </c>
      <c r="EK503" s="68" t="e">
        <f t="shared" si="597"/>
        <v>#DIV/0!</v>
      </c>
      <c r="EL503" s="58">
        <f t="shared" si="599"/>
        <v>181.77995265818123</v>
      </c>
      <c r="EM503" s="58">
        <f t="shared" si="600"/>
        <v>181.77995265818123</v>
      </c>
      <c r="EN503" s="68" t="e">
        <f t="shared" si="601"/>
        <v>#DIV/0!</v>
      </c>
      <c r="EO503" s="139">
        <f t="shared" si="652"/>
        <v>0.35351678044029999</v>
      </c>
      <c r="EP503">
        <f>+(SUM(M503:O503)*EO503*(1-'[1]Tier 3 Data'!$A$2))</f>
        <v>0</v>
      </c>
    </row>
    <row r="504" spans="1:146" x14ac:dyDescent="0.2">
      <c r="A504" s="43">
        <v>0</v>
      </c>
      <c r="B504" s="43">
        <v>0</v>
      </c>
      <c r="C504" s="43">
        <v>0</v>
      </c>
      <c r="D504" s="70">
        <v>2049</v>
      </c>
      <c r="E504" s="70">
        <v>5</v>
      </c>
      <c r="F504" s="2">
        <v>744</v>
      </c>
      <c r="G504" s="133">
        <f t="shared" si="636"/>
        <v>0</v>
      </c>
      <c r="H504" s="64"/>
      <c r="I504" s="133">
        <f t="shared" si="637"/>
        <v>0</v>
      </c>
      <c r="J504" s="133">
        <f t="shared" si="576"/>
        <v>0</v>
      </c>
      <c r="K504" s="64"/>
      <c r="L504" s="133">
        <f t="shared" si="577"/>
        <v>0</v>
      </c>
      <c r="M504" s="5"/>
      <c r="N504" s="5"/>
      <c r="O504" s="5"/>
      <c r="P504" s="200">
        <f t="shared" si="568"/>
        <v>0</v>
      </c>
      <c r="Q504" s="200">
        <f t="shared" si="569"/>
        <v>0</v>
      </c>
      <c r="R504" s="200">
        <f t="shared" si="570"/>
        <v>0</v>
      </c>
      <c r="S504" s="133">
        <f t="shared" si="638"/>
        <v>0</v>
      </c>
      <c r="T504" s="133">
        <f t="shared" si="639"/>
        <v>0</v>
      </c>
      <c r="U504" s="133">
        <f t="shared" si="640"/>
        <v>0</v>
      </c>
      <c r="V504" s="200">
        <f t="shared" si="571"/>
        <v>0</v>
      </c>
      <c r="W504" s="200">
        <f t="shared" si="572"/>
        <v>0</v>
      </c>
      <c r="X504" s="200">
        <f t="shared" si="573"/>
        <v>0</v>
      </c>
      <c r="Y504" s="58">
        <f t="shared" si="624"/>
        <v>0</v>
      </c>
      <c r="AA504" s="58">
        <f t="shared" si="625"/>
        <v>0</v>
      </c>
      <c r="AB504" s="200">
        <f t="shared" si="611"/>
        <v>0</v>
      </c>
      <c r="AC504" s="200">
        <f t="shared" si="612"/>
        <v>0</v>
      </c>
      <c r="AD504" s="200">
        <f t="shared" si="613"/>
        <v>0</v>
      </c>
      <c r="AE504" s="199">
        <f t="shared" si="719"/>
        <v>0</v>
      </c>
      <c r="AF504" s="199">
        <f t="shared" si="614"/>
        <v>0</v>
      </c>
      <c r="AG504" s="199">
        <f t="shared" si="720"/>
        <v>0</v>
      </c>
      <c r="AH504" s="199">
        <f t="shared" si="641"/>
        <v>0</v>
      </c>
      <c r="AI504" s="200">
        <f t="shared" si="615"/>
        <v>0</v>
      </c>
      <c r="AJ504" s="200">
        <f t="shared" si="616"/>
        <v>0</v>
      </c>
      <c r="AK504" s="200">
        <f t="shared" si="617"/>
        <v>0</v>
      </c>
      <c r="AL504" s="4"/>
      <c r="AM504" s="4"/>
      <c r="AN504" s="4"/>
      <c r="AO504" s="4"/>
      <c r="AP504" s="63"/>
      <c r="AQ504" s="18"/>
      <c r="AR504" s="18"/>
      <c r="AS504" s="18"/>
      <c r="AT504" s="18">
        <v>0</v>
      </c>
      <c r="AU504" s="133">
        <f t="shared" ref="AU504" si="735">+AU492</f>
        <v>109.161</v>
      </c>
      <c r="AV504" s="133">
        <f t="shared" ref="AV504" si="736">+AV492</f>
        <v>3327.41</v>
      </c>
      <c r="AW504" s="194"/>
      <c r="AX504" s="194"/>
      <c r="AY504" s="194"/>
      <c r="AZ504" s="194"/>
      <c r="BA504" s="194"/>
      <c r="BB504" s="194"/>
      <c r="BC504" s="65">
        <v>0</v>
      </c>
      <c r="BD504" s="65">
        <v>0</v>
      </c>
      <c r="BE504" s="65">
        <v>0</v>
      </c>
      <c r="BF504" s="65">
        <v>0</v>
      </c>
      <c r="BG504" s="65">
        <v>0</v>
      </c>
      <c r="BH504" s="65">
        <v>0</v>
      </c>
      <c r="BI504" s="65">
        <v>182.56208474153033</v>
      </c>
      <c r="BJ504" s="65">
        <v>0</v>
      </c>
      <c r="BK504" s="65">
        <v>0</v>
      </c>
      <c r="BL504" s="65">
        <v>0</v>
      </c>
      <c r="BM504" s="65">
        <v>0</v>
      </c>
      <c r="BN504" s="65">
        <v>0</v>
      </c>
      <c r="BO504" s="65">
        <v>0</v>
      </c>
      <c r="BP504" s="5"/>
      <c r="BQ504" s="5"/>
      <c r="BR504" s="5"/>
      <c r="BS504" s="64"/>
      <c r="BT504" s="5"/>
      <c r="BU504" s="5"/>
      <c r="BV504" s="144">
        <f t="shared" si="608"/>
        <v>0</v>
      </c>
      <c r="BW504" s="144">
        <f t="shared" si="609"/>
        <v>0</v>
      </c>
      <c r="BX504" s="144">
        <f t="shared" si="610"/>
        <v>0</v>
      </c>
      <c r="BY504" s="5"/>
      <c r="BZ504" s="5"/>
      <c r="CA504" s="4"/>
      <c r="CB504" s="5"/>
      <c r="CC504" s="5"/>
      <c r="CD504" s="5"/>
      <c r="CE504" s="5"/>
      <c r="CF504" s="64"/>
      <c r="CG504" s="70"/>
      <c r="CH504" s="70"/>
      <c r="CI504" s="70"/>
      <c r="CJ504" s="63"/>
      <c r="CK504" s="8">
        <f t="shared" si="559"/>
        <v>3619.1330847415302</v>
      </c>
      <c r="CL504" s="202">
        <f t="shared" si="683"/>
        <v>-3619.1330847415302</v>
      </c>
      <c r="CM504" s="202">
        <f t="shared" si="684"/>
        <v>-3619.1330847415302</v>
      </c>
      <c r="CN504" s="202">
        <f t="shared" si="685"/>
        <v>-3619.1330847415302</v>
      </c>
      <c r="CO504" s="9">
        <f t="shared" si="686"/>
        <v>-3619.1330847415302</v>
      </c>
      <c r="CP504" s="9">
        <f t="shared" si="687"/>
        <v>-3619.1330847415302</v>
      </c>
      <c r="CQ504" s="9">
        <f t="shared" si="688"/>
        <v>-3619.1330847415302</v>
      </c>
      <c r="CR504" s="202">
        <f t="shared" si="689"/>
        <v>-3619.1330847415302</v>
      </c>
      <c r="CS504" s="202">
        <f t="shared" si="690"/>
        <v>-3619.1330847415302</v>
      </c>
      <c r="CT504" s="202">
        <f t="shared" si="691"/>
        <v>-3619.1330847415302</v>
      </c>
      <c r="CU504" s="203" t="e">
        <f t="shared" si="692"/>
        <v>#DIV/0!</v>
      </c>
      <c r="CV504" s="203" t="e">
        <f t="shared" si="693"/>
        <v>#DIV/0!</v>
      </c>
      <c r="CW504" s="203" t="e">
        <f t="shared" si="694"/>
        <v>#DIV/0!</v>
      </c>
      <c r="CX504" s="19" t="e">
        <f t="shared" si="695"/>
        <v>#DIV/0!</v>
      </c>
      <c r="CY504" s="19" t="e">
        <f t="shared" si="696"/>
        <v>#DIV/0!</v>
      </c>
      <c r="CZ504" s="19" t="e">
        <f t="shared" si="697"/>
        <v>#DIV/0!</v>
      </c>
      <c r="DA504" s="203" t="e">
        <f t="shared" si="698"/>
        <v>#DIV/0!</v>
      </c>
      <c r="DB504" s="203" t="e">
        <f t="shared" si="699"/>
        <v>#DIV/0!</v>
      </c>
      <c r="DC504" s="203" t="e">
        <f t="shared" si="700"/>
        <v>#DIV/0!</v>
      </c>
      <c r="DD504" s="65"/>
      <c r="DE504" s="66"/>
      <c r="DF504" s="66"/>
      <c r="DG504" s="66"/>
      <c r="DH504" s="66"/>
      <c r="DI504" s="66"/>
      <c r="DJ504" s="66"/>
      <c r="DK504" s="70"/>
      <c r="DL504" s="70"/>
      <c r="DM504" s="8">
        <f t="shared" si="560"/>
        <v>0</v>
      </c>
      <c r="DN504" s="8">
        <f t="shared" si="561"/>
        <v>3619.1330847415302</v>
      </c>
      <c r="DO504" s="202">
        <f t="shared" ref="DO504:DO567" si="737">+AB504-$DN504</f>
        <v>-3619.1330847415302</v>
      </c>
      <c r="DP504" s="202">
        <f t="shared" ref="DP504:DP567" si="738">+AC504-$DN504</f>
        <v>-3619.1330847415302</v>
      </c>
      <c r="DQ504" s="202">
        <f t="shared" ref="DQ504:DQ567" si="739">+AD504-$DN504</f>
        <v>-3619.1330847415302</v>
      </c>
      <c r="DR504" s="9">
        <f t="shared" ref="DR504:DR567" si="740">+AE504-$DN504</f>
        <v>-3619.1330847415302</v>
      </c>
      <c r="DS504" s="9">
        <f t="shared" si="703"/>
        <v>-3619.1330847415302</v>
      </c>
      <c r="DT504" s="9">
        <f t="shared" ref="DT504:DT567" si="741">+AG504-$DN504</f>
        <v>-3619.1330847415302</v>
      </c>
      <c r="DU504" s="202">
        <f t="shared" ref="DU504:DU567" si="742">+AI504-$DN504</f>
        <v>-3619.1330847415302</v>
      </c>
      <c r="DV504" s="202">
        <f t="shared" ref="DV504:DV567" si="743">+AJ504-$DN504</f>
        <v>-3619.1330847415302</v>
      </c>
      <c r="DW504" s="202">
        <f t="shared" ref="DW504:DW567" si="744">+AK504-$DN504</f>
        <v>-3619.1330847415302</v>
      </c>
      <c r="DX504" s="203" t="e">
        <f t="shared" ref="DX504:DX567" si="745">+DO504/AB504</f>
        <v>#DIV/0!</v>
      </c>
      <c r="DY504" s="203" t="e">
        <f t="shared" ref="DY504:DY567" si="746">+DP504/AC504</f>
        <v>#DIV/0!</v>
      </c>
      <c r="DZ504" s="203" t="e">
        <f t="shared" ref="DZ504:DZ567" si="747">+DQ504/AD504</f>
        <v>#DIV/0!</v>
      </c>
      <c r="EA504" s="19" t="e">
        <f t="shared" ref="EA504:EA567" si="748">+DR504/AE504</f>
        <v>#DIV/0!</v>
      </c>
      <c r="EB504" s="19" t="e">
        <f t="shared" si="704"/>
        <v>#DIV/0!</v>
      </c>
      <c r="EC504" s="19" t="e">
        <f t="shared" ref="EC504:EC567" si="749">+DT504/AG504</f>
        <v>#DIV/0!</v>
      </c>
      <c r="ED504" s="203" t="e">
        <f t="shared" ref="ED504:ED567" si="750">+DU504/AI504</f>
        <v>#DIV/0!</v>
      </c>
      <c r="EE504" s="203" t="e">
        <f t="shared" ref="EE504:EE567" si="751">+DV504/AJ504</f>
        <v>#DIV/0!</v>
      </c>
      <c r="EF504" s="203" t="e">
        <f t="shared" ref="EF504:EF567" si="752">+DW504/AK504</f>
        <v>#DIV/0!</v>
      </c>
      <c r="EH504" s="58">
        <f t="shared" si="596"/>
        <v>3619.1330847415302</v>
      </c>
      <c r="EI504" s="68" t="e">
        <f t="shared" si="597"/>
        <v>#DIV/0!</v>
      </c>
      <c r="EJ504" s="58">
        <f t="shared" si="598"/>
        <v>3619.1330847415302</v>
      </c>
      <c r="EK504" s="68" t="e">
        <f t="shared" si="597"/>
        <v>#DIV/0!</v>
      </c>
      <c r="EL504" s="58">
        <f t="shared" si="599"/>
        <v>182.56208474153033</v>
      </c>
      <c r="EM504" s="58">
        <f t="shared" si="600"/>
        <v>182.56208474153033</v>
      </c>
      <c r="EN504" s="68" t="e">
        <f t="shared" si="601"/>
        <v>#DIV/0!</v>
      </c>
      <c r="EO504" s="139">
        <f t="shared" si="652"/>
        <v>0.28868615856523006</v>
      </c>
      <c r="EP504">
        <f>+(SUM(M504:O504)*EO504*(1-'[1]Tier 3 Data'!$A$2))</f>
        <v>0</v>
      </c>
    </row>
    <row r="505" spans="1:146" x14ac:dyDescent="0.2">
      <c r="A505" s="43">
        <v>0</v>
      </c>
      <c r="B505" s="43">
        <v>0</v>
      </c>
      <c r="C505" s="43">
        <v>0</v>
      </c>
      <c r="D505" s="70">
        <v>2049</v>
      </c>
      <c r="E505" s="70">
        <v>6</v>
      </c>
      <c r="F505" s="2">
        <v>720</v>
      </c>
      <c r="G505" s="133">
        <f t="shared" si="636"/>
        <v>0</v>
      </c>
      <c r="H505" s="64"/>
      <c r="I505" s="133">
        <f t="shared" si="637"/>
        <v>0</v>
      </c>
      <c r="J505" s="133">
        <f t="shared" si="576"/>
        <v>0</v>
      </c>
      <c r="K505" s="64"/>
      <c r="L505" s="133">
        <f t="shared" si="577"/>
        <v>0</v>
      </c>
      <c r="M505" s="5"/>
      <c r="N505" s="5"/>
      <c r="O505" s="5"/>
      <c r="P505" s="200">
        <f t="shared" si="568"/>
        <v>0</v>
      </c>
      <c r="Q505" s="200">
        <f t="shared" si="569"/>
        <v>0</v>
      </c>
      <c r="R505" s="200">
        <f t="shared" si="570"/>
        <v>0</v>
      </c>
      <c r="S505" s="133">
        <f t="shared" si="638"/>
        <v>0</v>
      </c>
      <c r="T505" s="133">
        <f t="shared" si="639"/>
        <v>0</v>
      </c>
      <c r="U505" s="133">
        <f t="shared" si="640"/>
        <v>0</v>
      </c>
      <c r="V505" s="200">
        <f t="shared" si="571"/>
        <v>0</v>
      </c>
      <c r="W505" s="200">
        <f t="shared" si="572"/>
        <v>0</v>
      </c>
      <c r="X505" s="200">
        <f t="shared" si="573"/>
        <v>0</v>
      </c>
      <c r="Y505" s="58">
        <f t="shared" si="624"/>
        <v>0</v>
      </c>
      <c r="AA505" s="58">
        <f t="shared" si="625"/>
        <v>0</v>
      </c>
      <c r="AB505" s="200">
        <f t="shared" si="611"/>
        <v>0</v>
      </c>
      <c r="AC505" s="200">
        <f t="shared" si="612"/>
        <v>0</v>
      </c>
      <c r="AD505" s="200">
        <f t="shared" si="613"/>
        <v>0</v>
      </c>
      <c r="AE505" s="199">
        <f t="shared" si="719"/>
        <v>0</v>
      </c>
      <c r="AF505" s="199">
        <f t="shared" si="614"/>
        <v>0</v>
      </c>
      <c r="AG505" s="199">
        <f t="shared" si="720"/>
        <v>0</v>
      </c>
      <c r="AH505" s="199">
        <f t="shared" si="641"/>
        <v>0</v>
      </c>
      <c r="AI505" s="200">
        <f t="shared" si="615"/>
        <v>0</v>
      </c>
      <c r="AJ505" s="200">
        <f t="shared" si="616"/>
        <v>0</v>
      </c>
      <c r="AK505" s="200">
        <f t="shared" si="617"/>
        <v>0</v>
      </c>
      <c r="AL505" s="4"/>
      <c r="AM505" s="4"/>
      <c r="AN505" s="4"/>
      <c r="AO505" s="4"/>
      <c r="AP505" s="63"/>
      <c r="AQ505" s="18"/>
      <c r="AR505" s="18"/>
      <c r="AS505" s="18"/>
      <c r="AT505" s="18">
        <v>0</v>
      </c>
      <c r="AU505" s="133">
        <f t="shared" ref="AU505" si="753">+AU493</f>
        <v>128.934</v>
      </c>
      <c r="AV505" s="133">
        <f t="shared" ref="AV505" si="754">+AV493</f>
        <v>3110.2840000000001</v>
      </c>
      <c r="AW505" s="194"/>
      <c r="AX505" s="194"/>
      <c r="AY505" s="194"/>
      <c r="AZ505" s="194"/>
      <c r="BA505" s="194"/>
      <c r="BB505" s="194"/>
      <c r="BC505" s="65">
        <v>0</v>
      </c>
      <c r="BD505" s="65">
        <v>0</v>
      </c>
      <c r="BE505" s="65">
        <v>0</v>
      </c>
      <c r="BF505" s="65">
        <v>0</v>
      </c>
      <c r="BG505" s="65">
        <v>0</v>
      </c>
      <c r="BH505" s="65">
        <v>0</v>
      </c>
      <c r="BI505" s="65">
        <v>194.02868347490917</v>
      </c>
      <c r="BJ505" s="65">
        <v>0</v>
      </c>
      <c r="BK505" s="65">
        <v>0</v>
      </c>
      <c r="BL505" s="65">
        <v>0</v>
      </c>
      <c r="BM505" s="65">
        <v>0</v>
      </c>
      <c r="BN505" s="65">
        <v>0</v>
      </c>
      <c r="BO505" s="65">
        <v>0</v>
      </c>
      <c r="BP505" s="5"/>
      <c r="BQ505" s="5"/>
      <c r="BR505" s="5"/>
      <c r="BS505" s="64"/>
      <c r="BT505" s="5"/>
      <c r="BU505" s="5"/>
      <c r="BV505" s="144">
        <f t="shared" si="608"/>
        <v>0</v>
      </c>
      <c r="BW505" s="144">
        <f t="shared" si="609"/>
        <v>0</v>
      </c>
      <c r="BX505" s="144">
        <f t="shared" si="610"/>
        <v>0</v>
      </c>
      <c r="BY505" s="5"/>
      <c r="BZ505" s="5"/>
      <c r="CA505" s="4"/>
      <c r="CB505" s="5"/>
      <c r="CC505" s="5"/>
      <c r="CD505" s="5"/>
      <c r="CE505" s="5"/>
      <c r="CF505" s="64"/>
      <c r="CG505" s="70"/>
      <c r="CH505" s="70"/>
      <c r="CI505" s="70"/>
      <c r="CJ505" s="63"/>
      <c r="CK505" s="8">
        <f t="shared" si="559"/>
        <v>3433.2466834749093</v>
      </c>
      <c r="CL505" s="202">
        <f t="shared" si="683"/>
        <v>-3433.2466834749093</v>
      </c>
      <c r="CM505" s="202">
        <f t="shared" si="684"/>
        <v>-3433.2466834749093</v>
      </c>
      <c r="CN505" s="202">
        <f t="shared" si="685"/>
        <v>-3433.2466834749093</v>
      </c>
      <c r="CO505" s="9">
        <f t="shared" si="686"/>
        <v>-3433.2466834749093</v>
      </c>
      <c r="CP505" s="9">
        <f t="shared" si="687"/>
        <v>-3433.2466834749093</v>
      </c>
      <c r="CQ505" s="9">
        <f t="shared" si="688"/>
        <v>-3433.2466834749093</v>
      </c>
      <c r="CR505" s="202">
        <f t="shared" si="689"/>
        <v>-3433.2466834749093</v>
      </c>
      <c r="CS505" s="202">
        <f t="shared" si="690"/>
        <v>-3433.2466834749093</v>
      </c>
      <c r="CT505" s="202">
        <f t="shared" si="691"/>
        <v>-3433.2466834749093</v>
      </c>
      <c r="CU505" s="203" t="e">
        <f t="shared" si="692"/>
        <v>#DIV/0!</v>
      </c>
      <c r="CV505" s="203" t="e">
        <f t="shared" si="693"/>
        <v>#DIV/0!</v>
      </c>
      <c r="CW505" s="203" t="e">
        <f t="shared" si="694"/>
        <v>#DIV/0!</v>
      </c>
      <c r="CX505" s="19" t="e">
        <f t="shared" si="695"/>
        <v>#DIV/0!</v>
      </c>
      <c r="CY505" s="19" t="e">
        <f t="shared" si="696"/>
        <v>#DIV/0!</v>
      </c>
      <c r="CZ505" s="19" t="e">
        <f t="shared" si="697"/>
        <v>#DIV/0!</v>
      </c>
      <c r="DA505" s="203" t="e">
        <f t="shared" si="698"/>
        <v>#DIV/0!</v>
      </c>
      <c r="DB505" s="203" t="e">
        <f t="shared" si="699"/>
        <v>#DIV/0!</v>
      </c>
      <c r="DC505" s="203" t="e">
        <f t="shared" si="700"/>
        <v>#DIV/0!</v>
      </c>
      <c r="DD505" s="65"/>
      <c r="DE505" s="66"/>
      <c r="DF505" s="66"/>
      <c r="DG505" s="66"/>
      <c r="DH505" s="66"/>
      <c r="DI505" s="66"/>
      <c r="DJ505" s="66"/>
      <c r="DK505" s="70"/>
      <c r="DL505" s="70"/>
      <c r="DM505" s="8">
        <f t="shared" si="560"/>
        <v>0</v>
      </c>
      <c r="DN505" s="8">
        <f t="shared" si="561"/>
        <v>3433.2466834749093</v>
      </c>
      <c r="DO505" s="202">
        <f t="shared" si="737"/>
        <v>-3433.2466834749093</v>
      </c>
      <c r="DP505" s="202">
        <f t="shared" si="738"/>
        <v>-3433.2466834749093</v>
      </c>
      <c r="DQ505" s="202">
        <f t="shared" si="739"/>
        <v>-3433.2466834749093</v>
      </c>
      <c r="DR505" s="9">
        <f t="shared" si="740"/>
        <v>-3433.2466834749093</v>
      </c>
      <c r="DS505" s="9">
        <f t="shared" si="703"/>
        <v>-3433.2466834749093</v>
      </c>
      <c r="DT505" s="9">
        <f t="shared" si="741"/>
        <v>-3433.2466834749093</v>
      </c>
      <c r="DU505" s="202">
        <f t="shared" si="742"/>
        <v>-3433.2466834749093</v>
      </c>
      <c r="DV505" s="202">
        <f t="shared" si="743"/>
        <v>-3433.2466834749093</v>
      </c>
      <c r="DW505" s="202">
        <f t="shared" si="744"/>
        <v>-3433.2466834749093</v>
      </c>
      <c r="DX505" s="203" t="e">
        <f t="shared" si="745"/>
        <v>#DIV/0!</v>
      </c>
      <c r="DY505" s="203" t="e">
        <f t="shared" si="746"/>
        <v>#DIV/0!</v>
      </c>
      <c r="DZ505" s="203" t="e">
        <f t="shared" si="747"/>
        <v>#DIV/0!</v>
      </c>
      <c r="EA505" s="19" t="e">
        <f t="shared" si="748"/>
        <v>#DIV/0!</v>
      </c>
      <c r="EB505" s="19" t="e">
        <f t="shared" si="704"/>
        <v>#DIV/0!</v>
      </c>
      <c r="EC505" s="19" t="e">
        <f t="shared" si="749"/>
        <v>#DIV/0!</v>
      </c>
      <c r="ED505" s="203" t="e">
        <f t="shared" si="750"/>
        <v>#DIV/0!</v>
      </c>
      <c r="EE505" s="203" t="e">
        <f t="shared" si="751"/>
        <v>#DIV/0!</v>
      </c>
      <c r="EF505" s="203" t="e">
        <f t="shared" si="752"/>
        <v>#DIV/0!</v>
      </c>
      <c r="EH505" s="58">
        <f t="shared" si="596"/>
        <v>3433.2466834749093</v>
      </c>
      <c r="EI505" s="68" t="e">
        <f t="shared" si="597"/>
        <v>#DIV/0!</v>
      </c>
      <c r="EJ505" s="58">
        <f t="shared" si="598"/>
        <v>3433.2466834749093</v>
      </c>
      <c r="EK505" s="68" t="e">
        <f t="shared" si="597"/>
        <v>#DIV/0!</v>
      </c>
      <c r="EL505" s="58">
        <f t="shared" si="599"/>
        <v>194.02868347490917</v>
      </c>
      <c r="EM505" s="58">
        <f t="shared" si="600"/>
        <v>194.02868347490917</v>
      </c>
      <c r="EN505" s="68" t="e">
        <f t="shared" si="601"/>
        <v>#DIV/0!</v>
      </c>
      <c r="EO505" s="139">
        <f t="shared" si="652"/>
        <v>0.24029016665052916</v>
      </c>
      <c r="EP505">
        <f>+(SUM(M505:O505)*EO505*(1-'[1]Tier 3 Data'!$A$2))</f>
        <v>0</v>
      </c>
    </row>
    <row r="506" spans="1:146" x14ac:dyDescent="0.2">
      <c r="A506" s="43">
        <v>0</v>
      </c>
      <c r="B506" s="43">
        <v>0</v>
      </c>
      <c r="C506" s="43">
        <v>0</v>
      </c>
      <c r="D506" s="70">
        <v>2049</v>
      </c>
      <c r="E506" s="70">
        <v>7</v>
      </c>
      <c r="F506" s="2">
        <v>744</v>
      </c>
      <c r="G506" s="133">
        <f t="shared" si="636"/>
        <v>0</v>
      </c>
      <c r="H506" s="64"/>
      <c r="I506" s="133">
        <f t="shared" si="637"/>
        <v>0</v>
      </c>
      <c r="J506" s="133">
        <f t="shared" si="576"/>
        <v>0</v>
      </c>
      <c r="K506" s="64"/>
      <c r="L506" s="133">
        <f t="shared" si="577"/>
        <v>0</v>
      </c>
      <c r="M506" s="5"/>
      <c r="N506" s="5"/>
      <c r="O506" s="5"/>
      <c r="P506" s="200">
        <f t="shared" si="568"/>
        <v>0</v>
      </c>
      <c r="Q506" s="200">
        <f t="shared" si="569"/>
        <v>0</v>
      </c>
      <c r="R506" s="200">
        <f t="shared" si="570"/>
        <v>0</v>
      </c>
      <c r="S506" s="133">
        <f t="shared" si="638"/>
        <v>0</v>
      </c>
      <c r="T506" s="133">
        <f t="shared" si="639"/>
        <v>0</v>
      </c>
      <c r="U506" s="133">
        <f t="shared" si="640"/>
        <v>0</v>
      </c>
      <c r="V506" s="200">
        <f t="shared" si="571"/>
        <v>0</v>
      </c>
      <c r="W506" s="200">
        <f t="shared" si="572"/>
        <v>0</v>
      </c>
      <c r="X506" s="200">
        <f t="shared" si="573"/>
        <v>0</v>
      </c>
      <c r="Y506" s="58">
        <f t="shared" si="624"/>
        <v>0</v>
      </c>
      <c r="AA506" s="58">
        <f t="shared" si="625"/>
        <v>0</v>
      </c>
      <c r="AB506" s="200">
        <f t="shared" si="611"/>
        <v>0</v>
      </c>
      <c r="AC506" s="200">
        <f t="shared" si="612"/>
        <v>0</v>
      </c>
      <c r="AD506" s="200">
        <f t="shared" si="613"/>
        <v>0</v>
      </c>
      <c r="AE506" s="199">
        <f t="shared" si="719"/>
        <v>0</v>
      </c>
      <c r="AF506" s="199">
        <f t="shared" si="614"/>
        <v>0</v>
      </c>
      <c r="AG506" s="199">
        <f t="shared" si="720"/>
        <v>0</v>
      </c>
      <c r="AH506" s="199">
        <f t="shared" si="641"/>
        <v>0</v>
      </c>
      <c r="AI506" s="200">
        <f t="shared" si="615"/>
        <v>0</v>
      </c>
      <c r="AJ506" s="200">
        <f t="shared" si="616"/>
        <v>0</v>
      </c>
      <c r="AK506" s="200">
        <f t="shared" si="617"/>
        <v>0</v>
      </c>
      <c r="AL506" s="4"/>
      <c r="AM506" s="4"/>
      <c r="AN506" s="4"/>
      <c r="AO506" s="4"/>
      <c r="AP506" s="63"/>
      <c r="AQ506" s="18"/>
      <c r="AR506" s="18"/>
      <c r="AS506" s="18"/>
      <c r="AT506" s="18">
        <v>0</v>
      </c>
      <c r="AU506" s="133">
        <f t="shared" ref="AU506" si="755">+AU494</f>
        <v>118.521</v>
      </c>
      <c r="AV506" s="133">
        <f t="shared" ref="AV506" si="756">+AV494</f>
        <v>3084.53</v>
      </c>
      <c r="AW506" s="194"/>
      <c r="AX506" s="194"/>
      <c r="AY506" s="194"/>
      <c r="AZ506" s="194"/>
      <c r="BA506" s="194"/>
      <c r="BB506" s="194"/>
      <c r="BC506" s="65">
        <v>0</v>
      </c>
      <c r="BD506" s="65">
        <v>0</v>
      </c>
      <c r="BE506" s="65">
        <v>0</v>
      </c>
      <c r="BF506" s="65">
        <v>0</v>
      </c>
      <c r="BG506" s="65">
        <v>0</v>
      </c>
      <c r="BH506" s="65">
        <v>0</v>
      </c>
      <c r="BI506" s="65">
        <v>0</v>
      </c>
      <c r="BJ506" s="65">
        <v>0</v>
      </c>
      <c r="BK506" s="65">
        <v>0</v>
      </c>
      <c r="BL506" s="65">
        <v>0</v>
      </c>
      <c r="BM506" s="65">
        <v>0</v>
      </c>
      <c r="BN506" s="65">
        <v>0</v>
      </c>
      <c r="BO506" s="65">
        <v>0</v>
      </c>
      <c r="BP506" s="5"/>
      <c r="BQ506" s="5"/>
      <c r="BR506" s="5"/>
      <c r="BS506" s="64"/>
      <c r="BT506" s="5"/>
      <c r="BU506" s="5"/>
      <c r="BV506" s="144">
        <f t="shared" si="608"/>
        <v>0</v>
      </c>
      <c r="BW506" s="144">
        <f t="shared" si="609"/>
        <v>0</v>
      </c>
      <c r="BX506" s="144">
        <f t="shared" si="610"/>
        <v>0</v>
      </c>
      <c r="BY506" s="5"/>
      <c r="BZ506" s="5"/>
      <c r="CA506" s="4"/>
      <c r="CB506" s="5"/>
      <c r="CC506" s="5"/>
      <c r="CD506" s="5"/>
      <c r="CE506" s="5"/>
      <c r="CF506" s="64"/>
      <c r="CG506" s="70"/>
      <c r="CH506" s="70"/>
      <c r="CI506" s="70"/>
      <c r="CJ506" s="63"/>
      <c r="CK506" s="8">
        <f t="shared" si="559"/>
        <v>3203.0510000000004</v>
      </c>
      <c r="CL506" s="202">
        <f t="shared" si="683"/>
        <v>-3203.0510000000004</v>
      </c>
      <c r="CM506" s="202">
        <f t="shared" si="684"/>
        <v>-3203.0510000000004</v>
      </c>
      <c r="CN506" s="202">
        <f t="shared" si="685"/>
        <v>-3203.0510000000004</v>
      </c>
      <c r="CO506" s="9">
        <f t="shared" si="686"/>
        <v>-3203.0510000000004</v>
      </c>
      <c r="CP506" s="9">
        <f t="shared" si="687"/>
        <v>-3203.0510000000004</v>
      </c>
      <c r="CQ506" s="9">
        <f t="shared" si="688"/>
        <v>-3203.0510000000004</v>
      </c>
      <c r="CR506" s="202">
        <f t="shared" si="689"/>
        <v>-3203.0510000000004</v>
      </c>
      <c r="CS506" s="202">
        <f t="shared" si="690"/>
        <v>-3203.0510000000004</v>
      </c>
      <c r="CT506" s="202">
        <f t="shared" si="691"/>
        <v>-3203.0510000000004</v>
      </c>
      <c r="CU506" s="203" t="e">
        <f t="shared" si="692"/>
        <v>#DIV/0!</v>
      </c>
      <c r="CV506" s="203" t="e">
        <f t="shared" si="693"/>
        <v>#DIV/0!</v>
      </c>
      <c r="CW506" s="203" t="e">
        <f t="shared" si="694"/>
        <v>#DIV/0!</v>
      </c>
      <c r="CX506" s="19" t="e">
        <f t="shared" si="695"/>
        <v>#DIV/0!</v>
      </c>
      <c r="CY506" s="19" t="e">
        <f t="shared" si="696"/>
        <v>#DIV/0!</v>
      </c>
      <c r="CZ506" s="19" t="e">
        <f t="shared" si="697"/>
        <v>#DIV/0!</v>
      </c>
      <c r="DA506" s="203" t="e">
        <f t="shared" si="698"/>
        <v>#DIV/0!</v>
      </c>
      <c r="DB506" s="203" t="e">
        <f t="shared" si="699"/>
        <v>#DIV/0!</v>
      </c>
      <c r="DC506" s="203" t="e">
        <f t="shared" si="700"/>
        <v>#DIV/0!</v>
      </c>
      <c r="DD506" s="65"/>
      <c r="DE506" s="66"/>
      <c r="DF506" s="66"/>
      <c r="DG506" s="66"/>
      <c r="DH506" s="66"/>
      <c r="DI506" s="66"/>
      <c r="DJ506" s="66"/>
      <c r="DK506" s="70"/>
      <c r="DL506" s="70"/>
      <c r="DM506" s="8">
        <f t="shared" si="560"/>
        <v>0</v>
      </c>
      <c r="DN506" s="8">
        <f t="shared" si="561"/>
        <v>3203.0510000000004</v>
      </c>
      <c r="DO506" s="202">
        <f t="shared" si="737"/>
        <v>-3203.0510000000004</v>
      </c>
      <c r="DP506" s="202">
        <f t="shared" si="738"/>
        <v>-3203.0510000000004</v>
      </c>
      <c r="DQ506" s="202">
        <f t="shared" si="739"/>
        <v>-3203.0510000000004</v>
      </c>
      <c r="DR506" s="9">
        <f t="shared" si="740"/>
        <v>-3203.0510000000004</v>
      </c>
      <c r="DS506" s="9">
        <f t="shared" si="703"/>
        <v>-3203.0510000000004</v>
      </c>
      <c r="DT506" s="9">
        <f t="shared" si="741"/>
        <v>-3203.0510000000004</v>
      </c>
      <c r="DU506" s="202">
        <f t="shared" si="742"/>
        <v>-3203.0510000000004</v>
      </c>
      <c r="DV506" s="202">
        <f t="shared" si="743"/>
        <v>-3203.0510000000004</v>
      </c>
      <c r="DW506" s="202">
        <f t="shared" si="744"/>
        <v>-3203.0510000000004</v>
      </c>
      <c r="DX506" s="203" t="e">
        <f t="shared" si="745"/>
        <v>#DIV/0!</v>
      </c>
      <c r="DY506" s="203" t="e">
        <f t="shared" si="746"/>
        <v>#DIV/0!</v>
      </c>
      <c r="DZ506" s="203" t="e">
        <f t="shared" si="747"/>
        <v>#DIV/0!</v>
      </c>
      <c r="EA506" s="19" t="e">
        <f t="shared" si="748"/>
        <v>#DIV/0!</v>
      </c>
      <c r="EB506" s="19" t="e">
        <f t="shared" si="704"/>
        <v>#DIV/0!</v>
      </c>
      <c r="EC506" s="19" t="e">
        <f t="shared" si="749"/>
        <v>#DIV/0!</v>
      </c>
      <c r="ED506" s="203" t="e">
        <f t="shared" si="750"/>
        <v>#DIV/0!</v>
      </c>
      <c r="EE506" s="203" t="e">
        <f t="shared" si="751"/>
        <v>#DIV/0!</v>
      </c>
      <c r="EF506" s="203" t="e">
        <f t="shared" si="752"/>
        <v>#DIV/0!</v>
      </c>
      <c r="EH506" s="58">
        <f t="shared" si="596"/>
        <v>3203.0510000000004</v>
      </c>
      <c r="EI506" s="68" t="e">
        <f t="shared" si="597"/>
        <v>#DIV/0!</v>
      </c>
      <c r="EJ506" s="58">
        <f t="shared" si="598"/>
        <v>3203.0510000000004</v>
      </c>
      <c r="EK506" s="68" t="e">
        <f t="shared" si="597"/>
        <v>#DIV/0!</v>
      </c>
      <c r="EL506" s="58">
        <f t="shared" si="599"/>
        <v>0</v>
      </c>
      <c r="EM506" s="58">
        <f t="shared" si="600"/>
        <v>0</v>
      </c>
      <c r="EN506" s="68" t="e">
        <f t="shared" si="601"/>
        <v>#DIV/0!</v>
      </c>
      <c r="EO506" s="139">
        <f t="shared" si="652"/>
        <v>0.25197746931178833</v>
      </c>
      <c r="EP506">
        <f>+(SUM(M506:O506)*EO506*(1-'[1]Tier 3 Data'!$A$2))</f>
        <v>0</v>
      </c>
    </row>
    <row r="507" spans="1:146" x14ac:dyDescent="0.2">
      <c r="A507" s="43">
        <v>0</v>
      </c>
      <c r="B507" s="43">
        <v>0</v>
      </c>
      <c r="C507" s="43">
        <v>0</v>
      </c>
      <c r="D507" s="70">
        <v>2049</v>
      </c>
      <c r="E507" s="70">
        <v>8</v>
      </c>
      <c r="F507" s="2">
        <v>744</v>
      </c>
      <c r="G507" s="133">
        <f t="shared" si="636"/>
        <v>0</v>
      </c>
      <c r="H507" s="64"/>
      <c r="I507" s="133">
        <f t="shared" si="637"/>
        <v>0</v>
      </c>
      <c r="J507" s="133">
        <f t="shared" si="576"/>
        <v>0</v>
      </c>
      <c r="K507" s="64"/>
      <c r="L507" s="133">
        <f t="shared" si="577"/>
        <v>0</v>
      </c>
      <c r="M507" s="5"/>
      <c r="N507" s="5"/>
      <c r="O507" s="5"/>
      <c r="P507" s="200">
        <f t="shared" si="568"/>
        <v>0</v>
      </c>
      <c r="Q507" s="200">
        <f t="shared" si="569"/>
        <v>0</v>
      </c>
      <c r="R507" s="200">
        <f t="shared" si="570"/>
        <v>0</v>
      </c>
      <c r="S507" s="133">
        <f t="shared" si="638"/>
        <v>0</v>
      </c>
      <c r="T507" s="133">
        <f t="shared" si="639"/>
        <v>0</v>
      </c>
      <c r="U507" s="133">
        <f t="shared" si="640"/>
        <v>0</v>
      </c>
      <c r="V507" s="200">
        <f t="shared" si="571"/>
        <v>0</v>
      </c>
      <c r="W507" s="200">
        <f t="shared" si="572"/>
        <v>0</v>
      </c>
      <c r="X507" s="200">
        <f t="shared" si="573"/>
        <v>0</v>
      </c>
      <c r="Y507" s="58">
        <f t="shared" si="624"/>
        <v>0</v>
      </c>
      <c r="AA507" s="58">
        <f t="shared" si="625"/>
        <v>0</v>
      </c>
      <c r="AB507" s="200">
        <f t="shared" si="611"/>
        <v>0</v>
      </c>
      <c r="AC507" s="200">
        <f t="shared" si="612"/>
        <v>0</v>
      </c>
      <c r="AD507" s="200">
        <f t="shared" si="613"/>
        <v>0</v>
      </c>
      <c r="AE507" s="199">
        <f t="shared" si="719"/>
        <v>0</v>
      </c>
      <c r="AF507" s="199">
        <f t="shared" si="614"/>
        <v>0</v>
      </c>
      <c r="AG507" s="199">
        <f t="shared" si="720"/>
        <v>0</v>
      </c>
      <c r="AH507" s="199">
        <f t="shared" si="641"/>
        <v>0</v>
      </c>
      <c r="AI507" s="200">
        <f t="shared" si="615"/>
        <v>0</v>
      </c>
      <c r="AJ507" s="200">
        <f t="shared" si="616"/>
        <v>0</v>
      </c>
      <c r="AK507" s="200">
        <f t="shared" si="617"/>
        <v>0</v>
      </c>
      <c r="AL507" s="4"/>
      <c r="AM507" s="4"/>
      <c r="AN507" s="4"/>
      <c r="AO507" s="4"/>
      <c r="AP507" s="63"/>
      <c r="AQ507" s="18"/>
      <c r="AR507" s="18"/>
      <c r="AS507" s="18"/>
      <c r="AT507" s="18">
        <v>0</v>
      </c>
      <c r="AU507" s="133">
        <f t="shared" ref="AU507" si="757">+AU495</f>
        <v>107.64</v>
      </c>
      <c r="AV507" s="133">
        <f t="shared" ref="AV507" si="758">+AV495</f>
        <v>3021.9279999999999</v>
      </c>
      <c r="AW507" s="194"/>
      <c r="AX507" s="194"/>
      <c r="AY507" s="194"/>
      <c r="AZ507" s="194"/>
      <c r="BA507" s="194"/>
      <c r="BB507" s="194"/>
      <c r="BC507" s="65">
        <v>0</v>
      </c>
      <c r="BD507" s="65">
        <v>0</v>
      </c>
      <c r="BE507" s="65">
        <v>0</v>
      </c>
      <c r="BF507" s="65">
        <v>0</v>
      </c>
      <c r="BG507" s="65">
        <v>0</v>
      </c>
      <c r="BH507" s="65">
        <v>0</v>
      </c>
      <c r="BI507" s="65">
        <v>0</v>
      </c>
      <c r="BJ507" s="65">
        <v>0</v>
      </c>
      <c r="BK507" s="65">
        <v>0</v>
      </c>
      <c r="BL507" s="65">
        <v>0</v>
      </c>
      <c r="BM507" s="65">
        <v>0</v>
      </c>
      <c r="BN507" s="65">
        <v>0</v>
      </c>
      <c r="BO507" s="65">
        <v>0</v>
      </c>
      <c r="BP507" s="5"/>
      <c r="BQ507" s="5"/>
      <c r="BR507" s="5"/>
      <c r="BS507" s="64"/>
      <c r="BT507" s="5"/>
      <c r="BU507" s="5"/>
      <c r="BV507" s="144">
        <f t="shared" si="608"/>
        <v>0</v>
      </c>
      <c r="BW507" s="144">
        <f t="shared" si="609"/>
        <v>0</v>
      </c>
      <c r="BX507" s="144">
        <f t="shared" si="610"/>
        <v>0</v>
      </c>
      <c r="BY507" s="5"/>
      <c r="BZ507" s="5"/>
      <c r="CA507" s="4"/>
      <c r="CB507" s="5"/>
      <c r="CC507" s="5"/>
      <c r="CD507" s="5"/>
      <c r="CE507" s="5"/>
      <c r="CF507" s="64"/>
      <c r="CG507" s="70"/>
      <c r="CH507" s="70"/>
      <c r="CI507" s="70"/>
      <c r="CJ507" s="63"/>
      <c r="CK507" s="8">
        <f t="shared" si="559"/>
        <v>3129.5679999999998</v>
      </c>
      <c r="CL507" s="202">
        <f t="shared" si="683"/>
        <v>-3129.5679999999998</v>
      </c>
      <c r="CM507" s="202">
        <f t="shared" si="684"/>
        <v>-3129.5679999999998</v>
      </c>
      <c r="CN507" s="202">
        <f t="shared" si="685"/>
        <v>-3129.5679999999998</v>
      </c>
      <c r="CO507" s="9">
        <f t="shared" si="686"/>
        <v>-3129.5679999999998</v>
      </c>
      <c r="CP507" s="9">
        <f t="shared" si="687"/>
        <v>-3129.5679999999998</v>
      </c>
      <c r="CQ507" s="9">
        <f t="shared" si="688"/>
        <v>-3129.5679999999998</v>
      </c>
      <c r="CR507" s="202">
        <f t="shared" si="689"/>
        <v>-3129.5679999999998</v>
      </c>
      <c r="CS507" s="202">
        <f t="shared" si="690"/>
        <v>-3129.5679999999998</v>
      </c>
      <c r="CT507" s="202">
        <f t="shared" si="691"/>
        <v>-3129.5679999999998</v>
      </c>
      <c r="CU507" s="203" t="e">
        <f t="shared" si="692"/>
        <v>#DIV/0!</v>
      </c>
      <c r="CV507" s="203" t="e">
        <f t="shared" si="693"/>
        <v>#DIV/0!</v>
      </c>
      <c r="CW507" s="203" t="e">
        <f t="shared" si="694"/>
        <v>#DIV/0!</v>
      </c>
      <c r="CX507" s="19" t="e">
        <f t="shared" si="695"/>
        <v>#DIV/0!</v>
      </c>
      <c r="CY507" s="19" t="e">
        <f t="shared" si="696"/>
        <v>#DIV/0!</v>
      </c>
      <c r="CZ507" s="19" t="e">
        <f t="shared" si="697"/>
        <v>#DIV/0!</v>
      </c>
      <c r="DA507" s="203" t="e">
        <f t="shared" si="698"/>
        <v>#DIV/0!</v>
      </c>
      <c r="DB507" s="203" t="e">
        <f t="shared" si="699"/>
        <v>#DIV/0!</v>
      </c>
      <c r="DC507" s="203" t="e">
        <f t="shared" si="700"/>
        <v>#DIV/0!</v>
      </c>
      <c r="DD507" s="65"/>
      <c r="DE507" s="66"/>
      <c r="DF507" s="66"/>
      <c r="DG507" s="66"/>
      <c r="DH507" s="66"/>
      <c r="DI507" s="66"/>
      <c r="DJ507" s="66"/>
      <c r="DK507" s="70"/>
      <c r="DL507" s="70"/>
      <c r="DM507" s="8">
        <f t="shared" si="560"/>
        <v>0</v>
      </c>
      <c r="DN507" s="8">
        <f t="shared" si="561"/>
        <v>3129.5679999999998</v>
      </c>
      <c r="DO507" s="202">
        <f t="shared" si="737"/>
        <v>-3129.5679999999998</v>
      </c>
      <c r="DP507" s="202">
        <f t="shared" si="738"/>
        <v>-3129.5679999999998</v>
      </c>
      <c r="DQ507" s="202">
        <f t="shared" si="739"/>
        <v>-3129.5679999999998</v>
      </c>
      <c r="DR507" s="9">
        <f t="shared" si="740"/>
        <v>-3129.5679999999998</v>
      </c>
      <c r="DS507" s="9">
        <f t="shared" si="703"/>
        <v>-3129.5679999999998</v>
      </c>
      <c r="DT507" s="9">
        <f t="shared" si="741"/>
        <v>-3129.5679999999998</v>
      </c>
      <c r="DU507" s="202">
        <f t="shared" si="742"/>
        <v>-3129.5679999999998</v>
      </c>
      <c r="DV507" s="202">
        <f t="shared" si="743"/>
        <v>-3129.5679999999998</v>
      </c>
      <c r="DW507" s="202">
        <f t="shared" si="744"/>
        <v>-3129.5679999999998</v>
      </c>
      <c r="DX507" s="203" t="e">
        <f t="shared" si="745"/>
        <v>#DIV/0!</v>
      </c>
      <c r="DY507" s="203" t="e">
        <f t="shared" si="746"/>
        <v>#DIV/0!</v>
      </c>
      <c r="DZ507" s="203" t="e">
        <f t="shared" si="747"/>
        <v>#DIV/0!</v>
      </c>
      <c r="EA507" s="19" t="e">
        <f t="shared" si="748"/>
        <v>#DIV/0!</v>
      </c>
      <c r="EB507" s="19" t="e">
        <f t="shared" si="704"/>
        <v>#DIV/0!</v>
      </c>
      <c r="EC507" s="19" t="e">
        <f t="shared" si="749"/>
        <v>#DIV/0!</v>
      </c>
      <c r="ED507" s="203" t="e">
        <f t="shared" si="750"/>
        <v>#DIV/0!</v>
      </c>
      <c r="EE507" s="203" t="e">
        <f t="shared" si="751"/>
        <v>#DIV/0!</v>
      </c>
      <c r="EF507" s="203" t="e">
        <f t="shared" si="752"/>
        <v>#DIV/0!</v>
      </c>
      <c r="EH507" s="58">
        <f t="shared" si="596"/>
        <v>3129.5679999999998</v>
      </c>
      <c r="EI507" s="68" t="e">
        <f t="shared" si="597"/>
        <v>#DIV/0!</v>
      </c>
      <c r="EJ507" s="58">
        <f t="shared" si="598"/>
        <v>3129.5679999999998</v>
      </c>
      <c r="EK507" s="68" t="e">
        <f t="shared" si="597"/>
        <v>#DIV/0!</v>
      </c>
      <c r="EL507" s="58">
        <f t="shared" si="599"/>
        <v>0</v>
      </c>
      <c r="EM507" s="58">
        <f t="shared" si="600"/>
        <v>0</v>
      </c>
      <c r="EN507" s="68" t="e">
        <f t="shared" si="601"/>
        <v>#DIV/0!</v>
      </c>
      <c r="EO507" s="139">
        <f t="shared" si="652"/>
        <v>0.28519905910129462</v>
      </c>
      <c r="EP507">
        <f>+(SUM(M507:O507)*EO507*(1-'[1]Tier 3 Data'!$A$2))</f>
        <v>0</v>
      </c>
    </row>
    <row r="508" spans="1:146" x14ac:dyDescent="0.2">
      <c r="A508" s="43">
        <v>0</v>
      </c>
      <c r="B508" s="43">
        <v>0</v>
      </c>
      <c r="C508" s="43">
        <v>0</v>
      </c>
      <c r="D508" s="70">
        <v>2049</v>
      </c>
      <c r="E508" s="70">
        <v>9</v>
      </c>
      <c r="F508" s="2">
        <v>720</v>
      </c>
      <c r="G508" s="133">
        <f t="shared" si="636"/>
        <v>0</v>
      </c>
      <c r="H508" s="64"/>
      <c r="I508" s="133">
        <f t="shared" si="637"/>
        <v>0</v>
      </c>
      <c r="J508" s="133">
        <f t="shared" si="576"/>
        <v>0</v>
      </c>
      <c r="K508" s="64"/>
      <c r="L508" s="133">
        <f t="shared" si="577"/>
        <v>0</v>
      </c>
      <c r="M508" s="5"/>
      <c r="N508" s="5"/>
      <c r="O508" s="5"/>
      <c r="P508" s="200">
        <f t="shared" si="568"/>
        <v>0</v>
      </c>
      <c r="Q508" s="200">
        <f t="shared" si="569"/>
        <v>0</v>
      </c>
      <c r="R508" s="200">
        <f t="shared" si="570"/>
        <v>0</v>
      </c>
      <c r="S508" s="133">
        <f t="shared" si="638"/>
        <v>0</v>
      </c>
      <c r="T508" s="133">
        <f t="shared" si="639"/>
        <v>0</v>
      </c>
      <c r="U508" s="133">
        <f t="shared" si="640"/>
        <v>0</v>
      </c>
      <c r="V508" s="200">
        <f t="shared" si="571"/>
        <v>0</v>
      </c>
      <c r="W508" s="200">
        <f t="shared" si="572"/>
        <v>0</v>
      </c>
      <c r="X508" s="200">
        <f t="shared" si="573"/>
        <v>0</v>
      </c>
      <c r="Y508" s="58">
        <f t="shared" si="624"/>
        <v>0</v>
      </c>
      <c r="AA508" s="58">
        <f t="shared" si="625"/>
        <v>0</v>
      </c>
      <c r="AB508" s="200">
        <f t="shared" si="611"/>
        <v>0</v>
      </c>
      <c r="AC508" s="200">
        <f t="shared" si="612"/>
        <v>0</v>
      </c>
      <c r="AD508" s="200">
        <f t="shared" si="613"/>
        <v>0</v>
      </c>
      <c r="AE508" s="199">
        <f t="shared" si="719"/>
        <v>0</v>
      </c>
      <c r="AF508" s="199">
        <f t="shared" si="614"/>
        <v>0</v>
      </c>
      <c r="AG508" s="199">
        <f t="shared" si="720"/>
        <v>0</v>
      </c>
      <c r="AH508" s="199">
        <f t="shared" si="641"/>
        <v>0</v>
      </c>
      <c r="AI508" s="200">
        <f t="shared" si="615"/>
        <v>0</v>
      </c>
      <c r="AJ508" s="200">
        <f t="shared" si="616"/>
        <v>0</v>
      </c>
      <c r="AK508" s="200">
        <f t="shared" si="617"/>
        <v>0</v>
      </c>
      <c r="AL508" s="4"/>
      <c r="AM508" s="4"/>
      <c r="AN508" s="4"/>
      <c r="AO508" s="4"/>
      <c r="AP508" s="63"/>
      <c r="AQ508" s="18"/>
      <c r="AR508" s="18"/>
      <c r="AS508" s="18"/>
      <c r="AT508" s="18">
        <v>0</v>
      </c>
      <c r="AU508" s="133">
        <f t="shared" ref="AU508" si="759">+AU496</f>
        <v>102.375</v>
      </c>
      <c r="AV508" s="133">
        <f t="shared" ref="AV508" si="760">+AV496</f>
        <v>2969.6280000000002</v>
      </c>
      <c r="AW508" s="194"/>
      <c r="AX508" s="194"/>
      <c r="AY508" s="194"/>
      <c r="AZ508" s="194"/>
      <c r="BA508" s="194"/>
      <c r="BB508" s="194"/>
      <c r="BC508" s="65">
        <v>0</v>
      </c>
      <c r="BD508" s="65">
        <v>0</v>
      </c>
      <c r="BE508" s="65">
        <v>0</v>
      </c>
      <c r="BF508" s="65">
        <v>0</v>
      </c>
      <c r="BG508" s="65">
        <v>0</v>
      </c>
      <c r="BH508" s="65">
        <v>0</v>
      </c>
      <c r="BI508" s="65">
        <v>0</v>
      </c>
      <c r="BJ508" s="65">
        <v>0</v>
      </c>
      <c r="BK508" s="65">
        <v>0</v>
      </c>
      <c r="BL508" s="65">
        <v>0</v>
      </c>
      <c r="BM508" s="65">
        <v>0</v>
      </c>
      <c r="BN508" s="65">
        <v>0</v>
      </c>
      <c r="BO508" s="65">
        <v>0</v>
      </c>
      <c r="BP508" s="5"/>
      <c r="BQ508" s="5"/>
      <c r="BR508" s="5"/>
      <c r="BS508" s="64"/>
      <c r="BT508" s="5"/>
      <c r="BU508" s="5"/>
      <c r="BV508" s="144">
        <f t="shared" si="608"/>
        <v>0</v>
      </c>
      <c r="BW508" s="144">
        <f t="shared" si="609"/>
        <v>0</v>
      </c>
      <c r="BX508" s="144">
        <f t="shared" si="610"/>
        <v>0</v>
      </c>
      <c r="BY508" s="5"/>
      <c r="BZ508" s="5"/>
      <c r="CA508" s="4"/>
      <c r="CB508" s="5"/>
      <c r="CC508" s="5"/>
      <c r="CD508" s="5"/>
      <c r="CE508" s="5"/>
      <c r="CF508" s="64"/>
      <c r="CG508" s="70"/>
      <c r="CH508" s="70"/>
      <c r="CI508" s="70"/>
      <c r="CJ508" s="63"/>
      <c r="CK508" s="8">
        <f t="shared" ref="CK508:CK571" si="761">+SUM(AL508:CI508)</f>
        <v>3072.0030000000002</v>
      </c>
      <c r="CL508" s="202">
        <f t="shared" si="683"/>
        <v>-3072.0030000000002</v>
      </c>
      <c r="CM508" s="202">
        <f t="shared" si="684"/>
        <v>-3072.0030000000002</v>
      </c>
      <c r="CN508" s="202">
        <f t="shared" si="685"/>
        <v>-3072.0030000000002</v>
      </c>
      <c r="CO508" s="9">
        <f t="shared" si="686"/>
        <v>-3072.0030000000002</v>
      </c>
      <c r="CP508" s="9">
        <f t="shared" si="687"/>
        <v>-3072.0030000000002</v>
      </c>
      <c r="CQ508" s="9">
        <f t="shared" si="688"/>
        <v>-3072.0030000000002</v>
      </c>
      <c r="CR508" s="202">
        <f t="shared" si="689"/>
        <v>-3072.0030000000002</v>
      </c>
      <c r="CS508" s="202">
        <f t="shared" si="690"/>
        <v>-3072.0030000000002</v>
      </c>
      <c r="CT508" s="202">
        <f t="shared" si="691"/>
        <v>-3072.0030000000002</v>
      </c>
      <c r="CU508" s="203" t="e">
        <f t="shared" si="692"/>
        <v>#DIV/0!</v>
      </c>
      <c r="CV508" s="203" t="e">
        <f t="shared" si="693"/>
        <v>#DIV/0!</v>
      </c>
      <c r="CW508" s="203" t="e">
        <f t="shared" si="694"/>
        <v>#DIV/0!</v>
      </c>
      <c r="CX508" s="19" t="e">
        <f t="shared" si="695"/>
        <v>#DIV/0!</v>
      </c>
      <c r="CY508" s="19" t="e">
        <f t="shared" si="696"/>
        <v>#DIV/0!</v>
      </c>
      <c r="CZ508" s="19" t="e">
        <f t="shared" si="697"/>
        <v>#DIV/0!</v>
      </c>
      <c r="DA508" s="203" t="e">
        <f t="shared" si="698"/>
        <v>#DIV/0!</v>
      </c>
      <c r="DB508" s="203" t="e">
        <f t="shared" si="699"/>
        <v>#DIV/0!</v>
      </c>
      <c r="DC508" s="203" t="e">
        <f t="shared" si="700"/>
        <v>#DIV/0!</v>
      </c>
      <c r="DD508" s="65"/>
      <c r="DE508" s="66"/>
      <c r="DF508" s="66"/>
      <c r="DG508" s="66"/>
      <c r="DH508" s="66"/>
      <c r="DI508" s="66"/>
      <c r="DJ508" s="66"/>
      <c r="DK508" s="70"/>
      <c r="DL508" s="70"/>
      <c r="DM508" s="8">
        <f t="shared" ref="DM508:DM571" si="762">+SUM(DD508:DL508)</f>
        <v>0</v>
      </c>
      <c r="DN508" s="8">
        <f t="shared" ref="DN508:DN571" si="763">+DM508+CK508</f>
        <v>3072.0030000000002</v>
      </c>
      <c r="DO508" s="202">
        <f t="shared" si="737"/>
        <v>-3072.0030000000002</v>
      </c>
      <c r="DP508" s="202">
        <f t="shared" si="738"/>
        <v>-3072.0030000000002</v>
      </c>
      <c r="DQ508" s="202">
        <f t="shared" si="739"/>
        <v>-3072.0030000000002</v>
      </c>
      <c r="DR508" s="9">
        <f t="shared" si="740"/>
        <v>-3072.0030000000002</v>
      </c>
      <c r="DS508" s="9">
        <f t="shared" si="703"/>
        <v>-3072.0030000000002</v>
      </c>
      <c r="DT508" s="9">
        <f t="shared" si="741"/>
        <v>-3072.0030000000002</v>
      </c>
      <c r="DU508" s="202">
        <f t="shared" si="742"/>
        <v>-3072.0030000000002</v>
      </c>
      <c r="DV508" s="202">
        <f t="shared" si="743"/>
        <v>-3072.0030000000002</v>
      </c>
      <c r="DW508" s="202">
        <f t="shared" si="744"/>
        <v>-3072.0030000000002</v>
      </c>
      <c r="DX508" s="203" t="e">
        <f t="shared" si="745"/>
        <v>#DIV/0!</v>
      </c>
      <c r="DY508" s="203" t="e">
        <f t="shared" si="746"/>
        <v>#DIV/0!</v>
      </c>
      <c r="DZ508" s="203" t="e">
        <f t="shared" si="747"/>
        <v>#DIV/0!</v>
      </c>
      <c r="EA508" s="19" t="e">
        <f t="shared" si="748"/>
        <v>#DIV/0!</v>
      </c>
      <c r="EB508" s="19" t="e">
        <f t="shared" si="704"/>
        <v>#DIV/0!</v>
      </c>
      <c r="EC508" s="19" t="e">
        <f t="shared" si="749"/>
        <v>#DIV/0!</v>
      </c>
      <c r="ED508" s="203" t="e">
        <f t="shared" si="750"/>
        <v>#DIV/0!</v>
      </c>
      <c r="EE508" s="203" t="e">
        <f t="shared" si="751"/>
        <v>#DIV/0!</v>
      </c>
      <c r="EF508" s="203" t="e">
        <f t="shared" si="752"/>
        <v>#DIV/0!</v>
      </c>
      <c r="EH508" s="58">
        <f t="shared" si="596"/>
        <v>3072.0030000000002</v>
      </c>
      <c r="EI508" s="68" t="e">
        <f t="shared" si="597"/>
        <v>#DIV/0!</v>
      </c>
      <c r="EJ508" s="58">
        <f t="shared" si="598"/>
        <v>3072.0030000000002</v>
      </c>
      <c r="EK508" s="68" t="e">
        <f t="shared" si="597"/>
        <v>#DIV/0!</v>
      </c>
      <c r="EL508" s="58">
        <f t="shared" si="599"/>
        <v>0</v>
      </c>
      <c r="EM508" s="58">
        <f t="shared" si="600"/>
        <v>0</v>
      </c>
      <c r="EN508" s="68" t="e">
        <f t="shared" si="601"/>
        <v>#DIV/0!</v>
      </c>
      <c r="EO508" s="139">
        <f t="shared" si="652"/>
        <v>0.31860645638858931</v>
      </c>
      <c r="EP508">
        <f>+(SUM(M508:O508)*EO508*(1-'[1]Tier 3 Data'!$A$2))</f>
        <v>0</v>
      </c>
    </row>
    <row r="509" spans="1:146" x14ac:dyDescent="0.2">
      <c r="A509" s="43">
        <v>0</v>
      </c>
      <c r="B509" s="43">
        <v>0</v>
      </c>
      <c r="C509" s="43">
        <v>0</v>
      </c>
      <c r="D509" s="70">
        <v>2049</v>
      </c>
      <c r="E509" s="70">
        <v>10</v>
      </c>
      <c r="F509" s="2">
        <v>744</v>
      </c>
      <c r="G509" s="133">
        <f t="shared" si="636"/>
        <v>0</v>
      </c>
      <c r="H509" s="64"/>
      <c r="I509" s="133">
        <f t="shared" si="637"/>
        <v>0</v>
      </c>
      <c r="J509" s="133">
        <f t="shared" si="576"/>
        <v>0</v>
      </c>
      <c r="K509" s="64"/>
      <c r="L509" s="133">
        <f t="shared" si="577"/>
        <v>0</v>
      </c>
      <c r="M509" s="5"/>
      <c r="N509" s="5"/>
      <c r="O509" s="5"/>
      <c r="P509" s="200">
        <f t="shared" si="568"/>
        <v>0</v>
      </c>
      <c r="Q509" s="200">
        <f t="shared" si="569"/>
        <v>0</v>
      </c>
      <c r="R509" s="200">
        <f t="shared" si="570"/>
        <v>0</v>
      </c>
      <c r="S509" s="133">
        <f t="shared" si="638"/>
        <v>0</v>
      </c>
      <c r="T509" s="133">
        <f t="shared" si="639"/>
        <v>0</v>
      </c>
      <c r="U509" s="133">
        <f t="shared" si="640"/>
        <v>0</v>
      </c>
      <c r="V509" s="200">
        <f t="shared" si="571"/>
        <v>0</v>
      </c>
      <c r="W509" s="200">
        <f t="shared" si="572"/>
        <v>0</v>
      </c>
      <c r="X509" s="200">
        <f t="shared" si="573"/>
        <v>0</v>
      </c>
      <c r="Y509" s="58">
        <f t="shared" si="624"/>
        <v>0</v>
      </c>
      <c r="AA509" s="58">
        <f t="shared" si="625"/>
        <v>0</v>
      </c>
      <c r="AB509" s="200">
        <f t="shared" si="611"/>
        <v>0</v>
      </c>
      <c r="AC509" s="200">
        <f t="shared" si="612"/>
        <v>0</v>
      </c>
      <c r="AD509" s="200">
        <f t="shared" si="613"/>
        <v>0</v>
      </c>
      <c r="AE509" s="199">
        <f t="shared" si="719"/>
        <v>0</v>
      </c>
      <c r="AF509" s="199">
        <f t="shared" si="614"/>
        <v>0</v>
      </c>
      <c r="AG509" s="199">
        <f t="shared" si="720"/>
        <v>0</v>
      </c>
      <c r="AH509" s="199">
        <f t="shared" si="641"/>
        <v>0</v>
      </c>
      <c r="AI509" s="200">
        <f t="shared" si="615"/>
        <v>0</v>
      </c>
      <c r="AJ509" s="200">
        <f t="shared" si="616"/>
        <v>0</v>
      </c>
      <c r="AK509" s="200">
        <f t="shared" si="617"/>
        <v>0</v>
      </c>
      <c r="AL509" s="4"/>
      <c r="AM509" s="4"/>
      <c r="AN509" s="4"/>
      <c r="AO509" s="4"/>
      <c r="AP509" s="63"/>
      <c r="AQ509" s="18"/>
      <c r="AR509" s="18"/>
      <c r="AS509" s="18"/>
      <c r="AT509" s="18">
        <v>0</v>
      </c>
      <c r="AU509" s="133">
        <f t="shared" ref="AU509" si="764">+AU497</f>
        <v>118.17</v>
      </c>
      <c r="AV509" s="133">
        <f t="shared" ref="AV509" si="765">+AV497</f>
        <v>3225.1860000000001</v>
      </c>
      <c r="AW509" s="194"/>
      <c r="AX509" s="194"/>
      <c r="AY509" s="194"/>
      <c r="AZ509" s="194"/>
      <c r="BA509" s="194"/>
      <c r="BB509" s="194"/>
      <c r="BC509" s="65">
        <v>0</v>
      </c>
      <c r="BD509" s="65">
        <v>0</v>
      </c>
      <c r="BE509" s="65">
        <v>0</v>
      </c>
      <c r="BF509" s="65">
        <v>0</v>
      </c>
      <c r="BG509" s="65">
        <v>0</v>
      </c>
      <c r="BH509" s="65">
        <v>0</v>
      </c>
      <c r="BI509" s="65">
        <v>0</v>
      </c>
      <c r="BJ509" s="65">
        <v>0</v>
      </c>
      <c r="BK509" s="65">
        <v>0</v>
      </c>
      <c r="BL509" s="65">
        <v>0</v>
      </c>
      <c r="BM509" s="65">
        <v>0</v>
      </c>
      <c r="BN509" s="65">
        <v>0</v>
      </c>
      <c r="BO509" s="65">
        <v>0</v>
      </c>
      <c r="BP509" s="5"/>
      <c r="BQ509" s="5"/>
      <c r="BR509" s="5"/>
      <c r="BS509" s="64"/>
      <c r="BT509" s="5"/>
      <c r="BU509" s="5"/>
      <c r="BV509" s="144">
        <f t="shared" si="608"/>
        <v>0</v>
      </c>
      <c r="BW509" s="144">
        <f t="shared" si="609"/>
        <v>0</v>
      </c>
      <c r="BX509" s="144">
        <f t="shared" si="610"/>
        <v>0</v>
      </c>
      <c r="BY509" s="5"/>
      <c r="BZ509" s="5"/>
      <c r="CA509" s="4"/>
      <c r="CB509" s="5"/>
      <c r="CC509" s="5"/>
      <c r="CD509" s="5"/>
      <c r="CE509" s="5"/>
      <c r="CF509" s="64"/>
      <c r="CG509" s="70"/>
      <c r="CH509" s="70"/>
      <c r="CI509" s="70"/>
      <c r="CJ509" s="63"/>
      <c r="CK509" s="8">
        <f t="shared" si="761"/>
        <v>3343.3560000000002</v>
      </c>
      <c r="CL509" s="202">
        <f t="shared" si="683"/>
        <v>-3343.3560000000002</v>
      </c>
      <c r="CM509" s="202">
        <f t="shared" si="684"/>
        <v>-3343.3560000000002</v>
      </c>
      <c r="CN509" s="202">
        <f t="shared" si="685"/>
        <v>-3343.3560000000002</v>
      </c>
      <c r="CO509" s="9">
        <f t="shared" si="686"/>
        <v>-3343.3560000000002</v>
      </c>
      <c r="CP509" s="9">
        <f t="shared" si="687"/>
        <v>-3343.3560000000002</v>
      </c>
      <c r="CQ509" s="9">
        <f t="shared" si="688"/>
        <v>-3343.3560000000002</v>
      </c>
      <c r="CR509" s="202">
        <f t="shared" si="689"/>
        <v>-3343.3560000000002</v>
      </c>
      <c r="CS509" s="202">
        <f t="shared" si="690"/>
        <v>-3343.3560000000002</v>
      </c>
      <c r="CT509" s="202">
        <f t="shared" si="691"/>
        <v>-3343.3560000000002</v>
      </c>
      <c r="CU509" s="203" t="e">
        <f t="shared" si="692"/>
        <v>#DIV/0!</v>
      </c>
      <c r="CV509" s="203" t="e">
        <f t="shared" si="693"/>
        <v>#DIV/0!</v>
      </c>
      <c r="CW509" s="203" t="e">
        <f t="shared" si="694"/>
        <v>#DIV/0!</v>
      </c>
      <c r="CX509" s="19" t="e">
        <f t="shared" si="695"/>
        <v>#DIV/0!</v>
      </c>
      <c r="CY509" s="19" t="e">
        <f t="shared" si="696"/>
        <v>#DIV/0!</v>
      </c>
      <c r="CZ509" s="19" t="e">
        <f t="shared" si="697"/>
        <v>#DIV/0!</v>
      </c>
      <c r="DA509" s="203" t="e">
        <f t="shared" si="698"/>
        <v>#DIV/0!</v>
      </c>
      <c r="DB509" s="203" t="e">
        <f t="shared" si="699"/>
        <v>#DIV/0!</v>
      </c>
      <c r="DC509" s="203" t="e">
        <f t="shared" si="700"/>
        <v>#DIV/0!</v>
      </c>
      <c r="DD509" s="65"/>
      <c r="DE509" s="66"/>
      <c r="DF509" s="66"/>
      <c r="DG509" s="66"/>
      <c r="DH509" s="66"/>
      <c r="DI509" s="66"/>
      <c r="DJ509" s="66"/>
      <c r="DK509" s="70"/>
      <c r="DL509" s="70"/>
      <c r="DM509" s="8">
        <f t="shared" si="762"/>
        <v>0</v>
      </c>
      <c r="DN509" s="8">
        <f t="shared" si="763"/>
        <v>3343.3560000000002</v>
      </c>
      <c r="DO509" s="202">
        <f t="shared" si="737"/>
        <v>-3343.3560000000002</v>
      </c>
      <c r="DP509" s="202">
        <f t="shared" si="738"/>
        <v>-3343.3560000000002</v>
      </c>
      <c r="DQ509" s="202">
        <f t="shared" si="739"/>
        <v>-3343.3560000000002</v>
      </c>
      <c r="DR509" s="9">
        <f t="shared" si="740"/>
        <v>-3343.3560000000002</v>
      </c>
      <c r="DS509" s="9">
        <f t="shared" si="703"/>
        <v>-3343.3560000000002</v>
      </c>
      <c r="DT509" s="9">
        <f t="shared" si="741"/>
        <v>-3343.3560000000002</v>
      </c>
      <c r="DU509" s="202">
        <f t="shared" si="742"/>
        <v>-3343.3560000000002</v>
      </c>
      <c r="DV509" s="202">
        <f t="shared" si="743"/>
        <v>-3343.3560000000002</v>
      </c>
      <c r="DW509" s="202">
        <f t="shared" si="744"/>
        <v>-3343.3560000000002</v>
      </c>
      <c r="DX509" s="203" t="e">
        <f t="shared" si="745"/>
        <v>#DIV/0!</v>
      </c>
      <c r="DY509" s="203" t="e">
        <f t="shared" si="746"/>
        <v>#DIV/0!</v>
      </c>
      <c r="DZ509" s="203" t="e">
        <f t="shared" si="747"/>
        <v>#DIV/0!</v>
      </c>
      <c r="EA509" s="19" t="e">
        <f t="shared" si="748"/>
        <v>#DIV/0!</v>
      </c>
      <c r="EB509" s="19" t="e">
        <f t="shared" si="704"/>
        <v>#DIV/0!</v>
      </c>
      <c r="EC509" s="19" t="e">
        <f t="shared" si="749"/>
        <v>#DIV/0!</v>
      </c>
      <c r="ED509" s="203" t="e">
        <f t="shared" si="750"/>
        <v>#DIV/0!</v>
      </c>
      <c r="EE509" s="203" t="e">
        <f t="shared" si="751"/>
        <v>#DIV/0!</v>
      </c>
      <c r="EF509" s="203" t="e">
        <f t="shared" si="752"/>
        <v>#DIV/0!</v>
      </c>
      <c r="EH509" s="58">
        <f t="shared" si="596"/>
        <v>3343.3560000000002</v>
      </c>
      <c r="EI509" s="68" t="e">
        <f t="shared" si="597"/>
        <v>#DIV/0!</v>
      </c>
      <c r="EJ509" s="58">
        <f t="shared" si="598"/>
        <v>3343.3560000000002</v>
      </c>
      <c r="EK509" s="68" t="e">
        <f t="shared" si="597"/>
        <v>#DIV/0!</v>
      </c>
      <c r="EL509" s="58">
        <f t="shared" si="599"/>
        <v>0</v>
      </c>
      <c r="EM509" s="58">
        <f t="shared" si="600"/>
        <v>0</v>
      </c>
      <c r="EN509" s="68" t="e">
        <f t="shared" si="601"/>
        <v>#DIV/0!</v>
      </c>
      <c r="EO509" s="139">
        <f t="shared" si="652"/>
        <v>0.35739486552628164</v>
      </c>
      <c r="EP509">
        <f>+(SUM(M509:O509)*EO509*(1-'[1]Tier 3 Data'!$A$2))</f>
        <v>0</v>
      </c>
    </row>
    <row r="510" spans="1:146" x14ac:dyDescent="0.2">
      <c r="A510" s="43">
        <v>0</v>
      </c>
      <c r="B510" s="43">
        <v>0</v>
      </c>
      <c r="C510" s="43">
        <v>0</v>
      </c>
      <c r="D510" s="70">
        <v>2049</v>
      </c>
      <c r="E510" s="70">
        <v>11</v>
      </c>
      <c r="F510" s="2">
        <v>721</v>
      </c>
      <c r="G510" s="133">
        <f t="shared" si="636"/>
        <v>0</v>
      </c>
      <c r="H510" s="64"/>
      <c r="I510" s="133">
        <f t="shared" si="637"/>
        <v>0</v>
      </c>
      <c r="J510" s="133">
        <f t="shared" si="576"/>
        <v>0</v>
      </c>
      <c r="K510" s="64"/>
      <c r="L510" s="133">
        <f t="shared" si="577"/>
        <v>0</v>
      </c>
      <c r="M510" s="5"/>
      <c r="N510" s="5"/>
      <c r="O510" s="5"/>
      <c r="P510" s="200">
        <f t="shared" si="568"/>
        <v>0</v>
      </c>
      <c r="Q510" s="200">
        <f t="shared" si="569"/>
        <v>0</v>
      </c>
      <c r="R510" s="200">
        <f t="shared" si="570"/>
        <v>0</v>
      </c>
      <c r="S510" s="133">
        <f t="shared" si="638"/>
        <v>0</v>
      </c>
      <c r="T510" s="133">
        <f t="shared" si="639"/>
        <v>0</v>
      </c>
      <c r="U510" s="133">
        <f t="shared" si="640"/>
        <v>0</v>
      </c>
      <c r="V510" s="200">
        <f t="shared" si="571"/>
        <v>0</v>
      </c>
      <c r="W510" s="200">
        <f t="shared" si="572"/>
        <v>0</v>
      </c>
      <c r="X510" s="200">
        <f t="shared" si="573"/>
        <v>0</v>
      </c>
      <c r="Y510" s="58">
        <f t="shared" si="624"/>
        <v>0</v>
      </c>
      <c r="AA510" s="58">
        <f t="shared" si="625"/>
        <v>0</v>
      </c>
      <c r="AB510" s="200">
        <f t="shared" si="611"/>
        <v>0</v>
      </c>
      <c r="AC510" s="200">
        <f t="shared" si="612"/>
        <v>0</v>
      </c>
      <c r="AD510" s="200">
        <f t="shared" si="613"/>
        <v>0</v>
      </c>
      <c r="AE510" s="199">
        <f t="shared" si="719"/>
        <v>0</v>
      </c>
      <c r="AF510" s="199">
        <f t="shared" si="614"/>
        <v>0</v>
      </c>
      <c r="AG510" s="199">
        <f t="shared" si="720"/>
        <v>0</v>
      </c>
      <c r="AH510" s="199">
        <f t="shared" si="641"/>
        <v>0</v>
      </c>
      <c r="AI510" s="200">
        <f t="shared" si="615"/>
        <v>0</v>
      </c>
      <c r="AJ510" s="200">
        <f t="shared" si="616"/>
        <v>0</v>
      </c>
      <c r="AK510" s="200">
        <f t="shared" si="617"/>
        <v>0</v>
      </c>
      <c r="AL510" s="4"/>
      <c r="AM510" s="4"/>
      <c r="AN510" s="4"/>
      <c r="AO510" s="4"/>
      <c r="AP510" s="63"/>
      <c r="AQ510" s="18"/>
      <c r="AR510" s="18"/>
      <c r="AS510" s="18"/>
      <c r="AT510" s="18">
        <v>0</v>
      </c>
      <c r="AU510" s="133">
        <f t="shared" ref="AU510" si="766">+AU498</f>
        <v>104.364</v>
      </c>
      <c r="AV510" s="133">
        <f t="shared" ref="AV510" si="767">+AV498</f>
        <v>3268.3739999999998</v>
      </c>
      <c r="AW510" s="194"/>
      <c r="AX510" s="194"/>
      <c r="AY510" s="194"/>
      <c r="AZ510" s="194"/>
      <c r="BA510" s="194"/>
      <c r="BB510" s="194"/>
      <c r="BC510" s="65">
        <v>0</v>
      </c>
      <c r="BD510" s="65">
        <v>0</v>
      </c>
      <c r="BE510" s="65">
        <v>0</v>
      </c>
      <c r="BF510" s="65">
        <v>0</v>
      </c>
      <c r="BG510" s="65">
        <v>0</v>
      </c>
      <c r="BH510" s="65">
        <v>0</v>
      </c>
      <c r="BI510" s="65">
        <v>0</v>
      </c>
      <c r="BJ510" s="65">
        <v>0</v>
      </c>
      <c r="BK510" s="65">
        <v>0</v>
      </c>
      <c r="BL510" s="65">
        <v>0</v>
      </c>
      <c r="BM510" s="65">
        <v>0</v>
      </c>
      <c r="BN510" s="65">
        <v>0</v>
      </c>
      <c r="BO510" s="65">
        <v>0</v>
      </c>
      <c r="BP510" s="5"/>
      <c r="BQ510" s="5"/>
      <c r="BR510" s="5"/>
      <c r="BS510" s="64"/>
      <c r="BT510" s="5"/>
      <c r="BU510" s="5"/>
      <c r="BV510" s="144">
        <f t="shared" si="608"/>
        <v>0</v>
      </c>
      <c r="BW510" s="144">
        <f t="shared" si="609"/>
        <v>0</v>
      </c>
      <c r="BX510" s="144">
        <f t="shared" si="610"/>
        <v>0</v>
      </c>
      <c r="BY510" s="5"/>
      <c r="BZ510" s="5"/>
      <c r="CA510" s="4"/>
      <c r="CB510" s="5"/>
      <c r="CC510" s="5"/>
      <c r="CD510" s="5"/>
      <c r="CE510" s="5"/>
      <c r="CF510" s="64"/>
      <c r="CG510" s="70"/>
      <c r="CH510" s="70"/>
      <c r="CI510" s="70"/>
      <c r="CJ510" s="63"/>
      <c r="CK510" s="8">
        <f t="shared" si="761"/>
        <v>3372.7379999999998</v>
      </c>
      <c r="CL510" s="202">
        <f t="shared" si="683"/>
        <v>-3372.7379999999998</v>
      </c>
      <c r="CM510" s="202">
        <f t="shared" si="684"/>
        <v>-3372.7379999999998</v>
      </c>
      <c r="CN510" s="202">
        <f t="shared" si="685"/>
        <v>-3372.7379999999998</v>
      </c>
      <c r="CO510" s="9">
        <f t="shared" si="686"/>
        <v>-3372.7379999999998</v>
      </c>
      <c r="CP510" s="9">
        <f t="shared" si="687"/>
        <v>-3372.7379999999998</v>
      </c>
      <c r="CQ510" s="9">
        <f t="shared" si="688"/>
        <v>-3372.7379999999998</v>
      </c>
      <c r="CR510" s="202">
        <f t="shared" si="689"/>
        <v>-3372.7379999999998</v>
      </c>
      <c r="CS510" s="202">
        <f t="shared" si="690"/>
        <v>-3372.7379999999998</v>
      </c>
      <c r="CT510" s="202">
        <f t="shared" si="691"/>
        <v>-3372.7379999999998</v>
      </c>
      <c r="CU510" s="203" t="e">
        <f t="shared" si="692"/>
        <v>#DIV/0!</v>
      </c>
      <c r="CV510" s="203" t="e">
        <f t="shared" si="693"/>
        <v>#DIV/0!</v>
      </c>
      <c r="CW510" s="203" t="e">
        <f t="shared" si="694"/>
        <v>#DIV/0!</v>
      </c>
      <c r="CX510" s="19" t="e">
        <f t="shared" si="695"/>
        <v>#DIV/0!</v>
      </c>
      <c r="CY510" s="19" t="e">
        <f t="shared" si="696"/>
        <v>#DIV/0!</v>
      </c>
      <c r="CZ510" s="19" t="e">
        <f t="shared" si="697"/>
        <v>#DIV/0!</v>
      </c>
      <c r="DA510" s="203" t="e">
        <f t="shared" si="698"/>
        <v>#DIV/0!</v>
      </c>
      <c r="DB510" s="203" t="e">
        <f t="shared" si="699"/>
        <v>#DIV/0!</v>
      </c>
      <c r="DC510" s="203" t="e">
        <f t="shared" si="700"/>
        <v>#DIV/0!</v>
      </c>
      <c r="DD510" s="65"/>
      <c r="DE510" s="66"/>
      <c r="DF510" s="66"/>
      <c r="DG510" s="66"/>
      <c r="DH510" s="66"/>
      <c r="DI510" s="66"/>
      <c r="DJ510" s="66"/>
      <c r="DK510" s="70"/>
      <c r="DL510" s="70"/>
      <c r="DM510" s="8">
        <f t="shared" si="762"/>
        <v>0</v>
      </c>
      <c r="DN510" s="8">
        <f t="shared" si="763"/>
        <v>3372.7379999999998</v>
      </c>
      <c r="DO510" s="202">
        <f t="shared" si="737"/>
        <v>-3372.7379999999998</v>
      </c>
      <c r="DP510" s="202">
        <f t="shared" si="738"/>
        <v>-3372.7379999999998</v>
      </c>
      <c r="DQ510" s="202">
        <f t="shared" si="739"/>
        <v>-3372.7379999999998</v>
      </c>
      <c r="DR510" s="9">
        <f t="shared" si="740"/>
        <v>-3372.7379999999998</v>
      </c>
      <c r="DS510" s="9">
        <f t="shared" si="703"/>
        <v>-3372.7379999999998</v>
      </c>
      <c r="DT510" s="9">
        <f t="shared" si="741"/>
        <v>-3372.7379999999998</v>
      </c>
      <c r="DU510" s="202">
        <f t="shared" si="742"/>
        <v>-3372.7379999999998</v>
      </c>
      <c r="DV510" s="202">
        <f t="shared" si="743"/>
        <v>-3372.7379999999998</v>
      </c>
      <c r="DW510" s="202">
        <f t="shared" si="744"/>
        <v>-3372.7379999999998</v>
      </c>
      <c r="DX510" s="203" t="e">
        <f t="shared" si="745"/>
        <v>#DIV/0!</v>
      </c>
      <c r="DY510" s="203" t="e">
        <f t="shared" si="746"/>
        <v>#DIV/0!</v>
      </c>
      <c r="DZ510" s="203" t="e">
        <f t="shared" si="747"/>
        <v>#DIV/0!</v>
      </c>
      <c r="EA510" s="19" t="e">
        <f t="shared" si="748"/>
        <v>#DIV/0!</v>
      </c>
      <c r="EB510" s="19" t="e">
        <f t="shared" si="704"/>
        <v>#DIV/0!</v>
      </c>
      <c r="EC510" s="19" t="e">
        <f t="shared" si="749"/>
        <v>#DIV/0!</v>
      </c>
      <c r="ED510" s="203" t="e">
        <f t="shared" si="750"/>
        <v>#DIV/0!</v>
      </c>
      <c r="EE510" s="203" t="e">
        <f t="shared" si="751"/>
        <v>#DIV/0!</v>
      </c>
      <c r="EF510" s="203" t="e">
        <f t="shared" si="752"/>
        <v>#DIV/0!</v>
      </c>
      <c r="EH510" s="58">
        <f t="shared" si="596"/>
        <v>3372.7379999999998</v>
      </c>
      <c r="EI510" s="68" t="e">
        <f t="shared" si="597"/>
        <v>#DIV/0!</v>
      </c>
      <c r="EJ510" s="58">
        <f t="shared" si="598"/>
        <v>3372.7379999999998</v>
      </c>
      <c r="EK510" s="68" t="e">
        <f t="shared" si="597"/>
        <v>#DIV/0!</v>
      </c>
      <c r="EL510" s="58">
        <f t="shared" si="599"/>
        <v>0</v>
      </c>
      <c r="EM510" s="58">
        <f t="shared" si="600"/>
        <v>0</v>
      </c>
      <c r="EN510" s="68" t="e">
        <f t="shared" si="601"/>
        <v>#DIV/0!</v>
      </c>
      <c r="EO510" s="139">
        <f t="shared" si="652"/>
        <v>0.4050825009776523</v>
      </c>
      <c r="EP510">
        <f>+(SUM(M510:O510)*EO510*(1-'[1]Tier 3 Data'!$A$2))</f>
        <v>0</v>
      </c>
    </row>
    <row r="511" spans="1:146" x14ac:dyDescent="0.2">
      <c r="A511" s="43">
        <v>0</v>
      </c>
      <c r="B511" s="43">
        <v>0</v>
      </c>
      <c r="C511" s="43">
        <v>0</v>
      </c>
      <c r="D511" s="70">
        <v>2049</v>
      </c>
      <c r="E511" s="70">
        <v>12</v>
      </c>
      <c r="F511" s="2">
        <v>744</v>
      </c>
      <c r="G511" s="133">
        <f t="shared" si="636"/>
        <v>0</v>
      </c>
      <c r="H511" s="64"/>
      <c r="I511" s="133">
        <f t="shared" si="637"/>
        <v>0</v>
      </c>
      <c r="J511" s="133">
        <f t="shared" si="576"/>
        <v>0</v>
      </c>
      <c r="K511" s="64"/>
      <c r="L511" s="133">
        <f t="shared" si="577"/>
        <v>0</v>
      </c>
      <c r="M511" s="5"/>
      <c r="N511" s="5"/>
      <c r="O511" s="5"/>
      <c r="P511" s="200">
        <f t="shared" si="568"/>
        <v>0</v>
      </c>
      <c r="Q511" s="200">
        <f t="shared" si="569"/>
        <v>0</v>
      </c>
      <c r="R511" s="200">
        <f t="shared" si="570"/>
        <v>0</v>
      </c>
      <c r="S511" s="133">
        <f t="shared" si="638"/>
        <v>0</v>
      </c>
      <c r="T511" s="133">
        <f t="shared" si="639"/>
        <v>0</v>
      </c>
      <c r="U511" s="133">
        <f t="shared" si="640"/>
        <v>0</v>
      </c>
      <c r="V511" s="200">
        <f t="shared" si="571"/>
        <v>0</v>
      </c>
      <c r="W511" s="200">
        <f t="shared" si="572"/>
        <v>0</v>
      </c>
      <c r="X511" s="200">
        <f t="shared" si="573"/>
        <v>0</v>
      </c>
      <c r="Y511" s="58">
        <f t="shared" si="624"/>
        <v>0</v>
      </c>
      <c r="AA511" s="58">
        <f t="shared" si="625"/>
        <v>0</v>
      </c>
      <c r="AB511" s="200">
        <f t="shared" si="611"/>
        <v>0</v>
      </c>
      <c r="AC511" s="200">
        <f t="shared" si="612"/>
        <v>0</v>
      </c>
      <c r="AD511" s="200">
        <f t="shared" si="613"/>
        <v>0</v>
      </c>
      <c r="AE511" s="199">
        <f t="shared" si="719"/>
        <v>0</v>
      </c>
      <c r="AF511" s="199">
        <f t="shared" si="614"/>
        <v>0</v>
      </c>
      <c r="AG511" s="199">
        <f t="shared" si="720"/>
        <v>0</v>
      </c>
      <c r="AH511" s="199">
        <f t="shared" si="641"/>
        <v>0</v>
      </c>
      <c r="AI511" s="200">
        <f t="shared" si="615"/>
        <v>0</v>
      </c>
      <c r="AJ511" s="200">
        <f t="shared" si="616"/>
        <v>0</v>
      </c>
      <c r="AK511" s="200">
        <f t="shared" si="617"/>
        <v>0</v>
      </c>
      <c r="AL511" s="4"/>
      <c r="AM511" s="4"/>
      <c r="AN511" s="4"/>
      <c r="AO511" s="4"/>
      <c r="AP511" s="63"/>
      <c r="AQ511" s="18"/>
      <c r="AR511" s="18"/>
      <c r="AS511" s="18"/>
      <c r="AT511" s="18">
        <v>0</v>
      </c>
      <c r="AU511" s="133">
        <f t="shared" ref="AU511" si="768">+AU499</f>
        <v>105.066</v>
      </c>
      <c r="AV511" s="133">
        <f t="shared" ref="AV511" si="769">+AV499</f>
        <v>3218.8470000000002</v>
      </c>
      <c r="AW511" s="194"/>
      <c r="AX511" s="194"/>
      <c r="AY511" s="194"/>
      <c r="AZ511" s="194"/>
      <c r="BA511" s="194"/>
      <c r="BB511" s="194"/>
      <c r="BC511" s="65">
        <v>0</v>
      </c>
      <c r="BD511" s="65">
        <v>0</v>
      </c>
      <c r="BE511" s="65">
        <v>0</v>
      </c>
      <c r="BF511" s="65">
        <v>0</v>
      </c>
      <c r="BG511" s="65">
        <v>0</v>
      </c>
      <c r="BH511" s="65">
        <v>0</v>
      </c>
      <c r="BI511" s="65">
        <v>0</v>
      </c>
      <c r="BJ511" s="65">
        <v>0</v>
      </c>
      <c r="BK511" s="65">
        <v>0</v>
      </c>
      <c r="BL511" s="65">
        <v>0</v>
      </c>
      <c r="BM511" s="65">
        <v>0</v>
      </c>
      <c r="BN511" s="65">
        <v>0</v>
      </c>
      <c r="BO511" s="65">
        <v>0</v>
      </c>
      <c r="BP511" s="5"/>
      <c r="BQ511" s="5"/>
      <c r="BR511" s="5"/>
      <c r="BS511" s="64"/>
      <c r="BT511" s="5"/>
      <c r="BU511" s="5"/>
      <c r="BV511" s="144">
        <f t="shared" si="608"/>
        <v>0</v>
      </c>
      <c r="BW511" s="144">
        <f t="shared" si="609"/>
        <v>0</v>
      </c>
      <c r="BX511" s="144">
        <f t="shared" si="610"/>
        <v>0</v>
      </c>
      <c r="BY511" s="5"/>
      <c r="BZ511" s="5"/>
      <c r="CA511" s="4"/>
      <c r="CB511" s="5"/>
      <c r="CC511" s="5"/>
      <c r="CD511" s="5"/>
      <c r="CE511" s="5"/>
      <c r="CF511" s="64"/>
      <c r="CG511" s="70"/>
      <c r="CH511" s="70"/>
      <c r="CI511" s="70"/>
      <c r="CJ511" s="63"/>
      <c r="CK511" s="8">
        <f t="shared" si="761"/>
        <v>3323.913</v>
      </c>
      <c r="CL511" s="202">
        <f t="shared" si="683"/>
        <v>-3323.913</v>
      </c>
      <c r="CM511" s="202">
        <f t="shared" si="684"/>
        <v>-3323.913</v>
      </c>
      <c r="CN511" s="202">
        <f t="shared" si="685"/>
        <v>-3323.913</v>
      </c>
      <c r="CO511" s="9">
        <f t="shared" si="686"/>
        <v>-3323.913</v>
      </c>
      <c r="CP511" s="9">
        <f t="shared" si="687"/>
        <v>-3323.913</v>
      </c>
      <c r="CQ511" s="9">
        <f t="shared" si="688"/>
        <v>-3323.913</v>
      </c>
      <c r="CR511" s="202">
        <f t="shared" si="689"/>
        <v>-3323.913</v>
      </c>
      <c r="CS511" s="202">
        <f t="shared" si="690"/>
        <v>-3323.913</v>
      </c>
      <c r="CT511" s="202">
        <f t="shared" si="691"/>
        <v>-3323.913</v>
      </c>
      <c r="CU511" s="203" t="e">
        <f t="shared" si="692"/>
        <v>#DIV/0!</v>
      </c>
      <c r="CV511" s="203" t="e">
        <f t="shared" si="693"/>
        <v>#DIV/0!</v>
      </c>
      <c r="CW511" s="203" t="e">
        <f t="shared" si="694"/>
        <v>#DIV/0!</v>
      </c>
      <c r="CX511" s="19" t="e">
        <f t="shared" si="695"/>
        <v>#DIV/0!</v>
      </c>
      <c r="CY511" s="19" t="e">
        <f t="shared" si="696"/>
        <v>#DIV/0!</v>
      </c>
      <c r="CZ511" s="19" t="e">
        <f t="shared" si="697"/>
        <v>#DIV/0!</v>
      </c>
      <c r="DA511" s="203" t="e">
        <f t="shared" si="698"/>
        <v>#DIV/0!</v>
      </c>
      <c r="DB511" s="203" t="e">
        <f t="shared" si="699"/>
        <v>#DIV/0!</v>
      </c>
      <c r="DC511" s="203" t="e">
        <f t="shared" si="700"/>
        <v>#DIV/0!</v>
      </c>
      <c r="DD511" s="65"/>
      <c r="DE511" s="66"/>
      <c r="DF511" s="66"/>
      <c r="DG511" s="66"/>
      <c r="DH511" s="66"/>
      <c r="DI511" s="66"/>
      <c r="DJ511" s="66"/>
      <c r="DK511" s="70"/>
      <c r="DL511" s="70"/>
      <c r="DM511" s="8">
        <f t="shared" si="762"/>
        <v>0</v>
      </c>
      <c r="DN511" s="8">
        <f t="shared" si="763"/>
        <v>3323.913</v>
      </c>
      <c r="DO511" s="202">
        <f t="shared" si="737"/>
        <v>-3323.913</v>
      </c>
      <c r="DP511" s="202">
        <f t="shared" si="738"/>
        <v>-3323.913</v>
      </c>
      <c r="DQ511" s="202">
        <f t="shared" si="739"/>
        <v>-3323.913</v>
      </c>
      <c r="DR511" s="9">
        <f t="shared" si="740"/>
        <v>-3323.913</v>
      </c>
      <c r="DS511" s="9">
        <f t="shared" si="703"/>
        <v>-3323.913</v>
      </c>
      <c r="DT511" s="9">
        <f t="shared" si="741"/>
        <v>-3323.913</v>
      </c>
      <c r="DU511" s="202">
        <f t="shared" si="742"/>
        <v>-3323.913</v>
      </c>
      <c r="DV511" s="202">
        <f t="shared" si="743"/>
        <v>-3323.913</v>
      </c>
      <c r="DW511" s="202">
        <f t="shared" si="744"/>
        <v>-3323.913</v>
      </c>
      <c r="DX511" s="203" t="e">
        <f t="shared" si="745"/>
        <v>#DIV/0!</v>
      </c>
      <c r="DY511" s="203" t="e">
        <f t="shared" si="746"/>
        <v>#DIV/0!</v>
      </c>
      <c r="DZ511" s="203" t="e">
        <f t="shared" si="747"/>
        <v>#DIV/0!</v>
      </c>
      <c r="EA511" s="19" t="e">
        <f t="shared" si="748"/>
        <v>#DIV/0!</v>
      </c>
      <c r="EB511" s="19" t="e">
        <f t="shared" si="704"/>
        <v>#DIV/0!</v>
      </c>
      <c r="EC511" s="19" t="e">
        <f t="shared" si="749"/>
        <v>#DIV/0!</v>
      </c>
      <c r="ED511" s="203" t="e">
        <f t="shared" si="750"/>
        <v>#DIV/0!</v>
      </c>
      <c r="EE511" s="203" t="e">
        <f t="shared" si="751"/>
        <v>#DIV/0!</v>
      </c>
      <c r="EF511" s="203" t="e">
        <f t="shared" si="752"/>
        <v>#DIV/0!</v>
      </c>
      <c r="EH511" s="58">
        <f t="shared" si="596"/>
        <v>3323.913</v>
      </c>
      <c r="EI511" s="68" t="e">
        <f t="shared" si="597"/>
        <v>#DIV/0!</v>
      </c>
      <c r="EJ511" s="58">
        <f t="shared" si="598"/>
        <v>3323.913</v>
      </c>
      <c r="EK511" s="68" t="e">
        <f t="shared" si="597"/>
        <v>#DIV/0!</v>
      </c>
      <c r="EL511" s="58">
        <f t="shared" si="599"/>
        <v>0</v>
      </c>
      <c r="EM511" s="58">
        <f t="shared" si="600"/>
        <v>0</v>
      </c>
      <c r="EN511" s="68" t="e">
        <f t="shared" si="601"/>
        <v>#DIV/0!</v>
      </c>
      <c r="EO511" s="139">
        <f t="shared" si="652"/>
        <v>0.32946562535829382</v>
      </c>
      <c r="EP511">
        <f>+(SUM(M511:O511)*EO511*(1-'[1]Tier 3 Data'!$A$2))</f>
        <v>0</v>
      </c>
    </row>
    <row r="512" spans="1:146" x14ac:dyDescent="0.2">
      <c r="A512" s="43">
        <v>0</v>
      </c>
      <c r="B512" s="43">
        <v>0</v>
      </c>
      <c r="C512" s="43">
        <v>0</v>
      </c>
      <c r="D512" s="70">
        <v>2050</v>
      </c>
      <c r="E512" s="70">
        <v>1</v>
      </c>
      <c r="F512" s="2">
        <v>744</v>
      </c>
      <c r="G512" s="133">
        <f t="shared" si="636"/>
        <v>0</v>
      </c>
      <c r="H512" s="64"/>
      <c r="I512" s="133">
        <f t="shared" si="637"/>
        <v>0</v>
      </c>
      <c r="J512" s="133">
        <f t="shared" si="576"/>
        <v>0</v>
      </c>
      <c r="K512" s="64"/>
      <c r="L512" s="133">
        <f t="shared" si="577"/>
        <v>0</v>
      </c>
      <c r="M512" s="5"/>
      <c r="N512" s="5"/>
      <c r="O512" s="5"/>
      <c r="P512" s="200">
        <f t="shared" ref="P512:P575" si="770">+$G512-J512-(30%*SUM($M512:$O512))</f>
        <v>0</v>
      </c>
      <c r="Q512" s="200">
        <f t="shared" ref="Q512:Q575" si="771">+$G512-K512-(30%*SUM($M512:$O512))</f>
        <v>0</v>
      </c>
      <c r="R512" s="200">
        <f t="shared" ref="R512:R575" si="772">+$G512-L512-(30%*SUM($M512:$O512))</f>
        <v>0</v>
      </c>
      <c r="S512" s="133">
        <f t="shared" si="638"/>
        <v>0</v>
      </c>
      <c r="T512" s="133">
        <f t="shared" si="639"/>
        <v>0</v>
      </c>
      <c r="U512" s="133">
        <f t="shared" si="640"/>
        <v>0</v>
      </c>
      <c r="V512" s="200">
        <f t="shared" ref="V512:V575" si="773">+$I512-J512-(30%*SUM($M512:$O512))</f>
        <v>0</v>
      </c>
      <c r="W512" s="200">
        <f t="shared" ref="W512:W575" si="774">+$I512-K512-(30%*SUM($M512:$O512))</f>
        <v>0</v>
      </c>
      <c r="X512" s="200">
        <f t="shared" ref="X512:X575" si="775">+$I512-L512-(30%*SUM($M512:$O512))</f>
        <v>0</v>
      </c>
      <c r="Y512" s="58">
        <f t="shared" si="624"/>
        <v>0</v>
      </c>
      <c r="AA512" s="58">
        <f t="shared" si="625"/>
        <v>0</v>
      </c>
      <c r="AB512" s="200">
        <f t="shared" si="611"/>
        <v>0</v>
      </c>
      <c r="AC512" s="200">
        <f t="shared" si="612"/>
        <v>0</v>
      </c>
      <c r="AD512" s="200">
        <f t="shared" si="613"/>
        <v>0</v>
      </c>
      <c r="AE512" s="199">
        <f t="shared" si="719"/>
        <v>0</v>
      </c>
      <c r="AF512" s="199">
        <f t="shared" si="614"/>
        <v>0</v>
      </c>
      <c r="AG512" s="199">
        <f t="shared" si="720"/>
        <v>0</v>
      </c>
      <c r="AH512" s="199">
        <f t="shared" si="641"/>
        <v>0</v>
      </c>
      <c r="AI512" s="200">
        <f t="shared" si="615"/>
        <v>0</v>
      </c>
      <c r="AJ512" s="200">
        <f t="shared" si="616"/>
        <v>0</v>
      </c>
      <c r="AK512" s="200">
        <f t="shared" si="617"/>
        <v>0</v>
      </c>
      <c r="AL512" s="4"/>
      <c r="AM512" s="4"/>
      <c r="AN512" s="4"/>
      <c r="AO512" s="4"/>
      <c r="AP512" s="63"/>
      <c r="AQ512" s="18"/>
      <c r="AR512" s="18"/>
      <c r="AS512" s="18"/>
      <c r="AT512" s="18">
        <v>0</v>
      </c>
      <c r="AU512" s="133">
        <f t="shared" ref="AU512" si="776">+AU500</f>
        <v>98.513999999999996</v>
      </c>
      <c r="AV512" s="133">
        <f t="shared" ref="AV512" si="777">+AV500</f>
        <v>3278.6750000000002</v>
      </c>
      <c r="AW512" s="194"/>
      <c r="AX512" s="194"/>
      <c r="AY512" s="194"/>
      <c r="AZ512" s="194"/>
      <c r="BA512" s="194"/>
      <c r="BB512" s="194"/>
      <c r="BC512" s="65">
        <v>0</v>
      </c>
      <c r="BD512" s="65">
        <v>0</v>
      </c>
      <c r="BE512" s="65">
        <v>0</v>
      </c>
      <c r="BF512" s="65">
        <v>0</v>
      </c>
      <c r="BG512" s="65">
        <v>0</v>
      </c>
      <c r="BH512" s="65">
        <v>0</v>
      </c>
      <c r="BI512" s="65">
        <v>0</v>
      </c>
      <c r="BJ512" s="65">
        <v>0</v>
      </c>
      <c r="BK512" s="65">
        <v>0</v>
      </c>
      <c r="BL512" s="65">
        <v>0</v>
      </c>
      <c r="BM512" s="65">
        <v>0</v>
      </c>
      <c r="BN512" s="65">
        <v>0</v>
      </c>
      <c r="BO512" s="65">
        <v>0</v>
      </c>
      <c r="BP512" s="5"/>
      <c r="BQ512" s="5"/>
      <c r="BR512" s="5"/>
      <c r="BS512" s="64"/>
      <c r="BT512" s="5"/>
      <c r="BU512" s="5"/>
      <c r="BV512" s="144">
        <f t="shared" si="608"/>
        <v>0</v>
      </c>
      <c r="BW512" s="144">
        <f t="shared" si="609"/>
        <v>0</v>
      </c>
      <c r="BX512" s="144">
        <f t="shared" si="610"/>
        <v>0</v>
      </c>
      <c r="BY512" s="5"/>
      <c r="BZ512" s="5"/>
      <c r="CA512" s="4"/>
      <c r="CB512" s="5"/>
      <c r="CC512" s="5"/>
      <c r="CD512" s="5"/>
      <c r="CE512" s="5"/>
      <c r="CF512" s="64"/>
      <c r="CG512" s="70"/>
      <c r="CH512" s="70"/>
      <c r="CI512" s="70"/>
      <c r="CJ512" s="63"/>
      <c r="CK512" s="8">
        <f t="shared" si="761"/>
        <v>3377.1890000000003</v>
      </c>
      <c r="CL512" s="202">
        <f t="shared" si="683"/>
        <v>-3377.1890000000003</v>
      </c>
      <c r="CM512" s="202">
        <f t="shared" si="684"/>
        <v>-3377.1890000000003</v>
      </c>
      <c r="CN512" s="202">
        <f t="shared" si="685"/>
        <v>-3377.1890000000003</v>
      </c>
      <c r="CO512" s="9">
        <f t="shared" si="686"/>
        <v>-3377.1890000000003</v>
      </c>
      <c r="CP512" s="9">
        <f t="shared" si="687"/>
        <v>-3377.1890000000003</v>
      </c>
      <c r="CQ512" s="9">
        <f t="shared" si="688"/>
        <v>-3377.1890000000003</v>
      </c>
      <c r="CR512" s="202">
        <f t="shared" si="689"/>
        <v>-3377.1890000000003</v>
      </c>
      <c r="CS512" s="202">
        <f t="shared" si="690"/>
        <v>-3377.1890000000003</v>
      </c>
      <c r="CT512" s="202">
        <f t="shared" si="691"/>
        <v>-3377.1890000000003</v>
      </c>
      <c r="CU512" s="203" t="e">
        <f t="shared" si="692"/>
        <v>#DIV/0!</v>
      </c>
      <c r="CV512" s="203" t="e">
        <f t="shared" si="693"/>
        <v>#DIV/0!</v>
      </c>
      <c r="CW512" s="203" t="e">
        <f t="shared" si="694"/>
        <v>#DIV/0!</v>
      </c>
      <c r="CX512" s="19" t="e">
        <f t="shared" si="695"/>
        <v>#DIV/0!</v>
      </c>
      <c r="CY512" s="19" t="e">
        <f t="shared" si="696"/>
        <v>#DIV/0!</v>
      </c>
      <c r="CZ512" s="19" t="e">
        <f t="shared" si="697"/>
        <v>#DIV/0!</v>
      </c>
      <c r="DA512" s="203" t="e">
        <f t="shared" si="698"/>
        <v>#DIV/0!</v>
      </c>
      <c r="DB512" s="203" t="e">
        <f t="shared" si="699"/>
        <v>#DIV/0!</v>
      </c>
      <c r="DC512" s="203" t="e">
        <f t="shared" si="700"/>
        <v>#DIV/0!</v>
      </c>
      <c r="DD512" s="65"/>
      <c r="DE512" s="66"/>
      <c r="DF512" s="66"/>
      <c r="DG512" s="66"/>
      <c r="DH512" s="66"/>
      <c r="DI512" s="66"/>
      <c r="DJ512" s="66"/>
      <c r="DK512" s="70"/>
      <c r="DL512" s="70"/>
      <c r="DM512" s="8">
        <f t="shared" si="762"/>
        <v>0</v>
      </c>
      <c r="DN512" s="8">
        <f t="shared" si="763"/>
        <v>3377.1890000000003</v>
      </c>
      <c r="DO512" s="202">
        <f t="shared" si="737"/>
        <v>-3377.1890000000003</v>
      </c>
      <c r="DP512" s="202">
        <f t="shared" si="738"/>
        <v>-3377.1890000000003</v>
      </c>
      <c r="DQ512" s="202">
        <f t="shared" si="739"/>
        <v>-3377.1890000000003</v>
      </c>
      <c r="DR512" s="9">
        <f t="shared" si="740"/>
        <v>-3377.1890000000003</v>
      </c>
      <c r="DS512" s="9">
        <f t="shared" si="703"/>
        <v>-3377.1890000000003</v>
      </c>
      <c r="DT512" s="9">
        <f t="shared" si="741"/>
        <v>-3377.1890000000003</v>
      </c>
      <c r="DU512" s="202">
        <f t="shared" si="742"/>
        <v>-3377.1890000000003</v>
      </c>
      <c r="DV512" s="202">
        <f t="shared" si="743"/>
        <v>-3377.1890000000003</v>
      </c>
      <c r="DW512" s="202">
        <f t="shared" si="744"/>
        <v>-3377.1890000000003</v>
      </c>
      <c r="DX512" s="203" t="e">
        <f t="shared" si="745"/>
        <v>#DIV/0!</v>
      </c>
      <c r="DY512" s="203" t="e">
        <f t="shared" si="746"/>
        <v>#DIV/0!</v>
      </c>
      <c r="DZ512" s="203" t="e">
        <f t="shared" si="747"/>
        <v>#DIV/0!</v>
      </c>
      <c r="EA512" s="19" t="e">
        <f t="shared" si="748"/>
        <v>#DIV/0!</v>
      </c>
      <c r="EB512" s="19" t="e">
        <f t="shared" si="704"/>
        <v>#DIV/0!</v>
      </c>
      <c r="EC512" s="19" t="e">
        <f t="shared" si="749"/>
        <v>#DIV/0!</v>
      </c>
      <c r="ED512" s="203" t="e">
        <f t="shared" si="750"/>
        <v>#DIV/0!</v>
      </c>
      <c r="EE512" s="203" t="e">
        <f t="shared" si="751"/>
        <v>#DIV/0!</v>
      </c>
      <c r="EF512" s="203" t="e">
        <f t="shared" si="752"/>
        <v>#DIV/0!</v>
      </c>
      <c r="EH512" s="58">
        <f t="shared" si="596"/>
        <v>3377.1890000000003</v>
      </c>
      <c r="EI512" s="68" t="e">
        <f t="shared" si="597"/>
        <v>#DIV/0!</v>
      </c>
      <c r="EJ512" s="58">
        <f t="shared" si="598"/>
        <v>3377.1890000000003</v>
      </c>
      <c r="EK512" s="68" t="e">
        <f t="shared" si="597"/>
        <v>#DIV/0!</v>
      </c>
      <c r="EL512" s="58">
        <f t="shared" si="599"/>
        <v>0</v>
      </c>
      <c r="EM512" s="58">
        <f t="shared" si="600"/>
        <v>0</v>
      </c>
      <c r="EN512" s="68" t="e">
        <f t="shared" si="601"/>
        <v>#DIV/0!</v>
      </c>
      <c r="EO512" s="139">
        <f t="shared" si="652"/>
        <v>0.32527353469126524</v>
      </c>
      <c r="EP512">
        <f>+(SUM(M512:O512)*EO512*(1-'[1]Tier 3 Data'!$A$2))</f>
        <v>0</v>
      </c>
    </row>
    <row r="513" spans="1:146" x14ac:dyDescent="0.2">
      <c r="A513" s="43">
        <v>0</v>
      </c>
      <c r="B513" s="43">
        <v>0</v>
      </c>
      <c r="C513" s="43">
        <v>0</v>
      </c>
      <c r="D513" s="70">
        <v>2050</v>
      </c>
      <c r="E513" s="70">
        <v>2</v>
      </c>
      <c r="F513" s="2">
        <v>672</v>
      </c>
      <c r="G513" s="133">
        <f t="shared" si="636"/>
        <v>0</v>
      </c>
      <c r="H513" s="64"/>
      <c r="I513" s="133">
        <f t="shared" si="637"/>
        <v>0</v>
      </c>
      <c r="J513" s="133">
        <f t="shared" ref="J513:J576" si="778">+K513</f>
        <v>0</v>
      </c>
      <c r="K513" s="64"/>
      <c r="L513" s="133">
        <f t="shared" ref="L513:L576" si="779">+K513</f>
        <v>0</v>
      </c>
      <c r="M513" s="5"/>
      <c r="N513" s="5"/>
      <c r="O513" s="5"/>
      <c r="P513" s="200">
        <f t="shared" si="770"/>
        <v>0</v>
      </c>
      <c r="Q513" s="200">
        <f t="shared" si="771"/>
        <v>0</v>
      </c>
      <c r="R513" s="200">
        <f t="shared" si="772"/>
        <v>0</v>
      </c>
      <c r="S513" s="133">
        <f t="shared" si="638"/>
        <v>0</v>
      </c>
      <c r="T513" s="133">
        <f t="shared" si="639"/>
        <v>0</v>
      </c>
      <c r="U513" s="133">
        <f t="shared" si="640"/>
        <v>0</v>
      </c>
      <c r="V513" s="200">
        <f t="shared" si="773"/>
        <v>0</v>
      </c>
      <c r="W513" s="200">
        <f t="shared" si="774"/>
        <v>0</v>
      </c>
      <c r="X513" s="200">
        <f t="shared" si="775"/>
        <v>0</v>
      </c>
      <c r="Y513" s="58">
        <f t="shared" si="624"/>
        <v>0</v>
      </c>
      <c r="AA513" s="58">
        <f t="shared" si="625"/>
        <v>0</v>
      </c>
      <c r="AB513" s="200">
        <f t="shared" si="611"/>
        <v>0</v>
      </c>
      <c r="AC513" s="200">
        <f t="shared" si="612"/>
        <v>0</v>
      </c>
      <c r="AD513" s="200">
        <f t="shared" si="613"/>
        <v>0</v>
      </c>
      <c r="AE513" s="199">
        <f t="shared" si="719"/>
        <v>0</v>
      </c>
      <c r="AF513" s="199">
        <f t="shared" si="614"/>
        <v>0</v>
      </c>
      <c r="AG513" s="199">
        <f t="shared" si="720"/>
        <v>0</v>
      </c>
      <c r="AH513" s="199">
        <f t="shared" si="641"/>
        <v>0</v>
      </c>
      <c r="AI513" s="200">
        <f t="shared" si="615"/>
        <v>0</v>
      </c>
      <c r="AJ513" s="200">
        <f t="shared" si="616"/>
        <v>0</v>
      </c>
      <c r="AK513" s="200">
        <f t="shared" si="617"/>
        <v>0</v>
      </c>
      <c r="AL513" s="4"/>
      <c r="AM513" s="4"/>
      <c r="AN513" s="4"/>
      <c r="AO513" s="4"/>
      <c r="AP513" s="63"/>
      <c r="AQ513" s="18"/>
      <c r="AR513" s="18"/>
      <c r="AS513" s="18"/>
      <c r="AT513" s="18">
        <v>0</v>
      </c>
      <c r="AU513" s="133">
        <f t="shared" ref="AU513" si="780">+AU501</f>
        <v>92.897999999999996</v>
      </c>
      <c r="AV513" s="133">
        <f t="shared" ref="AV513" si="781">+AV501</f>
        <v>3057.587</v>
      </c>
      <c r="AW513" s="194"/>
      <c r="AX513" s="194"/>
      <c r="AY513" s="194"/>
      <c r="AZ513" s="194"/>
      <c r="BA513" s="194"/>
      <c r="BB513" s="194"/>
      <c r="BC513" s="65">
        <v>0</v>
      </c>
      <c r="BD513" s="65">
        <v>0</v>
      </c>
      <c r="BE513" s="65">
        <v>0</v>
      </c>
      <c r="BF513" s="65">
        <v>0</v>
      </c>
      <c r="BG513" s="65">
        <v>0</v>
      </c>
      <c r="BH513" s="65">
        <v>0</v>
      </c>
      <c r="BI513" s="65">
        <v>0</v>
      </c>
      <c r="BJ513" s="65">
        <v>0</v>
      </c>
      <c r="BK513" s="65">
        <v>0</v>
      </c>
      <c r="BL513" s="65">
        <v>0</v>
      </c>
      <c r="BM513" s="65">
        <v>0</v>
      </c>
      <c r="BN513" s="65">
        <v>0</v>
      </c>
      <c r="BO513" s="65">
        <v>0</v>
      </c>
      <c r="BP513" s="5"/>
      <c r="BQ513" s="5"/>
      <c r="BR513" s="5"/>
      <c r="BS513" s="64"/>
      <c r="BT513" s="5"/>
      <c r="BU513" s="5"/>
      <c r="BV513" s="144">
        <f t="shared" si="608"/>
        <v>0</v>
      </c>
      <c r="BW513" s="144">
        <f t="shared" si="609"/>
        <v>0</v>
      </c>
      <c r="BX513" s="144">
        <f t="shared" si="610"/>
        <v>0</v>
      </c>
      <c r="BY513" s="5"/>
      <c r="BZ513" s="5"/>
      <c r="CA513" s="4"/>
      <c r="CB513" s="5"/>
      <c r="CC513" s="5"/>
      <c r="CD513" s="5"/>
      <c r="CE513" s="5"/>
      <c r="CF513" s="64"/>
      <c r="CG513" s="70"/>
      <c r="CH513" s="70"/>
      <c r="CI513" s="70"/>
      <c r="CJ513" s="63"/>
      <c r="CK513" s="8">
        <f t="shared" si="761"/>
        <v>3150.4850000000001</v>
      </c>
      <c r="CL513" s="202">
        <f t="shared" si="683"/>
        <v>-3150.4850000000001</v>
      </c>
      <c r="CM513" s="202">
        <f t="shared" si="684"/>
        <v>-3150.4850000000001</v>
      </c>
      <c r="CN513" s="202">
        <f t="shared" si="685"/>
        <v>-3150.4850000000001</v>
      </c>
      <c r="CO513" s="9">
        <f t="shared" si="686"/>
        <v>-3150.4850000000001</v>
      </c>
      <c r="CP513" s="9">
        <f t="shared" si="687"/>
        <v>-3150.4850000000001</v>
      </c>
      <c r="CQ513" s="9">
        <f t="shared" si="688"/>
        <v>-3150.4850000000001</v>
      </c>
      <c r="CR513" s="202">
        <f t="shared" si="689"/>
        <v>-3150.4850000000001</v>
      </c>
      <c r="CS513" s="202">
        <f t="shared" si="690"/>
        <v>-3150.4850000000001</v>
      </c>
      <c r="CT513" s="202">
        <f t="shared" si="691"/>
        <v>-3150.4850000000001</v>
      </c>
      <c r="CU513" s="203" t="e">
        <f t="shared" si="692"/>
        <v>#DIV/0!</v>
      </c>
      <c r="CV513" s="203" t="e">
        <f t="shared" si="693"/>
        <v>#DIV/0!</v>
      </c>
      <c r="CW513" s="203" t="e">
        <f t="shared" si="694"/>
        <v>#DIV/0!</v>
      </c>
      <c r="CX513" s="19" t="e">
        <f t="shared" si="695"/>
        <v>#DIV/0!</v>
      </c>
      <c r="CY513" s="19" t="e">
        <f t="shared" si="696"/>
        <v>#DIV/0!</v>
      </c>
      <c r="CZ513" s="19" t="e">
        <f t="shared" si="697"/>
        <v>#DIV/0!</v>
      </c>
      <c r="DA513" s="203" t="e">
        <f t="shared" si="698"/>
        <v>#DIV/0!</v>
      </c>
      <c r="DB513" s="203" t="e">
        <f t="shared" si="699"/>
        <v>#DIV/0!</v>
      </c>
      <c r="DC513" s="203" t="e">
        <f t="shared" si="700"/>
        <v>#DIV/0!</v>
      </c>
      <c r="DD513" s="65"/>
      <c r="DE513" s="66"/>
      <c r="DF513" s="66"/>
      <c r="DG513" s="66"/>
      <c r="DH513" s="66"/>
      <c r="DI513" s="66"/>
      <c r="DJ513" s="66"/>
      <c r="DK513" s="70"/>
      <c r="DL513" s="70"/>
      <c r="DM513" s="8">
        <f t="shared" si="762"/>
        <v>0</v>
      </c>
      <c r="DN513" s="8">
        <f t="shared" si="763"/>
        <v>3150.4850000000001</v>
      </c>
      <c r="DO513" s="202">
        <f t="shared" si="737"/>
        <v>-3150.4850000000001</v>
      </c>
      <c r="DP513" s="202">
        <f t="shared" si="738"/>
        <v>-3150.4850000000001</v>
      </c>
      <c r="DQ513" s="202">
        <f t="shared" si="739"/>
        <v>-3150.4850000000001</v>
      </c>
      <c r="DR513" s="9">
        <f t="shared" si="740"/>
        <v>-3150.4850000000001</v>
      </c>
      <c r="DS513" s="9">
        <f t="shared" si="703"/>
        <v>-3150.4850000000001</v>
      </c>
      <c r="DT513" s="9">
        <f t="shared" si="741"/>
        <v>-3150.4850000000001</v>
      </c>
      <c r="DU513" s="202">
        <f t="shared" si="742"/>
        <v>-3150.4850000000001</v>
      </c>
      <c r="DV513" s="202">
        <f t="shared" si="743"/>
        <v>-3150.4850000000001</v>
      </c>
      <c r="DW513" s="202">
        <f t="shared" si="744"/>
        <v>-3150.4850000000001</v>
      </c>
      <c r="DX513" s="203" t="e">
        <f t="shared" si="745"/>
        <v>#DIV/0!</v>
      </c>
      <c r="DY513" s="203" t="e">
        <f t="shared" si="746"/>
        <v>#DIV/0!</v>
      </c>
      <c r="DZ513" s="203" t="e">
        <f t="shared" si="747"/>
        <v>#DIV/0!</v>
      </c>
      <c r="EA513" s="19" t="e">
        <f t="shared" si="748"/>
        <v>#DIV/0!</v>
      </c>
      <c r="EB513" s="19" t="e">
        <f t="shared" si="704"/>
        <v>#DIV/0!</v>
      </c>
      <c r="EC513" s="19" t="e">
        <f t="shared" si="749"/>
        <v>#DIV/0!</v>
      </c>
      <c r="ED513" s="203" t="e">
        <f t="shared" si="750"/>
        <v>#DIV/0!</v>
      </c>
      <c r="EE513" s="203" t="e">
        <f t="shared" si="751"/>
        <v>#DIV/0!</v>
      </c>
      <c r="EF513" s="203" t="e">
        <f t="shared" si="752"/>
        <v>#DIV/0!</v>
      </c>
      <c r="EH513" s="58">
        <f t="shared" si="596"/>
        <v>3150.4850000000001</v>
      </c>
      <c r="EI513" s="68" t="e">
        <f t="shared" si="597"/>
        <v>#DIV/0!</v>
      </c>
      <c r="EJ513" s="58">
        <f t="shared" si="598"/>
        <v>3150.4850000000001</v>
      </c>
      <c r="EK513" s="68" t="e">
        <f t="shared" si="597"/>
        <v>#DIV/0!</v>
      </c>
      <c r="EL513" s="58">
        <f t="shared" si="599"/>
        <v>0</v>
      </c>
      <c r="EM513" s="58">
        <f t="shared" si="600"/>
        <v>0</v>
      </c>
      <c r="EN513" s="68" t="e">
        <f t="shared" si="601"/>
        <v>#DIV/0!</v>
      </c>
      <c r="EO513" s="139">
        <f t="shared" si="652"/>
        <v>0.3126447604730192</v>
      </c>
      <c r="EP513">
        <f>+(SUM(M513:O513)*EO513*(1-'[1]Tier 3 Data'!$A$2))</f>
        <v>0</v>
      </c>
    </row>
    <row r="514" spans="1:146" x14ac:dyDescent="0.2">
      <c r="A514" s="43">
        <v>0</v>
      </c>
      <c r="B514" s="43">
        <v>0</v>
      </c>
      <c r="C514" s="43">
        <v>0</v>
      </c>
      <c r="D514" s="70">
        <v>2050</v>
      </c>
      <c r="E514" s="70">
        <v>3</v>
      </c>
      <c r="F514" s="2">
        <v>743</v>
      </c>
      <c r="G514" s="133">
        <f t="shared" si="636"/>
        <v>0</v>
      </c>
      <c r="H514" s="64"/>
      <c r="I514" s="133">
        <f t="shared" si="637"/>
        <v>0</v>
      </c>
      <c r="J514" s="133">
        <f t="shared" si="778"/>
        <v>0</v>
      </c>
      <c r="K514" s="64"/>
      <c r="L514" s="133">
        <f t="shared" si="779"/>
        <v>0</v>
      </c>
      <c r="M514" s="5"/>
      <c r="N514" s="5"/>
      <c r="O514" s="5"/>
      <c r="P514" s="200">
        <f t="shared" si="770"/>
        <v>0</v>
      </c>
      <c r="Q514" s="200">
        <f t="shared" si="771"/>
        <v>0</v>
      </c>
      <c r="R514" s="200">
        <f t="shared" si="772"/>
        <v>0</v>
      </c>
      <c r="S514" s="133">
        <f t="shared" si="638"/>
        <v>0</v>
      </c>
      <c r="T514" s="133">
        <f t="shared" si="639"/>
        <v>0</v>
      </c>
      <c r="U514" s="133">
        <f t="shared" si="640"/>
        <v>0</v>
      </c>
      <c r="V514" s="200">
        <f t="shared" si="773"/>
        <v>0</v>
      </c>
      <c r="W514" s="200">
        <f t="shared" si="774"/>
        <v>0</v>
      </c>
      <c r="X514" s="200">
        <f t="shared" si="775"/>
        <v>0</v>
      </c>
      <c r="Y514" s="58">
        <f t="shared" si="624"/>
        <v>0</v>
      </c>
      <c r="AA514" s="58">
        <f t="shared" si="625"/>
        <v>0</v>
      </c>
      <c r="AB514" s="200">
        <f t="shared" si="611"/>
        <v>0</v>
      </c>
      <c r="AC514" s="200">
        <f t="shared" si="612"/>
        <v>0</v>
      </c>
      <c r="AD514" s="200">
        <f t="shared" si="613"/>
        <v>0</v>
      </c>
      <c r="AE514" s="199">
        <f t="shared" si="719"/>
        <v>0</v>
      </c>
      <c r="AF514" s="199">
        <f t="shared" si="614"/>
        <v>0</v>
      </c>
      <c r="AG514" s="199">
        <f t="shared" si="720"/>
        <v>0</v>
      </c>
      <c r="AH514" s="199">
        <f t="shared" si="641"/>
        <v>0</v>
      </c>
      <c r="AI514" s="200">
        <f t="shared" si="615"/>
        <v>0</v>
      </c>
      <c r="AJ514" s="200">
        <f t="shared" si="616"/>
        <v>0</v>
      </c>
      <c r="AK514" s="200">
        <f t="shared" si="617"/>
        <v>0</v>
      </c>
      <c r="AL514" s="4"/>
      <c r="AM514" s="4"/>
      <c r="AN514" s="4"/>
      <c r="AO514" s="4"/>
      <c r="AP514" s="63"/>
      <c r="AQ514" s="18"/>
      <c r="AR514" s="18"/>
      <c r="AS514" s="18"/>
      <c r="AT514" s="18">
        <v>0</v>
      </c>
      <c r="AU514" s="133">
        <f t="shared" ref="AU514" si="782">+AU502</f>
        <v>87.516000000000005</v>
      </c>
      <c r="AV514" s="133">
        <f t="shared" ref="AV514" si="783">+AV502</f>
        <v>3232.7139999999999</v>
      </c>
      <c r="AW514" s="194"/>
      <c r="AX514" s="194"/>
      <c r="AY514" s="194"/>
      <c r="AZ514" s="194"/>
      <c r="BA514" s="194"/>
      <c r="BB514" s="194"/>
      <c r="BC514" s="65">
        <v>0</v>
      </c>
      <c r="BD514" s="65">
        <v>0</v>
      </c>
      <c r="BE514" s="65">
        <v>0</v>
      </c>
      <c r="BF514" s="65">
        <v>0</v>
      </c>
      <c r="BG514" s="65">
        <v>0</v>
      </c>
      <c r="BH514" s="65">
        <v>0</v>
      </c>
      <c r="BI514" s="65">
        <v>0</v>
      </c>
      <c r="BJ514" s="65">
        <v>0</v>
      </c>
      <c r="BK514" s="65">
        <v>0</v>
      </c>
      <c r="BL514" s="65">
        <v>0</v>
      </c>
      <c r="BM514" s="65">
        <v>0</v>
      </c>
      <c r="BN514" s="65">
        <v>0</v>
      </c>
      <c r="BO514" s="65">
        <v>0</v>
      </c>
      <c r="BP514" s="5"/>
      <c r="BQ514" s="5"/>
      <c r="BR514" s="5"/>
      <c r="BS514" s="64"/>
      <c r="BT514" s="5"/>
      <c r="BU514" s="5"/>
      <c r="BV514" s="144">
        <f t="shared" si="608"/>
        <v>0</v>
      </c>
      <c r="BW514" s="144">
        <f t="shared" si="609"/>
        <v>0</v>
      </c>
      <c r="BX514" s="144">
        <f t="shared" si="610"/>
        <v>0</v>
      </c>
      <c r="BY514" s="5"/>
      <c r="BZ514" s="5"/>
      <c r="CA514" s="4"/>
      <c r="CB514" s="5"/>
      <c r="CC514" s="5"/>
      <c r="CD514" s="5"/>
      <c r="CE514" s="5"/>
      <c r="CF514" s="64"/>
      <c r="CG514" s="70"/>
      <c r="CH514" s="70"/>
      <c r="CI514" s="70"/>
      <c r="CJ514" s="63"/>
      <c r="CK514" s="8">
        <f t="shared" si="761"/>
        <v>3320.23</v>
      </c>
      <c r="CL514" s="202">
        <f t="shared" si="683"/>
        <v>-3320.23</v>
      </c>
      <c r="CM514" s="202">
        <f t="shared" si="684"/>
        <v>-3320.23</v>
      </c>
      <c r="CN514" s="202">
        <f t="shared" si="685"/>
        <v>-3320.23</v>
      </c>
      <c r="CO514" s="9">
        <f t="shared" si="686"/>
        <v>-3320.23</v>
      </c>
      <c r="CP514" s="9">
        <f t="shared" si="687"/>
        <v>-3320.23</v>
      </c>
      <c r="CQ514" s="9">
        <f t="shared" si="688"/>
        <v>-3320.23</v>
      </c>
      <c r="CR514" s="202">
        <f t="shared" si="689"/>
        <v>-3320.23</v>
      </c>
      <c r="CS514" s="202">
        <f t="shared" si="690"/>
        <v>-3320.23</v>
      </c>
      <c r="CT514" s="202">
        <f t="shared" si="691"/>
        <v>-3320.23</v>
      </c>
      <c r="CU514" s="203" t="e">
        <f t="shared" si="692"/>
        <v>#DIV/0!</v>
      </c>
      <c r="CV514" s="203" t="e">
        <f t="shared" si="693"/>
        <v>#DIV/0!</v>
      </c>
      <c r="CW514" s="203" t="e">
        <f t="shared" si="694"/>
        <v>#DIV/0!</v>
      </c>
      <c r="CX514" s="19" t="e">
        <f t="shared" si="695"/>
        <v>#DIV/0!</v>
      </c>
      <c r="CY514" s="19" t="e">
        <f t="shared" si="696"/>
        <v>#DIV/0!</v>
      </c>
      <c r="CZ514" s="19" t="e">
        <f t="shared" si="697"/>
        <v>#DIV/0!</v>
      </c>
      <c r="DA514" s="203" t="e">
        <f t="shared" si="698"/>
        <v>#DIV/0!</v>
      </c>
      <c r="DB514" s="203" t="e">
        <f t="shared" si="699"/>
        <v>#DIV/0!</v>
      </c>
      <c r="DC514" s="203" t="e">
        <f t="shared" si="700"/>
        <v>#DIV/0!</v>
      </c>
      <c r="DD514" s="65"/>
      <c r="DE514" s="66"/>
      <c r="DF514" s="66"/>
      <c r="DG514" s="66"/>
      <c r="DH514" s="66"/>
      <c r="DI514" s="66"/>
      <c r="DJ514" s="66"/>
      <c r="DK514" s="70"/>
      <c r="DL514" s="70"/>
      <c r="DM514" s="8">
        <f t="shared" si="762"/>
        <v>0</v>
      </c>
      <c r="DN514" s="8">
        <f t="shared" si="763"/>
        <v>3320.23</v>
      </c>
      <c r="DO514" s="202">
        <f t="shared" si="737"/>
        <v>-3320.23</v>
      </c>
      <c r="DP514" s="202">
        <f t="shared" si="738"/>
        <v>-3320.23</v>
      </c>
      <c r="DQ514" s="202">
        <f t="shared" si="739"/>
        <v>-3320.23</v>
      </c>
      <c r="DR514" s="9">
        <f t="shared" si="740"/>
        <v>-3320.23</v>
      </c>
      <c r="DS514" s="9">
        <f t="shared" si="703"/>
        <v>-3320.23</v>
      </c>
      <c r="DT514" s="9">
        <f t="shared" si="741"/>
        <v>-3320.23</v>
      </c>
      <c r="DU514" s="202">
        <f t="shared" si="742"/>
        <v>-3320.23</v>
      </c>
      <c r="DV514" s="202">
        <f t="shared" si="743"/>
        <v>-3320.23</v>
      </c>
      <c r="DW514" s="202">
        <f t="shared" si="744"/>
        <v>-3320.23</v>
      </c>
      <c r="DX514" s="203" t="e">
        <f t="shared" si="745"/>
        <v>#DIV/0!</v>
      </c>
      <c r="DY514" s="203" t="e">
        <f t="shared" si="746"/>
        <v>#DIV/0!</v>
      </c>
      <c r="DZ514" s="203" t="e">
        <f t="shared" si="747"/>
        <v>#DIV/0!</v>
      </c>
      <c r="EA514" s="19" t="e">
        <f t="shared" si="748"/>
        <v>#DIV/0!</v>
      </c>
      <c r="EB514" s="19" t="e">
        <f t="shared" si="704"/>
        <v>#DIV/0!</v>
      </c>
      <c r="EC514" s="19" t="e">
        <f t="shared" si="749"/>
        <v>#DIV/0!</v>
      </c>
      <c r="ED514" s="203" t="e">
        <f t="shared" si="750"/>
        <v>#DIV/0!</v>
      </c>
      <c r="EE514" s="203" t="e">
        <f t="shared" si="751"/>
        <v>#DIV/0!</v>
      </c>
      <c r="EF514" s="203" t="e">
        <f t="shared" si="752"/>
        <v>#DIV/0!</v>
      </c>
      <c r="EH514" s="58">
        <f t="shared" si="596"/>
        <v>3320.23</v>
      </c>
      <c r="EI514" s="68" t="e">
        <f t="shared" si="597"/>
        <v>#DIV/0!</v>
      </c>
      <c r="EJ514" s="58">
        <f t="shared" si="598"/>
        <v>3320.23</v>
      </c>
      <c r="EK514" s="68" t="e">
        <f t="shared" si="597"/>
        <v>#DIV/0!</v>
      </c>
      <c r="EL514" s="58">
        <f t="shared" si="599"/>
        <v>0</v>
      </c>
      <c r="EM514" s="58">
        <f t="shared" si="600"/>
        <v>0</v>
      </c>
      <c r="EN514" s="68" t="e">
        <f t="shared" si="601"/>
        <v>#DIV/0!</v>
      </c>
      <c r="EO514" s="139">
        <f t="shared" si="652"/>
        <v>0.32861286969700848</v>
      </c>
      <c r="EP514">
        <f>+(SUM(M514:O514)*EO514*(1-'[1]Tier 3 Data'!$A$2))</f>
        <v>0</v>
      </c>
    </row>
    <row r="515" spans="1:146" x14ac:dyDescent="0.2">
      <c r="A515" s="43">
        <v>0</v>
      </c>
      <c r="B515" s="43">
        <v>0</v>
      </c>
      <c r="C515" s="43">
        <v>0</v>
      </c>
      <c r="D515" s="70">
        <v>2050</v>
      </c>
      <c r="E515" s="70">
        <v>4</v>
      </c>
      <c r="F515" s="2">
        <v>720</v>
      </c>
      <c r="G515" s="133">
        <f t="shared" si="636"/>
        <v>0</v>
      </c>
      <c r="H515" s="64"/>
      <c r="I515" s="133">
        <f t="shared" si="637"/>
        <v>0</v>
      </c>
      <c r="J515" s="133">
        <f t="shared" si="778"/>
        <v>0</v>
      </c>
      <c r="K515" s="64"/>
      <c r="L515" s="133">
        <f t="shared" si="779"/>
        <v>0</v>
      </c>
      <c r="M515" s="5"/>
      <c r="N515" s="5"/>
      <c r="O515" s="5"/>
      <c r="P515" s="200">
        <f t="shared" si="770"/>
        <v>0</v>
      </c>
      <c r="Q515" s="200">
        <f t="shared" si="771"/>
        <v>0</v>
      </c>
      <c r="R515" s="200">
        <f t="shared" si="772"/>
        <v>0</v>
      </c>
      <c r="S515" s="133">
        <f t="shared" si="638"/>
        <v>0</v>
      </c>
      <c r="T515" s="133">
        <f t="shared" si="639"/>
        <v>0</v>
      </c>
      <c r="U515" s="133">
        <f t="shared" si="640"/>
        <v>0</v>
      </c>
      <c r="V515" s="200">
        <f t="shared" si="773"/>
        <v>0</v>
      </c>
      <c r="W515" s="200">
        <f t="shared" si="774"/>
        <v>0</v>
      </c>
      <c r="X515" s="200">
        <f t="shared" si="775"/>
        <v>0</v>
      </c>
      <c r="Y515" s="58">
        <f t="shared" si="624"/>
        <v>0</v>
      </c>
      <c r="AA515" s="58">
        <f t="shared" si="625"/>
        <v>0</v>
      </c>
      <c r="AB515" s="200">
        <f t="shared" si="611"/>
        <v>0</v>
      </c>
      <c r="AC515" s="200">
        <f t="shared" si="612"/>
        <v>0</v>
      </c>
      <c r="AD515" s="200">
        <f t="shared" si="613"/>
        <v>0</v>
      </c>
      <c r="AE515" s="199">
        <f t="shared" si="719"/>
        <v>0</v>
      </c>
      <c r="AF515" s="199">
        <f t="shared" si="614"/>
        <v>0</v>
      </c>
      <c r="AG515" s="199">
        <f t="shared" si="720"/>
        <v>0</v>
      </c>
      <c r="AH515" s="199">
        <f t="shared" si="641"/>
        <v>0</v>
      </c>
      <c r="AI515" s="200">
        <f t="shared" si="615"/>
        <v>0</v>
      </c>
      <c r="AJ515" s="200">
        <f t="shared" si="616"/>
        <v>0</v>
      </c>
      <c r="AK515" s="200">
        <f t="shared" si="617"/>
        <v>0</v>
      </c>
      <c r="AL515" s="4"/>
      <c r="AM515" s="4"/>
      <c r="AN515" s="4"/>
      <c r="AO515" s="4"/>
      <c r="AP515" s="63"/>
      <c r="AQ515" s="18"/>
      <c r="AR515" s="18"/>
      <c r="AS515" s="18"/>
      <c r="AT515" s="18">
        <v>0</v>
      </c>
      <c r="AU515" s="133">
        <f t="shared" ref="AU515" si="784">+AU503</f>
        <v>96.057000000000002</v>
      </c>
      <c r="AV515" s="133">
        <f t="shared" ref="AV515" si="785">+AV503</f>
        <v>3017.9659999999999</v>
      </c>
      <c r="AW515" s="194"/>
      <c r="AX515" s="194"/>
      <c r="AY515" s="194"/>
      <c r="AZ515" s="194"/>
      <c r="BA515" s="194"/>
      <c r="BB515" s="194"/>
      <c r="BC515" s="65">
        <v>0</v>
      </c>
      <c r="BD515" s="65">
        <v>0</v>
      </c>
      <c r="BE515" s="65">
        <v>0</v>
      </c>
      <c r="BF515" s="65">
        <v>0</v>
      </c>
      <c r="BG515" s="65">
        <v>0</v>
      </c>
      <c r="BH515" s="65">
        <v>0</v>
      </c>
      <c r="BI515" s="65">
        <v>0</v>
      </c>
      <c r="BJ515" s="65">
        <v>0</v>
      </c>
      <c r="BK515" s="65">
        <v>0</v>
      </c>
      <c r="BL515" s="65">
        <v>0</v>
      </c>
      <c r="BM515" s="65">
        <v>0</v>
      </c>
      <c r="BN515" s="65">
        <v>0</v>
      </c>
      <c r="BO515" s="65">
        <v>0</v>
      </c>
      <c r="BP515" s="5"/>
      <c r="BQ515" s="5"/>
      <c r="BR515" s="5"/>
      <c r="BS515" s="64"/>
      <c r="BT515" s="5"/>
      <c r="BU515" s="5"/>
      <c r="BV515" s="144">
        <f t="shared" si="608"/>
        <v>0</v>
      </c>
      <c r="BW515" s="144">
        <f t="shared" si="609"/>
        <v>0</v>
      </c>
      <c r="BX515" s="144">
        <f t="shared" si="610"/>
        <v>0</v>
      </c>
      <c r="BY515" s="5"/>
      <c r="BZ515" s="5"/>
      <c r="CA515" s="4"/>
      <c r="CB515" s="5"/>
      <c r="CC515" s="5"/>
      <c r="CD515" s="5"/>
      <c r="CE515" s="5"/>
      <c r="CF515" s="64"/>
      <c r="CG515" s="70"/>
      <c r="CH515" s="70"/>
      <c r="CI515" s="70"/>
      <c r="CJ515" s="63"/>
      <c r="CK515" s="8">
        <f t="shared" si="761"/>
        <v>3114.0229999999997</v>
      </c>
      <c r="CL515" s="202">
        <f t="shared" si="683"/>
        <v>-3114.0229999999997</v>
      </c>
      <c r="CM515" s="202">
        <f t="shared" si="684"/>
        <v>-3114.0229999999997</v>
      </c>
      <c r="CN515" s="202">
        <f t="shared" si="685"/>
        <v>-3114.0229999999997</v>
      </c>
      <c r="CO515" s="9">
        <f t="shared" si="686"/>
        <v>-3114.0229999999997</v>
      </c>
      <c r="CP515" s="9">
        <f t="shared" si="687"/>
        <v>-3114.0229999999997</v>
      </c>
      <c r="CQ515" s="9">
        <f t="shared" si="688"/>
        <v>-3114.0229999999997</v>
      </c>
      <c r="CR515" s="202">
        <f t="shared" si="689"/>
        <v>-3114.0229999999997</v>
      </c>
      <c r="CS515" s="202">
        <f t="shared" si="690"/>
        <v>-3114.0229999999997</v>
      </c>
      <c r="CT515" s="202">
        <f t="shared" si="691"/>
        <v>-3114.0229999999997</v>
      </c>
      <c r="CU515" s="203" t="e">
        <f t="shared" si="692"/>
        <v>#DIV/0!</v>
      </c>
      <c r="CV515" s="203" t="e">
        <f t="shared" si="693"/>
        <v>#DIV/0!</v>
      </c>
      <c r="CW515" s="203" t="e">
        <f t="shared" si="694"/>
        <v>#DIV/0!</v>
      </c>
      <c r="CX515" s="19" t="e">
        <f t="shared" si="695"/>
        <v>#DIV/0!</v>
      </c>
      <c r="CY515" s="19" t="e">
        <f t="shared" si="696"/>
        <v>#DIV/0!</v>
      </c>
      <c r="CZ515" s="19" t="e">
        <f t="shared" si="697"/>
        <v>#DIV/0!</v>
      </c>
      <c r="DA515" s="203" t="e">
        <f t="shared" si="698"/>
        <v>#DIV/0!</v>
      </c>
      <c r="DB515" s="203" t="e">
        <f t="shared" si="699"/>
        <v>#DIV/0!</v>
      </c>
      <c r="DC515" s="203" t="e">
        <f t="shared" si="700"/>
        <v>#DIV/0!</v>
      </c>
      <c r="DD515" s="65"/>
      <c r="DE515" s="66"/>
      <c r="DF515" s="66"/>
      <c r="DG515" s="66"/>
      <c r="DH515" s="66"/>
      <c r="DI515" s="66"/>
      <c r="DJ515" s="66"/>
      <c r="DK515" s="70"/>
      <c r="DL515" s="70"/>
      <c r="DM515" s="8">
        <f t="shared" si="762"/>
        <v>0</v>
      </c>
      <c r="DN515" s="8">
        <f t="shared" si="763"/>
        <v>3114.0229999999997</v>
      </c>
      <c r="DO515" s="202">
        <f t="shared" si="737"/>
        <v>-3114.0229999999997</v>
      </c>
      <c r="DP515" s="202">
        <f t="shared" si="738"/>
        <v>-3114.0229999999997</v>
      </c>
      <c r="DQ515" s="202">
        <f t="shared" si="739"/>
        <v>-3114.0229999999997</v>
      </c>
      <c r="DR515" s="9">
        <f t="shared" si="740"/>
        <v>-3114.0229999999997</v>
      </c>
      <c r="DS515" s="9">
        <f t="shared" si="703"/>
        <v>-3114.0229999999997</v>
      </c>
      <c r="DT515" s="9">
        <f t="shared" si="741"/>
        <v>-3114.0229999999997</v>
      </c>
      <c r="DU515" s="202">
        <f t="shared" si="742"/>
        <v>-3114.0229999999997</v>
      </c>
      <c r="DV515" s="202">
        <f t="shared" si="743"/>
        <v>-3114.0229999999997</v>
      </c>
      <c r="DW515" s="202">
        <f t="shared" si="744"/>
        <v>-3114.0229999999997</v>
      </c>
      <c r="DX515" s="203" t="e">
        <f t="shared" si="745"/>
        <v>#DIV/0!</v>
      </c>
      <c r="DY515" s="203" t="e">
        <f t="shared" si="746"/>
        <v>#DIV/0!</v>
      </c>
      <c r="DZ515" s="203" t="e">
        <f t="shared" si="747"/>
        <v>#DIV/0!</v>
      </c>
      <c r="EA515" s="19" t="e">
        <f t="shared" si="748"/>
        <v>#DIV/0!</v>
      </c>
      <c r="EB515" s="19" t="e">
        <f t="shared" si="704"/>
        <v>#DIV/0!</v>
      </c>
      <c r="EC515" s="19" t="e">
        <f t="shared" si="749"/>
        <v>#DIV/0!</v>
      </c>
      <c r="ED515" s="203" t="e">
        <f t="shared" si="750"/>
        <v>#DIV/0!</v>
      </c>
      <c r="EE515" s="203" t="e">
        <f t="shared" si="751"/>
        <v>#DIV/0!</v>
      </c>
      <c r="EF515" s="203" t="e">
        <f t="shared" si="752"/>
        <v>#DIV/0!</v>
      </c>
      <c r="EH515" s="58">
        <f t="shared" si="596"/>
        <v>3114.0229999999997</v>
      </c>
      <c r="EI515" s="68" t="e">
        <f t="shared" si="597"/>
        <v>#DIV/0!</v>
      </c>
      <c r="EJ515" s="58">
        <f t="shared" si="598"/>
        <v>3114.0229999999997</v>
      </c>
      <c r="EK515" s="68" t="e">
        <f t="shared" si="597"/>
        <v>#DIV/0!</v>
      </c>
      <c r="EL515" s="58">
        <f t="shared" si="599"/>
        <v>0</v>
      </c>
      <c r="EM515" s="58">
        <f t="shared" si="600"/>
        <v>0</v>
      </c>
      <c r="EN515" s="68" t="e">
        <f t="shared" si="601"/>
        <v>#DIV/0!</v>
      </c>
      <c r="EO515" s="139">
        <f t="shared" si="652"/>
        <v>0.35351678044029999</v>
      </c>
      <c r="EP515">
        <f>+(SUM(M515:O515)*EO515*(1-'[1]Tier 3 Data'!$A$2))</f>
        <v>0</v>
      </c>
    </row>
    <row r="516" spans="1:146" x14ac:dyDescent="0.2">
      <c r="A516" s="43">
        <v>0</v>
      </c>
      <c r="B516" s="43">
        <v>0</v>
      </c>
      <c r="C516" s="43">
        <v>0</v>
      </c>
      <c r="D516" s="70">
        <v>2050</v>
      </c>
      <c r="E516" s="70">
        <v>5</v>
      </c>
      <c r="F516" s="2">
        <v>744</v>
      </c>
      <c r="G516" s="133">
        <f t="shared" si="636"/>
        <v>0</v>
      </c>
      <c r="H516" s="64"/>
      <c r="I516" s="133">
        <f t="shared" si="637"/>
        <v>0</v>
      </c>
      <c r="J516" s="133">
        <f t="shared" si="778"/>
        <v>0</v>
      </c>
      <c r="K516" s="64"/>
      <c r="L516" s="133">
        <f t="shared" si="779"/>
        <v>0</v>
      </c>
      <c r="M516" s="5"/>
      <c r="N516" s="5"/>
      <c r="O516" s="5"/>
      <c r="P516" s="200">
        <f t="shared" si="770"/>
        <v>0</v>
      </c>
      <c r="Q516" s="200">
        <f t="shared" si="771"/>
        <v>0</v>
      </c>
      <c r="R516" s="200">
        <f t="shared" si="772"/>
        <v>0</v>
      </c>
      <c r="S516" s="133">
        <f t="shared" si="638"/>
        <v>0</v>
      </c>
      <c r="T516" s="133">
        <f t="shared" si="639"/>
        <v>0</v>
      </c>
      <c r="U516" s="133">
        <f t="shared" si="640"/>
        <v>0</v>
      </c>
      <c r="V516" s="200">
        <f t="shared" si="773"/>
        <v>0</v>
      </c>
      <c r="W516" s="200">
        <f t="shared" si="774"/>
        <v>0</v>
      </c>
      <c r="X516" s="200">
        <f t="shared" si="775"/>
        <v>0</v>
      </c>
      <c r="Y516" s="58">
        <f t="shared" si="624"/>
        <v>0</v>
      </c>
      <c r="AA516" s="58">
        <f t="shared" si="625"/>
        <v>0</v>
      </c>
      <c r="AB516" s="200">
        <f t="shared" si="611"/>
        <v>0</v>
      </c>
      <c r="AC516" s="200">
        <f t="shared" si="612"/>
        <v>0</v>
      </c>
      <c r="AD516" s="200">
        <f t="shared" si="613"/>
        <v>0</v>
      </c>
      <c r="AE516" s="199">
        <f t="shared" si="719"/>
        <v>0</v>
      </c>
      <c r="AF516" s="199">
        <f t="shared" si="614"/>
        <v>0</v>
      </c>
      <c r="AG516" s="199">
        <f t="shared" si="720"/>
        <v>0</v>
      </c>
      <c r="AH516" s="199">
        <f t="shared" si="641"/>
        <v>0</v>
      </c>
      <c r="AI516" s="200">
        <f t="shared" si="615"/>
        <v>0</v>
      </c>
      <c r="AJ516" s="200">
        <f t="shared" si="616"/>
        <v>0</v>
      </c>
      <c r="AK516" s="200">
        <f t="shared" si="617"/>
        <v>0</v>
      </c>
      <c r="AL516" s="4"/>
      <c r="AM516" s="4"/>
      <c r="AN516" s="4"/>
      <c r="AO516" s="4"/>
      <c r="AP516" s="63"/>
      <c r="AQ516" s="18"/>
      <c r="AR516" s="18"/>
      <c r="AS516" s="18"/>
      <c r="AT516" s="18">
        <v>0</v>
      </c>
      <c r="AU516" s="133">
        <f t="shared" ref="AU516" si="786">+AU504</f>
        <v>109.161</v>
      </c>
      <c r="AV516" s="133">
        <f t="shared" ref="AV516" si="787">+AV504</f>
        <v>3327.41</v>
      </c>
      <c r="AW516" s="194"/>
      <c r="AX516" s="194"/>
      <c r="AY516" s="194"/>
      <c r="AZ516" s="194"/>
      <c r="BA516" s="194"/>
      <c r="BB516" s="194"/>
      <c r="BC516" s="65">
        <v>0</v>
      </c>
      <c r="BD516" s="65">
        <v>0</v>
      </c>
      <c r="BE516" s="65">
        <v>0</v>
      </c>
      <c r="BF516" s="65">
        <v>0</v>
      </c>
      <c r="BG516" s="65">
        <v>0</v>
      </c>
      <c r="BH516" s="65">
        <v>0</v>
      </c>
      <c r="BI516" s="65">
        <v>0</v>
      </c>
      <c r="BJ516" s="65">
        <v>0</v>
      </c>
      <c r="BK516" s="65">
        <v>0</v>
      </c>
      <c r="BL516" s="65">
        <v>0</v>
      </c>
      <c r="BM516" s="65">
        <v>0</v>
      </c>
      <c r="BN516" s="65">
        <v>0</v>
      </c>
      <c r="BO516" s="65">
        <v>0</v>
      </c>
      <c r="BP516" s="5"/>
      <c r="BQ516" s="5"/>
      <c r="BR516" s="5"/>
      <c r="BS516" s="64"/>
      <c r="BT516" s="5"/>
      <c r="BU516" s="5"/>
      <c r="BV516" s="144">
        <f t="shared" si="608"/>
        <v>0</v>
      </c>
      <c r="BW516" s="144">
        <f t="shared" si="609"/>
        <v>0</v>
      </c>
      <c r="BX516" s="144">
        <f t="shared" si="610"/>
        <v>0</v>
      </c>
      <c r="BY516" s="5"/>
      <c r="BZ516" s="5"/>
      <c r="CA516" s="4"/>
      <c r="CB516" s="5"/>
      <c r="CC516" s="5"/>
      <c r="CD516" s="5"/>
      <c r="CE516" s="5"/>
      <c r="CF516" s="64"/>
      <c r="CG516" s="70"/>
      <c r="CH516" s="70"/>
      <c r="CI516" s="70"/>
      <c r="CJ516" s="63"/>
      <c r="CK516" s="8">
        <f t="shared" si="761"/>
        <v>3436.5709999999999</v>
      </c>
      <c r="CL516" s="202">
        <f t="shared" si="683"/>
        <v>-3436.5709999999999</v>
      </c>
      <c r="CM516" s="202">
        <f t="shared" si="684"/>
        <v>-3436.5709999999999</v>
      </c>
      <c r="CN516" s="202">
        <f t="shared" si="685"/>
        <v>-3436.5709999999999</v>
      </c>
      <c r="CO516" s="9">
        <f t="shared" si="686"/>
        <v>-3436.5709999999999</v>
      </c>
      <c r="CP516" s="9">
        <f t="shared" si="687"/>
        <v>-3436.5709999999999</v>
      </c>
      <c r="CQ516" s="9">
        <f t="shared" si="688"/>
        <v>-3436.5709999999999</v>
      </c>
      <c r="CR516" s="202">
        <f t="shared" si="689"/>
        <v>-3436.5709999999999</v>
      </c>
      <c r="CS516" s="202">
        <f t="shared" si="690"/>
        <v>-3436.5709999999999</v>
      </c>
      <c r="CT516" s="202">
        <f t="shared" si="691"/>
        <v>-3436.5709999999999</v>
      </c>
      <c r="CU516" s="203" t="e">
        <f t="shared" si="692"/>
        <v>#DIV/0!</v>
      </c>
      <c r="CV516" s="203" t="e">
        <f t="shared" si="693"/>
        <v>#DIV/0!</v>
      </c>
      <c r="CW516" s="203" t="e">
        <f t="shared" si="694"/>
        <v>#DIV/0!</v>
      </c>
      <c r="CX516" s="19" t="e">
        <f t="shared" si="695"/>
        <v>#DIV/0!</v>
      </c>
      <c r="CY516" s="19" t="e">
        <f t="shared" si="696"/>
        <v>#DIV/0!</v>
      </c>
      <c r="CZ516" s="19" t="e">
        <f t="shared" si="697"/>
        <v>#DIV/0!</v>
      </c>
      <c r="DA516" s="203" t="e">
        <f t="shared" si="698"/>
        <v>#DIV/0!</v>
      </c>
      <c r="DB516" s="203" t="e">
        <f t="shared" si="699"/>
        <v>#DIV/0!</v>
      </c>
      <c r="DC516" s="203" t="e">
        <f t="shared" si="700"/>
        <v>#DIV/0!</v>
      </c>
      <c r="DD516" s="65"/>
      <c r="DE516" s="66"/>
      <c r="DF516" s="66"/>
      <c r="DG516" s="66"/>
      <c r="DH516" s="66"/>
      <c r="DI516" s="66"/>
      <c r="DJ516" s="66"/>
      <c r="DK516" s="70"/>
      <c r="DL516" s="70"/>
      <c r="DM516" s="8">
        <f t="shared" si="762"/>
        <v>0</v>
      </c>
      <c r="DN516" s="8">
        <f t="shared" si="763"/>
        <v>3436.5709999999999</v>
      </c>
      <c r="DO516" s="202">
        <f t="shared" si="737"/>
        <v>-3436.5709999999999</v>
      </c>
      <c r="DP516" s="202">
        <f t="shared" si="738"/>
        <v>-3436.5709999999999</v>
      </c>
      <c r="DQ516" s="202">
        <f t="shared" si="739"/>
        <v>-3436.5709999999999</v>
      </c>
      <c r="DR516" s="9">
        <f t="shared" si="740"/>
        <v>-3436.5709999999999</v>
      </c>
      <c r="DS516" s="9">
        <f t="shared" si="703"/>
        <v>-3436.5709999999999</v>
      </c>
      <c r="DT516" s="9">
        <f t="shared" si="741"/>
        <v>-3436.5709999999999</v>
      </c>
      <c r="DU516" s="202">
        <f t="shared" si="742"/>
        <v>-3436.5709999999999</v>
      </c>
      <c r="DV516" s="202">
        <f t="shared" si="743"/>
        <v>-3436.5709999999999</v>
      </c>
      <c r="DW516" s="202">
        <f t="shared" si="744"/>
        <v>-3436.5709999999999</v>
      </c>
      <c r="DX516" s="203" t="e">
        <f t="shared" si="745"/>
        <v>#DIV/0!</v>
      </c>
      <c r="DY516" s="203" t="e">
        <f t="shared" si="746"/>
        <v>#DIV/0!</v>
      </c>
      <c r="DZ516" s="203" t="e">
        <f t="shared" si="747"/>
        <v>#DIV/0!</v>
      </c>
      <c r="EA516" s="19" t="e">
        <f t="shared" si="748"/>
        <v>#DIV/0!</v>
      </c>
      <c r="EB516" s="19" t="e">
        <f t="shared" si="704"/>
        <v>#DIV/0!</v>
      </c>
      <c r="EC516" s="19" t="e">
        <f t="shared" si="749"/>
        <v>#DIV/0!</v>
      </c>
      <c r="ED516" s="203" t="e">
        <f t="shared" si="750"/>
        <v>#DIV/0!</v>
      </c>
      <c r="EE516" s="203" t="e">
        <f t="shared" si="751"/>
        <v>#DIV/0!</v>
      </c>
      <c r="EF516" s="203" t="e">
        <f t="shared" si="752"/>
        <v>#DIV/0!</v>
      </c>
      <c r="EH516" s="58">
        <f t="shared" si="596"/>
        <v>3436.5709999999999</v>
      </c>
      <c r="EI516" s="68" t="e">
        <f t="shared" si="597"/>
        <v>#DIV/0!</v>
      </c>
      <c r="EJ516" s="58">
        <f t="shared" si="598"/>
        <v>3436.5709999999999</v>
      </c>
      <c r="EK516" s="68" t="e">
        <f t="shared" si="597"/>
        <v>#DIV/0!</v>
      </c>
      <c r="EL516" s="58">
        <f t="shared" si="599"/>
        <v>0</v>
      </c>
      <c r="EM516" s="58">
        <f t="shared" si="600"/>
        <v>0</v>
      </c>
      <c r="EN516" s="68" t="e">
        <f t="shared" si="601"/>
        <v>#DIV/0!</v>
      </c>
      <c r="EO516" s="139">
        <f t="shared" si="652"/>
        <v>0.28868615856523006</v>
      </c>
      <c r="EP516">
        <f>+(SUM(M516:O516)*EO516*(1-'[1]Tier 3 Data'!$A$2))</f>
        <v>0</v>
      </c>
    </row>
    <row r="517" spans="1:146" x14ac:dyDescent="0.2">
      <c r="A517" s="43">
        <v>0</v>
      </c>
      <c r="B517" s="43">
        <v>0</v>
      </c>
      <c r="C517" s="43">
        <v>0</v>
      </c>
      <c r="D517" s="70">
        <v>2050</v>
      </c>
      <c r="E517" s="70">
        <v>6</v>
      </c>
      <c r="F517" s="2">
        <v>720</v>
      </c>
      <c r="G517" s="133">
        <f t="shared" si="636"/>
        <v>0</v>
      </c>
      <c r="H517" s="64"/>
      <c r="I517" s="133">
        <f t="shared" si="637"/>
        <v>0</v>
      </c>
      <c r="J517" s="133">
        <f t="shared" si="778"/>
        <v>0</v>
      </c>
      <c r="K517" s="64"/>
      <c r="L517" s="133">
        <f t="shared" si="779"/>
        <v>0</v>
      </c>
      <c r="M517" s="5"/>
      <c r="N517" s="5"/>
      <c r="O517" s="5"/>
      <c r="P517" s="200">
        <f t="shared" si="770"/>
        <v>0</v>
      </c>
      <c r="Q517" s="200">
        <f t="shared" si="771"/>
        <v>0</v>
      </c>
      <c r="R517" s="200">
        <f t="shared" si="772"/>
        <v>0</v>
      </c>
      <c r="S517" s="133">
        <f t="shared" si="638"/>
        <v>0</v>
      </c>
      <c r="T517" s="133">
        <f t="shared" si="639"/>
        <v>0</v>
      </c>
      <c r="U517" s="133">
        <f t="shared" si="640"/>
        <v>0</v>
      </c>
      <c r="V517" s="200">
        <f t="shared" si="773"/>
        <v>0</v>
      </c>
      <c r="W517" s="200">
        <f t="shared" si="774"/>
        <v>0</v>
      </c>
      <c r="X517" s="200">
        <f t="shared" si="775"/>
        <v>0</v>
      </c>
      <c r="Y517" s="58">
        <f t="shared" si="624"/>
        <v>0</v>
      </c>
      <c r="AA517" s="58">
        <f t="shared" si="625"/>
        <v>0</v>
      </c>
      <c r="AB517" s="200">
        <f t="shared" si="611"/>
        <v>0</v>
      </c>
      <c r="AC517" s="200">
        <f t="shared" si="612"/>
        <v>0</v>
      </c>
      <c r="AD517" s="200">
        <f t="shared" si="613"/>
        <v>0</v>
      </c>
      <c r="AE517" s="199">
        <f t="shared" si="719"/>
        <v>0</v>
      </c>
      <c r="AF517" s="199">
        <f t="shared" si="614"/>
        <v>0</v>
      </c>
      <c r="AG517" s="199">
        <f t="shared" si="720"/>
        <v>0</v>
      </c>
      <c r="AH517" s="199">
        <f t="shared" si="641"/>
        <v>0</v>
      </c>
      <c r="AI517" s="200">
        <f t="shared" si="615"/>
        <v>0</v>
      </c>
      <c r="AJ517" s="200">
        <f t="shared" si="616"/>
        <v>0</v>
      </c>
      <c r="AK517" s="200">
        <f t="shared" si="617"/>
        <v>0</v>
      </c>
      <c r="AL517" s="4"/>
      <c r="AM517" s="4"/>
      <c r="AN517" s="4"/>
      <c r="AO517" s="4"/>
      <c r="AP517" s="63"/>
      <c r="AQ517" s="18"/>
      <c r="AR517" s="18"/>
      <c r="AS517" s="18"/>
      <c r="AT517" s="18">
        <v>0</v>
      </c>
      <c r="AU517" s="133">
        <f t="shared" ref="AU517" si="788">+AU505</f>
        <v>128.934</v>
      </c>
      <c r="AV517" s="133">
        <f t="shared" ref="AV517" si="789">+AV505</f>
        <v>3110.2840000000001</v>
      </c>
      <c r="AW517" s="194"/>
      <c r="AX517" s="194"/>
      <c r="AY517" s="194"/>
      <c r="AZ517" s="194"/>
      <c r="BA517" s="194"/>
      <c r="BB517" s="194"/>
      <c r="BC517" s="65">
        <v>0</v>
      </c>
      <c r="BD517" s="65">
        <v>0</v>
      </c>
      <c r="BE517" s="65">
        <v>0</v>
      </c>
      <c r="BF517" s="65">
        <v>0</v>
      </c>
      <c r="BG517" s="65">
        <v>0</v>
      </c>
      <c r="BH517" s="65">
        <v>0</v>
      </c>
      <c r="BI517" s="65">
        <v>0</v>
      </c>
      <c r="BJ517" s="65">
        <v>0</v>
      </c>
      <c r="BK517" s="65">
        <v>0</v>
      </c>
      <c r="BL517" s="65">
        <v>0</v>
      </c>
      <c r="BM517" s="65">
        <v>0</v>
      </c>
      <c r="BN517" s="65">
        <v>0</v>
      </c>
      <c r="BO517" s="65">
        <v>0</v>
      </c>
      <c r="BP517" s="5"/>
      <c r="BQ517" s="5"/>
      <c r="BR517" s="5"/>
      <c r="BS517" s="64"/>
      <c r="BT517" s="5"/>
      <c r="BU517" s="5"/>
      <c r="BV517" s="144">
        <f t="shared" si="608"/>
        <v>0</v>
      </c>
      <c r="BW517" s="144">
        <f t="shared" si="609"/>
        <v>0</v>
      </c>
      <c r="BX517" s="144">
        <f t="shared" si="610"/>
        <v>0</v>
      </c>
      <c r="BY517" s="5"/>
      <c r="BZ517" s="5"/>
      <c r="CA517" s="4"/>
      <c r="CB517" s="5"/>
      <c r="CC517" s="5"/>
      <c r="CD517" s="5"/>
      <c r="CE517" s="5"/>
      <c r="CF517" s="64"/>
      <c r="CG517" s="70"/>
      <c r="CH517" s="70"/>
      <c r="CI517" s="70"/>
      <c r="CJ517" s="63"/>
      <c r="CK517" s="8">
        <f t="shared" si="761"/>
        <v>3239.2180000000003</v>
      </c>
      <c r="CL517" s="202">
        <f t="shared" si="683"/>
        <v>-3239.2180000000003</v>
      </c>
      <c r="CM517" s="202">
        <f t="shared" si="684"/>
        <v>-3239.2180000000003</v>
      </c>
      <c r="CN517" s="202">
        <f t="shared" si="685"/>
        <v>-3239.2180000000003</v>
      </c>
      <c r="CO517" s="9">
        <f t="shared" si="686"/>
        <v>-3239.2180000000003</v>
      </c>
      <c r="CP517" s="9">
        <f t="shared" si="687"/>
        <v>-3239.2180000000003</v>
      </c>
      <c r="CQ517" s="9">
        <f t="shared" si="688"/>
        <v>-3239.2180000000003</v>
      </c>
      <c r="CR517" s="202">
        <f t="shared" si="689"/>
        <v>-3239.2180000000003</v>
      </c>
      <c r="CS517" s="202">
        <f t="shared" si="690"/>
        <v>-3239.2180000000003</v>
      </c>
      <c r="CT517" s="202">
        <f t="shared" si="691"/>
        <v>-3239.2180000000003</v>
      </c>
      <c r="CU517" s="203" t="e">
        <f t="shared" si="692"/>
        <v>#DIV/0!</v>
      </c>
      <c r="CV517" s="203" t="e">
        <f t="shared" si="693"/>
        <v>#DIV/0!</v>
      </c>
      <c r="CW517" s="203" t="e">
        <f t="shared" si="694"/>
        <v>#DIV/0!</v>
      </c>
      <c r="CX517" s="19" t="e">
        <f t="shared" si="695"/>
        <v>#DIV/0!</v>
      </c>
      <c r="CY517" s="19" t="e">
        <f t="shared" si="696"/>
        <v>#DIV/0!</v>
      </c>
      <c r="CZ517" s="19" t="e">
        <f t="shared" si="697"/>
        <v>#DIV/0!</v>
      </c>
      <c r="DA517" s="203" t="e">
        <f t="shared" si="698"/>
        <v>#DIV/0!</v>
      </c>
      <c r="DB517" s="203" t="e">
        <f t="shared" si="699"/>
        <v>#DIV/0!</v>
      </c>
      <c r="DC517" s="203" t="e">
        <f t="shared" si="700"/>
        <v>#DIV/0!</v>
      </c>
      <c r="DD517" s="65"/>
      <c r="DE517" s="66"/>
      <c r="DF517" s="66"/>
      <c r="DG517" s="66"/>
      <c r="DH517" s="66"/>
      <c r="DI517" s="66"/>
      <c r="DJ517" s="66"/>
      <c r="DK517" s="70"/>
      <c r="DL517" s="70"/>
      <c r="DM517" s="8">
        <f t="shared" si="762"/>
        <v>0</v>
      </c>
      <c r="DN517" s="8">
        <f t="shared" si="763"/>
        <v>3239.2180000000003</v>
      </c>
      <c r="DO517" s="202">
        <f t="shared" si="737"/>
        <v>-3239.2180000000003</v>
      </c>
      <c r="DP517" s="202">
        <f t="shared" si="738"/>
        <v>-3239.2180000000003</v>
      </c>
      <c r="DQ517" s="202">
        <f t="shared" si="739"/>
        <v>-3239.2180000000003</v>
      </c>
      <c r="DR517" s="9">
        <f t="shared" si="740"/>
        <v>-3239.2180000000003</v>
      </c>
      <c r="DS517" s="9">
        <f t="shared" si="703"/>
        <v>-3239.2180000000003</v>
      </c>
      <c r="DT517" s="9">
        <f t="shared" si="741"/>
        <v>-3239.2180000000003</v>
      </c>
      <c r="DU517" s="202">
        <f t="shared" si="742"/>
        <v>-3239.2180000000003</v>
      </c>
      <c r="DV517" s="202">
        <f t="shared" si="743"/>
        <v>-3239.2180000000003</v>
      </c>
      <c r="DW517" s="202">
        <f t="shared" si="744"/>
        <v>-3239.2180000000003</v>
      </c>
      <c r="DX517" s="203" t="e">
        <f t="shared" si="745"/>
        <v>#DIV/0!</v>
      </c>
      <c r="DY517" s="203" t="e">
        <f t="shared" si="746"/>
        <v>#DIV/0!</v>
      </c>
      <c r="DZ517" s="203" t="e">
        <f t="shared" si="747"/>
        <v>#DIV/0!</v>
      </c>
      <c r="EA517" s="19" t="e">
        <f t="shared" si="748"/>
        <v>#DIV/0!</v>
      </c>
      <c r="EB517" s="19" t="e">
        <f t="shared" si="704"/>
        <v>#DIV/0!</v>
      </c>
      <c r="EC517" s="19" t="e">
        <f t="shared" si="749"/>
        <v>#DIV/0!</v>
      </c>
      <c r="ED517" s="203" t="e">
        <f t="shared" si="750"/>
        <v>#DIV/0!</v>
      </c>
      <c r="EE517" s="203" t="e">
        <f t="shared" si="751"/>
        <v>#DIV/0!</v>
      </c>
      <c r="EF517" s="203" t="e">
        <f t="shared" si="752"/>
        <v>#DIV/0!</v>
      </c>
      <c r="EH517" s="58">
        <f t="shared" si="596"/>
        <v>3239.2180000000003</v>
      </c>
      <c r="EI517" s="68" t="e">
        <f t="shared" si="597"/>
        <v>#DIV/0!</v>
      </c>
      <c r="EJ517" s="58">
        <f t="shared" si="598"/>
        <v>3239.2180000000003</v>
      </c>
      <c r="EK517" s="68" t="e">
        <f t="shared" si="597"/>
        <v>#DIV/0!</v>
      </c>
      <c r="EL517" s="58">
        <f t="shared" si="599"/>
        <v>0</v>
      </c>
      <c r="EM517" s="58">
        <f t="shared" si="600"/>
        <v>0</v>
      </c>
      <c r="EN517" s="68" t="e">
        <f t="shared" si="601"/>
        <v>#DIV/0!</v>
      </c>
      <c r="EO517" s="139">
        <f t="shared" si="652"/>
        <v>0.24029016665052916</v>
      </c>
      <c r="EP517">
        <f>+(SUM(M517:O517)*EO517*(1-'[1]Tier 3 Data'!$A$2))</f>
        <v>0</v>
      </c>
    </row>
    <row r="518" spans="1:146" x14ac:dyDescent="0.2">
      <c r="A518" s="43">
        <v>0</v>
      </c>
      <c r="B518" s="43">
        <v>0</v>
      </c>
      <c r="C518" s="43">
        <v>0</v>
      </c>
      <c r="D518" s="70">
        <v>2050</v>
      </c>
      <c r="E518" s="70">
        <v>7</v>
      </c>
      <c r="F518" s="2">
        <v>744</v>
      </c>
      <c r="G518" s="133">
        <f t="shared" si="636"/>
        <v>0</v>
      </c>
      <c r="H518" s="64"/>
      <c r="I518" s="133">
        <f t="shared" si="637"/>
        <v>0</v>
      </c>
      <c r="J518" s="133">
        <f t="shared" si="778"/>
        <v>0</v>
      </c>
      <c r="K518" s="64"/>
      <c r="L518" s="133">
        <f t="shared" si="779"/>
        <v>0</v>
      </c>
      <c r="M518" s="5"/>
      <c r="N518" s="5"/>
      <c r="O518" s="5"/>
      <c r="P518" s="200">
        <f t="shared" si="770"/>
        <v>0</v>
      </c>
      <c r="Q518" s="200">
        <f t="shared" si="771"/>
        <v>0</v>
      </c>
      <c r="R518" s="200">
        <f t="shared" si="772"/>
        <v>0</v>
      </c>
      <c r="S518" s="133">
        <f t="shared" si="638"/>
        <v>0</v>
      </c>
      <c r="T518" s="133">
        <f t="shared" si="639"/>
        <v>0</v>
      </c>
      <c r="U518" s="133">
        <f t="shared" si="640"/>
        <v>0</v>
      </c>
      <c r="V518" s="200">
        <f t="shared" si="773"/>
        <v>0</v>
      </c>
      <c r="W518" s="200">
        <f t="shared" si="774"/>
        <v>0</v>
      </c>
      <c r="X518" s="200">
        <f t="shared" si="775"/>
        <v>0</v>
      </c>
      <c r="Y518" s="58">
        <f t="shared" si="624"/>
        <v>0</v>
      </c>
      <c r="AA518" s="58">
        <f t="shared" si="625"/>
        <v>0</v>
      </c>
      <c r="AB518" s="200">
        <f t="shared" si="611"/>
        <v>0</v>
      </c>
      <c r="AC518" s="200">
        <f t="shared" si="612"/>
        <v>0</v>
      </c>
      <c r="AD518" s="200">
        <f t="shared" si="613"/>
        <v>0</v>
      </c>
      <c r="AE518" s="199">
        <f t="shared" si="719"/>
        <v>0</v>
      </c>
      <c r="AF518" s="199">
        <f t="shared" si="614"/>
        <v>0</v>
      </c>
      <c r="AG518" s="199">
        <f t="shared" si="720"/>
        <v>0</v>
      </c>
      <c r="AH518" s="199">
        <f t="shared" si="641"/>
        <v>0</v>
      </c>
      <c r="AI518" s="200">
        <f t="shared" si="615"/>
        <v>0</v>
      </c>
      <c r="AJ518" s="200">
        <f t="shared" si="616"/>
        <v>0</v>
      </c>
      <c r="AK518" s="200">
        <f t="shared" si="617"/>
        <v>0</v>
      </c>
      <c r="AL518" s="4"/>
      <c r="AM518" s="4"/>
      <c r="AN518" s="4"/>
      <c r="AO518" s="4"/>
      <c r="AP518" s="63"/>
      <c r="AQ518" s="18"/>
      <c r="AR518" s="18"/>
      <c r="AS518" s="18"/>
      <c r="AT518" s="18">
        <v>0</v>
      </c>
      <c r="AU518" s="133">
        <f t="shared" ref="AU518" si="790">+AU506</f>
        <v>118.521</v>
      </c>
      <c r="AV518" s="133">
        <f t="shared" ref="AV518" si="791">+AV506</f>
        <v>3084.53</v>
      </c>
      <c r="AW518" s="194"/>
      <c r="AX518" s="194"/>
      <c r="AY518" s="194"/>
      <c r="AZ518" s="194"/>
      <c r="BA518" s="194"/>
      <c r="BB518" s="194"/>
      <c r="BC518" s="65">
        <v>0</v>
      </c>
      <c r="BD518" s="65">
        <v>0</v>
      </c>
      <c r="BE518" s="65">
        <v>0</v>
      </c>
      <c r="BF518" s="65">
        <v>0</v>
      </c>
      <c r="BG518" s="65">
        <v>0</v>
      </c>
      <c r="BH518" s="65">
        <v>0</v>
      </c>
      <c r="BI518" s="65">
        <v>0</v>
      </c>
      <c r="BJ518" s="65">
        <v>0</v>
      </c>
      <c r="BK518" s="65">
        <v>0</v>
      </c>
      <c r="BL518" s="65">
        <v>0</v>
      </c>
      <c r="BM518" s="65">
        <v>0</v>
      </c>
      <c r="BN518" s="65">
        <v>0</v>
      </c>
      <c r="BO518" s="65">
        <v>0</v>
      </c>
      <c r="BP518" s="5"/>
      <c r="BQ518" s="5"/>
      <c r="BR518" s="5"/>
      <c r="BS518" s="64"/>
      <c r="BT518" s="5"/>
      <c r="BU518" s="5"/>
      <c r="BV518" s="144">
        <f t="shared" si="608"/>
        <v>0</v>
      </c>
      <c r="BW518" s="144">
        <f t="shared" si="609"/>
        <v>0</v>
      </c>
      <c r="BX518" s="144">
        <f t="shared" si="610"/>
        <v>0</v>
      </c>
      <c r="BY518" s="5"/>
      <c r="BZ518" s="5"/>
      <c r="CA518" s="4"/>
      <c r="CB518" s="5"/>
      <c r="CC518" s="5"/>
      <c r="CD518" s="5"/>
      <c r="CE518" s="5"/>
      <c r="CF518" s="64"/>
      <c r="CG518" s="70"/>
      <c r="CH518" s="70"/>
      <c r="CI518" s="70"/>
      <c r="CJ518" s="63"/>
      <c r="CK518" s="8">
        <f t="shared" si="761"/>
        <v>3203.0510000000004</v>
      </c>
      <c r="CL518" s="202">
        <f t="shared" si="683"/>
        <v>-3203.0510000000004</v>
      </c>
      <c r="CM518" s="202">
        <f t="shared" si="684"/>
        <v>-3203.0510000000004</v>
      </c>
      <c r="CN518" s="202">
        <f t="shared" si="685"/>
        <v>-3203.0510000000004</v>
      </c>
      <c r="CO518" s="9">
        <f t="shared" si="686"/>
        <v>-3203.0510000000004</v>
      </c>
      <c r="CP518" s="9">
        <f t="shared" si="687"/>
        <v>-3203.0510000000004</v>
      </c>
      <c r="CQ518" s="9">
        <f t="shared" si="688"/>
        <v>-3203.0510000000004</v>
      </c>
      <c r="CR518" s="202">
        <f t="shared" si="689"/>
        <v>-3203.0510000000004</v>
      </c>
      <c r="CS518" s="202">
        <f t="shared" si="690"/>
        <v>-3203.0510000000004</v>
      </c>
      <c r="CT518" s="202">
        <f t="shared" si="691"/>
        <v>-3203.0510000000004</v>
      </c>
      <c r="CU518" s="203" t="e">
        <f t="shared" si="692"/>
        <v>#DIV/0!</v>
      </c>
      <c r="CV518" s="203" t="e">
        <f t="shared" si="693"/>
        <v>#DIV/0!</v>
      </c>
      <c r="CW518" s="203" t="e">
        <f t="shared" si="694"/>
        <v>#DIV/0!</v>
      </c>
      <c r="CX518" s="19" t="e">
        <f t="shared" si="695"/>
        <v>#DIV/0!</v>
      </c>
      <c r="CY518" s="19" t="e">
        <f t="shared" si="696"/>
        <v>#DIV/0!</v>
      </c>
      <c r="CZ518" s="19" t="e">
        <f t="shared" si="697"/>
        <v>#DIV/0!</v>
      </c>
      <c r="DA518" s="203" t="e">
        <f t="shared" si="698"/>
        <v>#DIV/0!</v>
      </c>
      <c r="DB518" s="203" t="e">
        <f t="shared" si="699"/>
        <v>#DIV/0!</v>
      </c>
      <c r="DC518" s="203" t="e">
        <f t="shared" si="700"/>
        <v>#DIV/0!</v>
      </c>
      <c r="DD518" s="65"/>
      <c r="DE518" s="66"/>
      <c r="DF518" s="66"/>
      <c r="DG518" s="66"/>
      <c r="DH518" s="66"/>
      <c r="DI518" s="66"/>
      <c r="DJ518" s="66"/>
      <c r="DK518" s="70"/>
      <c r="DL518" s="70"/>
      <c r="DM518" s="8">
        <f t="shared" si="762"/>
        <v>0</v>
      </c>
      <c r="DN518" s="8">
        <f t="shared" si="763"/>
        <v>3203.0510000000004</v>
      </c>
      <c r="DO518" s="202">
        <f t="shared" si="737"/>
        <v>-3203.0510000000004</v>
      </c>
      <c r="DP518" s="202">
        <f t="shared" si="738"/>
        <v>-3203.0510000000004</v>
      </c>
      <c r="DQ518" s="202">
        <f t="shared" si="739"/>
        <v>-3203.0510000000004</v>
      </c>
      <c r="DR518" s="9">
        <f t="shared" si="740"/>
        <v>-3203.0510000000004</v>
      </c>
      <c r="DS518" s="9">
        <f t="shared" si="703"/>
        <v>-3203.0510000000004</v>
      </c>
      <c r="DT518" s="9">
        <f t="shared" si="741"/>
        <v>-3203.0510000000004</v>
      </c>
      <c r="DU518" s="202">
        <f t="shared" si="742"/>
        <v>-3203.0510000000004</v>
      </c>
      <c r="DV518" s="202">
        <f t="shared" si="743"/>
        <v>-3203.0510000000004</v>
      </c>
      <c r="DW518" s="202">
        <f t="shared" si="744"/>
        <v>-3203.0510000000004</v>
      </c>
      <c r="DX518" s="203" t="e">
        <f t="shared" si="745"/>
        <v>#DIV/0!</v>
      </c>
      <c r="DY518" s="203" t="e">
        <f t="shared" si="746"/>
        <v>#DIV/0!</v>
      </c>
      <c r="DZ518" s="203" t="e">
        <f t="shared" si="747"/>
        <v>#DIV/0!</v>
      </c>
      <c r="EA518" s="19" t="e">
        <f t="shared" si="748"/>
        <v>#DIV/0!</v>
      </c>
      <c r="EB518" s="19" t="e">
        <f t="shared" si="704"/>
        <v>#DIV/0!</v>
      </c>
      <c r="EC518" s="19" t="e">
        <f t="shared" si="749"/>
        <v>#DIV/0!</v>
      </c>
      <c r="ED518" s="203" t="e">
        <f t="shared" si="750"/>
        <v>#DIV/0!</v>
      </c>
      <c r="EE518" s="203" t="e">
        <f t="shared" si="751"/>
        <v>#DIV/0!</v>
      </c>
      <c r="EF518" s="203" t="e">
        <f t="shared" si="752"/>
        <v>#DIV/0!</v>
      </c>
      <c r="EH518" s="58">
        <f t="shared" si="596"/>
        <v>3203.0510000000004</v>
      </c>
      <c r="EI518" s="68" t="e">
        <f t="shared" si="597"/>
        <v>#DIV/0!</v>
      </c>
      <c r="EJ518" s="58">
        <f t="shared" si="598"/>
        <v>3203.0510000000004</v>
      </c>
      <c r="EK518" s="68" t="e">
        <f t="shared" si="597"/>
        <v>#DIV/0!</v>
      </c>
      <c r="EL518" s="58">
        <f t="shared" si="599"/>
        <v>0</v>
      </c>
      <c r="EM518" s="58">
        <f t="shared" si="600"/>
        <v>0</v>
      </c>
      <c r="EN518" s="68" t="e">
        <f t="shared" si="601"/>
        <v>#DIV/0!</v>
      </c>
      <c r="EO518" s="139">
        <f t="shared" si="652"/>
        <v>0.25197746931178833</v>
      </c>
      <c r="EP518">
        <f>+(SUM(M518:O518)*EO518*(1-'[1]Tier 3 Data'!$A$2))</f>
        <v>0</v>
      </c>
    </row>
    <row r="519" spans="1:146" x14ac:dyDescent="0.2">
      <c r="A519" s="43">
        <v>0</v>
      </c>
      <c r="B519" s="43">
        <v>0</v>
      </c>
      <c r="C519" s="43">
        <v>0</v>
      </c>
      <c r="D519" s="70">
        <v>2050</v>
      </c>
      <c r="E519" s="70">
        <v>8</v>
      </c>
      <c r="F519" s="2">
        <v>744</v>
      </c>
      <c r="G519" s="133">
        <f t="shared" si="636"/>
        <v>0</v>
      </c>
      <c r="H519" s="64"/>
      <c r="I519" s="133">
        <f t="shared" si="637"/>
        <v>0</v>
      </c>
      <c r="J519" s="133">
        <f t="shared" si="778"/>
        <v>0</v>
      </c>
      <c r="K519" s="64"/>
      <c r="L519" s="133">
        <f t="shared" si="779"/>
        <v>0</v>
      </c>
      <c r="M519" s="5"/>
      <c r="N519" s="5"/>
      <c r="O519" s="5"/>
      <c r="P519" s="200">
        <f t="shared" si="770"/>
        <v>0</v>
      </c>
      <c r="Q519" s="200">
        <f t="shared" si="771"/>
        <v>0</v>
      </c>
      <c r="R519" s="200">
        <f t="shared" si="772"/>
        <v>0</v>
      </c>
      <c r="S519" s="133">
        <f t="shared" si="638"/>
        <v>0</v>
      </c>
      <c r="T519" s="133">
        <f t="shared" si="639"/>
        <v>0</v>
      </c>
      <c r="U519" s="133">
        <f t="shared" si="640"/>
        <v>0</v>
      </c>
      <c r="V519" s="200">
        <f t="shared" si="773"/>
        <v>0</v>
      </c>
      <c r="W519" s="200">
        <f t="shared" si="774"/>
        <v>0</v>
      </c>
      <c r="X519" s="200">
        <f t="shared" si="775"/>
        <v>0</v>
      </c>
      <c r="Y519" s="58">
        <f t="shared" si="624"/>
        <v>0</v>
      </c>
      <c r="AA519" s="58">
        <f t="shared" si="625"/>
        <v>0</v>
      </c>
      <c r="AB519" s="200">
        <f t="shared" si="611"/>
        <v>0</v>
      </c>
      <c r="AC519" s="200">
        <f t="shared" si="612"/>
        <v>0</v>
      </c>
      <c r="AD519" s="200">
        <f t="shared" si="613"/>
        <v>0</v>
      </c>
      <c r="AE519" s="199">
        <f t="shared" si="719"/>
        <v>0</v>
      </c>
      <c r="AF519" s="199">
        <f t="shared" si="614"/>
        <v>0</v>
      </c>
      <c r="AG519" s="199">
        <f t="shared" si="720"/>
        <v>0</v>
      </c>
      <c r="AH519" s="199">
        <f t="shared" si="641"/>
        <v>0</v>
      </c>
      <c r="AI519" s="200">
        <f t="shared" si="615"/>
        <v>0</v>
      </c>
      <c r="AJ519" s="200">
        <f t="shared" si="616"/>
        <v>0</v>
      </c>
      <c r="AK519" s="200">
        <f t="shared" si="617"/>
        <v>0</v>
      </c>
      <c r="AL519" s="4"/>
      <c r="AM519" s="4"/>
      <c r="AN519" s="4"/>
      <c r="AO519" s="4"/>
      <c r="AP519" s="63"/>
      <c r="AQ519" s="18"/>
      <c r="AR519" s="18"/>
      <c r="AS519" s="18"/>
      <c r="AT519" s="18">
        <v>0</v>
      </c>
      <c r="AU519" s="133">
        <f t="shared" ref="AU519" si="792">+AU507</f>
        <v>107.64</v>
      </c>
      <c r="AV519" s="133">
        <f t="shared" ref="AV519" si="793">+AV507</f>
        <v>3021.9279999999999</v>
      </c>
      <c r="AW519" s="194"/>
      <c r="AX519" s="194"/>
      <c r="AY519" s="194"/>
      <c r="AZ519" s="194"/>
      <c r="BA519" s="194"/>
      <c r="BB519" s="194"/>
      <c r="BC519" s="65">
        <v>0</v>
      </c>
      <c r="BD519" s="65">
        <v>0</v>
      </c>
      <c r="BE519" s="65">
        <v>0</v>
      </c>
      <c r="BF519" s="65">
        <v>0</v>
      </c>
      <c r="BG519" s="65">
        <v>0</v>
      </c>
      <c r="BH519" s="65">
        <v>0</v>
      </c>
      <c r="BI519" s="65">
        <v>0</v>
      </c>
      <c r="BJ519" s="65">
        <v>0</v>
      </c>
      <c r="BK519" s="65">
        <v>0</v>
      </c>
      <c r="BL519" s="65">
        <v>0</v>
      </c>
      <c r="BM519" s="65">
        <v>0</v>
      </c>
      <c r="BN519" s="65">
        <v>0</v>
      </c>
      <c r="BO519" s="65">
        <v>0</v>
      </c>
      <c r="BP519" s="5"/>
      <c r="BQ519" s="5"/>
      <c r="BR519" s="5"/>
      <c r="BS519" s="64"/>
      <c r="BT519" s="5"/>
      <c r="BU519" s="5"/>
      <c r="BV519" s="144">
        <f t="shared" si="608"/>
        <v>0</v>
      </c>
      <c r="BW519" s="144">
        <f t="shared" si="609"/>
        <v>0</v>
      </c>
      <c r="BX519" s="144">
        <f t="shared" si="610"/>
        <v>0</v>
      </c>
      <c r="BY519" s="5"/>
      <c r="BZ519" s="5"/>
      <c r="CA519" s="4"/>
      <c r="CB519" s="5"/>
      <c r="CC519" s="5"/>
      <c r="CD519" s="5"/>
      <c r="CE519" s="5"/>
      <c r="CF519" s="64"/>
      <c r="CG519" s="70"/>
      <c r="CH519" s="70"/>
      <c r="CI519" s="70"/>
      <c r="CJ519" s="63"/>
      <c r="CK519" s="8">
        <f t="shared" si="761"/>
        <v>3129.5679999999998</v>
      </c>
      <c r="CL519" s="202">
        <f t="shared" si="683"/>
        <v>-3129.5679999999998</v>
      </c>
      <c r="CM519" s="202">
        <f t="shared" si="684"/>
        <v>-3129.5679999999998</v>
      </c>
      <c r="CN519" s="202">
        <f t="shared" si="685"/>
        <v>-3129.5679999999998</v>
      </c>
      <c r="CO519" s="9">
        <f t="shared" si="686"/>
        <v>-3129.5679999999998</v>
      </c>
      <c r="CP519" s="9">
        <f t="shared" si="687"/>
        <v>-3129.5679999999998</v>
      </c>
      <c r="CQ519" s="9">
        <f t="shared" si="688"/>
        <v>-3129.5679999999998</v>
      </c>
      <c r="CR519" s="202">
        <f t="shared" si="689"/>
        <v>-3129.5679999999998</v>
      </c>
      <c r="CS519" s="202">
        <f t="shared" si="690"/>
        <v>-3129.5679999999998</v>
      </c>
      <c r="CT519" s="202">
        <f t="shared" si="691"/>
        <v>-3129.5679999999998</v>
      </c>
      <c r="CU519" s="203" t="e">
        <f t="shared" si="692"/>
        <v>#DIV/0!</v>
      </c>
      <c r="CV519" s="203" t="e">
        <f t="shared" si="693"/>
        <v>#DIV/0!</v>
      </c>
      <c r="CW519" s="203" t="e">
        <f t="shared" si="694"/>
        <v>#DIV/0!</v>
      </c>
      <c r="CX519" s="19" t="e">
        <f t="shared" si="695"/>
        <v>#DIV/0!</v>
      </c>
      <c r="CY519" s="19" t="e">
        <f t="shared" si="696"/>
        <v>#DIV/0!</v>
      </c>
      <c r="CZ519" s="19" t="e">
        <f t="shared" si="697"/>
        <v>#DIV/0!</v>
      </c>
      <c r="DA519" s="203" t="e">
        <f t="shared" si="698"/>
        <v>#DIV/0!</v>
      </c>
      <c r="DB519" s="203" t="e">
        <f t="shared" si="699"/>
        <v>#DIV/0!</v>
      </c>
      <c r="DC519" s="203" t="e">
        <f t="shared" si="700"/>
        <v>#DIV/0!</v>
      </c>
      <c r="DD519" s="65"/>
      <c r="DE519" s="66"/>
      <c r="DF519" s="66"/>
      <c r="DG519" s="66"/>
      <c r="DH519" s="66"/>
      <c r="DI519" s="66"/>
      <c r="DJ519" s="66"/>
      <c r="DK519" s="70"/>
      <c r="DL519" s="70"/>
      <c r="DM519" s="8">
        <f t="shared" si="762"/>
        <v>0</v>
      </c>
      <c r="DN519" s="8">
        <f t="shared" si="763"/>
        <v>3129.5679999999998</v>
      </c>
      <c r="DO519" s="202">
        <f t="shared" si="737"/>
        <v>-3129.5679999999998</v>
      </c>
      <c r="DP519" s="202">
        <f t="shared" si="738"/>
        <v>-3129.5679999999998</v>
      </c>
      <c r="DQ519" s="202">
        <f t="shared" si="739"/>
        <v>-3129.5679999999998</v>
      </c>
      <c r="DR519" s="9">
        <f t="shared" si="740"/>
        <v>-3129.5679999999998</v>
      </c>
      <c r="DS519" s="9">
        <f t="shared" si="703"/>
        <v>-3129.5679999999998</v>
      </c>
      <c r="DT519" s="9">
        <f t="shared" si="741"/>
        <v>-3129.5679999999998</v>
      </c>
      <c r="DU519" s="202">
        <f t="shared" si="742"/>
        <v>-3129.5679999999998</v>
      </c>
      <c r="DV519" s="202">
        <f t="shared" si="743"/>
        <v>-3129.5679999999998</v>
      </c>
      <c r="DW519" s="202">
        <f t="shared" si="744"/>
        <v>-3129.5679999999998</v>
      </c>
      <c r="DX519" s="203" t="e">
        <f t="shared" si="745"/>
        <v>#DIV/0!</v>
      </c>
      <c r="DY519" s="203" t="e">
        <f t="shared" si="746"/>
        <v>#DIV/0!</v>
      </c>
      <c r="DZ519" s="203" t="e">
        <f t="shared" si="747"/>
        <v>#DIV/0!</v>
      </c>
      <c r="EA519" s="19" t="e">
        <f t="shared" si="748"/>
        <v>#DIV/0!</v>
      </c>
      <c r="EB519" s="19" t="e">
        <f t="shared" si="704"/>
        <v>#DIV/0!</v>
      </c>
      <c r="EC519" s="19" t="e">
        <f t="shared" si="749"/>
        <v>#DIV/0!</v>
      </c>
      <c r="ED519" s="203" t="e">
        <f t="shared" si="750"/>
        <v>#DIV/0!</v>
      </c>
      <c r="EE519" s="203" t="e">
        <f t="shared" si="751"/>
        <v>#DIV/0!</v>
      </c>
      <c r="EF519" s="203" t="e">
        <f t="shared" si="752"/>
        <v>#DIV/0!</v>
      </c>
      <c r="EH519" s="58">
        <f t="shared" si="596"/>
        <v>3129.5679999999998</v>
      </c>
      <c r="EI519" s="68" t="e">
        <f t="shared" si="597"/>
        <v>#DIV/0!</v>
      </c>
      <c r="EJ519" s="58">
        <f t="shared" si="598"/>
        <v>3129.5679999999998</v>
      </c>
      <c r="EK519" s="68" t="e">
        <f t="shared" si="597"/>
        <v>#DIV/0!</v>
      </c>
      <c r="EL519" s="58">
        <f t="shared" si="599"/>
        <v>0</v>
      </c>
      <c r="EM519" s="58">
        <f t="shared" si="600"/>
        <v>0</v>
      </c>
      <c r="EN519" s="68" t="e">
        <f t="shared" si="601"/>
        <v>#DIV/0!</v>
      </c>
      <c r="EO519" s="139">
        <f t="shared" si="652"/>
        <v>0.28519905910129462</v>
      </c>
      <c r="EP519">
        <f>+(SUM(M519:O519)*EO519*(1-'[1]Tier 3 Data'!$A$2))</f>
        <v>0</v>
      </c>
    </row>
    <row r="520" spans="1:146" x14ac:dyDescent="0.2">
      <c r="A520" s="43">
        <v>0</v>
      </c>
      <c r="B520" s="43">
        <v>0</v>
      </c>
      <c r="C520" s="43">
        <v>0</v>
      </c>
      <c r="D520" s="70">
        <v>2050</v>
      </c>
      <c r="E520" s="70">
        <v>9</v>
      </c>
      <c r="F520" s="2">
        <v>720</v>
      </c>
      <c r="G520" s="133">
        <f t="shared" si="636"/>
        <v>0</v>
      </c>
      <c r="H520" s="64"/>
      <c r="I520" s="133">
        <f t="shared" si="637"/>
        <v>0</v>
      </c>
      <c r="J520" s="133">
        <f t="shared" si="778"/>
        <v>0</v>
      </c>
      <c r="K520" s="64"/>
      <c r="L520" s="133">
        <f t="shared" si="779"/>
        <v>0</v>
      </c>
      <c r="M520" s="5"/>
      <c r="N520" s="5"/>
      <c r="O520" s="5"/>
      <c r="P520" s="200">
        <f t="shared" si="770"/>
        <v>0</v>
      </c>
      <c r="Q520" s="200">
        <f t="shared" si="771"/>
        <v>0</v>
      </c>
      <c r="R520" s="200">
        <f t="shared" si="772"/>
        <v>0</v>
      </c>
      <c r="S520" s="133">
        <f t="shared" si="638"/>
        <v>0</v>
      </c>
      <c r="T520" s="133">
        <f t="shared" si="639"/>
        <v>0</v>
      </c>
      <c r="U520" s="133">
        <f t="shared" si="640"/>
        <v>0</v>
      </c>
      <c r="V520" s="200">
        <f t="shared" si="773"/>
        <v>0</v>
      </c>
      <c r="W520" s="200">
        <f t="shared" si="774"/>
        <v>0</v>
      </c>
      <c r="X520" s="200">
        <f t="shared" si="775"/>
        <v>0</v>
      </c>
      <c r="Y520" s="58">
        <f t="shared" si="624"/>
        <v>0</v>
      </c>
      <c r="AA520" s="58">
        <f t="shared" si="625"/>
        <v>0</v>
      </c>
      <c r="AB520" s="200">
        <f t="shared" si="611"/>
        <v>0</v>
      </c>
      <c r="AC520" s="200">
        <f t="shared" si="612"/>
        <v>0</v>
      </c>
      <c r="AD520" s="200">
        <f t="shared" si="613"/>
        <v>0</v>
      </c>
      <c r="AE520" s="199">
        <f t="shared" si="719"/>
        <v>0</v>
      </c>
      <c r="AF520" s="199">
        <f t="shared" si="614"/>
        <v>0</v>
      </c>
      <c r="AG520" s="199">
        <f t="shared" si="720"/>
        <v>0</v>
      </c>
      <c r="AH520" s="199">
        <f t="shared" si="641"/>
        <v>0</v>
      </c>
      <c r="AI520" s="200">
        <f t="shared" si="615"/>
        <v>0</v>
      </c>
      <c r="AJ520" s="200">
        <f t="shared" si="616"/>
        <v>0</v>
      </c>
      <c r="AK520" s="200">
        <f t="shared" si="617"/>
        <v>0</v>
      </c>
      <c r="AL520" s="4"/>
      <c r="AM520" s="4"/>
      <c r="AN520" s="4"/>
      <c r="AO520" s="4"/>
      <c r="AP520" s="63"/>
      <c r="AQ520" s="18"/>
      <c r="AR520" s="18"/>
      <c r="AS520" s="18"/>
      <c r="AT520" s="18">
        <v>0</v>
      </c>
      <c r="AU520" s="133">
        <f t="shared" ref="AU520" si="794">+AU508</f>
        <v>102.375</v>
      </c>
      <c r="AV520" s="133">
        <f t="shared" ref="AV520" si="795">+AV508</f>
        <v>2969.6280000000002</v>
      </c>
      <c r="AW520" s="194"/>
      <c r="AX520" s="194"/>
      <c r="AY520" s="194"/>
      <c r="AZ520" s="194"/>
      <c r="BA520" s="194"/>
      <c r="BB520" s="194"/>
      <c r="BC520" s="65">
        <v>0</v>
      </c>
      <c r="BD520" s="65">
        <v>0</v>
      </c>
      <c r="BE520" s="65">
        <v>0</v>
      </c>
      <c r="BF520" s="65">
        <v>0</v>
      </c>
      <c r="BG520" s="65">
        <v>0</v>
      </c>
      <c r="BH520" s="65">
        <v>0</v>
      </c>
      <c r="BI520" s="65">
        <v>0</v>
      </c>
      <c r="BJ520" s="65">
        <v>0</v>
      </c>
      <c r="BK520" s="65">
        <v>0</v>
      </c>
      <c r="BL520" s="65">
        <v>0</v>
      </c>
      <c r="BM520" s="65">
        <v>0</v>
      </c>
      <c r="BN520" s="65">
        <v>0</v>
      </c>
      <c r="BO520" s="65">
        <v>0</v>
      </c>
      <c r="BP520" s="5"/>
      <c r="BQ520" s="5"/>
      <c r="BR520" s="5"/>
      <c r="BS520" s="64"/>
      <c r="BT520" s="5"/>
      <c r="BU520" s="5"/>
      <c r="BV520" s="144">
        <f t="shared" si="608"/>
        <v>0</v>
      </c>
      <c r="BW520" s="144">
        <f t="shared" si="609"/>
        <v>0</v>
      </c>
      <c r="BX520" s="144">
        <f t="shared" si="610"/>
        <v>0</v>
      </c>
      <c r="BY520" s="5"/>
      <c r="BZ520" s="5"/>
      <c r="CA520" s="4"/>
      <c r="CB520" s="5"/>
      <c r="CC520" s="5"/>
      <c r="CD520" s="5"/>
      <c r="CE520" s="5"/>
      <c r="CF520" s="64"/>
      <c r="CG520" s="70"/>
      <c r="CH520" s="70"/>
      <c r="CI520" s="70"/>
      <c r="CJ520" s="63"/>
      <c r="CK520" s="8">
        <f t="shared" si="761"/>
        <v>3072.0030000000002</v>
      </c>
      <c r="CL520" s="202">
        <f t="shared" si="683"/>
        <v>-3072.0030000000002</v>
      </c>
      <c r="CM520" s="202">
        <f t="shared" si="684"/>
        <v>-3072.0030000000002</v>
      </c>
      <c r="CN520" s="202">
        <f t="shared" si="685"/>
        <v>-3072.0030000000002</v>
      </c>
      <c r="CO520" s="9">
        <f t="shared" si="686"/>
        <v>-3072.0030000000002</v>
      </c>
      <c r="CP520" s="9">
        <f t="shared" si="687"/>
        <v>-3072.0030000000002</v>
      </c>
      <c r="CQ520" s="9">
        <f t="shared" si="688"/>
        <v>-3072.0030000000002</v>
      </c>
      <c r="CR520" s="202">
        <f t="shared" si="689"/>
        <v>-3072.0030000000002</v>
      </c>
      <c r="CS520" s="202">
        <f t="shared" si="690"/>
        <v>-3072.0030000000002</v>
      </c>
      <c r="CT520" s="202">
        <f t="shared" si="691"/>
        <v>-3072.0030000000002</v>
      </c>
      <c r="CU520" s="203" t="e">
        <f t="shared" si="692"/>
        <v>#DIV/0!</v>
      </c>
      <c r="CV520" s="203" t="e">
        <f t="shared" si="693"/>
        <v>#DIV/0!</v>
      </c>
      <c r="CW520" s="203" t="e">
        <f t="shared" si="694"/>
        <v>#DIV/0!</v>
      </c>
      <c r="CX520" s="19" t="e">
        <f t="shared" si="695"/>
        <v>#DIV/0!</v>
      </c>
      <c r="CY520" s="19" t="e">
        <f t="shared" si="696"/>
        <v>#DIV/0!</v>
      </c>
      <c r="CZ520" s="19" t="e">
        <f t="shared" si="697"/>
        <v>#DIV/0!</v>
      </c>
      <c r="DA520" s="203" t="e">
        <f t="shared" si="698"/>
        <v>#DIV/0!</v>
      </c>
      <c r="DB520" s="203" t="e">
        <f t="shared" si="699"/>
        <v>#DIV/0!</v>
      </c>
      <c r="DC520" s="203" t="e">
        <f t="shared" si="700"/>
        <v>#DIV/0!</v>
      </c>
      <c r="DD520" s="65"/>
      <c r="DE520" s="66"/>
      <c r="DF520" s="66"/>
      <c r="DG520" s="66"/>
      <c r="DH520" s="66"/>
      <c r="DI520" s="66"/>
      <c r="DJ520" s="66"/>
      <c r="DK520" s="70"/>
      <c r="DL520" s="70"/>
      <c r="DM520" s="8">
        <f t="shared" si="762"/>
        <v>0</v>
      </c>
      <c r="DN520" s="8">
        <f t="shared" si="763"/>
        <v>3072.0030000000002</v>
      </c>
      <c r="DO520" s="202">
        <f t="shared" si="737"/>
        <v>-3072.0030000000002</v>
      </c>
      <c r="DP520" s="202">
        <f t="shared" si="738"/>
        <v>-3072.0030000000002</v>
      </c>
      <c r="DQ520" s="202">
        <f t="shared" si="739"/>
        <v>-3072.0030000000002</v>
      </c>
      <c r="DR520" s="9">
        <f t="shared" si="740"/>
        <v>-3072.0030000000002</v>
      </c>
      <c r="DS520" s="9">
        <f t="shared" si="703"/>
        <v>-3072.0030000000002</v>
      </c>
      <c r="DT520" s="9">
        <f t="shared" si="741"/>
        <v>-3072.0030000000002</v>
      </c>
      <c r="DU520" s="202">
        <f t="shared" si="742"/>
        <v>-3072.0030000000002</v>
      </c>
      <c r="DV520" s="202">
        <f t="shared" si="743"/>
        <v>-3072.0030000000002</v>
      </c>
      <c r="DW520" s="202">
        <f t="shared" si="744"/>
        <v>-3072.0030000000002</v>
      </c>
      <c r="DX520" s="203" t="e">
        <f t="shared" si="745"/>
        <v>#DIV/0!</v>
      </c>
      <c r="DY520" s="203" t="e">
        <f t="shared" si="746"/>
        <v>#DIV/0!</v>
      </c>
      <c r="DZ520" s="203" t="e">
        <f t="shared" si="747"/>
        <v>#DIV/0!</v>
      </c>
      <c r="EA520" s="19" t="e">
        <f t="shared" si="748"/>
        <v>#DIV/0!</v>
      </c>
      <c r="EB520" s="19" t="e">
        <f t="shared" si="704"/>
        <v>#DIV/0!</v>
      </c>
      <c r="EC520" s="19" t="e">
        <f t="shared" si="749"/>
        <v>#DIV/0!</v>
      </c>
      <c r="ED520" s="203" t="e">
        <f t="shared" si="750"/>
        <v>#DIV/0!</v>
      </c>
      <c r="EE520" s="203" t="e">
        <f t="shared" si="751"/>
        <v>#DIV/0!</v>
      </c>
      <c r="EF520" s="203" t="e">
        <f t="shared" si="752"/>
        <v>#DIV/0!</v>
      </c>
      <c r="EH520" s="58">
        <f t="shared" si="596"/>
        <v>3072.0030000000002</v>
      </c>
      <c r="EI520" s="68" t="e">
        <f t="shared" si="597"/>
        <v>#DIV/0!</v>
      </c>
      <c r="EJ520" s="58">
        <f t="shared" si="598"/>
        <v>3072.0030000000002</v>
      </c>
      <c r="EK520" s="68" t="e">
        <f t="shared" si="597"/>
        <v>#DIV/0!</v>
      </c>
      <c r="EL520" s="58">
        <f t="shared" si="599"/>
        <v>0</v>
      </c>
      <c r="EM520" s="58">
        <f t="shared" si="600"/>
        <v>0</v>
      </c>
      <c r="EN520" s="68" t="e">
        <f t="shared" si="601"/>
        <v>#DIV/0!</v>
      </c>
      <c r="EO520" s="139">
        <f t="shared" si="652"/>
        <v>0.31860645638858931</v>
      </c>
      <c r="EP520">
        <f>+(SUM(M520:O520)*EO520*(1-'[1]Tier 3 Data'!$A$2))</f>
        <v>0</v>
      </c>
    </row>
    <row r="521" spans="1:146" x14ac:dyDescent="0.2">
      <c r="A521" s="43">
        <v>0</v>
      </c>
      <c r="B521" s="43">
        <v>0</v>
      </c>
      <c r="C521" s="43">
        <v>0</v>
      </c>
      <c r="D521" s="70">
        <v>2050</v>
      </c>
      <c r="E521" s="70">
        <v>10</v>
      </c>
      <c r="F521" s="2">
        <v>744</v>
      </c>
      <c r="G521" s="133">
        <f t="shared" si="636"/>
        <v>0</v>
      </c>
      <c r="H521" s="64"/>
      <c r="I521" s="133">
        <f t="shared" si="637"/>
        <v>0</v>
      </c>
      <c r="J521" s="133">
        <f t="shared" si="778"/>
        <v>0</v>
      </c>
      <c r="K521" s="64"/>
      <c r="L521" s="133">
        <f t="shared" si="779"/>
        <v>0</v>
      </c>
      <c r="M521" s="5"/>
      <c r="N521" s="5"/>
      <c r="O521" s="5"/>
      <c r="P521" s="200">
        <f t="shared" si="770"/>
        <v>0</v>
      </c>
      <c r="Q521" s="200">
        <f t="shared" si="771"/>
        <v>0</v>
      </c>
      <c r="R521" s="200">
        <f t="shared" si="772"/>
        <v>0</v>
      </c>
      <c r="S521" s="133">
        <f t="shared" si="638"/>
        <v>0</v>
      </c>
      <c r="T521" s="133">
        <f t="shared" si="639"/>
        <v>0</v>
      </c>
      <c r="U521" s="133">
        <f t="shared" si="640"/>
        <v>0</v>
      </c>
      <c r="V521" s="200">
        <f t="shared" si="773"/>
        <v>0</v>
      </c>
      <c r="W521" s="200">
        <f t="shared" si="774"/>
        <v>0</v>
      </c>
      <c r="X521" s="200">
        <f t="shared" si="775"/>
        <v>0</v>
      </c>
      <c r="Y521" s="58">
        <f t="shared" si="624"/>
        <v>0</v>
      </c>
      <c r="AA521" s="58">
        <f t="shared" si="625"/>
        <v>0</v>
      </c>
      <c r="AB521" s="200">
        <f t="shared" si="611"/>
        <v>0</v>
      </c>
      <c r="AC521" s="200">
        <f t="shared" si="612"/>
        <v>0</v>
      </c>
      <c r="AD521" s="200">
        <f t="shared" si="613"/>
        <v>0</v>
      </c>
      <c r="AE521" s="199">
        <f t="shared" si="719"/>
        <v>0</v>
      </c>
      <c r="AF521" s="199">
        <f t="shared" si="614"/>
        <v>0</v>
      </c>
      <c r="AG521" s="199">
        <f t="shared" si="720"/>
        <v>0</v>
      </c>
      <c r="AH521" s="199">
        <f t="shared" si="641"/>
        <v>0</v>
      </c>
      <c r="AI521" s="200">
        <f t="shared" si="615"/>
        <v>0</v>
      </c>
      <c r="AJ521" s="200">
        <f t="shared" si="616"/>
        <v>0</v>
      </c>
      <c r="AK521" s="200">
        <f t="shared" si="617"/>
        <v>0</v>
      </c>
      <c r="AL521" s="4"/>
      <c r="AM521" s="4"/>
      <c r="AN521" s="4"/>
      <c r="AO521" s="4"/>
      <c r="AP521" s="63"/>
      <c r="AQ521" s="18"/>
      <c r="AR521" s="18"/>
      <c r="AS521" s="18"/>
      <c r="AT521" s="18">
        <v>0</v>
      </c>
      <c r="AU521" s="133">
        <f t="shared" ref="AU521" si="796">+AU509</f>
        <v>118.17</v>
      </c>
      <c r="AV521" s="133">
        <f t="shared" ref="AV521" si="797">+AV509</f>
        <v>3225.1860000000001</v>
      </c>
      <c r="AW521" s="194"/>
      <c r="AX521" s="194"/>
      <c r="AY521" s="194"/>
      <c r="AZ521" s="194"/>
      <c r="BA521" s="194"/>
      <c r="BB521" s="194"/>
      <c r="BC521" s="65">
        <v>0</v>
      </c>
      <c r="BD521" s="65">
        <v>0</v>
      </c>
      <c r="BE521" s="65">
        <v>0</v>
      </c>
      <c r="BF521" s="65">
        <v>0</v>
      </c>
      <c r="BG521" s="65">
        <v>0</v>
      </c>
      <c r="BH521" s="65">
        <v>0</v>
      </c>
      <c r="BI521" s="65">
        <v>0</v>
      </c>
      <c r="BJ521" s="65">
        <v>0</v>
      </c>
      <c r="BK521" s="65">
        <v>0</v>
      </c>
      <c r="BL521" s="65">
        <v>0</v>
      </c>
      <c r="BM521" s="65">
        <v>0</v>
      </c>
      <c r="BN521" s="65">
        <v>0</v>
      </c>
      <c r="BO521" s="65">
        <v>0</v>
      </c>
      <c r="BP521" s="5"/>
      <c r="BQ521" s="5"/>
      <c r="BR521" s="5"/>
      <c r="BS521" s="64"/>
      <c r="BT521" s="5"/>
      <c r="BU521" s="5"/>
      <c r="BV521" s="144">
        <f t="shared" si="608"/>
        <v>0</v>
      </c>
      <c r="BW521" s="144">
        <f t="shared" si="609"/>
        <v>0</v>
      </c>
      <c r="BX521" s="144">
        <f t="shared" si="610"/>
        <v>0</v>
      </c>
      <c r="BY521" s="5"/>
      <c r="BZ521" s="5"/>
      <c r="CA521" s="4"/>
      <c r="CB521" s="5"/>
      <c r="CC521" s="5"/>
      <c r="CD521" s="5"/>
      <c r="CE521" s="5"/>
      <c r="CF521" s="64"/>
      <c r="CG521" s="70"/>
      <c r="CH521" s="70"/>
      <c r="CI521" s="70"/>
      <c r="CJ521" s="63"/>
      <c r="CK521" s="8">
        <f t="shared" si="761"/>
        <v>3343.3560000000002</v>
      </c>
      <c r="CL521" s="202">
        <f t="shared" si="683"/>
        <v>-3343.3560000000002</v>
      </c>
      <c r="CM521" s="202">
        <f t="shared" si="684"/>
        <v>-3343.3560000000002</v>
      </c>
      <c r="CN521" s="202">
        <f t="shared" si="685"/>
        <v>-3343.3560000000002</v>
      </c>
      <c r="CO521" s="9">
        <f t="shared" si="686"/>
        <v>-3343.3560000000002</v>
      </c>
      <c r="CP521" s="9">
        <f t="shared" si="687"/>
        <v>-3343.3560000000002</v>
      </c>
      <c r="CQ521" s="9">
        <f t="shared" si="688"/>
        <v>-3343.3560000000002</v>
      </c>
      <c r="CR521" s="202">
        <f t="shared" si="689"/>
        <v>-3343.3560000000002</v>
      </c>
      <c r="CS521" s="202">
        <f t="shared" si="690"/>
        <v>-3343.3560000000002</v>
      </c>
      <c r="CT521" s="202">
        <f t="shared" si="691"/>
        <v>-3343.3560000000002</v>
      </c>
      <c r="CU521" s="203" t="e">
        <f t="shared" si="692"/>
        <v>#DIV/0!</v>
      </c>
      <c r="CV521" s="203" t="e">
        <f t="shared" si="693"/>
        <v>#DIV/0!</v>
      </c>
      <c r="CW521" s="203" t="e">
        <f t="shared" si="694"/>
        <v>#DIV/0!</v>
      </c>
      <c r="CX521" s="19" t="e">
        <f t="shared" si="695"/>
        <v>#DIV/0!</v>
      </c>
      <c r="CY521" s="19" t="e">
        <f t="shared" si="696"/>
        <v>#DIV/0!</v>
      </c>
      <c r="CZ521" s="19" t="e">
        <f t="shared" si="697"/>
        <v>#DIV/0!</v>
      </c>
      <c r="DA521" s="203" t="e">
        <f t="shared" si="698"/>
        <v>#DIV/0!</v>
      </c>
      <c r="DB521" s="203" t="e">
        <f t="shared" si="699"/>
        <v>#DIV/0!</v>
      </c>
      <c r="DC521" s="203" t="e">
        <f t="shared" si="700"/>
        <v>#DIV/0!</v>
      </c>
      <c r="DD521" s="65"/>
      <c r="DE521" s="66"/>
      <c r="DF521" s="66"/>
      <c r="DG521" s="66"/>
      <c r="DH521" s="66"/>
      <c r="DI521" s="66"/>
      <c r="DJ521" s="66"/>
      <c r="DK521" s="70"/>
      <c r="DL521" s="70"/>
      <c r="DM521" s="8">
        <f t="shared" si="762"/>
        <v>0</v>
      </c>
      <c r="DN521" s="8">
        <f t="shared" si="763"/>
        <v>3343.3560000000002</v>
      </c>
      <c r="DO521" s="202">
        <f t="shared" si="737"/>
        <v>-3343.3560000000002</v>
      </c>
      <c r="DP521" s="202">
        <f t="shared" si="738"/>
        <v>-3343.3560000000002</v>
      </c>
      <c r="DQ521" s="202">
        <f t="shared" si="739"/>
        <v>-3343.3560000000002</v>
      </c>
      <c r="DR521" s="9">
        <f t="shared" si="740"/>
        <v>-3343.3560000000002</v>
      </c>
      <c r="DS521" s="9">
        <f t="shared" si="703"/>
        <v>-3343.3560000000002</v>
      </c>
      <c r="DT521" s="9">
        <f t="shared" si="741"/>
        <v>-3343.3560000000002</v>
      </c>
      <c r="DU521" s="202">
        <f t="shared" si="742"/>
        <v>-3343.3560000000002</v>
      </c>
      <c r="DV521" s="202">
        <f t="shared" si="743"/>
        <v>-3343.3560000000002</v>
      </c>
      <c r="DW521" s="202">
        <f t="shared" si="744"/>
        <v>-3343.3560000000002</v>
      </c>
      <c r="DX521" s="203" t="e">
        <f t="shared" si="745"/>
        <v>#DIV/0!</v>
      </c>
      <c r="DY521" s="203" t="e">
        <f t="shared" si="746"/>
        <v>#DIV/0!</v>
      </c>
      <c r="DZ521" s="203" t="e">
        <f t="shared" si="747"/>
        <v>#DIV/0!</v>
      </c>
      <c r="EA521" s="19" t="e">
        <f t="shared" si="748"/>
        <v>#DIV/0!</v>
      </c>
      <c r="EB521" s="19" t="e">
        <f t="shared" si="704"/>
        <v>#DIV/0!</v>
      </c>
      <c r="EC521" s="19" t="e">
        <f t="shared" si="749"/>
        <v>#DIV/0!</v>
      </c>
      <c r="ED521" s="203" t="e">
        <f t="shared" si="750"/>
        <v>#DIV/0!</v>
      </c>
      <c r="EE521" s="203" t="e">
        <f t="shared" si="751"/>
        <v>#DIV/0!</v>
      </c>
      <c r="EF521" s="203" t="e">
        <f t="shared" si="752"/>
        <v>#DIV/0!</v>
      </c>
      <c r="EH521" s="58">
        <f t="shared" ref="EH521:EH584" si="798">SUMIF($AL$1:$DL$1,1,$AL521:$DL521)-0.5*BZ521</f>
        <v>3343.3560000000002</v>
      </c>
      <c r="EI521" s="68" t="e">
        <f t="shared" ref="EI521:EK584" si="799">+EH521/$AF521</f>
        <v>#DIV/0!</v>
      </c>
      <c r="EJ521" s="58">
        <f t="shared" ref="EJ521:EJ584" si="800">SUMIF($AL$2:$DL$2,1,$AL521:$DL521)</f>
        <v>3343.3560000000002</v>
      </c>
      <c r="EK521" s="68" t="e">
        <f t="shared" si="799"/>
        <v>#DIV/0!</v>
      </c>
      <c r="EL521" s="58">
        <f t="shared" ref="EL521:EL584" si="801">+EM521-BX521</f>
        <v>0</v>
      </c>
      <c r="EM521" s="58">
        <f t="shared" ref="EM521:EM584" si="802">SUMIF($AL$3:$DL$3,1,$AL521:$DL521)</f>
        <v>0</v>
      </c>
      <c r="EN521" s="68" t="e">
        <f t="shared" ref="EN521:EN584" si="803">+EM521/$AF521</f>
        <v>#DIV/0!</v>
      </c>
      <c r="EO521" s="139">
        <f t="shared" si="652"/>
        <v>0.35739486552628164</v>
      </c>
      <c r="EP521">
        <f>+(SUM(M521:O521)*EO521*(1-'[1]Tier 3 Data'!$A$2))</f>
        <v>0</v>
      </c>
    </row>
    <row r="522" spans="1:146" x14ac:dyDescent="0.2">
      <c r="A522" s="43">
        <v>0</v>
      </c>
      <c r="B522" s="43">
        <v>0</v>
      </c>
      <c r="C522" s="43">
        <v>0</v>
      </c>
      <c r="D522" s="70">
        <v>2050</v>
      </c>
      <c r="E522" s="70">
        <v>11</v>
      </c>
      <c r="F522" s="2">
        <v>721</v>
      </c>
      <c r="G522" s="133">
        <f t="shared" si="636"/>
        <v>0</v>
      </c>
      <c r="H522" s="64"/>
      <c r="I522" s="133">
        <f t="shared" si="637"/>
        <v>0</v>
      </c>
      <c r="J522" s="133">
        <f t="shared" si="778"/>
        <v>0</v>
      </c>
      <c r="K522" s="64"/>
      <c r="L522" s="133">
        <f t="shared" si="779"/>
        <v>0</v>
      </c>
      <c r="M522" s="5"/>
      <c r="N522" s="5"/>
      <c r="O522" s="5"/>
      <c r="P522" s="200">
        <f t="shared" si="770"/>
        <v>0</v>
      </c>
      <c r="Q522" s="200">
        <f t="shared" si="771"/>
        <v>0</v>
      </c>
      <c r="R522" s="200">
        <f t="shared" si="772"/>
        <v>0</v>
      </c>
      <c r="S522" s="133">
        <f t="shared" si="638"/>
        <v>0</v>
      </c>
      <c r="T522" s="133">
        <f t="shared" si="639"/>
        <v>0</v>
      </c>
      <c r="U522" s="133">
        <f t="shared" si="640"/>
        <v>0</v>
      </c>
      <c r="V522" s="200">
        <f t="shared" si="773"/>
        <v>0</v>
      </c>
      <c r="W522" s="200">
        <f t="shared" si="774"/>
        <v>0</v>
      </c>
      <c r="X522" s="200">
        <f t="shared" si="775"/>
        <v>0</v>
      </c>
      <c r="Y522" s="58">
        <f t="shared" si="624"/>
        <v>0</v>
      </c>
      <c r="AA522" s="58">
        <f t="shared" si="625"/>
        <v>0</v>
      </c>
      <c r="AB522" s="200">
        <f t="shared" si="611"/>
        <v>0</v>
      </c>
      <c r="AC522" s="200">
        <f t="shared" si="612"/>
        <v>0</v>
      </c>
      <c r="AD522" s="200">
        <f t="shared" si="613"/>
        <v>0</v>
      </c>
      <c r="AE522" s="199">
        <f t="shared" si="719"/>
        <v>0</v>
      </c>
      <c r="AF522" s="199">
        <f t="shared" si="614"/>
        <v>0</v>
      </c>
      <c r="AG522" s="199">
        <f t="shared" si="720"/>
        <v>0</v>
      </c>
      <c r="AH522" s="199">
        <f t="shared" si="641"/>
        <v>0</v>
      </c>
      <c r="AI522" s="200">
        <f t="shared" si="615"/>
        <v>0</v>
      </c>
      <c r="AJ522" s="200">
        <f t="shared" si="616"/>
        <v>0</v>
      </c>
      <c r="AK522" s="200">
        <f t="shared" si="617"/>
        <v>0</v>
      </c>
      <c r="AL522" s="4"/>
      <c r="AM522" s="4"/>
      <c r="AN522" s="4"/>
      <c r="AO522" s="4"/>
      <c r="AP522" s="63"/>
      <c r="AQ522" s="18"/>
      <c r="AR522" s="18"/>
      <c r="AS522" s="18"/>
      <c r="AT522" s="18">
        <v>0</v>
      </c>
      <c r="AU522" s="133">
        <f t="shared" ref="AU522" si="804">+AU510</f>
        <v>104.364</v>
      </c>
      <c r="AV522" s="133">
        <f t="shared" ref="AV522" si="805">+AV510</f>
        <v>3268.3739999999998</v>
      </c>
      <c r="AW522" s="194"/>
      <c r="AX522" s="194"/>
      <c r="AY522" s="194"/>
      <c r="AZ522" s="194"/>
      <c r="BA522" s="194"/>
      <c r="BB522" s="194"/>
      <c r="BC522" s="65">
        <v>0</v>
      </c>
      <c r="BD522" s="65">
        <v>0</v>
      </c>
      <c r="BE522" s="65">
        <v>0</v>
      </c>
      <c r="BF522" s="65">
        <v>0</v>
      </c>
      <c r="BG522" s="65">
        <v>0</v>
      </c>
      <c r="BH522" s="65">
        <v>0</v>
      </c>
      <c r="BI522" s="65">
        <v>0</v>
      </c>
      <c r="BJ522" s="65">
        <v>0</v>
      </c>
      <c r="BK522" s="65">
        <v>0</v>
      </c>
      <c r="BL522" s="65">
        <v>0</v>
      </c>
      <c r="BM522" s="65">
        <v>0</v>
      </c>
      <c r="BN522" s="65">
        <v>0</v>
      </c>
      <c r="BO522" s="65">
        <v>0</v>
      </c>
      <c r="BP522" s="5"/>
      <c r="BQ522" s="5"/>
      <c r="BR522" s="5"/>
      <c r="BS522" s="64"/>
      <c r="BT522" s="5"/>
      <c r="BU522" s="5"/>
      <c r="BV522" s="144">
        <f t="shared" si="608"/>
        <v>0</v>
      </c>
      <c r="BW522" s="144">
        <f t="shared" si="609"/>
        <v>0</v>
      </c>
      <c r="BX522" s="144">
        <f t="shared" si="610"/>
        <v>0</v>
      </c>
      <c r="BY522" s="5"/>
      <c r="BZ522" s="5"/>
      <c r="CA522" s="4"/>
      <c r="CB522" s="5"/>
      <c r="CC522" s="5"/>
      <c r="CD522" s="5"/>
      <c r="CE522" s="5"/>
      <c r="CF522" s="64"/>
      <c r="CG522" s="70"/>
      <c r="CH522" s="70"/>
      <c r="CI522" s="70"/>
      <c r="CJ522" s="63"/>
      <c r="CK522" s="8">
        <f t="shared" si="761"/>
        <v>3372.7379999999998</v>
      </c>
      <c r="CL522" s="202">
        <f t="shared" si="683"/>
        <v>-3372.7379999999998</v>
      </c>
      <c r="CM522" s="202">
        <f t="shared" si="684"/>
        <v>-3372.7379999999998</v>
      </c>
      <c r="CN522" s="202">
        <f t="shared" si="685"/>
        <v>-3372.7379999999998</v>
      </c>
      <c r="CO522" s="9">
        <f t="shared" si="686"/>
        <v>-3372.7379999999998</v>
      </c>
      <c r="CP522" s="9">
        <f t="shared" si="687"/>
        <v>-3372.7379999999998</v>
      </c>
      <c r="CQ522" s="9">
        <f t="shared" si="688"/>
        <v>-3372.7379999999998</v>
      </c>
      <c r="CR522" s="202">
        <f t="shared" si="689"/>
        <v>-3372.7379999999998</v>
      </c>
      <c r="CS522" s="202">
        <f t="shared" si="690"/>
        <v>-3372.7379999999998</v>
      </c>
      <c r="CT522" s="202">
        <f t="shared" si="691"/>
        <v>-3372.7379999999998</v>
      </c>
      <c r="CU522" s="203" t="e">
        <f t="shared" si="692"/>
        <v>#DIV/0!</v>
      </c>
      <c r="CV522" s="203" t="e">
        <f t="shared" si="693"/>
        <v>#DIV/0!</v>
      </c>
      <c r="CW522" s="203" t="e">
        <f t="shared" si="694"/>
        <v>#DIV/0!</v>
      </c>
      <c r="CX522" s="19" t="e">
        <f t="shared" si="695"/>
        <v>#DIV/0!</v>
      </c>
      <c r="CY522" s="19" t="e">
        <f t="shared" si="696"/>
        <v>#DIV/0!</v>
      </c>
      <c r="CZ522" s="19" t="e">
        <f t="shared" si="697"/>
        <v>#DIV/0!</v>
      </c>
      <c r="DA522" s="203" t="e">
        <f t="shared" si="698"/>
        <v>#DIV/0!</v>
      </c>
      <c r="DB522" s="203" t="e">
        <f t="shared" si="699"/>
        <v>#DIV/0!</v>
      </c>
      <c r="DC522" s="203" t="e">
        <f t="shared" si="700"/>
        <v>#DIV/0!</v>
      </c>
      <c r="DD522" s="65"/>
      <c r="DE522" s="66"/>
      <c r="DF522" s="66"/>
      <c r="DG522" s="66"/>
      <c r="DH522" s="66"/>
      <c r="DI522" s="66"/>
      <c r="DJ522" s="66"/>
      <c r="DK522" s="70"/>
      <c r="DL522" s="70"/>
      <c r="DM522" s="8">
        <f t="shared" si="762"/>
        <v>0</v>
      </c>
      <c r="DN522" s="8">
        <f t="shared" si="763"/>
        <v>3372.7379999999998</v>
      </c>
      <c r="DO522" s="202">
        <f t="shared" si="737"/>
        <v>-3372.7379999999998</v>
      </c>
      <c r="DP522" s="202">
        <f t="shared" si="738"/>
        <v>-3372.7379999999998</v>
      </c>
      <c r="DQ522" s="202">
        <f t="shared" si="739"/>
        <v>-3372.7379999999998</v>
      </c>
      <c r="DR522" s="9">
        <f t="shared" si="740"/>
        <v>-3372.7379999999998</v>
      </c>
      <c r="DS522" s="9">
        <f t="shared" si="703"/>
        <v>-3372.7379999999998</v>
      </c>
      <c r="DT522" s="9">
        <f t="shared" si="741"/>
        <v>-3372.7379999999998</v>
      </c>
      <c r="DU522" s="202">
        <f t="shared" si="742"/>
        <v>-3372.7379999999998</v>
      </c>
      <c r="DV522" s="202">
        <f t="shared" si="743"/>
        <v>-3372.7379999999998</v>
      </c>
      <c r="DW522" s="202">
        <f t="shared" si="744"/>
        <v>-3372.7379999999998</v>
      </c>
      <c r="DX522" s="203" t="e">
        <f t="shared" si="745"/>
        <v>#DIV/0!</v>
      </c>
      <c r="DY522" s="203" t="e">
        <f t="shared" si="746"/>
        <v>#DIV/0!</v>
      </c>
      <c r="DZ522" s="203" t="e">
        <f t="shared" si="747"/>
        <v>#DIV/0!</v>
      </c>
      <c r="EA522" s="19" t="e">
        <f t="shared" si="748"/>
        <v>#DIV/0!</v>
      </c>
      <c r="EB522" s="19" t="e">
        <f t="shared" si="704"/>
        <v>#DIV/0!</v>
      </c>
      <c r="EC522" s="19" t="e">
        <f t="shared" si="749"/>
        <v>#DIV/0!</v>
      </c>
      <c r="ED522" s="203" t="e">
        <f t="shared" si="750"/>
        <v>#DIV/0!</v>
      </c>
      <c r="EE522" s="203" t="e">
        <f t="shared" si="751"/>
        <v>#DIV/0!</v>
      </c>
      <c r="EF522" s="203" t="e">
        <f t="shared" si="752"/>
        <v>#DIV/0!</v>
      </c>
      <c r="EH522" s="58">
        <f t="shared" si="798"/>
        <v>3372.7379999999998</v>
      </c>
      <c r="EI522" s="68" t="e">
        <f t="shared" si="799"/>
        <v>#DIV/0!</v>
      </c>
      <c r="EJ522" s="58">
        <f t="shared" si="800"/>
        <v>3372.7379999999998</v>
      </c>
      <c r="EK522" s="68" t="e">
        <f t="shared" si="799"/>
        <v>#DIV/0!</v>
      </c>
      <c r="EL522" s="58">
        <f t="shared" si="801"/>
        <v>0</v>
      </c>
      <c r="EM522" s="58">
        <f t="shared" si="802"/>
        <v>0</v>
      </c>
      <c r="EN522" s="68" t="e">
        <f t="shared" si="803"/>
        <v>#DIV/0!</v>
      </c>
      <c r="EO522" s="139">
        <f t="shared" si="652"/>
        <v>0.4050825009776523</v>
      </c>
      <c r="EP522">
        <f>+(SUM(M522:O522)*EO522*(1-'[1]Tier 3 Data'!$A$2))</f>
        <v>0</v>
      </c>
    </row>
    <row r="523" spans="1:146" x14ac:dyDescent="0.2">
      <c r="A523" s="43">
        <v>0</v>
      </c>
      <c r="B523" s="43">
        <v>0</v>
      </c>
      <c r="C523" s="43">
        <v>0</v>
      </c>
      <c r="D523" s="70">
        <v>2050</v>
      </c>
      <c r="E523" s="70">
        <v>12</v>
      </c>
      <c r="F523" s="2">
        <v>744</v>
      </c>
      <c r="G523" s="133">
        <f t="shared" si="636"/>
        <v>0</v>
      </c>
      <c r="H523" s="64"/>
      <c r="I523" s="133">
        <f t="shared" si="637"/>
        <v>0</v>
      </c>
      <c r="J523" s="133">
        <f t="shared" si="778"/>
        <v>0</v>
      </c>
      <c r="K523" s="64"/>
      <c r="L523" s="133">
        <f t="shared" si="779"/>
        <v>0</v>
      </c>
      <c r="M523" s="5"/>
      <c r="N523" s="5"/>
      <c r="O523" s="5"/>
      <c r="P523" s="200">
        <f t="shared" si="770"/>
        <v>0</v>
      </c>
      <c r="Q523" s="200">
        <f t="shared" si="771"/>
        <v>0</v>
      </c>
      <c r="R523" s="200">
        <f t="shared" si="772"/>
        <v>0</v>
      </c>
      <c r="S523" s="133">
        <f t="shared" si="638"/>
        <v>0</v>
      </c>
      <c r="T523" s="133">
        <f t="shared" si="639"/>
        <v>0</v>
      </c>
      <c r="U523" s="133">
        <f t="shared" si="640"/>
        <v>0</v>
      </c>
      <c r="V523" s="200">
        <f t="shared" si="773"/>
        <v>0</v>
      </c>
      <c r="W523" s="200">
        <f t="shared" si="774"/>
        <v>0</v>
      </c>
      <c r="X523" s="200">
        <f t="shared" si="775"/>
        <v>0</v>
      </c>
      <c r="Y523" s="58">
        <f t="shared" si="624"/>
        <v>0</v>
      </c>
      <c r="AA523" s="58">
        <f t="shared" si="625"/>
        <v>0</v>
      </c>
      <c r="AB523" s="200">
        <f t="shared" si="611"/>
        <v>0</v>
      </c>
      <c r="AC523" s="200">
        <f t="shared" si="612"/>
        <v>0</v>
      </c>
      <c r="AD523" s="200">
        <f t="shared" si="613"/>
        <v>0</v>
      </c>
      <c r="AE523" s="199">
        <f t="shared" si="719"/>
        <v>0</v>
      </c>
      <c r="AF523" s="199">
        <f t="shared" si="614"/>
        <v>0</v>
      </c>
      <c r="AG523" s="199">
        <f t="shared" si="720"/>
        <v>0</v>
      </c>
      <c r="AH523" s="199">
        <f t="shared" si="641"/>
        <v>0</v>
      </c>
      <c r="AI523" s="200">
        <f t="shared" si="615"/>
        <v>0</v>
      </c>
      <c r="AJ523" s="200">
        <f t="shared" si="616"/>
        <v>0</v>
      </c>
      <c r="AK523" s="200">
        <f t="shared" si="617"/>
        <v>0</v>
      </c>
      <c r="AL523" s="4"/>
      <c r="AM523" s="4"/>
      <c r="AN523" s="4"/>
      <c r="AO523" s="4"/>
      <c r="AP523" s="63"/>
      <c r="AQ523" s="18"/>
      <c r="AR523" s="18"/>
      <c r="AS523" s="18"/>
      <c r="AT523" s="18">
        <v>0</v>
      </c>
      <c r="AU523" s="133">
        <f t="shared" ref="AU523" si="806">+AU511</f>
        <v>105.066</v>
      </c>
      <c r="AV523" s="133">
        <f t="shared" ref="AV523" si="807">+AV511</f>
        <v>3218.8470000000002</v>
      </c>
      <c r="AW523" s="194"/>
      <c r="AX523" s="194"/>
      <c r="AY523" s="194"/>
      <c r="AZ523" s="194"/>
      <c r="BA523" s="194"/>
      <c r="BB523" s="194"/>
      <c r="BC523" s="65">
        <v>0</v>
      </c>
      <c r="BD523" s="65">
        <v>0</v>
      </c>
      <c r="BE523" s="65">
        <v>0</v>
      </c>
      <c r="BF523" s="65">
        <v>0</v>
      </c>
      <c r="BG523" s="65">
        <v>0</v>
      </c>
      <c r="BH523" s="65">
        <v>0</v>
      </c>
      <c r="BI523" s="65">
        <v>0</v>
      </c>
      <c r="BJ523" s="65">
        <v>0</v>
      </c>
      <c r="BK523" s="65">
        <v>0</v>
      </c>
      <c r="BL523" s="65">
        <v>0</v>
      </c>
      <c r="BM523" s="65">
        <v>0</v>
      </c>
      <c r="BN523" s="65">
        <v>0</v>
      </c>
      <c r="BO523" s="65">
        <v>0</v>
      </c>
      <c r="BP523" s="5"/>
      <c r="BQ523" s="5"/>
      <c r="BR523" s="5"/>
      <c r="BS523" s="64"/>
      <c r="BT523" s="5"/>
      <c r="BU523" s="5"/>
      <c r="BV523" s="144">
        <f t="shared" si="608"/>
        <v>0</v>
      </c>
      <c r="BW523" s="144">
        <f t="shared" si="609"/>
        <v>0</v>
      </c>
      <c r="BX523" s="144">
        <f t="shared" si="610"/>
        <v>0</v>
      </c>
      <c r="BY523" s="5"/>
      <c r="BZ523" s="5"/>
      <c r="CA523" s="4"/>
      <c r="CB523" s="5"/>
      <c r="CC523" s="5"/>
      <c r="CD523" s="5"/>
      <c r="CE523" s="5"/>
      <c r="CF523" s="64"/>
      <c r="CG523" s="70"/>
      <c r="CH523" s="70"/>
      <c r="CI523" s="70"/>
      <c r="CJ523" s="63"/>
      <c r="CK523" s="8">
        <f t="shared" si="761"/>
        <v>3323.913</v>
      </c>
      <c r="CL523" s="202">
        <f t="shared" si="683"/>
        <v>-3323.913</v>
      </c>
      <c r="CM523" s="202">
        <f t="shared" si="684"/>
        <v>-3323.913</v>
      </c>
      <c r="CN523" s="202">
        <f t="shared" si="685"/>
        <v>-3323.913</v>
      </c>
      <c r="CO523" s="9">
        <f t="shared" si="686"/>
        <v>-3323.913</v>
      </c>
      <c r="CP523" s="9">
        <f t="shared" si="687"/>
        <v>-3323.913</v>
      </c>
      <c r="CQ523" s="9">
        <f t="shared" si="688"/>
        <v>-3323.913</v>
      </c>
      <c r="CR523" s="202">
        <f t="shared" si="689"/>
        <v>-3323.913</v>
      </c>
      <c r="CS523" s="202">
        <f t="shared" si="690"/>
        <v>-3323.913</v>
      </c>
      <c r="CT523" s="202">
        <f t="shared" si="691"/>
        <v>-3323.913</v>
      </c>
      <c r="CU523" s="203" t="e">
        <f t="shared" si="692"/>
        <v>#DIV/0!</v>
      </c>
      <c r="CV523" s="203" t="e">
        <f t="shared" si="693"/>
        <v>#DIV/0!</v>
      </c>
      <c r="CW523" s="203" t="e">
        <f t="shared" si="694"/>
        <v>#DIV/0!</v>
      </c>
      <c r="CX523" s="19" t="e">
        <f t="shared" si="695"/>
        <v>#DIV/0!</v>
      </c>
      <c r="CY523" s="19" t="e">
        <f t="shared" si="696"/>
        <v>#DIV/0!</v>
      </c>
      <c r="CZ523" s="19" t="e">
        <f t="shared" si="697"/>
        <v>#DIV/0!</v>
      </c>
      <c r="DA523" s="203" t="e">
        <f t="shared" si="698"/>
        <v>#DIV/0!</v>
      </c>
      <c r="DB523" s="203" t="e">
        <f t="shared" si="699"/>
        <v>#DIV/0!</v>
      </c>
      <c r="DC523" s="203" t="e">
        <f t="shared" si="700"/>
        <v>#DIV/0!</v>
      </c>
      <c r="DD523" s="65"/>
      <c r="DE523" s="66"/>
      <c r="DF523" s="66"/>
      <c r="DG523" s="66"/>
      <c r="DH523" s="66"/>
      <c r="DI523" s="66"/>
      <c r="DJ523" s="66"/>
      <c r="DK523" s="70"/>
      <c r="DL523" s="70"/>
      <c r="DM523" s="8">
        <f t="shared" si="762"/>
        <v>0</v>
      </c>
      <c r="DN523" s="8">
        <f t="shared" si="763"/>
        <v>3323.913</v>
      </c>
      <c r="DO523" s="202">
        <f t="shared" si="737"/>
        <v>-3323.913</v>
      </c>
      <c r="DP523" s="202">
        <f t="shared" si="738"/>
        <v>-3323.913</v>
      </c>
      <c r="DQ523" s="202">
        <f t="shared" si="739"/>
        <v>-3323.913</v>
      </c>
      <c r="DR523" s="9">
        <f t="shared" si="740"/>
        <v>-3323.913</v>
      </c>
      <c r="DS523" s="9">
        <f t="shared" si="703"/>
        <v>-3323.913</v>
      </c>
      <c r="DT523" s="9">
        <f t="shared" si="741"/>
        <v>-3323.913</v>
      </c>
      <c r="DU523" s="202">
        <f t="shared" si="742"/>
        <v>-3323.913</v>
      </c>
      <c r="DV523" s="202">
        <f t="shared" si="743"/>
        <v>-3323.913</v>
      </c>
      <c r="DW523" s="202">
        <f t="shared" si="744"/>
        <v>-3323.913</v>
      </c>
      <c r="DX523" s="203" t="e">
        <f t="shared" si="745"/>
        <v>#DIV/0!</v>
      </c>
      <c r="DY523" s="203" t="e">
        <f t="shared" si="746"/>
        <v>#DIV/0!</v>
      </c>
      <c r="DZ523" s="203" t="e">
        <f t="shared" si="747"/>
        <v>#DIV/0!</v>
      </c>
      <c r="EA523" s="19" t="e">
        <f t="shared" si="748"/>
        <v>#DIV/0!</v>
      </c>
      <c r="EB523" s="19" t="e">
        <f t="shared" si="704"/>
        <v>#DIV/0!</v>
      </c>
      <c r="EC523" s="19" t="e">
        <f t="shared" si="749"/>
        <v>#DIV/0!</v>
      </c>
      <c r="ED523" s="203" t="e">
        <f t="shared" si="750"/>
        <v>#DIV/0!</v>
      </c>
      <c r="EE523" s="203" t="e">
        <f t="shared" si="751"/>
        <v>#DIV/0!</v>
      </c>
      <c r="EF523" s="203" t="e">
        <f t="shared" si="752"/>
        <v>#DIV/0!</v>
      </c>
      <c r="EH523" s="58">
        <f t="shared" si="798"/>
        <v>3323.913</v>
      </c>
      <c r="EI523" s="68" t="e">
        <f t="shared" si="799"/>
        <v>#DIV/0!</v>
      </c>
      <c r="EJ523" s="58">
        <f t="shared" si="800"/>
        <v>3323.913</v>
      </c>
      <c r="EK523" s="68" t="e">
        <f t="shared" si="799"/>
        <v>#DIV/0!</v>
      </c>
      <c r="EL523" s="58">
        <f t="shared" si="801"/>
        <v>0</v>
      </c>
      <c r="EM523" s="58">
        <f t="shared" si="802"/>
        <v>0</v>
      </c>
      <c r="EN523" s="68" t="e">
        <f t="shared" si="803"/>
        <v>#DIV/0!</v>
      </c>
      <c r="EO523" s="139">
        <f t="shared" si="652"/>
        <v>0.32946562535829382</v>
      </c>
      <c r="EP523">
        <f>+(SUM(M523:O523)*EO523*(1-'[1]Tier 3 Data'!$A$2))</f>
        <v>0</v>
      </c>
    </row>
    <row r="524" spans="1:146" x14ac:dyDescent="0.2">
      <c r="A524" s="43">
        <v>0</v>
      </c>
      <c r="B524" s="43">
        <v>0</v>
      </c>
      <c r="C524" s="43">
        <v>0</v>
      </c>
      <c r="D524" s="70">
        <v>2051</v>
      </c>
      <c r="E524" s="70">
        <v>1</v>
      </c>
      <c r="F524" s="2">
        <v>744</v>
      </c>
      <c r="G524" s="133">
        <f t="shared" si="636"/>
        <v>0</v>
      </c>
      <c r="H524" s="64"/>
      <c r="I524" s="133">
        <f t="shared" si="637"/>
        <v>0</v>
      </c>
      <c r="J524" s="133">
        <f t="shared" si="778"/>
        <v>0</v>
      </c>
      <c r="K524" s="64"/>
      <c r="L524" s="133">
        <f t="shared" si="779"/>
        <v>0</v>
      </c>
      <c r="M524" s="5"/>
      <c r="N524" s="5"/>
      <c r="O524" s="5"/>
      <c r="P524" s="200">
        <f t="shared" si="770"/>
        <v>0</v>
      </c>
      <c r="Q524" s="200">
        <f t="shared" si="771"/>
        <v>0</v>
      </c>
      <c r="R524" s="200">
        <f t="shared" si="772"/>
        <v>0</v>
      </c>
      <c r="S524" s="133">
        <f t="shared" si="638"/>
        <v>0</v>
      </c>
      <c r="T524" s="133">
        <f t="shared" si="639"/>
        <v>0</v>
      </c>
      <c r="U524" s="133">
        <f t="shared" si="640"/>
        <v>0</v>
      </c>
      <c r="V524" s="200">
        <f t="shared" si="773"/>
        <v>0</v>
      </c>
      <c r="W524" s="200">
        <f t="shared" si="774"/>
        <v>0</v>
      </c>
      <c r="X524" s="200">
        <f t="shared" si="775"/>
        <v>0</v>
      </c>
      <c r="Y524" s="58">
        <f t="shared" si="624"/>
        <v>0</v>
      </c>
      <c r="AA524" s="58">
        <f t="shared" si="625"/>
        <v>0</v>
      </c>
      <c r="AB524" s="200">
        <f t="shared" si="611"/>
        <v>0</v>
      </c>
      <c r="AC524" s="200">
        <f t="shared" si="612"/>
        <v>0</v>
      </c>
      <c r="AD524" s="200">
        <f t="shared" si="613"/>
        <v>0</v>
      </c>
      <c r="AE524" s="199">
        <f t="shared" si="719"/>
        <v>0</v>
      </c>
      <c r="AF524" s="199">
        <f t="shared" si="614"/>
        <v>0</v>
      </c>
      <c r="AG524" s="199">
        <f t="shared" si="720"/>
        <v>0</v>
      </c>
      <c r="AH524" s="199">
        <f t="shared" si="641"/>
        <v>0</v>
      </c>
      <c r="AI524" s="200">
        <f t="shared" si="615"/>
        <v>0</v>
      </c>
      <c r="AJ524" s="200">
        <f t="shared" si="616"/>
        <v>0</v>
      </c>
      <c r="AK524" s="200">
        <f t="shared" si="617"/>
        <v>0</v>
      </c>
      <c r="AL524" s="4"/>
      <c r="AM524" s="4"/>
      <c r="AN524" s="4"/>
      <c r="AO524" s="4"/>
      <c r="AP524" s="63"/>
      <c r="AQ524" s="18"/>
      <c r="AR524" s="18"/>
      <c r="AS524" s="18"/>
      <c r="AT524" s="18">
        <v>0</v>
      </c>
      <c r="AU524" s="133">
        <f t="shared" ref="AU524" si="808">+AU512</f>
        <v>98.513999999999996</v>
      </c>
      <c r="AV524" s="133">
        <f t="shared" ref="AV524" si="809">+AV512</f>
        <v>3278.6750000000002</v>
      </c>
      <c r="AW524" s="194"/>
      <c r="AX524" s="194"/>
      <c r="AY524" s="194"/>
      <c r="AZ524" s="194"/>
      <c r="BA524" s="194"/>
      <c r="BB524" s="194"/>
      <c r="BC524" s="65">
        <v>0</v>
      </c>
      <c r="BD524" s="65">
        <v>0</v>
      </c>
      <c r="BE524" s="65">
        <v>0</v>
      </c>
      <c r="BF524" s="65">
        <v>0</v>
      </c>
      <c r="BG524" s="65">
        <v>0</v>
      </c>
      <c r="BH524" s="65">
        <v>0</v>
      </c>
      <c r="BI524" s="65">
        <v>0</v>
      </c>
      <c r="BJ524" s="65">
        <v>0</v>
      </c>
      <c r="BK524" s="65">
        <v>0</v>
      </c>
      <c r="BL524" s="65">
        <v>0</v>
      </c>
      <c r="BM524" s="65">
        <v>0</v>
      </c>
      <c r="BN524" s="65">
        <v>0</v>
      </c>
      <c r="BO524" s="65">
        <v>0</v>
      </c>
      <c r="BP524" s="5"/>
      <c r="BQ524" s="5"/>
      <c r="BR524" s="5"/>
      <c r="BS524" s="64"/>
      <c r="BT524" s="5"/>
      <c r="BU524" s="5"/>
      <c r="BV524" s="144">
        <f t="shared" ref="BV524:BV587" si="810">+M524*0.7</f>
        <v>0</v>
      </c>
      <c r="BW524" s="144">
        <f t="shared" ref="BW524:BW587" si="811">+N524*0.7</f>
        <v>0</v>
      </c>
      <c r="BX524" s="144">
        <f t="shared" ref="BX524:BX587" si="812">+O524*0.7</f>
        <v>0</v>
      </c>
      <c r="BY524" s="5"/>
      <c r="BZ524" s="5"/>
      <c r="CA524" s="4"/>
      <c r="CB524" s="5"/>
      <c r="CC524" s="5"/>
      <c r="CD524" s="5"/>
      <c r="CE524" s="5"/>
      <c r="CF524" s="64"/>
      <c r="CG524" s="70"/>
      <c r="CH524" s="70"/>
      <c r="CI524" s="70"/>
      <c r="CJ524" s="63"/>
      <c r="CK524" s="8">
        <f t="shared" si="761"/>
        <v>3377.1890000000003</v>
      </c>
      <c r="CL524" s="202">
        <f t="shared" si="683"/>
        <v>-3377.1890000000003</v>
      </c>
      <c r="CM524" s="202">
        <f t="shared" si="684"/>
        <v>-3377.1890000000003</v>
      </c>
      <c r="CN524" s="202">
        <f t="shared" si="685"/>
        <v>-3377.1890000000003</v>
      </c>
      <c r="CO524" s="9">
        <f t="shared" si="686"/>
        <v>-3377.1890000000003</v>
      </c>
      <c r="CP524" s="9">
        <f t="shared" si="687"/>
        <v>-3377.1890000000003</v>
      </c>
      <c r="CQ524" s="9">
        <f t="shared" si="688"/>
        <v>-3377.1890000000003</v>
      </c>
      <c r="CR524" s="202">
        <f t="shared" si="689"/>
        <v>-3377.1890000000003</v>
      </c>
      <c r="CS524" s="202">
        <f t="shared" si="690"/>
        <v>-3377.1890000000003</v>
      </c>
      <c r="CT524" s="202">
        <f t="shared" si="691"/>
        <v>-3377.1890000000003</v>
      </c>
      <c r="CU524" s="203" t="e">
        <f t="shared" si="692"/>
        <v>#DIV/0!</v>
      </c>
      <c r="CV524" s="203" t="e">
        <f t="shared" si="693"/>
        <v>#DIV/0!</v>
      </c>
      <c r="CW524" s="203" t="e">
        <f t="shared" si="694"/>
        <v>#DIV/0!</v>
      </c>
      <c r="CX524" s="19" t="e">
        <f t="shared" si="695"/>
        <v>#DIV/0!</v>
      </c>
      <c r="CY524" s="19" t="e">
        <f t="shared" si="696"/>
        <v>#DIV/0!</v>
      </c>
      <c r="CZ524" s="19" t="e">
        <f t="shared" si="697"/>
        <v>#DIV/0!</v>
      </c>
      <c r="DA524" s="203" t="e">
        <f t="shared" si="698"/>
        <v>#DIV/0!</v>
      </c>
      <c r="DB524" s="203" t="e">
        <f t="shared" si="699"/>
        <v>#DIV/0!</v>
      </c>
      <c r="DC524" s="203" t="e">
        <f t="shared" si="700"/>
        <v>#DIV/0!</v>
      </c>
      <c r="DD524" s="65"/>
      <c r="DE524" s="66"/>
      <c r="DF524" s="66"/>
      <c r="DG524" s="66"/>
      <c r="DH524" s="66"/>
      <c r="DI524" s="66"/>
      <c r="DJ524" s="66"/>
      <c r="DK524" s="70"/>
      <c r="DL524" s="70"/>
      <c r="DM524" s="8">
        <f t="shared" si="762"/>
        <v>0</v>
      </c>
      <c r="DN524" s="8">
        <f t="shared" si="763"/>
        <v>3377.1890000000003</v>
      </c>
      <c r="DO524" s="202">
        <f t="shared" si="737"/>
        <v>-3377.1890000000003</v>
      </c>
      <c r="DP524" s="202">
        <f t="shared" si="738"/>
        <v>-3377.1890000000003</v>
      </c>
      <c r="DQ524" s="202">
        <f t="shared" si="739"/>
        <v>-3377.1890000000003</v>
      </c>
      <c r="DR524" s="9">
        <f t="shared" si="740"/>
        <v>-3377.1890000000003</v>
      </c>
      <c r="DS524" s="9">
        <f t="shared" si="703"/>
        <v>-3377.1890000000003</v>
      </c>
      <c r="DT524" s="9">
        <f t="shared" si="741"/>
        <v>-3377.1890000000003</v>
      </c>
      <c r="DU524" s="202">
        <f t="shared" si="742"/>
        <v>-3377.1890000000003</v>
      </c>
      <c r="DV524" s="202">
        <f t="shared" si="743"/>
        <v>-3377.1890000000003</v>
      </c>
      <c r="DW524" s="202">
        <f t="shared" si="744"/>
        <v>-3377.1890000000003</v>
      </c>
      <c r="DX524" s="203" t="e">
        <f t="shared" si="745"/>
        <v>#DIV/0!</v>
      </c>
      <c r="DY524" s="203" t="e">
        <f t="shared" si="746"/>
        <v>#DIV/0!</v>
      </c>
      <c r="DZ524" s="203" t="e">
        <f t="shared" si="747"/>
        <v>#DIV/0!</v>
      </c>
      <c r="EA524" s="19" t="e">
        <f t="shared" si="748"/>
        <v>#DIV/0!</v>
      </c>
      <c r="EB524" s="19" t="e">
        <f t="shared" si="704"/>
        <v>#DIV/0!</v>
      </c>
      <c r="EC524" s="19" t="e">
        <f t="shared" si="749"/>
        <v>#DIV/0!</v>
      </c>
      <c r="ED524" s="203" t="e">
        <f t="shared" si="750"/>
        <v>#DIV/0!</v>
      </c>
      <c r="EE524" s="203" t="e">
        <f t="shared" si="751"/>
        <v>#DIV/0!</v>
      </c>
      <c r="EF524" s="203" t="e">
        <f t="shared" si="752"/>
        <v>#DIV/0!</v>
      </c>
      <c r="EH524" s="58">
        <f t="shared" si="798"/>
        <v>3377.1890000000003</v>
      </c>
      <c r="EI524" s="68" t="e">
        <f t="shared" si="799"/>
        <v>#DIV/0!</v>
      </c>
      <c r="EJ524" s="58">
        <f t="shared" si="800"/>
        <v>3377.1890000000003</v>
      </c>
      <c r="EK524" s="68" t="e">
        <f t="shared" si="799"/>
        <v>#DIV/0!</v>
      </c>
      <c r="EL524" s="58">
        <f t="shared" si="801"/>
        <v>0</v>
      </c>
      <c r="EM524" s="58">
        <f t="shared" si="802"/>
        <v>0</v>
      </c>
      <c r="EN524" s="68" t="e">
        <f t="shared" si="803"/>
        <v>#DIV/0!</v>
      </c>
      <c r="EO524" s="139">
        <f t="shared" si="652"/>
        <v>0.32527353469126524</v>
      </c>
      <c r="EP524">
        <f>+(SUM(M524:O524)*EO524*(1-'[1]Tier 3 Data'!$A$2))</f>
        <v>0</v>
      </c>
    </row>
    <row r="525" spans="1:146" x14ac:dyDescent="0.2">
      <c r="A525" s="43">
        <v>0</v>
      </c>
      <c r="B525" s="43">
        <v>0</v>
      </c>
      <c r="C525" s="43">
        <v>0</v>
      </c>
      <c r="D525" s="70">
        <v>2051</v>
      </c>
      <c r="E525" s="70">
        <v>2</v>
      </c>
      <c r="F525" s="2">
        <v>672</v>
      </c>
      <c r="G525" s="133">
        <f t="shared" si="636"/>
        <v>0</v>
      </c>
      <c r="H525" s="64"/>
      <c r="I525" s="133">
        <f t="shared" si="637"/>
        <v>0</v>
      </c>
      <c r="J525" s="133">
        <f t="shared" si="778"/>
        <v>0</v>
      </c>
      <c r="K525" s="64"/>
      <c r="L525" s="133">
        <f t="shared" si="779"/>
        <v>0</v>
      </c>
      <c r="M525" s="5"/>
      <c r="N525" s="5"/>
      <c r="O525" s="5"/>
      <c r="P525" s="200">
        <f t="shared" si="770"/>
        <v>0</v>
      </c>
      <c r="Q525" s="200">
        <f t="shared" si="771"/>
        <v>0</v>
      </c>
      <c r="R525" s="200">
        <f t="shared" si="772"/>
        <v>0</v>
      </c>
      <c r="S525" s="133">
        <f t="shared" si="638"/>
        <v>0</v>
      </c>
      <c r="T525" s="133">
        <f t="shared" si="639"/>
        <v>0</v>
      </c>
      <c r="U525" s="133">
        <f t="shared" si="640"/>
        <v>0</v>
      </c>
      <c r="V525" s="200">
        <f t="shared" si="773"/>
        <v>0</v>
      </c>
      <c r="W525" s="200">
        <f t="shared" si="774"/>
        <v>0</v>
      </c>
      <c r="X525" s="200">
        <f t="shared" si="775"/>
        <v>0</v>
      </c>
      <c r="Y525" s="58">
        <f t="shared" ref="Y525:Y588" si="813">+Z525*$Y$6</f>
        <v>0</v>
      </c>
      <c r="AA525" s="58">
        <f t="shared" ref="AA525:AA588" si="814">+Z525*$AA$6</f>
        <v>0</v>
      </c>
      <c r="AB525" s="200">
        <f t="shared" ref="AB525:AB588" si="815">+P525+$Z525</f>
        <v>0</v>
      </c>
      <c r="AC525" s="200">
        <f t="shared" ref="AC525:AC588" si="816">+Q525+$Z525</f>
        <v>0</v>
      </c>
      <c r="AD525" s="200">
        <f t="shared" ref="AD525:AD588" si="817">+R525+$Z525</f>
        <v>0</v>
      </c>
      <c r="AE525" s="199">
        <f t="shared" si="719"/>
        <v>0</v>
      </c>
      <c r="AF525" s="199">
        <f t="shared" ref="AF525:AF588" si="818">+T525+$Z525</f>
        <v>0</v>
      </c>
      <c r="AG525" s="199">
        <f t="shared" si="720"/>
        <v>0</v>
      </c>
      <c r="AH525" s="199">
        <f t="shared" si="641"/>
        <v>0</v>
      </c>
      <c r="AI525" s="200">
        <f t="shared" ref="AI525:AI588" si="819">+V525+$Z525</f>
        <v>0</v>
      </c>
      <c r="AJ525" s="200">
        <f t="shared" ref="AJ525:AJ588" si="820">+W525+$Z525</f>
        <v>0</v>
      </c>
      <c r="AK525" s="200">
        <f t="shared" ref="AK525:AK588" si="821">+X525+$Z525</f>
        <v>0</v>
      </c>
      <c r="AL525" s="4"/>
      <c r="AM525" s="4"/>
      <c r="AN525" s="4"/>
      <c r="AO525" s="4"/>
      <c r="AP525" s="63"/>
      <c r="AQ525" s="18"/>
      <c r="AR525" s="18"/>
      <c r="AS525" s="18"/>
      <c r="AT525" s="18">
        <v>0</v>
      </c>
      <c r="AU525" s="133">
        <f t="shared" ref="AU525" si="822">+AU513</f>
        <v>92.897999999999996</v>
      </c>
      <c r="AV525" s="133">
        <f t="shared" ref="AV525" si="823">+AV513</f>
        <v>3057.587</v>
      </c>
      <c r="AW525" s="194"/>
      <c r="AX525" s="194"/>
      <c r="AY525" s="194"/>
      <c r="AZ525" s="194"/>
      <c r="BA525" s="194"/>
      <c r="BB525" s="194"/>
      <c r="BC525" s="65">
        <v>0</v>
      </c>
      <c r="BD525" s="65">
        <v>0</v>
      </c>
      <c r="BE525" s="65">
        <v>0</v>
      </c>
      <c r="BF525" s="65">
        <v>0</v>
      </c>
      <c r="BG525" s="65">
        <v>0</v>
      </c>
      <c r="BH525" s="65">
        <v>0</v>
      </c>
      <c r="BI525" s="65">
        <v>0</v>
      </c>
      <c r="BJ525" s="65">
        <v>0</v>
      </c>
      <c r="BK525" s="65">
        <v>0</v>
      </c>
      <c r="BL525" s="65">
        <v>0</v>
      </c>
      <c r="BM525" s="65">
        <v>0</v>
      </c>
      <c r="BN525" s="65">
        <v>0</v>
      </c>
      <c r="BO525" s="65">
        <v>0</v>
      </c>
      <c r="BP525" s="5"/>
      <c r="BQ525" s="5"/>
      <c r="BR525" s="5"/>
      <c r="BS525" s="5"/>
      <c r="BT525" s="5"/>
      <c r="BU525" s="5"/>
      <c r="BV525" s="144">
        <f t="shared" si="810"/>
        <v>0</v>
      </c>
      <c r="BW525" s="144">
        <f t="shared" si="811"/>
        <v>0</v>
      </c>
      <c r="BX525" s="144">
        <f t="shared" si="812"/>
        <v>0</v>
      </c>
      <c r="BY525" s="5"/>
      <c r="BZ525" s="5"/>
      <c r="CA525" s="4"/>
      <c r="CB525" s="5"/>
      <c r="CC525" s="5"/>
      <c r="CD525" s="5"/>
      <c r="CE525" s="5"/>
      <c r="CF525" s="64"/>
      <c r="CG525" s="70"/>
      <c r="CH525" s="70"/>
      <c r="CI525" s="70"/>
      <c r="CJ525" s="63"/>
      <c r="CK525" s="8">
        <f t="shared" si="761"/>
        <v>3150.4850000000001</v>
      </c>
      <c r="CL525" s="202">
        <f t="shared" si="683"/>
        <v>-3150.4850000000001</v>
      </c>
      <c r="CM525" s="202">
        <f t="shared" si="684"/>
        <v>-3150.4850000000001</v>
      </c>
      <c r="CN525" s="202">
        <f t="shared" si="685"/>
        <v>-3150.4850000000001</v>
      </c>
      <c r="CO525" s="9">
        <f t="shared" si="686"/>
        <v>-3150.4850000000001</v>
      </c>
      <c r="CP525" s="9">
        <f t="shared" si="687"/>
        <v>-3150.4850000000001</v>
      </c>
      <c r="CQ525" s="9">
        <f t="shared" si="688"/>
        <v>-3150.4850000000001</v>
      </c>
      <c r="CR525" s="202">
        <f t="shared" si="689"/>
        <v>-3150.4850000000001</v>
      </c>
      <c r="CS525" s="202">
        <f t="shared" si="690"/>
        <v>-3150.4850000000001</v>
      </c>
      <c r="CT525" s="202">
        <f t="shared" si="691"/>
        <v>-3150.4850000000001</v>
      </c>
      <c r="CU525" s="203" t="e">
        <f t="shared" si="692"/>
        <v>#DIV/0!</v>
      </c>
      <c r="CV525" s="203" t="e">
        <f t="shared" si="693"/>
        <v>#DIV/0!</v>
      </c>
      <c r="CW525" s="203" t="e">
        <f t="shared" si="694"/>
        <v>#DIV/0!</v>
      </c>
      <c r="CX525" s="19" t="e">
        <f t="shared" si="695"/>
        <v>#DIV/0!</v>
      </c>
      <c r="CY525" s="19" t="e">
        <f t="shared" si="696"/>
        <v>#DIV/0!</v>
      </c>
      <c r="CZ525" s="19" t="e">
        <f t="shared" si="697"/>
        <v>#DIV/0!</v>
      </c>
      <c r="DA525" s="203" t="e">
        <f t="shared" si="698"/>
        <v>#DIV/0!</v>
      </c>
      <c r="DB525" s="203" t="e">
        <f t="shared" si="699"/>
        <v>#DIV/0!</v>
      </c>
      <c r="DC525" s="203" t="e">
        <f t="shared" si="700"/>
        <v>#DIV/0!</v>
      </c>
      <c r="DD525" s="65"/>
      <c r="DE525" s="66"/>
      <c r="DF525" s="66"/>
      <c r="DG525" s="66"/>
      <c r="DH525" s="66"/>
      <c r="DI525" s="66"/>
      <c r="DJ525" s="66"/>
      <c r="DK525" s="70"/>
      <c r="DL525" s="70"/>
      <c r="DM525" s="8">
        <f t="shared" si="762"/>
        <v>0</v>
      </c>
      <c r="DN525" s="8">
        <f t="shared" si="763"/>
        <v>3150.4850000000001</v>
      </c>
      <c r="DO525" s="202">
        <f t="shared" si="737"/>
        <v>-3150.4850000000001</v>
      </c>
      <c r="DP525" s="202">
        <f t="shared" si="738"/>
        <v>-3150.4850000000001</v>
      </c>
      <c r="DQ525" s="202">
        <f t="shared" si="739"/>
        <v>-3150.4850000000001</v>
      </c>
      <c r="DR525" s="9">
        <f t="shared" si="740"/>
        <v>-3150.4850000000001</v>
      </c>
      <c r="DS525" s="9">
        <f t="shared" si="703"/>
        <v>-3150.4850000000001</v>
      </c>
      <c r="DT525" s="9">
        <f t="shared" si="741"/>
        <v>-3150.4850000000001</v>
      </c>
      <c r="DU525" s="202">
        <f t="shared" si="742"/>
        <v>-3150.4850000000001</v>
      </c>
      <c r="DV525" s="202">
        <f t="shared" si="743"/>
        <v>-3150.4850000000001</v>
      </c>
      <c r="DW525" s="202">
        <f t="shared" si="744"/>
        <v>-3150.4850000000001</v>
      </c>
      <c r="DX525" s="203" t="e">
        <f t="shared" si="745"/>
        <v>#DIV/0!</v>
      </c>
      <c r="DY525" s="203" t="e">
        <f t="shared" si="746"/>
        <v>#DIV/0!</v>
      </c>
      <c r="DZ525" s="203" t="e">
        <f t="shared" si="747"/>
        <v>#DIV/0!</v>
      </c>
      <c r="EA525" s="19" t="e">
        <f t="shared" si="748"/>
        <v>#DIV/0!</v>
      </c>
      <c r="EB525" s="19" t="e">
        <f t="shared" si="704"/>
        <v>#DIV/0!</v>
      </c>
      <c r="EC525" s="19" t="e">
        <f t="shared" si="749"/>
        <v>#DIV/0!</v>
      </c>
      <c r="ED525" s="203" t="e">
        <f t="shared" si="750"/>
        <v>#DIV/0!</v>
      </c>
      <c r="EE525" s="203" t="e">
        <f t="shared" si="751"/>
        <v>#DIV/0!</v>
      </c>
      <c r="EF525" s="203" t="e">
        <f t="shared" si="752"/>
        <v>#DIV/0!</v>
      </c>
      <c r="EH525" s="58">
        <f t="shared" si="798"/>
        <v>3150.4850000000001</v>
      </c>
      <c r="EI525" s="68" t="e">
        <f t="shared" si="799"/>
        <v>#DIV/0!</v>
      </c>
      <c r="EJ525" s="58">
        <f t="shared" si="800"/>
        <v>3150.4850000000001</v>
      </c>
      <c r="EK525" s="68" t="e">
        <f t="shared" si="799"/>
        <v>#DIV/0!</v>
      </c>
      <c r="EL525" s="58">
        <f t="shared" si="801"/>
        <v>0</v>
      </c>
      <c r="EM525" s="58">
        <f t="shared" si="802"/>
        <v>0</v>
      </c>
      <c r="EN525" s="68" t="e">
        <f t="shared" si="803"/>
        <v>#DIV/0!</v>
      </c>
      <c r="EO525" s="139">
        <f t="shared" si="652"/>
        <v>0.3126447604730192</v>
      </c>
      <c r="EP525">
        <f>+(SUM(M525:O525)*EO525*(1-'[1]Tier 3 Data'!$A$2))</f>
        <v>0</v>
      </c>
    </row>
    <row r="526" spans="1:146" x14ac:dyDescent="0.2">
      <c r="A526" s="43">
        <v>0</v>
      </c>
      <c r="B526" s="43">
        <v>0</v>
      </c>
      <c r="C526" s="43">
        <v>0</v>
      </c>
      <c r="D526" s="70">
        <v>2051</v>
      </c>
      <c r="E526" s="70">
        <v>3</v>
      </c>
      <c r="F526" s="2">
        <v>743</v>
      </c>
      <c r="G526" s="133">
        <f t="shared" si="636"/>
        <v>0</v>
      </c>
      <c r="H526" s="64"/>
      <c r="I526" s="133">
        <f t="shared" si="637"/>
        <v>0</v>
      </c>
      <c r="J526" s="133">
        <f t="shared" si="778"/>
        <v>0</v>
      </c>
      <c r="K526" s="64"/>
      <c r="L526" s="133">
        <f t="shared" si="779"/>
        <v>0</v>
      </c>
      <c r="M526" s="5"/>
      <c r="N526" s="5"/>
      <c r="O526" s="5"/>
      <c r="P526" s="200">
        <f t="shared" si="770"/>
        <v>0</v>
      </c>
      <c r="Q526" s="200">
        <f t="shared" si="771"/>
        <v>0</v>
      </c>
      <c r="R526" s="200">
        <f t="shared" si="772"/>
        <v>0</v>
      </c>
      <c r="S526" s="133">
        <f t="shared" si="638"/>
        <v>0</v>
      </c>
      <c r="T526" s="133">
        <f t="shared" si="639"/>
        <v>0</v>
      </c>
      <c r="U526" s="133">
        <f t="shared" si="640"/>
        <v>0</v>
      </c>
      <c r="V526" s="200">
        <f t="shared" si="773"/>
        <v>0</v>
      </c>
      <c r="W526" s="200">
        <f t="shared" si="774"/>
        <v>0</v>
      </c>
      <c r="X526" s="200">
        <f t="shared" si="775"/>
        <v>0</v>
      </c>
      <c r="Y526" s="58">
        <f t="shared" si="813"/>
        <v>0</v>
      </c>
      <c r="AA526" s="58">
        <f t="shared" si="814"/>
        <v>0</v>
      </c>
      <c r="AB526" s="200">
        <f t="shared" si="815"/>
        <v>0</v>
      </c>
      <c r="AC526" s="200">
        <f t="shared" si="816"/>
        <v>0</v>
      </c>
      <c r="AD526" s="200">
        <f t="shared" si="817"/>
        <v>0</v>
      </c>
      <c r="AE526" s="199">
        <f t="shared" si="719"/>
        <v>0</v>
      </c>
      <c r="AF526" s="199">
        <f t="shared" si="818"/>
        <v>0</v>
      </c>
      <c r="AG526" s="199">
        <f t="shared" si="720"/>
        <v>0</v>
      </c>
      <c r="AH526" s="199">
        <f t="shared" si="641"/>
        <v>0</v>
      </c>
      <c r="AI526" s="200">
        <f t="shared" si="819"/>
        <v>0</v>
      </c>
      <c r="AJ526" s="200">
        <f t="shared" si="820"/>
        <v>0</v>
      </c>
      <c r="AK526" s="200">
        <f t="shared" si="821"/>
        <v>0</v>
      </c>
      <c r="AL526" s="4"/>
      <c r="AM526" s="4"/>
      <c r="AN526" s="4"/>
      <c r="AO526" s="4"/>
      <c r="AP526" s="63"/>
      <c r="AQ526" s="18"/>
      <c r="AR526" s="18"/>
      <c r="AS526" s="18"/>
      <c r="AT526" s="18">
        <v>0</v>
      </c>
      <c r="AU526" s="133">
        <f t="shared" ref="AU526" si="824">+AU514</f>
        <v>87.516000000000005</v>
      </c>
      <c r="AV526" s="133">
        <f t="shared" ref="AV526" si="825">+AV514</f>
        <v>3232.7139999999999</v>
      </c>
      <c r="AW526" s="194"/>
      <c r="AX526" s="194"/>
      <c r="AY526" s="194"/>
      <c r="AZ526" s="194"/>
      <c r="BA526" s="194"/>
      <c r="BB526" s="194"/>
      <c r="BC526" s="65">
        <v>0</v>
      </c>
      <c r="BD526" s="65">
        <v>0</v>
      </c>
      <c r="BE526" s="65">
        <v>0</v>
      </c>
      <c r="BF526" s="65">
        <v>0</v>
      </c>
      <c r="BG526" s="65">
        <v>0</v>
      </c>
      <c r="BH526" s="65">
        <v>0</v>
      </c>
      <c r="BI526" s="65">
        <v>0</v>
      </c>
      <c r="BJ526" s="65">
        <v>0</v>
      </c>
      <c r="BK526" s="65">
        <v>0</v>
      </c>
      <c r="BL526" s="65">
        <v>0</v>
      </c>
      <c r="BM526" s="65">
        <v>0</v>
      </c>
      <c r="BN526" s="65">
        <v>0</v>
      </c>
      <c r="BO526" s="65">
        <v>0</v>
      </c>
      <c r="BP526" s="5"/>
      <c r="BQ526" s="5"/>
      <c r="BR526" s="5"/>
      <c r="BS526" s="5"/>
      <c r="BT526" s="5"/>
      <c r="BU526" s="5"/>
      <c r="BV526" s="144">
        <f t="shared" si="810"/>
        <v>0</v>
      </c>
      <c r="BW526" s="144">
        <f t="shared" si="811"/>
        <v>0</v>
      </c>
      <c r="BX526" s="144">
        <f t="shared" si="812"/>
        <v>0</v>
      </c>
      <c r="BY526" s="5"/>
      <c r="BZ526" s="5"/>
      <c r="CA526" s="4"/>
      <c r="CB526" s="5"/>
      <c r="CC526" s="5"/>
      <c r="CD526" s="5"/>
      <c r="CE526" s="5"/>
      <c r="CF526" s="64"/>
      <c r="CG526" s="70"/>
      <c r="CH526" s="70"/>
      <c r="CI526" s="70"/>
      <c r="CJ526" s="63"/>
      <c r="CK526" s="8">
        <f t="shared" si="761"/>
        <v>3320.23</v>
      </c>
      <c r="CL526" s="202">
        <f t="shared" si="683"/>
        <v>-3320.23</v>
      </c>
      <c r="CM526" s="202">
        <f t="shared" si="684"/>
        <v>-3320.23</v>
      </c>
      <c r="CN526" s="202">
        <f t="shared" si="685"/>
        <v>-3320.23</v>
      </c>
      <c r="CO526" s="9">
        <f t="shared" si="686"/>
        <v>-3320.23</v>
      </c>
      <c r="CP526" s="9">
        <f t="shared" si="687"/>
        <v>-3320.23</v>
      </c>
      <c r="CQ526" s="9">
        <f t="shared" si="688"/>
        <v>-3320.23</v>
      </c>
      <c r="CR526" s="202">
        <f t="shared" si="689"/>
        <v>-3320.23</v>
      </c>
      <c r="CS526" s="202">
        <f t="shared" si="690"/>
        <v>-3320.23</v>
      </c>
      <c r="CT526" s="202">
        <f t="shared" si="691"/>
        <v>-3320.23</v>
      </c>
      <c r="CU526" s="203" t="e">
        <f t="shared" si="692"/>
        <v>#DIV/0!</v>
      </c>
      <c r="CV526" s="203" t="e">
        <f t="shared" si="693"/>
        <v>#DIV/0!</v>
      </c>
      <c r="CW526" s="203" t="e">
        <f t="shared" si="694"/>
        <v>#DIV/0!</v>
      </c>
      <c r="CX526" s="19" t="e">
        <f t="shared" si="695"/>
        <v>#DIV/0!</v>
      </c>
      <c r="CY526" s="19" t="e">
        <f t="shared" si="696"/>
        <v>#DIV/0!</v>
      </c>
      <c r="CZ526" s="19" t="e">
        <f t="shared" si="697"/>
        <v>#DIV/0!</v>
      </c>
      <c r="DA526" s="203" t="e">
        <f t="shared" si="698"/>
        <v>#DIV/0!</v>
      </c>
      <c r="DB526" s="203" t="e">
        <f t="shared" si="699"/>
        <v>#DIV/0!</v>
      </c>
      <c r="DC526" s="203" t="e">
        <f t="shared" si="700"/>
        <v>#DIV/0!</v>
      </c>
      <c r="DD526" s="65"/>
      <c r="DE526" s="66"/>
      <c r="DF526" s="66"/>
      <c r="DG526" s="66"/>
      <c r="DH526" s="66"/>
      <c r="DI526" s="66"/>
      <c r="DJ526" s="66"/>
      <c r="DK526" s="70"/>
      <c r="DL526" s="70"/>
      <c r="DM526" s="8">
        <f t="shared" si="762"/>
        <v>0</v>
      </c>
      <c r="DN526" s="8">
        <f t="shared" si="763"/>
        <v>3320.23</v>
      </c>
      <c r="DO526" s="202">
        <f t="shared" si="737"/>
        <v>-3320.23</v>
      </c>
      <c r="DP526" s="202">
        <f t="shared" si="738"/>
        <v>-3320.23</v>
      </c>
      <c r="DQ526" s="202">
        <f t="shared" si="739"/>
        <v>-3320.23</v>
      </c>
      <c r="DR526" s="9">
        <f t="shared" si="740"/>
        <v>-3320.23</v>
      </c>
      <c r="DS526" s="9">
        <f t="shared" si="703"/>
        <v>-3320.23</v>
      </c>
      <c r="DT526" s="9">
        <f t="shared" si="741"/>
        <v>-3320.23</v>
      </c>
      <c r="DU526" s="202">
        <f t="shared" si="742"/>
        <v>-3320.23</v>
      </c>
      <c r="DV526" s="202">
        <f t="shared" si="743"/>
        <v>-3320.23</v>
      </c>
      <c r="DW526" s="202">
        <f t="shared" si="744"/>
        <v>-3320.23</v>
      </c>
      <c r="DX526" s="203" t="e">
        <f t="shared" si="745"/>
        <v>#DIV/0!</v>
      </c>
      <c r="DY526" s="203" t="e">
        <f t="shared" si="746"/>
        <v>#DIV/0!</v>
      </c>
      <c r="DZ526" s="203" t="e">
        <f t="shared" si="747"/>
        <v>#DIV/0!</v>
      </c>
      <c r="EA526" s="19" t="e">
        <f t="shared" si="748"/>
        <v>#DIV/0!</v>
      </c>
      <c r="EB526" s="19" t="e">
        <f t="shared" si="704"/>
        <v>#DIV/0!</v>
      </c>
      <c r="EC526" s="19" t="e">
        <f t="shared" si="749"/>
        <v>#DIV/0!</v>
      </c>
      <c r="ED526" s="203" t="e">
        <f t="shared" si="750"/>
        <v>#DIV/0!</v>
      </c>
      <c r="EE526" s="203" t="e">
        <f t="shared" si="751"/>
        <v>#DIV/0!</v>
      </c>
      <c r="EF526" s="203" t="e">
        <f t="shared" si="752"/>
        <v>#DIV/0!</v>
      </c>
      <c r="EH526" s="58">
        <f t="shared" si="798"/>
        <v>3320.23</v>
      </c>
      <c r="EI526" s="68" t="e">
        <f t="shared" si="799"/>
        <v>#DIV/0!</v>
      </c>
      <c r="EJ526" s="58">
        <f t="shared" si="800"/>
        <v>3320.23</v>
      </c>
      <c r="EK526" s="68" t="e">
        <f t="shared" si="799"/>
        <v>#DIV/0!</v>
      </c>
      <c r="EL526" s="58">
        <f t="shared" si="801"/>
        <v>0</v>
      </c>
      <c r="EM526" s="58">
        <f t="shared" si="802"/>
        <v>0</v>
      </c>
      <c r="EN526" s="68" t="e">
        <f t="shared" si="803"/>
        <v>#DIV/0!</v>
      </c>
      <c r="EO526" s="139">
        <f t="shared" si="652"/>
        <v>0.32861286969700848</v>
      </c>
      <c r="EP526">
        <f>+(SUM(M526:O526)*EO526*(1-'[1]Tier 3 Data'!$A$2))</f>
        <v>0</v>
      </c>
    </row>
    <row r="527" spans="1:146" x14ac:dyDescent="0.2">
      <c r="A527" s="43">
        <v>0</v>
      </c>
      <c r="B527" s="43">
        <v>0</v>
      </c>
      <c r="C527" s="43">
        <v>0</v>
      </c>
      <c r="D527" s="70">
        <v>2051</v>
      </c>
      <c r="E527" s="70">
        <v>4</v>
      </c>
      <c r="F527" s="2">
        <v>720</v>
      </c>
      <c r="G527" s="133">
        <f t="shared" si="636"/>
        <v>0</v>
      </c>
      <c r="H527" s="64"/>
      <c r="I527" s="133">
        <f t="shared" si="637"/>
        <v>0</v>
      </c>
      <c r="J527" s="133">
        <f t="shared" si="778"/>
        <v>0</v>
      </c>
      <c r="K527" s="64"/>
      <c r="L527" s="133">
        <f t="shared" si="779"/>
        <v>0</v>
      </c>
      <c r="M527" s="5"/>
      <c r="N527" s="5"/>
      <c r="O527" s="5"/>
      <c r="P527" s="200">
        <f t="shared" si="770"/>
        <v>0</v>
      </c>
      <c r="Q527" s="200">
        <f t="shared" si="771"/>
        <v>0</v>
      </c>
      <c r="R527" s="200">
        <f t="shared" si="772"/>
        <v>0</v>
      </c>
      <c r="S527" s="133">
        <f t="shared" si="638"/>
        <v>0</v>
      </c>
      <c r="T527" s="133">
        <f t="shared" si="639"/>
        <v>0</v>
      </c>
      <c r="U527" s="133">
        <f t="shared" si="640"/>
        <v>0</v>
      </c>
      <c r="V527" s="200">
        <f t="shared" si="773"/>
        <v>0</v>
      </c>
      <c r="W527" s="200">
        <f t="shared" si="774"/>
        <v>0</v>
      </c>
      <c r="X527" s="200">
        <f t="shared" si="775"/>
        <v>0</v>
      </c>
      <c r="Y527" s="58">
        <f t="shared" si="813"/>
        <v>0</v>
      </c>
      <c r="AA527" s="58">
        <f t="shared" si="814"/>
        <v>0</v>
      </c>
      <c r="AB527" s="200">
        <f t="shared" si="815"/>
        <v>0</v>
      </c>
      <c r="AC527" s="200">
        <f t="shared" si="816"/>
        <v>0</v>
      </c>
      <c r="AD527" s="200">
        <f t="shared" si="817"/>
        <v>0</v>
      </c>
      <c r="AE527" s="199">
        <f t="shared" si="719"/>
        <v>0</v>
      </c>
      <c r="AF527" s="199">
        <f t="shared" si="818"/>
        <v>0</v>
      </c>
      <c r="AG527" s="199">
        <f t="shared" si="720"/>
        <v>0</v>
      </c>
      <c r="AH527" s="199">
        <f t="shared" si="641"/>
        <v>0</v>
      </c>
      <c r="AI527" s="200">
        <f t="shared" si="819"/>
        <v>0</v>
      </c>
      <c r="AJ527" s="200">
        <f t="shared" si="820"/>
        <v>0</v>
      </c>
      <c r="AK527" s="200">
        <f t="shared" si="821"/>
        <v>0</v>
      </c>
      <c r="AL527" s="4"/>
      <c r="AM527" s="4"/>
      <c r="AN527" s="4"/>
      <c r="AO527" s="4"/>
      <c r="AP527" s="63"/>
      <c r="AQ527" s="18"/>
      <c r="AR527" s="18"/>
      <c r="AS527" s="18"/>
      <c r="AT527" s="18">
        <v>0</v>
      </c>
      <c r="AU527" s="133">
        <f t="shared" ref="AU527" si="826">+AU515</f>
        <v>96.057000000000002</v>
      </c>
      <c r="AV527" s="133">
        <f t="shared" ref="AV527" si="827">+AV515</f>
        <v>3017.9659999999999</v>
      </c>
      <c r="AW527" s="194"/>
      <c r="AX527" s="194"/>
      <c r="AY527" s="194"/>
      <c r="AZ527" s="194"/>
      <c r="BA527" s="194"/>
      <c r="BB527" s="194"/>
      <c r="BC527" s="65">
        <v>0</v>
      </c>
      <c r="BD527" s="65">
        <v>0</v>
      </c>
      <c r="BE527" s="65">
        <v>0</v>
      </c>
      <c r="BF527" s="65">
        <v>0</v>
      </c>
      <c r="BG527" s="65">
        <v>0</v>
      </c>
      <c r="BH527" s="65">
        <v>0</v>
      </c>
      <c r="BI527" s="65">
        <v>0</v>
      </c>
      <c r="BJ527" s="65">
        <v>0</v>
      </c>
      <c r="BK527" s="65">
        <v>0</v>
      </c>
      <c r="BL527" s="65">
        <v>0</v>
      </c>
      <c r="BM527" s="65">
        <v>0</v>
      </c>
      <c r="BN527" s="65">
        <v>0</v>
      </c>
      <c r="BO527" s="65">
        <v>0</v>
      </c>
      <c r="BP527" s="5"/>
      <c r="BQ527" s="5"/>
      <c r="BR527" s="5"/>
      <c r="BS527" s="5"/>
      <c r="BT527" s="5"/>
      <c r="BU527" s="5"/>
      <c r="BV527" s="144">
        <f t="shared" si="810"/>
        <v>0</v>
      </c>
      <c r="BW527" s="144">
        <f t="shared" si="811"/>
        <v>0</v>
      </c>
      <c r="BX527" s="144">
        <f t="shared" si="812"/>
        <v>0</v>
      </c>
      <c r="BY527" s="5"/>
      <c r="BZ527" s="5"/>
      <c r="CA527" s="4"/>
      <c r="CB527" s="5"/>
      <c r="CC527" s="5"/>
      <c r="CD527" s="5"/>
      <c r="CE527" s="5"/>
      <c r="CF527" s="64"/>
      <c r="CG527" s="70"/>
      <c r="CH527" s="70"/>
      <c r="CI527" s="70"/>
      <c r="CJ527" s="63"/>
      <c r="CK527" s="8">
        <f t="shared" si="761"/>
        <v>3114.0229999999997</v>
      </c>
      <c r="CL527" s="202">
        <f t="shared" si="683"/>
        <v>-3114.0229999999997</v>
      </c>
      <c r="CM527" s="202">
        <f t="shared" si="684"/>
        <v>-3114.0229999999997</v>
      </c>
      <c r="CN527" s="202">
        <f t="shared" si="685"/>
        <v>-3114.0229999999997</v>
      </c>
      <c r="CO527" s="9">
        <f t="shared" si="686"/>
        <v>-3114.0229999999997</v>
      </c>
      <c r="CP527" s="9">
        <f t="shared" si="687"/>
        <v>-3114.0229999999997</v>
      </c>
      <c r="CQ527" s="9">
        <f t="shared" si="688"/>
        <v>-3114.0229999999997</v>
      </c>
      <c r="CR527" s="202">
        <f t="shared" si="689"/>
        <v>-3114.0229999999997</v>
      </c>
      <c r="CS527" s="202">
        <f t="shared" si="690"/>
        <v>-3114.0229999999997</v>
      </c>
      <c r="CT527" s="202">
        <f t="shared" si="691"/>
        <v>-3114.0229999999997</v>
      </c>
      <c r="CU527" s="203" t="e">
        <f t="shared" si="692"/>
        <v>#DIV/0!</v>
      </c>
      <c r="CV527" s="203" t="e">
        <f t="shared" si="693"/>
        <v>#DIV/0!</v>
      </c>
      <c r="CW527" s="203" t="e">
        <f t="shared" si="694"/>
        <v>#DIV/0!</v>
      </c>
      <c r="CX527" s="19" t="e">
        <f t="shared" si="695"/>
        <v>#DIV/0!</v>
      </c>
      <c r="CY527" s="19" t="e">
        <f t="shared" si="696"/>
        <v>#DIV/0!</v>
      </c>
      <c r="CZ527" s="19" t="e">
        <f t="shared" si="697"/>
        <v>#DIV/0!</v>
      </c>
      <c r="DA527" s="203" t="e">
        <f t="shared" si="698"/>
        <v>#DIV/0!</v>
      </c>
      <c r="DB527" s="203" t="e">
        <f t="shared" si="699"/>
        <v>#DIV/0!</v>
      </c>
      <c r="DC527" s="203" t="e">
        <f t="shared" si="700"/>
        <v>#DIV/0!</v>
      </c>
      <c r="DD527" s="65"/>
      <c r="DE527" s="66"/>
      <c r="DF527" s="66"/>
      <c r="DG527" s="66"/>
      <c r="DH527" s="66"/>
      <c r="DI527" s="66"/>
      <c r="DJ527" s="66"/>
      <c r="DK527" s="70"/>
      <c r="DL527" s="70"/>
      <c r="DM527" s="8">
        <f t="shared" si="762"/>
        <v>0</v>
      </c>
      <c r="DN527" s="8">
        <f t="shared" si="763"/>
        <v>3114.0229999999997</v>
      </c>
      <c r="DO527" s="202">
        <f t="shared" si="737"/>
        <v>-3114.0229999999997</v>
      </c>
      <c r="DP527" s="202">
        <f t="shared" si="738"/>
        <v>-3114.0229999999997</v>
      </c>
      <c r="DQ527" s="202">
        <f t="shared" si="739"/>
        <v>-3114.0229999999997</v>
      </c>
      <c r="DR527" s="9">
        <f t="shared" si="740"/>
        <v>-3114.0229999999997</v>
      </c>
      <c r="DS527" s="9">
        <f t="shared" si="703"/>
        <v>-3114.0229999999997</v>
      </c>
      <c r="DT527" s="9">
        <f t="shared" si="741"/>
        <v>-3114.0229999999997</v>
      </c>
      <c r="DU527" s="202">
        <f t="shared" si="742"/>
        <v>-3114.0229999999997</v>
      </c>
      <c r="DV527" s="202">
        <f t="shared" si="743"/>
        <v>-3114.0229999999997</v>
      </c>
      <c r="DW527" s="202">
        <f t="shared" si="744"/>
        <v>-3114.0229999999997</v>
      </c>
      <c r="DX527" s="203" t="e">
        <f t="shared" si="745"/>
        <v>#DIV/0!</v>
      </c>
      <c r="DY527" s="203" t="e">
        <f t="shared" si="746"/>
        <v>#DIV/0!</v>
      </c>
      <c r="DZ527" s="203" t="e">
        <f t="shared" si="747"/>
        <v>#DIV/0!</v>
      </c>
      <c r="EA527" s="19" t="e">
        <f t="shared" si="748"/>
        <v>#DIV/0!</v>
      </c>
      <c r="EB527" s="19" t="e">
        <f t="shared" si="704"/>
        <v>#DIV/0!</v>
      </c>
      <c r="EC527" s="19" t="e">
        <f t="shared" si="749"/>
        <v>#DIV/0!</v>
      </c>
      <c r="ED527" s="203" t="e">
        <f t="shared" si="750"/>
        <v>#DIV/0!</v>
      </c>
      <c r="EE527" s="203" t="e">
        <f t="shared" si="751"/>
        <v>#DIV/0!</v>
      </c>
      <c r="EF527" s="203" t="e">
        <f t="shared" si="752"/>
        <v>#DIV/0!</v>
      </c>
      <c r="EH527" s="58">
        <f t="shared" si="798"/>
        <v>3114.0229999999997</v>
      </c>
      <c r="EI527" s="68" t="e">
        <f t="shared" si="799"/>
        <v>#DIV/0!</v>
      </c>
      <c r="EJ527" s="58">
        <f t="shared" si="800"/>
        <v>3114.0229999999997</v>
      </c>
      <c r="EK527" s="68" t="e">
        <f t="shared" si="799"/>
        <v>#DIV/0!</v>
      </c>
      <c r="EL527" s="58">
        <f t="shared" si="801"/>
        <v>0</v>
      </c>
      <c r="EM527" s="58">
        <f t="shared" si="802"/>
        <v>0</v>
      </c>
      <c r="EN527" s="68" t="e">
        <f t="shared" si="803"/>
        <v>#DIV/0!</v>
      </c>
      <c r="EO527" s="139">
        <f t="shared" si="652"/>
        <v>0.35351678044029999</v>
      </c>
      <c r="EP527">
        <f>+(SUM(M527:O527)*EO527*(1-'[1]Tier 3 Data'!$A$2))</f>
        <v>0</v>
      </c>
    </row>
    <row r="528" spans="1:146" x14ac:dyDescent="0.2">
      <c r="A528" s="43">
        <v>0</v>
      </c>
      <c r="B528" s="43">
        <v>0</v>
      </c>
      <c r="C528" s="43">
        <v>0</v>
      </c>
      <c r="D528" s="70">
        <v>2051</v>
      </c>
      <c r="E528" s="70">
        <v>5</v>
      </c>
      <c r="F528" s="2">
        <v>744</v>
      </c>
      <c r="G528" s="133">
        <f t="shared" si="636"/>
        <v>0</v>
      </c>
      <c r="H528" s="64"/>
      <c r="I528" s="133">
        <f t="shared" si="637"/>
        <v>0</v>
      </c>
      <c r="J528" s="133">
        <f t="shared" si="778"/>
        <v>0</v>
      </c>
      <c r="K528" s="64"/>
      <c r="L528" s="133">
        <f t="shared" si="779"/>
        <v>0</v>
      </c>
      <c r="M528" s="5"/>
      <c r="N528" s="5"/>
      <c r="O528" s="5"/>
      <c r="P528" s="200">
        <f t="shared" si="770"/>
        <v>0</v>
      </c>
      <c r="Q528" s="200">
        <f t="shared" si="771"/>
        <v>0</v>
      </c>
      <c r="R528" s="200">
        <f t="shared" si="772"/>
        <v>0</v>
      </c>
      <c r="S528" s="133">
        <f t="shared" si="638"/>
        <v>0</v>
      </c>
      <c r="T528" s="133">
        <f t="shared" si="639"/>
        <v>0</v>
      </c>
      <c r="U528" s="133">
        <f t="shared" si="640"/>
        <v>0</v>
      </c>
      <c r="V528" s="200">
        <f t="shared" si="773"/>
        <v>0</v>
      </c>
      <c r="W528" s="200">
        <f t="shared" si="774"/>
        <v>0</v>
      </c>
      <c r="X528" s="200">
        <f t="shared" si="775"/>
        <v>0</v>
      </c>
      <c r="Y528" s="58">
        <f t="shared" si="813"/>
        <v>0</v>
      </c>
      <c r="AA528" s="58">
        <f t="shared" si="814"/>
        <v>0</v>
      </c>
      <c r="AB528" s="200">
        <f t="shared" si="815"/>
        <v>0</v>
      </c>
      <c r="AC528" s="200">
        <f t="shared" si="816"/>
        <v>0</v>
      </c>
      <c r="AD528" s="200">
        <f t="shared" si="817"/>
        <v>0</v>
      </c>
      <c r="AE528" s="199">
        <f t="shared" si="719"/>
        <v>0</v>
      </c>
      <c r="AF528" s="199">
        <f t="shared" si="818"/>
        <v>0</v>
      </c>
      <c r="AG528" s="199">
        <f t="shared" si="720"/>
        <v>0</v>
      </c>
      <c r="AH528" s="199">
        <f t="shared" si="641"/>
        <v>0</v>
      </c>
      <c r="AI528" s="200">
        <f t="shared" si="819"/>
        <v>0</v>
      </c>
      <c r="AJ528" s="200">
        <f t="shared" si="820"/>
        <v>0</v>
      </c>
      <c r="AK528" s="200">
        <f t="shared" si="821"/>
        <v>0</v>
      </c>
      <c r="AL528" s="4"/>
      <c r="AM528" s="4"/>
      <c r="AN528" s="4"/>
      <c r="AO528" s="4"/>
      <c r="AP528" s="63"/>
      <c r="AQ528" s="18"/>
      <c r="AR528" s="18"/>
      <c r="AS528" s="18"/>
      <c r="AT528" s="18">
        <v>0</v>
      </c>
      <c r="AU528" s="133">
        <f t="shared" ref="AU528" si="828">+AU516</f>
        <v>109.161</v>
      </c>
      <c r="AV528" s="133">
        <f t="shared" ref="AV528" si="829">+AV516</f>
        <v>3327.41</v>
      </c>
      <c r="AW528" s="194"/>
      <c r="AX528" s="194"/>
      <c r="AY528" s="194"/>
      <c r="AZ528" s="194"/>
      <c r="BA528" s="194"/>
      <c r="BB528" s="194"/>
      <c r="BC528" s="65">
        <v>0</v>
      </c>
      <c r="BD528" s="65">
        <v>0</v>
      </c>
      <c r="BE528" s="65">
        <v>0</v>
      </c>
      <c r="BF528" s="65">
        <v>0</v>
      </c>
      <c r="BG528" s="65">
        <v>0</v>
      </c>
      <c r="BH528" s="65">
        <v>0</v>
      </c>
      <c r="BI528" s="65">
        <v>0</v>
      </c>
      <c r="BJ528" s="65">
        <v>0</v>
      </c>
      <c r="BK528" s="65">
        <v>0</v>
      </c>
      <c r="BL528" s="65">
        <v>0</v>
      </c>
      <c r="BM528" s="65">
        <v>0</v>
      </c>
      <c r="BN528" s="65">
        <v>0</v>
      </c>
      <c r="BO528" s="65">
        <v>0</v>
      </c>
      <c r="BP528" s="5"/>
      <c r="BQ528" s="5"/>
      <c r="BR528" s="5"/>
      <c r="BS528" s="5"/>
      <c r="BT528" s="5"/>
      <c r="BU528" s="5"/>
      <c r="BV528" s="144">
        <f t="shared" si="810"/>
        <v>0</v>
      </c>
      <c r="BW528" s="144">
        <f t="shared" si="811"/>
        <v>0</v>
      </c>
      <c r="BX528" s="144">
        <f t="shared" si="812"/>
        <v>0</v>
      </c>
      <c r="BY528" s="5"/>
      <c r="BZ528" s="5"/>
      <c r="CA528" s="4"/>
      <c r="CB528" s="5"/>
      <c r="CC528" s="5"/>
      <c r="CD528" s="5"/>
      <c r="CE528" s="5"/>
      <c r="CF528" s="64"/>
      <c r="CG528" s="70"/>
      <c r="CH528" s="70"/>
      <c r="CI528" s="70"/>
      <c r="CJ528" s="63"/>
      <c r="CK528" s="8">
        <f t="shared" si="761"/>
        <v>3436.5709999999999</v>
      </c>
      <c r="CL528" s="202">
        <f t="shared" si="683"/>
        <v>-3436.5709999999999</v>
      </c>
      <c r="CM528" s="202">
        <f t="shared" si="684"/>
        <v>-3436.5709999999999</v>
      </c>
      <c r="CN528" s="202">
        <f t="shared" si="685"/>
        <v>-3436.5709999999999</v>
      </c>
      <c r="CO528" s="9">
        <f t="shared" si="686"/>
        <v>-3436.5709999999999</v>
      </c>
      <c r="CP528" s="9">
        <f t="shared" si="687"/>
        <v>-3436.5709999999999</v>
      </c>
      <c r="CQ528" s="9">
        <f t="shared" si="688"/>
        <v>-3436.5709999999999</v>
      </c>
      <c r="CR528" s="202">
        <f t="shared" si="689"/>
        <v>-3436.5709999999999</v>
      </c>
      <c r="CS528" s="202">
        <f t="shared" si="690"/>
        <v>-3436.5709999999999</v>
      </c>
      <c r="CT528" s="202">
        <f t="shared" si="691"/>
        <v>-3436.5709999999999</v>
      </c>
      <c r="CU528" s="203" t="e">
        <f t="shared" si="692"/>
        <v>#DIV/0!</v>
      </c>
      <c r="CV528" s="203" t="e">
        <f t="shared" si="693"/>
        <v>#DIV/0!</v>
      </c>
      <c r="CW528" s="203" t="e">
        <f t="shared" si="694"/>
        <v>#DIV/0!</v>
      </c>
      <c r="CX528" s="19" t="e">
        <f t="shared" si="695"/>
        <v>#DIV/0!</v>
      </c>
      <c r="CY528" s="19" t="e">
        <f t="shared" si="696"/>
        <v>#DIV/0!</v>
      </c>
      <c r="CZ528" s="19" t="e">
        <f t="shared" si="697"/>
        <v>#DIV/0!</v>
      </c>
      <c r="DA528" s="203" t="e">
        <f t="shared" si="698"/>
        <v>#DIV/0!</v>
      </c>
      <c r="DB528" s="203" t="e">
        <f t="shared" si="699"/>
        <v>#DIV/0!</v>
      </c>
      <c r="DC528" s="203" t="e">
        <f t="shared" si="700"/>
        <v>#DIV/0!</v>
      </c>
      <c r="DD528" s="65"/>
      <c r="DE528" s="66"/>
      <c r="DF528" s="66"/>
      <c r="DG528" s="66"/>
      <c r="DH528" s="66"/>
      <c r="DI528" s="66"/>
      <c r="DJ528" s="66"/>
      <c r="DK528" s="70"/>
      <c r="DL528" s="70"/>
      <c r="DM528" s="8">
        <f t="shared" si="762"/>
        <v>0</v>
      </c>
      <c r="DN528" s="8">
        <f t="shared" si="763"/>
        <v>3436.5709999999999</v>
      </c>
      <c r="DO528" s="202">
        <f t="shared" si="737"/>
        <v>-3436.5709999999999</v>
      </c>
      <c r="DP528" s="202">
        <f t="shared" si="738"/>
        <v>-3436.5709999999999</v>
      </c>
      <c r="DQ528" s="202">
        <f t="shared" si="739"/>
        <v>-3436.5709999999999</v>
      </c>
      <c r="DR528" s="9">
        <f t="shared" si="740"/>
        <v>-3436.5709999999999</v>
      </c>
      <c r="DS528" s="9">
        <f t="shared" si="703"/>
        <v>-3436.5709999999999</v>
      </c>
      <c r="DT528" s="9">
        <f t="shared" si="741"/>
        <v>-3436.5709999999999</v>
      </c>
      <c r="DU528" s="202">
        <f t="shared" si="742"/>
        <v>-3436.5709999999999</v>
      </c>
      <c r="DV528" s="202">
        <f t="shared" si="743"/>
        <v>-3436.5709999999999</v>
      </c>
      <c r="DW528" s="202">
        <f t="shared" si="744"/>
        <v>-3436.5709999999999</v>
      </c>
      <c r="DX528" s="203" t="e">
        <f t="shared" si="745"/>
        <v>#DIV/0!</v>
      </c>
      <c r="DY528" s="203" t="e">
        <f t="shared" si="746"/>
        <v>#DIV/0!</v>
      </c>
      <c r="DZ528" s="203" t="e">
        <f t="shared" si="747"/>
        <v>#DIV/0!</v>
      </c>
      <c r="EA528" s="19" t="e">
        <f t="shared" si="748"/>
        <v>#DIV/0!</v>
      </c>
      <c r="EB528" s="19" t="e">
        <f t="shared" si="704"/>
        <v>#DIV/0!</v>
      </c>
      <c r="EC528" s="19" t="e">
        <f t="shared" si="749"/>
        <v>#DIV/0!</v>
      </c>
      <c r="ED528" s="203" t="e">
        <f t="shared" si="750"/>
        <v>#DIV/0!</v>
      </c>
      <c r="EE528" s="203" t="e">
        <f t="shared" si="751"/>
        <v>#DIV/0!</v>
      </c>
      <c r="EF528" s="203" t="e">
        <f t="shared" si="752"/>
        <v>#DIV/0!</v>
      </c>
      <c r="EH528" s="58">
        <f t="shared" si="798"/>
        <v>3436.5709999999999</v>
      </c>
      <c r="EI528" s="68" t="e">
        <f t="shared" si="799"/>
        <v>#DIV/0!</v>
      </c>
      <c r="EJ528" s="58">
        <f t="shared" si="800"/>
        <v>3436.5709999999999</v>
      </c>
      <c r="EK528" s="68" t="e">
        <f t="shared" si="799"/>
        <v>#DIV/0!</v>
      </c>
      <c r="EL528" s="58">
        <f t="shared" si="801"/>
        <v>0</v>
      </c>
      <c r="EM528" s="58">
        <f t="shared" si="802"/>
        <v>0</v>
      </c>
      <c r="EN528" s="68" t="e">
        <f t="shared" si="803"/>
        <v>#DIV/0!</v>
      </c>
      <c r="EO528" s="139">
        <f t="shared" si="652"/>
        <v>0.28868615856523006</v>
      </c>
      <c r="EP528">
        <f>+(SUM(M528:O528)*EO528*(1-'[1]Tier 3 Data'!$A$2))</f>
        <v>0</v>
      </c>
    </row>
    <row r="529" spans="1:146" x14ac:dyDescent="0.2">
      <c r="A529" s="43">
        <v>0</v>
      </c>
      <c r="B529" s="43">
        <v>0</v>
      </c>
      <c r="C529" s="43">
        <v>0</v>
      </c>
      <c r="D529" s="70">
        <v>2051</v>
      </c>
      <c r="E529" s="70">
        <v>6</v>
      </c>
      <c r="F529" s="2">
        <v>720</v>
      </c>
      <c r="G529" s="133">
        <f t="shared" si="636"/>
        <v>0</v>
      </c>
      <c r="H529" s="64"/>
      <c r="I529" s="133">
        <f t="shared" si="637"/>
        <v>0</v>
      </c>
      <c r="J529" s="133">
        <f t="shared" si="778"/>
        <v>0</v>
      </c>
      <c r="K529" s="64"/>
      <c r="L529" s="133">
        <f t="shared" si="779"/>
        <v>0</v>
      </c>
      <c r="M529" s="5"/>
      <c r="N529" s="5"/>
      <c r="O529" s="5"/>
      <c r="P529" s="200">
        <f t="shared" si="770"/>
        <v>0</v>
      </c>
      <c r="Q529" s="200">
        <f t="shared" si="771"/>
        <v>0</v>
      </c>
      <c r="R529" s="200">
        <f t="shared" si="772"/>
        <v>0</v>
      </c>
      <c r="S529" s="133">
        <f t="shared" si="638"/>
        <v>0</v>
      </c>
      <c r="T529" s="133">
        <f t="shared" si="639"/>
        <v>0</v>
      </c>
      <c r="U529" s="133">
        <f t="shared" si="640"/>
        <v>0</v>
      </c>
      <c r="V529" s="200">
        <f t="shared" si="773"/>
        <v>0</v>
      </c>
      <c r="W529" s="200">
        <f t="shared" si="774"/>
        <v>0</v>
      </c>
      <c r="X529" s="200">
        <f t="shared" si="775"/>
        <v>0</v>
      </c>
      <c r="Y529" s="58">
        <f t="shared" si="813"/>
        <v>0</v>
      </c>
      <c r="AA529" s="58">
        <f t="shared" si="814"/>
        <v>0</v>
      </c>
      <c r="AB529" s="200">
        <f t="shared" si="815"/>
        <v>0</v>
      </c>
      <c r="AC529" s="200">
        <f t="shared" si="816"/>
        <v>0</v>
      </c>
      <c r="AD529" s="200">
        <f t="shared" si="817"/>
        <v>0</v>
      </c>
      <c r="AE529" s="199">
        <f t="shared" si="719"/>
        <v>0</v>
      </c>
      <c r="AF529" s="199">
        <f t="shared" si="818"/>
        <v>0</v>
      </c>
      <c r="AG529" s="199">
        <f t="shared" si="720"/>
        <v>0</v>
      </c>
      <c r="AH529" s="199">
        <f t="shared" si="641"/>
        <v>0</v>
      </c>
      <c r="AI529" s="200">
        <f t="shared" si="819"/>
        <v>0</v>
      </c>
      <c r="AJ529" s="200">
        <f t="shared" si="820"/>
        <v>0</v>
      </c>
      <c r="AK529" s="200">
        <f t="shared" si="821"/>
        <v>0</v>
      </c>
      <c r="AL529" s="4"/>
      <c r="AM529" s="4"/>
      <c r="AN529" s="4"/>
      <c r="AO529" s="4"/>
      <c r="AP529" s="63"/>
      <c r="AQ529" s="18"/>
      <c r="AR529" s="18"/>
      <c r="AS529" s="18"/>
      <c r="AT529" s="18">
        <v>0</v>
      </c>
      <c r="AU529" s="133">
        <f t="shared" ref="AU529" si="830">+AU517</f>
        <v>128.934</v>
      </c>
      <c r="AV529" s="133">
        <f t="shared" ref="AV529" si="831">+AV517</f>
        <v>3110.2840000000001</v>
      </c>
      <c r="AW529" s="194"/>
      <c r="AX529" s="194"/>
      <c r="AY529" s="194"/>
      <c r="AZ529" s="194"/>
      <c r="BA529" s="194"/>
      <c r="BB529" s="194"/>
      <c r="BC529" s="65">
        <v>0</v>
      </c>
      <c r="BD529" s="65">
        <v>0</v>
      </c>
      <c r="BE529" s="65">
        <v>0</v>
      </c>
      <c r="BF529" s="65">
        <v>0</v>
      </c>
      <c r="BG529" s="65">
        <v>0</v>
      </c>
      <c r="BH529" s="65">
        <v>0</v>
      </c>
      <c r="BI529" s="65">
        <v>0</v>
      </c>
      <c r="BJ529" s="65">
        <v>0</v>
      </c>
      <c r="BK529" s="65">
        <v>0</v>
      </c>
      <c r="BL529" s="65">
        <v>0</v>
      </c>
      <c r="BM529" s="65">
        <v>0</v>
      </c>
      <c r="BN529" s="65">
        <v>0</v>
      </c>
      <c r="BO529" s="65">
        <v>0</v>
      </c>
      <c r="BP529" s="5"/>
      <c r="BQ529" s="5"/>
      <c r="BR529" s="5"/>
      <c r="BS529" s="5"/>
      <c r="BT529" s="5"/>
      <c r="BU529" s="5"/>
      <c r="BV529" s="144">
        <f t="shared" si="810"/>
        <v>0</v>
      </c>
      <c r="BW529" s="144">
        <f t="shared" si="811"/>
        <v>0</v>
      </c>
      <c r="BX529" s="144">
        <f t="shared" si="812"/>
        <v>0</v>
      </c>
      <c r="BY529" s="5"/>
      <c r="BZ529" s="5"/>
      <c r="CA529" s="4"/>
      <c r="CB529" s="5"/>
      <c r="CC529" s="5"/>
      <c r="CD529" s="5"/>
      <c r="CE529" s="5"/>
      <c r="CF529" s="64"/>
      <c r="CG529" s="70"/>
      <c r="CH529" s="70"/>
      <c r="CI529" s="70"/>
      <c r="CJ529" s="63"/>
      <c r="CK529" s="8">
        <f t="shared" si="761"/>
        <v>3239.2180000000003</v>
      </c>
      <c r="CL529" s="202">
        <f t="shared" si="683"/>
        <v>-3239.2180000000003</v>
      </c>
      <c r="CM529" s="202">
        <f t="shared" si="684"/>
        <v>-3239.2180000000003</v>
      </c>
      <c r="CN529" s="202">
        <f t="shared" si="685"/>
        <v>-3239.2180000000003</v>
      </c>
      <c r="CO529" s="9">
        <f t="shared" si="686"/>
        <v>-3239.2180000000003</v>
      </c>
      <c r="CP529" s="9">
        <f t="shared" si="687"/>
        <v>-3239.2180000000003</v>
      </c>
      <c r="CQ529" s="9">
        <f t="shared" si="688"/>
        <v>-3239.2180000000003</v>
      </c>
      <c r="CR529" s="202">
        <f t="shared" si="689"/>
        <v>-3239.2180000000003</v>
      </c>
      <c r="CS529" s="202">
        <f t="shared" si="690"/>
        <v>-3239.2180000000003</v>
      </c>
      <c r="CT529" s="202">
        <f t="shared" si="691"/>
        <v>-3239.2180000000003</v>
      </c>
      <c r="CU529" s="203" t="e">
        <f t="shared" si="692"/>
        <v>#DIV/0!</v>
      </c>
      <c r="CV529" s="203" t="e">
        <f t="shared" si="693"/>
        <v>#DIV/0!</v>
      </c>
      <c r="CW529" s="203" t="e">
        <f t="shared" si="694"/>
        <v>#DIV/0!</v>
      </c>
      <c r="CX529" s="19" t="e">
        <f t="shared" si="695"/>
        <v>#DIV/0!</v>
      </c>
      <c r="CY529" s="19" t="e">
        <f t="shared" si="696"/>
        <v>#DIV/0!</v>
      </c>
      <c r="CZ529" s="19" t="e">
        <f t="shared" si="697"/>
        <v>#DIV/0!</v>
      </c>
      <c r="DA529" s="203" t="e">
        <f t="shared" si="698"/>
        <v>#DIV/0!</v>
      </c>
      <c r="DB529" s="203" t="e">
        <f t="shared" si="699"/>
        <v>#DIV/0!</v>
      </c>
      <c r="DC529" s="203" t="e">
        <f t="shared" si="700"/>
        <v>#DIV/0!</v>
      </c>
      <c r="DD529" s="65"/>
      <c r="DE529" s="66"/>
      <c r="DF529" s="66"/>
      <c r="DG529" s="66"/>
      <c r="DH529" s="66"/>
      <c r="DI529" s="66"/>
      <c r="DJ529" s="66"/>
      <c r="DK529" s="70"/>
      <c r="DL529" s="70"/>
      <c r="DM529" s="8">
        <f t="shared" si="762"/>
        <v>0</v>
      </c>
      <c r="DN529" s="8">
        <f t="shared" si="763"/>
        <v>3239.2180000000003</v>
      </c>
      <c r="DO529" s="202">
        <f t="shared" si="737"/>
        <v>-3239.2180000000003</v>
      </c>
      <c r="DP529" s="202">
        <f t="shared" si="738"/>
        <v>-3239.2180000000003</v>
      </c>
      <c r="DQ529" s="202">
        <f t="shared" si="739"/>
        <v>-3239.2180000000003</v>
      </c>
      <c r="DR529" s="9">
        <f t="shared" si="740"/>
        <v>-3239.2180000000003</v>
      </c>
      <c r="DS529" s="9">
        <f t="shared" si="703"/>
        <v>-3239.2180000000003</v>
      </c>
      <c r="DT529" s="9">
        <f t="shared" si="741"/>
        <v>-3239.2180000000003</v>
      </c>
      <c r="DU529" s="202">
        <f t="shared" si="742"/>
        <v>-3239.2180000000003</v>
      </c>
      <c r="DV529" s="202">
        <f t="shared" si="743"/>
        <v>-3239.2180000000003</v>
      </c>
      <c r="DW529" s="202">
        <f t="shared" si="744"/>
        <v>-3239.2180000000003</v>
      </c>
      <c r="DX529" s="203" t="e">
        <f t="shared" si="745"/>
        <v>#DIV/0!</v>
      </c>
      <c r="DY529" s="203" t="e">
        <f t="shared" si="746"/>
        <v>#DIV/0!</v>
      </c>
      <c r="DZ529" s="203" t="e">
        <f t="shared" si="747"/>
        <v>#DIV/0!</v>
      </c>
      <c r="EA529" s="19" t="e">
        <f t="shared" si="748"/>
        <v>#DIV/0!</v>
      </c>
      <c r="EB529" s="19" t="e">
        <f t="shared" si="704"/>
        <v>#DIV/0!</v>
      </c>
      <c r="EC529" s="19" t="e">
        <f t="shared" si="749"/>
        <v>#DIV/0!</v>
      </c>
      <c r="ED529" s="203" t="e">
        <f t="shared" si="750"/>
        <v>#DIV/0!</v>
      </c>
      <c r="EE529" s="203" t="e">
        <f t="shared" si="751"/>
        <v>#DIV/0!</v>
      </c>
      <c r="EF529" s="203" t="e">
        <f t="shared" si="752"/>
        <v>#DIV/0!</v>
      </c>
      <c r="EH529" s="58">
        <f t="shared" si="798"/>
        <v>3239.2180000000003</v>
      </c>
      <c r="EI529" s="68" t="e">
        <f t="shared" si="799"/>
        <v>#DIV/0!</v>
      </c>
      <c r="EJ529" s="58">
        <f t="shared" si="800"/>
        <v>3239.2180000000003</v>
      </c>
      <c r="EK529" s="68" t="e">
        <f t="shared" si="799"/>
        <v>#DIV/0!</v>
      </c>
      <c r="EL529" s="58">
        <f t="shared" si="801"/>
        <v>0</v>
      </c>
      <c r="EM529" s="58">
        <f t="shared" si="802"/>
        <v>0</v>
      </c>
      <c r="EN529" s="68" t="e">
        <f t="shared" si="803"/>
        <v>#DIV/0!</v>
      </c>
      <c r="EO529" s="139">
        <f t="shared" si="652"/>
        <v>0.24029016665052916</v>
      </c>
      <c r="EP529">
        <f>+(SUM(M529:O529)*EO529*(1-'[1]Tier 3 Data'!$A$2))</f>
        <v>0</v>
      </c>
    </row>
    <row r="530" spans="1:146" x14ac:dyDescent="0.2">
      <c r="A530" s="43">
        <v>0</v>
      </c>
      <c r="B530" s="43">
        <v>0</v>
      </c>
      <c r="C530" s="43">
        <v>0</v>
      </c>
      <c r="D530" s="70">
        <v>2051</v>
      </c>
      <c r="E530" s="70">
        <v>7</v>
      </c>
      <c r="F530" s="2">
        <v>744</v>
      </c>
      <c r="G530" s="133">
        <f t="shared" si="636"/>
        <v>0</v>
      </c>
      <c r="H530" s="64"/>
      <c r="I530" s="133">
        <f t="shared" si="637"/>
        <v>0</v>
      </c>
      <c r="J530" s="133">
        <f t="shared" si="778"/>
        <v>0</v>
      </c>
      <c r="K530" s="64"/>
      <c r="L530" s="133">
        <f t="shared" si="779"/>
        <v>0</v>
      </c>
      <c r="M530" s="5"/>
      <c r="N530" s="5"/>
      <c r="O530" s="5"/>
      <c r="P530" s="200">
        <f t="shared" si="770"/>
        <v>0</v>
      </c>
      <c r="Q530" s="200">
        <f t="shared" si="771"/>
        <v>0</v>
      </c>
      <c r="R530" s="200">
        <f t="shared" si="772"/>
        <v>0</v>
      </c>
      <c r="S530" s="133">
        <f t="shared" si="638"/>
        <v>0</v>
      </c>
      <c r="T530" s="133">
        <f t="shared" si="639"/>
        <v>0</v>
      </c>
      <c r="U530" s="133">
        <f t="shared" si="640"/>
        <v>0</v>
      </c>
      <c r="V530" s="200">
        <f t="shared" si="773"/>
        <v>0</v>
      </c>
      <c r="W530" s="200">
        <f t="shared" si="774"/>
        <v>0</v>
      </c>
      <c r="X530" s="200">
        <f t="shared" si="775"/>
        <v>0</v>
      </c>
      <c r="Y530" s="58">
        <f t="shared" si="813"/>
        <v>0</v>
      </c>
      <c r="AA530" s="58">
        <f t="shared" si="814"/>
        <v>0</v>
      </c>
      <c r="AB530" s="200">
        <f t="shared" si="815"/>
        <v>0</v>
      </c>
      <c r="AC530" s="200">
        <f t="shared" si="816"/>
        <v>0</v>
      </c>
      <c r="AD530" s="200">
        <f t="shared" si="817"/>
        <v>0</v>
      </c>
      <c r="AE530" s="199">
        <f t="shared" si="719"/>
        <v>0</v>
      </c>
      <c r="AF530" s="199">
        <f t="shared" si="818"/>
        <v>0</v>
      </c>
      <c r="AG530" s="199">
        <f t="shared" si="720"/>
        <v>0</v>
      </c>
      <c r="AH530" s="199">
        <f t="shared" si="641"/>
        <v>0</v>
      </c>
      <c r="AI530" s="200">
        <f t="shared" si="819"/>
        <v>0</v>
      </c>
      <c r="AJ530" s="200">
        <f t="shared" si="820"/>
        <v>0</v>
      </c>
      <c r="AK530" s="200">
        <f t="shared" si="821"/>
        <v>0</v>
      </c>
      <c r="AL530" s="4"/>
      <c r="AM530" s="4"/>
      <c r="AN530" s="4"/>
      <c r="AO530" s="4"/>
      <c r="AP530" s="63"/>
      <c r="AQ530" s="18"/>
      <c r="AR530" s="18"/>
      <c r="AS530" s="18"/>
      <c r="AT530" s="18">
        <v>0</v>
      </c>
      <c r="AU530" s="133">
        <f t="shared" ref="AU530" si="832">+AU518</f>
        <v>118.521</v>
      </c>
      <c r="AV530" s="133">
        <f t="shared" ref="AV530" si="833">+AV518</f>
        <v>3084.53</v>
      </c>
      <c r="AW530" s="194"/>
      <c r="AX530" s="194"/>
      <c r="AY530" s="194"/>
      <c r="AZ530" s="194"/>
      <c r="BA530" s="194"/>
      <c r="BB530" s="194"/>
      <c r="BC530" s="65">
        <v>0</v>
      </c>
      <c r="BD530" s="65">
        <v>0</v>
      </c>
      <c r="BE530" s="65">
        <v>0</v>
      </c>
      <c r="BF530" s="65">
        <v>0</v>
      </c>
      <c r="BG530" s="65">
        <v>0</v>
      </c>
      <c r="BH530" s="65">
        <v>0</v>
      </c>
      <c r="BI530" s="65">
        <v>0</v>
      </c>
      <c r="BJ530" s="65">
        <v>0</v>
      </c>
      <c r="BK530" s="65">
        <v>0</v>
      </c>
      <c r="BL530" s="65">
        <v>0</v>
      </c>
      <c r="BM530" s="65">
        <v>0</v>
      </c>
      <c r="BN530" s="65">
        <v>0</v>
      </c>
      <c r="BO530" s="65">
        <v>0</v>
      </c>
      <c r="BP530" s="5"/>
      <c r="BQ530" s="5"/>
      <c r="BR530" s="5"/>
      <c r="BS530" s="5"/>
      <c r="BT530" s="5"/>
      <c r="BU530" s="5"/>
      <c r="BV530" s="144">
        <f t="shared" si="810"/>
        <v>0</v>
      </c>
      <c r="BW530" s="144">
        <f t="shared" si="811"/>
        <v>0</v>
      </c>
      <c r="BX530" s="144">
        <f t="shared" si="812"/>
        <v>0</v>
      </c>
      <c r="BY530" s="5"/>
      <c r="BZ530" s="5"/>
      <c r="CA530" s="4"/>
      <c r="CB530" s="5"/>
      <c r="CC530" s="5"/>
      <c r="CD530" s="5"/>
      <c r="CE530" s="5"/>
      <c r="CF530" s="64"/>
      <c r="CG530" s="70"/>
      <c r="CH530" s="70"/>
      <c r="CI530" s="70"/>
      <c r="CJ530" s="63"/>
      <c r="CK530" s="8">
        <f t="shared" si="761"/>
        <v>3203.0510000000004</v>
      </c>
      <c r="CL530" s="202">
        <f t="shared" si="683"/>
        <v>-3203.0510000000004</v>
      </c>
      <c r="CM530" s="202">
        <f t="shared" si="684"/>
        <v>-3203.0510000000004</v>
      </c>
      <c r="CN530" s="202">
        <f t="shared" si="685"/>
        <v>-3203.0510000000004</v>
      </c>
      <c r="CO530" s="9">
        <f t="shared" si="686"/>
        <v>-3203.0510000000004</v>
      </c>
      <c r="CP530" s="9">
        <f t="shared" si="687"/>
        <v>-3203.0510000000004</v>
      </c>
      <c r="CQ530" s="9">
        <f t="shared" si="688"/>
        <v>-3203.0510000000004</v>
      </c>
      <c r="CR530" s="202">
        <f t="shared" si="689"/>
        <v>-3203.0510000000004</v>
      </c>
      <c r="CS530" s="202">
        <f t="shared" si="690"/>
        <v>-3203.0510000000004</v>
      </c>
      <c r="CT530" s="202">
        <f t="shared" si="691"/>
        <v>-3203.0510000000004</v>
      </c>
      <c r="CU530" s="203" t="e">
        <f t="shared" si="692"/>
        <v>#DIV/0!</v>
      </c>
      <c r="CV530" s="203" t="e">
        <f t="shared" si="693"/>
        <v>#DIV/0!</v>
      </c>
      <c r="CW530" s="203" t="e">
        <f t="shared" si="694"/>
        <v>#DIV/0!</v>
      </c>
      <c r="CX530" s="19" t="e">
        <f t="shared" si="695"/>
        <v>#DIV/0!</v>
      </c>
      <c r="CY530" s="19" t="e">
        <f t="shared" si="696"/>
        <v>#DIV/0!</v>
      </c>
      <c r="CZ530" s="19" t="e">
        <f t="shared" si="697"/>
        <v>#DIV/0!</v>
      </c>
      <c r="DA530" s="203" t="e">
        <f t="shared" si="698"/>
        <v>#DIV/0!</v>
      </c>
      <c r="DB530" s="203" t="e">
        <f t="shared" si="699"/>
        <v>#DIV/0!</v>
      </c>
      <c r="DC530" s="203" t="e">
        <f t="shared" si="700"/>
        <v>#DIV/0!</v>
      </c>
      <c r="DD530" s="65"/>
      <c r="DE530" s="66"/>
      <c r="DF530" s="66"/>
      <c r="DG530" s="66"/>
      <c r="DH530" s="66"/>
      <c r="DI530" s="66"/>
      <c r="DJ530" s="66"/>
      <c r="DK530" s="70"/>
      <c r="DL530" s="70"/>
      <c r="DM530" s="8">
        <f t="shared" si="762"/>
        <v>0</v>
      </c>
      <c r="DN530" s="8">
        <f t="shared" si="763"/>
        <v>3203.0510000000004</v>
      </c>
      <c r="DO530" s="202">
        <f t="shared" si="737"/>
        <v>-3203.0510000000004</v>
      </c>
      <c r="DP530" s="202">
        <f t="shared" si="738"/>
        <v>-3203.0510000000004</v>
      </c>
      <c r="DQ530" s="202">
        <f t="shared" si="739"/>
        <v>-3203.0510000000004</v>
      </c>
      <c r="DR530" s="9">
        <f t="shared" si="740"/>
        <v>-3203.0510000000004</v>
      </c>
      <c r="DS530" s="9">
        <f t="shared" si="703"/>
        <v>-3203.0510000000004</v>
      </c>
      <c r="DT530" s="9">
        <f t="shared" si="741"/>
        <v>-3203.0510000000004</v>
      </c>
      <c r="DU530" s="202">
        <f t="shared" si="742"/>
        <v>-3203.0510000000004</v>
      </c>
      <c r="DV530" s="202">
        <f t="shared" si="743"/>
        <v>-3203.0510000000004</v>
      </c>
      <c r="DW530" s="202">
        <f t="shared" si="744"/>
        <v>-3203.0510000000004</v>
      </c>
      <c r="DX530" s="203" t="e">
        <f t="shared" si="745"/>
        <v>#DIV/0!</v>
      </c>
      <c r="DY530" s="203" t="e">
        <f t="shared" si="746"/>
        <v>#DIV/0!</v>
      </c>
      <c r="DZ530" s="203" t="e">
        <f t="shared" si="747"/>
        <v>#DIV/0!</v>
      </c>
      <c r="EA530" s="19" t="e">
        <f t="shared" si="748"/>
        <v>#DIV/0!</v>
      </c>
      <c r="EB530" s="19" t="e">
        <f t="shared" si="704"/>
        <v>#DIV/0!</v>
      </c>
      <c r="EC530" s="19" t="e">
        <f t="shared" si="749"/>
        <v>#DIV/0!</v>
      </c>
      <c r="ED530" s="203" t="e">
        <f t="shared" si="750"/>
        <v>#DIV/0!</v>
      </c>
      <c r="EE530" s="203" t="e">
        <f t="shared" si="751"/>
        <v>#DIV/0!</v>
      </c>
      <c r="EF530" s="203" t="e">
        <f t="shared" si="752"/>
        <v>#DIV/0!</v>
      </c>
      <c r="EH530" s="58">
        <f t="shared" si="798"/>
        <v>3203.0510000000004</v>
      </c>
      <c r="EI530" s="68" t="e">
        <f t="shared" si="799"/>
        <v>#DIV/0!</v>
      </c>
      <c r="EJ530" s="58">
        <f t="shared" si="800"/>
        <v>3203.0510000000004</v>
      </c>
      <c r="EK530" s="68" t="e">
        <f t="shared" si="799"/>
        <v>#DIV/0!</v>
      </c>
      <c r="EL530" s="58">
        <f t="shared" si="801"/>
        <v>0</v>
      </c>
      <c r="EM530" s="58">
        <f t="shared" si="802"/>
        <v>0</v>
      </c>
      <c r="EN530" s="68" t="e">
        <f t="shared" si="803"/>
        <v>#DIV/0!</v>
      </c>
      <c r="EO530" s="139">
        <f t="shared" si="652"/>
        <v>0.25197746931178833</v>
      </c>
      <c r="EP530">
        <f>+(SUM(M530:O530)*EO530*(1-'[1]Tier 3 Data'!$A$2))</f>
        <v>0</v>
      </c>
    </row>
    <row r="531" spans="1:146" x14ac:dyDescent="0.2">
      <c r="A531" s="43">
        <v>0</v>
      </c>
      <c r="B531" s="43">
        <v>0</v>
      </c>
      <c r="C531" s="43">
        <v>0</v>
      </c>
      <c r="D531" s="70">
        <v>2051</v>
      </c>
      <c r="E531" s="70">
        <v>8</v>
      </c>
      <c r="F531" s="2">
        <v>744</v>
      </c>
      <c r="G531" s="133">
        <f t="shared" si="636"/>
        <v>0</v>
      </c>
      <c r="H531" s="64"/>
      <c r="I531" s="133">
        <f t="shared" si="637"/>
        <v>0</v>
      </c>
      <c r="J531" s="133">
        <f t="shared" si="778"/>
        <v>0</v>
      </c>
      <c r="K531" s="64"/>
      <c r="L531" s="133">
        <f t="shared" si="779"/>
        <v>0</v>
      </c>
      <c r="M531" s="5"/>
      <c r="N531" s="5"/>
      <c r="O531" s="5"/>
      <c r="P531" s="200">
        <f t="shared" si="770"/>
        <v>0</v>
      </c>
      <c r="Q531" s="200">
        <f t="shared" si="771"/>
        <v>0</v>
      </c>
      <c r="R531" s="200">
        <f t="shared" si="772"/>
        <v>0</v>
      </c>
      <c r="S531" s="133">
        <f t="shared" si="638"/>
        <v>0</v>
      </c>
      <c r="T531" s="133">
        <f t="shared" si="639"/>
        <v>0</v>
      </c>
      <c r="U531" s="133">
        <f t="shared" si="640"/>
        <v>0</v>
      </c>
      <c r="V531" s="200">
        <f t="shared" si="773"/>
        <v>0</v>
      </c>
      <c r="W531" s="200">
        <f t="shared" si="774"/>
        <v>0</v>
      </c>
      <c r="X531" s="200">
        <f t="shared" si="775"/>
        <v>0</v>
      </c>
      <c r="Y531" s="58">
        <f t="shared" si="813"/>
        <v>0</v>
      </c>
      <c r="AA531" s="58">
        <f t="shared" si="814"/>
        <v>0</v>
      </c>
      <c r="AB531" s="200">
        <f t="shared" si="815"/>
        <v>0</v>
      </c>
      <c r="AC531" s="200">
        <f t="shared" si="816"/>
        <v>0</v>
      </c>
      <c r="AD531" s="200">
        <f t="shared" si="817"/>
        <v>0</v>
      </c>
      <c r="AE531" s="199">
        <f t="shared" si="719"/>
        <v>0</v>
      </c>
      <c r="AF531" s="199">
        <f t="shared" si="818"/>
        <v>0</v>
      </c>
      <c r="AG531" s="199">
        <f t="shared" si="720"/>
        <v>0</v>
      </c>
      <c r="AH531" s="199">
        <f t="shared" si="641"/>
        <v>0</v>
      </c>
      <c r="AI531" s="200">
        <f t="shared" si="819"/>
        <v>0</v>
      </c>
      <c r="AJ531" s="200">
        <f t="shared" si="820"/>
        <v>0</v>
      </c>
      <c r="AK531" s="200">
        <f t="shared" si="821"/>
        <v>0</v>
      </c>
      <c r="AL531" s="4"/>
      <c r="AM531" s="4"/>
      <c r="AN531" s="4"/>
      <c r="AO531" s="4"/>
      <c r="AP531" s="63"/>
      <c r="AQ531" s="18"/>
      <c r="AR531" s="18"/>
      <c r="AS531" s="18"/>
      <c r="AT531" s="18">
        <v>0</v>
      </c>
      <c r="AU531" s="133">
        <f t="shared" ref="AU531" si="834">+AU519</f>
        <v>107.64</v>
      </c>
      <c r="AV531" s="133">
        <f t="shared" ref="AV531" si="835">+AV519</f>
        <v>3021.9279999999999</v>
      </c>
      <c r="AW531" s="194"/>
      <c r="AX531" s="194"/>
      <c r="AY531" s="194"/>
      <c r="AZ531" s="194"/>
      <c r="BA531" s="194"/>
      <c r="BB531" s="194"/>
      <c r="BC531" s="65">
        <v>0</v>
      </c>
      <c r="BD531" s="65">
        <v>0</v>
      </c>
      <c r="BE531" s="65">
        <v>0</v>
      </c>
      <c r="BF531" s="65">
        <v>0</v>
      </c>
      <c r="BG531" s="65">
        <v>0</v>
      </c>
      <c r="BH531" s="65">
        <v>0</v>
      </c>
      <c r="BI531" s="65">
        <v>0</v>
      </c>
      <c r="BJ531" s="65">
        <v>0</v>
      </c>
      <c r="BK531" s="65">
        <v>0</v>
      </c>
      <c r="BL531" s="65">
        <v>0</v>
      </c>
      <c r="BM531" s="65">
        <v>0</v>
      </c>
      <c r="BN531" s="65">
        <v>0</v>
      </c>
      <c r="BO531" s="65">
        <v>0</v>
      </c>
      <c r="BP531" s="5"/>
      <c r="BQ531" s="5"/>
      <c r="BR531" s="5"/>
      <c r="BS531" s="5"/>
      <c r="BT531" s="5"/>
      <c r="BU531" s="5"/>
      <c r="BV531" s="144">
        <f t="shared" si="810"/>
        <v>0</v>
      </c>
      <c r="BW531" s="144">
        <f t="shared" si="811"/>
        <v>0</v>
      </c>
      <c r="BX531" s="144">
        <f t="shared" si="812"/>
        <v>0</v>
      </c>
      <c r="BY531" s="5"/>
      <c r="BZ531" s="5"/>
      <c r="CA531" s="4"/>
      <c r="CB531" s="5"/>
      <c r="CC531" s="5"/>
      <c r="CD531" s="5"/>
      <c r="CE531" s="5"/>
      <c r="CF531" s="64"/>
      <c r="CG531" s="70"/>
      <c r="CH531" s="70"/>
      <c r="CI531" s="70"/>
      <c r="CJ531" s="63"/>
      <c r="CK531" s="8">
        <f t="shared" si="761"/>
        <v>3129.5679999999998</v>
      </c>
      <c r="CL531" s="202">
        <f t="shared" si="683"/>
        <v>-3129.5679999999998</v>
      </c>
      <c r="CM531" s="202">
        <f t="shared" si="684"/>
        <v>-3129.5679999999998</v>
      </c>
      <c r="CN531" s="202">
        <f t="shared" si="685"/>
        <v>-3129.5679999999998</v>
      </c>
      <c r="CO531" s="9">
        <f t="shared" si="686"/>
        <v>-3129.5679999999998</v>
      </c>
      <c r="CP531" s="9">
        <f t="shared" si="687"/>
        <v>-3129.5679999999998</v>
      </c>
      <c r="CQ531" s="9">
        <f t="shared" si="688"/>
        <v>-3129.5679999999998</v>
      </c>
      <c r="CR531" s="202">
        <f t="shared" si="689"/>
        <v>-3129.5679999999998</v>
      </c>
      <c r="CS531" s="202">
        <f t="shared" si="690"/>
        <v>-3129.5679999999998</v>
      </c>
      <c r="CT531" s="202">
        <f t="shared" si="691"/>
        <v>-3129.5679999999998</v>
      </c>
      <c r="CU531" s="203" t="e">
        <f t="shared" si="692"/>
        <v>#DIV/0!</v>
      </c>
      <c r="CV531" s="203" t="e">
        <f t="shared" si="693"/>
        <v>#DIV/0!</v>
      </c>
      <c r="CW531" s="203" t="e">
        <f t="shared" si="694"/>
        <v>#DIV/0!</v>
      </c>
      <c r="CX531" s="19" t="e">
        <f t="shared" si="695"/>
        <v>#DIV/0!</v>
      </c>
      <c r="CY531" s="19" t="e">
        <f t="shared" si="696"/>
        <v>#DIV/0!</v>
      </c>
      <c r="CZ531" s="19" t="e">
        <f t="shared" si="697"/>
        <v>#DIV/0!</v>
      </c>
      <c r="DA531" s="203" t="e">
        <f t="shared" si="698"/>
        <v>#DIV/0!</v>
      </c>
      <c r="DB531" s="203" t="e">
        <f t="shared" si="699"/>
        <v>#DIV/0!</v>
      </c>
      <c r="DC531" s="203" t="e">
        <f t="shared" si="700"/>
        <v>#DIV/0!</v>
      </c>
      <c r="DD531" s="65"/>
      <c r="DE531" s="66"/>
      <c r="DF531" s="66"/>
      <c r="DG531" s="66"/>
      <c r="DH531" s="66"/>
      <c r="DI531" s="66"/>
      <c r="DJ531" s="66"/>
      <c r="DK531" s="70"/>
      <c r="DL531" s="70"/>
      <c r="DM531" s="8">
        <f t="shared" si="762"/>
        <v>0</v>
      </c>
      <c r="DN531" s="8">
        <f t="shared" si="763"/>
        <v>3129.5679999999998</v>
      </c>
      <c r="DO531" s="202">
        <f t="shared" si="737"/>
        <v>-3129.5679999999998</v>
      </c>
      <c r="DP531" s="202">
        <f t="shared" si="738"/>
        <v>-3129.5679999999998</v>
      </c>
      <c r="DQ531" s="202">
        <f t="shared" si="739"/>
        <v>-3129.5679999999998</v>
      </c>
      <c r="DR531" s="9">
        <f t="shared" si="740"/>
        <v>-3129.5679999999998</v>
      </c>
      <c r="DS531" s="9">
        <f t="shared" si="703"/>
        <v>-3129.5679999999998</v>
      </c>
      <c r="DT531" s="9">
        <f t="shared" si="741"/>
        <v>-3129.5679999999998</v>
      </c>
      <c r="DU531" s="202">
        <f t="shared" si="742"/>
        <v>-3129.5679999999998</v>
      </c>
      <c r="DV531" s="202">
        <f t="shared" si="743"/>
        <v>-3129.5679999999998</v>
      </c>
      <c r="DW531" s="202">
        <f t="shared" si="744"/>
        <v>-3129.5679999999998</v>
      </c>
      <c r="DX531" s="203" t="e">
        <f t="shared" si="745"/>
        <v>#DIV/0!</v>
      </c>
      <c r="DY531" s="203" t="e">
        <f t="shared" si="746"/>
        <v>#DIV/0!</v>
      </c>
      <c r="DZ531" s="203" t="e">
        <f t="shared" si="747"/>
        <v>#DIV/0!</v>
      </c>
      <c r="EA531" s="19" t="e">
        <f t="shared" si="748"/>
        <v>#DIV/0!</v>
      </c>
      <c r="EB531" s="19" t="e">
        <f t="shared" si="704"/>
        <v>#DIV/0!</v>
      </c>
      <c r="EC531" s="19" t="e">
        <f t="shared" si="749"/>
        <v>#DIV/0!</v>
      </c>
      <c r="ED531" s="203" t="e">
        <f t="shared" si="750"/>
        <v>#DIV/0!</v>
      </c>
      <c r="EE531" s="203" t="e">
        <f t="shared" si="751"/>
        <v>#DIV/0!</v>
      </c>
      <c r="EF531" s="203" t="e">
        <f t="shared" si="752"/>
        <v>#DIV/0!</v>
      </c>
      <c r="EH531" s="58">
        <f t="shared" si="798"/>
        <v>3129.5679999999998</v>
      </c>
      <c r="EI531" s="68" t="e">
        <f t="shared" si="799"/>
        <v>#DIV/0!</v>
      </c>
      <c r="EJ531" s="58">
        <f t="shared" si="800"/>
        <v>3129.5679999999998</v>
      </c>
      <c r="EK531" s="68" t="e">
        <f t="shared" si="799"/>
        <v>#DIV/0!</v>
      </c>
      <c r="EL531" s="58">
        <f t="shared" si="801"/>
        <v>0</v>
      </c>
      <c r="EM531" s="58">
        <f t="shared" si="802"/>
        <v>0</v>
      </c>
      <c r="EN531" s="68" t="e">
        <f t="shared" si="803"/>
        <v>#DIV/0!</v>
      </c>
      <c r="EO531" s="139">
        <f t="shared" si="652"/>
        <v>0.28519905910129462</v>
      </c>
      <c r="EP531">
        <f>+(SUM(M531:O531)*EO531*(1-'[1]Tier 3 Data'!$A$2))</f>
        <v>0</v>
      </c>
    </row>
    <row r="532" spans="1:146" x14ac:dyDescent="0.2">
      <c r="A532" s="43">
        <v>0</v>
      </c>
      <c r="B532" s="43">
        <v>0</v>
      </c>
      <c r="C532" s="43">
        <v>0</v>
      </c>
      <c r="D532" s="70">
        <v>2051</v>
      </c>
      <c r="E532" s="70">
        <v>9</v>
      </c>
      <c r="F532" s="2">
        <v>720</v>
      </c>
      <c r="G532" s="133">
        <f t="shared" si="636"/>
        <v>0</v>
      </c>
      <c r="H532" s="64"/>
      <c r="I532" s="133">
        <f t="shared" si="637"/>
        <v>0</v>
      </c>
      <c r="J532" s="133">
        <f t="shared" si="778"/>
        <v>0</v>
      </c>
      <c r="K532" s="64"/>
      <c r="L532" s="133">
        <f t="shared" si="779"/>
        <v>0</v>
      </c>
      <c r="M532" s="5"/>
      <c r="N532" s="5"/>
      <c r="O532" s="5"/>
      <c r="P532" s="200">
        <f t="shared" si="770"/>
        <v>0</v>
      </c>
      <c r="Q532" s="200">
        <f t="shared" si="771"/>
        <v>0</v>
      </c>
      <c r="R532" s="200">
        <f t="shared" si="772"/>
        <v>0</v>
      </c>
      <c r="S532" s="133">
        <f t="shared" si="638"/>
        <v>0</v>
      </c>
      <c r="T532" s="133">
        <f t="shared" si="639"/>
        <v>0</v>
      </c>
      <c r="U532" s="133">
        <f t="shared" si="640"/>
        <v>0</v>
      </c>
      <c r="V532" s="200">
        <f t="shared" si="773"/>
        <v>0</v>
      </c>
      <c r="W532" s="200">
        <f t="shared" si="774"/>
        <v>0</v>
      </c>
      <c r="X532" s="200">
        <f t="shared" si="775"/>
        <v>0</v>
      </c>
      <c r="Y532" s="58">
        <f t="shared" si="813"/>
        <v>0</v>
      </c>
      <c r="AA532" s="58">
        <f t="shared" si="814"/>
        <v>0</v>
      </c>
      <c r="AB532" s="200">
        <f t="shared" si="815"/>
        <v>0</v>
      </c>
      <c r="AC532" s="200">
        <f t="shared" si="816"/>
        <v>0</v>
      </c>
      <c r="AD532" s="200">
        <f t="shared" si="817"/>
        <v>0</v>
      </c>
      <c r="AE532" s="199">
        <f t="shared" si="719"/>
        <v>0</v>
      </c>
      <c r="AF532" s="199">
        <f t="shared" si="818"/>
        <v>0</v>
      </c>
      <c r="AG532" s="199">
        <f t="shared" si="720"/>
        <v>0</v>
      </c>
      <c r="AH532" s="199">
        <f t="shared" si="641"/>
        <v>0</v>
      </c>
      <c r="AI532" s="200">
        <f t="shared" si="819"/>
        <v>0</v>
      </c>
      <c r="AJ532" s="200">
        <f t="shared" si="820"/>
        <v>0</v>
      </c>
      <c r="AK532" s="200">
        <f t="shared" si="821"/>
        <v>0</v>
      </c>
      <c r="AL532" s="4"/>
      <c r="AM532" s="4"/>
      <c r="AN532" s="4"/>
      <c r="AO532" s="4"/>
      <c r="AP532" s="63"/>
      <c r="AQ532" s="18"/>
      <c r="AR532" s="18"/>
      <c r="AS532" s="18"/>
      <c r="AT532" s="18">
        <v>0</v>
      </c>
      <c r="AU532" s="133">
        <f t="shared" ref="AU532" si="836">+AU520</f>
        <v>102.375</v>
      </c>
      <c r="AV532" s="133">
        <f t="shared" ref="AV532" si="837">+AV520</f>
        <v>2969.6280000000002</v>
      </c>
      <c r="AW532" s="194"/>
      <c r="AX532" s="194"/>
      <c r="AY532" s="194"/>
      <c r="AZ532" s="194"/>
      <c r="BA532" s="194"/>
      <c r="BB532" s="194"/>
      <c r="BC532" s="65">
        <v>0</v>
      </c>
      <c r="BD532" s="65">
        <v>0</v>
      </c>
      <c r="BE532" s="65">
        <v>0</v>
      </c>
      <c r="BF532" s="65">
        <v>0</v>
      </c>
      <c r="BG532" s="65">
        <v>0</v>
      </c>
      <c r="BH532" s="65">
        <v>0</v>
      </c>
      <c r="BI532" s="65">
        <v>0</v>
      </c>
      <c r="BJ532" s="65">
        <v>0</v>
      </c>
      <c r="BK532" s="65">
        <v>0</v>
      </c>
      <c r="BL532" s="65">
        <v>0</v>
      </c>
      <c r="BM532" s="65">
        <v>0</v>
      </c>
      <c r="BN532" s="65">
        <v>0</v>
      </c>
      <c r="BO532" s="65">
        <v>0</v>
      </c>
      <c r="BP532" s="5"/>
      <c r="BQ532" s="5"/>
      <c r="BR532" s="5"/>
      <c r="BS532" s="5"/>
      <c r="BT532" s="5"/>
      <c r="BU532" s="5"/>
      <c r="BV532" s="144">
        <f t="shared" si="810"/>
        <v>0</v>
      </c>
      <c r="BW532" s="144">
        <f t="shared" si="811"/>
        <v>0</v>
      </c>
      <c r="BX532" s="144">
        <f t="shared" si="812"/>
        <v>0</v>
      </c>
      <c r="BY532" s="5"/>
      <c r="BZ532" s="5"/>
      <c r="CA532" s="4"/>
      <c r="CB532" s="5"/>
      <c r="CC532" s="5"/>
      <c r="CD532" s="5"/>
      <c r="CE532" s="5"/>
      <c r="CF532" s="64"/>
      <c r="CG532" s="70"/>
      <c r="CH532" s="70"/>
      <c r="CI532" s="70"/>
      <c r="CJ532" s="63"/>
      <c r="CK532" s="8">
        <f t="shared" si="761"/>
        <v>3072.0030000000002</v>
      </c>
      <c r="CL532" s="202">
        <f t="shared" si="683"/>
        <v>-3072.0030000000002</v>
      </c>
      <c r="CM532" s="202">
        <f t="shared" si="684"/>
        <v>-3072.0030000000002</v>
      </c>
      <c r="CN532" s="202">
        <f t="shared" si="685"/>
        <v>-3072.0030000000002</v>
      </c>
      <c r="CO532" s="9">
        <f t="shared" si="686"/>
        <v>-3072.0030000000002</v>
      </c>
      <c r="CP532" s="9">
        <f t="shared" si="687"/>
        <v>-3072.0030000000002</v>
      </c>
      <c r="CQ532" s="9">
        <f t="shared" si="688"/>
        <v>-3072.0030000000002</v>
      </c>
      <c r="CR532" s="202">
        <f t="shared" si="689"/>
        <v>-3072.0030000000002</v>
      </c>
      <c r="CS532" s="202">
        <f t="shared" si="690"/>
        <v>-3072.0030000000002</v>
      </c>
      <c r="CT532" s="202">
        <f t="shared" si="691"/>
        <v>-3072.0030000000002</v>
      </c>
      <c r="CU532" s="203" t="e">
        <f t="shared" si="692"/>
        <v>#DIV/0!</v>
      </c>
      <c r="CV532" s="203" t="e">
        <f t="shared" si="693"/>
        <v>#DIV/0!</v>
      </c>
      <c r="CW532" s="203" t="e">
        <f t="shared" si="694"/>
        <v>#DIV/0!</v>
      </c>
      <c r="CX532" s="19" t="e">
        <f t="shared" si="695"/>
        <v>#DIV/0!</v>
      </c>
      <c r="CY532" s="19" t="e">
        <f t="shared" si="696"/>
        <v>#DIV/0!</v>
      </c>
      <c r="CZ532" s="19" t="e">
        <f t="shared" si="697"/>
        <v>#DIV/0!</v>
      </c>
      <c r="DA532" s="203" t="e">
        <f t="shared" si="698"/>
        <v>#DIV/0!</v>
      </c>
      <c r="DB532" s="203" t="e">
        <f t="shared" si="699"/>
        <v>#DIV/0!</v>
      </c>
      <c r="DC532" s="203" t="e">
        <f t="shared" si="700"/>
        <v>#DIV/0!</v>
      </c>
      <c r="DD532" s="65"/>
      <c r="DE532" s="66"/>
      <c r="DF532" s="66"/>
      <c r="DG532" s="66"/>
      <c r="DH532" s="66"/>
      <c r="DI532" s="66"/>
      <c r="DJ532" s="66"/>
      <c r="DK532" s="70"/>
      <c r="DL532" s="70"/>
      <c r="DM532" s="8">
        <f t="shared" si="762"/>
        <v>0</v>
      </c>
      <c r="DN532" s="8">
        <f t="shared" si="763"/>
        <v>3072.0030000000002</v>
      </c>
      <c r="DO532" s="202">
        <f t="shared" si="737"/>
        <v>-3072.0030000000002</v>
      </c>
      <c r="DP532" s="202">
        <f t="shared" si="738"/>
        <v>-3072.0030000000002</v>
      </c>
      <c r="DQ532" s="202">
        <f t="shared" si="739"/>
        <v>-3072.0030000000002</v>
      </c>
      <c r="DR532" s="9">
        <f t="shared" si="740"/>
        <v>-3072.0030000000002</v>
      </c>
      <c r="DS532" s="9">
        <f t="shared" si="703"/>
        <v>-3072.0030000000002</v>
      </c>
      <c r="DT532" s="9">
        <f t="shared" si="741"/>
        <v>-3072.0030000000002</v>
      </c>
      <c r="DU532" s="202">
        <f t="shared" si="742"/>
        <v>-3072.0030000000002</v>
      </c>
      <c r="DV532" s="202">
        <f t="shared" si="743"/>
        <v>-3072.0030000000002</v>
      </c>
      <c r="DW532" s="202">
        <f t="shared" si="744"/>
        <v>-3072.0030000000002</v>
      </c>
      <c r="DX532" s="203" t="e">
        <f t="shared" si="745"/>
        <v>#DIV/0!</v>
      </c>
      <c r="DY532" s="203" t="e">
        <f t="shared" si="746"/>
        <v>#DIV/0!</v>
      </c>
      <c r="DZ532" s="203" t="e">
        <f t="shared" si="747"/>
        <v>#DIV/0!</v>
      </c>
      <c r="EA532" s="19" t="e">
        <f t="shared" si="748"/>
        <v>#DIV/0!</v>
      </c>
      <c r="EB532" s="19" t="e">
        <f t="shared" si="704"/>
        <v>#DIV/0!</v>
      </c>
      <c r="EC532" s="19" t="e">
        <f t="shared" si="749"/>
        <v>#DIV/0!</v>
      </c>
      <c r="ED532" s="203" t="e">
        <f t="shared" si="750"/>
        <v>#DIV/0!</v>
      </c>
      <c r="EE532" s="203" t="e">
        <f t="shared" si="751"/>
        <v>#DIV/0!</v>
      </c>
      <c r="EF532" s="203" t="e">
        <f t="shared" si="752"/>
        <v>#DIV/0!</v>
      </c>
      <c r="EH532" s="58">
        <f t="shared" si="798"/>
        <v>3072.0030000000002</v>
      </c>
      <c r="EI532" s="68" t="e">
        <f t="shared" si="799"/>
        <v>#DIV/0!</v>
      </c>
      <c r="EJ532" s="58">
        <f t="shared" si="800"/>
        <v>3072.0030000000002</v>
      </c>
      <c r="EK532" s="68" t="e">
        <f t="shared" si="799"/>
        <v>#DIV/0!</v>
      </c>
      <c r="EL532" s="58">
        <f t="shared" si="801"/>
        <v>0</v>
      </c>
      <c r="EM532" s="58">
        <f t="shared" si="802"/>
        <v>0</v>
      </c>
      <c r="EN532" s="68" t="e">
        <f t="shared" si="803"/>
        <v>#DIV/0!</v>
      </c>
      <c r="EO532" s="139">
        <f t="shared" si="652"/>
        <v>0.31860645638858931</v>
      </c>
      <c r="EP532">
        <f>+(SUM(M532:O532)*EO532*(1-'[1]Tier 3 Data'!$A$2))</f>
        <v>0</v>
      </c>
    </row>
    <row r="533" spans="1:146" x14ac:dyDescent="0.2">
      <c r="A533" s="43">
        <v>0</v>
      </c>
      <c r="B533" s="43">
        <v>0</v>
      </c>
      <c r="C533" s="43">
        <v>0</v>
      </c>
      <c r="D533" s="70">
        <v>2051</v>
      </c>
      <c r="E533" s="70">
        <v>10</v>
      </c>
      <c r="F533" s="2">
        <v>744</v>
      </c>
      <c r="G533" s="133">
        <f t="shared" ref="G533:G595" si="838">+H533</f>
        <v>0</v>
      </c>
      <c r="H533" s="64"/>
      <c r="I533" s="133">
        <f t="shared" ref="I533:I595" si="839">+H533</f>
        <v>0</v>
      </c>
      <c r="J533" s="133">
        <f t="shared" si="778"/>
        <v>0</v>
      </c>
      <c r="K533" s="64"/>
      <c r="L533" s="133">
        <f t="shared" si="779"/>
        <v>0</v>
      </c>
      <c r="M533" s="5"/>
      <c r="N533" s="5"/>
      <c r="O533" s="5"/>
      <c r="P533" s="200">
        <f t="shared" si="770"/>
        <v>0</v>
      </c>
      <c r="Q533" s="200">
        <f t="shared" si="771"/>
        <v>0</v>
      </c>
      <c r="R533" s="200">
        <f t="shared" si="772"/>
        <v>0</v>
      </c>
      <c r="S533" s="133">
        <f t="shared" ref="S533:S595" si="840">+$H533-J533-(30%*SUM($O533:$O533))</f>
        <v>0</v>
      </c>
      <c r="T533" s="133">
        <f t="shared" ref="T533:T595" si="841">+$H533-K533-(30%*SUM($O533:$O533))</f>
        <v>0</v>
      </c>
      <c r="U533" s="133">
        <f t="shared" ref="U533:U595" si="842">+$H533-L533-(30%*SUM($O533:$O533))</f>
        <v>0</v>
      </c>
      <c r="V533" s="200">
        <f t="shared" si="773"/>
        <v>0</v>
      </c>
      <c r="W533" s="200">
        <f t="shared" si="774"/>
        <v>0</v>
      </c>
      <c r="X533" s="200">
        <f t="shared" si="775"/>
        <v>0</v>
      </c>
      <c r="Y533" s="58">
        <f t="shared" si="813"/>
        <v>0</v>
      </c>
      <c r="AA533" s="58">
        <f t="shared" si="814"/>
        <v>0</v>
      </c>
      <c r="AB533" s="200">
        <f t="shared" si="815"/>
        <v>0</v>
      </c>
      <c r="AC533" s="200">
        <f t="shared" si="816"/>
        <v>0</v>
      </c>
      <c r="AD533" s="200">
        <f t="shared" si="817"/>
        <v>0</v>
      </c>
      <c r="AE533" s="199">
        <f t="shared" si="719"/>
        <v>0</v>
      </c>
      <c r="AF533" s="199">
        <f t="shared" si="818"/>
        <v>0</v>
      </c>
      <c r="AG533" s="199">
        <f t="shared" si="720"/>
        <v>0</v>
      </c>
      <c r="AH533" s="199">
        <f t="shared" ref="AH533:AH595" si="843">+(MIN(AE533:AG533)+MAX(AE533:AG533))/2</f>
        <v>0</v>
      </c>
      <c r="AI533" s="200">
        <f t="shared" si="819"/>
        <v>0</v>
      </c>
      <c r="AJ533" s="200">
        <f t="shared" si="820"/>
        <v>0</v>
      </c>
      <c r="AK533" s="200">
        <f t="shared" si="821"/>
        <v>0</v>
      </c>
      <c r="AL533" s="4"/>
      <c r="AM533" s="4"/>
      <c r="AN533" s="4"/>
      <c r="AO533" s="4"/>
      <c r="AP533" s="63"/>
      <c r="AQ533" s="18"/>
      <c r="AR533" s="18"/>
      <c r="AS533" s="18"/>
      <c r="AT533" s="18">
        <v>0</v>
      </c>
      <c r="AU533" s="133">
        <f t="shared" ref="AU533" si="844">+AU521</f>
        <v>118.17</v>
      </c>
      <c r="AV533" s="133">
        <f t="shared" ref="AV533" si="845">+AV521</f>
        <v>3225.1860000000001</v>
      </c>
      <c r="AW533" s="194"/>
      <c r="AX533" s="194"/>
      <c r="AY533" s="194"/>
      <c r="AZ533" s="194"/>
      <c r="BA533" s="194"/>
      <c r="BB533" s="194"/>
      <c r="BC533" s="65">
        <v>0</v>
      </c>
      <c r="BD533" s="65">
        <v>0</v>
      </c>
      <c r="BE533" s="65">
        <v>0</v>
      </c>
      <c r="BF533" s="65">
        <v>0</v>
      </c>
      <c r="BG533" s="65">
        <v>0</v>
      </c>
      <c r="BH533" s="65">
        <v>0</v>
      </c>
      <c r="BI533" s="65">
        <v>0</v>
      </c>
      <c r="BJ533" s="65">
        <v>0</v>
      </c>
      <c r="BK533" s="65">
        <v>0</v>
      </c>
      <c r="BL533" s="65">
        <v>0</v>
      </c>
      <c r="BM533" s="65">
        <v>0</v>
      </c>
      <c r="BN533" s="65">
        <v>0</v>
      </c>
      <c r="BO533" s="65">
        <v>0</v>
      </c>
      <c r="BP533" s="5"/>
      <c r="BQ533" s="5"/>
      <c r="BR533" s="5"/>
      <c r="BS533" s="5"/>
      <c r="BT533" s="5"/>
      <c r="BU533" s="5"/>
      <c r="BV533" s="144">
        <f t="shared" si="810"/>
        <v>0</v>
      </c>
      <c r="BW533" s="144">
        <f t="shared" si="811"/>
        <v>0</v>
      </c>
      <c r="BX533" s="144">
        <f t="shared" si="812"/>
        <v>0</v>
      </c>
      <c r="BY533" s="5"/>
      <c r="BZ533" s="5"/>
      <c r="CA533" s="4"/>
      <c r="CB533" s="5"/>
      <c r="CC533" s="5"/>
      <c r="CD533" s="5"/>
      <c r="CE533" s="5"/>
      <c r="CF533" s="64"/>
      <c r="CG533" s="70"/>
      <c r="CH533" s="70"/>
      <c r="CI533" s="70"/>
      <c r="CJ533" s="63"/>
      <c r="CK533" s="8">
        <f t="shared" si="761"/>
        <v>3343.3560000000002</v>
      </c>
      <c r="CL533" s="202">
        <f t="shared" si="683"/>
        <v>-3343.3560000000002</v>
      </c>
      <c r="CM533" s="202">
        <f t="shared" si="684"/>
        <v>-3343.3560000000002</v>
      </c>
      <c r="CN533" s="202">
        <f t="shared" si="685"/>
        <v>-3343.3560000000002</v>
      </c>
      <c r="CO533" s="9">
        <f t="shared" si="686"/>
        <v>-3343.3560000000002</v>
      </c>
      <c r="CP533" s="9">
        <f t="shared" si="687"/>
        <v>-3343.3560000000002</v>
      </c>
      <c r="CQ533" s="9">
        <f t="shared" si="688"/>
        <v>-3343.3560000000002</v>
      </c>
      <c r="CR533" s="202">
        <f t="shared" si="689"/>
        <v>-3343.3560000000002</v>
      </c>
      <c r="CS533" s="202">
        <f t="shared" si="690"/>
        <v>-3343.3560000000002</v>
      </c>
      <c r="CT533" s="202">
        <f t="shared" si="691"/>
        <v>-3343.3560000000002</v>
      </c>
      <c r="CU533" s="203" t="e">
        <f t="shared" si="692"/>
        <v>#DIV/0!</v>
      </c>
      <c r="CV533" s="203" t="e">
        <f t="shared" si="693"/>
        <v>#DIV/0!</v>
      </c>
      <c r="CW533" s="203" t="e">
        <f t="shared" si="694"/>
        <v>#DIV/0!</v>
      </c>
      <c r="CX533" s="19" t="e">
        <f t="shared" si="695"/>
        <v>#DIV/0!</v>
      </c>
      <c r="CY533" s="19" t="e">
        <f t="shared" si="696"/>
        <v>#DIV/0!</v>
      </c>
      <c r="CZ533" s="19" t="e">
        <f t="shared" si="697"/>
        <v>#DIV/0!</v>
      </c>
      <c r="DA533" s="203" t="e">
        <f t="shared" si="698"/>
        <v>#DIV/0!</v>
      </c>
      <c r="DB533" s="203" t="e">
        <f t="shared" si="699"/>
        <v>#DIV/0!</v>
      </c>
      <c r="DC533" s="203" t="e">
        <f t="shared" si="700"/>
        <v>#DIV/0!</v>
      </c>
      <c r="DD533" s="65"/>
      <c r="DE533" s="66"/>
      <c r="DF533" s="66"/>
      <c r="DG533" s="66"/>
      <c r="DH533" s="66"/>
      <c r="DI533" s="66"/>
      <c r="DJ533" s="66"/>
      <c r="DK533" s="70"/>
      <c r="DL533" s="70"/>
      <c r="DM533" s="8">
        <f t="shared" si="762"/>
        <v>0</v>
      </c>
      <c r="DN533" s="8">
        <f t="shared" si="763"/>
        <v>3343.3560000000002</v>
      </c>
      <c r="DO533" s="202">
        <f t="shared" si="737"/>
        <v>-3343.3560000000002</v>
      </c>
      <c r="DP533" s="202">
        <f t="shared" si="738"/>
        <v>-3343.3560000000002</v>
      </c>
      <c r="DQ533" s="202">
        <f t="shared" si="739"/>
        <v>-3343.3560000000002</v>
      </c>
      <c r="DR533" s="9">
        <f t="shared" si="740"/>
        <v>-3343.3560000000002</v>
      </c>
      <c r="DS533" s="9">
        <f t="shared" si="703"/>
        <v>-3343.3560000000002</v>
      </c>
      <c r="DT533" s="9">
        <f t="shared" si="741"/>
        <v>-3343.3560000000002</v>
      </c>
      <c r="DU533" s="202">
        <f t="shared" si="742"/>
        <v>-3343.3560000000002</v>
      </c>
      <c r="DV533" s="202">
        <f t="shared" si="743"/>
        <v>-3343.3560000000002</v>
      </c>
      <c r="DW533" s="202">
        <f t="shared" si="744"/>
        <v>-3343.3560000000002</v>
      </c>
      <c r="DX533" s="203" t="e">
        <f t="shared" si="745"/>
        <v>#DIV/0!</v>
      </c>
      <c r="DY533" s="203" t="e">
        <f t="shared" si="746"/>
        <v>#DIV/0!</v>
      </c>
      <c r="DZ533" s="203" t="e">
        <f t="shared" si="747"/>
        <v>#DIV/0!</v>
      </c>
      <c r="EA533" s="19" t="e">
        <f t="shared" si="748"/>
        <v>#DIV/0!</v>
      </c>
      <c r="EB533" s="19" t="e">
        <f t="shared" si="704"/>
        <v>#DIV/0!</v>
      </c>
      <c r="EC533" s="19" t="e">
        <f t="shared" si="749"/>
        <v>#DIV/0!</v>
      </c>
      <c r="ED533" s="203" t="e">
        <f t="shared" si="750"/>
        <v>#DIV/0!</v>
      </c>
      <c r="EE533" s="203" t="e">
        <f t="shared" si="751"/>
        <v>#DIV/0!</v>
      </c>
      <c r="EF533" s="203" t="e">
        <f t="shared" si="752"/>
        <v>#DIV/0!</v>
      </c>
      <c r="EH533" s="58">
        <f t="shared" si="798"/>
        <v>3343.3560000000002</v>
      </c>
      <c r="EI533" s="68" t="e">
        <f t="shared" si="799"/>
        <v>#DIV/0!</v>
      </c>
      <c r="EJ533" s="58">
        <f t="shared" si="800"/>
        <v>3343.3560000000002</v>
      </c>
      <c r="EK533" s="68" t="e">
        <f t="shared" si="799"/>
        <v>#DIV/0!</v>
      </c>
      <c r="EL533" s="58">
        <f t="shared" si="801"/>
        <v>0</v>
      </c>
      <c r="EM533" s="58">
        <f t="shared" si="802"/>
        <v>0</v>
      </c>
      <c r="EN533" s="68" t="e">
        <f t="shared" si="803"/>
        <v>#DIV/0!</v>
      </c>
      <c r="EO533" s="139">
        <f t="shared" si="652"/>
        <v>0.35739486552628164</v>
      </c>
      <c r="EP533">
        <f>+(SUM(M533:O533)*EO533*(1-'[1]Tier 3 Data'!$A$2))</f>
        <v>0</v>
      </c>
    </row>
    <row r="534" spans="1:146" x14ac:dyDescent="0.2">
      <c r="A534" s="43">
        <v>0</v>
      </c>
      <c r="B534" s="43">
        <v>0</v>
      </c>
      <c r="C534" s="43">
        <v>0</v>
      </c>
      <c r="D534" s="70">
        <v>2051</v>
      </c>
      <c r="E534" s="70">
        <v>11</v>
      </c>
      <c r="F534" s="2">
        <v>721</v>
      </c>
      <c r="G534" s="133">
        <f t="shared" si="838"/>
        <v>0</v>
      </c>
      <c r="H534" s="64"/>
      <c r="I534" s="133">
        <f t="shared" si="839"/>
        <v>0</v>
      </c>
      <c r="J534" s="133">
        <f t="shared" si="778"/>
        <v>0</v>
      </c>
      <c r="K534" s="64"/>
      <c r="L534" s="133">
        <f t="shared" si="779"/>
        <v>0</v>
      </c>
      <c r="M534" s="5"/>
      <c r="N534" s="5"/>
      <c r="O534" s="5"/>
      <c r="P534" s="200">
        <f t="shared" si="770"/>
        <v>0</v>
      </c>
      <c r="Q534" s="200">
        <f t="shared" si="771"/>
        <v>0</v>
      </c>
      <c r="R534" s="200">
        <f t="shared" si="772"/>
        <v>0</v>
      </c>
      <c r="S534" s="133">
        <f t="shared" si="840"/>
        <v>0</v>
      </c>
      <c r="T534" s="133">
        <f t="shared" si="841"/>
        <v>0</v>
      </c>
      <c r="U534" s="133">
        <f t="shared" si="842"/>
        <v>0</v>
      </c>
      <c r="V534" s="200">
        <f t="shared" si="773"/>
        <v>0</v>
      </c>
      <c r="W534" s="200">
        <f t="shared" si="774"/>
        <v>0</v>
      </c>
      <c r="X534" s="200">
        <f t="shared" si="775"/>
        <v>0</v>
      </c>
      <c r="Y534" s="58">
        <f t="shared" si="813"/>
        <v>0</v>
      </c>
      <c r="AA534" s="58">
        <f t="shared" si="814"/>
        <v>0</v>
      </c>
      <c r="AB534" s="200">
        <f t="shared" si="815"/>
        <v>0</v>
      </c>
      <c r="AC534" s="200">
        <f t="shared" si="816"/>
        <v>0</v>
      </c>
      <c r="AD534" s="200">
        <f t="shared" si="817"/>
        <v>0</v>
      </c>
      <c r="AE534" s="199">
        <f t="shared" si="719"/>
        <v>0</v>
      </c>
      <c r="AF534" s="199">
        <f t="shared" si="818"/>
        <v>0</v>
      </c>
      <c r="AG534" s="199">
        <f t="shared" si="720"/>
        <v>0</v>
      </c>
      <c r="AH534" s="199">
        <f t="shared" si="843"/>
        <v>0</v>
      </c>
      <c r="AI534" s="200">
        <f t="shared" si="819"/>
        <v>0</v>
      </c>
      <c r="AJ534" s="200">
        <f t="shared" si="820"/>
        <v>0</v>
      </c>
      <c r="AK534" s="200">
        <f t="shared" si="821"/>
        <v>0</v>
      </c>
      <c r="AL534" s="4"/>
      <c r="AM534" s="4"/>
      <c r="AN534" s="4"/>
      <c r="AO534" s="4"/>
      <c r="AP534" s="63"/>
      <c r="AQ534" s="18"/>
      <c r="AR534" s="18"/>
      <c r="AS534" s="18"/>
      <c r="AT534" s="18">
        <v>0</v>
      </c>
      <c r="AU534" s="133">
        <f t="shared" ref="AU534" si="846">+AU522</f>
        <v>104.364</v>
      </c>
      <c r="AV534" s="133">
        <f t="shared" ref="AV534" si="847">+AV522</f>
        <v>3268.3739999999998</v>
      </c>
      <c r="AW534" s="194"/>
      <c r="AX534" s="194"/>
      <c r="AY534" s="194"/>
      <c r="AZ534" s="194"/>
      <c r="BA534" s="194"/>
      <c r="BB534" s="194"/>
      <c r="BC534" s="65">
        <v>0</v>
      </c>
      <c r="BD534" s="65">
        <v>0</v>
      </c>
      <c r="BE534" s="65">
        <v>0</v>
      </c>
      <c r="BF534" s="65">
        <v>0</v>
      </c>
      <c r="BG534" s="65">
        <v>0</v>
      </c>
      <c r="BH534" s="65">
        <v>0</v>
      </c>
      <c r="BI534" s="65">
        <v>0</v>
      </c>
      <c r="BJ534" s="65">
        <v>0</v>
      </c>
      <c r="BK534" s="65">
        <v>0</v>
      </c>
      <c r="BL534" s="65">
        <v>0</v>
      </c>
      <c r="BM534" s="65">
        <v>0</v>
      </c>
      <c r="BN534" s="65">
        <v>0</v>
      </c>
      <c r="BO534" s="65">
        <v>0</v>
      </c>
      <c r="BP534" s="5"/>
      <c r="BQ534" s="5"/>
      <c r="BR534" s="5"/>
      <c r="BS534" s="5"/>
      <c r="BT534" s="5"/>
      <c r="BU534" s="5"/>
      <c r="BV534" s="144">
        <f t="shared" si="810"/>
        <v>0</v>
      </c>
      <c r="BW534" s="144">
        <f t="shared" si="811"/>
        <v>0</v>
      </c>
      <c r="BX534" s="144">
        <f t="shared" si="812"/>
        <v>0</v>
      </c>
      <c r="BY534" s="5"/>
      <c r="BZ534" s="5"/>
      <c r="CA534" s="4"/>
      <c r="CB534" s="5"/>
      <c r="CC534" s="5"/>
      <c r="CD534" s="5"/>
      <c r="CE534" s="5"/>
      <c r="CF534" s="64"/>
      <c r="CG534" s="70"/>
      <c r="CH534" s="70"/>
      <c r="CI534" s="70"/>
      <c r="CJ534" s="63"/>
      <c r="CK534" s="8">
        <f t="shared" si="761"/>
        <v>3372.7379999999998</v>
      </c>
      <c r="CL534" s="202">
        <f t="shared" si="683"/>
        <v>-3372.7379999999998</v>
      </c>
      <c r="CM534" s="202">
        <f t="shared" si="684"/>
        <v>-3372.7379999999998</v>
      </c>
      <c r="CN534" s="202">
        <f t="shared" si="685"/>
        <v>-3372.7379999999998</v>
      </c>
      <c r="CO534" s="9">
        <f t="shared" si="686"/>
        <v>-3372.7379999999998</v>
      </c>
      <c r="CP534" s="9">
        <f t="shared" si="687"/>
        <v>-3372.7379999999998</v>
      </c>
      <c r="CQ534" s="9">
        <f t="shared" si="688"/>
        <v>-3372.7379999999998</v>
      </c>
      <c r="CR534" s="202">
        <f t="shared" si="689"/>
        <v>-3372.7379999999998</v>
      </c>
      <c r="CS534" s="202">
        <f t="shared" si="690"/>
        <v>-3372.7379999999998</v>
      </c>
      <c r="CT534" s="202">
        <f t="shared" si="691"/>
        <v>-3372.7379999999998</v>
      </c>
      <c r="CU534" s="203" t="e">
        <f t="shared" si="692"/>
        <v>#DIV/0!</v>
      </c>
      <c r="CV534" s="203" t="e">
        <f t="shared" si="693"/>
        <v>#DIV/0!</v>
      </c>
      <c r="CW534" s="203" t="e">
        <f t="shared" si="694"/>
        <v>#DIV/0!</v>
      </c>
      <c r="CX534" s="19" t="e">
        <f t="shared" si="695"/>
        <v>#DIV/0!</v>
      </c>
      <c r="CY534" s="19" t="e">
        <f t="shared" si="696"/>
        <v>#DIV/0!</v>
      </c>
      <c r="CZ534" s="19" t="e">
        <f t="shared" si="697"/>
        <v>#DIV/0!</v>
      </c>
      <c r="DA534" s="203" t="e">
        <f t="shared" si="698"/>
        <v>#DIV/0!</v>
      </c>
      <c r="DB534" s="203" t="e">
        <f t="shared" si="699"/>
        <v>#DIV/0!</v>
      </c>
      <c r="DC534" s="203" t="e">
        <f t="shared" si="700"/>
        <v>#DIV/0!</v>
      </c>
      <c r="DD534" s="65"/>
      <c r="DE534" s="66"/>
      <c r="DF534" s="66"/>
      <c r="DG534" s="66"/>
      <c r="DH534" s="66"/>
      <c r="DI534" s="66"/>
      <c r="DJ534" s="66"/>
      <c r="DK534" s="70"/>
      <c r="DL534" s="70"/>
      <c r="DM534" s="8">
        <f t="shared" si="762"/>
        <v>0</v>
      </c>
      <c r="DN534" s="8">
        <f t="shared" si="763"/>
        <v>3372.7379999999998</v>
      </c>
      <c r="DO534" s="202">
        <f t="shared" si="737"/>
        <v>-3372.7379999999998</v>
      </c>
      <c r="DP534" s="202">
        <f t="shared" si="738"/>
        <v>-3372.7379999999998</v>
      </c>
      <c r="DQ534" s="202">
        <f t="shared" si="739"/>
        <v>-3372.7379999999998</v>
      </c>
      <c r="DR534" s="9">
        <f t="shared" si="740"/>
        <v>-3372.7379999999998</v>
      </c>
      <c r="DS534" s="9">
        <f t="shared" si="703"/>
        <v>-3372.7379999999998</v>
      </c>
      <c r="DT534" s="9">
        <f t="shared" si="741"/>
        <v>-3372.7379999999998</v>
      </c>
      <c r="DU534" s="202">
        <f t="shared" si="742"/>
        <v>-3372.7379999999998</v>
      </c>
      <c r="DV534" s="202">
        <f t="shared" si="743"/>
        <v>-3372.7379999999998</v>
      </c>
      <c r="DW534" s="202">
        <f t="shared" si="744"/>
        <v>-3372.7379999999998</v>
      </c>
      <c r="DX534" s="203" t="e">
        <f t="shared" si="745"/>
        <v>#DIV/0!</v>
      </c>
      <c r="DY534" s="203" t="e">
        <f t="shared" si="746"/>
        <v>#DIV/0!</v>
      </c>
      <c r="DZ534" s="203" t="e">
        <f t="shared" si="747"/>
        <v>#DIV/0!</v>
      </c>
      <c r="EA534" s="19" t="e">
        <f t="shared" si="748"/>
        <v>#DIV/0!</v>
      </c>
      <c r="EB534" s="19" t="e">
        <f t="shared" si="704"/>
        <v>#DIV/0!</v>
      </c>
      <c r="EC534" s="19" t="e">
        <f t="shared" si="749"/>
        <v>#DIV/0!</v>
      </c>
      <c r="ED534" s="203" t="e">
        <f t="shared" si="750"/>
        <v>#DIV/0!</v>
      </c>
      <c r="EE534" s="203" t="e">
        <f t="shared" si="751"/>
        <v>#DIV/0!</v>
      </c>
      <c r="EF534" s="203" t="e">
        <f t="shared" si="752"/>
        <v>#DIV/0!</v>
      </c>
      <c r="EH534" s="58">
        <f t="shared" si="798"/>
        <v>3372.7379999999998</v>
      </c>
      <c r="EI534" s="68" t="e">
        <f t="shared" si="799"/>
        <v>#DIV/0!</v>
      </c>
      <c r="EJ534" s="58">
        <f t="shared" si="800"/>
        <v>3372.7379999999998</v>
      </c>
      <c r="EK534" s="68" t="e">
        <f t="shared" si="799"/>
        <v>#DIV/0!</v>
      </c>
      <c r="EL534" s="58">
        <f t="shared" si="801"/>
        <v>0</v>
      </c>
      <c r="EM534" s="58">
        <f t="shared" si="802"/>
        <v>0</v>
      </c>
      <c r="EN534" s="68" t="e">
        <f t="shared" si="803"/>
        <v>#DIV/0!</v>
      </c>
      <c r="EO534" s="139">
        <f t="shared" si="652"/>
        <v>0.4050825009776523</v>
      </c>
      <c r="EP534">
        <f>+(SUM(M534:O534)*EO534*(1-'[1]Tier 3 Data'!$A$2))</f>
        <v>0</v>
      </c>
    </row>
    <row r="535" spans="1:146" x14ac:dyDescent="0.2">
      <c r="A535" s="43">
        <v>0</v>
      </c>
      <c r="B535" s="43">
        <v>0</v>
      </c>
      <c r="C535" s="43">
        <v>0</v>
      </c>
      <c r="D535" s="70">
        <v>2051</v>
      </c>
      <c r="E535" s="70">
        <v>12</v>
      </c>
      <c r="F535" s="2">
        <v>744</v>
      </c>
      <c r="G535" s="133">
        <f t="shared" si="838"/>
        <v>0</v>
      </c>
      <c r="H535" s="64"/>
      <c r="I535" s="133">
        <f t="shared" si="839"/>
        <v>0</v>
      </c>
      <c r="J535" s="133">
        <f t="shared" si="778"/>
        <v>0</v>
      </c>
      <c r="K535" s="64"/>
      <c r="L535" s="133">
        <f t="shared" si="779"/>
        <v>0</v>
      </c>
      <c r="M535" s="5"/>
      <c r="N535" s="5"/>
      <c r="O535" s="5"/>
      <c r="P535" s="200">
        <f t="shared" si="770"/>
        <v>0</v>
      </c>
      <c r="Q535" s="200">
        <f t="shared" si="771"/>
        <v>0</v>
      </c>
      <c r="R535" s="200">
        <f t="shared" si="772"/>
        <v>0</v>
      </c>
      <c r="S535" s="133">
        <f t="shared" si="840"/>
        <v>0</v>
      </c>
      <c r="T535" s="133">
        <f t="shared" si="841"/>
        <v>0</v>
      </c>
      <c r="U535" s="133">
        <f t="shared" si="842"/>
        <v>0</v>
      </c>
      <c r="V535" s="200">
        <f t="shared" si="773"/>
        <v>0</v>
      </c>
      <c r="W535" s="200">
        <f t="shared" si="774"/>
        <v>0</v>
      </c>
      <c r="X535" s="200">
        <f t="shared" si="775"/>
        <v>0</v>
      </c>
      <c r="Y535" s="58">
        <f t="shared" si="813"/>
        <v>0</v>
      </c>
      <c r="AA535" s="58">
        <f t="shared" si="814"/>
        <v>0</v>
      </c>
      <c r="AB535" s="200">
        <f t="shared" si="815"/>
        <v>0</v>
      </c>
      <c r="AC535" s="200">
        <f t="shared" si="816"/>
        <v>0</v>
      </c>
      <c r="AD535" s="200">
        <f t="shared" si="817"/>
        <v>0</v>
      </c>
      <c r="AE535" s="199">
        <f t="shared" si="719"/>
        <v>0</v>
      </c>
      <c r="AF535" s="199">
        <f t="shared" si="818"/>
        <v>0</v>
      </c>
      <c r="AG535" s="199">
        <f t="shared" si="720"/>
        <v>0</v>
      </c>
      <c r="AH535" s="199">
        <f t="shared" si="843"/>
        <v>0</v>
      </c>
      <c r="AI535" s="200">
        <f t="shared" si="819"/>
        <v>0</v>
      </c>
      <c r="AJ535" s="200">
        <f t="shared" si="820"/>
        <v>0</v>
      </c>
      <c r="AK535" s="200">
        <f t="shared" si="821"/>
        <v>0</v>
      </c>
      <c r="AL535" s="4"/>
      <c r="AM535" s="4"/>
      <c r="AN535" s="4"/>
      <c r="AO535" s="4"/>
      <c r="AP535" s="63"/>
      <c r="AQ535" s="18"/>
      <c r="AR535" s="18"/>
      <c r="AS535" s="18"/>
      <c r="AT535" s="18">
        <v>0</v>
      </c>
      <c r="AU535" s="133">
        <f t="shared" ref="AU535" si="848">+AU523</f>
        <v>105.066</v>
      </c>
      <c r="AV535" s="133">
        <f t="shared" ref="AV535" si="849">+AV523</f>
        <v>3218.8470000000002</v>
      </c>
      <c r="AW535" s="194"/>
      <c r="AX535" s="194"/>
      <c r="AY535" s="194"/>
      <c r="AZ535" s="194"/>
      <c r="BA535" s="194"/>
      <c r="BB535" s="194"/>
      <c r="BC535" s="65">
        <v>0</v>
      </c>
      <c r="BD535" s="65">
        <v>0</v>
      </c>
      <c r="BE535" s="65">
        <v>0</v>
      </c>
      <c r="BF535" s="65">
        <v>0</v>
      </c>
      <c r="BG535" s="65">
        <v>0</v>
      </c>
      <c r="BH535" s="65">
        <v>0</v>
      </c>
      <c r="BI535" s="65">
        <v>0</v>
      </c>
      <c r="BJ535" s="65">
        <v>0</v>
      </c>
      <c r="BK535" s="65">
        <v>0</v>
      </c>
      <c r="BL535" s="65">
        <v>0</v>
      </c>
      <c r="BM535" s="65">
        <v>0</v>
      </c>
      <c r="BN535" s="65">
        <v>0</v>
      </c>
      <c r="BO535" s="65">
        <v>0</v>
      </c>
      <c r="BP535" s="5"/>
      <c r="BQ535" s="5"/>
      <c r="BR535" s="5"/>
      <c r="BS535" s="5"/>
      <c r="BT535" s="5"/>
      <c r="BU535" s="5"/>
      <c r="BV535" s="144">
        <f t="shared" si="810"/>
        <v>0</v>
      </c>
      <c r="BW535" s="144">
        <f t="shared" si="811"/>
        <v>0</v>
      </c>
      <c r="BX535" s="144">
        <f t="shared" si="812"/>
        <v>0</v>
      </c>
      <c r="BY535" s="5"/>
      <c r="BZ535" s="5"/>
      <c r="CA535" s="4"/>
      <c r="CB535" s="5"/>
      <c r="CC535" s="5"/>
      <c r="CD535" s="5"/>
      <c r="CE535" s="5"/>
      <c r="CF535" s="64"/>
      <c r="CG535" s="70"/>
      <c r="CH535" s="70"/>
      <c r="CI535" s="70"/>
      <c r="CJ535" s="63"/>
      <c r="CK535" s="8">
        <f t="shared" si="761"/>
        <v>3323.913</v>
      </c>
      <c r="CL535" s="202">
        <f t="shared" si="683"/>
        <v>-3323.913</v>
      </c>
      <c r="CM535" s="202">
        <f t="shared" si="684"/>
        <v>-3323.913</v>
      </c>
      <c r="CN535" s="202">
        <f t="shared" si="685"/>
        <v>-3323.913</v>
      </c>
      <c r="CO535" s="9">
        <f t="shared" si="686"/>
        <v>-3323.913</v>
      </c>
      <c r="CP535" s="9">
        <f t="shared" si="687"/>
        <v>-3323.913</v>
      </c>
      <c r="CQ535" s="9">
        <f t="shared" si="688"/>
        <v>-3323.913</v>
      </c>
      <c r="CR535" s="202">
        <f t="shared" si="689"/>
        <v>-3323.913</v>
      </c>
      <c r="CS535" s="202">
        <f t="shared" si="690"/>
        <v>-3323.913</v>
      </c>
      <c r="CT535" s="202">
        <f t="shared" si="691"/>
        <v>-3323.913</v>
      </c>
      <c r="CU535" s="203" t="e">
        <f t="shared" si="692"/>
        <v>#DIV/0!</v>
      </c>
      <c r="CV535" s="203" t="e">
        <f t="shared" si="693"/>
        <v>#DIV/0!</v>
      </c>
      <c r="CW535" s="203" t="e">
        <f t="shared" si="694"/>
        <v>#DIV/0!</v>
      </c>
      <c r="CX535" s="19" t="e">
        <f t="shared" si="695"/>
        <v>#DIV/0!</v>
      </c>
      <c r="CY535" s="19" t="e">
        <f t="shared" si="696"/>
        <v>#DIV/0!</v>
      </c>
      <c r="CZ535" s="19" t="e">
        <f t="shared" si="697"/>
        <v>#DIV/0!</v>
      </c>
      <c r="DA535" s="203" t="e">
        <f t="shared" si="698"/>
        <v>#DIV/0!</v>
      </c>
      <c r="DB535" s="203" t="e">
        <f t="shared" si="699"/>
        <v>#DIV/0!</v>
      </c>
      <c r="DC535" s="203" t="e">
        <f t="shared" si="700"/>
        <v>#DIV/0!</v>
      </c>
      <c r="DD535" s="65"/>
      <c r="DE535" s="66"/>
      <c r="DF535" s="66"/>
      <c r="DG535" s="66"/>
      <c r="DH535" s="66"/>
      <c r="DI535" s="66"/>
      <c r="DJ535" s="66"/>
      <c r="DK535" s="70"/>
      <c r="DL535" s="70"/>
      <c r="DM535" s="8">
        <f t="shared" si="762"/>
        <v>0</v>
      </c>
      <c r="DN535" s="8">
        <f t="shared" si="763"/>
        <v>3323.913</v>
      </c>
      <c r="DO535" s="202">
        <f t="shared" si="737"/>
        <v>-3323.913</v>
      </c>
      <c r="DP535" s="202">
        <f t="shared" si="738"/>
        <v>-3323.913</v>
      </c>
      <c r="DQ535" s="202">
        <f t="shared" si="739"/>
        <v>-3323.913</v>
      </c>
      <c r="DR535" s="9">
        <f t="shared" si="740"/>
        <v>-3323.913</v>
      </c>
      <c r="DS535" s="9">
        <f t="shared" si="703"/>
        <v>-3323.913</v>
      </c>
      <c r="DT535" s="9">
        <f t="shared" si="741"/>
        <v>-3323.913</v>
      </c>
      <c r="DU535" s="202">
        <f t="shared" si="742"/>
        <v>-3323.913</v>
      </c>
      <c r="DV535" s="202">
        <f t="shared" si="743"/>
        <v>-3323.913</v>
      </c>
      <c r="DW535" s="202">
        <f t="shared" si="744"/>
        <v>-3323.913</v>
      </c>
      <c r="DX535" s="203" t="e">
        <f t="shared" si="745"/>
        <v>#DIV/0!</v>
      </c>
      <c r="DY535" s="203" t="e">
        <f t="shared" si="746"/>
        <v>#DIV/0!</v>
      </c>
      <c r="DZ535" s="203" t="e">
        <f t="shared" si="747"/>
        <v>#DIV/0!</v>
      </c>
      <c r="EA535" s="19" t="e">
        <f t="shared" si="748"/>
        <v>#DIV/0!</v>
      </c>
      <c r="EB535" s="19" t="e">
        <f t="shared" si="704"/>
        <v>#DIV/0!</v>
      </c>
      <c r="EC535" s="19" t="e">
        <f t="shared" si="749"/>
        <v>#DIV/0!</v>
      </c>
      <c r="ED535" s="203" t="e">
        <f t="shared" si="750"/>
        <v>#DIV/0!</v>
      </c>
      <c r="EE535" s="203" t="e">
        <f t="shared" si="751"/>
        <v>#DIV/0!</v>
      </c>
      <c r="EF535" s="203" t="e">
        <f t="shared" si="752"/>
        <v>#DIV/0!</v>
      </c>
      <c r="EH535" s="58">
        <f t="shared" si="798"/>
        <v>3323.913</v>
      </c>
      <c r="EI535" s="68" t="e">
        <f t="shared" si="799"/>
        <v>#DIV/0!</v>
      </c>
      <c r="EJ535" s="58">
        <f t="shared" si="800"/>
        <v>3323.913</v>
      </c>
      <c r="EK535" s="68" t="e">
        <f t="shared" si="799"/>
        <v>#DIV/0!</v>
      </c>
      <c r="EL535" s="58">
        <f t="shared" si="801"/>
        <v>0</v>
      </c>
      <c r="EM535" s="58">
        <f t="shared" si="802"/>
        <v>0</v>
      </c>
      <c r="EN535" s="68" t="e">
        <f t="shared" si="803"/>
        <v>#DIV/0!</v>
      </c>
      <c r="EO535" s="139">
        <f t="shared" si="652"/>
        <v>0.32946562535829382</v>
      </c>
      <c r="EP535">
        <f>+(SUM(M535:O535)*EO535*(1-'[1]Tier 3 Data'!$A$2))</f>
        <v>0</v>
      </c>
    </row>
    <row r="536" spans="1:146" x14ac:dyDescent="0.2">
      <c r="A536" s="43">
        <v>0</v>
      </c>
      <c r="B536" s="43">
        <v>0</v>
      </c>
      <c r="C536" s="43">
        <v>0</v>
      </c>
      <c r="D536" s="70">
        <v>2052</v>
      </c>
      <c r="E536" s="70">
        <v>1</v>
      </c>
      <c r="F536" s="2">
        <v>744</v>
      </c>
      <c r="G536" s="133">
        <f t="shared" si="838"/>
        <v>0</v>
      </c>
      <c r="H536" s="64"/>
      <c r="I536" s="133">
        <f t="shared" si="839"/>
        <v>0</v>
      </c>
      <c r="J536" s="133">
        <f t="shared" si="778"/>
        <v>0</v>
      </c>
      <c r="K536" s="64"/>
      <c r="L536" s="133">
        <f t="shared" si="779"/>
        <v>0</v>
      </c>
      <c r="M536" s="5"/>
      <c r="N536" s="5"/>
      <c r="O536" s="5"/>
      <c r="P536" s="200">
        <f t="shared" si="770"/>
        <v>0</v>
      </c>
      <c r="Q536" s="200">
        <f t="shared" si="771"/>
        <v>0</v>
      </c>
      <c r="R536" s="200">
        <f t="shared" si="772"/>
        <v>0</v>
      </c>
      <c r="S536" s="133">
        <f t="shared" si="840"/>
        <v>0</v>
      </c>
      <c r="T536" s="133">
        <f t="shared" si="841"/>
        <v>0</v>
      </c>
      <c r="U536" s="133">
        <f t="shared" si="842"/>
        <v>0</v>
      </c>
      <c r="V536" s="200">
        <f t="shared" si="773"/>
        <v>0</v>
      </c>
      <c r="W536" s="200">
        <f t="shared" si="774"/>
        <v>0</v>
      </c>
      <c r="X536" s="200">
        <f t="shared" si="775"/>
        <v>0</v>
      </c>
      <c r="Y536" s="58">
        <f t="shared" si="813"/>
        <v>0</v>
      </c>
      <c r="AA536" s="58">
        <f t="shared" si="814"/>
        <v>0</v>
      </c>
      <c r="AB536" s="200">
        <f t="shared" si="815"/>
        <v>0</v>
      </c>
      <c r="AC536" s="200">
        <f t="shared" si="816"/>
        <v>0</v>
      </c>
      <c r="AD536" s="200">
        <f t="shared" si="817"/>
        <v>0</v>
      </c>
      <c r="AE536" s="199">
        <f t="shared" si="719"/>
        <v>0</v>
      </c>
      <c r="AF536" s="199">
        <f t="shared" si="818"/>
        <v>0</v>
      </c>
      <c r="AG536" s="199">
        <f t="shared" si="720"/>
        <v>0</v>
      </c>
      <c r="AH536" s="199">
        <f t="shared" si="843"/>
        <v>0</v>
      </c>
      <c r="AI536" s="200">
        <f t="shared" si="819"/>
        <v>0</v>
      </c>
      <c r="AJ536" s="200">
        <f t="shared" si="820"/>
        <v>0</v>
      </c>
      <c r="AK536" s="200">
        <f t="shared" si="821"/>
        <v>0</v>
      </c>
      <c r="AL536" s="4"/>
      <c r="AM536" s="4"/>
      <c r="AN536" s="4"/>
      <c r="AO536" s="4"/>
      <c r="AP536" s="63"/>
      <c r="AQ536" s="18"/>
      <c r="AR536" s="18"/>
      <c r="AS536" s="18"/>
      <c r="AT536" s="18">
        <v>0</v>
      </c>
      <c r="AU536" s="133">
        <f t="shared" ref="AU536" si="850">+AU524</f>
        <v>98.513999999999996</v>
      </c>
      <c r="AV536" s="133">
        <f t="shared" ref="AV536" si="851">+AV524</f>
        <v>3278.6750000000002</v>
      </c>
      <c r="AW536" s="194"/>
      <c r="AX536" s="194"/>
      <c r="AY536" s="194"/>
      <c r="AZ536" s="194"/>
      <c r="BA536" s="194"/>
      <c r="BB536" s="194"/>
      <c r="BC536" s="65">
        <v>0</v>
      </c>
      <c r="BD536" s="65">
        <v>0</v>
      </c>
      <c r="BE536" s="65">
        <v>0</v>
      </c>
      <c r="BF536" s="65">
        <v>0</v>
      </c>
      <c r="BG536" s="65">
        <v>0</v>
      </c>
      <c r="BH536" s="65">
        <v>0</v>
      </c>
      <c r="BI536" s="65">
        <v>0</v>
      </c>
      <c r="BJ536" s="65">
        <v>0</v>
      </c>
      <c r="BK536" s="65">
        <v>0</v>
      </c>
      <c r="BL536" s="65">
        <v>0</v>
      </c>
      <c r="BM536" s="65">
        <v>0</v>
      </c>
      <c r="BN536" s="65">
        <v>0</v>
      </c>
      <c r="BO536" s="65">
        <v>0</v>
      </c>
      <c r="BP536" s="5"/>
      <c r="BQ536" s="5"/>
      <c r="BR536" s="5"/>
      <c r="BS536" s="5"/>
      <c r="BT536" s="5"/>
      <c r="BU536" s="5"/>
      <c r="BV536" s="144">
        <f t="shared" si="810"/>
        <v>0</v>
      </c>
      <c r="BW536" s="144">
        <f t="shared" si="811"/>
        <v>0</v>
      </c>
      <c r="BX536" s="144">
        <f t="shared" si="812"/>
        <v>0</v>
      </c>
      <c r="BY536" s="5"/>
      <c r="BZ536" s="5"/>
      <c r="CA536" s="4"/>
      <c r="CB536" s="5"/>
      <c r="CC536" s="5"/>
      <c r="CD536" s="5"/>
      <c r="CE536" s="5"/>
      <c r="CF536" s="64"/>
      <c r="CG536" s="70"/>
      <c r="CH536" s="70"/>
      <c r="CI536" s="70"/>
      <c r="CJ536" s="63"/>
      <c r="CK536" s="8">
        <f t="shared" si="761"/>
        <v>3377.1890000000003</v>
      </c>
      <c r="CL536" s="202">
        <f t="shared" si="683"/>
        <v>-3377.1890000000003</v>
      </c>
      <c r="CM536" s="202">
        <f t="shared" si="684"/>
        <v>-3377.1890000000003</v>
      </c>
      <c r="CN536" s="202">
        <f t="shared" si="685"/>
        <v>-3377.1890000000003</v>
      </c>
      <c r="CO536" s="9">
        <f t="shared" si="686"/>
        <v>-3377.1890000000003</v>
      </c>
      <c r="CP536" s="9">
        <f t="shared" si="687"/>
        <v>-3377.1890000000003</v>
      </c>
      <c r="CQ536" s="9">
        <f t="shared" si="688"/>
        <v>-3377.1890000000003</v>
      </c>
      <c r="CR536" s="202">
        <f t="shared" si="689"/>
        <v>-3377.1890000000003</v>
      </c>
      <c r="CS536" s="202">
        <f t="shared" si="690"/>
        <v>-3377.1890000000003</v>
      </c>
      <c r="CT536" s="202">
        <f t="shared" si="691"/>
        <v>-3377.1890000000003</v>
      </c>
      <c r="CU536" s="203" t="e">
        <f t="shared" si="692"/>
        <v>#DIV/0!</v>
      </c>
      <c r="CV536" s="203" t="e">
        <f t="shared" si="693"/>
        <v>#DIV/0!</v>
      </c>
      <c r="CW536" s="203" t="e">
        <f t="shared" si="694"/>
        <v>#DIV/0!</v>
      </c>
      <c r="CX536" s="19" t="e">
        <f t="shared" si="695"/>
        <v>#DIV/0!</v>
      </c>
      <c r="CY536" s="19" t="e">
        <f t="shared" si="696"/>
        <v>#DIV/0!</v>
      </c>
      <c r="CZ536" s="19" t="e">
        <f t="shared" si="697"/>
        <v>#DIV/0!</v>
      </c>
      <c r="DA536" s="203" t="e">
        <f t="shared" si="698"/>
        <v>#DIV/0!</v>
      </c>
      <c r="DB536" s="203" t="e">
        <f t="shared" si="699"/>
        <v>#DIV/0!</v>
      </c>
      <c r="DC536" s="203" t="e">
        <f t="shared" si="700"/>
        <v>#DIV/0!</v>
      </c>
      <c r="DD536" s="65"/>
      <c r="DE536" s="66"/>
      <c r="DF536" s="66"/>
      <c r="DG536" s="66"/>
      <c r="DH536" s="66"/>
      <c r="DI536" s="66"/>
      <c r="DJ536" s="66"/>
      <c r="DK536" s="70"/>
      <c r="DL536" s="70"/>
      <c r="DM536" s="8">
        <f t="shared" si="762"/>
        <v>0</v>
      </c>
      <c r="DN536" s="8">
        <f t="shared" si="763"/>
        <v>3377.1890000000003</v>
      </c>
      <c r="DO536" s="202">
        <f t="shared" si="737"/>
        <v>-3377.1890000000003</v>
      </c>
      <c r="DP536" s="202">
        <f t="shared" si="738"/>
        <v>-3377.1890000000003</v>
      </c>
      <c r="DQ536" s="202">
        <f t="shared" si="739"/>
        <v>-3377.1890000000003</v>
      </c>
      <c r="DR536" s="9">
        <f t="shared" si="740"/>
        <v>-3377.1890000000003</v>
      </c>
      <c r="DS536" s="9">
        <f t="shared" si="703"/>
        <v>-3377.1890000000003</v>
      </c>
      <c r="DT536" s="9">
        <f t="shared" si="741"/>
        <v>-3377.1890000000003</v>
      </c>
      <c r="DU536" s="202">
        <f t="shared" si="742"/>
        <v>-3377.1890000000003</v>
      </c>
      <c r="DV536" s="202">
        <f t="shared" si="743"/>
        <v>-3377.1890000000003</v>
      </c>
      <c r="DW536" s="202">
        <f t="shared" si="744"/>
        <v>-3377.1890000000003</v>
      </c>
      <c r="DX536" s="203" t="e">
        <f t="shared" si="745"/>
        <v>#DIV/0!</v>
      </c>
      <c r="DY536" s="203" t="e">
        <f t="shared" si="746"/>
        <v>#DIV/0!</v>
      </c>
      <c r="DZ536" s="203" t="e">
        <f t="shared" si="747"/>
        <v>#DIV/0!</v>
      </c>
      <c r="EA536" s="19" t="e">
        <f t="shared" si="748"/>
        <v>#DIV/0!</v>
      </c>
      <c r="EB536" s="19" t="e">
        <f t="shared" si="704"/>
        <v>#DIV/0!</v>
      </c>
      <c r="EC536" s="19" t="e">
        <f t="shared" si="749"/>
        <v>#DIV/0!</v>
      </c>
      <c r="ED536" s="203" t="e">
        <f t="shared" si="750"/>
        <v>#DIV/0!</v>
      </c>
      <c r="EE536" s="203" t="e">
        <f t="shared" si="751"/>
        <v>#DIV/0!</v>
      </c>
      <c r="EF536" s="203" t="e">
        <f t="shared" si="752"/>
        <v>#DIV/0!</v>
      </c>
      <c r="EH536" s="58">
        <f t="shared" si="798"/>
        <v>3377.1890000000003</v>
      </c>
      <c r="EI536" s="68" t="e">
        <f t="shared" si="799"/>
        <v>#DIV/0!</v>
      </c>
      <c r="EJ536" s="58">
        <f t="shared" si="800"/>
        <v>3377.1890000000003</v>
      </c>
      <c r="EK536" s="68" t="e">
        <f t="shared" si="799"/>
        <v>#DIV/0!</v>
      </c>
      <c r="EL536" s="58">
        <f t="shared" si="801"/>
        <v>0</v>
      </c>
      <c r="EM536" s="58">
        <f t="shared" si="802"/>
        <v>0</v>
      </c>
      <c r="EN536" s="68" t="e">
        <f t="shared" si="803"/>
        <v>#DIV/0!</v>
      </c>
      <c r="EO536" s="139">
        <f t="shared" si="652"/>
        <v>0.32527353469126524</v>
      </c>
      <c r="EP536">
        <f>+(SUM(M536:O536)*EO536*(1-'[1]Tier 3 Data'!$A$2))</f>
        <v>0</v>
      </c>
    </row>
    <row r="537" spans="1:146" x14ac:dyDescent="0.2">
      <c r="A537" s="43">
        <v>0</v>
      </c>
      <c r="B537" s="43">
        <v>0</v>
      </c>
      <c r="C537" s="43">
        <v>0</v>
      </c>
      <c r="D537" s="70">
        <v>2052</v>
      </c>
      <c r="E537" s="70">
        <v>2</v>
      </c>
      <c r="F537" s="2">
        <v>696</v>
      </c>
      <c r="G537" s="133">
        <f t="shared" si="838"/>
        <v>0</v>
      </c>
      <c r="H537" s="64"/>
      <c r="I537" s="133">
        <f t="shared" si="839"/>
        <v>0</v>
      </c>
      <c r="J537" s="133">
        <f t="shared" si="778"/>
        <v>0</v>
      </c>
      <c r="K537" s="64"/>
      <c r="L537" s="133">
        <f t="shared" si="779"/>
        <v>0</v>
      </c>
      <c r="M537" s="5"/>
      <c r="N537" s="5"/>
      <c r="O537" s="5"/>
      <c r="P537" s="200">
        <f t="shared" si="770"/>
        <v>0</v>
      </c>
      <c r="Q537" s="200">
        <f t="shared" si="771"/>
        <v>0</v>
      </c>
      <c r="R537" s="200">
        <f t="shared" si="772"/>
        <v>0</v>
      </c>
      <c r="S537" s="133">
        <f t="shared" si="840"/>
        <v>0</v>
      </c>
      <c r="T537" s="133">
        <f t="shared" si="841"/>
        <v>0</v>
      </c>
      <c r="U537" s="133">
        <f t="shared" si="842"/>
        <v>0</v>
      </c>
      <c r="V537" s="200">
        <f t="shared" si="773"/>
        <v>0</v>
      </c>
      <c r="W537" s="200">
        <f t="shared" si="774"/>
        <v>0</v>
      </c>
      <c r="X537" s="200">
        <f t="shared" si="775"/>
        <v>0</v>
      </c>
      <c r="Y537" s="58">
        <f t="shared" si="813"/>
        <v>0</v>
      </c>
      <c r="AA537" s="58">
        <f t="shared" si="814"/>
        <v>0</v>
      </c>
      <c r="AB537" s="200">
        <f t="shared" si="815"/>
        <v>0</v>
      </c>
      <c r="AC537" s="200">
        <f t="shared" si="816"/>
        <v>0</v>
      </c>
      <c r="AD537" s="200">
        <f t="shared" si="817"/>
        <v>0</v>
      </c>
      <c r="AE537" s="199">
        <f t="shared" si="719"/>
        <v>0</v>
      </c>
      <c r="AF537" s="199">
        <f t="shared" si="818"/>
        <v>0</v>
      </c>
      <c r="AG537" s="199">
        <f t="shared" si="720"/>
        <v>0</v>
      </c>
      <c r="AH537" s="199">
        <f t="shared" si="843"/>
        <v>0</v>
      </c>
      <c r="AI537" s="200">
        <f t="shared" si="819"/>
        <v>0</v>
      </c>
      <c r="AJ537" s="200">
        <f t="shared" si="820"/>
        <v>0</v>
      </c>
      <c r="AK537" s="200">
        <f t="shared" si="821"/>
        <v>0</v>
      </c>
      <c r="AL537" s="4"/>
      <c r="AM537" s="4"/>
      <c r="AN537" s="4"/>
      <c r="AO537" s="4"/>
      <c r="AP537" s="63"/>
      <c r="AQ537" s="18"/>
      <c r="AR537" s="18"/>
      <c r="AS537" s="18"/>
      <c r="AT537" s="18">
        <v>0</v>
      </c>
      <c r="AU537" s="133">
        <f t="shared" ref="AU537" si="852">+AU525</f>
        <v>92.897999999999996</v>
      </c>
      <c r="AV537" s="133">
        <f t="shared" ref="AV537" si="853">+AV525</f>
        <v>3057.587</v>
      </c>
      <c r="AW537" s="194"/>
      <c r="AX537" s="194"/>
      <c r="AY537" s="194"/>
      <c r="AZ537" s="194"/>
      <c r="BA537" s="194"/>
      <c r="BB537" s="194"/>
      <c r="BC537" s="65">
        <v>0</v>
      </c>
      <c r="BD537" s="65">
        <v>0</v>
      </c>
      <c r="BE537" s="65">
        <v>0</v>
      </c>
      <c r="BF537" s="65">
        <v>0</v>
      </c>
      <c r="BG537" s="65">
        <v>0</v>
      </c>
      <c r="BH537" s="65">
        <v>0</v>
      </c>
      <c r="BI537" s="65">
        <v>0</v>
      </c>
      <c r="BJ537" s="65">
        <v>0</v>
      </c>
      <c r="BK537" s="65">
        <v>0</v>
      </c>
      <c r="BL537" s="65">
        <v>0</v>
      </c>
      <c r="BM537" s="65">
        <v>0</v>
      </c>
      <c r="BN537" s="65">
        <v>0</v>
      </c>
      <c r="BO537" s="65">
        <v>0</v>
      </c>
      <c r="BP537" s="5"/>
      <c r="BQ537" s="5"/>
      <c r="BR537" s="5"/>
      <c r="BS537" s="5"/>
      <c r="BT537" s="5"/>
      <c r="BU537" s="5"/>
      <c r="BV537" s="144">
        <f t="shared" si="810"/>
        <v>0</v>
      </c>
      <c r="BW537" s="144">
        <f t="shared" si="811"/>
        <v>0</v>
      </c>
      <c r="BX537" s="144">
        <f t="shared" si="812"/>
        <v>0</v>
      </c>
      <c r="BY537" s="5"/>
      <c r="BZ537" s="5"/>
      <c r="CA537" s="4"/>
      <c r="CB537" s="5"/>
      <c r="CC537" s="5"/>
      <c r="CD537" s="5"/>
      <c r="CE537" s="5"/>
      <c r="CF537" s="64"/>
      <c r="CG537" s="70"/>
      <c r="CH537" s="70"/>
      <c r="CI537" s="70"/>
      <c r="CJ537" s="63"/>
      <c r="CK537" s="8">
        <f t="shared" si="761"/>
        <v>3150.4850000000001</v>
      </c>
      <c r="CL537" s="202">
        <f t="shared" si="683"/>
        <v>-3150.4850000000001</v>
      </c>
      <c r="CM537" s="202">
        <f t="shared" si="684"/>
        <v>-3150.4850000000001</v>
      </c>
      <c r="CN537" s="202">
        <f t="shared" si="685"/>
        <v>-3150.4850000000001</v>
      </c>
      <c r="CO537" s="9">
        <f t="shared" si="686"/>
        <v>-3150.4850000000001</v>
      </c>
      <c r="CP537" s="9">
        <f t="shared" si="687"/>
        <v>-3150.4850000000001</v>
      </c>
      <c r="CQ537" s="9">
        <f t="shared" si="688"/>
        <v>-3150.4850000000001</v>
      </c>
      <c r="CR537" s="202">
        <f t="shared" si="689"/>
        <v>-3150.4850000000001</v>
      </c>
      <c r="CS537" s="202">
        <f t="shared" si="690"/>
        <v>-3150.4850000000001</v>
      </c>
      <c r="CT537" s="202">
        <f t="shared" si="691"/>
        <v>-3150.4850000000001</v>
      </c>
      <c r="CU537" s="203" t="e">
        <f t="shared" si="692"/>
        <v>#DIV/0!</v>
      </c>
      <c r="CV537" s="203" t="e">
        <f t="shared" si="693"/>
        <v>#DIV/0!</v>
      </c>
      <c r="CW537" s="203" t="e">
        <f t="shared" si="694"/>
        <v>#DIV/0!</v>
      </c>
      <c r="CX537" s="19" t="e">
        <f t="shared" si="695"/>
        <v>#DIV/0!</v>
      </c>
      <c r="CY537" s="19" t="e">
        <f t="shared" si="696"/>
        <v>#DIV/0!</v>
      </c>
      <c r="CZ537" s="19" t="e">
        <f t="shared" si="697"/>
        <v>#DIV/0!</v>
      </c>
      <c r="DA537" s="203" t="e">
        <f t="shared" si="698"/>
        <v>#DIV/0!</v>
      </c>
      <c r="DB537" s="203" t="e">
        <f t="shared" si="699"/>
        <v>#DIV/0!</v>
      </c>
      <c r="DC537" s="203" t="e">
        <f t="shared" si="700"/>
        <v>#DIV/0!</v>
      </c>
      <c r="DD537" s="65"/>
      <c r="DE537" s="66"/>
      <c r="DF537" s="66"/>
      <c r="DG537" s="66"/>
      <c r="DH537" s="66"/>
      <c r="DI537" s="66"/>
      <c r="DJ537" s="66"/>
      <c r="DK537" s="70"/>
      <c r="DL537" s="70"/>
      <c r="DM537" s="8">
        <f t="shared" si="762"/>
        <v>0</v>
      </c>
      <c r="DN537" s="8">
        <f t="shared" si="763"/>
        <v>3150.4850000000001</v>
      </c>
      <c r="DO537" s="202">
        <f t="shared" si="737"/>
        <v>-3150.4850000000001</v>
      </c>
      <c r="DP537" s="202">
        <f t="shared" si="738"/>
        <v>-3150.4850000000001</v>
      </c>
      <c r="DQ537" s="202">
        <f t="shared" si="739"/>
        <v>-3150.4850000000001</v>
      </c>
      <c r="DR537" s="9">
        <f t="shared" si="740"/>
        <v>-3150.4850000000001</v>
      </c>
      <c r="DS537" s="9">
        <f t="shared" si="703"/>
        <v>-3150.4850000000001</v>
      </c>
      <c r="DT537" s="9">
        <f t="shared" si="741"/>
        <v>-3150.4850000000001</v>
      </c>
      <c r="DU537" s="202">
        <f t="shared" si="742"/>
        <v>-3150.4850000000001</v>
      </c>
      <c r="DV537" s="202">
        <f t="shared" si="743"/>
        <v>-3150.4850000000001</v>
      </c>
      <c r="DW537" s="202">
        <f t="shared" si="744"/>
        <v>-3150.4850000000001</v>
      </c>
      <c r="DX537" s="203" t="e">
        <f t="shared" si="745"/>
        <v>#DIV/0!</v>
      </c>
      <c r="DY537" s="203" t="e">
        <f t="shared" si="746"/>
        <v>#DIV/0!</v>
      </c>
      <c r="DZ537" s="203" t="e">
        <f t="shared" si="747"/>
        <v>#DIV/0!</v>
      </c>
      <c r="EA537" s="19" t="e">
        <f t="shared" si="748"/>
        <v>#DIV/0!</v>
      </c>
      <c r="EB537" s="19" t="e">
        <f t="shared" si="704"/>
        <v>#DIV/0!</v>
      </c>
      <c r="EC537" s="19" t="e">
        <f t="shared" si="749"/>
        <v>#DIV/0!</v>
      </c>
      <c r="ED537" s="203" t="e">
        <f t="shared" si="750"/>
        <v>#DIV/0!</v>
      </c>
      <c r="EE537" s="203" t="e">
        <f t="shared" si="751"/>
        <v>#DIV/0!</v>
      </c>
      <c r="EF537" s="203" t="e">
        <f t="shared" si="752"/>
        <v>#DIV/0!</v>
      </c>
      <c r="EH537" s="58">
        <f t="shared" si="798"/>
        <v>3150.4850000000001</v>
      </c>
      <c r="EI537" s="68" t="e">
        <f t="shared" si="799"/>
        <v>#DIV/0!</v>
      </c>
      <c r="EJ537" s="58">
        <f t="shared" si="800"/>
        <v>3150.4850000000001</v>
      </c>
      <c r="EK537" s="68" t="e">
        <f t="shared" si="799"/>
        <v>#DIV/0!</v>
      </c>
      <c r="EL537" s="58">
        <f t="shared" si="801"/>
        <v>0</v>
      </c>
      <c r="EM537" s="58">
        <f t="shared" si="802"/>
        <v>0</v>
      </c>
      <c r="EN537" s="68" t="e">
        <f t="shared" si="803"/>
        <v>#DIV/0!</v>
      </c>
      <c r="EO537" s="139">
        <f t="shared" ref="EO537:EO595" si="854">+EO525</f>
        <v>0.3126447604730192</v>
      </c>
      <c r="EP537">
        <f>+(SUM(M537:O537)*EO537*(1-'[1]Tier 3 Data'!$A$2))</f>
        <v>0</v>
      </c>
    </row>
    <row r="538" spans="1:146" x14ac:dyDescent="0.2">
      <c r="A538" s="43">
        <v>0</v>
      </c>
      <c r="B538" s="43">
        <v>0</v>
      </c>
      <c r="C538" s="43">
        <v>0</v>
      </c>
      <c r="D538" s="70">
        <v>2052</v>
      </c>
      <c r="E538" s="70">
        <v>3</v>
      </c>
      <c r="F538" s="2">
        <v>743</v>
      </c>
      <c r="G538" s="133">
        <f t="shared" si="838"/>
        <v>0</v>
      </c>
      <c r="H538" s="64"/>
      <c r="I538" s="133">
        <f t="shared" si="839"/>
        <v>0</v>
      </c>
      <c r="J538" s="133">
        <f t="shared" si="778"/>
        <v>0</v>
      </c>
      <c r="K538" s="64"/>
      <c r="L538" s="133">
        <f t="shared" si="779"/>
        <v>0</v>
      </c>
      <c r="M538" s="5"/>
      <c r="N538" s="5"/>
      <c r="O538" s="5"/>
      <c r="P538" s="200">
        <f t="shared" si="770"/>
        <v>0</v>
      </c>
      <c r="Q538" s="200">
        <f t="shared" si="771"/>
        <v>0</v>
      </c>
      <c r="R538" s="200">
        <f t="shared" si="772"/>
        <v>0</v>
      </c>
      <c r="S538" s="133">
        <f t="shared" si="840"/>
        <v>0</v>
      </c>
      <c r="T538" s="133">
        <f t="shared" si="841"/>
        <v>0</v>
      </c>
      <c r="U538" s="133">
        <f t="shared" si="842"/>
        <v>0</v>
      </c>
      <c r="V538" s="200">
        <f t="shared" si="773"/>
        <v>0</v>
      </c>
      <c r="W538" s="200">
        <f t="shared" si="774"/>
        <v>0</v>
      </c>
      <c r="X538" s="200">
        <f t="shared" si="775"/>
        <v>0</v>
      </c>
      <c r="Y538" s="58">
        <f t="shared" si="813"/>
        <v>0</v>
      </c>
      <c r="AA538" s="58">
        <f t="shared" si="814"/>
        <v>0</v>
      </c>
      <c r="AB538" s="200">
        <f t="shared" si="815"/>
        <v>0</v>
      </c>
      <c r="AC538" s="200">
        <f t="shared" si="816"/>
        <v>0</v>
      </c>
      <c r="AD538" s="200">
        <f t="shared" si="817"/>
        <v>0</v>
      </c>
      <c r="AE538" s="199">
        <f t="shared" si="719"/>
        <v>0</v>
      </c>
      <c r="AF538" s="199">
        <f t="shared" si="818"/>
        <v>0</v>
      </c>
      <c r="AG538" s="199">
        <f t="shared" si="720"/>
        <v>0</v>
      </c>
      <c r="AH538" s="199">
        <f t="shared" si="843"/>
        <v>0</v>
      </c>
      <c r="AI538" s="200">
        <f t="shared" si="819"/>
        <v>0</v>
      </c>
      <c r="AJ538" s="200">
        <f t="shared" si="820"/>
        <v>0</v>
      </c>
      <c r="AK538" s="200">
        <f t="shared" si="821"/>
        <v>0</v>
      </c>
      <c r="AL538" s="4"/>
      <c r="AM538" s="4"/>
      <c r="AN538" s="4"/>
      <c r="AO538" s="4"/>
      <c r="AP538" s="63"/>
      <c r="AQ538" s="18"/>
      <c r="AR538" s="18"/>
      <c r="AS538" s="18"/>
      <c r="AT538" s="18">
        <v>0</v>
      </c>
      <c r="AU538" s="133">
        <f t="shared" ref="AU538" si="855">+AU526</f>
        <v>87.516000000000005</v>
      </c>
      <c r="AV538" s="133">
        <f t="shared" ref="AV538" si="856">+AV526</f>
        <v>3232.7139999999999</v>
      </c>
      <c r="AW538" s="194"/>
      <c r="AX538" s="194"/>
      <c r="AY538" s="194"/>
      <c r="AZ538" s="194"/>
      <c r="BA538" s="194"/>
      <c r="BB538" s="194"/>
      <c r="BC538" s="65">
        <v>0</v>
      </c>
      <c r="BD538" s="65">
        <v>0</v>
      </c>
      <c r="BE538" s="65">
        <v>0</v>
      </c>
      <c r="BF538" s="65">
        <v>0</v>
      </c>
      <c r="BG538" s="65">
        <v>0</v>
      </c>
      <c r="BH538" s="65">
        <v>0</v>
      </c>
      <c r="BI538" s="65">
        <v>0</v>
      </c>
      <c r="BJ538" s="65">
        <v>0</v>
      </c>
      <c r="BK538" s="65">
        <v>0</v>
      </c>
      <c r="BL538" s="65">
        <v>0</v>
      </c>
      <c r="BM538" s="65">
        <v>0</v>
      </c>
      <c r="BN538" s="65">
        <v>0</v>
      </c>
      <c r="BO538" s="65">
        <v>0</v>
      </c>
      <c r="BP538" s="5"/>
      <c r="BQ538" s="5"/>
      <c r="BR538" s="5"/>
      <c r="BS538" s="5"/>
      <c r="BT538" s="5"/>
      <c r="BU538" s="5"/>
      <c r="BV538" s="144">
        <f t="shared" si="810"/>
        <v>0</v>
      </c>
      <c r="BW538" s="144">
        <f t="shared" si="811"/>
        <v>0</v>
      </c>
      <c r="BX538" s="144">
        <f t="shared" si="812"/>
        <v>0</v>
      </c>
      <c r="BY538" s="5"/>
      <c r="BZ538" s="5"/>
      <c r="CA538" s="4"/>
      <c r="CB538" s="5"/>
      <c r="CC538" s="5"/>
      <c r="CD538" s="5"/>
      <c r="CE538" s="5"/>
      <c r="CF538" s="64"/>
      <c r="CG538" s="70"/>
      <c r="CH538" s="70"/>
      <c r="CI538" s="70"/>
      <c r="CJ538" s="63"/>
      <c r="CK538" s="8">
        <f t="shared" si="761"/>
        <v>3320.23</v>
      </c>
      <c r="CL538" s="202">
        <f t="shared" si="683"/>
        <v>-3320.23</v>
      </c>
      <c r="CM538" s="202">
        <f t="shared" si="684"/>
        <v>-3320.23</v>
      </c>
      <c r="CN538" s="202">
        <f t="shared" si="685"/>
        <v>-3320.23</v>
      </c>
      <c r="CO538" s="9">
        <f t="shared" si="686"/>
        <v>-3320.23</v>
      </c>
      <c r="CP538" s="9">
        <f t="shared" si="687"/>
        <v>-3320.23</v>
      </c>
      <c r="CQ538" s="9">
        <f t="shared" si="688"/>
        <v>-3320.23</v>
      </c>
      <c r="CR538" s="202">
        <f t="shared" si="689"/>
        <v>-3320.23</v>
      </c>
      <c r="CS538" s="202">
        <f t="shared" si="690"/>
        <v>-3320.23</v>
      </c>
      <c r="CT538" s="202">
        <f t="shared" si="691"/>
        <v>-3320.23</v>
      </c>
      <c r="CU538" s="203" t="e">
        <f t="shared" si="692"/>
        <v>#DIV/0!</v>
      </c>
      <c r="CV538" s="203" t="e">
        <f t="shared" si="693"/>
        <v>#DIV/0!</v>
      </c>
      <c r="CW538" s="203" t="e">
        <f t="shared" si="694"/>
        <v>#DIV/0!</v>
      </c>
      <c r="CX538" s="19" t="e">
        <f t="shared" si="695"/>
        <v>#DIV/0!</v>
      </c>
      <c r="CY538" s="19" t="e">
        <f t="shared" si="696"/>
        <v>#DIV/0!</v>
      </c>
      <c r="CZ538" s="19" t="e">
        <f t="shared" si="697"/>
        <v>#DIV/0!</v>
      </c>
      <c r="DA538" s="203" t="e">
        <f t="shared" si="698"/>
        <v>#DIV/0!</v>
      </c>
      <c r="DB538" s="203" t="e">
        <f t="shared" si="699"/>
        <v>#DIV/0!</v>
      </c>
      <c r="DC538" s="203" t="e">
        <f t="shared" si="700"/>
        <v>#DIV/0!</v>
      </c>
      <c r="DD538" s="65"/>
      <c r="DE538" s="66"/>
      <c r="DF538" s="66"/>
      <c r="DG538" s="66"/>
      <c r="DH538" s="66"/>
      <c r="DI538" s="66"/>
      <c r="DJ538" s="66"/>
      <c r="DK538" s="70"/>
      <c r="DL538" s="70"/>
      <c r="DM538" s="8">
        <f t="shared" si="762"/>
        <v>0</v>
      </c>
      <c r="DN538" s="8">
        <f t="shared" si="763"/>
        <v>3320.23</v>
      </c>
      <c r="DO538" s="202">
        <f t="shared" si="737"/>
        <v>-3320.23</v>
      </c>
      <c r="DP538" s="202">
        <f t="shared" si="738"/>
        <v>-3320.23</v>
      </c>
      <c r="DQ538" s="202">
        <f t="shared" si="739"/>
        <v>-3320.23</v>
      </c>
      <c r="DR538" s="9">
        <f t="shared" si="740"/>
        <v>-3320.23</v>
      </c>
      <c r="DS538" s="9">
        <f t="shared" si="703"/>
        <v>-3320.23</v>
      </c>
      <c r="DT538" s="9">
        <f t="shared" si="741"/>
        <v>-3320.23</v>
      </c>
      <c r="DU538" s="202">
        <f t="shared" si="742"/>
        <v>-3320.23</v>
      </c>
      <c r="DV538" s="202">
        <f t="shared" si="743"/>
        <v>-3320.23</v>
      </c>
      <c r="DW538" s="202">
        <f t="shared" si="744"/>
        <v>-3320.23</v>
      </c>
      <c r="DX538" s="203" t="e">
        <f t="shared" si="745"/>
        <v>#DIV/0!</v>
      </c>
      <c r="DY538" s="203" t="e">
        <f t="shared" si="746"/>
        <v>#DIV/0!</v>
      </c>
      <c r="DZ538" s="203" t="e">
        <f t="shared" si="747"/>
        <v>#DIV/0!</v>
      </c>
      <c r="EA538" s="19" t="e">
        <f t="shared" si="748"/>
        <v>#DIV/0!</v>
      </c>
      <c r="EB538" s="19" t="e">
        <f t="shared" si="704"/>
        <v>#DIV/0!</v>
      </c>
      <c r="EC538" s="19" t="e">
        <f t="shared" si="749"/>
        <v>#DIV/0!</v>
      </c>
      <c r="ED538" s="203" t="e">
        <f t="shared" si="750"/>
        <v>#DIV/0!</v>
      </c>
      <c r="EE538" s="203" t="e">
        <f t="shared" si="751"/>
        <v>#DIV/0!</v>
      </c>
      <c r="EF538" s="203" t="e">
        <f t="shared" si="752"/>
        <v>#DIV/0!</v>
      </c>
      <c r="EH538" s="58">
        <f t="shared" si="798"/>
        <v>3320.23</v>
      </c>
      <c r="EI538" s="68" t="e">
        <f t="shared" si="799"/>
        <v>#DIV/0!</v>
      </c>
      <c r="EJ538" s="58">
        <f t="shared" si="800"/>
        <v>3320.23</v>
      </c>
      <c r="EK538" s="68" t="e">
        <f t="shared" si="799"/>
        <v>#DIV/0!</v>
      </c>
      <c r="EL538" s="58">
        <f t="shared" si="801"/>
        <v>0</v>
      </c>
      <c r="EM538" s="58">
        <f t="shared" si="802"/>
        <v>0</v>
      </c>
      <c r="EN538" s="68" t="e">
        <f t="shared" si="803"/>
        <v>#DIV/0!</v>
      </c>
      <c r="EO538" s="139">
        <f t="shared" si="854"/>
        <v>0.32861286969700848</v>
      </c>
      <c r="EP538">
        <f>+(SUM(M538:O538)*EO538*(1-'[1]Tier 3 Data'!$A$2))</f>
        <v>0</v>
      </c>
    </row>
    <row r="539" spans="1:146" x14ac:dyDescent="0.2">
      <c r="A539" s="43">
        <v>0</v>
      </c>
      <c r="B539" s="43">
        <v>0</v>
      </c>
      <c r="C539" s="43">
        <v>0</v>
      </c>
      <c r="D539" s="70">
        <v>2052</v>
      </c>
      <c r="E539" s="70">
        <v>4</v>
      </c>
      <c r="F539" s="2">
        <v>720</v>
      </c>
      <c r="G539" s="133">
        <f t="shared" si="838"/>
        <v>0</v>
      </c>
      <c r="H539" s="64"/>
      <c r="I539" s="133">
        <f t="shared" si="839"/>
        <v>0</v>
      </c>
      <c r="J539" s="133">
        <f t="shared" si="778"/>
        <v>0</v>
      </c>
      <c r="K539" s="64"/>
      <c r="L539" s="133">
        <f t="shared" si="779"/>
        <v>0</v>
      </c>
      <c r="M539" s="5"/>
      <c r="N539" s="5"/>
      <c r="O539" s="5"/>
      <c r="P539" s="200">
        <f t="shared" si="770"/>
        <v>0</v>
      </c>
      <c r="Q539" s="200">
        <f t="shared" si="771"/>
        <v>0</v>
      </c>
      <c r="R539" s="200">
        <f t="shared" si="772"/>
        <v>0</v>
      </c>
      <c r="S539" s="133">
        <f t="shared" si="840"/>
        <v>0</v>
      </c>
      <c r="T539" s="133">
        <f t="shared" si="841"/>
        <v>0</v>
      </c>
      <c r="U539" s="133">
        <f t="shared" si="842"/>
        <v>0</v>
      </c>
      <c r="V539" s="200">
        <f t="shared" si="773"/>
        <v>0</v>
      </c>
      <c r="W539" s="200">
        <f t="shared" si="774"/>
        <v>0</v>
      </c>
      <c r="X539" s="200">
        <f t="shared" si="775"/>
        <v>0</v>
      </c>
      <c r="Y539" s="58">
        <f t="shared" si="813"/>
        <v>0</v>
      </c>
      <c r="AA539" s="58">
        <f t="shared" si="814"/>
        <v>0</v>
      </c>
      <c r="AB539" s="200">
        <f t="shared" si="815"/>
        <v>0</v>
      </c>
      <c r="AC539" s="200">
        <f t="shared" si="816"/>
        <v>0</v>
      </c>
      <c r="AD539" s="200">
        <f t="shared" si="817"/>
        <v>0</v>
      </c>
      <c r="AE539" s="199">
        <f t="shared" si="719"/>
        <v>0</v>
      </c>
      <c r="AF539" s="199">
        <f t="shared" si="818"/>
        <v>0</v>
      </c>
      <c r="AG539" s="199">
        <f t="shared" si="720"/>
        <v>0</v>
      </c>
      <c r="AH539" s="199">
        <f t="shared" si="843"/>
        <v>0</v>
      </c>
      <c r="AI539" s="200">
        <f t="shared" si="819"/>
        <v>0</v>
      </c>
      <c r="AJ539" s="200">
        <f t="shared" si="820"/>
        <v>0</v>
      </c>
      <c r="AK539" s="200">
        <f t="shared" si="821"/>
        <v>0</v>
      </c>
      <c r="AL539" s="4"/>
      <c r="AM539" s="4"/>
      <c r="AN539" s="4"/>
      <c r="AO539" s="4"/>
      <c r="AP539" s="63"/>
      <c r="AQ539" s="18"/>
      <c r="AR539" s="18"/>
      <c r="AS539" s="18"/>
      <c r="AT539" s="18">
        <v>0</v>
      </c>
      <c r="AU539" s="133">
        <f t="shared" ref="AU539" si="857">+AU527</f>
        <v>96.057000000000002</v>
      </c>
      <c r="AV539" s="133">
        <f t="shared" ref="AV539" si="858">+AV527</f>
        <v>3017.9659999999999</v>
      </c>
      <c r="AW539" s="194"/>
      <c r="AX539" s="194"/>
      <c r="AY539" s="194"/>
      <c r="AZ539" s="194"/>
      <c r="BA539" s="194"/>
      <c r="BB539" s="194"/>
      <c r="BC539" s="65">
        <v>0</v>
      </c>
      <c r="BD539" s="65">
        <v>0</v>
      </c>
      <c r="BE539" s="65">
        <v>0</v>
      </c>
      <c r="BF539" s="65">
        <v>0</v>
      </c>
      <c r="BG539" s="65">
        <v>0</v>
      </c>
      <c r="BH539" s="65">
        <v>0</v>
      </c>
      <c r="BI539" s="65">
        <v>0</v>
      </c>
      <c r="BJ539" s="65">
        <v>0</v>
      </c>
      <c r="BK539" s="65">
        <v>0</v>
      </c>
      <c r="BL539" s="65">
        <v>0</v>
      </c>
      <c r="BM539" s="65">
        <v>0</v>
      </c>
      <c r="BN539" s="65">
        <v>0</v>
      </c>
      <c r="BO539" s="65">
        <v>0</v>
      </c>
      <c r="BP539" s="5"/>
      <c r="BQ539" s="5"/>
      <c r="BR539" s="5"/>
      <c r="BS539" s="5"/>
      <c r="BT539" s="5"/>
      <c r="BU539" s="5"/>
      <c r="BV539" s="144">
        <f t="shared" si="810"/>
        <v>0</v>
      </c>
      <c r="BW539" s="144">
        <f t="shared" si="811"/>
        <v>0</v>
      </c>
      <c r="BX539" s="144">
        <f t="shared" si="812"/>
        <v>0</v>
      </c>
      <c r="BY539" s="5"/>
      <c r="BZ539" s="5"/>
      <c r="CA539" s="4"/>
      <c r="CB539" s="5"/>
      <c r="CC539" s="5"/>
      <c r="CD539" s="5"/>
      <c r="CE539" s="5"/>
      <c r="CF539" s="64"/>
      <c r="CG539" s="70"/>
      <c r="CH539" s="70"/>
      <c r="CI539" s="70"/>
      <c r="CJ539" s="63"/>
      <c r="CK539" s="8">
        <f t="shared" si="761"/>
        <v>3114.0229999999997</v>
      </c>
      <c r="CL539" s="202">
        <f t="shared" si="683"/>
        <v>-3114.0229999999997</v>
      </c>
      <c r="CM539" s="202">
        <f t="shared" si="684"/>
        <v>-3114.0229999999997</v>
      </c>
      <c r="CN539" s="202">
        <f t="shared" si="685"/>
        <v>-3114.0229999999997</v>
      </c>
      <c r="CO539" s="9">
        <f t="shared" si="686"/>
        <v>-3114.0229999999997</v>
      </c>
      <c r="CP539" s="9">
        <f t="shared" si="687"/>
        <v>-3114.0229999999997</v>
      </c>
      <c r="CQ539" s="9">
        <f t="shared" si="688"/>
        <v>-3114.0229999999997</v>
      </c>
      <c r="CR539" s="202">
        <f t="shared" si="689"/>
        <v>-3114.0229999999997</v>
      </c>
      <c r="CS539" s="202">
        <f t="shared" si="690"/>
        <v>-3114.0229999999997</v>
      </c>
      <c r="CT539" s="202">
        <f t="shared" si="691"/>
        <v>-3114.0229999999997</v>
      </c>
      <c r="CU539" s="203" t="e">
        <f t="shared" si="692"/>
        <v>#DIV/0!</v>
      </c>
      <c r="CV539" s="203" t="e">
        <f t="shared" si="693"/>
        <v>#DIV/0!</v>
      </c>
      <c r="CW539" s="203" t="e">
        <f t="shared" si="694"/>
        <v>#DIV/0!</v>
      </c>
      <c r="CX539" s="19" t="e">
        <f t="shared" si="695"/>
        <v>#DIV/0!</v>
      </c>
      <c r="CY539" s="19" t="e">
        <f t="shared" si="696"/>
        <v>#DIV/0!</v>
      </c>
      <c r="CZ539" s="19" t="e">
        <f t="shared" si="697"/>
        <v>#DIV/0!</v>
      </c>
      <c r="DA539" s="203" t="e">
        <f t="shared" si="698"/>
        <v>#DIV/0!</v>
      </c>
      <c r="DB539" s="203" t="e">
        <f t="shared" si="699"/>
        <v>#DIV/0!</v>
      </c>
      <c r="DC539" s="203" t="e">
        <f t="shared" si="700"/>
        <v>#DIV/0!</v>
      </c>
      <c r="DD539" s="65"/>
      <c r="DE539" s="66"/>
      <c r="DF539" s="66"/>
      <c r="DG539" s="66"/>
      <c r="DH539" s="66"/>
      <c r="DI539" s="66"/>
      <c r="DJ539" s="66"/>
      <c r="DK539" s="70"/>
      <c r="DL539" s="70"/>
      <c r="DM539" s="8">
        <f t="shared" si="762"/>
        <v>0</v>
      </c>
      <c r="DN539" s="8">
        <f t="shared" si="763"/>
        <v>3114.0229999999997</v>
      </c>
      <c r="DO539" s="202">
        <f t="shared" si="737"/>
        <v>-3114.0229999999997</v>
      </c>
      <c r="DP539" s="202">
        <f t="shared" si="738"/>
        <v>-3114.0229999999997</v>
      </c>
      <c r="DQ539" s="202">
        <f t="shared" si="739"/>
        <v>-3114.0229999999997</v>
      </c>
      <c r="DR539" s="9">
        <f t="shared" si="740"/>
        <v>-3114.0229999999997</v>
      </c>
      <c r="DS539" s="9">
        <f t="shared" si="703"/>
        <v>-3114.0229999999997</v>
      </c>
      <c r="DT539" s="9">
        <f t="shared" si="741"/>
        <v>-3114.0229999999997</v>
      </c>
      <c r="DU539" s="202">
        <f t="shared" si="742"/>
        <v>-3114.0229999999997</v>
      </c>
      <c r="DV539" s="202">
        <f t="shared" si="743"/>
        <v>-3114.0229999999997</v>
      </c>
      <c r="DW539" s="202">
        <f t="shared" si="744"/>
        <v>-3114.0229999999997</v>
      </c>
      <c r="DX539" s="203" t="e">
        <f t="shared" si="745"/>
        <v>#DIV/0!</v>
      </c>
      <c r="DY539" s="203" t="e">
        <f t="shared" si="746"/>
        <v>#DIV/0!</v>
      </c>
      <c r="DZ539" s="203" t="e">
        <f t="shared" si="747"/>
        <v>#DIV/0!</v>
      </c>
      <c r="EA539" s="19" t="e">
        <f t="shared" si="748"/>
        <v>#DIV/0!</v>
      </c>
      <c r="EB539" s="19" t="e">
        <f t="shared" si="704"/>
        <v>#DIV/0!</v>
      </c>
      <c r="EC539" s="19" t="e">
        <f t="shared" si="749"/>
        <v>#DIV/0!</v>
      </c>
      <c r="ED539" s="203" t="e">
        <f t="shared" si="750"/>
        <v>#DIV/0!</v>
      </c>
      <c r="EE539" s="203" t="e">
        <f t="shared" si="751"/>
        <v>#DIV/0!</v>
      </c>
      <c r="EF539" s="203" t="e">
        <f t="shared" si="752"/>
        <v>#DIV/0!</v>
      </c>
      <c r="EH539" s="58">
        <f t="shared" si="798"/>
        <v>3114.0229999999997</v>
      </c>
      <c r="EI539" s="68" t="e">
        <f t="shared" si="799"/>
        <v>#DIV/0!</v>
      </c>
      <c r="EJ539" s="58">
        <f t="shared" si="800"/>
        <v>3114.0229999999997</v>
      </c>
      <c r="EK539" s="68" t="e">
        <f t="shared" si="799"/>
        <v>#DIV/0!</v>
      </c>
      <c r="EL539" s="58">
        <f t="shared" si="801"/>
        <v>0</v>
      </c>
      <c r="EM539" s="58">
        <f t="shared" si="802"/>
        <v>0</v>
      </c>
      <c r="EN539" s="68" t="e">
        <f t="shared" si="803"/>
        <v>#DIV/0!</v>
      </c>
      <c r="EO539" s="139">
        <f t="shared" si="854"/>
        <v>0.35351678044029999</v>
      </c>
      <c r="EP539">
        <f>+(SUM(M539:O539)*EO539*(1-'[1]Tier 3 Data'!$A$2))</f>
        <v>0</v>
      </c>
    </row>
    <row r="540" spans="1:146" x14ac:dyDescent="0.2">
      <c r="A540" s="43">
        <v>0</v>
      </c>
      <c r="B540" s="43">
        <v>0</v>
      </c>
      <c r="C540" s="43">
        <v>0</v>
      </c>
      <c r="D540" s="70">
        <v>2052</v>
      </c>
      <c r="E540" s="70">
        <v>5</v>
      </c>
      <c r="F540" s="2">
        <v>744</v>
      </c>
      <c r="G540" s="133">
        <f t="shared" si="838"/>
        <v>0</v>
      </c>
      <c r="H540" s="64"/>
      <c r="I540" s="133">
        <f t="shared" si="839"/>
        <v>0</v>
      </c>
      <c r="J540" s="133">
        <f t="shared" si="778"/>
        <v>0</v>
      </c>
      <c r="K540" s="64"/>
      <c r="L540" s="133">
        <f t="shared" si="779"/>
        <v>0</v>
      </c>
      <c r="M540" s="5"/>
      <c r="N540" s="5"/>
      <c r="O540" s="5"/>
      <c r="P540" s="200">
        <f t="shared" si="770"/>
        <v>0</v>
      </c>
      <c r="Q540" s="200">
        <f t="shared" si="771"/>
        <v>0</v>
      </c>
      <c r="R540" s="200">
        <f t="shared" si="772"/>
        <v>0</v>
      </c>
      <c r="S540" s="133">
        <f t="shared" si="840"/>
        <v>0</v>
      </c>
      <c r="T540" s="133">
        <f t="shared" si="841"/>
        <v>0</v>
      </c>
      <c r="U540" s="133">
        <f t="shared" si="842"/>
        <v>0</v>
      </c>
      <c r="V540" s="200">
        <f t="shared" si="773"/>
        <v>0</v>
      </c>
      <c r="W540" s="200">
        <f t="shared" si="774"/>
        <v>0</v>
      </c>
      <c r="X540" s="200">
        <f t="shared" si="775"/>
        <v>0</v>
      </c>
      <c r="Y540" s="58">
        <f t="shared" si="813"/>
        <v>0</v>
      </c>
      <c r="AA540" s="58">
        <f t="shared" si="814"/>
        <v>0</v>
      </c>
      <c r="AB540" s="200">
        <f t="shared" si="815"/>
        <v>0</v>
      </c>
      <c r="AC540" s="200">
        <f t="shared" si="816"/>
        <v>0</v>
      </c>
      <c r="AD540" s="200">
        <f t="shared" si="817"/>
        <v>0</v>
      </c>
      <c r="AE540" s="199">
        <f t="shared" si="719"/>
        <v>0</v>
      </c>
      <c r="AF540" s="199">
        <f t="shared" si="818"/>
        <v>0</v>
      </c>
      <c r="AG540" s="199">
        <f t="shared" si="720"/>
        <v>0</v>
      </c>
      <c r="AH540" s="199">
        <f t="shared" si="843"/>
        <v>0</v>
      </c>
      <c r="AI540" s="200">
        <f t="shared" si="819"/>
        <v>0</v>
      </c>
      <c r="AJ540" s="200">
        <f t="shared" si="820"/>
        <v>0</v>
      </c>
      <c r="AK540" s="200">
        <f t="shared" si="821"/>
        <v>0</v>
      </c>
      <c r="AL540" s="4"/>
      <c r="AM540" s="4"/>
      <c r="AN540" s="4"/>
      <c r="AO540" s="4"/>
      <c r="AP540" s="63"/>
      <c r="AQ540" s="18"/>
      <c r="AR540" s="18"/>
      <c r="AS540" s="18"/>
      <c r="AT540" s="18">
        <v>0</v>
      </c>
      <c r="AU540" s="133">
        <f t="shared" ref="AU540" si="859">+AU528</f>
        <v>109.161</v>
      </c>
      <c r="AV540" s="133">
        <f t="shared" ref="AV540" si="860">+AV528</f>
        <v>3327.41</v>
      </c>
      <c r="AW540" s="194"/>
      <c r="AX540" s="194"/>
      <c r="AY540" s="194"/>
      <c r="AZ540" s="194"/>
      <c r="BA540" s="194"/>
      <c r="BB540" s="194"/>
      <c r="BC540" s="65">
        <v>0</v>
      </c>
      <c r="BD540" s="65">
        <v>0</v>
      </c>
      <c r="BE540" s="65">
        <v>0</v>
      </c>
      <c r="BF540" s="65">
        <v>0</v>
      </c>
      <c r="BG540" s="65">
        <v>0</v>
      </c>
      <c r="BH540" s="65">
        <v>0</v>
      </c>
      <c r="BI540" s="65">
        <v>0</v>
      </c>
      <c r="BJ540" s="65">
        <v>0</v>
      </c>
      <c r="BK540" s="65">
        <v>0</v>
      </c>
      <c r="BL540" s="65">
        <v>0</v>
      </c>
      <c r="BM540" s="65">
        <v>0</v>
      </c>
      <c r="BN540" s="65">
        <v>0</v>
      </c>
      <c r="BO540" s="65">
        <v>0</v>
      </c>
      <c r="BP540" s="5"/>
      <c r="BQ540" s="5"/>
      <c r="BR540" s="5"/>
      <c r="BS540" s="5"/>
      <c r="BT540" s="5"/>
      <c r="BU540" s="5"/>
      <c r="BV540" s="144">
        <f t="shared" si="810"/>
        <v>0</v>
      </c>
      <c r="BW540" s="144">
        <f t="shared" si="811"/>
        <v>0</v>
      </c>
      <c r="BX540" s="144">
        <f t="shared" si="812"/>
        <v>0</v>
      </c>
      <c r="BY540" s="5"/>
      <c r="BZ540" s="5"/>
      <c r="CA540" s="4"/>
      <c r="CB540" s="5"/>
      <c r="CC540" s="5"/>
      <c r="CD540" s="5"/>
      <c r="CE540" s="5"/>
      <c r="CF540" s="64"/>
      <c r="CG540" s="70"/>
      <c r="CH540" s="70"/>
      <c r="CI540" s="70"/>
      <c r="CJ540" s="63"/>
      <c r="CK540" s="8">
        <f t="shared" si="761"/>
        <v>3436.5709999999999</v>
      </c>
      <c r="CL540" s="202">
        <f t="shared" si="683"/>
        <v>-3436.5709999999999</v>
      </c>
      <c r="CM540" s="202">
        <f t="shared" si="684"/>
        <v>-3436.5709999999999</v>
      </c>
      <c r="CN540" s="202">
        <f t="shared" si="685"/>
        <v>-3436.5709999999999</v>
      </c>
      <c r="CO540" s="9">
        <f t="shared" si="686"/>
        <v>-3436.5709999999999</v>
      </c>
      <c r="CP540" s="9">
        <f t="shared" si="687"/>
        <v>-3436.5709999999999</v>
      </c>
      <c r="CQ540" s="9">
        <f t="shared" si="688"/>
        <v>-3436.5709999999999</v>
      </c>
      <c r="CR540" s="202">
        <f t="shared" si="689"/>
        <v>-3436.5709999999999</v>
      </c>
      <c r="CS540" s="202">
        <f t="shared" si="690"/>
        <v>-3436.5709999999999</v>
      </c>
      <c r="CT540" s="202">
        <f t="shared" si="691"/>
        <v>-3436.5709999999999</v>
      </c>
      <c r="CU540" s="203" t="e">
        <f t="shared" si="692"/>
        <v>#DIV/0!</v>
      </c>
      <c r="CV540" s="203" t="e">
        <f t="shared" si="693"/>
        <v>#DIV/0!</v>
      </c>
      <c r="CW540" s="203" t="e">
        <f t="shared" si="694"/>
        <v>#DIV/0!</v>
      </c>
      <c r="CX540" s="19" t="e">
        <f t="shared" si="695"/>
        <v>#DIV/0!</v>
      </c>
      <c r="CY540" s="19" t="e">
        <f t="shared" si="696"/>
        <v>#DIV/0!</v>
      </c>
      <c r="CZ540" s="19" t="e">
        <f t="shared" si="697"/>
        <v>#DIV/0!</v>
      </c>
      <c r="DA540" s="203" t="e">
        <f t="shared" si="698"/>
        <v>#DIV/0!</v>
      </c>
      <c r="DB540" s="203" t="e">
        <f t="shared" si="699"/>
        <v>#DIV/0!</v>
      </c>
      <c r="DC540" s="203" t="e">
        <f t="shared" si="700"/>
        <v>#DIV/0!</v>
      </c>
      <c r="DD540" s="65"/>
      <c r="DE540" s="66"/>
      <c r="DF540" s="66"/>
      <c r="DG540" s="66"/>
      <c r="DH540" s="66"/>
      <c r="DI540" s="66"/>
      <c r="DJ540" s="66"/>
      <c r="DK540" s="70"/>
      <c r="DL540" s="70"/>
      <c r="DM540" s="8">
        <f t="shared" si="762"/>
        <v>0</v>
      </c>
      <c r="DN540" s="8">
        <f t="shared" si="763"/>
        <v>3436.5709999999999</v>
      </c>
      <c r="DO540" s="202">
        <f t="shared" si="737"/>
        <v>-3436.5709999999999</v>
      </c>
      <c r="DP540" s="202">
        <f t="shared" si="738"/>
        <v>-3436.5709999999999</v>
      </c>
      <c r="DQ540" s="202">
        <f t="shared" si="739"/>
        <v>-3436.5709999999999</v>
      </c>
      <c r="DR540" s="9">
        <f t="shared" si="740"/>
        <v>-3436.5709999999999</v>
      </c>
      <c r="DS540" s="9">
        <f t="shared" si="703"/>
        <v>-3436.5709999999999</v>
      </c>
      <c r="DT540" s="9">
        <f t="shared" si="741"/>
        <v>-3436.5709999999999</v>
      </c>
      <c r="DU540" s="202">
        <f t="shared" si="742"/>
        <v>-3436.5709999999999</v>
      </c>
      <c r="DV540" s="202">
        <f t="shared" si="743"/>
        <v>-3436.5709999999999</v>
      </c>
      <c r="DW540" s="202">
        <f t="shared" si="744"/>
        <v>-3436.5709999999999</v>
      </c>
      <c r="DX540" s="203" t="e">
        <f t="shared" si="745"/>
        <v>#DIV/0!</v>
      </c>
      <c r="DY540" s="203" t="e">
        <f t="shared" si="746"/>
        <v>#DIV/0!</v>
      </c>
      <c r="DZ540" s="203" t="e">
        <f t="shared" si="747"/>
        <v>#DIV/0!</v>
      </c>
      <c r="EA540" s="19" t="e">
        <f t="shared" si="748"/>
        <v>#DIV/0!</v>
      </c>
      <c r="EB540" s="19" t="e">
        <f t="shared" si="704"/>
        <v>#DIV/0!</v>
      </c>
      <c r="EC540" s="19" t="e">
        <f t="shared" si="749"/>
        <v>#DIV/0!</v>
      </c>
      <c r="ED540" s="203" t="e">
        <f t="shared" si="750"/>
        <v>#DIV/0!</v>
      </c>
      <c r="EE540" s="203" t="e">
        <f t="shared" si="751"/>
        <v>#DIV/0!</v>
      </c>
      <c r="EF540" s="203" t="e">
        <f t="shared" si="752"/>
        <v>#DIV/0!</v>
      </c>
      <c r="EH540" s="58">
        <f t="shared" si="798"/>
        <v>3436.5709999999999</v>
      </c>
      <c r="EI540" s="68" t="e">
        <f t="shared" si="799"/>
        <v>#DIV/0!</v>
      </c>
      <c r="EJ540" s="58">
        <f t="shared" si="800"/>
        <v>3436.5709999999999</v>
      </c>
      <c r="EK540" s="68" t="e">
        <f t="shared" si="799"/>
        <v>#DIV/0!</v>
      </c>
      <c r="EL540" s="58">
        <f t="shared" si="801"/>
        <v>0</v>
      </c>
      <c r="EM540" s="58">
        <f t="shared" si="802"/>
        <v>0</v>
      </c>
      <c r="EN540" s="68" t="e">
        <f t="shared" si="803"/>
        <v>#DIV/0!</v>
      </c>
      <c r="EO540" s="139">
        <f t="shared" si="854"/>
        <v>0.28868615856523006</v>
      </c>
      <c r="EP540">
        <f>+(SUM(M540:O540)*EO540*(1-'[1]Tier 3 Data'!$A$2))</f>
        <v>0</v>
      </c>
    </row>
    <row r="541" spans="1:146" x14ac:dyDescent="0.2">
      <c r="A541" s="43">
        <v>0</v>
      </c>
      <c r="B541" s="43">
        <v>0</v>
      </c>
      <c r="C541" s="43">
        <v>0</v>
      </c>
      <c r="D541" s="70">
        <v>2052</v>
      </c>
      <c r="E541" s="70">
        <v>6</v>
      </c>
      <c r="F541" s="2">
        <v>720</v>
      </c>
      <c r="G541" s="133">
        <f t="shared" si="838"/>
        <v>0</v>
      </c>
      <c r="H541" s="64"/>
      <c r="I541" s="133">
        <f t="shared" si="839"/>
        <v>0</v>
      </c>
      <c r="J541" s="133">
        <f t="shared" si="778"/>
        <v>0</v>
      </c>
      <c r="K541" s="64"/>
      <c r="L541" s="133">
        <f t="shared" si="779"/>
        <v>0</v>
      </c>
      <c r="M541" s="5"/>
      <c r="N541" s="5"/>
      <c r="O541" s="5"/>
      <c r="P541" s="200">
        <f t="shared" si="770"/>
        <v>0</v>
      </c>
      <c r="Q541" s="200">
        <f t="shared" si="771"/>
        <v>0</v>
      </c>
      <c r="R541" s="200">
        <f t="shared" si="772"/>
        <v>0</v>
      </c>
      <c r="S541" s="133">
        <f t="shared" si="840"/>
        <v>0</v>
      </c>
      <c r="T541" s="133">
        <f t="shared" si="841"/>
        <v>0</v>
      </c>
      <c r="U541" s="133">
        <f t="shared" si="842"/>
        <v>0</v>
      </c>
      <c r="V541" s="200">
        <f t="shared" si="773"/>
        <v>0</v>
      </c>
      <c r="W541" s="200">
        <f t="shared" si="774"/>
        <v>0</v>
      </c>
      <c r="X541" s="200">
        <f t="shared" si="775"/>
        <v>0</v>
      </c>
      <c r="Y541" s="58">
        <f t="shared" si="813"/>
        <v>0</v>
      </c>
      <c r="AA541" s="58">
        <f t="shared" si="814"/>
        <v>0</v>
      </c>
      <c r="AB541" s="200">
        <f t="shared" si="815"/>
        <v>0</v>
      </c>
      <c r="AC541" s="200">
        <f t="shared" si="816"/>
        <v>0</v>
      </c>
      <c r="AD541" s="200">
        <f t="shared" si="817"/>
        <v>0</v>
      </c>
      <c r="AE541" s="199">
        <f t="shared" si="719"/>
        <v>0</v>
      </c>
      <c r="AF541" s="199">
        <f t="shared" si="818"/>
        <v>0</v>
      </c>
      <c r="AG541" s="199">
        <f t="shared" si="720"/>
        <v>0</v>
      </c>
      <c r="AH541" s="199">
        <f t="shared" si="843"/>
        <v>0</v>
      </c>
      <c r="AI541" s="200">
        <f t="shared" si="819"/>
        <v>0</v>
      </c>
      <c r="AJ541" s="200">
        <f t="shared" si="820"/>
        <v>0</v>
      </c>
      <c r="AK541" s="200">
        <f t="shared" si="821"/>
        <v>0</v>
      </c>
      <c r="AL541" s="4"/>
      <c r="AM541" s="4"/>
      <c r="AN541" s="4"/>
      <c r="AO541" s="4"/>
      <c r="AP541" s="63"/>
      <c r="AQ541" s="18"/>
      <c r="AR541" s="18"/>
      <c r="AS541" s="18"/>
      <c r="AT541" s="18">
        <v>0</v>
      </c>
      <c r="AU541" s="133">
        <f t="shared" ref="AU541" si="861">+AU529</f>
        <v>128.934</v>
      </c>
      <c r="AV541" s="133">
        <f t="shared" ref="AV541" si="862">+AV529</f>
        <v>3110.2840000000001</v>
      </c>
      <c r="AW541" s="194"/>
      <c r="AX541" s="194"/>
      <c r="AY541" s="194"/>
      <c r="AZ541" s="194"/>
      <c r="BA541" s="194"/>
      <c r="BB541" s="194"/>
      <c r="BC541" s="65">
        <v>0</v>
      </c>
      <c r="BD541" s="65">
        <v>0</v>
      </c>
      <c r="BE541" s="65">
        <v>0</v>
      </c>
      <c r="BF541" s="65">
        <v>0</v>
      </c>
      <c r="BG541" s="65">
        <v>0</v>
      </c>
      <c r="BH541" s="65">
        <v>0</v>
      </c>
      <c r="BI541" s="65">
        <v>0</v>
      </c>
      <c r="BJ541" s="65">
        <v>0</v>
      </c>
      <c r="BK541" s="65">
        <v>0</v>
      </c>
      <c r="BL541" s="65">
        <v>0</v>
      </c>
      <c r="BM541" s="65">
        <v>0</v>
      </c>
      <c r="BN541" s="65">
        <v>0</v>
      </c>
      <c r="BO541" s="65">
        <v>0</v>
      </c>
      <c r="BP541" s="5"/>
      <c r="BQ541" s="5"/>
      <c r="BR541" s="5"/>
      <c r="BS541" s="5"/>
      <c r="BT541" s="5"/>
      <c r="BU541" s="5"/>
      <c r="BV541" s="144">
        <f t="shared" si="810"/>
        <v>0</v>
      </c>
      <c r="BW541" s="144">
        <f t="shared" si="811"/>
        <v>0</v>
      </c>
      <c r="BX541" s="144">
        <f t="shared" si="812"/>
        <v>0</v>
      </c>
      <c r="BY541" s="5"/>
      <c r="BZ541" s="5"/>
      <c r="CA541" s="4"/>
      <c r="CB541" s="5"/>
      <c r="CC541" s="5"/>
      <c r="CD541" s="5"/>
      <c r="CE541" s="5"/>
      <c r="CF541" s="64"/>
      <c r="CG541" s="70"/>
      <c r="CH541" s="70"/>
      <c r="CI541" s="70"/>
      <c r="CJ541" s="63"/>
      <c r="CK541" s="8">
        <f t="shared" si="761"/>
        <v>3239.2180000000003</v>
      </c>
      <c r="CL541" s="202">
        <f t="shared" si="683"/>
        <v>-3239.2180000000003</v>
      </c>
      <c r="CM541" s="202">
        <f t="shared" si="684"/>
        <v>-3239.2180000000003</v>
      </c>
      <c r="CN541" s="202">
        <f t="shared" si="685"/>
        <v>-3239.2180000000003</v>
      </c>
      <c r="CO541" s="9">
        <f t="shared" si="686"/>
        <v>-3239.2180000000003</v>
      </c>
      <c r="CP541" s="9">
        <f t="shared" si="687"/>
        <v>-3239.2180000000003</v>
      </c>
      <c r="CQ541" s="9">
        <f t="shared" si="688"/>
        <v>-3239.2180000000003</v>
      </c>
      <c r="CR541" s="202">
        <f t="shared" si="689"/>
        <v>-3239.2180000000003</v>
      </c>
      <c r="CS541" s="202">
        <f t="shared" si="690"/>
        <v>-3239.2180000000003</v>
      </c>
      <c r="CT541" s="202">
        <f t="shared" si="691"/>
        <v>-3239.2180000000003</v>
      </c>
      <c r="CU541" s="203" t="e">
        <f t="shared" si="692"/>
        <v>#DIV/0!</v>
      </c>
      <c r="CV541" s="203" t="e">
        <f t="shared" si="693"/>
        <v>#DIV/0!</v>
      </c>
      <c r="CW541" s="203" t="e">
        <f t="shared" si="694"/>
        <v>#DIV/0!</v>
      </c>
      <c r="CX541" s="19" t="e">
        <f t="shared" si="695"/>
        <v>#DIV/0!</v>
      </c>
      <c r="CY541" s="19" t="e">
        <f t="shared" si="696"/>
        <v>#DIV/0!</v>
      </c>
      <c r="CZ541" s="19" t="e">
        <f t="shared" si="697"/>
        <v>#DIV/0!</v>
      </c>
      <c r="DA541" s="203" t="e">
        <f t="shared" si="698"/>
        <v>#DIV/0!</v>
      </c>
      <c r="DB541" s="203" t="e">
        <f t="shared" si="699"/>
        <v>#DIV/0!</v>
      </c>
      <c r="DC541" s="203" t="e">
        <f t="shared" si="700"/>
        <v>#DIV/0!</v>
      </c>
      <c r="DD541" s="65"/>
      <c r="DE541" s="66"/>
      <c r="DF541" s="66"/>
      <c r="DG541" s="66"/>
      <c r="DH541" s="66"/>
      <c r="DI541" s="66"/>
      <c r="DJ541" s="66"/>
      <c r="DK541" s="70"/>
      <c r="DL541" s="70"/>
      <c r="DM541" s="8">
        <f t="shared" si="762"/>
        <v>0</v>
      </c>
      <c r="DN541" s="8">
        <f t="shared" si="763"/>
        <v>3239.2180000000003</v>
      </c>
      <c r="DO541" s="202">
        <f t="shared" si="737"/>
        <v>-3239.2180000000003</v>
      </c>
      <c r="DP541" s="202">
        <f t="shared" si="738"/>
        <v>-3239.2180000000003</v>
      </c>
      <c r="DQ541" s="202">
        <f t="shared" si="739"/>
        <v>-3239.2180000000003</v>
      </c>
      <c r="DR541" s="9">
        <f t="shared" si="740"/>
        <v>-3239.2180000000003</v>
      </c>
      <c r="DS541" s="9">
        <f t="shared" si="703"/>
        <v>-3239.2180000000003</v>
      </c>
      <c r="DT541" s="9">
        <f t="shared" si="741"/>
        <v>-3239.2180000000003</v>
      </c>
      <c r="DU541" s="202">
        <f t="shared" si="742"/>
        <v>-3239.2180000000003</v>
      </c>
      <c r="DV541" s="202">
        <f t="shared" si="743"/>
        <v>-3239.2180000000003</v>
      </c>
      <c r="DW541" s="202">
        <f t="shared" si="744"/>
        <v>-3239.2180000000003</v>
      </c>
      <c r="DX541" s="203" t="e">
        <f t="shared" si="745"/>
        <v>#DIV/0!</v>
      </c>
      <c r="DY541" s="203" t="e">
        <f t="shared" si="746"/>
        <v>#DIV/0!</v>
      </c>
      <c r="DZ541" s="203" t="e">
        <f t="shared" si="747"/>
        <v>#DIV/0!</v>
      </c>
      <c r="EA541" s="19" t="e">
        <f t="shared" si="748"/>
        <v>#DIV/0!</v>
      </c>
      <c r="EB541" s="19" t="e">
        <f t="shared" si="704"/>
        <v>#DIV/0!</v>
      </c>
      <c r="EC541" s="19" t="e">
        <f t="shared" si="749"/>
        <v>#DIV/0!</v>
      </c>
      <c r="ED541" s="203" t="e">
        <f t="shared" si="750"/>
        <v>#DIV/0!</v>
      </c>
      <c r="EE541" s="203" t="e">
        <f t="shared" si="751"/>
        <v>#DIV/0!</v>
      </c>
      <c r="EF541" s="203" t="e">
        <f t="shared" si="752"/>
        <v>#DIV/0!</v>
      </c>
      <c r="EH541" s="58">
        <f t="shared" si="798"/>
        <v>3239.2180000000003</v>
      </c>
      <c r="EI541" s="68" t="e">
        <f t="shared" si="799"/>
        <v>#DIV/0!</v>
      </c>
      <c r="EJ541" s="58">
        <f t="shared" si="800"/>
        <v>3239.2180000000003</v>
      </c>
      <c r="EK541" s="68" t="e">
        <f t="shared" si="799"/>
        <v>#DIV/0!</v>
      </c>
      <c r="EL541" s="58">
        <f t="shared" si="801"/>
        <v>0</v>
      </c>
      <c r="EM541" s="58">
        <f t="shared" si="802"/>
        <v>0</v>
      </c>
      <c r="EN541" s="68" t="e">
        <f t="shared" si="803"/>
        <v>#DIV/0!</v>
      </c>
      <c r="EO541" s="139">
        <f t="shared" si="854"/>
        <v>0.24029016665052916</v>
      </c>
      <c r="EP541">
        <f>+(SUM(M541:O541)*EO541*(1-'[1]Tier 3 Data'!$A$2))</f>
        <v>0</v>
      </c>
    </row>
    <row r="542" spans="1:146" x14ac:dyDescent="0.2">
      <c r="A542" s="43">
        <v>0</v>
      </c>
      <c r="B542" s="43">
        <v>0</v>
      </c>
      <c r="C542" s="43">
        <v>0</v>
      </c>
      <c r="D542" s="70">
        <v>2052</v>
      </c>
      <c r="E542" s="70">
        <v>7</v>
      </c>
      <c r="F542" s="2">
        <v>744</v>
      </c>
      <c r="G542" s="133">
        <f t="shared" si="838"/>
        <v>0</v>
      </c>
      <c r="H542" s="64"/>
      <c r="I542" s="133">
        <f t="shared" si="839"/>
        <v>0</v>
      </c>
      <c r="J542" s="133">
        <f t="shared" si="778"/>
        <v>0</v>
      </c>
      <c r="K542" s="64"/>
      <c r="L542" s="133">
        <f t="shared" si="779"/>
        <v>0</v>
      </c>
      <c r="M542" s="5"/>
      <c r="N542" s="5"/>
      <c r="O542" s="5"/>
      <c r="P542" s="200">
        <f t="shared" si="770"/>
        <v>0</v>
      </c>
      <c r="Q542" s="200">
        <f t="shared" si="771"/>
        <v>0</v>
      </c>
      <c r="R542" s="200">
        <f t="shared" si="772"/>
        <v>0</v>
      </c>
      <c r="S542" s="133">
        <f t="shared" si="840"/>
        <v>0</v>
      </c>
      <c r="T542" s="133">
        <f t="shared" si="841"/>
        <v>0</v>
      </c>
      <c r="U542" s="133">
        <f t="shared" si="842"/>
        <v>0</v>
      </c>
      <c r="V542" s="200">
        <f t="shared" si="773"/>
        <v>0</v>
      </c>
      <c r="W542" s="200">
        <f t="shared" si="774"/>
        <v>0</v>
      </c>
      <c r="X542" s="200">
        <f t="shared" si="775"/>
        <v>0</v>
      </c>
      <c r="Y542" s="58">
        <f t="shared" si="813"/>
        <v>0</v>
      </c>
      <c r="AA542" s="58">
        <f t="shared" si="814"/>
        <v>0</v>
      </c>
      <c r="AB542" s="200">
        <f t="shared" si="815"/>
        <v>0</v>
      </c>
      <c r="AC542" s="200">
        <f t="shared" si="816"/>
        <v>0</v>
      </c>
      <c r="AD542" s="200">
        <f t="shared" si="817"/>
        <v>0</v>
      </c>
      <c r="AE542" s="199">
        <f t="shared" si="719"/>
        <v>0</v>
      </c>
      <c r="AF542" s="199">
        <f t="shared" si="818"/>
        <v>0</v>
      </c>
      <c r="AG542" s="199">
        <f t="shared" si="720"/>
        <v>0</v>
      </c>
      <c r="AH542" s="199">
        <f t="shared" si="843"/>
        <v>0</v>
      </c>
      <c r="AI542" s="200">
        <f t="shared" si="819"/>
        <v>0</v>
      </c>
      <c r="AJ542" s="200">
        <f t="shared" si="820"/>
        <v>0</v>
      </c>
      <c r="AK542" s="200">
        <f t="shared" si="821"/>
        <v>0</v>
      </c>
      <c r="AL542" s="4"/>
      <c r="AM542" s="4"/>
      <c r="AN542" s="4"/>
      <c r="AO542" s="4"/>
      <c r="AP542" s="63"/>
      <c r="AQ542" s="18"/>
      <c r="AR542" s="18"/>
      <c r="AS542" s="18"/>
      <c r="AT542" s="18">
        <v>0</v>
      </c>
      <c r="AU542" s="133">
        <f t="shared" ref="AU542" si="863">+AU530</f>
        <v>118.521</v>
      </c>
      <c r="AV542" s="133">
        <f t="shared" ref="AV542" si="864">+AV530</f>
        <v>3084.53</v>
      </c>
      <c r="AW542" s="194"/>
      <c r="AX542" s="194"/>
      <c r="AY542" s="194"/>
      <c r="AZ542" s="194"/>
      <c r="BA542" s="194"/>
      <c r="BB542" s="194"/>
      <c r="BC542" s="65">
        <v>0</v>
      </c>
      <c r="BD542" s="65">
        <v>0</v>
      </c>
      <c r="BE542" s="65">
        <v>0</v>
      </c>
      <c r="BF542" s="65">
        <v>0</v>
      </c>
      <c r="BG542" s="65">
        <v>0</v>
      </c>
      <c r="BH542" s="65">
        <v>0</v>
      </c>
      <c r="BI542" s="65">
        <v>0</v>
      </c>
      <c r="BJ542" s="65">
        <v>0</v>
      </c>
      <c r="BK542" s="65">
        <v>0</v>
      </c>
      <c r="BL542" s="65">
        <v>0</v>
      </c>
      <c r="BM542" s="65">
        <v>0</v>
      </c>
      <c r="BN542" s="65">
        <v>0</v>
      </c>
      <c r="BO542" s="65">
        <v>0</v>
      </c>
      <c r="BP542" s="5"/>
      <c r="BQ542" s="5"/>
      <c r="BR542" s="5"/>
      <c r="BS542" s="5"/>
      <c r="BT542" s="5"/>
      <c r="BU542" s="5"/>
      <c r="BV542" s="144">
        <f t="shared" si="810"/>
        <v>0</v>
      </c>
      <c r="BW542" s="144">
        <f t="shared" si="811"/>
        <v>0</v>
      </c>
      <c r="BX542" s="144">
        <f t="shared" si="812"/>
        <v>0</v>
      </c>
      <c r="BY542" s="5"/>
      <c r="BZ542" s="5"/>
      <c r="CA542" s="4"/>
      <c r="CB542" s="5"/>
      <c r="CC542" s="5"/>
      <c r="CD542" s="5"/>
      <c r="CE542" s="5"/>
      <c r="CF542" s="64"/>
      <c r="CG542" s="70"/>
      <c r="CH542" s="70"/>
      <c r="CI542" s="70"/>
      <c r="CJ542" s="63"/>
      <c r="CK542" s="8">
        <f t="shared" si="761"/>
        <v>3203.0510000000004</v>
      </c>
      <c r="CL542" s="202">
        <f t="shared" si="683"/>
        <v>-3203.0510000000004</v>
      </c>
      <c r="CM542" s="202">
        <f t="shared" si="684"/>
        <v>-3203.0510000000004</v>
      </c>
      <c r="CN542" s="202">
        <f t="shared" si="685"/>
        <v>-3203.0510000000004</v>
      </c>
      <c r="CO542" s="9">
        <f t="shared" si="686"/>
        <v>-3203.0510000000004</v>
      </c>
      <c r="CP542" s="9">
        <f t="shared" si="687"/>
        <v>-3203.0510000000004</v>
      </c>
      <c r="CQ542" s="9">
        <f t="shared" si="688"/>
        <v>-3203.0510000000004</v>
      </c>
      <c r="CR542" s="202">
        <f t="shared" si="689"/>
        <v>-3203.0510000000004</v>
      </c>
      <c r="CS542" s="202">
        <f t="shared" si="690"/>
        <v>-3203.0510000000004</v>
      </c>
      <c r="CT542" s="202">
        <f t="shared" si="691"/>
        <v>-3203.0510000000004</v>
      </c>
      <c r="CU542" s="203" t="e">
        <f t="shared" si="692"/>
        <v>#DIV/0!</v>
      </c>
      <c r="CV542" s="203" t="e">
        <f t="shared" si="693"/>
        <v>#DIV/0!</v>
      </c>
      <c r="CW542" s="203" t="e">
        <f t="shared" si="694"/>
        <v>#DIV/0!</v>
      </c>
      <c r="CX542" s="19" t="e">
        <f t="shared" si="695"/>
        <v>#DIV/0!</v>
      </c>
      <c r="CY542" s="19" t="e">
        <f t="shared" si="696"/>
        <v>#DIV/0!</v>
      </c>
      <c r="CZ542" s="19" t="e">
        <f t="shared" si="697"/>
        <v>#DIV/0!</v>
      </c>
      <c r="DA542" s="203" t="e">
        <f t="shared" si="698"/>
        <v>#DIV/0!</v>
      </c>
      <c r="DB542" s="203" t="e">
        <f t="shared" si="699"/>
        <v>#DIV/0!</v>
      </c>
      <c r="DC542" s="203" t="e">
        <f t="shared" si="700"/>
        <v>#DIV/0!</v>
      </c>
      <c r="DD542" s="65"/>
      <c r="DE542" s="66"/>
      <c r="DF542" s="66"/>
      <c r="DG542" s="66"/>
      <c r="DH542" s="66"/>
      <c r="DI542" s="66"/>
      <c r="DJ542" s="66"/>
      <c r="DK542" s="70"/>
      <c r="DL542" s="70"/>
      <c r="DM542" s="8">
        <f t="shared" si="762"/>
        <v>0</v>
      </c>
      <c r="DN542" s="8">
        <f t="shared" si="763"/>
        <v>3203.0510000000004</v>
      </c>
      <c r="DO542" s="202">
        <f t="shared" si="737"/>
        <v>-3203.0510000000004</v>
      </c>
      <c r="DP542" s="202">
        <f t="shared" si="738"/>
        <v>-3203.0510000000004</v>
      </c>
      <c r="DQ542" s="202">
        <f t="shared" si="739"/>
        <v>-3203.0510000000004</v>
      </c>
      <c r="DR542" s="9">
        <f t="shared" si="740"/>
        <v>-3203.0510000000004</v>
      </c>
      <c r="DS542" s="9">
        <f t="shared" si="703"/>
        <v>-3203.0510000000004</v>
      </c>
      <c r="DT542" s="9">
        <f t="shared" si="741"/>
        <v>-3203.0510000000004</v>
      </c>
      <c r="DU542" s="202">
        <f t="shared" si="742"/>
        <v>-3203.0510000000004</v>
      </c>
      <c r="DV542" s="202">
        <f t="shared" si="743"/>
        <v>-3203.0510000000004</v>
      </c>
      <c r="DW542" s="202">
        <f t="shared" si="744"/>
        <v>-3203.0510000000004</v>
      </c>
      <c r="DX542" s="203" t="e">
        <f t="shared" si="745"/>
        <v>#DIV/0!</v>
      </c>
      <c r="DY542" s="203" t="e">
        <f t="shared" si="746"/>
        <v>#DIV/0!</v>
      </c>
      <c r="DZ542" s="203" t="e">
        <f t="shared" si="747"/>
        <v>#DIV/0!</v>
      </c>
      <c r="EA542" s="19" t="e">
        <f t="shared" si="748"/>
        <v>#DIV/0!</v>
      </c>
      <c r="EB542" s="19" t="e">
        <f t="shared" si="704"/>
        <v>#DIV/0!</v>
      </c>
      <c r="EC542" s="19" t="e">
        <f t="shared" si="749"/>
        <v>#DIV/0!</v>
      </c>
      <c r="ED542" s="203" t="e">
        <f t="shared" si="750"/>
        <v>#DIV/0!</v>
      </c>
      <c r="EE542" s="203" t="e">
        <f t="shared" si="751"/>
        <v>#DIV/0!</v>
      </c>
      <c r="EF542" s="203" t="e">
        <f t="shared" si="752"/>
        <v>#DIV/0!</v>
      </c>
      <c r="EH542" s="58">
        <f t="shared" si="798"/>
        <v>3203.0510000000004</v>
      </c>
      <c r="EI542" s="68" t="e">
        <f t="shared" si="799"/>
        <v>#DIV/0!</v>
      </c>
      <c r="EJ542" s="58">
        <f t="shared" si="800"/>
        <v>3203.0510000000004</v>
      </c>
      <c r="EK542" s="68" t="e">
        <f t="shared" si="799"/>
        <v>#DIV/0!</v>
      </c>
      <c r="EL542" s="58">
        <f t="shared" si="801"/>
        <v>0</v>
      </c>
      <c r="EM542" s="58">
        <f t="shared" si="802"/>
        <v>0</v>
      </c>
      <c r="EN542" s="68" t="e">
        <f t="shared" si="803"/>
        <v>#DIV/0!</v>
      </c>
      <c r="EO542" s="139">
        <f t="shared" si="854"/>
        <v>0.25197746931178833</v>
      </c>
      <c r="EP542">
        <f>+(SUM(M542:O542)*EO542*(1-'[1]Tier 3 Data'!$A$2))</f>
        <v>0</v>
      </c>
    </row>
    <row r="543" spans="1:146" x14ac:dyDescent="0.2">
      <c r="A543" s="43">
        <v>0</v>
      </c>
      <c r="B543" s="43">
        <v>0</v>
      </c>
      <c r="C543" s="43">
        <v>0</v>
      </c>
      <c r="D543" s="70">
        <v>2052</v>
      </c>
      <c r="E543" s="70">
        <v>8</v>
      </c>
      <c r="F543" s="2">
        <v>744</v>
      </c>
      <c r="G543" s="133">
        <f t="shared" si="838"/>
        <v>0</v>
      </c>
      <c r="H543" s="64"/>
      <c r="I543" s="133">
        <f t="shared" si="839"/>
        <v>0</v>
      </c>
      <c r="J543" s="133">
        <f t="shared" si="778"/>
        <v>0</v>
      </c>
      <c r="K543" s="64"/>
      <c r="L543" s="133">
        <f t="shared" si="779"/>
        <v>0</v>
      </c>
      <c r="M543" s="5"/>
      <c r="N543" s="5"/>
      <c r="O543" s="5"/>
      <c r="P543" s="200">
        <f t="shared" si="770"/>
        <v>0</v>
      </c>
      <c r="Q543" s="200">
        <f t="shared" si="771"/>
        <v>0</v>
      </c>
      <c r="R543" s="200">
        <f t="shared" si="772"/>
        <v>0</v>
      </c>
      <c r="S543" s="133">
        <f t="shared" si="840"/>
        <v>0</v>
      </c>
      <c r="T543" s="133">
        <f t="shared" si="841"/>
        <v>0</v>
      </c>
      <c r="U543" s="133">
        <f t="shared" si="842"/>
        <v>0</v>
      </c>
      <c r="V543" s="200">
        <f t="shared" si="773"/>
        <v>0</v>
      </c>
      <c r="W543" s="200">
        <f t="shared" si="774"/>
        <v>0</v>
      </c>
      <c r="X543" s="200">
        <f t="shared" si="775"/>
        <v>0</v>
      </c>
      <c r="Y543" s="58">
        <f t="shared" si="813"/>
        <v>0</v>
      </c>
      <c r="AA543" s="58">
        <f t="shared" si="814"/>
        <v>0</v>
      </c>
      <c r="AB543" s="200">
        <f t="shared" si="815"/>
        <v>0</v>
      </c>
      <c r="AC543" s="200">
        <f t="shared" si="816"/>
        <v>0</v>
      </c>
      <c r="AD543" s="200">
        <f t="shared" si="817"/>
        <v>0</v>
      </c>
      <c r="AE543" s="199">
        <f t="shared" si="719"/>
        <v>0</v>
      </c>
      <c r="AF543" s="199">
        <f t="shared" si="818"/>
        <v>0</v>
      </c>
      <c r="AG543" s="199">
        <f t="shared" si="720"/>
        <v>0</v>
      </c>
      <c r="AH543" s="199">
        <f t="shared" si="843"/>
        <v>0</v>
      </c>
      <c r="AI543" s="200">
        <f t="shared" si="819"/>
        <v>0</v>
      </c>
      <c r="AJ543" s="200">
        <f t="shared" si="820"/>
        <v>0</v>
      </c>
      <c r="AK543" s="200">
        <f t="shared" si="821"/>
        <v>0</v>
      </c>
      <c r="AL543" s="4"/>
      <c r="AM543" s="4"/>
      <c r="AN543" s="4"/>
      <c r="AO543" s="4"/>
      <c r="AP543" s="63"/>
      <c r="AQ543" s="18"/>
      <c r="AR543" s="18"/>
      <c r="AS543" s="18"/>
      <c r="AT543" s="18">
        <v>0</v>
      </c>
      <c r="AU543" s="133">
        <f t="shared" ref="AU543" si="865">+AU531</f>
        <v>107.64</v>
      </c>
      <c r="AV543" s="133">
        <f t="shared" ref="AV543" si="866">+AV531</f>
        <v>3021.9279999999999</v>
      </c>
      <c r="AW543" s="194"/>
      <c r="AX543" s="194"/>
      <c r="AY543" s="194"/>
      <c r="AZ543" s="194"/>
      <c r="BA543" s="194"/>
      <c r="BB543" s="194"/>
      <c r="BC543" s="65">
        <v>0</v>
      </c>
      <c r="BD543" s="65">
        <v>0</v>
      </c>
      <c r="BE543" s="65">
        <v>0</v>
      </c>
      <c r="BF543" s="65">
        <v>0</v>
      </c>
      <c r="BG543" s="65">
        <v>0</v>
      </c>
      <c r="BH543" s="65">
        <v>0</v>
      </c>
      <c r="BI543" s="65">
        <v>0</v>
      </c>
      <c r="BJ543" s="65">
        <v>0</v>
      </c>
      <c r="BK543" s="65">
        <v>0</v>
      </c>
      <c r="BL543" s="65">
        <v>0</v>
      </c>
      <c r="BM543" s="65">
        <v>0</v>
      </c>
      <c r="BN543" s="65">
        <v>0</v>
      </c>
      <c r="BO543" s="65">
        <v>0</v>
      </c>
      <c r="BP543" s="5"/>
      <c r="BQ543" s="5"/>
      <c r="BR543" s="5"/>
      <c r="BS543" s="5"/>
      <c r="BT543" s="5"/>
      <c r="BU543" s="5"/>
      <c r="BV543" s="144">
        <f t="shared" si="810"/>
        <v>0</v>
      </c>
      <c r="BW543" s="144">
        <f t="shared" si="811"/>
        <v>0</v>
      </c>
      <c r="BX543" s="144">
        <f t="shared" si="812"/>
        <v>0</v>
      </c>
      <c r="BY543" s="5"/>
      <c r="BZ543" s="5"/>
      <c r="CA543" s="4"/>
      <c r="CB543" s="5"/>
      <c r="CC543" s="5"/>
      <c r="CD543" s="5"/>
      <c r="CE543" s="5"/>
      <c r="CF543" s="64"/>
      <c r="CG543" s="70"/>
      <c r="CH543" s="70"/>
      <c r="CI543" s="70"/>
      <c r="CJ543" s="63"/>
      <c r="CK543" s="8">
        <f t="shared" si="761"/>
        <v>3129.5679999999998</v>
      </c>
      <c r="CL543" s="202">
        <f t="shared" si="683"/>
        <v>-3129.5679999999998</v>
      </c>
      <c r="CM543" s="202">
        <f t="shared" si="684"/>
        <v>-3129.5679999999998</v>
      </c>
      <c r="CN543" s="202">
        <f t="shared" si="685"/>
        <v>-3129.5679999999998</v>
      </c>
      <c r="CO543" s="9">
        <f t="shared" si="686"/>
        <v>-3129.5679999999998</v>
      </c>
      <c r="CP543" s="9">
        <f t="shared" si="687"/>
        <v>-3129.5679999999998</v>
      </c>
      <c r="CQ543" s="9">
        <f t="shared" si="688"/>
        <v>-3129.5679999999998</v>
      </c>
      <c r="CR543" s="202">
        <f t="shared" si="689"/>
        <v>-3129.5679999999998</v>
      </c>
      <c r="CS543" s="202">
        <f t="shared" si="690"/>
        <v>-3129.5679999999998</v>
      </c>
      <c r="CT543" s="202">
        <f t="shared" si="691"/>
        <v>-3129.5679999999998</v>
      </c>
      <c r="CU543" s="203" t="e">
        <f t="shared" si="692"/>
        <v>#DIV/0!</v>
      </c>
      <c r="CV543" s="203" t="e">
        <f t="shared" si="693"/>
        <v>#DIV/0!</v>
      </c>
      <c r="CW543" s="203" t="e">
        <f t="shared" si="694"/>
        <v>#DIV/0!</v>
      </c>
      <c r="CX543" s="19" t="e">
        <f t="shared" si="695"/>
        <v>#DIV/0!</v>
      </c>
      <c r="CY543" s="19" t="e">
        <f t="shared" si="696"/>
        <v>#DIV/0!</v>
      </c>
      <c r="CZ543" s="19" t="e">
        <f t="shared" si="697"/>
        <v>#DIV/0!</v>
      </c>
      <c r="DA543" s="203" t="e">
        <f t="shared" si="698"/>
        <v>#DIV/0!</v>
      </c>
      <c r="DB543" s="203" t="e">
        <f t="shared" si="699"/>
        <v>#DIV/0!</v>
      </c>
      <c r="DC543" s="203" t="e">
        <f t="shared" si="700"/>
        <v>#DIV/0!</v>
      </c>
      <c r="DD543" s="65"/>
      <c r="DE543" s="66"/>
      <c r="DF543" s="66"/>
      <c r="DG543" s="66"/>
      <c r="DH543" s="66"/>
      <c r="DI543" s="66"/>
      <c r="DJ543" s="66"/>
      <c r="DK543" s="70"/>
      <c r="DL543" s="70"/>
      <c r="DM543" s="8">
        <f t="shared" si="762"/>
        <v>0</v>
      </c>
      <c r="DN543" s="8">
        <f t="shared" si="763"/>
        <v>3129.5679999999998</v>
      </c>
      <c r="DO543" s="202">
        <f t="shared" si="737"/>
        <v>-3129.5679999999998</v>
      </c>
      <c r="DP543" s="202">
        <f t="shared" si="738"/>
        <v>-3129.5679999999998</v>
      </c>
      <c r="DQ543" s="202">
        <f t="shared" si="739"/>
        <v>-3129.5679999999998</v>
      </c>
      <c r="DR543" s="9">
        <f t="shared" si="740"/>
        <v>-3129.5679999999998</v>
      </c>
      <c r="DS543" s="9">
        <f t="shared" si="703"/>
        <v>-3129.5679999999998</v>
      </c>
      <c r="DT543" s="9">
        <f t="shared" si="741"/>
        <v>-3129.5679999999998</v>
      </c>
      <c r="DU543" s="202">
        <f t="shared" si="742"/>
        <v>-3129.5679999999998</v>
      </c>
      <c r="DV543" s="202">
        <f t="shared" si="743"/>
        <v>-3129.5679999999998</v>
      </c>
      <c r="DW543" s="202">
        <f t="shared" si="744"/>
        <v>-3129.5679999999998</v>
      </c>
      <c r="DX543" s="203" t="e">
        <f t="shared" si="745"/>
        <v>#DIV/0!</v>
      </c>
      <c r="DY543" s="203" t="e">
        <f t="shared" si="746"/>
        <v>#DIV/0!</v>
      </c>
      <c r="DZ543" s="203" t="e">
        <f t="shared" si="747"/>
        <v>#DIV/0!</v>
      </c>
      <c r="EA543" s="19" t="e">
        <f t="shared" si="748"/>
        <v>#DIV/0!</v>
      </c>
      <c r="EB543" s="19" t="e">
        <f t="shared" si="704"/>
        <v>#DIV/0!</v>
      </c>
      <c r="EC543" s="19" t="e">
        <f t="shared" si="749"/>
        <v>#DIV/0!</v>
      </c>
      <c r="ED543" s="203" t="e">
        <f t="shared" si="750"/>
        <v>#DIV/0!</v>
      </c>
      <c r="EE543" s="203" t="e">
        <f t="shared" si="751"/>
        <v>#DIV/0!</v>
      </c>
      <c r="EF543" s="203" t="e">
        <f t="shared" si="752"/>
        <v>#DIV/0!</v>
      </c>
      <c r="EH543" s="58">
        <f t="shared" si="798"/>
        <v>3129.5679999999998</v>
      </c>
      <c r="EI543" s="68" t="e">
        <f t="shared" si="799"/>
        <v>#DIV/0!</v>
      </c>
      <c r="EJ543" s="58">
        <f t="shared" si="800"/>
        <v>3129.5679999999998</v>
      </c>
      <c r="EK543" s="68" t="e">
        <f t="shared" si="799"/>
        <v>#DIV/0!</v>
      </c>
      <c r="EL543" s="58">
        <f t="shared" si="801"/>
        <v>0</v>
      </c>
      <c r="EM543" s="58">
        <f t="shared" si="802"/>
        <v>0</v>
      </c>
      <c r="EN543" s="68" t="e">
        <f t="shared" si="803"/>
        <v>#DIV/0!</v>
      </c>
      <c r="EO543" s="139">
        <f t="shared" si="854"/>
        <v>0.28519905910129462</v>
      </c>
      <c r="EP543">
        <f>+(SUM(M543:O543)*EO543*(1-'[1]Tier 3 Data'!$A$2))</f>
        <v>0</v>
      </c>
    </row>
    <row r="544" spans="1:146" x14ac:dyDescent="0.2">
      <c r="A544" s="43">
        <v>0</v>
      </c>
      <c r="B544" s="43">
        <v>0</v>
      </c>
      <c r="C544" s="43">
        <v>0</v>
      </c>
      <c r="D544" s="70">
        <v>2052</v>
      </c>
      <c r="E544" s="70">
        <v>9</v>
      </c>
      <c r="F544" s="2">
        <v>720</v>
      </c>
      <c r="G544" s="133">
        <f t="shared" si="838"/>
        <v>0</v>
      </c>
      <c r="H544" s="64"/>
      <c r="I544" s="133">
        <f t="shared" si="839"/>
        <v>0</v>
      </c>
      <c r="J544" s="133">
        <f t="shared" si="778"/>
        <v>0</v>
      </c>
      <c r="K544" s="64"/>
      <c r="L544" s="133">
        <f t="shared" si="779"/>
        <v>0</v>
      </c>
      <c r="M544" s="5"/>
      <c r="N544" s="5"/>
      <c r="O544" s="5"/>
      <c r="P544" s="200">
        <f t="shared" si="770"/>
        <v>0</v>
      </c>
      <c r="Q544" s="200">
        <f t="shared" si="771"/>
        <v>0</v>
      </c>
      <c r="R544" s="200">
        <f t="shared" si="772"/>
        <v>0</v>
      </c>
      <c r="S544" s="133">
        <f t="shared" si="840"/>
        <v>0</v>
      </c>
      <c r="T544" s="133">
        <f t="shared" si="841"/>
        <v>0</v>
      </c>
      <c r="U544" s="133">
        <f t="shared" si="842"/>
        <v>0</v>
      </c>
      <c r="V544" s="200">
        <f t="shared" si="773"/>
        <v>0</v>
      </c>
      <c r="W544" s="200">
        <f t="shared" si="774"/>
        <v>0</v>
      </c>
      <c r="X544" s="200">
        <f t="shared" si="775"/>
        <v>0</v>
      </c>
      <c r="Y544" s="58">
        <f t="shared" si="813"/>
        <v>0</v>
      </c>
      <c r="AA544" s="58">
        <f t="shared" si="814"/>
        <v>0</v>
      </c>
      <c r="AB544" s="200">
        <f t="shared" si="815"/>
        <v>0</v>
      </c>
      <c r="AC544" s="200">
        <f t="shared" si="816"/>
        <v>0</v>
      </c>
      <c r="AD544" s="200">
        <f t="shared" si="817"/>
        <v>0</v>
      </c>
      <c r="AE544" s="199">
        <f t="shared" si="719"/>
        <v>0</v>
      </c>
      <c r="AF544" s="199">
        <f t="shared" si="818"/>
        <v>0</v>
      </c>
      <c r="AG544" s="199">
        <f t="shared" si="720"/>
        <v>0</v>
      </c>
      <c r="AH544" s="199">
        <f t="shared" si="843"/>
        <v>0</v>
      </c>
      <c r="AI544" s="200">
        <f t="shared" si="819"/>
        <v>0</v>
      </c>
      <c r="AJ544" s="200">
        <f t="shared" si="820"/>
        <v>0</v>
      </c>
      <c r="AK544" s="200">
        <f t="shared" si="821"/>
        <v>0</v>
      </c>
      <c r="AL544" s="4"/>
      <c r="AM544" s="4"/>
      <c r="AN544" s="4"/>
      <c r="AO544" s="4"/>
      <c r="AP544" s="63"/>
      <c r="AQ544" s="18"/>
      <c r="AR544" s="18"/>
      <c r="AS544" s="18"/>
      <c r="AT544" s="18">
        <v>0</v>
      </c>
      <c r="AU544" s="133">
        <f t="shared" ref="AU544" si="867">+AU532</f>
        <v>102.375</v>
      </c>
      <c r="AV544" s="133">
        <f t="shared" ref="AV544" si="868">+AV532</f>
        <v>2969.6280000000002</v>
      </c>
      <c r="AW544" s="194"/>
      <c r="AX544" s="194"/>
      <c r="AY544" s="194"/>
      <c r="AZ544" s="194"/>
      <c r="BA544" s="194"/>
      <c r="BB544" s="194"/>
      <c r="BC544" s="65">
        <v>0</v>
      </c>
      <c r="BD544" s="65">
        <v>0</v>
      </c>
      <c r="BE544" s="65">
        <v>0</v>
      </c>
      <c r="BF544" s="65">
        <v>0</v>
      </c>
      <c r="BG544" s="65">
        <v>0</v>
      </c>
      <c r="BH544" s="65">
        <v>0</v>
      </c>
      <c r="BI544" s="65">
        <v>0</v>
      </c>
      <c r="BJ544" s="65">
        <v>0</v>
      </c>
      <c r="BK544" s="65">
        <v>0</v>
      </c>
      <c r="BL544" s="65">
        <v>0</v>
      </c>
      <c r="BM544" s="65">
        <v>0</v>
      </c>
      <c r="BN544" s="65">
        <v>0</v>
      </c>
      <c r="BO544" s="65">
        <v>0</v>
      </c>
      <c r="BP544" s="5"/>
      <c r="BQ544" s="5"/>
      <c r="BR544" s="5"/>
      <c r="BS544" s="5"/>
      <c r="BT544" s="5"/>
      <c r="BU544" s="5"/>
      <c r="BV544" s="144">
        <f t="shared" si="810"/>
        <v>0</v>
      </c>
      <c r="BW544" s="144">
        <f t="shared" si="811"/>
        <v>0</v>
      </c>
      <c r="BX544" s="144">
        <f t="shared" si="812"/>
        <v>0</v>
      </c>
      <c r="BY544" s="5"/>
      <c r="BZ544" s="5"/>
      <c r="CA544" s="4"/>
      <c r="CB544" s="5"/>
      <c r="CC544" s="5"/>
      <c r="CD544" s="5"/>
      <c r="CE544" s="5"/>
      <c r="CF544" s="64"/>
      <c r="CG544" s="70"/>
      <c r="CH544" s="70"/>
      <c r="CI544" s="70"/>
      <c r="CJ544" s="63"/>
      <c r="CK544" s="8">
        <f t="shared" si="761"/>
        <v>3072.0030000000002</v>
      </c>
      <c r="CL544" s="202">
        <f t="shared" si="683"/>
        <v>-3072.0030000000002</v>
      </c>
      <c r="CM544" s="202">
        <f t="shared" si="684"/>
        <v>-3072.0030000000002</v>
      </c>
      <c r="CN544" s="202">
        <f t="shared" si="685"/>
        <v>-3072.0030000000002</v>
      </c>
      <c r="CO544" s="9">
        <f t="shared" si="686"/>
        <v>-3072.0030000000002</v>
      </c>
      <c r="CP544" s="9">
        <f t="shared" si="687"/>
        <v>-3072.0030000000002</v>
      </c>
      <c r="CQ544" s="9">
        <f t="shared" si="688"/>
        <v>-3072.0030000000002</v>
      </c>
      <c r="CR544" s="202">
        <f t="shared" si="689"/>
        <v>-3072.0030000000002</v>
      </c>
      <c r="CS544" s="202">
        <f t="shared" si="690"/>
        <v>-3072.0030000000002</v>
      </c>
      <c r="CT544" s="202">
        <f t="shared" si="691"/>
        <v>-3072.0030000000002</v>
      </c>
      <c r="CU544" s="203" t="e">
        <f t="shared" si="692"/>
        <v>#DIV/0!</v>
      </c>
      <c r="CV544" s="203" t="e">
        <f t="shared" si="693"/>
        <v>#DIV/0!</v>
      </c>
      <c r="CW544" s="203" t="e">
        <f t="shared" si="694"/>
        <v>#DIV/0!</v>
      </c>
      <c r="CX544" s="19" t="e">
        <f t="shared" si="695"/>
        <v>#DIV/0!</v>
      </c>
      <c r="CY544" s="19" t="e">
        <f t="shared" si="696"/>
        <v>#DIV/0!</v>
      </c>
      <c r="CZ544" s="19" t="e">
        <f t="shared" si="697"/>
        <v>#DIV/0!</v>
      </c>
      <c r="DA544" s="203" t="e">
        <f t="shared" si="698"/>
        <v>#DIV/0!</v>
      </c>
      <c r="DB544" s="203" t="e">
        <f t="shared" si="699"/>
        <v>#DIV/0!</v>
      </c>
      <c r="DC544" s="203" t="e">
        <f t="shared" si="700"/>
        <v>#DIV/0!</v>
      </c>
      <c r="DD544" s="65"/>
      <c r="DE544" s="66"/>
      <c r="DF544" s="66"/>
      <c r="DG544" s="66"/>
      <c r="DH544" s="66"/>
      <c r="DI544" s="66"/>
      <c r="DJ544" s="66"/>
      <c r="DK544" s="70"/>
      <c r="DL544" s="70"/>
      <c r="DM544" s="8">
        <f t="shared" si="762"/>
        <v>0</v>
      </c>
      <c r="DN544" s="8">
        <f t="shared" si="763"/>
        <v>3072.0030000000002</v>
      </c>
      <c r="DO544" s="202">
        <f t="shared" si="737"/>
        <v>-3072.0030000000002</v>
      </c>
      <c r="DP544" s="202">
        <f t="shared" si="738"/>
        <v>-3072.0030000000002</v>
      </c>
      <c r="DQ544" s="202">
        <f t="shared" si="739"/>
        <v>-3072.0030000000002</v>
      </c>
      <c r="DR544" s="9">
        <f t="shared" si="740"/>
        <v>-3072.0030000000002</v>
      </c>
      <c r="DS544" s="9">
        <f t="shared" si="703"/>
        <v>-3072.0030000000002</v>
      </c>
      <c r="DT544" s="9">
        <f t="shared" si="741"/>
        <v>-3072.0030000000002</v>
      </c>
      <c r="DU544" s="202">
        <f t="shared" si="742"/>
        <v>-3072.0030000000002</v>
      </c>
      <c r="DV544" s="202">
        <f t="shared" si="743"/>
        <v>-3072.0030000000002</v>
      </c>
      <c r="DW544" s="202">
        <f t="shared" si="744"/>
        <v>-3072.0030000000002</v>
      </c>
      <c r="DX544" s="203" t="e">
        <f t="shared" si="745"/>
        <v>#DIV/0!</v>
      </c>
      <c r="DY544" s="203" t="e">
        <f t="shared" si="746"/>
        <v>#DIV/0!</v>
      </c>
      <c r="DZ544" s="203" t="e">
        <f t="shared" si="747"/>
        <v>#DIV/0!</v>
      </c>
      <c r="EA544" s="19" t="e">
        <f t="shared" si="748"/>
        <v>#DIV/0!</v>
      </c>
      <c r="EB544" s="19" t="e">
        <f t="shared" si="704"/>
        <v>#DIV/0!</v>
      </c>
      <c r="EC544" s="19" t="e">
        <f t="shared" si="749"/>
        <v>#DIV/0!</v>
      </c>
      <c r="ED544" s="203" t="e">
        <f t="shared" si="750"/>
        <v>#DIV/0!</v>
      </c>
      <c r="EE544" s="203" t="e">
        <f t="shared" si="751"/>
        <v>#DIV/0!</v>
      </c>
      <c r="EF544" s="203" t="e">
        <f t="shared" si="752"/>
        <v>#DIV/0!</v>
      </c>
      <c r="EH544" s="58">
        <f t="shared" si="798"/>
        <v>3072.0030000000002</v>
      </c>
      <c r="EI544" s="68" t="e">
        <f t="shared" si="799"/>
        <v>#DIV/0!</v>
      </c>
      <c r="EJ544" s="58">
        <f t="shared" si="800"/>
        <v>3072.0030000000002</v>
      </c>
      <c r="EK544" s="68" t="e">
        <f t="shared" si="799"/>
        <v>#DIV/0!</v>
      </c>
      <c r="EL544" s="58">
        <f t="shared" si="801"/>
        <v>0</v>
      </c>
      <c r="EM544" s="58">
        <f t="shared" si="802"/>
        <v>0</v>
      </c>
      <c r="EN544" s="68" t="e">
        <f t="shared" si="803"/>
        <v>#DIV/0!</v>
      </c>
      <c r="EO544" s="139">
        <f t="shared" si="854"/>
        <v>0.31860645638858931</v>
      </c>
      <c r="EP544">
        <f>+(SUM(M544:O544)*EO544*(1-'[1]Tier 3 Data'!$A$2))</f>
        <v>0</v>
      </c>
    </row>
    <row r="545" spans="1:146" x14ac:dyDescent="0.2">
      <c r="A545" s="43">
        <v>0</v>
      </c>
      <c r="B545" s="43">
        <v>0</v>
      </c>
      <c r="C545" s="43">
        <v>0</v>
      </c>
      <c r="D545" s="70">
        <v>2052</v>
      </c>
      <c r="E545" s="70">
        <v>10</v>
      </c>
      <c r="F545" s="2">
        <v>744</v>
      </c>
      <c r="G545" s="133">
        <f t="shared" si="838"/>
        <v>0</v>
      </c>
      <c r="H545" s="64"/>
      <c r="I545" s="133">
        <f t="shared" si="839"/>
        <v>0</v>
      </c>
      <c r="J545" s="133">
        <f t="shared" si="778"/>
        <v>0</v>
      </c>
      <c r="K545" s="64"/>
      <c r="L545" s="133">
        <f t="shared" si="779"/>
        <v>0</v>
      </c>
      <c r="M545" s="5"/>
      <c r="N545" s="5"/>
      <c r="O545" s="5"/>
      <c r="P545" s="200">
        <f t="shared" si="770"/>
        <v>0</v>
      </c>
      <c r="Q545" s="200">
        <f t="shared" si="771"/>
        <v>0</v>
      </c>
      <c r="R545" s="200">
        <f t="shared" si="772"/>
        <v>0</v>
      </c>
      <c r="S545" s="133">
        <f t="shared" si="840"/>
        <v>0</v>
      </c>
      <c r="T545" s="133">
        <f t="shared" si="841"/>
        <v>0</v>
      </c>
      <c r="U545" s="133">
        <f t="shared" si="842"/>
        <v>0</v>
      </c>
      <c r="V545" s="200">
        <f t="shared" si="773"/>
        <v>0</v>
      </c>
      <c r="W545" s="200">
        <f t="shared" si="774"/>
        <v>0</v>
      </c>
      <c r="X545" s="200">
        <f t="shared" si="775"/>
        <v>0</v>
      </c>
      <c r="Y545" s="58">
        <f t="shared" si="813"/>
        <v>0</v>
      </c>
      <c r="AA545" s="58">
        <f t="shared" si="814"/>
        <v>0</v>
      </c>
      <c r="AB545" s="200">
        <f t="shared" si="815"/>
        <v>0</v>
      </c>
      <c r="AC545" s="200">
        <f t="shared" si="816"/>
        <v>0</v>
      </c>
      <c r="AD545" s="200">
        <f t="shared" si="817"/>
        <v>0</v>
      </c>
      <c r="AE545" s="199">
        <f t="shared" si="719"/>
        <v>0</v>
      </c>
      <c r="AF545" s="199">
        <f t="shared" si="818"/>
        <v>0</v>
      </c>
      <c r="AG545" s="199">
        <f t="shared" si="720"/>
        <v>0</v>
      </c>
      <c r="AH545" s="199">
        <f t="shared" si="843"/>
        <v>0</v>
      </c>
      <c r="AI545" s="200">
        <f t="shared" si="819"/>
        <v>0</v>
      </c>
      <c r="AJ545" s="200">
        <f t="shared" si="820"/>
        <v>0</v>
      </c>
      <c r="AK545" s="200">
        <f t="shared" si="821"/>
        <v>0</v>
      </c>
      <c r="AL545" s="4"/>
      <c r="AM545" s="4"/>
      <c r="AN545" s="4"/>
      <c r="AO545" s="4"/>
      <c r="AP545" s="63"/>
      <c r="AQ545" s="18"/>
      <c r="AR545" s="18"/>
      <c r="AS545" s="18"/>
      <c r="AT545" s="18">
        <v>0</v>
      </c>
      <c r="AU545" s="133">
        <f t="shared" ref="AU545" si="869">+AU533</f>
        <v>118.17</v>
      </c>
      <c r="AV545" s="133">
        <f t="shared" ref="AV545" si="870">+AV533</f>
        <v>3225.1860000000001</v>
      </c>
      <c r="AW545" s="194"/>
      <c r="AX545" s="194"/>
      <c r="AY545" s="194"/>
      <c r="AZ545" s="194"/>
      <c r="BA545" s="194"/>
      <c r="BB545" s="194"/>
      <c r="BC545" s="65">
        <v>0</v>
      </c>
      <c r="BD545" s="65">
        <v>0</v>
      </c>
      <c r="BE545" s="65">
        <v>0</v>
      </c>
      <c r="BF545" s="65">
        <v>0</v>
      </c>
      <c r="BG545" s="65">
        <v>0</v>
      </c>
      <c r="BH545" s="65">
        <v>0</v>
      </c>
      <c r="BI545" s="65">
        <v>0</v>
      </c>
      <c r="BJ545" s="65">
        <v>0</v>
      </c>
      <c r="BK545" s="65">
        <v>0</v>
      </c>
      <c r="BL545" s="65">
        <v>0</v>
      </c>
      <c r="BM545" s="65">
        <v>0</v>
      </c>
      <c r="BN545" s="65">
        <v>0</v>
      </c>
      <c r="BO545" s="65">
        <v>0</v>
      </c>
      <c r="BP545" s="5"/>
      <c r="BQ545" s="5"/>
      <c r="BR545" s="5"/>
      <c r="BS545" s="5"/>
      <c r="BT545" s="5"/>
      <c r="BU545" s="5"/>
      <c r="BV545" s="144">
        <f t="shared" si="810"/>
        <v>0</v>
      </c>
      <c r="BW545" s="144">
        <f t="shared" si="811"/>
        <v>0</v>
      </c>
      <c r="BX545" s="144">
        <f t="shared" si="812"/>
        <v>0</v>
      </c>
      <c r="BY545" s="5"/>
      <c r="BZ545" s="5"/>
      <c r="CA545" s="4"/>
      <c r="CB545" s="5"/>
      <c r="CC545" s="5"/>
      <c r="CD545" s="5"/>
      <c r="CE545" s="5"/>
      <c r="CF545" s="64"/>
      <c r="CG545" s="70"/>
      <c r="CH545" s="70"/>
      <c r="CI545" s="70"/>
      <c r="CJ545" s="63"/>
      <c r="CK545" s="8">
        <f t="shared" si="761"/>
        <v>3343.3560000000002</v>
      </c>
      <c r="CL545" s="202">
        <f t="shared" si="683"/>
        <v>-3343.3560000000002</v>
      </c>
      <c r="CM545" s="202">
        <f t="shared" si="684"/>
        <v>-3343.3560000000002</v>
      </c>
      <c r="CN545" s="202">
        <f t="shared" si="685"/>
        <v>-3343.3560000000002</v>
      </c>
      <c r="CO545" s="9">
        <f t="shared" si="686"/>
        <v>-3343.3560000000002</v>
      </c>
      <c r="CP545" s="9">
        <f t="shared" si="687"/>
        <v>-3343.3560000000002</v>
      </c>
      <c r="CQ545" s="9">
        <f t="shared" si="688"/>
        <v>-3343.3560000000002</v>
      </c>
      <c r="CR545" s="202">
        <f t="shared" si="689"/>
        <v>-3343.3560000000002</v>
      </c>
      <c r="CS545" s="202">
        <f t="shared" si="690"/>
        <v>-3343.3560000000002</v>
      </c>
      <c r="CT545" s="202">
        <f t="shared" si="691"/>
        <v>-3343.3560000000002</v>
      </c>
      <c r="CU545" s="203" t="e">
        <f t="shared" si="692"/>
        <v>#DIV/0!</v>
      </c>
      <c r="CV545" s="203" t="e">
        <f t="shared" si="693"/>
        <v>#DIV/0!</v>
      </c>
      <c r="CW545" s="203" t="e">
        <f t="shared" si="694"/>
        <v>#DIV/0!</v>
      </c>
      <c r="CX545" s="19" t="e">
        <f t="shared" si="695"/>
        <v>#DIV/0!</v>
      </c>
      <c r="CY545" s="19" t="e">
        <f t="shared" si="696"/>
        <v>#DIV/0!</v>
      </c>
      <c r="CZ545" s="19" t="e">
        <f t="shared" si="697"/>
        <v>#DIV/0!</v>
      </c>
      <c r="DA545" s="203" t="e">
        <f t="shared" si="698"/>
        <v>#DIV/0!</v>
      </c>
      <c r="DB545" s="203" t="e">
        <f t="shared" si="699"/>
        <v>#DIV/0!</v>
      </c>
      <c r="DC545" s="203" t="e">
        <f t="shared" si="700"/>
        <v>#DIV/0!</v>
      </c>
      <c r="DD545" s="65"/>
      <c r="DE545" s="66"/>
      <c r="DF545" s="66"/>
      <c r="DG545" s="66"/>
      <c r="DH545" s="66"/>
      <c r="DI545" s="66"/>
      <c r="DJ545" s="66"/>
      <c r="DK545" s="70"/>
      <c r="DL545" s="70"/>
      <c r="DM545" s="8">
        <f t="shared" si="762"/>
        <v>0</v>
      </c>
      <c r="DN545" s="8">
        <f t="shared" si="763"/>
        <v>3343.3560000000002</v>
      </c>
      <c r="DO545" s="202">
        <f t="shared" si="737"/>
        <v>-3343.3560000000002</v>
      </c>
      <c r="DP545" s="202">
        <f t="shared" si="738"/>
        <v>-3343.3560000000002</v>
      </c>
      <c r="DQ545" s="202">
        <f t="shared" si="739"/>
        <v>-3343.3560000000002</v>
      </c>
      <c r="DR545" s="9">
        <f t="shared" si="740"/>
        <v>-3343.3560000000002</v>
      </c>
      <c r="DS545" s="9">
        <f t="shared" si="703"/>
        <v>-3343.3560000000002</v>
      </c>
      <c r="DT545" s="9">
        <f t="shared" si="741"/>
        <v>-3343.3560000000002</v>
      </c>
      <c r="DU545" s="202">
        <f t="shared" si="742"/>
        <v>-3343.3560000000002</v>
      </c>
      <c r="DV545" s="202">
        <f t="shared" si="743"/>
        <v>-3343.3560000000002</v>
      </c>
      <c r="DW545" s="202">
        <f t="shared" si="744"/>
        <v>-3343.3560000000002</v>
      </c>
      <c r="DX545" s="203" t="e">
        <f t="shared" si="745"/>
        <v>#DIV/0!</v>
      </c>
      <c r="DY545" s="203" t="e">
        <f t="shared" si="746"/>
        <v>#DIV/0!</v>
      </c>
      <c r="DZ545" s="203" t="e">
        <f t="shared" si="747"/>
        <v>#DIV/0!</v>
      </c>
      <c r="EA545" s="19" t="e">
        <f t="shared" si="748"/>
        <v>#DIV/0!</v>
      </c>
      <c r="EB545" s="19" t="e">
        <f t="shared" si="704"/>
        <v>#DIV/0!</v>
      </c>
      <c r="EC545" s="19" t="e">
        <f t="shared" si="749"/>
        <v>#DIV/0!</v>
      </c>
      <c r="ED545" s="203" t="e">
        <f t="shared" si="750"/>
        <v>#DIV/0!</v>
      </c>
      <c r="EE545" s="203" t="e">
        <f t="shared" si="751"/>
        <v>#DIV/0!</v>
      </c>
      <c r="EF545" s="203" t="e">
        <f t="shared" si="752"/>
        <v>#DIV/0!</v>
      </c>
      <c r="EH545" s="58">
        <f t="shared" si="798"/>
        <v>3343.3560000000002</v>
      </c>
      <c r="EI545" s="68" t="e">
        <f t="shared" si="799"/>
        <v>#DIV/0!</v>
      </c>
      <c r="EJ545" s="58">
        <f t="shared" si="800"/>
        <v>3343.3560000000002</v>
      </c>
      <c r="EK545" s="68" t="e">
        <f t="shared" si="799"/>
        <v>#DIV/0!</v>
      </c>
      <c r="EL545" s="58">
        <f t="shared" si="801"/>
        <v>0</v>
      </c>
      <c r="EM545" s="58">
        <f t="shared" si="802"/>
        <v>0</v>
      </c>
      <c r="EN545" s="68" t="e">
        <f t="shared" si="803"/>
        <v>#DIV/0!</v>
      </c>
      <c r="EO545" s="139">
        <f t="shared" si="854"/>
        <v>0.35739486552628164</v>
      </c>
      <c r="EP545">
        <f>+(SUM(M545:O545)*EO545*(1-'[1]Tier 3 Data'!$A$2))</f>
        <v>0</v>
      </c>
    </row>
    <row r="546" spans="1:146" x14ac:dyDescent="0.2">
      <c r="A546" s="43">
        <v>0</v>
      </c>
      <c r="B546" s="43">
        <v>0</v>
      </c>
      <c r="C546" s="43">
        <v>0</v>
      </c>
      <c r="D546" s="70">
        <v>2052</v>
      </c>
      <c r="E546" s="70">
        <v>11</v>
      </c>
      <c r="F546" s="2">
        <v>721</v>
      </c>
      <c r="G546" s="133">
        <f t="shared" si="838"/>
        <v>0</v>
      </c>
      <c r="H546" s="64"/>
      <c r="I546" s="133">
        <f t="shared" si="839"/>
        <v>0</v>
      </c>
      <c r="J546" s="133">
        <f t="shared" si="778"/>
        <v>0</v>
      </c>
      <c r="K546" s="64"/>
      <c r="L546" s="133">
        <f t="shared" si="779"/>
        <v>0</v>
      </c>
      <c r="M546" s="5"/>
      <c r="N546" s="5"/>
      <c r="O546" s="5"/>
      <c r="P546" s="200">
        <f t="shared" si="770"/>
        <v>0</v>
      </c>
      <c r="Q546" s="200">
        <f t="shared" si="771"/>
        <v>0</v>
      </c>
      <c r="R546" s="200">
        <f t="shared" si="772"/>
        <v>0</v>
      </c>
      <c r="S546" s="133">
        <f t="shared" si="840"/>
        <v>0</v>
      </c>
      <c r="T546" s="133">
        <f t="shared" si="841"/>
        <v>0</v>
      </c>
      <c r="U546" s="133">
        <f t="shared" si="842"/>
        <v>0</v>
      </c>
      <c r="V546" s="200">
        <f t="shared" si="773"/>
        <v>0</v>
      </c>
      <c r="W546" s="200">
        <f t="shared" si="774"/>
        <v>0</v>
      </c>
      <c r="X546" s="200">
        <f t="shared" si="775"/>
        <v>0</v>
      </c>
      <c r="Y546" s="58">
        <f t="shared" si="813"/>
        <v>0</v>
      </c>
      <c r="AA546" s="58">
        <f t="shared" si="814"/>
        <v>0</v>
      </c>
      <c r="AB546" s="200">
        <f t="shared" si="815"/>
        <v>0</v>
      </c>
      <c r="AC546" s="200">
        <f t="shared" si="816"/>
        <v>0</v>
      </c>
      <c r="AD546" s="200">
        <f t="shared" si="817"/>
        <v>0</v>
      </c>
      <c r="AE546" s="199">
        <f t="shared" si="719"/>
        <v>0</v>
      </c>
      <c r="AF546" s="199">
        <f t="shared" si="818"/>
        <v>0</v>
      </c>
      <c r="AG546" s="199">
        <f t="shared" si="720"/>
        <v>0</v>
      </c>
      <c r="AH546" s="199">
        <f t="shared" si="843"/>
        <v>0</v>
      </c>
      <c r="AI546" s="200">
        <f t="shared" si="819"/>
        <v>0</v>
      </c>
      <c r="AJ546" s="200">
        <f t="shared" si="820"/>
        <v>0</v>
      </c>
      <c r="AK546" s="200">
        <f t="shared" si="821"/>
        <v>0</v>
      </c>
      <c r="AL546" s="4"/>
      <c r="AM546" s="4"/>
      <c r="AN546" s="4"/>
      <c r="AO546" s="4"/>
      <c r="AP546" s="63"/>
      <c r="AQ546" s="18"/>
      <c r="AR546" s="18"/>
      <c r="AS546" s="18"/>
      <c r="AT546" s="18">
        <v>0</v>
      </c>
      <c r="AU546" s="133">
        <f t="shared" ref="AU546" si="871">+AU534</f>
        <v>104.364</v>
      </c>
      <c r="AV546" s="133">
        <f t="shared" ref="AV546" si="872">+AV534</f>
        <v>3268.3739999999998</v>
      </c>
      <c r="AW546" s="194"/>
      <c r="AX546" s="194"/>
      <c r="AY546" s="194"/>
      <c r="AZ546" s="194"/>
      <c r="BA546" s="194"/>
      <c r="BB546" s="194"/>
      <c r="BC546" s="65">
        <v>0</v>
      </c>
      <c r="BD546" s="65">
        <v>0</v>
      </c>
      <c r="BE546" s="65">
        <v>0</v>
      </c>
      <c r="BF546" s="65">
        <v>0</v>
      </c>
      <c r="BG546" s="65">
        <v>0</v>
      </c>
      <c r="BH546" s="65">
        <v>0</v>
      </c>
      <c r="BI546" s="65">
        <v>0</v>
      </c>
      <c r="BJ546" s="65">
        <v>0</v>
      </c>
      <c r="BK546" s="65">
        <v>0</v>
      </c>
      <c r="BL546" s="65">
        <v>0</v>
      </c>
      <c r="BM546" s="65">
        <v>0</v>
      </c>
      <c r="BN546" s="65">
        <v>0</v>
      </c>
      <c r="BO546" s="65">
        <v>0</v>
      </c>
      <c r="BP546" s="5"/>
      <c r="BQ546" s="5"/>
      <c r="BR546" s="5"/>
      <c r="BS546" s="5"/>
      <c r="BT546" s="5"/>
      <c r="BU546" s="5"/>
      <c r="BV546" s="144">
        <f t="shared" si="810"/>
        <v>0</v>
      </c>
      <c r="BW546" s="144">
        <f t="shared" si="811"/>
        <v>0</v>
      </c>
      <c r="BX546" s="144">
        <f t="shared" si="812"/>
        <v>0</v>
      </c>
      <c r="BY546" s="5"/>
      <c r="BZ546" s="5"/>
      <c r="CA546" s="4"/>
      <c r="CB546" s="5"/>
      <c r="CC546" s="5"/>
      <c r="CD546" s="5"/>
      <c r="CE546" s="5"/>
      <c r="CF546" s="64"/>
      <c r="CG546" s="70"/>
      <c r="CH546" s="70"/>
      <c r="CI546" s="70"/>
      <c r="CJ546" s="63"/>
      <c r="CK546" s="8">
        <f t="shared" si="761"/>
        <v>3372.7379999999998</v>
      </c>
      <c r="CL546" s="202">
        <f t="shared" si="683"/>
        <v>-3372.7379999999998</v>
      </c>
      <c r="CM546" s="202">
        <f t="shared" si="684"/>
        <v>-3372.7379999999998</v>
      </c>
      <c r="CN546" s="202">
        <f t="shared" si="685"/>
        <v>-3372.7379999999998</v>
      </c>
      <c r="CO546" s="9">
        <f t="shared" si="686"/>
        <v>-3372.7379999999998</v>
      </c>
      <c r="CP546" s="9">
        <f t="shared" si="687"/>
        <v>-3372.7379999999998</v>
      </c>
      <c r="CQ546" s="9">
        <f t="shared" si="688"/>
        <v>-3372.7379999999998</v>
      </c>
      <c r="CR546" s="202">
        <f t="shared" si="689"/>
        <v>-3372.7379999999998</v>
      </c>
      <c r="CS546" s="202">
        <f t="shared" si="690"/>
        <v>-3372.7379999999998</v>
      </c>
      <c r="CT546" s="202">
        <f t="shared" si="691"/>
        <v>-3372.7379999999998</v>
      </c>
      <c r="CU546" s="203" t="e">
        <f t="shared" si="692"/>
        <v>#DIV/0!</v>
      </c>
      <c r="CV546" s="203" t="e">
        <f t="shared" si="693"/>
        <v>#DIV/0!</v>
      </c>
      <c r="CW546" s="203" t="e">
        <f t="shared" si="694"/>
        <v>#DIV/0!</v>
      </c>
      <c r="CX546" s="19" t="e">
        <f t="shared" si="695"/>
        <v>#DIV/0!</v>
      </c>
      <c r="CY546" s="19" t="e">
        <f t="shared" si="696"/>
        <v>#DIV/0!</v>
      </c>
      <c r="CZ546" s="19" t="e">
        <f t="shared" si="697"/>
        <v>#DIV/0!</v>
      </c>
      <c r="DA546" s="203" t="e">
        <f t="shared" si="698"/>
        <v>#DIV/0!</v>
      </c>
      <c r="DB546" s="203" t="e">
        <f t="shared" si="699"/>
        <v>#DIV/0!</v>
      </c>
      <c r="DC546" s="203" t="e">
        <f t="shared" si="700"/>
        <v>#DIV/0!</v>
      </c>
      <c r="DD546" s="65"/>
      <c r="DE546" s="66"/>
      <c r="DF546" s="66"/>
      <c r="DG546" s="66"/>
      <c r="DH546" s="66"/>
      <c r="DI546" s="66"/>
      <c r="DJ546" s="66"/>
      <c r="DK546" s="70"/>
      <c r="DL546" s="70"/>
      <c r="DM546" s="8">
        <f t="shared" si="762"/>
        <v>0</v>
      </c>
      <c r="DN546" s="8">
        <f t="shared" si="763"/>
        <v>3372.7379999999998</v>
      </c>
      <c r="DO546" s="202">
        <f t="shared" si="737"/>
        <v>-3372.7379999999998</v>
      </c>
      <c r="DP546" s="202">
        <f t="shared" si="738"/>
        <v>-3372.7379999999998</v>
      </c>
      <c r="DQ546" s="202">
        <f t="shared" si="739"/>
        <v>-3372.7379999999998</v>
      </c>
      <c r="DR546" s="9">
        <f t="shared" si="740"/>
        <v>-3372.7379999999998</v>
      </c>
      <c r="DS546" s="9">
        <f t="shared" si="703"/>
        <v>-3372.7379999999998</v>
      </c>
      <c r="DT546" s="9">
        <f t="shared" si="741"/>
        <v>-3372.7379999999998</v>
      </c>
      <c r="DU546" s="202">
        <f t="shared" si="742"/>
        <v>-3372.7379999999998</v>
      </c>
      <c r="DV546" s="202">
        <f t="shared" si="743"/>
        <v>-3372.7379999999998</v>
      </c>
      <c r="DW546" s="202">
        <f t="shared" si="744"/>
        <v>-3372.7379999999998</v>
      </c>
      <c r="DX546" s="203" t="e">
        <f t="shared" si="745"/>
        <v>#DIV/0!</v>
      </c>
      <c r="DY546" s="203" t="e">
        <f t="shared" si="746"/>
        <v>#DIV/0!</v>
      </c>
      <c r="DZ546" s="203" t="e">
        <f t="shared" si="747"/>
        <v>#DIV/0!</v>
      </c>
      <c r="EA546" s="19" t="e">
        <f t="shared" si="748"/>
        <v>#DIV/0!</v>
      </c>
      <c r="EB546" s="19" t="e">
        <f t="shared" si="704"/>
        <v>#DIV/0!</v>
      </c>
      <c r="EC546" s="19" t="e">
        <f t="shared" si="749"/>
        <v>#DIV/0!</v>
      </c>
      <c r="ED546" s="203" t="e">
        <f t="shared" si="750"/>
        <v>#DIV/0!</v>
      </c>
      <c r="EE546" s="203" t="e">
        <f t="shared" si="751"/>
        <v>#DIV/0!</v>
      </c>
      <c r="EF546" s="203" t="e">
        <f t="shared" si="752"/>
        <v>#DIV/0!</v>
      </c>
      <c r="EH546" s="58">
        <f t="shared" si="798"/>
        <v>3372.7379999999998</v>
      </c>
      <c r="EI546" s="68" t="e">
        <f t="shared" si="799"/>
        <v>#DIV/0!</v>
      </c>
      <c r="EJ546" s="58">
        <f t="shared" si="800"/>
        <v>3372.7379999999998</v>
      </c>
      <c r="EK546" s="68" t="e">
        <f t="shared" si="799"/>
        <v>#DIV/0!</v>
      </c>
      <c r="EL546" s="58">
        <f t="shared" si="801"/>
        <v>0</v>
      </c>
      <c r="EM546" s="58">
        <f t="shared" si="802"/>
        <v>0</v>
      </c>
      <c r="EN546" s="68" t="e">
        <f t="shared" si="803"/>
        <v>#DIV/0!</v>
      </c>
      <c r="EO546" s="139">
        <f t="shared" si="854"/>
        <v>0.4050825009776523</v>
      </c>
      <c r="EP546">
        <f>+(SUM(M546:O546)*EO546*(1-'[1]Tier 3 Data'!$A$2))</f>
        <v>0</v>
      </c>
    </row>
    <row r="547" spans="1:146" x14ac:dyDescent="0.2">
      <c r="A547" s="43">
        <v>0</v>
      </c>
      <c r="B547" s="43">
        <v>0</v>
      </c>
      <c r="C547" s="43">
        <v>0</v>
      </c>
      <c r="D547" s="70">
        <v>2052</v>
      </c>
      <c r="E547" s="70">
        <v>12</v>
      </c>
      <c r="F547" s="2">
        <v>744</v>
      </c>
      <c r="G547" s="133">
        <f t="shared" si="838"/>
        <v>0</v>
      </c>
      <c r="H547" s="64"/>
      <c r="I547" s="133">
        <f t="shared" si="839"/>
        <v>0</v>
      </c>
      <c r="J547" s="133">
        <f t="shared" si="778"/>
        <v>0</v>
      </c>
      <c r="K547" s="64"/>
      <c r="L547" s="133">
        <f t="shared" si="779"/>
        <v>0</v>
      </c>
      <c r="M547" s="5"/>
      <c r="N547" s="5"/>
      <c r="O547" s="5"/>
      <c r="P547" s="200">
        <f t="shared" si="770"/>
        <v>0</v>
      </c>
      <c r="Q547" s="200">
        <f t="shared" si="771"/>
        <v>0</v>
      </c>
      <c r="R547" s="200">
        <f t="shared" si="772"/>
        <v>0</v>
      </c>
      <c r="S547" s="133">
        <f t="shared" si="840"/>
        <v>0</v>
      </c>
      <c r="T547" s="133">
        <f t="shared" si="841"/>
        <v>0</v>
      </c>
      <c r="U547" s="133">
        <f t="shared" si="842"/>
        <v>0</v>
      </c>
      <c r="V547" s="200">
        <f t="shared" si="773"/>
        <v>0</v>
      </c>
      <c r="W547" s="200">
        <f t="shared" si="774"/>
        <v>0</v>
      </c>
      <c r="X547" s="200">
        <f t="shared" si="775"/>
        <v>0</v>
      </c>
      <c r="Y547" s="58">
        <f t="shared" si="813"/>
        <v>0</v>
      </c>
      <c r="AA547" s="58">
        <f t="shared" si="814"/>
        <v>0</v>
      </c>
      <c r="AB547" s="200">
        <f t="shared" si="815"/>
        <v>0</v>
      </c>
      <c r="AC547" s="200">
        <f t="shared" si="816"/>
        <v>0</v>
      </c>
      <c r="AD547" s="200">
        <f t="shared" si="817"/>
        <v>0</v>
      </c>
      <c r="AE547" s="199">
        <f t="shared" si="719"/>
        <v>0</v>
      </c>
      <c r="AF547" s="199">
        <f t="shared" si="818"/>
        <v>0</v>
      </c>
      <c r="AG547" s="199">
        <f t="shared" si="720"/>
        <v>0</v>
      </c>
      <c r="AH547" s="199">
        <f t="shared" si="843"/>
        <v>0</v>
      </c>
      <c r="AI547" s="200">
        <f t="shared" si="819"/>
        <v>0</v>
      </c>
      <c r="AJ547" s="200">
        <f t="shared" si="820"/>
        <v>0</v>
      </c>
      <c r="AK547" s="200">
        <f t="shared" si="821"/>
        <v>0</v>
      </c>
      <c r="AL547" s="4"/>
      <c r="AM547" s="4"/>
      <c r="AN547" s="4"/>
      <c r="AO547" s="4"/>
      <c r="AP547" s="63"/>
      <c r="AQ547" s="18"/>
      <c r="AR547" s="18"/>
      <c r="AS547" s="18"/>
      <c r="AT547" s="18">
        <v>0</v>
      </c>
      <c r="AU547" s="133">
        <f t="shared" ref="AU547" si="873">+AU535</f>
        <v>105.066</v>
      </c>
      <c r="AV547" s="133">
        <f t="shared" ref="AV547" si="874">+AV535</f>
        <v>3218.8470000000002</v>
      </c>
      <c r="AW547" s="194"/>
      <c r="AX547" s="194"/>
      <c r="AY547" s="194"/>
      <c r="AZ547" s="194"/>
      <c r="BA547" s="194"/>
      <c r="BB547" s="194"/>
      <c r="BC547" s="65">
        <v>0</v>
      </c>
      <c r="BD547" s="65">
        <v>0</v>
      </c>
      <c r="BE547" s="65">
        <v>0</v>
      </c>
      <c r="BF547" s="65">
        <v>0</v>
      </c>
      <c r="BG547" s="65">
        <v>0</v>
      </c>
      <c r="BH547" s="65">
        <v>0</v>
      </c>
      <c r="BI547" s="65">
        <v>0</v>
      </c>
      <c r="BJ547" s="65">
        <v>0</v>
      </c>
      <c r="BK547" s="65">
        <v>0</v>
      </c>
      <c r="BL547" s="65">
        <v>0</v>
      </c>
      <c r="BM547" s="65">
        <v>0</v>
      </c>
      <c r="BN547" s="65">
        <v>0</v>
      </c>
      <c r="BO547" s="65">
        <v>0</v>
      </c>
      <c r="BP547" s="5"/>
      <c r="BQ547" s="5"/>
      <c r="BR547" s="5"/>
      <c r="BS547" s="5"/>
      <c r="BT547" s="5"/>
      <c r="BU547" s="5"/>
      <c r="BV547" s="144">
        <f t="shared" si="810"/>
        <v>0</v>
      </c>
      <c r="BW547" s="144">
        <f t="shared" si="811"/>
        <v>0</v>
      </c>
      <c r="BX547" s="144">
        <f t="shared" si="812"/>
        <v>0</v>
      </c>
      <c r="BY547" s="5"/>
      <c r="BZ547" s="5"/>
      <c r="CA547" s="4"/>
      <c r="CB547" s="5"/>
      <c r="CC547" s="5"/>
      <c r="CD547" s="5"/>
      <c r="CE547" s="5"/>
      <c r="CF547" s="64"/>
      <c r="CG547" s="70"/>
      <c r="CH547" s="70"/>
      <c r="CI547" s="70"/>
      <c r="CJ547" s="63"/>
      <c r="CK547" s="8">
        <f t="shared" si="761"/>
        <v>3323.913</v>
      </c>
      <c r="CL547" s="202">
        <f t="shared" si="683"/>
        <v>-3323.913</v>
      </c>
      <c r="CM547" s="202">
        <f t="shared" si="684"/>
        <v>-3323.913</v>
      </c>
      <c r="CN547" s="202">
        <f t="shared" si="685"/>
        <v>-3323.913</v>
      </c>
      <c r="CO547" s="9">
        <f t="shared" si="686"/>
        <v>-3323.913</v>
      </c>
      <c r="CP547" s="9">
        <f t="shared" si="687"/>
        <v>-3323.913</v>
      </c>
      <c r="CQ547" s="9">
        <f t="shared" si="688"/>
        <v>-3323.913</v>
      </c>
      <c r="CR547" s="202">
        <f t="shared" si="689"/>
        <v>-3323.913</v>
      </c>
      <c r="CS547" s="202">
        <f t="shared" si="690"/>
        <v>-3323.913</v>
      </c>
      <c r="CT547" s="202">
        <f t="shared" si="691"/>
        <v>-3323.913</v>
      </c>
      <c r="CU547" s="203" t="e">
        <f t="shared" si="692"/>
        <v>#DIV/0!</v>
      </c>
      <c r="CV547" s="203" t="e">
        <f t="shared" si="693"/>
        <v>#DIV/0!</v>
      </c>
      <c r="CW547" s="203" t="e">
        <f t="shared" si="694"/>
        <v>#DIV/0!</v>
      </c>
      <c r="CX547" s="19" t="e">
        <f t="shared" si="695"/>
        <v>#DIV/0!</v>
      </c>
      <c r="CY547" s="19" t="e">
        <f t="shared" si="696"/>
        <v>#DIV/0!</v>
      </c>
      <c r="CZ547" s="19" t="e">
        <f t="shared" si="697"/>
        <v>#DIV/0!</v>
      </c>
      <c r="DA547" s="203" t="e">
        <f t="shared" si="698"/>
        <v>#DIV/0!</v>
      </c>
      <c r="DB547" s="203" t="e">
        <f t="shared" si="699"/>
        <v>#DIV/0!</v>
      </c>
      <c r="DC547" s="203" t="e">
        <f t="shared" si="700"/>
        <v>#DIV/0!</v>
      </c>
      <c r="DD547" s="65"/>
      <c r="DE547" s="66"/>
      <c r="DF547" s="66"/>
      <c r="DG547" s="66"/>
      <c r="DH547" s="66"/>
      <c r="DI547" s="66"/>
      <c r="DJ547" s="66"/>
      <c r="DK547" s="70"/>
      <c r="DL547" s="70"/>
      <c r="DM547" s="8">
        <f t="shared" si="762"/>
        <v>0</v>
      </c>
      <c r="DN547" s="8">
        <f t="shared" si="763"/>
        <v>3323.913</v>
      </c>
      <c r="DO547" s="202">
        <f t="shared" si="737"/>
        <v>-3323.913</v>
      </c>
      <c r="DP547" s="202">
        <f t="shared" si="738"/>
        <v>-3323.913</v>
      </c>
      <c r="DQ547" s="202">
        <f t="shared" si="739"/>
        <v>-3323.913</v>
      </c>
      <c r="DR547" s="9">
        <f t="shared" si="740"/>
        <v>-3323.913</v>
      </c>
      <c r="DS547" s="9">
        <f t="shared" si="703"/>
        <v>-3323.913</v>
      </c>
      <c r="DT547" s="9">
        <f t="shared" si="741"/>
        <v>-3323.913</v>
      </c>
      <c r="DU547" s="202">
        <f t="shared" si="742"/>
        <v>-3323.913</v>
      </c>
      <c r="DV547" s="202">
        <f t="shared" si="743"/>
        <v>-3323.913</v>
      </c>
      <c r="DW547" s="202">
        <f t="shared" si="744"/>
        <v>-3323.913</v>
      </c>
      <c r="DX547" s="203" t="e">
        <f t="shared" si="745"/>
        <v>#DIV/0!</v>
      </c>
      <c r="DY547" s="203" t="e">
        <f t="shared" si="746"/>
        <v>#DIV/0!</v>
      </c>
      <c r="DZ547" s="203" t="e">
        <f t="shared" si="747"/>
        <v>#DIV/0!</v>
      </c>
      <c r="EA547" s="19" t="e">
        <f t="shared" si="748"/>
        <v>#DIV/0!</v>
      </c>
      <c r="EB547" s="19" t="e">
        <f t="shared" si="704"/>
        <v>#DIV/0!</v>
      </c>
      <c r="EC547" s="19" t="e">
        <f t="shared" si="749"/>
        <v>#DIV/0!</v>
      </c>
      <c r="ED547" s="203" t="e">
        <f t="shared" si="750"/>
        <v>#DIV/0!</v>
      </c>
      <c r="EE547" s="203" t="e">
        <f t="shared" si="751"/>
        <v>#DIV/0!</v>
      </c>
      <c r="EF547" s="203" t="e">
        <f t="shared" si="752"/>
        <v>#DIV/0!</v>
      </c>
      <c r="EH547" s="58">
        <f t="shared" si="798"/>
        <v>3323.913</v>
      </c>
      <c r="EI547" s="68" t="e">
        <f t="shared" si="799"/>
        <v>#DIV/0!</v>
      </c>
      <c r="EJ547" s="58">
        <f t="shared" si="800"/>
        <v>3323.913</v>
      </c>
      <c r="EK547" s="68" t="e">
        <f t="shared" si="799"/>
        <v>#DIV/0!</v>
      </c>
      <c r="EL547" s="58">
        <f t="shared" si="801"/>
        <v>0</v>
      </c>
      <c r="EM547" s="58">
        <f t="shared" si="802"/>
        <v>0</v>
      </c>
      <c r="EN547" s="68" t="e">
        <f t="shared" si="803"/>
        <v>#DIV/0!</v>
      </c>
      <c r="EO547" s="139">
        <f t="shared" si="854"/>
        <v>0.32946562535829382</v>
      </c>
      <c r="EP547">
        <f>+(SUM(M547:O547)*EO547*(1-'[1]Tier 3 Data'!$A$2))</f>
        <v>0</v>
      </c>
    </row>
    <row r="548" spans="1:146" x14ac:dyDescent="0.2">
      <c r="A548" s="43">
        <v>0</v>
      </c>
      <c r="B548" s="43">
        <v>0</v>
      </c>
      <c r="C548" s="43">
        <v>0</v>
      </c>
      <c r="D548" s="70">
        <v>2053</v>
      </c>
      <c r="E548" s="70">
        <v>1</v>
      </c>
      <c r="F548" s="2">
        <v>744</v>
      </c>
      <c r="G548" s="133">
        <f t="shared" si="838"/>
        <v>0</v>
      </c>
      <c r="H548" s="64"/>
      <c r="I548" s="133">
        <f t="shared" si="839"/>
        <v>0</v>
      </c>
      <c r="J548" s="133">
        <f t="shared" si="778"/>
        <v>0</v>
      </c>
      <c r="K548" s="64"/>
      <c r="L548" s="133">
        <f t="shared" si="779"/>
        <v>0</v>
      </c>
      <c r="M548" s="5"/>
      <c r="N548" s="5"/>
      <c r="O548" s="5"/>
      <c r="P548" s="200">
        <f t="shared" si="770"/>
        <v>0</v>
      </c>
      <c r="Q548" s="200">
        <f t="shared" si="771"/>
        <v>0</v>
      </c>
      <c r="R548" s="200">
        <f t="shared" si="772"/>
        <v>0</v>
      </c>
      <c r="S548" s="133">
        <f t="shared" si="840"/>
        <v>0</v>
      </c>
      <c r="T548" s="133">
        <f t="shared" si="841"/>
        <v>0</v>
      </c>
      <c r="U548" s="133">
        <f t="shared" si="842"/>
        <v>0</v>
      </c>
      <c r="V548" s="200">
        <f t="shared" si="773"/>
        <v>0</v>
      </c>
      <c r="W548" s="200">
        <f t="shared" si="774"/>
        <v>0</v>
      </c>
      <c r="X548" s="200">
        <f t="shared" si="775"/>
        <v>0</v>
      </c>
      <c r="Y548" s="58">
        <f t="shared" si="813"/>
        <v>0</v>
      </c>
      <c r="AA548" s="58">
        <f t="shared" si="814"/>
        <v>0</v>
      </c>
      <c r="AB548" s="200">
        <f t="shared" si="815"/>
        <v>0</v>
      </c>
      <c r="AC548" s="200">
        <f t="shared" si="816"/>
        <v>0</v>
      </c>
      <c r="AD548" s="200">
        <f t="shared" si="817"/>
        <v>0</v>
      </c>
      <c r="AE548" s="199">
        <f t="shared" si="719"/>
        <v>0</v>
      </c>
      <c r="AF548" s="199">
        <f t="shared" si="818"/>
        <v>0</v>
      </c>
      <c r="AG548" s="199">
        <f t="shared" si="720"/>
        <v>0</v>
      </c>
      <c r="AH548" s="199">
        <f t="shared" si="843"/>
        <v>0</v>
      </c>
      <c r="AI548" s="200">
        <f t="shared" si="819"/>
        <v>0</v>
      </c>
      <c r="AJ548" s="200">
        <f t="shared" si="820"/>
        <v>0</v>
      </c>
      <c r="AK548" s="200">
        <f t="shared" si="821"/>
        <v>0</v>
      </c>
      <c r="AL548" s="4"/>
      <c r="AM548" s="4"/>
      <c r="AN548" s="4"/>
      <c r="AO548" s="4"/>
      <c r="AP548" s="63"/>
      <c r="AQ548" s="18"/>
      <c r="AR548" s="18"/>
      <c r="AS548" s="18"/>
      <c r="AT548" s="18">
        <v>0</v>
      </c>
      <c r="AU548" s="133">
        <f t="shared" ref="AU548" si="875">+AU536</f>
        <v>98.513999999999996</v>
      </c>
      <c r="AV548" s="133">
        <f t="shared" ref="AV548" si="876">+AV536</f>
        <v>3278.6750000000002</v>
      </c>
      <c r="AW548" s="194"/>
      <c r="AX548" s="194"/>
      <c r="AY548" s="194"/>
      <c r="AZ548" s="194"/>
      <c r="BA548" s="194"/>
      <c r="BB548" s="194"/>
      <c r="BC548" s="65">
        <v>0</v>
      </c>
      <c r="BD548" s="65">
        <v>0</v>
      </c>
      <c r="BE548" s="65">
        <v>0</v>
      </c>
      <c r="BF548" s="65">
        <v>0</v>
      </c>
      <c r="BG548" s="65">
        <v>0</v>
      </c>
      <c r="BH548" s="65">
        <v>0</v>
      </c>
      <c r="BI548" s="65">
        <v>0</v>
      </c>
      <c r="BJ548" s="65">
        <v>0</v>
      </c>
      <c r="BK548" s="65">
        <v>0</v>
      </c>
      <c r="BL548" s="65">
        <v>0</v>
      </c>
      <c r="BM548" s="65">
        <v>0</v>
      </c>
      <c r="BN548" s="65">
        <v>0</v>
      </c>
      <c r="BO548" s="65">
        <v>0</v>
      </c>
      <c r="BP548" s="5"/>
      <c r="BQ548" s="5"/>
      <c r="BR548" s="5"/>
      <c r="BS548" s="5"/>
      <c r="BT548" s="5"/>
      <c r="BU548" s="5"/>
      <c r="BV548" s="144">
        <f t="shared" si="810"/>
        <v>0</v>
      </c>
      <c r="BW548" s="144">
        <f t="shared" si="811"/>
        <v>0</v>
      </c>
      <c r="BX548" s="144">
        <f t="shared" si="812"/>
        <v>0</v>
      </c>
      <c r="BY548" s="5"/>
      <c r="BZ548" s="5"/>
      <c r="CA548" s="4"/>
      <c r="CB548" s="5"/>
      <c r="CC548" s="5"/>
      <c r="CD548" s="5"/>
      <c r="CE548" s="5"/>
      <c r="CF548" s="64"/>
      <c r="CG548" s="70"/>
      <c r="CH548" s="70"/>
      <c r="CI548" s="70"/>
      <c r="CJ548" s="63"/>
      <c r="CK548" s="8">
        <f t="shared" si="761"/>
        <v>3377.1890000000003</v>
      </c>
      <c r="CL548" s="202">
        <f t="shared" si="683"/>
        <v>-3377.1890000000003</v>
      </c>
      <c r="CM548" s="202">
        <f t="shared" si="684"/>
        <v>-3377.1890000000003</v>
      </c>
      <c r="CN548" s="202">
        <f t="shared" si="685"/>
        <v>-3377.1890000000003</v>
      </c>
      <c r="CO548" s="9">
        <f t="shared" si="686"/>
        <v>-3377.1890000000003</v>
      </c>
      <c r="CP548" s="9">
        <f t="shared" si="687"/>
        <v>-3377.1890000000003</v>
      </c>
      <c r="CQ548" s="9">
        <f t="shared" si="688"/>
        <v>-3377.1890000000003</v>
      </c>
      <c r="CR548" s="202">
        <f t="shared" si="689"/>
        <v>-3377.1890000000003</v>
      </c>
      <c r="CS548" s="202">
        <f t="shared" si="690"/>
        <v>-3377.1890000000003</v>
      </c>
      <c r="CT548" s="202">
        <f t="shared" si="691"/>
        <v>-3377.1890000000003</v>
      </c>
      <c r="CU548" s="203" t="e">
        <f t="shared" si="692"/>
        <v>#DIV/0!</v>
      </c>
      <c r="CV548" s="203" t="e">
        <f t="shared" si="693"/>
        <v>#DIV/0!</v>
      </c>
      <c r="CW548" s="203" t="e">
        <f t="shared" si="694"/>
        <v>#DIV/0!</v>
      </c>
      <c r="CX548" s="19" t="e">
        <f t="shared" si="695"/>
        <v>#DIV/0!</v>
      </c>
      <c r="CY548" s="19" t="e">
        <f t="shared" si="696"/>
        <v>#DIV/0!</v>
      </c>
      <c r="CZ548" s="19" t="e">
        <f t="shared" si="697"/>
        <v>#DIV/0!</v>
      </c>
      <c r="DA548" s="203" t="e">
        <f t="shared" si="698"/>
        <v>#DIV/0!</v>
      </c>
      <c r="DB548" s="203" t="e">
        <f t="shared" si="699"/>
        <v>#DIV/0!</v>
      </c>
      <c r="DC548" s="203" t="e">
        <f t="shared" si="700"/>
        <v>#DIV/0!</v>
      </c>
      <c r="DD548" s="65"/>
      <c r="DE548" s="66"/>
      <c r="DF548" s="66"/>
      <c r="DG548" s="66"/>
      <c r="DH548" s="66"/>
      <c r="DI548" s="66"/>
      <c r="DJ548" s="66"/>
      <c r="DK548" s="70"/>
      <c r="DL548" s="70"/>
      <c r="DM548" s="8">
        <f t="shared" si="762"/>
        <v>0</v>
      </c>
      <c r="DN548" s="8">
        <f t="shared" si="763"/>
        <v>3377.1890000000003</v>
      </c>
      <c r="DO548" s="202">
        <f t="shared" si="737"/>
        <v>-3377.1890000000003</v>
      </c>
      <c r="DP548" s="202">
        <f t="shared" si="738"/>
        <v>-3377.1890000000003</v>
      </c>
      <c r="DQ548" s="202">
        <f t="shared" si="739"/>
        <v>-3377.1890000000003</v>
      </c>
      <c r="DR548" s="9">
        <f t="shared" si="740"/>
        <v>-3377.1890000000003</v>
      </c>
      <c r="DS548" s="9">
        <f t="shared" si="703"/>
        <v>-3377.1890000000003</v>
      </c>
      <c r="DT548" s="9">
        <f t="shared" si="741"/>
        <v>-3377.1890000000003</v>
      </c>
      <c r="DU548" s="202">
        <f t="shared" si="742"/>
        <v>-3377.1890000000003</v>
      </c>
      <c r="DV548" s="202">
        <f t="shared" si="743"/>
        <v>-3377.1890000000003</v>
      </c>
      <c r="DW548" s="202">
        <f t="shared" si="744"/>
        <v>-3377.1890000000003</v>
      </c>
      <c r="DX548" s="203" t="e">
        <f t="shared" si="745"/>
        <v>#DIV/0!</v>
      </c>
      <c r="DY548" s="203" t="e">
        <f t="shared" si="746"/>
        <v>#DIV/0!</v>
      </c>
      <c r="DZ548" s="203" t="e">
        <f t="shared" si="747"/>
        <v>#DIV/0!</v>
      </c>
      <c r="EA548" s="19" t="e">
        <f t="shared" si="748"/>
        <v>#DIV/0!</v>
      </c>
      <c r="EB548" s="19" t="e">
        <f t="shared" si="704"/>
        <v>#DIV/0!</v>
      </c>
      <c r="EC548" s="19" t="e">
        <f t="shared" si="749"/>
        <v>#DIV/0!</v>
      </c>
      <c r="ED548" s="203" t="e">
        <f t="shared" si="750"/>
        <v>#DIV/0!</v>
      </c>
      <c r="EE548" s="203" t="e">
        <f t="shared" si="751"/>
        <v>#DIV/0!</v>
      </c>
      <c r="EF548" s="203" t="e">
        <f t="shared" si="752"/>
        <v>#DIV/0!</v>
      </c>
      <c r="EH548" s="58">
        <f t="shared" si="798"/>
        <v>3377.1890000000003</v>
      </c>
      <c r="EI548" s="68" t="e">
        <f t="shared" si="799"/>
        <v>#DIV/0!</v>
      </c>
      <c r="EJ548" s="58">
        <f t="shared" si="800"/>
        <v>3377.1890000000003</v>
      </c>
      <c r="EK548" s="68" t="e">
        <f t="shared" si="799"/>
        <v>#DIV/0!</v>
      </c>
      <c r="EL548" s="58">
        <f t="shared" si="801"/>
        <v>0</v>
      </c>
      <c r="EM548" s="58">
        <f t="shared" si="802"/>
        <v>0</v>
      </c>
      <c r="EN548" s="68" t="e">
        <f t="shared" si="803"/>
        <v>#DIV/0!</v>
      </c>
      <c r="EO548" s="139">
        <f t="shared" si="854"/>
        <v>0.32527353469126524</v>
      </c>
      <c r="EP548">
        <f>+(SUM(M548:O548)*EO548*(1-'[1]Tier 3 Data'!$A$2))</f>
        <v>0</v>
      </c>
    </row>
    <row r="549" spans="1:146" x14ac:dyDescent="0.2">
      <c r="A549" s="43">
        <v>0</v>
      </c>
      <c r="B549" s="43">
        <v>0</v>
      </c>
      <c r="C549" s="43">
        <v>0</v>
      </c>
      <c r="D549" s="70">
        <v>2053</v>
      </c>
      <c r="E549" s="70">
        <v>2</v>
      </c>
      <c r="F549" s="2">
        <v>672</v>
      </c>
      <c r="G549" s="133">
        <f t="shared" si="838"/>
        <v>0</v>
      </c>
      <c r="H549" s="64"/>
      <c r="I549" s="133">
        <f t="shared" si="839"/>
        <v>0</v>
      </c>
      <c r="J549" s="133">
        <f t="shared" si="778"/>
        <v>0</v>
      </c>
      <c r="K549" s="64"/>
      <c r="L549" s="133">
        <f t="shared" si="779"/>
        <v>0</v>
      </c>
      <c r="M549" s="5"/>
      <c r="N549" s="5"/>
      <c r="O549" s="5"/>
      <c r="P549" s="200">
        <f t="shared" si="770"/>
        <v>0</v>
      </c>
      <c r="Q549" s="200">
        <f t="shared" si="771"/>
        <v>0</v>
      </c>
      <c r="R549" s="200">
        <f t="shared" si="772"/>
        <v>0</v>
      </c>
      <c r="S549" s="133">
        <f t="shared" si="840"/>
        <v>0</v>
      </c>
      <c r="T549" s="133">
        <f t="shared" si="841"/>
        <v>0</v>
      </c>
      <c r="U549" s="133">
        <f t="shared" si="842"/>
        <v>0</v>
      </c>
      <c r="V549" s="200">
        <f t="shared" si="773"/>
        <v>0</v>
      </c>
      <c r="W549" s="200">
        <f t="shared" si="774"/>
        <v>0</v>
      </c>
      <c r="X549" s="200">
        <f t="shared" si="775"/>
        <v>0</v>
      </c>
      <c r="Y549" s="58">
        <f t="shared" si="813"/>
        <v>0</v>
      </c>
      <c r="AA549" s="58">
        <f t="shared" si="814"/>
        <v>0</v>
      </c>
      <c r="AB549" s="200">
        <f t="shared" si="815"/>
        <v>0</v>
      </c>
      <c r="AC549" s="200">
        <f t="shared" si="816"/>
        <v>0</v>
      </c>
      <c r="AD549" s="200">
        <f t="shared" si="817"/>
        <v>0</v>
      </c>
      <c r="AE549" s="199">
        <f t="shared" si="719"/>
        <v>0</v>
      </c>
      <c r="AF549" s="199">
        <f t="shared" si="818"/>
        <v>0</v>
      </c>
      <c r="AG549" s="199">
        <f t="shared" si="720"/>
        <v>0</v>
      </c>
      <c r="AH549" s="199">
        <f t="shared" si="843"/>
        <v>0</v>
      </c>
      <c r="AI549" s="200">
        <f t="shared" si="819"/>
        <v>0</v>
      </c>
      <c r="AJ549" s="200">
        <f t="shared" si="820"/>
        <v>0</v>
      </c>
      <c r="AK549" s="200">
        <f t="shared" si="821"/>
        <v>0</v>
      </c>
      <c r="AL549" s="4"/>
      <c r="AM549" s="4"/>
      <c r="AN549" s="4"/>
      <c r="AO549" s="4"/>
      <c r="AP549" s="63"/>
      <c r="AQ549" s="18"/>
      <c r="AR549" s="18"/>
      <c r="AS549" s="18"/>
      <c r="AT549" s="18">
        <v>0</v>
      </c>
      <c r="AU549" s="133">
        <f t="shared" ref="AU549" si="877">+AU537</f>
        <v>92.897999999999996</v>
      </c>
      <c r="AV549" s="133">
        <f t="shared" ref="AV549" si="878">+AV537</f>
        <v>3057.587</v>
      </c>
      <c r="AW549" s="194"/>
      <c r="AX549" s="194"/>
      <c r="AY549" s="194"/>
      <c r="AZ549" s="194"/>
      <c r="BA549" s="194"/>
      <c r="BB549" s="194"/>
      <c r="BC549" s="65">
        <v>0</v>
      </c>
      <c r="BD549" s="65">
        <v>0</v>
      </c>
      <c r="BE549" s="65">
        <v>0</v>
      </c>
      <c r="BF549" s="65">
        <v>0</v>
      </c>
      <c r="BG549" s="65">
        <v>0</v>
      </c>
      <c r="BH549" s="65">
        <v>0</v>
      </c>
      <c r="BI549" s="65">
        <v>0</v>
      </c>
      <c r="BJ549" s="65">
        <v>0</v>
      </c>
      <c r="BK549" s="65">
        <v>0</v>
      </c>
      <c r="BL549" s="65">
        <v>0</v>
      </c>
      <c r="BM549" s="65">
        <v>0</v>
      </c>
      <c r="BN549" s="65">
        <v>0</v>
      </c>
      <c r="BO549" s="65">
        <v>0</v>
      </c>
      <c r="BP549" s="5"/>
      <c r="BQ549" s="5"/>
      <c r="BR549" s="5"/>
      <c r="BS549" s="5"/>
      <c r="BT549" s="5"/>
      <c r="BU549" s="5"/>
      <c r="BV549" s="144">
        <f t="shared" si="810"/>
        <v>0</v>
      </c>
      <c r="BW549" s="144">
        <f t="shared" si="811"/>
        <v>0</v>
      </c>
      <c r="BX549" s="144">
        <f t="shared" si="812"/>
        <v>0</v>
      </c>
      <c r="BY549" s="5"/>
      <c r="BZ549" s="5"/>
      <c r="CA549" s="4"/>
      <c r="CB549" s="5"/>
      <c r="CC549" s="5"/>
      <c r="CD549" s="5"/>
      <c r="CE549" s="5"/>
      <c r="CF549" s="64"/>
      <c r="CG549" s="70"/>
      <c r="CH549" s="70"/>
      <c r="CI549" s="70"/>
      <c r="CJ549" s="63"/>
      <c r="CK549" s="8">
        <f t="shared" si="761"/>
        <v>3150.4850000000001</v>
      </c>
      <c r="CL549" s="202">
        <f t="shared" si="683"/>
        <v>-3150.4850000000001</v>
      </c>
      <c r="CM549" s="202">
        <f t="shared" si="684"/>
        <v>-3150.4850000000001</v>
      </c>
      <c r="CN549" s="202">
        <f t="shared" si="685"/>
        <v>-3150.4850000000001</v>
      </c>
      <c r="CO549" s="9">
        <f t="shared" si="686"/>
        <v>-3150.4850000000001</v>
      </c>
      <c r="CP549" s="9">
        <f t="shared" si="687"/>
        <v>-3150.4850000000001</v>
      </c>
      <c r="CQ549" s="9">
        <f t="shared" si="688"/>
        <v>-3150.4850000000001</v>
      </c>
      <c r="CR549" s="202">
        <f t="shared" si="689"/>
        <v>-3150.4850000000001</v>
      </c>
      <c r="CS549" s="202">
        <f t="shared" si="690"/>
        <v>-3150.4850000000001</v>
      </c>
      <c r="CT549" s="202">
        <f t="shared" si="691"/>
        <v>-3150.4850000000001</v>
      </c>
      <c r="CU549" s="203" t="e">
        <f t="shared" si="692"/>
        <v>#DIV/0!</v>
      </c>
      <c r="CV549" s="203" t="e">
        <f t="shared" si="693"/>
        <v>#DIV/0!</v>
      </c>
      <c r="CW549" s="203" t="e">
        <f t="shared" si="694"/>
        <v>#DIV/0!</v>
      </c>
      <c r="CX549" s="19" t="e">
        <f t="shared" si="695"/>
        <v>#DIV/0!</v>
      </c>
      <c r="CY549" s="19" t="e">
        <f t="shared" si="696"/>
        <v>#DIV/0!</v>
      </c>
      <c r="CZ549" s="19" t="e">
        <f t="shared" si="697"/>
        <v>#DIV/0!</v>
      </c>
      <c r="DA549" s="203" t="e">
        <f t="shared" si="698"/>
        <v>#DIV/0!</v>
      </c>
      <c r="DB549" s="203" t="e">
        <f t="shared" si="699"/>
        <v>#DIV/0!</v>
      </c>
      <c r="DC549" s="203" t="e">
        <f t="shared" si="700"/>
        <v>#DIV/0!</v>
      </c>
      <c r="DD549" s="65"/>
      <c r="DE549" s="66"/>
      <c r="DF549" s="66"/>
      <c r="DG549" s="66"/>
      <c r="DH549" s="66"/>
      <c r="DI549" s="66"/>
      <c r="DJ549" s="66"/>
      <c r="DK549" s="70"/>
      <c r="DL549" s="70"/>
      <c r="DM549" s="8">
        <f t="shared" si="762"/>
        <v>0</v>
      </c>
      <c r="DN549" s="8">
        <f t="shared" si="763"/>
        <v>3150.4850000000001</v>
      </c>
      <c r="DO549" s="202">
        <f t="shared" si="737"/>
        <v>-3150.4850000000001</v>
      </c>
      <c r="DP549" s="202">
        <f t="shared" si="738"/>
        <v>-3150.4850000000001</v>
      </c>
      <c r="DQ549" s="202">
        <f t="shared" si="739"/>
        <v>-3150.4850000000001</v>
      </c>
      <c r="DR549" s="9">
        <f t="shared" si="740"/>
        <v>-3150.4850000000001</v>
      </c>
      <c r="DS549" s="9">
        <f t="shared" si="703"/>
        <v>-3150.4850000000001</v>
      </c>
      <c r="DT549" s="9">
        <f t="shared" si="741"/>
        <v>-3150.4850000000001</v>
      </c>
      <c r="DU549" s="202">
        <f t="shared" si="742"/>
        <v>-3150.4850000000001</v>
      </c>
      <c r="DV549" s="202">
        <f t="shared" si="743"/>
        <v>-3150.4850000000001</v>
      </c>
      <c r="DW549" s="202">
        <f t="shared" si="744"/>
        <v>-3150.4850000000001</v>
      </c>
      <c r="DX549" s="203" t="e">
        <f t="shared" si="745"/>
        <v>#DIV/0!</v>
      </c>
      <c r="DY549" s="203" t="e">
        <f t="shared" si="746"/>
        <v>#DIV/0!</v>
      </c>
      <c r="DZ549" s="203" t="e">
        <f t="shared" si="747"/>
        <v>#DIV/0!</v>
      </c>
      <c r="EA549" s="19" t="e">
        <f t="shared" si="748"/>
        <v>#DIV/0!</v>
      </c>
      <c r="EB549" s="19" t="e">
        <f t="shared" si="704"/>
        <v>#DIV/0!</v>
      </c>
      <c r="EC549" s="19" t="e">
        <f t="shared" si="749"/>
        <v>#DIV/0!</v>
      </c>
      <c r="ED549" s="203" t="e">
        <f t="shared" si="750"/>
        <v>#DIV/0!</v>
      </c>
      <c r="EE549" s="203" t="e">
        <f t="shared" si="751"/>
        <v>#DIV/0!</v>
      </c>
      <c r="EF549" s="203" t="e">
        <f t="shared" si="752"/>
        <v>#DIV/0!</v>
      </c>
      <c r="EH549" s="58">
        <f t="shared" si="798"/>
        <v>3150.4850000000001</v>
      </c>
      <c r="EI549" s="68" t="e">
        <f t="shared" si="799"/>
        <v>#DIV/0!</v>
      </c>
      <c r="EJ549" s="58">
        <f t="shared" si="800"/>
        <v>3150.4850000000001</v>
      </c>
      <c r="EK549" s="68" t="e">
        <f t="shared" si="799"/>
        <v>#DIV/0!</v>
      </c>
      <c r="EL549" s="58">
        <f t="shared" si="801"/>
        <v>0</v>
      </c>
      <c r="EM549" s="58">
        <f t="shared" si="802"/>
        <v>0</v>
      </c>
      <c r="EN549" s="68" t="e">
        <f t="shared" si="803"/>
        <v>#DIV/0!</v>
      </c>
      <c r="EO549" s="139">
        <f t="shared" si="854"/>
        <v>0.3126447604730192</v>
      </c>
      <c r="EP549">
        <f>+(SUM(M549:O549)*EO549*(1-'[1]Tier 3 Data'!$A$2))</f>
        <v>0</v>
      </c>
    </row>
    <row r="550" spans="1:146" x14ac:dyDescent="0.2">
      <c r="A550" s="43">
        <v>0</v>
      </c>
      <c r="B550" s="43">
        <v>0</v>
      </c>
      <c r="C550" s="43">
        <v>0</v>
      </c>
      <c r="D550" s="70">
        <v>2053</v>
      </c>
      <c r="E550" s="70">
        <v>3</v>
      </c>
      <c r="F550" s="2">
        <v>743</v>
      </c>
      <c r="G550" s="133">
        <f t="shared" si="838"/>
        <v>0</v>
      </c>
      <c r="H550" s="64"/>
      <c r="I550" s="133">
        <f t="shared" si="839"/>
        <v>0</v>
      </c>
      <c r="J550" s="133">
        <f t="shared" si="778"/>
        <v>0</v>
      </c>
      <c r="K550" s="64"/>
      <c r="L550" s="133">
        <f t="shared" si="779"/>
        <v>0</v>
      </c>
      <c r="M550" s="5"/>
      <c r="N550" s="5"/>
      <c r="O550" s="5"/>
      <c r="P550" s="200">
        <f t="shared" si="770"/>
        <v>0</v>
      </c>
      <c r="Q550" s="200">
        <f t="shared" si="771"/>
        <v>0</v>
      </c>
      <c r="R550" s="200">
        <f t="shared" si="772"/>
        <v>0</v>
      </c>
      <c r="S550" s="133">
        <f t="shared" si="840"/>
        <v>0</v>
      </c>
      <c r="T550" s="133">
        <f t="shared" si="841"/>
        <v>0</v>
      </c>
      <c r="U550" s="133">
        <f t="shared" si="842"/>
        <v>0</v>
      </c>
      <c r="V550" s="200">
        <f t="shared" si="773"/>
        <v>0</v>
      </c>
      <c r="W550" s="200">
        <f t="shared" si="774"/>
        <v>0</v>
      </c>
      <c r="X550" s="200">
        <f t="shared" si="775"/>
        <v>0</v>
      </c>
      <c r="Y550" s="58">
        <f t="shared" si="813"/>
        <v>0</v>
      </c>
      <c r="AA550" s="58">
        <f t="shared" si="814"/>
        <v>0</v>
      </c>
      <c r="AB550" s="200">
        <f t="shared" si="815"/>
        <v>0</v>
      </c>
      <c r="AC550" s="200">
        <f t="shared" si="816"/>
        <v>0</v>
      </c>
      <c r="AD550" s="200">
        <f t="shared" si="817"/>
        <v>0</v>
      </c>
      <c r="AE550" s="199">
        <f t="shared" si="719"/>
        <v>0</v>
      </c>
      <c r="AF550" s="199">
        <f t="shared" si="818"/>
        <v>0</v>
      </c>
      <c r="AG550" s="199">
        <f t="shared" si="720"/>
        <v>0</v>
      </c>
      <c r="AH550" s="199">
        <f t="shared" si="843"/>
        <v>0</v>
      </c>
      <c r="AI550" s="200">
        <f t="shared" si="819"/>
        <v>0</v>
      </c>
      <c r="AJ550" s="200">
        <f t="shared" si="820"/>
        <v>0</v>
      </c>
      <c r="AK550" s="200">
        <f t="shared" si="821"/>
        <v>0</v>
      </c>
      <c r="AL550" s="4"/>
      <c r="AM550" s="4"/>
      <c r="AN550" s="4"/>
      <c r="AO550" s="4"/>
      <c r="AP550" s="63"/>
      <c r="AQ550" s="18"/>
      <c r="AR550" s="18"/>
      <c r="AS550" s="18"/>
      <c r="AT550" s="18">
        <v>0</v>
      </c>
      <c r="AU550" s="133">
        <f t="shared" ref="AU550" si="879">+AU538</f>
        <v>87.516000000000005</v>
      </c>
      <c r="AV550" s="133">
        <f t="shared" ref="AV550" si="880">+AV538</f>
        <v>3232.7139999999999</v>
      </c>
      <c r="AW550" s="194"/>
      <c r="AX550" s="194"/>
      <c r="AY550" s="194"/>
      <c r="AZ550" s="194"/>
      <c r="BA550" s="194"/>
      <c r="BB550" s="194"/>
      <c r="BC550" s="65">
        <v>0</v>
      </c>
      <c r="BD550" s="65">
        <v>0</v>
      </c>
      <c r="BE550" s="65">
        <v>0</v>
      </c>
      <c r="BF550" s="65">
        <v>0</v>
      </c>
      <c r="BG550" s="65">
        <v>0</v>
      </c>
      <c r="BH550" s="65">
        <v>0</v>
      </c>
      <c r="BI550" s="65">
        <v>0</v>
      </c>
      <c r="BJ550" s="65">
        <v>0</v>
      </c>
      <c r="BK550" s="65">
        <v>0</v>
      </c>
      <c r="BL550" s="65">
        <v>0</v>
      </c>
      <c r="BM550" s="65">
        <v>0</v>
      </c>
      <c r="BN550" s="65">
        <v>0</v>
      </c>
      <c r="BO550" s="65">
        <v>0</v>
      </c>
      <c r="BP550" s="5"/>
      <c r="BQ550" s="5"/>
      <c r="BR550" s="5"/>
      <c r="BS550" s="5"/>
      <c r="BT550" s="5"/>
      <c r="BU550" s="5"/>
      <c r="BV550" s="144">
        <f t="shared" si="810"/>
        <v>0</v>
      </c>
      <c r="BW550" s="144">
        <f t="shared" si="811"/>
        <v>0</v>
      </c>
      <c r="BX550" s="144">
        <f t="shared" si="812"/>
        <v>0</v>
      </c>
      <c r="BY550" s="5"/>
      <c r="BZ550" s="5"/>
      <c r="CA550" s="4"/>
      <c r="CB550" s="5"/>
      <c r="CC550" s="5"/>
      <c r="CD550" s="5"/>
      <c r="CE550" s="5"/>
      <c r="CF550" s="64"/>
      <c r="CG550" s="70"/>
      <c r="CH550" s="70"/>
      <c r="CI550" s="70"/>
      <c r="CJ550" s="63"/>
      <c r="CK550" s="8">
        <f t="shared" si="761"/>
        <v>3320.23</v>
      </c>
      <c r="CL550" s="202">
        <f t="shared" si="683"/>
        <v>-3320.23</v>
      </c>
      <c r="CM550" s="202">
        <f t="shared" si="684"/>
        <v>-3320.23</v>
      </c>
      <c r="CN550" s="202">
        <f t="shared" si="685"/>
        <v>-3320.23</v>
      </c>
      <c r="CO550" s="9">
        <f t="shared" si="686"/>
        <v>-3320.23</v>
      </c>
      <c r="CP550" s="9">
        <f t="shared" si="687"/>
        <v>-3320.23</v>
      </c>
      <c r="CQ550" s="9">
        <f t="shared" si="688"/>
        <v>-3320.23</v>
      </c>
      <c r="CR550" s="202">
        <f t="shared" si="689"/>
        <v>-3320.23</v>
      </c>
      <c r="CS550" s="202">
        <f t="shared" si="690"/>
        <v>-3320.23</v>
      </c>
      <c r="CT550" s="202">
        <f t="shared" si="691"/>
        <v>-3320.23</v>
      </c>
      <c r="CU550" s="203" t="e">
        <f t="shared" si="692"/>
        <v>#DIV/0!</v>
      </c>
      <c r="CV550" s="203" t="e">
        <f t="shared" si="693"/>
        <v>#DIV/0!</v>
      </c>
      <c r="CW550" s="203" t="e">
        <f t="shared" si="694"/>
        <v>#DIV/0!</v>
      </c>
      <c r="CX550" s="19" t="e">
        <f t="shared" si="695"/>
        <v>#DIV/0!</v>
      </c>
      <c r="CY550" s="19" t="e">
        <f t="shared" si="696"/>
        <v>#DIV/0!</v>
      </c>
      <c r="CZ550" s="19" t="e">
        <f t="shared" si="697"/>
        <v>#DIV/0!</v>
      </c>
      <c r="DA550" s="203" t="e">
        <f t="shared" si="698"/>
        <v>#DIV/0!</v>
      </c>
      <c r="DB550" s="203" t="e">
        <f t="shared" si="699"/>
        <v>#DIV/0!</v>
      </c>
      <c r="DC550" s="203" t="e">
        <f t="shared" si="700"/>
        <v>#DIV/0!</v>
      </c>
      <c r="DD550" s="65"/>
      <c r="DE550" s="66"/>
      <c r="DF550" s="66"/>
      <c r="DG550" s="66"/>
      <c r="DH550" s="66"/>
      <c r="DI550" s="66"/>
      <c r="DJ550" s="66"/>
      <c r="DK550" s="70"/>
      <c r="DL550" s="70"/>
      <c r="DM550" s="8">
        <f t="shared" si="762"/>
        <v>0</v>
      </c>
      <c r="DN550" s="8">
        <f t="shared" si="763"/>
        <v>3320.23</v>
      </c>
      <c r="DO550" s="202">
        <f t="shared" si="737"/>
        <v>-3320.23</v>
      </c>
      <c r="DP550" s="202">
        <f t="shared" si="738"/>
        <v>-3320.23</v>
      </c>
      <c r="DQ550" s="202">
        <f t="shared" si="739"/>
        <v>-3320.23</v>
      </c>
      <c r="DR550" s="9">
        <f t="shared" si="740"/>
        <v>-3320.23</v>
      </c>
      <c r="DS550" s="9">
        <f t="shared" si="703"/>
        <v>-3320.23</v>
      </c>
      <c r="DT550" s="9">
        <f t="shared" si="741"/>
        <v>-3320.23</v>
      </c>
      <c r="DU550" s="202">
        <f t="shared" si="742"/>
        <v>-3320.23</v>
      </c>
      <c r="DV550" s="202">
        <f t="shared" si="743"/>
        <v>-3320.23</v>
      </c>
      <c r="DW550" s="202">
        <f t="shared" si="744"/>
        <v>-3320.23</v>
      </c>
      <c r="DX550" s="203" t="e">
        <f t="shared" si="745"/>
        <v>#DIV/0!</v>
      </c>
      <c r="DY550" s="203" t="e">
        <f t="shared" si="746"/>
        <v>#DIV/0!</v>
      </c>
      <c r="DZ550" s="203" t="e">
        <f t="shared" si="747"/>
        <v>#DIV/0!</v>
      </c>
      <c r="EA550" s="19" t="e">
        <f t="shared" si="748"/>
        <v>#DIV/0!</v>
      </c>
      <c r="EB550" s="19" t="e">
        <f t="shared" si="704"/>
        <v>#DIV/0!</v>
      </c>
      <c r="EC550" s="19" t="e">
        <f t="shared" si="749"/>
        <v>#DIV/0!</v>
      </c>
      <c r="ED550" s="203" t="e">
        <f t="shared" si="750"/>
        <v>#DIV/0!</v>
      </c>
      <c r="EE550" s="203" t="e">
        <f t="shared" si="751"/>
        <v>#DIV/0!</v>
      </c>
      <c r="EF550" s="203" t="e">
        <f t="shared" si="752"/>
        <v>#DIV/0!</v>
      </c>
      <c r="EH550" s="58">
        <f t="shared" si="798"/>
        <v>3320.23</v>
      </c>
      <c r="EI550" s="68" t="e">
        <f t="shared" si="799"/>
        <v>#DIV/0!</v>
      </c>
      <c r="EJ550" s="58">
        <f t="shared" si="800"/>
        <v>3320.23</v>
      </c>
      <c r="EK550" s="68" t="e">
        <f t="shared" si="799"/>
        <v>#DIV/0!</v>
      </c>
      <c r="EL550" s="58">
        <f t="shared" si="801"/>
        <v>0</v>
      </c>
      <c r="EM550" s="58">
        <f t="shared" si="802"/>
        <v>0</v>
      </c>
      <c r="EN550" s="68" t="e">
        <f t="shared" si="803"/>
        <v>#DIV/0!</v>
      </c>
      <c r="EO550" s="139">
        <f t="shared" si="854"/>
        <v>0.32861286969700848</v>
      </c>
      <c r="EP550">
        <f>+(SUM(M550:O550)*EO550*(1-'[1]Tier 3 Data'!$A$2))</f>
        <v>0</v>
      </c>
    </row>
    <row r="551" spans="1:146" x14ac:dyDescent="0.2">
      <c r="A551" s="43">
        <v>0</v>
      </c>
      <c r="B551" s="43">
        <v>0</v>
      </c>
      <c r="C551" s="43">
        <v>0</v>
      </c>
      <c r="D551" s="70">
        <v>2053</v>
      </c>
      <c r="E551" s="70">
        <v>4</v>
      </c>
      <c r="F551" s="2">
        <v>720</v>
      </c>
      <c r="G551" s="133">
        <f t="shared" si="838"/>
        <v>0</v>
      </c>
      <c r="H551" s="64"/>
      <c r="I551" s="133">
        <f t="shared" si="839"/>
        <v>0</v>
      </c>
      <c r="J551" s="133">
        <f t="shared" si="778"/>
        <v>0</v>
      </c>
      <c r="K551" s="64"/>
      <c r="L551" s="133">
        <f t="shared" si="779"/>
        <v>0</v>
      </c>
      <c r="M551" s="5"/>
      <c r="N551" s="5"/>
      <c r="O551" s="5"/>
      <c r="P551" s="200">
        <f t="shared" si="770"/>
        <v>0</v>
      </c>
      <c r="Q551" s="200">
        <f t="shared" si="771"/>
        <v>0</v>
      </c>
      <c r="R551" s="200">
        <f t="shared" si="772"/>
        <v>0</v>
      </c>
      <c r="S551" s="133">
        <f t="shared" si="840"/>
        <v>0</v>
      </c>
      <c r="T551" s="133">
        <f t="shared" si="841"/>
        <v>0</v>
      </c>
      <c r="U551" s="133">
        <f t="shared" si="842"/>
        <v>0</v>
      </c>
      <c r="V551" s="200">
        <f t="shared" si="773"/>
        <v>0</v>
      </c>
      <c r="W551" s="200">
        <f t="shared" si="774"/>
        <v>0</v>
      </c>
      <c r="X551" s="200">
        <f t="shared" si="775"/>
        <v>0</v>
      </c>
      <c r="Y551" s="58">
        <f t="shared" si="813"/>
        <v>0</v>
      </c>
      <c r="AA551" s="58">
        <f t="shared" si="814"/>
        <v>0</v>
      </c>
      <c r="AB551" s="200">
        <f t="shared" si="815"/>
        <v>0</v>
      </c>
      <c r="AC551" s="200">
        <f t="shared" si="816"/>
        <v>0</v>
      </c>
      <c r="AD551" s="200">
        <f t="shared" si="817"/>
        <v>0</v>
      </c>
      <c r="AE551" s="199">
        <f t="shared" si="719"/>
        <v>0</v>
      </c>
      <c r="AF551" s="199">
        <f t="shared" si="818"/>
        <v>0</v>
      </c>
      <c r="AG551" s="199">
        <f t="shared" si="720"/>
        <v>0</v>
      </c>
      <c r="AH551" s="199">
        <f t="shared" si="843"/>
        <v>0</v>
      </c>
      <c r="AI551" s="200">
        <f t="shared" si="819"/>
        <v>0</v>
      </c>
      <c r="AJ551" s="200">
        <f t="shared" si="820"/>
        <v>0</v>
      </c>
      <c r="AK551" s="200">
        <f t="shared" si="821"/>
        <v>0</v>
      </c>
      <c r="AL551" s="4"/>
      <c r="AM551" s="4"/>
      <c r="AN551" s="4"/>
      <c r="AO551" s="4"/>
      <c r="AP551" s="63"/>
      <c r="AQ551" s="18"/>
      <c r="AR551" s="18"/>
      <c r="AS551" s="18"/>
      <c r="AT551" s="18">
        <v>0</v>
      </c>
      <c r="AU551" s="133">
        <f t="shared" ref="AU551" si="881">+AU539</f>
        <v>96.057000000000002</v>
      </c>
      <c r="AV551" s="133">
        <f t="shared" ref="AV551" si="882">+AV539</f>
        <v>3017.9659999999999</v>
      </c>
      <c r="AW551" s="194"/>
      <c r="AX551" s="194"/>
      <c r="AY551" s="194"/>
      <c r="AZ551" s="194"/>
      <c r="BA551" s="194"/>
      <c r="BB551" s="194"/>
      <c r="BC551" s="65">
        <v>0</v>
      </c>
      <c r="BD551" s="65">
        <v>0</v>
      </c>
      <c r="BE551" s="65">
        <v>0</v>
      </c>
      <c r="BF551" s="65">
        <v>0</v>
      </c>
      <c r="BG551" s="65">
        <v>0</v>
      </c>
      <c r="BH551" s="65">
        <v>0</v>
      </c>
      <c r="BI551" s="65">
        <v>0</v>
      </c>
      <c r="BJ551" s="65">
        <v>0</v>
      </c>
      <c r="BK551" s="65">
        <v>0</v>
      </c>
      <c r="BL551" s="65">
        <v>0</v>
      </c>
      <c r="BM551" s="65">
        <v>0</v>
      </c>
      <c r="BN551" s="65">
        <v>0</v>
      </c>
      <c r="BO551" s="65">
        <v>0</v>
      </c>
      <c r="BP551" s="5"/>
      <c r="BQ551" s="5"/>
      <c r="BR551" s="5"/>
      <c r="BS551" s="5"/>
      <c r="BT551" s="5"/>
      <c r="BU551" s="5"/>
      <c r="BV551" s="144">
        <f t="shared" si="810"/>
        <v>0</v>
      </c>
      <c r="BW551" s="144">
        <f t="shared" si="811"/>
        <v>0</v>
      </c>
      <c r="BX551" s="144">
        <f t="shared" si="812"/>
        <v>0</v>
      </c>
      <c r="BY551" s="5"/>
      <c r="BZ551" s="5"/>
      <c r="CA551" s="4"/>
      <c r="CB551" s="5"/>
      <c r="CC551" s="5"/>
      <c r="CD551" s="5"/>
      <c r="CE551" s="5"/>
      <c r="CF551" s="64"/>
      <c r="CG551" s="70"/>
      <c r="CH551" s="70"/>
      <c r="CI551" s="70"/>
      <c r="CJ551" s="63"/>
      <c r="CK551" s="8">
        <f t="shared" si="761"/>
        <v>3114.0229999999997</v>
      </c>
      <c r="CL551" s="202">
        <f t="shared" si="683"/>
        <v>-3114.0229999999997</v>
      </c>
      <c r="CM551" s="202">
        <f t="shared" si="684"/>
        <v>-3114.0229999999997</v>
      </c>
      <c r="CN551" s="202">
        <f t="shared" si="685"/>
        <v>-3114.0229999999997</v>
      </c>
      <c r="CO551" s="9">
        <f t="shared" si="686"/>
        <v>-3114.0229999999997</v>
      </c>
      <c r="CP551" s="9">
        <f t="shared" si="687"/>
        <v>-3114.0229999999997</v>
      </c>
      <c r="CQ551" s="9">
        <f t="shared" si="688"/>
        <v>-3114.0229999999997</v>
      </c>
      <c r="CR551" s="202">
        <f t="shared" si="689"/>
        <v>-3114.0229999999997</v>
      </c>
      <c r="CS551" s="202">
        <f t="shared" si="690"/>
        <v>-3114.0229999999997</v>
      </c>
      <c r="CT551" s="202">
        <f t="shared" si="691"/>
        <v>-3114.0229999999997</v>
      </c>
      <c r="CU551" s="203" t="e">
        <f t="shared" si="692"/>
        <v>#DIV/0!</v>
      </c>
      <c r="CV551" s="203" t="e">
        <f t="shared" si="693"/>
        <v>#DIV/0!</v>
      </c>
      <c r="CW551" s="203" t="e">
        <f t="shared" si="694"/>
        <v>#DIV/0!</v>
      </c>
      <c r="CX551" s="19" t="e">
        <f t="shared" si="695"/>
        <v>#DIV/0!</v>
      </c>
      <c r="CY551" s="19" t="e">
        <f t="shared" si="696"/>
        <v>#DIV/0!</v>
      </c>
      <c r="CZ551" s="19" t="e">
        <f t="shared" si="697"/>
        <v>#DIV/0!</v>
      </c>
      <c r="DA551" s="203" t="e">
        <f t="shared" si="698"/>
        <v>#DIV/0!</v>
      </c>
      <c r="DB551" s="203" t="e">
        <f t="shared" si="699"/>
        <v>#DIV/0!</v>
      </c>
      <c r="DC551" s="203" t="e">
        <f t="shared" si="700"/>
        <v>#DIV/0!</v>
      </c>
      <c r="DD551" s="65"/>
      <c r="DE551" s="66"/>
      <c r="DF551" s="66"/>
      <c r="DG551" s="66"/>
      <c r="DH551" s="66"/>
      <c r="DI551" s="66"/>
      <c r="DJ551" s="66"/>
      <c r="DK551" s="70"/>
      <c r="DL551" s="70"/>
      <c r="DM551" s="8">
        <f t="shared" si="762"/>
        <v>0</v>
      </c>
      <c r="DN551" s="8">
        <f t="shared" si="763"/>
        <v>3114.0229999999997</v>
      </c>
      <c r="DO551" s="202">
        <f t="shared" si="737"/>
        <v>-3114.0229999999997</v>
      </c>
      <c r="DP551" s="202">
        <f t="shared" si="738"/>
        <v>-3114.0229999999997</v>
      </c>
      <c r="DQ551" s="202">
        <f t="shared" si="739"/>
        <v>-3114.0229999999997</v>
      </c>
      <c r="DR551" s="9">
        <f t="shared" si="740"/>
        <v>-3114.0229999999997</v>
      </c>
      <c r="DS551" s="9">
        <f t="shared" si="703"/>
        <v>-3114.0229999999997</v>
      </c>
      <c r="DT551" s="9">
        <f t="shared" si="741"/>
        <v>-3114.0229999999997</v>
      </c>
      <c r="DU551" s="202">
        <f t="shared" si="742"/>
        <v>-3114.0229999999997</v>
      </c>
      <c r="DV551" s="202">
        <f t="shared" si="743"/>
        <v>-3114.0229999999997</v>
      </c>
      <c r="DW551" s="202">
        <f t="shared" si="744"/>
        <v>-3114.0229999999997</v>
      </c>
      <c r="DX551" s="203" t="e">
        <f t="shared" si="745"/>
        <v>#DIV/0!</v>
      </c>
      <c r="DY551" s="203" t="e">
        <f t="shared" si="746"/>
        <v>#DIV/0!</v>
      </c>
      <c r="DZ551" s="203" t="e">
        <f t="shared" si="747"/>
        <v>#DIV/0!</v>
      </c>
      <c r="EA551" s="19" t="e">
        <f t="shared" si="748"/>
        <v>#DIV/0!</v>
      </c>
      <c r="EB551" s="19" t="e">
        <f t="shared" si="704"/>
        <v>#DIV/0!</v>
      </c>
      <c r="EC551" s="19" t="e">
        <f t="shared" si="749"/>
        <v>#DIV/0!</v>
      </c>
      <c r="ED551" s="203" t="e">
        <f t="shared" si="750"/>
        <v>#DIV/0!</v>
      </c>
      <c r="EE551" s="203" t="e">
        <f t="shared" si="751"/>
        <v>#DIV/0!</v>
      </c>
      <c r="EF551" s="203" t="e">
        <f t="shared" si="752"/>
        <v>#DIV/0!</v>
      </c>
      <c r="EH551" s="58">
        <f t="shared" si="798"/>
        <v>3114.0229999999997</v>
      </c>
      <c r="EI551" s="68" t="e">
        <f t="shared" si="799"/>
        <v>#DIV/0!</v>
      </c>
      <c r="EJ551" s="58">
        <f t="shared" si="800"/>
        <v>3114.0229999999997</v>
      </c>
      <c r="EK551" s="68" t="e">
        <f t="shared" si="799"/>
        <v>#DIV/0!</v>
      </c>
      <c r="EL551" s="58">
        <f t="shared" si="801"/>
        <v>0</v>
      </c>
      <c r="EM551" s="58">
        <f t="shared" si="802"/>
        <v>0</v>
      </c>
      <c r="EN551" s="68" t="e">
        <f t="shared" si="803"/>
        <v>#DIV/0!</v>
      </c>
      <c r="EO551" s="139">
        <f t="shared" si="854"/>
        <v>0.35351678044029999</v>
      </c>
      <c r="EP551">
        <f>+(SUM(M551:O551)*EO551*(1-'[1]Tier 3 Data'!$A$2))</f>
        <v>0</v>
      </c>
    </row>
    <row r="552" spans="1:146" x14ac:dyDescent="0.2">
      <c r="A552" s="43">
        <v>0</v>
      </c>
      <c r="B552" s="43">
        <v>0</v>
      </c>
      <c r="C552" s="43">
        <v>0</v>
      </c>
      <c r="D552" s="70">
        <v>2053</v>
      </c>
      <c r="E552" s="70">
        <v>5</v>
      </c>
      <c r="F552" s="2">
        <v>744</v>
      </c>
      <c r="G552" s="133">
        <f t="shared" si="838"/>
        <v>0</v>
      </c>
      <c r="H552" s="64"/>
      <c r="I552" s="133">
        <f t="shared" si="839"/>
        <v>0</v>
      </c>
      <c r="J552" s="133">
        <f t="shared" si="778"/>
        <v>0</v>
      </c>
      <c r="K552" s="64"/>
      <c r="L552" s="133">
        <f t="shared" si="779"/>
        <v>0</v>
      </c>
      <c r="M552" s="5"/>
      <c r="N552" s="5"/>
      <c r="O552" s="5"/>
      <c r="P552" s="200">
        <f t="shared" si="770"/>
        <v>0</v>
      </c>
      <c r="Q552" s="200">
        <f t="shared" si="771"/>
        <v>0</v>
      </c>
      <c r="R552" s="200">
        <f t="shared" si="772"/>
        <v>0</v>
      </c>
      <c r="S552" s="133">
        <f t="shared" si="840"/>
        <v>0</v>
      </c>
      <c r="T552" s="133">
        <f t="shared" si="841"/>
        <v>0</v>
      </c>
      <c r="U552" s="133">
        <f t="shared" si="842"/>
        <v>0</v>
      </c>
      <c r="V552" s="200">
        <f t="shared" si="773"/>
        <v>0</v>
      </c>
      <c r="W552" s="200">
        <f t="shared" si="774"/>
        <v>0</v>
      </c>
      <c r="X552" s="200">
        <f t="shared" si="775"/>
        <v>0</v>
      </c>
      <c r="Y552" s="58">
        <f t="shared" si="813"/>
        <v>0</v>
      </c>
      <c r="AA552" s="58">
        <f t="shared" si="814"/>
        <v>0</v>
      </c>
      <c r="AB552" s="200">
        <f t="shared" si="815"/>
        <v>0</v>
      </c>
      <c r="AC552" s="200">
        <f t="shared" si="816"/>
        <v>0</v>
      </c>
      <c r="AD552" s="200">
        <f t="shared" si="817"/>
        <v>0</v>
      </c>
      <c r="AE552" s="199">
        <f t="shared" si="719"/>
        <v>0</v>
      </c>
      <c r="AF552" s="199">
        <f t="shared" si="818"/>
        <v>0</v>
      </c>
      <c r="AG552" s="199">
        <f t="shared" si="720"/>
        <v>0</v>
      </c>
      <c r="AH552" s="199">
        <f t="shared" si="843"/>
        <v>0</v>
      </c>
      <c r="AI552" s="200">
        <f t="shared" si="819"/>
        <v>0</v>
      </c>
      <c r="AJ552" s="200">
        <f t="shared" si="820"/>
        <v>0</v>
      </c>
      <c r="AK552" s="200">
        <f t="shared" si="821"/>
        <v>0</v>
      </c>
      <c r="AL552" s="4"/>
      <c r="AM552" s="4"/>
      <c r="AN552" s="4"/>
      <c r="AO552" s="4"/>
      <c r="AP552" s="63"/>
      <c r="AQ552" s="18"/>
      <c r="AR552" s="18"/>
      <c r="AS552" s="18"/>
      <c r="AT552" s="18">
        <v>0</v>
      </c>
      <c r="AU552" s="133">
        <f t="shared" ref="AU552" si="883">+AU540</f>
        <v>109.161</v>
      </c>
      <c r="AV552" s="133">
        <f t="shared" ref="AV552" si="884">+AV540</f>
        <v>3327.41</v>
      </c>
      <c r="AW552" s="194"/>
      <c r="AX552" s="194"/>
      <c r="AY552" s="194"/>
      <c r="AZ552" s="194"/>
      <c r="BA552" s="194"/>
      <c r="BB552" s="194"/>
      <c r="BC552" s="65">
        <v>0</v>
      </c>
      <c r="BD552" s="65">
        <v>0</v>
      </c>
      <c r="BE552" s="65">
        <v>0</v>
      </c>
      <c r="BF552" s="65">
        <v>0</v>
      </c>
      <c r="BG552" s="65">
        <v>0</v>
      </c>
      <c r="BH552" s="65">
        <v>0</v>
      </c>
      <c r="BI552" s="65">
        <v>0</v>
      </c>
      <c r="BJ552" s="65">
        <v>0</v>
      </c>
      <c r="BK552" s="65">
        <v>0</v>
      </c>
      <c r="BL552" s="65">
        <v>0</v>
      </c>
      <c r="BM552" s="65">
        <v>0</v>
      </c>
      <c r="BN552" s="65">
        <v>0</v>
      </c>
      <c r="BO552" s="65">
        <v>0</v>
      </c>
      <c r="BP552" s="5"/>
      <c r="BQ552" s="5"/>
      <c r="BR552" s="5"/>
      <c r="BS552" s="5"/>
      <c r="BT552" s="5"/>
      <c r="BU552" s="5"/>
      <c r="BV552" s="144">
        <f t="shared" si="810"/>
        <v>0</v>
      </c>
      <c r="BW552" s="144">
        <f t="shared" si="811"/>
        <v>0</v>
      </c>
      <c r="BX552" s="144">
        <f t="shared" si="812"/>
        <v>0</v>
      </c>
      <c r="BY552" s="5"/>
      <c r="BZ552" s="5"/>
      <c r="CA552" s="4"/>
      <c r="CB552" s="5"/>
      <c r="CC552" s="5"/>
      <c r="CD552" s="5"/>
      <c r="CE552" s="5"/>
      <c r="CF552" s="64"/>
      <c r="CG552" s="70"/>
      <c r="CH552" s="70"/>
      <c r="CI552" s="70"/>
      <c r="CJ552" s="63"/>
      <c r="CK552" s="8">
        <f t="shared" si="761"/>
        <v>3436.5709999999999</v>
      </c>
      <c r="CL552" s="202">
        <f t="shared" ref="CL552:CL595" si="885">+AB552-$CK552</f>
        <v>-3436.5709999999999</v>
      </c>
      <c r="CM552" s="202">
        <f t="shared" ref="CM552:CM595" si="886">+AC552-$CK552</f>
        <v>-3436.5709999999999</v>
      </c>
      <c r="CN552" s="202">
        <f t="shared" ref="CN552:CN595" si="887">+AD552-$CK552</f>
        <v>-3436.5709999999999</v>
      </c>
      <c r="CO552" s="9">
        <f t="shared" ref="CO552:CO595" si="888">+AE552-$CK552</f>
        <v>-3436.5709999999999</v>
      </c>
      <c r="CP552" s="9">
        <f t="shared" ref="CP552:CP594" si="889">+AF552-$CK552</f>
        <v>-3436.5709999999999</v>
      </c>
      <c r="CQ552" s="9">
        <f t="shared" ref="CQ552:CQ595" si="890">+AG552-$CK552</f>
        <v>-3436.5709999999999</v>
      </c>
      <c r="CR552" s="202">
        <f t="shared" ref="CR552:CR595" si="891">+AI552-$CK552</f>
        <v>-3436.5709999999999</v>
      </c>
      <c r="CS552" s="202">
        <f t="shared" ref="CS552:CS595" si="892">+AJ552-$CK552</f>
        <v>-3436.5709999999999</v>
      </c>
      <c r="CT552" s="202">
        <f t="shared" ref="CT552:CT595" si="893">+AK552-$CK552</f>
        <v>-3436.5709999999999</v>
      </c>
      <c r="CU552" s="203" t="e">
        <f t="shared" ref="CU552:CU595" si="894">+CL552/AB552</f>
        <v>#DIV/0!</v>
      </c>
      <c r="CV552" s="203" t="e">
        <f t="shared" ref="CV552:CV595" si="895">+CM552/AC552</f>
        <v>#DIV/0!</v>
      </c>
      <c r="CW552" s="203" t="e">
        <f t="shared" ref="CW552:CW595" si="896">+CN552/AD552</f>
        <v>#DIV/0!</v>
      </c>
      <c r="CX552" s="19" t="e">
        <f t="shared" ref="CX552:CX595" si="897">+CO552/AE552</f>
        <v>#DIV/0!</v>
      </c>
      <c r="CY552" s="19" t="e">
        <f t="shared" ref="CY552:CY594" si="898">+CP552/AF552</f>
        <v>#DIV/0!</v>
      </c>
      <c r="CZ552" s="19" t="e">
        <f t="shared" ref="CZ552:CZ595" si="899">+CQ552/AG552</f>
        <v>#DIV/0!</v>
      </c>
      <c r="DA552" s="203" t="e">
        <f t="shared" ref="DA552:DA595" si="900">+CR552/AI552</f>
        <v>#DIV/0!</v>
      </c>
      <c r="DB552" s="203" t="e">
        <f t="shared" ref="DB552:DB595" si="901">+CS552/AJ552</f>
        <v>#DIV/0!</v>
      </c>
      <c r="DC552" s="203" t="e">
        <f t="shared" ref="DC552:DC595" si="902">+CT552/AK552</f>
        <v>#DIV/0!</v>
      </c>
      <c r="DD552" s="65"/>
      <c r="DE552" s="66"/>
      <c r="DF552" s="66"/>
      <c r="DG552" s="66"/>
      <c r="DH552" s="66"/>
      <c r="DI552" s="66"/>
      <c r="DJ552" s="66"/>
      <c r="DK552" s="70"/>
      <c r="DL552" s="70"/>
      <c r="DM552" s="8">
        <f t="shared" si="762"/>
        <v>0</v>
      </c>
      <c r="DN552" s="8">
        <f t="shared" si="763"/>
        <v>3436.5709999999999</v>
      </c>
      <c r="DO552" s="202">
        <f t="shared" si="737"/>
        <v>-3436.5709999999999</v>
      </c>
      <c r="DP552" s="202">
        <f t="shared" si="738"/>
        <v>-3436.5709999999999</v>
      </c>
      <c r="DQ552" s="202">
        <f t="shared" si="739"/>
        <v>-3436.5709999999999</v>
      </c>
      <c r="DR552" s="9">
        <f t="shared" si="740"/>
        <v>-3436.5709999999999</v>
      </c>
      <c r="DS552" s="9">
        <f t="shared" si="703"/>
        <v>-3436.5709999999999</v>
      </c>
      <c r="DT552" s="9">
        <f t="shared" si="741"/>
        <v>-3436.5709999999999</v>
      </c>
      <c r="DU552" s="202">
        <f t="shared" si="742"/>
        <v>-3436.5709999999999</v>
      </c>
      <c r="DV552" s="202">
        <f t="shared" si="743"/>
        <v>-3436.5709999999999</v>
      </c>
      <c r="DW552" s="202">
        <f t="shared" si="744"/>
        <v>-3436.5709999999999</v>
      </c>
      <c r="DX552" s="203" t="e">
        <f t="shared" si="745"/>
        <v>#DIV/0!</v>
      </c>
      <c r="DY552" s="203" t="e">
        <f t="shared" si="746"/>
        <v>#DIV/0!</v>
      </c>
      <c r="DZ552" s="203" t="e">
        <f t="shared" si="747"/>
        <v>#DIV/0!</v>
      </c>
      <c r="EA552" s="19" t="e">
        <f t="shared" si="748"/>
        <v>#DIV/0!</v>
      </c>
      <c r="EB552" s="19" t="e">
        <f t="shared" si="704"/>
        <v>#DIV/0!</v>
      </c>
      <c r="EC552" s="19" t="e">
        <f t="shared" si="749"/>
        <v>#DIV/0!</v>
      </c>
      <c r="ED552" s="203" t="e">
        <f t="shared" si="750"/>
        <v>#DIV/0!</v>
      </c>
      <c r="EE552" s="203" t="e">
        <f t="shared" si="751"/>
        <v>#DIV/0!</v>
      </c>
      <c r="EF552" s="203" t="e">
        <f t="shared" si="752"/>
        <v>#DIV/0!</v>
      </c>
      <c r="EH552" s="58">
        <f t="shared" si="798"/>
        <v>3436.5709999999999</v>
      </c>
      <c r="EI552" s="68" t="e">
        <f t="shared" si="799"/>
        <v>#DIV/0!</v>
      </c>
      <c r="EJ552" s="58">
        <f t="shared" si="800"/>
        <v>3436.5709999999999</v>
      </c>
      <c r="EK552" s="68" t="e">
        <f t="shared" si="799"/>
        <v>#DIV/0!</v>
      </c>
      <c r="EL552" s="58">
        <f t="shared" si="801"/>
        <v>0</v>
      </c>
      <c r="EM552" s="58">
        <f t="shared" si="802"/>
        <v>0</v>
      </c>
      <c r="EN552" s="68" t="e">
        <f t="shared" si="803"/>
        <v>#DIV/0!</v>
      </c>
      <c r="EO552" s="139">
        <f t="shared" si="854"/>
        <v>0.28868615856523006</v>
      </c>
      <c r="EP552">
        <f>+(SUM(M552:O552)*EO552*(1-'[1]Tier 3 Data'!$A$2))</f>
        <v>0</v>
      </c>
    </row>
    <row r="553" spans="1:146" x14ac:dyDescent="0.2">
      <c r="A553" s="43">
        <v>0</v>
      </c>
      <c r="B553" s="43">
        <v>0</v>
      </c>
      <c r="C553" s="43">
        <v>0</v>
      </c>
      <c r="D553" s="70">
        <v>2053</v>
      </c>
      <c r="E553" s="70">
        <v>6</v>
      </c>
      <c r="F553" s="2">
        <v>720</v>
      </c>
      <c r="G553" s="133">
        <f t="shared" si="838"/>
        <v>0</v>
      </c>
      <c r="H553" s="64"/>
      <c r="I553" s="133">
        <f t="shared" si="839"/>
        <v>0</v>
      </c>
      <c r="J553" s="133">
        <f t="shared" si="778"/>
        <v>0</v>
      </c>
      <c r="K553" s="64"/>
      <c r="L553" s="133">
        <f t="shared" si="779"/>
        <v>0</v>
      </c>
      <c r="M553" s="5"/>
      <c r="N553" s="5"/>
      <c r="O553" s="5"/>
      <c r="P553" s="200">
        <f t="shared" si="770"/>
        <v>0</v>
      </c>
      <c r="Q553" s="200">
        <f t="shared" si="771"/>
        <v>0</v>
      </c>
      <c r="R553" s="200">
        <f t="shared" si="772"/>
        <v>0</v>
      </c>
      <c r="S553" s="133">
        <f t="shared" si="840"/>
        <v>0</v>
      </c>
      <c r="T553" s="133">
        <f t="shared" si="841"/>
        <v>0</v>
      </c>
      <c r="U553" s="133">
        <f t="shared" si="842"/>
        <v>0</v>
      </c>
      <c r="V553" s="200">
        <f t="shared" si="773"/>
        <v>0</v>
      </c>
      <c r="W553" s="200">
        <f t="shared" si="774"/>
        <v>0</v>
      </c>
      <c r="X553" s="200">
        <f t="shared" si="775"/>
        <v>0</v>
      </c>
      <c r="Y553" s="58">
        <f t="shared" si="813"/>
        <v>0</v>
      </c>
      <c r="AA553" s="58">
        <f t="shared" si="814"/>
        <v>0</v>
      </c>
      <c r="AB553" s="200">
        <f t="shared" si="815"/>
        <v>0</v>
      </c>
      <c r="AC553" s="200">
        <f t="shared" si="816"/>
        <v>0</v>
      </c>
      <c r="AD553" s="200">
        <f t="shared" si="817"/>
        <v>0</v>
      </c>
      <c r="AE553" s="199">
        <f t="shared" si="719"/>
        <v>0</v>
      </c>
      <c r="AF553" s="199">
        <f t="shared" si="818"/>
        <v>0</v>
      </c>
      <c r="AG553" s="199">
        <f t="shared" si="720"/>
        <v>0</v>
      </c>
      <c r="AH553" s="199">
        <f t="shared" si="843"/>
        <v>0</v>
      </c>
      <c r="AI553" s="200">
        <f t="shared" si="819"/>
        <v>0</v>
      </c>
      <c r="AJ553" s="200">
        <f t="shared" si="820"/>
        <v>0</v>
      </c>
      <c r="AK553" s="200">
        <f t="shared" si="821"/>
        <v>0</v>
      </c>
      <c r="AL553" s="4"/>
      <c r="AM553" s="4"/>
      <c r="AN553" s="4"/>
      <c r="AO553" s="4"/>
      <c r="AP553" s="63"/>
      <c r="AQ553" s="18"/>
      <c r="AR553" s="18"/>
      <c r="AS553" s="18"/>
      <c r="AT553" s="18">
        <v>0</v>
      </c>
      <c r="AU553" s="133">
        <f t="shared" ref="AU553" si="903">+AU541</f>
        <v>128.934</v>
      </c>
      <c r="AV553" s="133">
        <f t="shared" ref="AV553" si="904">+AV541</f>
        <v>3110.2840000000001</v>
      </c>
      <c r="AW553" s="194"/>
      <c r="AX553" s="194"/>
      <c r="AY553" s="194"/>
      <c r="AZ553" s="194"/>
      <c r="BA553" s="194"/>
      <c r="BB553" s="194"/>
      <c r="BC553" s="65">
        <v>0</v>
      </c>
      <c r="BD553" s="65">
        <v>0</v>
      </c>
      <c r="BE553" s="65">
        <v>0</v>
      </c>
      <c r="BF553" s="65">
        <v>0</v>
      </c>
      <c r="BG553" s="65">
        <v>0</v>
      </c>
      <c r="BH553" s="65">
        <v>0</v>
      </c>
      <c r="BI553" s="65">
        <v>0</v>
      </c>
      <c r="BJ553" s="65">
        <v>0</v>
      </c>
      <c r="BK553" s="65">
        <v>0</v>
      </c>
      <c r="BL553" s="65">
        <v>0</v>
      </c>
      <c r="BM553" s="65">
        <v>0</v>
      </c>
      <c r="BN553" s="65">
        <v>0</v>
      </c>
      <c r="BO553" s="65">
        <v>0</v>
      </c>
      <c r="BP553" s="5"/>
      <c r="BQ553" s="5"/>
      <c r="BR553" s="5"/>
      <c r="BS553" s="5"/>
      <c r="BT553" s="5"/>
      <c r="BU553" s="5"/>
      <c r="BV553" s="144">
        <f t="shared" si="810"/>
        <v>0</v>
      </c>
      <c r="BW553" s="144">
        <f t="shared" si="811"/>
        <v>0</v>
      </c>
      <c r="BX553" s="144">
        <f t="shared" si="812"/>
        <v>0</v>
      </c>
      <c r="BY553" s="5"/>
      <c r="BZ553" s="5"/>
      <c r="CA553" s="4"/>
      <c r="CB553" s="5"/>
      <c r="CC553" s="5"/>
      <c r="CD553" s="5"/>
      <c r="CE553" s="5"/>
      <c r="CF553" s="64"/>
      <c r="CG553" s="70"/>
      <c r="CH553" s="70"/>
      <c r="CI553" s="70"/>
      <c r="CJ553" s="63"/>
      <c r="CK553" s="8">
        <f t="shared" si="761"/>
        <v>3239.2180000000003</v>
      </c>
      <c r="CL553" s="202">
        <f t="shared" si="885"/>
        <v>-3239.2180000000003</v>
      </c>
      <c r="CM553" s="202">
        <f t="shared" si="886"/>
        <v>-3239.2180000000003</v>
      </c>
      <c r="CN553" s="202">
        <f t="shared" si="887"/>
        <v>-3239.2180000000003</v>
      </c>
      <c r="CO553" s="9">
        <f t="shared" si="888"/>
        <v>-3239.2180000000003</v>
      </c>
      <c r="CP553" s="9">
        <f t="shared" si="889"/>
        <v>-3239.2180000000003</v>
      </c>
      <c r="CQ553" s="9">
        <f t="shared" si="890"/>
        <v>-3239.2180000000003</v>
      </c>
      <c r="CR553" s="202">
        <f t="shared" si="891"/>
        <v>-3239.2180000000003</v>
      </c>
      <c r="CS553" s="202">
        <f t="shared" si="892"/>
        <v>-3239.2180000000003</v>
      </c>
      <c r="CT553" s="202">
        <f t="shared" si="893"/>
        <v>-3239.2180000000003</v>
      </c>
      <c r="CU553" s="203" t="e">
        <f t="shared" si="894"/>
        <v>#DIV/0!</v>
      </c>
      <c r="CV553" s="203" t="e">
        <f t="shared" si="895"/>
        <v>#DIV/0!</v>
      </c>
      <c r="CW553" s="203" t="e">
        <f t="shared" si="896"/>
        <v>#DIV/0!</v>
      </c>
      <c r="CX553" s="19" t="e">
        <f t="shared" si="897"/>
        <v>#DIV/0!</v>
      </c>
      <c r="CY553" s="19" t="e">
        <f t="shared" si="898"/>
        <v>#DIV/0!</v>
      </c>
      <c r="CZ553" s="19" t="e">
        <f t="shared" si="899"/>
        <v>#DIV/0!</v>
      </c>
      <c r="DA553" s="203" t="e">
        <f t="shared" si="900"/>
        <v>#DIV/0!</v>
      </c>
      <c r="DB553" s="203" t="e">
        <f t="shared" si="901"/>
        <v>#DIV/0!</v>
      </c>
      <c r="DC553" s="203" t="e">
        <f t="shared" si="902"/>
        <v>#DIV/0!</v>
      </c>
      <c r="DD553" s="65"/>
      <c r="DE553" s="66"/>
      <c r="DF553" s="66"/>
      <c r="DG553" s="66"/>
      <c r="DH553" s="66"/>
      <c r="DI553" s="66"/>
      <c r="DJ553" s="66"/>
      <c r="DK553" s="70"/>
      <c r="DL553" s="70"/>
      <c r="DM553" s="8">
        <f t="shared" si="762"/>
        <v>0</v>
      </c>
      <c r="DN553" s="8">
        <f t="shared" si="763"/>
        <v>3239.2180000000003</v>
      </c>
      <c r="DO553" s="202">
        <f t="shared" si="737"/>
        <v>-3239.2180000000003</v>
      </c>
      <c r="DP553" s="202">
        <f t="shared" si="738"/>
        <v>-3239.2180000000003</v>
      </c>
      <c r="DQ553" s="202">
        <f t="shared" si="739"/>
        <v>-3239.2180000000003</v>
      </c>
      <c r="DR553" s="9">
        <f t="shared" si="740"/>
        <v>-3239.2180000000003</v>
      </c>
      <c r="DS553" s="9">
        <f t="shared" ref="DS553:DS595" si="905">+AF553-$DN553</f>
        <v>-3239.2180000000003</v>
      </c>
      <c r="DT553" s="9">
        <f t="shared" si="741"/>
        <v>-3239.2180000000003</v>
      </c>
      <c r="DU553" s="202">
        <f t="shared" si="742"/>
        <v>-3239.2180000000003</v>
      </c>
      <c r="DV553" s="202">
        <f t="shared" si="743"/>
        <v>-3239.2180000000003</v>
      </c>
      <c r="DW553" s="202">
        <f t="shared" si="744"/>
        <v>-3239.2180000000003</v>
      </c>
      <c r="DX553" s="203" t="e">
        <f t="shared" si="745"/>
        <v>#DIV/0!</v>
      </c>
      <c r="DY553" s="203" t="e">
        <f t="shared" si="746"/>
        <v>#DIV/0!</v>
      </c>
      <c r="DZ553" s="203" t="e">
        <f t="shared" si="747"/>
        <v>#DIV/0!</v>
      </c>
      <c r="EA553" s="19" t="e">
        <f t="shared" si="748"/>
        <v>#DIV/0!</v>
      </c>
      <c r="EB553" s="19" t="e">
        <f t="shared" ref="EB553:EB595" si="906">+DS553/AF553</f>
        <v>#DIV/0!</v>
      </c>
      <c r="EC553" s="19" t="e">
        <f t="shared" si="749"/>
        <v>#DIV/0!</v>
      </c>
      <c r="ED553" s="203" t="e">
        <f t="shared" si="750"/>
        <v>#DIV/0!</v>
      </c>
      <c r="EE553" s="203" t="e">
        <f t="shared" si="751"/>
        <v>#DIV/0!</v>
      </c>
      <c r="EF553" s="203" t="e">
        <f t="shared" si="752"/>
        <v>#DIV/0!</v>
      </c>
      <c r="EH553" s="58">
        <f t="shared" si="798"/>
        <v>3239.2180000000003</v>
      </c>
      <c r="EI553" s="68" t="e">
        <f t="shared" si="799"/>
        <v>#DIV/0!</v>
      </c>
      <c r="EJ553" s="58">
        <f t="shared" si="800"/>
        <v>3239.2180000000003</v>
      </c>
      <c r="EK553" s="68" t="e">
        <f t="shared" si="799"/>
        <v>#DIV/0!</v>
      </c>
      <c r="EL553" s="58">
        <f t="shared" si="801"/>
        <v>0</v>
      </c>
      <c r="EM553" s="58">
        <f t="shared" si="802"/>
        <v>0</v>
      </c>
      <c r="EN553" s="68" t="e">
        <f t="shared" si="803"/>
        <v>#DIV/0!</v>
      </c>
      <c r="EO553" s="139">
        <f t="shared" si="854"/>
        <v>0.24029016665052916</v>
      </c>
      <c r="EP553">
        <f>+(SUM(M553:O553)*EO553*(1-'[1]Tier 3 Data'!$A$2))</f>
        <v>0</v>
      </c>
    </row>
    <row r="554" spans="1:146" x14ac:dyDescent="0.2">
      <c r="A554" s="43">
        <v>0</v>
      </c>
      <c r="B554" s="43">
        <v>0</v>
      </c>
      <c r="C554" s="43">
        <v>0</v>
      </c>
      <c r="D554" s="70">
        <v>2053</v>
      </c>
      <c r="E554" s="70">
        <v>7</v>
      </c>
      <c r="F554" s="2">
        <v>744</v>
      </c>
      <c r="G554" s="133">
        <f t="shared" si="838"/>
        <v>0</v>
      </c>
      <c r="H554" s="64"/>
      <c r="I554" s="133">
        <f t="shared" si="839"/>
        <v>0</v>
      </c>
      <c r="J554" s="133">
        <f t="shared" si="778"/>
        <v>0</v>
      </c>
      <c r="K554" s="64"/>
      <c r="L554" s="133">
        <f t="shared" si="779"/>
        <v>0</v>
      </c>
      <c r="M554" s="5"/>
      <c r="N554" s="5"/>
      <c r="O554" s="5"/>
      <c r="P554" s="200">
        <f t="shared" si="770"/>
        <v>0</v>
      </c>
      <c r="Q554" s="200">
        <f t="shared" si="771"/>
        <v>0</v>
      </c>
      <c r="R554" s="200">
        <f t="shared" si="772"/>
        <v>0</v>
      </c>
      <c r="S554" s="133">
        <f t="shared" si="840"/>
        <v>0</v>
      </c>
      <c r="T554" s="133">
        <f t="shared" si="841"/>
        <v>0</v>
      </c>
      <c r="U554" s="133">
        <f t="shared" si="842"/>
        <v>0</v>
      </c>
      <c r="V554" s="200">
        <f t="shared" si="773"/>
        <v>0</v>
      </c>
      <c r="W554" s="200">
        <f t="shared" si="774"/>
        <v>0</v>
      </c>
      <c r="X554" s="200">
        <f t="shared" si="775"/>
        <v>0</v>
      </c>
      <c r="Y554" s="58">
        <f t="shared" si="813"/>
        <v>0</v>
      </c>
      <c r="AA554" s="58">
        <f t="shared" si="814"/>
        <v>0</v>
      </c>
      <c r="AB554" s="200">
        <f t="shared" si="815"/>
        <v>0</v>
      </c>
      <c r="AC554" s="200">
        <f t="shared" si="816"/>
        <v>0</v>
      </c>
      <c r="AD554" s="200">
        <f t="shared" si="817"/>
        <v>0</v>
      </c>
      <c r="AE554" s="199">
        <f t="shared" si="719"/>
        <v>0</v>
      </c>
      <c r="AF554" s="199">
        <f t="shared" si="818"/>
        <v>0</v>
      </c>
      <c r="AG554" s="199">
        <f t="shared" si="720"/>
        <v>0</v>
      </c>
      <c r="AH554" s="199">
        <f t="shared" si="843"/>
        <v>0</v>
      </c>
      <c r="AI554" s="200">
        <f t="shared" si="819"/>
        <v>0</v>
      </c>
      <c r="AJ554" s="200">
        <f t="shared" si="820"/>
        <v>0</v>
      </c>
      <c r="AK554" s="200">
        <f t="shared" si="821"/>
        <v>0</v>
      </c>
      <c r="AL554" s="4"/>
      <c r="AM554" s="4"/>
      <c r="AN554" s="4"/>
      <c r="AO554" s="4"/>
      <c r="AP554" s="63"/>
      <c r="AQ554" s="18"/>
      <c r="AR554" s="18"/>
      <c r="AS554" s="18"/>
      <c r="AT554" s="18">
        <v>0</v>
      </c>
      <c r="AU554" s="133">
        <f t="shared" ref="AU554" si="907">+AU542</f>
        <v>118.521</v>
      </c>
      <c r="AV554" s="133">
        <f t="shared" ref="AV554" si="908">+AV542</f>
        <v>3084.53</v>
      </c>
      <c r="AW554" s="194"/>
      <c r="AX554" s="194"/>
      <c r="AY554" s="194"/>
      <c r="AZ554" s="194"/>
      <c r="BA554" s="194"/>
      <c r="BB554" s="194"/>
      <c r="BC554" s="65">
        <v>0</v>
      </c>
      <c r="BD554" s="65">
        <v>0</v>
      </c>
      <c r="BE554" s="65">
        <v>0</v>
      </c>
      <c r="BF554" s="65">
        <v>0</v>
      </c>
      <c r="BG554" s="65">
        <v>0</v>
      </c>
      <c r="BH554" s="65">
        <v>0</v>
      </c>
      <c r="BI554" s="65">
        <v>0</v>
      </c>
      <c r="BJ554" s="65">
        <v>0</v>
      </c>
      <c r="BK554" s="65">
        <v>0</v>
      </c>
      <c r="BL554" s="65">
        <v>0</v>
      </c>
      <c r="BM554" s="65">
        <v>0</v>
      </c>
      <c r="BN554" s="65">
        <v>0</v>
      </c>
      <c r="BO554" s="65">
        <v>0</v>
      </c>
      <c r="BP554" s="5"/>
      <c r="BQ554" s="5"/>
      <c r="BR554" s="5"/>
      <c r="BS554" s="5"/>
      <c r="BT554" s="5"/>
      <c r="BU554" s="5"/>
      <c r="BV554" s="144">
        <f t="shared" si="810"/>
        <v>0</v>
      </c>
      <c r="BW554" s="144">
        <f t="shared" si="811"/>
        <v>0</v>
      </c>
      <c r="BX554" s="144">
        <f t="shared" si="812"/>
        <v>0</v>
      </c>
      <c r="BY554" s="5"/>
      <c r="BZ554" s="5"/>
      <c r="CA554" s="4"/>
      <c r="CB554" s="5"/>
      <c r="CC554" s="5"/>
      <c r="CD554" s="5"/>
      <c r="CE554" s="5"/>
      <c r="CF554" s="64"/>
      <c r="CG554" s="70"/>
      <c r="CH554" s="70"/>
      <c r="CI554" s="70"/>
      <c r="CJ554" s="63"/>
      <c r="CK554" s="8">
        <f t="shared" si="761"/>
        <v>3203.0510000000004</v>
      </c>
      <c r="CL554" s="202">
        <f t="shared" si="885"/>
        <v>-3203.0510000000004</v>
      </c>
      <c r="CM554" s="202">
        <f t="shared" si="886"/>
        <v>-3203.0510000000004</v>
      </c>
      <c r="CN554" s="202">
        <f t="shared" si="887"/>
        <v>-3203.0510000000004</v>
      </c>
      <c r="CO554" s="9">
        <f t="shared" si="888"/>
        <v>-3203.0510000000004</v>
      </c>
      <c r="CP554" s="9">
        <f t="shared" si="889"/>
        <v>-3203.0510000000004</v>
      </c>
      <c r="CQ554" s="9">
        <f t="shared" si="890"/>
        <v>-3203.0510000000004</v>
      </c>
      <c r="CR554" s="202">
        <f t="shared" si="891"/>
        <v>-3203.0510000000004</v>
      </c>
      <c r="CS554" s="202">
        <f t="shared" si="892"/>
        <v>-3203.0510000000004</v>
      </c>
      <c r="CT554" s="202">
        <f t="shared" si="893"/>
        <v>-3203.0510000000004</v>
      </c>
      <c r="CU554" s="203" t="e">
        <f t="shared" si="894"/>
        <v>#DIV/0!</v>
      </c>
      <c r="CV554" s="203" t="e">
        <f t="shared" si="895"/>
        <v>#DIV/0!</v>
      </c>
      <c r="CW554" s="203" t="e">
        <f t="shared" si="896"/>
        <v>#DIV/0!</v>
      </c>
      <c r="CX554" s="19" t="e">
        <f t="shared" si="897"/>
        <v>#DIV/0!</v>
      </c>
      <c r="CY554" s="19" t="e">
        <f t="shared" si="898"/>
        <v>#DIV/0!</v>
      </c>
      <c r="CZ554" s="19" t="e">
        <f t="shared" si="899"/>
        <v>#DIV/0!</v>
      </c>
      <c r="DA554" s="203" t="e">
        <f t="shared" si="900"/>
        <v>#DIV/0!</v>
      </c>
      <c r="DB554" s="203" t="e">
        <f t="shared" si="901"/>
        <v>#DIV/0!</v>
      </c>
      <c r="DC554" s="203" t="e">
        <f t="shared" si="902"/>
        <v>#DIV/0!</v>
      </c>
      <c r="DD554" s="65"/>
      <c r="DE554" s="66"/>
      <c r="DF554" s="66"/>
      <c r="DG554" s="66"/>
      <c r="DH554" s="66"/>
      <c r="DI554" s="66"/>
      <c r="DJ554" s="66"/>
      <c r="DK554" s="70"/>
      <c r="DL554" s="70"/>
      <c r="DM554" s="8">
        <f t="shared" si="762"/>
        <v>0</v>
      </c>
      <c r="DN554" s="8">
        <f t="shared" si="763"/>
        <v>3203.0510000000004</v>
      </c>
      <c r="DO554" s="202">
        <f t="shared" si="737"/>
        <v>-3203.0510000000004</v>
      </c>
      <c r="DP554" s="202">
        <f t="shared" si="738"/>
        <v>-3203.0510000000004</v>
      </c>
      <c r="DQ554" s="202">
        <f t="shared" si="739"/>
        <v>-3203.0510000000004</v>
      </c>
      <c r="DR554" s="9">
        <f t="shared" si="740"/>
        <v>-3203.0510000000004</v>
      </c>
      <c r="DS554" s="9">
        <f t="shared" si="905"/>
        <v>-3203.0510000000004</v>
      </c>
      <c r="DT554" s="9">
        <f t="shared" si="741"/>
        <v>-3203.0510000000004</v>
      </c>
      <c r="DU554" s="202">
        <f t="shared" si="742"/>
        <v>-3203.0510000000004</v>
      </c>
      <c r="DV554" s="202">
        <f t="shared" si="743"/>
        <v>-3203.0510000000004</v>
      </c>
      <c r="DW554" s="202">
        <f t="shared" si="744"/>
        <v>-3203.0510000000004</v>
      </c>
      <c r="DX554" s="203" t="e">
        <f t="shared" si="745"/>
        <v>#DIV/0!</v>
      </c>
      <c r="DY554" s="203" t="e">
        <f t="shared" si="746"/>
        <v>#DIV/0!</v>
      </c>
      <c r="DZ554" s="203" t="e">
        <f t="shared" si="747"/>
        <v>#DIV/0!</v>
      </c>
      <c r="EA554" s="19" t="e">
        <f t="shared" si="748"/>
        <v>#DIV/0!</v>
      </c>
      <c r="EB554" s="19" t="e">
        <f t="shared" si="906"/>
        <v>#DIV/0!</v>
      </c>
      <c r="EC554" s="19" t="e">
        <f t="shared" si="749"/>
        <v>#DIV/0!</v>
      </c>
      <c r="ED554" s="203" t="e">
        <f t="shared" si="750"/>
        <v>#DIV/0!</v>
      </c>
      <c r="EE554" s="203" t="e">
        <f t="shared" si="751"/>
        <v>#DIV/0!</v>
      </c>
      <c r="EF554" s="203" t="e">
        <f t="shared" si="752"/>
        <v>#DIV/0!</v>
      </c>
      <c r="EH554" s="58">
        <f t="shared" si="798"/>
        <v>3203.0510000000004</v>
      </c>
      <c r="EI554" s="68" t="e">
        <f t="shared" si="799"/>
        <v>#DIV/0!</v>
      </c>
      <c r="EJ554" s="58">
        <f t="shared" si="800"/>
        <v>3203.0510000000004</v>
      </c>
      <c r="EK554" s="68" t="e">
        <f t="shared" si="799"/>
        <v>#DIV/0!</v>
      </c>
      <c r="EL554" s="58">
        <f t="shared" si="801"/>
        <v>0</v>
      </c>
      <c r="EM554" s="58">
        <f t="shared" si="802"/>
        <v>0</v>
      </c>
      <c r="EN554" s="68" t="e">
        <f t="shared" si="803"/>
        <v>#DIV/0!</v>
      </c>
      <c r="EO554" s="139">
        <f t="shared" si="854"/>
        <v>0.25197746931178833</v>
      </c>
      <c r="EP554">
        <f>+(SUM(M554:O554)*EO554*(1-'[1]Tier 3 Data'!$A$2))</f>
        <v>0</v>
      </c>
    </row>
    <row r="555" spans="1:146" x14ac:dyDescent="0.2">
      <c r="A555" s="43">
        <v>0</v>
      </c>
      <c r="B555" s="43">
        <v>0</v>
      </c>
      <c r="C555" s="43">
        <v>0</v>
      </c>
      <c r="D555" s="70">
        <v>2053</v>
      </c>
      <c r="E555" s="70">
        <v>8</v>
      </c>
      <c r="F555" s="2">
        <v>744</v>
      </c>
      <c r="G555" s="133">
        <f t="shared" si="838"/>
        <v>0</v>
      </c>
      <c r="H555" s="64"/>
      <c r="I555" s="133">
        <f t="shared" si="839"/>
        <v>0</v>
      </c>
      <c r="J555" s="133">
        <f t="shared" si="778"/>
        <v>0</v>
      </c>
      <c r="K555" s="64"/>
      <c r="L555" s="133">
        <f t="shared" si="779"/>
        <v>0</v>
      </c>
      <c r="M555" s="5"/>
      <c r="N555" s="5"/>
      <c r="O555" s="5"/>
      <c r="P555" s="200">
        <f t="shared" si="770"/>
        <v>0</v>
      </c>
      <c r="Q555" s="200">
        <f t="shared" si="771"/>
        <v>0</v>
      </c>
      <c r="R555" s="200">
        <f t="shared" si="772"/>
        <v>0</v>
      </c>
      <c r="S555" s="133">
        <f t="shared" si="840"/>
        <v>0</v>
      </c>
      <c r="T555" s="133">
        <f t="shared" si="841"/>
        <v>0</v>
      </c>
      <c r="U555" s="133">
        <f t="shared" si="842"/>
        <v>0</v>
      </c>
      <c r="V555" s="200">
        <f t="shared" si="773"/>
        <v>0</v>
      </c>
      <c r="W555" s="200">
        <f t="shared" si="774"/>
        <v>0</v>
      </c>
      <c r="X555" s="200">
        <f t="shared" si="775"/>
        <v>0</v>
      </c>
      <c r="Y555" s="58">
        <f t="shared" si="813"/>
        <v>0</v>
      </c>
      <c r="AA555" s="58">
        <f t="shared" si="814"/>
        <v>0</v>
      </c>
      <c r="AB555" s="200">
        <f t="shared" si="815"/>
        <v>0</v>
      </c>
      <c r="AC555" s="200">
        <f t="shared" si="816"/>
        <v>0</v>
      </c>
      <c r="AD555" s="200">
        <f t="shared" si="817"/>
        <v>0</v>
      </c>
      <c r="AE555" s="199">
        <f t="shared" si="719"/>
        <v>0</v>
      </c>
      <c r="AF555" s="199">
        <f t="shared" si="818"/>
        <v>0</v>
      </c>
      <c r="AG555" s="199">
        <f t="shared" si="720"/>
        <v>0</v>
      </c>
      <c r="AH555" s="199">
        <f t="shared" si="843"/>
        <v>0</v>
      </c>
      <c r="AI555" s="200">
        <f t="shared" si="819"/>
        <v>0</v>
      </c>
      <c r="AJ555" s="200">
        <f t="shared" si="820"/>
        <v>0</v>
      </c>
      <c r="AK555" s="200">
        <f t="shared" si="821"/>
        <v>0</v>
      </c>
      <c r="AL555" s="4"/>
      <c r="AM555" s="4"/>
      <c r="AN555" s="4"/>
      <c r="AO555" s="4"/>
      <c r="AP555" s="63"/>
      <c r="AQ555" s="18"/>
      <c r="AR555" s="18"/>
      <c r="AS555" s="18"/>
      <c r="AT555" s="18">
        <v>0</v>
      </c>
      <c r="AU555" s="133">
        <f t="shared" ref="AU555" si="909">+AU543</f>
        <v>107.64</v>
      </c>
      <c r="AV555" s="133">
        <f t="shared" ref="AV555" si="910">+AV543</f>
        <v>3021.9279999999999</v>
      </c>
      <c r="AW555" s="194"/>
      <c r="AX555" s="194"/>
      <c r="AY555" s="194"/>
      <c r="AZ555" s="194"/>
      <c r="BA555" s="194"/>
      <c r="BB555" s="194"/>
      <c r="BC555" s="65">
        <v>0</v>
      </c>
      <c r="BD555" s="65">
        <v>0</v>
      </c>
      <c r="BE555" s="65">
        <v>0</v>
      </c>
      <c r="BF555" s="65">
        <v>0</v>
      </c>
      <c r="BG555" s="65">
        <v>0</v>
      </c>
      <c r="BH555" s="65">
        <v>0</v>
      </c>
      <c r="BI555" s="65">
        <v>0</v>
      </c>
      <c r="BJ555" s="65">
        <v>0</v>
      </c>
      <c r="BK555" s="65">
        <v>0</v>
      </c>
      <c r="BL555" s="65">
        <v>0</v>
      </c>
      <c r="BM555" s="65">
        <v>0</v>
      </c>
      <c r="BN555" s="65">
        <v>0</v>
      </c>
      <c r="BO555" s="65">
        <v>0</v>
      </c>
      <c r="BP555" s="5"/>
      <c r="BQ555" s="5"/>
      <c r="BR555" s="5"/>
      <c r="BS555" s="5"/>
      <c r="BT555" s="5"/>
      <c r="BU555" s="5"/>
      <c r="BV555" s="144">
        <f t="shared" si="810"/>
        <v>0</v>
      </c>
      <c r="BW555" s="144">
        <f t="shared" si="811"/>
        <v>0</v>
      </c>
      <c r="BX555" s="144">
        <f t="shared" si="812"/>
        <v>0</v>
      </c>
      <c r="BY555" s="5"/>
      <c r="BZ555" s="5"/>
      <c r="CA555" s="4"/>
      <c r="CB555" s="5"/>
      <c r="CC555" s="5"/>
      <c r="CD555" s="5"/>
      <c r="CE555" s="5"/>
      <c r="CF555" s="64"/>
      <c r="CG555" s="70"/>
      <c r="CH555" s="70"/>
      <c r="CI555" s="70"/>
      <c r="CJ555" s="63"/>
      <c r="CK555" s="8">
        <f t="shared" si="761"/>
        <v>3129.5679999999998</v>
      </c>
      <c r="CL555" s="202">
        <f t="shared" si="885"/>
        <v>-3129.5679999999998</v>
      </c>
      <c r="CM555" s="202">
        <f t="shared" si="886"/>
        <v>-3129.5679999999998</v>
      </c>
      <c r="CN555" s="202">
        <f t="shared" si="887"/>
        <v>-3129.5679999999998</v>
      </c>
      <c r="CO555" s="9">
        <f t="shared" si="888"/>
        <v>-3129.5679999999998</v>
      </c>
      <c r="CP555" s="9">
        <f t="shared" si="889"/>
        <v>-3129.5679999999998</v>
      </c>
      <c r="CQ555" s="9">
        <f t="shared" si="890"/>
        <v>-3129.5679999999998</v>
      </c>
      <c r="CR555" s="202">
        <f t="shared" si="891"/>
        <v>-3129.5679999999998</v>
      </c>
      <c r="CS555" s="202">
        <f t="shared" si="892"/>
        <v>-3129.5679999999998</v>
      </c>
      <c r="CT555" s="202">
        <f t="shared" si="893"/>
        <v>-3129.5679999999998</v>
      </c>
      <c r="CU555" s="203" t="e">
        <f t="shared" si="894"/>
        <v>#DIV/0!</v>
      </c>
      <c r="CV555" s="203" t="e">
        <f t="shared" si="895"/>
        <v>#DIV/0!</v>
      </c>
      <c r="CW555" s="203" t="e">
        <f t="shared" si="896"/>
        <v>#DIV/0!</v>
      </c>
      <c r="CX555" s="19" t="e">
        <f t="shared" si="897"/>
        <v>#DIV/0!</v>
      </c>
      <c r="CY555" s="19" t="e">
        <f t="shared" si="898"/>
        <v>#DIV/0!</v>
      </c>
      <c r="CZ555" s="19" t="e">
        <f t="shared" si="899"/>
        <v>#DIV/0!</v>
      </c>
      <c r="DA555" s="203" t="e">
        <f t="shared" si="900"/>
        <v>#DIV/0!</v>
      </c>
      <c r="DB555" s="203" t="e">
        <f t="shared" si="901"/>
        <v>#DIV/0!</v>
      </c>
      <c r="DC555" s="203" t="e">
        <f t="shared" si="902"/>
        <v>#DIV/0!</v>
      </c>
      <c r="DD555" s="65"/>
      <c r="DE555" s="66"/>
      <c r="DF555" s="66"/>
      <c r="DG555" s="66"/>
      <c r="DH555" s="66"/>
      <c r="DI555" s="66"/>
      <c r="DJ555" s="66"/>
      <c r="DK555" s="70"/>
      <c r="DL555" s="70"/>
      <c r="DM555" s="8">
        <f t="shared" si="762"/>
        <v>0</v>
      </c>
      <c r="DN555" s="8">
        <f t="shared" si="763"/>
        <v>3129.5679999999998</v>
      </c>
      <c r="DO555" s="202">
        <f t="shared" si="737"/>
        <v>-3129.5679999999998</v>
      </c>
      <c r="DP555" s="202">
        <f t="shared" si="738"/>
        <v>-3129.5679999999998</v>
      </c>
      <c r="DQ555" s="202">
        <f t="shared" si="739"/>
        <v>-3129.5679999999998</v>
      </c>
      <c r="DR555" s="9">
        <f t="shared" si="740"/>
        <v>-3129.5679999999998</v>
      </c>
      <c r="DS555" s="9">
        <f t="shared" si="905"/>
        <v>-3129.5679999999998</v>
      </c>
      <c r="DT555" s="9">
        <f t="shared" si="741"/>
        <v>-3129.5679999999998</v>
      </c>
      <c r="DU555" s="202">
        <f t="shared" si="742"/>
        <v>-3129.5679999999998</v>
      </c>
      <c r="DV555" s="202">
        <f t="shared" si="743"/>
        <v>-3129.5679999999998</v>
      </c>
      <c r="DW555" s="202">
        <f t="shared" si="744"/>
        <v>-3129.5679999999998</v>
      </c>
      <c r="DX555" s="203" t="e">
        <f t="shared" si="745"/>
        <v>#DIV/0!</v>
      </c>
      <c r="DY555" s="203" t="e">
        <f t="shared" si="746"/>
        <v>#DIV/0!</v>
      </c>
      <c r="DZ555" s="203" t="e">
        <f t="shared" si="747"/>
        <v>#DIV/0!</v>
      </c>
      <c r="EA555" s="19" t="e">
        <f t="shared" si="748"/>
        <v>#DIV/0!</v>
      </c>
      <c r="EB555" s="19" t="e">
        <f t="shared" si="906"/>
        <v>#DIV/0!</v>
      </c>
      <c r="EC555" s="19" t="e">
        <f t="shared" si="749"/>
        <v>#DIV/0!</v>
      </c>
      <c r="ED555" s="203" t="e">
        <f t="shared" si="750"/>
        <v>#DIV/0!</v>
      </c>
      <c r="EE555" s="203" t="e">
        <f t="shared" si="751"/>
        <v>#DIV/0!</v>
      </c>
      <c r="EF555" s="203" t="e">
        <f t="shared" si="752"/>
        <v>#DIV/0!</v>
      </c>
      <c r="EH555" s="58">
        <f t="shared" si="798"/>
        <v>3129.5679999999998</v>
      </c>
      <c r="EI555" s="68" t="e">
        <f t="shared" si="799"/>
        <v>#DIV/0!</v>
      </c>
      <c r="EJ555" s="58">
        <f t="shared" si="800"/>
        <v>3129.5679999999998</v>
      </c>
      <c r="EK555" s="68" t="e">
        <f t="shared" si="799"/>
        <v>#DIV/0!</v>
      </c>
      <c r="EL555" s="58">
        <f t="shared" si="801"/>
        <v>0</v>
      </c>
      <c r="EM555" s="58">
        <f t="shared" si="802"/>
        <v>0</v>
      </c>
      <c r="EN555" s="68" t="e">
        <f t="shared" si="803"/>
        <v>#DIV/0!</v>
      </c>
      <c r="EO555" s="139">
        <f t="shared" si="854"/>
        <v>0.28519905910129462</v>
      </c>
      <c r="EP555">
        <f>+(SUM(M555:O555)*EO555*(1-'[1]Tier 3 Data'!$A$2))</f>
        <v>0</v>
      </c>
    </row>
    <row r="556" spans="1:146" x14ac:dyDescent="0.2">
      <c r="A556" s="43">
        <v>0</v>
      </c>
      <c r="B556" s="43">
        <v>0</v>
      </c>
      <c r="C556" s="43">
        <v>0</v>
      </c>
      <c r="D556" s="70">
        <v>2053</v>
      </c>
      <c r="E556" s="70">
        <v>9</v>
      </c>
      <c r="F556" s="2">
        <v>720</v>
      </c>
      <c r="G556" s="133">
        <f t="shared" si="838"/>
        <v>0</v>
      </c>
      <c r="H556" s="64"/>
      <c r="I556" s="133">
        <f t="shared" si="839"/>
        <v>0</v>
      </c>
      <c r="J556" s="133">
        <f t="shared" si="778"/>
        <v>0</v>
      </c>
      <c r="K556" s="64"/>
      <c r="L556" s="133">
        <f t="shared" si="779"/>
        <v>0</v>
      </c>
      <c r="M556" s="5"/>
      <c r="N556" s="5"/>
      <c r="O556" s="5"/>
      <c r="P556" s="200">
        <f t="shared" si="770"/>
        <v>0</v>
      </c>
      <c r="Q556" s="200">
        <f t="shared" si="771"/>
        <v>0</v>
      </c>
      <c r="R556" s="200">
        <f t="shared" si="772"/>
        <v>0</v>
      </c>
      <c r="S556" s="133">
        <f t="shared" si="840"/>
        <v>0</v>
      </c>
      <c r="T556" s="133">
        <f t="shared" si="841"/>
        <v>0</v>
      </c>
      <c r="U556" s="133">
        <f t="shared" si="842"/>
        <v>0</v>
      </c>
      <c r="V556" s="200">
        <f t="shared" si="773"/>
        <v>0</v>
      </c>
      <c r="W556" s="200">
        <f t="shared" si="774"/>
        <v>0</v>
      </c>
      <c r="X556" s="200">
        <f t="shared" si="775"/>
        <v>0</v>
      </c>
      <c r="Y556" s="58">
        <f t="shared" si="813"/>
        <v>0</v>
      </c>
      <c r="AA556" s="58">
        <f t="shared" si="814"/>
        <v>0</v>
      </c>
      <c r="AB556" s="200">
        <f t="shared" si="815"/>
        <v>0</v>
      </c>
      <c r="AC556" s="200">
        <f t="shared" si="816"/>
        <v>0</v>
      </c>
      <c r="AD556" s="200">
        <f t="shared" si="817"/>
        <v>0</v>
      </c>
      <c r="AE556" s="199">
        <f t="shared" si="719"/>
        <v>0</v>
      </c>
      <c r="AF556" s="199">
        <f t="shared" si="818"/>
        <v>0</v>
      </c>
      <c r="AG556" s="199">
        <f t="shared" si="720"/>
        <v>0</v>
      </c>
      <c r="AH556" s="199">
        <f t="shared" si="843"/>
        <v>0</v>
      </c>
      <c r="AI556" s="200">
        <f t="shared" si="819"/>
        <v>0</v>
      </c>
      <c r="AJ556" s="200">
        <f t="shared" si="820"/>
        <v>0</v>
      </c>
      <c r="AK556" s="200">
        <f t="shared" si="821"/>
        <v>0</v>
      </c>
      <c r="AL556" s="4"/>
      <c r="AM556" s="4"/>
      <c r="AN556" s="4"/>
      <c r="AO556" s="4"/>
      <c r="AP556" s="63"/>
      <c r="AQ556" s="18"/>
      <c r="AR556" s="18"/>
      <c r="AS556" s="18"/>
      <c r="AT556" s="18">
        <v>0</v>
      </c>
      <c r="AU556" s="133">
        <f t="shared" ref="AU556" si="911">+AU544</f>
        <v>102.375</v>
      </c>
      <c r="AV556" s="133">
        <f t="shared" ref="AV556" si="912">+AV544</f>
        <v>2969.6280000000002</v>
      </c>
      <c r="AW556" s="194"/>
      <c r="AX556" s="194"/>
      <c r="AY556" s="194"/>
      <c r="AZ556" s="194"/>
      <c r="BA556" s="194"/>
      <c r="BB556" s="194"/>
      <c r="BC556" s="65">
        <v>0</v>
      </c>
      <c r="BD556" s="65">
        <v>0</v>
      </c>
      <c r="BE556" s="65">
        <v>0</v>
      </c>
      <c r="BF556" s="65">
        <v>0</v>
      </c>
      <c r="BG556" s="65">
        <v>0</v>
      </c>
      <c r="BH556" s="65">
        <v>0</v>
      </c>
      <c r="BI556" s="65">
        <v>0</v>
      </c>
      <c r="BJ556" s="65">
        <v>0</v>
      </c>
      <c r="BK556" s="65">
        <v>0</v>
      </c>
      <c r="BL556" s="65">
        <v>0</v>
      </c>
      <c r="BM556" s="65">
        <v>0</v>
      </c>
      <c r="BN556" s="65">
        <v>0</v>
      </c>
      <c r="BO556" s="65">
        <v>0</v>
      </c>
      <c r="BP556" s="5"/>
      <c r="BQ556" s="5"/>
      <c r="BR556" s="5"/>
      <c r="BS556" s="5"/>
      <c r="BT556" s="5"/>
      <c r="BU556" s="5"/>
      <c r="BV556" s="144">
        <f t="shared" si="810"/>
        <v>0</v>
      </c>
      <c r="BW556" s="144">
        <f t="shared" si="811"/>
        <v>0</v>
      </c>
      <c r="BX556" s="144">
        <f t="shared" si="812"/>
        <v>0</v>
      </c>
      <c r="BY556" s="5"/>
      <c r="BZ556" s="5"/>
      <c r="CA556" s="4"/>
      <c r="CB556" s="5"/>
      <c r="CC556" s="5"/>
      <c r="CD556" s="5"/>
      <c r="CE556" s="5"/>
      <c r="CF556" s="64"/>
      <c r="CG556" s="70"/>
      <c r="CH556" s="70"/>
      <c r="CI556" s="70"/>
      <c r="CJ556" s="63"/>
      <c r="CK556" s="8">
        <f t="shared" si="761"/>
        <v>3072.0030000000002</v>
      </c>
      <c r="CL556" s="202">
        <f t="shared" si="885"/>
        <v>-3072.0030000000002</v>
      </c>
      <c r="CM556" s="202">
        <f t="shared" si="886"/>
        <v>-3072.0030000000002</v>
      </c>
      <c r="CN556" s="202">
        <f t="shared" si="887"/>
        <v>-3072.0030000000002</v>
      </c>
      <c r="CO556" s="9">
        <f t="shared" si="888"/>
        <v>-3072.0030000000002</v>
      </c>
      <c r="CP556" s="9">
        <f t="shared" si="889"/>
        <v>-3072.0030000000002</v>
      </c>
      <c r="CQ556" s="9">
        <f t="shared" si="890"/>
        <v>-3072.0030000000002</v>
      </c>
      <c r="CR556" s="202">
        <f t="shared" si="891"/>
        <v>-3072.0030000000002</v>
      </c>
      <c r="CS556" s="202">
        <f t="shared" si="892"/>
        <v>-3072.0030000000002</v>
      </c>
      <c r="CT556" s="202">
        <f t="shared" si="893"/>
        <v>-3072.0030000000002</v>
      </c>
      <c r="CU556" s="203" t="e">
        <f t="shared" si="894"/>
        <v>#DIV/0!</v>
      </c>
      <c r="CV556" s="203" t="e">
        <f t="shared" si="895"/>
        <v>#DIV/0!</v>
      </c>
      <c r="CW556" s="203" t="e">
        <f t="shared" si="896"/>
        <v>#DIV/0!</v>
      </c>
      <c r="CX556" s="19" t="e">
        <f t="shared" si="897"/>
        <v>#DIV/0!</v>
      </c>
      <c r="CY556" s="19" t="e">
        <f t="shared" si="898"/>
        <v>#DIV/0!</v>
      </c>
      <c r="CZ556" s="19" t="e">
        <f t="shared" si="899"/>
        <v>#DIV/0!</v>
      </c>
      <c r="DA556" s="203" t="e">
        <f t="shared" si="900"/>
        <v>#DIV/0!</v>
      </c>
      <c r="DB556" s="203" t="e">
        <f t="shared" si="901"/>
        <v>#DIV/0!</v>
      </c>
      <c r="DC556" s="203" t="e">
        <f t="shared" si="902"/>
        <v>#DIV/0!</v>
      </c>
      <c r="DD556" s="65"/>
      <c r="DE556" s="66"/>
      <c r="DF556" s="66"/>
      <c r="DG556" s="66"/>
      <c r="DH556" s="66"/>
      <c r="DI556" s="66"/>
      <c r="DJ556" s="66"/>
      <c r="DK556" s="70"/>
      <c r="DL556" s="70"/>
      <c r="DM556" s="8">
        <f t="shared" si="762"/>
        <v>0</v>
      </c>
      <c r="DN556" s="8">
        <f t="shared" si="763"/>
        <v>3072.0030000000002</v>
      </c>
      <c r="DO556" s="202">
        <f t="shared" si="737"/>
        <v>-3072.0030000000002</v>
      </c>
      <c r="DP556" s="202">
        <f t="shared" si="738"/>
        <v>-3072.0030000000002</v>
      </c>
      <c r="DQ556" s="202">
        <f t="shared" si="739"/>
        <v>-3072.0030000000002</v>
      </c>
      <c r="DR556" s="9">
        <f t="shared" si="740"/>
        <v>-3072.0030000000002</v>
      </c>
      <c r="DS556" s="9">
        <f t="shared" si="905"/>
        <v>-3072.0030000000002</v>
      </c>
      <c r="DT556" s="9">
        <f t="shared" si="741"/>
        <v>-3072.0030000000002</v>
      </c>
      <c r="DU556" s="202">
        <f t="shared" si="742"/>
        <v>-3072.0030000000002</v>
      </c>
      <c r="DV556" s="202">
        <f t="shared" si="743"/>
        <v>-3072.0030000000002</v>
      </c>
      <c r="DW556" s="202">
        <f t="shared" si="744"/>
        <v>-3072.0030000000002</v>
      </c>
      <c r="DX556" s="203" t="e">
        <f t="shared" si="745"/>
        <v>#DIV/0!</v>
      </c>
      <c r="DY556" s="203" t="e">
        <f t="shared" si="746"/>
        <v>#DIV/0!</v>
      </c>
      <c r="DZ556" s="203" t="e">
        <f t="shared" si="747"/>
        <v>#DIV/0!</v>
      </c>
      <c r="EA556" s="19" t="e">
        <f t="shared" si="748"/>
        <v>#DIV/0!</v>
      </c>
      <c r="EB556" s="19" t="e">
        <f t="shared" si="906"/>
        <v>#DIV/0!</v>
      </c>
      <c r="EC556" s="19" t="e">
        <f t="shared" si="749"/>
        <v>#DIV/0!</v>
      </c>
      <c r="ED556" s="203" t="e">
        <f t="shared" si="750"/>
        <v>#DIV/0!</v>
      </c>
      <c r="EE556" s="203" t="e">
        <f t="shared" si="751"/>
        <v>#DIV/0!</v>
      </c>
      <c r="EF556" s="203" t="e">
        <f t="shared" si="752"/>
        <v>#DIV/0!</v>
      </c>
      <c r="EH556" s="58">
        <f t="shared" si="798"/>
        <v>3072.0030000000002</v>
      </c>
      <c r="EI556" s="68" t="e">
        <f t="shared" si="799"/>
        <v>#DIV/0!</v>
      </c>
      <c r="EJ556" s="58">
        <f t="shared" si="800"/>
        <v>3072.0030000000002</v>
      </c>
      <c r="EK556" s="68" t="e">
        <f t="shared" si="799"/>
        <v>#DIV/0!</v>
      </c>
      <c r="EL556" s="58">
        <f t="shared" si="801"/>
        <v>0</v>
      </c>
      <c r="EM556" s="58">
        <f t="shared" si="802"/>
        <v>0</v>
      </c>
      <c r="EN556" s="68" t="e">
        <f t="shared" si="803"/>
        <v>#DIV/0!</v>
      </c>
      <c r="EO556" s="139">
        <f t="shared" si="854"/>
        <v>0.31860645638858931</v>
      </c>
      <c r="EP556">
        <f>+(SUM(M556:O556)*EO556*(1-'[1]Tier 3 Data'!$A$2))</f>
        <v>0</v>
      </c>
    </row>
    <row r="557" spans="1:146" x14ac:dyDescent="0.2">
      <c r="A557" s="43">
        <v>0</v>
      </c>
      <c r="B557" s="43">
        <v>0</v>
      </c>
      <c r="C557" s="43">
        <v>0</v>
      </c>
      <c r="D557" s="70">
        <v>2053</v>
      </c>
      <c r="E557" s="70">
        <v>10</v>
      </c>
      <c r="F557" s="2">
        <v>744</v>
      </c>
      <c r="G557" s="133">
        <f t="shared" si="838"/>
        <v>0</v>
      </c>
      <c r="H557" s="64"/>
      <c r="I557" s="133">
        <f t="shared" si="839"/>
        <v>0</v>
      </c>
      <c r="J557" s="133">
        <f t="shared" si="778"/>
        <v>0</v>
      </c>
      <c r="K557" s="64"/>
      <c r="L557" s="133">
        <f t="shared" si="779"/>
        <v>0</v>
      </c>
      <c r="M557" s="5"/>
      <c r="N557" s="5"/>
      <c r="O557" s="5"/>
      <c r="P557" s="200">
        <f t="shared" si="770"/>
        <v>0</v>
      </c>
      <c r="Q557" s="200">
        <f t="shared" si="771"/>
        <v>0</v>
      </c>
      <c r="R557" s="200">
        <f t="shared" si="772"/>
        <v>0</v>
      </c>
      <c r="S557" s="133">
        <f t="shared" si="840"/>
        <v>0</v>
      </c>
      <c r="T557" s="133">
        <f t="shared" si="841"/>
        <v>0</v>
      </c>
      <c r="U557" s="133">
        <f t="shared" si="842"/>
        <v>0</v>
      </c>
      <c r="V557" s="200">
        <f t="shared" si="773"/>
        <v>0</v>
      </c>
      <c r="W557" s="200">
        <f t="shared" si="774"/>
        <v>0</v>
      </c>
      <c r="X557" s="200">
        <f t="shared" si="775"/>
        <v>0</v>
      </c>
      <c r="Y557" s="58">
        <f t="shared" si="813"/>
        <v>0</v>
      </c>
      <c r="AA557" s="58">
        <f t="shared" si="814"/>
        <v>0</v>
      </c>
      <c r="AB557" s="200">
        <f t="shared" si="815"/>
        <v>0</v>
      </c>
      <c r="AC557" s="200">
        <f t="shared" si="816"/>
        <v>0</v>
      </c>
      <c r="AD557" s="200">
        <f t="shared" si="817"/>
        <v>0</v>
      </c>
      <c r="AE557" s="199">
        <f t="shared" si="719"/>
        <v>0</v>
      </c>
      <c r="AF557" s="199">
        <f t="shared" si="818"/>
        <v>0</v>
      </c>
      <c r="AG557" s="199">
        <f t="shared" si="720"/>
        <v>0</v>
      </c>
      <c r="AH557" s="199">
        <f t="shared" si="843"/>
        <v>0</v>
      </c>
      <c r="AI557" s="200">
        <f t="shared" si="819"/>
        <v>0</v>
      </c>
      <c r="AJ557" s="200">
        <f t="shared" si="820"/>
        <v>0</v>
      </c>
      <c r="AK557" s="200">
        <f t="shared" si="821"/>
        <v>0</v>
      </c>
      <c r="AL557" s="4"/>
      <c r="AM557" s="4"/>
      <c r="AN557" s="4"/>
      <c r="AO557" s="4"/>
      <c r="AP557" s="63"/>
      <c r="AQ557" s="18"/>
      <c r="AR557" s="18"/>
      <c r="AS557" s="18"/>
      <c r="AT557" s="18">
        <v>0</v>
      </c>
      <c r="AU557" s="133">
        <f t="shared" ref="AU557" si="913">+AU545</f>
        <v>118.17</v>
      </c>
      <c r="AV557" s="133">
        <f t="shared" ref="AV557" si="914">+AV545</f>
        <v>3225.1860000000001</v>
      </c>
      <c r="AW557" s="194"/>
      <c r="AX557" s="194"/>
      <c r="AY557" s="194"/>
      <c r="AZ557" s="194"/>
      <c r="BA557" s="194"/>
      <c r="BB557" s="194"/>
      <c r="BC557" s="65">
        <v>0</v>
      </c>
      <c r="BD557" s="65">
        <v>0</v>
      </c>
      <c r="BE557" s="65">
        <v>0</v>
      </c>
      <c r="BF557" s="65">
        <v>0</v>
      </c>
      <c r="BG557" s="65">
        <v>0</v>
      </c>
      <c r="BH557" s="65">
        <v>0</v>
      </c>
      <c r="BI557" s="65">
        <v>0</v>
      </c>
      <c r="BJ557" s="65">
        <v>0</v>
      </c>
      <c r="BK557" s="65">
        <v>0</v>
      </c>
      <c r="BL557" s="65">
        <v>0</v>
      </c>
      <c r="BM557" s="65">
        <v>0</v>
      </c>
      <c r="BN557" s="65">
        <v>0</v>
      </c>
      <c r="BO557" s="65">
        <v>0</v>
      </c>
      <c r="BP557" s="5"/>
      <c r="BQ557" s="5"/>
      <c r="BR557" s="5"/>
      <c r="BS557" s="5"/>
      <c r="BT557" s="5"/>
      <c r="BU557" s="5"/>
      <c r="BV557" s="144">
        <f t="shared" si="810"/>
        <v>0</v>
      </c>
      <c r="BW557" s="144">
        <f t="shared" si="811"/>
        <v>0</v>
      </c>
      <c r="BX557" s="144">
        <f t="shared" si="812"/>
        <v>0</v>
      </c>
      <c r="BY557" s="5"/>
      <c r="BZ557" s="5"/>
      <c r="CA557" s="4"/>
      <c r="CB557" s="5"/>
      <c r="CC557" s="5"/>
      <c r="CD557" s="5"/>
      <c r="CE557" s="5"/>
      <c r="CF557" s="64"/>
      <c r="CG557" s="70"/>
      <c r="CH557" s="70"/>
      <c r="CI557" s="70"/>
      <c r="CJ557" s="63"/>
      <c r="CK557" s="8">
        <f t="shared" si="761"/>
        <v>3343.3560000000002</v>
      </c>
      <c r="CL557" s="202">
        <f t="shared" si="885"/>
        <v>-3343.3560000000002</v>
      </c>
      <c r="CM557" s="202">
        <f t="shared" si="886"/>
        <v>-3343.3560000000002</v>
      </c>
      <c r="CN557" s="202">
        <f t="shared" si="887"/>
        <v>-3343.3560000000002</v>
      </c>
      <c r="CO557" s="9">
        <f t="shared" si="888"/>
        <v>-3343.3560000000002</v>
      </c>
      <c r="CP557" s="9">
        <f t="shared" si="889"/>
        <v>-3343.3560000000002</v>
      </c>
      <c r="CQ557" s="9">
        <f t="shared" si="890"/>
        <v>-3343.3560000000002</v>
      </c>
      <c r="CR557" s="202">
        <f t="shared" si="891"/>
        <v>-3343.3560000000002</v>
      </c>
      <c r="CS557" s="202">
        <f t="shared" si="892"/>
        <v>-3343.3560000000002</v>
      </c>
      <c r="CT557" s="202">
        <f t="shared" si="893"/>
        <v>-3343.3560000000002</v>
      </c>
      <c r="CU557" s="203" t="e">
        <f t="shared" si="894"/>
        <v>#DIV/0!</v>
      </c>
      <c r="CV557" s="203" t="e">
        <f t="shared" si="895"/>
        <v>#DIV/0!</v>
      </c>
      <c r="CW557" s="203" t="e">
        <f t="shared" si="896"/>
        <v>#DIV/0!</v>
      </c>
      <c r="CX557" s="19" t="e">
        <f t="shared" si="897"/>
        <v>#DIV/0!</v>
      </c>
      <c r="CY557" s="19" t="e">
        <f t="shared" si="898"/>
        <v>#DIV/0!</v>
      </c>
      <c r="CZ557" s="19" t="e">
        <f t="shared" si="899"/>
        <v>#DIV/0!</v>
      </c>
      <c r="DA557" s="203" t="e">
        <f t="shared" si="900"/>
        <v>#DIV/0!</v>
      </c>
      <c r="DB557" s="203" t="e">
        <f t="shared" si="901"/>
        <v>#DIV/0!</v>
      </c>
      <c r="DC557" s="203" t="e">
        <f t="shared" si="902"/>
        <v>#DIV/0!</v>
      </c>
      <c r="DD557" s="65"/>
      <c r="DE557" s="66"/>
      <c r="DF557" s="66"/>
      <c r="DG557" s="66"/>
      <c r="DH557" s="66"/>
      <c r="DI557" s="66"/>
      <c r="DJ557" s="66"/>
      <c r="DK557" s="70"/>
      <c r="DL557" s="70"/>
      <c r="DM557" s="8">
        <f t="shared" si="762"/>
        <v>0</v>
      </c>
      <c r="DN557" s="8">
        <f t="shared" si="763"/>
        <v>3343.3560000000002</v>
      </c>
      <c r="DO557" s="202">
        <f t="shared" si="737"/>
        <v>-3343.3560000000002</v>
      </c>
      <c r="DP557" s="202">
        <f t="shared" si="738"/>
        <v>-3343.3560000000002</v>
      </c>
      <c r="DQ557" s="202">
        <f t="shared" si="739"/>
        <v>-3343.3560000000002</v>
      </c>
      <c r="DR557" s="9">
        <f t="shared" si="740"/>
        <v>-3343.3560000000002</v>
      </c>
      <c r="DS557" s="9">
        <f t="shared" si="905"/>
        <v>-3343.3560000000002</v>
      </c>
      <c r="DT557" s="9">
        <f t="shared" si="741"/>
        <v>-3343.3560000000002</v>
      </c>
      <c r="DU557" s="202">
        <f t="shared" si="742"/>
        <v>-3343.3560000000002</v>
      </c>
      <c r="DV557" s="202">
        <f t="shared" si="743"/>
        <v>-3343.3560000000002</v>
      </c>
      <c r="DW557" s="202">
        <f t="shared" si="744"/>
        <v>-3343.3560000000002</v>
      </c>
      <c r="DX557" s="203" t="e">
        <f t="shared" si="745"/>
        <v>#DIV/0!</v>
      </c>
      <c r="DY557" s="203" t="e">
        <f t="shared" si="746"/>
        <v>#DIV/0!</v>
      </c>
      <c r="DZ557" s="203" t="e">
        <f t="shared" si="747"/>
        <v>#DIV/0!</v>
      </c>
      <c r="EA557" s="19" t="e">
        <f t="shared" si="748"/>
        <v>#DIV/0!</v>
      </c>
      <c r="EB557" s="19" t="e">
        <f t="shared" si="906"/>
        <v>#DIV/0!</v>
      </c>
      <c r="EC557" s="19" t="e">
        <f t="shared" si="749"/>
        <v>#DIV/0!</v>
      </c>
      <c r="ED557" s="203" t="e">
        <f t="shared" si="750"/>
        <v>#DIV/0!</v>
      </c>
      <c r="EE557" s="203" t="e">
        <f t="shared" si="751"/>
        <v>#DIV/0!</v>
      </c>
      <c r="EF557" s="203" t="e">
        <f t="shared" si="752"/>
        <v>#DIV/0!</v>
      </c>
      <c r="EH557" s="58">
        <f t="shared" si="798"/>
        <v>3343.3560000000002</v>
      </c>
      <c r="EI557" s="68" t="e">
        <f t="shared" si="799"/>
        <v>#DIV/0!</v>
      </c>
      <c r="EJ557" s="58">
        <f t="shared" si="800"/>
        <v>3343.3560000000002</v>
      </c>
      <c r="EK557" s="68" t="e">
        <f t="shared" si="799"/>
        <v>#DIV/0!</v>
      </c>
      <c r="EL557" s="58">
        <f t="shared" si="801"/>
        <v>0</v>
      </c>
      <c r="EM557" s="58">
        <f t="shared" si="802"/>
        <v>0</v>
      </c>
      <c r="EN557" s="68" t="e">
        <f t="shared" si="803"/>
        <v>#DIV/0!</v>
      </c>
      <c r="EO557" s="139">
        <f t="shared" si="854"/>
        <v>0.35739486552628164</v>
      </c>
      <c r="EP557">
        <f>+(SUM(M557:O557)*EO557*(1-'[1]Tier 3 Data'!$A$2))</f>
        <v>0</v>
      </c>
    </row>
    <row r="558" spans="1:146" x14ac:dyDescent="0.2">
      <c r="A558" s="43">
        <v>0</v>
      </c>
      <c r="B558" s="43">
        <v>0</v>
      </c>
      <c r="C558" s="43">
        <v>0</v>
      </c>
      <c r="D558" s="70">
        <v>2053</v>
      </c>
      <c r="E558" s="70">
        <v>11</v>
      </c>
      <c r="F558" s="2">
        <v>721</v>
      </c>
      <c r="G558" s="133">
        <f t="shared" si="838"/>
        <v>0</v>
      </c>
      <c r="H558" s="64"/>
      <c r="I558" s="133">
        <f t="shared" si="839"/>
        <v>0</v>
      </c>
      <c r="J558" s="133">
        <f t="shared" si="778"/>
        <v>0</v>
      </c>
      <c r="K558" s="64"/>
      <c r="L558" s="133">
        <f t="shared" si="779"/>
        <v>0</v>
      </c>
      <c r="M558" s="5"/>
      <c r="N558" s="5"/>
      <c r="O558" s="5"/>
      <c r="P558" s="200">
        <f t="shared" si="770"/>
        <v>0</v>
      </c>
      <c r="Q558" s="200">
        <f t="shared" si="771"/>
        <v>0</v>
      </c>
      <c r="R558" s="200">
        <f t="shared" si="772"/>
        <v>0</v>
      </c>
      <c r="S558" s="133">
        <f t="shared" si="840"/>
        <v>0</v>
      </c>
      <c r="T558" s="133">
        <f t="shared" si="841"/>
        <v>0</v>
      </c>
      <c r="U558" s="133">
        <f t="shared" si="842"/>
        <v>0</v>
      </c>
      <c r="V558" s="200">
        <f t="shared" si="773"/>
        <v>0</v>
      </c>
      <c r="W558" s="200">
        <f t="shared" si="774"/>
        <v>0</v>
      </c>
      <c r="X558" s="200">
        <f t="shared" si="775"/>
        <v>0</v>
      </c>
      <c r="Y558" s="58">
        <f t="shared" si="813"/>
        <v>0</v>
      </c>
      <c r="AA558" s="58">
        <f t="shared" si="814"/>
        <v>0</v>
      </c>
      <c r="AB558" s="200">
        <f t="shared" si="815"/>
        <v>0</v>
      </c>
      <c r="AC558" s="200">
        <f t="shared" si="816"/>
        <v>0</v>
      </c>
      <c r="AD558" s="200">
        <f t="shared" si="817"/>
        <v>0</v>
      </c>
      <c r="AE558" s="199">
        <f t="shared" si="719"/>
        <v>0</v>
      </c>
      <c r="AF558" s="199">
        <f t="shared" si="818"/>
        <v>0</v>
      </c>
      <c r="AG558" s="199">
        <f t="shared" si="720"/>
        <v>0</v>
      </c>
      <c r="AH558" s="199">
        <f t="shared" si="843"/>
        <v>0</v>
      </c>
      <c r="AI558" s="200">
        <f t="shared" si="819"/>
        <v>0</v>
      </c>
      <c r="AJ558" s="200">
        <f t="shared" si="820"/>
        <v>0</v>
      </c>
      <c r="AK558" s="200">
        <f t="shared" si="821"/>
        <v>0</v>
      </c>
      <c r="AL558" s="4"/>
      <c r="AM558" s="4"/>
      <c r="AN558" s="4"/>
      <c r="AO558" s="4"/>
      <c r="AP558" s="63"/>
      <c r="AQ558" s="18"/>
      <c r="AR558" s="18"/>
      <c r="AS558" s="18"/>
      <c r="AT558" s="18">
        <v>0</v>
      </c>
      <c r="AU558" s="133">
        <f t="shared" ref="AU558" si="915">+AU546</f>
        <v>104.364</v>
      </c>
      <c r="AV558" s="133">
        <f t="shared" ref="AV558" si="916">+AV546</f>
        <v>3268.3739999999998</v>
      </c>
      <c r="AW558" s="194"/>
      <c r="AX558" s="194"/>
      <c r="AY558" s="194"/>
      <c r="AZ558" s="194"/>
      <c r="BA558" s="194"/>
      <c r="BB558" s="194"/>
      <c r="BC558" s="65">
        <v>0</v>
      </c>
      <c r="BD558" s="65">
        <v>0</v>
      </c>
      <c r="BE558" s="65">
        <v>0</v>
      </c>
      <c r="BF558" s="65">
        <v>0</v>
      </c>
      <c r="BG558" s="65">
        <v>0</v>
      </c>
      <c r="BH558" s="65">
        <v>0</v>
      </c>
      <c r="BI558" s="65">
        <v>0</v>
      </c>
      <c r="BJ558" s="65">
        <v>0</v>
      </c>
      <c r="BK558" s="65">
        <v>0</v>
      </c>
      <c r="BL558" s="65">
        <v>0</v>
      </c>
      <c r="BM558" s="65">
        <v>0</v>
      </c>
      <c r="BN558" s="65">
        <v>0</v>
      </c>
      <c r="BO558" s="65">
        <v>0</v>
      </c>
      <c r="BP558" s="5"/>
      <c r="BQ558" s="5"/>
      <c r="BR558" s="5"/>
      <c r="BS558" s="5"/>
      <c r="BT558" s="5"/>
      <c r="BU558" s="5"/>
      <c r="BV558" s="144">
        <f t="shared" si="810"/>
        <v>0</v>
      </c>
      <c r="BW558" s="144">
        <f t="shared" si="811"/>
        <v>0</v>
      </c>
      <c r="BX558" s="144">
        <f t="shared" si="812"/>
        <v>0</v>
      </c>
      <c r="BY558" s="5"/>
      <c r="BZ558" s="5"/>
      <c r="CA558" s="4"/>
      <c r="CB558" s="5"/>
      <c r="CC558" s="5"/>
      <c r="CD558" s="5"/>
      <c r="CE558" s="5"/>
      <c r="CF558" s="64"/>
      <c r="CG558" s="70"/>
      <c r="CH558" s="70"/>
      <c r="CI558" s="70"/>
      <c r="CJ558" s="63"/>
      <c r="CK558" s="8">
        <f t="shared" si="761"/>
        <v>3372.7379999999998</v>
      </c>
      <c r="CL558" s="202">
        <f t="shared" si="885"/>
        <v>-3372.7379999999998</v>
      </c>
      <c r="CM558" s="202">
        <f t="shared" si="886"/>
        <v>-3372.7379999999998</v>
      </c>
      <c r="CN558" s="202">
        <f t="shared" si="887"/>
        <v>-3372.7379999999998</v>
      </c>
      <c r="CO558" s="9">
        <f t="shared" si="888"/>
        <v>-3372.7379999999998</v>
      </c>
      <c r="CP558" s="9">
        <f t="shared" si="889"/>
        <v>-3372.7379999999998</v>
      </c>
      <c r="CQ558" s="9">
        <f t="shared" si="890"/>
        <v>-3372.7379999999998</v>
      </c>
      <c r="CR558" s="202">
        <f t="shared" si="891"/>
        <v>-3372.7379999999998</v>
      </c>
      <c r="CS558" s="202">
        <f t="shared" si="892"/>
        <v>-3372.7379999999998</v>
      </c>
      <c r="CT558" s="202">
        <f t="shared" si="893"/>
        <v>-3372.7379999999998</v>
      </c>
      <c r="CU558" s="203" t="e">
        <f t="shared" si="894"/>
        <v>#DIV/0!</v>
      </c>
      <c r="CV558" s="203" t="e">
        <f t="shared" si="895"/>
        <v>#DIV/0!</v>
      </c>
      <c r="CW558" s="203" t="e">
        <f t="shared" si="896"/>
        <v>#DIV/0!</v>
      </c>
      <c r="CX558" s="19" t="e">
        <f t="shared" si="897"/>
        <v>#DIV/0!</v>
      </c>
      <c r="CY558" s="19" t="e">
        <f t="shared" si="898"/>
        <v>#DIV/0!</v>
      </c>
      <c r="CZ558" s="19" t="e">
        <f t="shared" si="899"/>
        <v>#DIV/0!</v>
      </c>
      <c r="DA558" s="203" t="e">
        <f t="shared" si="900"/>
        <v>#DIV/0!</v>
      </c>
      <c r="DB558" s="203" t="e">
        <f t="shared" si="901"/>
        <v>#DIV/0!</v>
      </c>
      <c r="DC558" s="203" t="e">
        <f t="shared" si="902"/>
        <v>#DIV/0!</v>
      </c>
      <c r="DD558" s="65"/>
      <c r="DE558" s="66"/>
      <c r="DF558" s="66"/>
      <c r="DG558" s="66"/>
      <c r="DH558" s="66"/>
      <c r="DI558" s="66"/>
      <c r="DJ558" s="66"/>
      <c r="DK558" s="70"/>
      <c r="DL558" s="70"/>
      <c r="DM558" s="8">
        <f t="shared" si="762"/>
        <v>0</v>
      </c>
      <c r="DN558" s="8">
        <f t="shared" si="763"/>
        <v>3372.7379999999998</v>
      </c>
      <c r="DO558" s="202">
        <f t="shared" si="737"/>
        <v>-3372.7379999999998</v>
      </c>
      <c r="DP558" s="202">
        <f t="shared" si="738"/>
        <v>-3372.7379999999998</v>
      </c>
      <c r="DQ558" s="202">
        <f t="shared" si="739"/>
        <v>-3372.7379999999998</v>
      </c>
      <c r="DR558" s="9">
        <f t="shared" si="740"/>
        <v>-3372.7379999999998</v>
      </c>
      <c r="DS558" s="9">
        <f t="shared" si="905"/>
        <v>-3372.7379999999998</v>
      </c>
      <c r="DT558" s="9">
        <f t="shared" si="741"/>
        <v>-3372.7379999999998</v>
      </c>
      <c r="DU558" s="202">
        <f t="shared" si="742"/>
        <v>-3372.7379999999998</v>
      </c>
      <c r="DV558" s="202">
        <f t="shared" si="743"/>
        <v>-3372.7379999999998</v>
      </c>
      <c r="DW558" s="202">
        <f t="shared" si="744"/>
        <v>-3372.7379999999998</v>
      </c>
      <c r="DX558" s="203" t="e">
        <f t="shared" si="745"/>
        <v>#DIV/0!</v>
      </c>
      <c r="DY558" s="203" t="e">
        <f t="shared" si="746"/>
        <v>#DIV/0!</v>
      </c>
      <c r="DZ558" s="203" t="e">
        <f t="shared" si="747"/>
        <v>#DIV/0!</v>
      </c>
      <c r="EA558" s="19" t="e">
        <f t="shared" si="748"/>
        <v>#DIV/0!</v>
      </c>
      <c r="EB558" s="19" t="e">
        <f t="shared" si="906"/>
        <v>#DIV/0!</v>
      </c>
      <c r="EC558" s="19" t="e">
        <f t="shared" si="749"/>
        <v>#DIV/0!</v>
      </c>
      <c r="ED558" s="203" t="e">
        <f t="shared" si="750"/>
        <v>#DIV/0!</v>
      </c>
      <c r="EE558" s="203" t="e">
        <f t="shared" si="751"/>
        <v>#DIV/0!</v>
      </c>
      <c r="EF558" s="203" t="e">
        <f t="shared" si="752"/>
        <v>#DIV/0!</v>
      </c>
      <c r="EH558" s="58">
        <f t="shared" si="798"/>
        <v>3372.7379999999998</v>
      </c>
      <c r="EI558" s="68" t="e">
        <f t="shared" si="799"/>
        <v>#DIV/0!</v>
      </c>
      <c r="EJ558" s="58">
        <f t="shared" si="800"/>
        <v>3372.7379999999998</v>
      </c>
      <c r="EK558" s="68" t="e">
        <f t="shared" si="799"/>
        <v>#DIV/0!</v>
      </c>
      <c r="EL558" s="58">
        <f t="shared" si="801"/>
        <v>0</v>
      </c>
      <c r="EM558" s="58">
        <f t="shared" si="802"/>
        <v>0</v>
      </c>
      <c r="EN558" s="68" t="e">
        <f t="shared" si="803"/>
        <v>#DIV/0!</v>
      </c>
      <c r="EO558" s="139">
        <f t="shared" si="854"/>
        <v>0.4050825009776523</v>
      </c>
      <c r="EP558">
        <f>+(SUM(M558:O558)*EO558*(1-'[1]Tier 3 Data'!$A$2))</f>
        <v>0</v>
      </c>
    </row>
    <row r="559" spans="1:146" x14ac:dyDescent="0.2">
      <c r="A559" s="43">
        <v>0</v>
      </c>
      <c r="B559" s="43">
        <v>0</v>
      </c>
      <c r="C559" s="43">
        <v>0</v>
      </c>
      <c r="D559" s="70">
        <v>2053</v>
      </c>
      <c r="E559" s="70">
        <v>12</v>
      </c>
      <c r="F559" s="2">
        <v>744</v>
      </c>
      <c r="G559" s="133">
        <f t="shared" si="838"/>
        <v>0</v>
      </c>
      <c r="H559" s="64"/>
      <c r="I559" s="133">
        <f t="shared" si="839"/>
        <v>0</v>
      </c>
      <c r="J559" s="133">
        <f t="shared" si="778"/>
        <v>0</v>
      </c>
      <c r="K559" s="64"/>
      <c r="L559" s="133">
        <f t="shared" si="779"/>
        <v>0</v>
      </c>
      <c r="M559" s="5"/>
      <c r="N559" s="5"/>
      <c r="O559" s="5"/>
      <c r="P559" s="200">
        <f t="shared" si="770"/>
        <v>0</v>
      </c>
      <c r="Q559" s="200">
        <f t="shared" si="771"/>
        <v>0</v>
      </c>
      <c r="R559" s="200">
        <f t="shared" si="772"/>
        <v>0</v>
      </c>
      <c r="S559" s="133">
        <f t="shared" si="840"/>
        <v>0</v>
      </c>
      <c r="T559" s="133">
        <f t="shared" si="841"/>
        <v>0</v>
      </c>
      <c r="U559" s="133">
        <f t="shared" si="842"/>
        <v>0</v>
      </c>
      <c r="V559" s="200">
        <f t="shared" si="773"/>
        <v>0</v>
      </c>
      <c r="W559" s="200">
        <f t="shared" si="774"/>
        <v>0</v>
      </c>
      <c r="X559" s="200">
        <f t="shared" si="775"/>
        <v>0</v>
      </c>
      <c r="Y559" s="58">
        <f t="shared" si="813"/>
        <v>0</v>
      </c>
      <c r="AA559" s="58">
        <f t="shared" si="814"/>
        <v>0</v>
      </c>
      <c r="AB559" s="200">
        <f t="shared" si="815"/>
        <v>0</v>
      </c>
      <c r="AC559" s="200">
        <f t="shared" si="816"/>
        <v>0</v>
      </c>
      <c r="AD559" s="200">
        <f t="shared" si="817"/>
        <v>0</v>
      </c>
      <c r="AE559" s="199">
        <f t="shared" si="719"/>
        <v>0</v>
      </c>
      <c r="AF559" s="199">
        <f t="shared" si="818"/>
        <v>0</v>
      </c>
      <c r="AG559" s="199">
        <f t="shared" si="720"/>
        <v>0</v>
      </c>
      <c r="AH559" s="199">
        <f t="shared" si="843"/>
        <v>0</v>
      </c>
      <c r="AI559" s="200">
        <f t="shared" si="819"/>
        <v>0</v>
      </c>
      <c r="AJ559" s="200">
        <f t="shared" si="820"/>
        <v>0</v>
      </c>
      <c r="AK559" s="200">
        <f t="shared" si="821"/>
        <v>0</v>
      </c>
      <c r="AL559" s="4"/>
      <c r="AM559" s="4"/>
      <c r="AN559" s="4"/>
      <c r="AO559" s="4"/>
      <c r="AP559" s="63"/>
      <c r="AQ559" s="18"/>
      <c r="AR559" s="18"/>
      <c r="AS559" s="18"/>
      <c r="AT559" s="18">
        <v>0</v>
      </c>
      <c r="AU559" s="133">
        <f t="shared" ref="AU559" si="917">+AU547</f>
        <v>105.066</v>
      </c>
      <c r="AV559" s="133">
        <f t="shared" ref="AV559" si="918">+AV547</f>
        <v>3218.8470000000002</v>
      </c>
      <c r="AW559" s="194"/>
      <c r="AX559" s="194"/>
      <c r="AY559" s="194"/>
      <c r="AZ559" s="194"/>
      <c r="BA559" s="194"/>
      <c r="BB559" s="194"/>
      <c r="BC559" s="65">
        <v>0</v>
      </c>
      <c r="BD559" s="65">
        <v>0</v>
      </c>
      <c r="BE559" s="65">
        <v>0</v>
      </c>
      <c r="BF559" s="65">
        <v>0</v>
      </c>
      <c r="BG559" s="65">
        <v>0</v>
      </c>
      <c r="BH559" s="65">
        <v>0</v>
      </c>
      <c r="BI559" s="65">
        <v>0</v>
      </c>
      <c r="BJ559" s="65">
        <v>0</v>
      </c>
      <c r="BK559" s="65">
        <v>0</v>
      </c>
      <c r="BL559" s="65">
        <v>0</v>
      </c>
      <c r="BM559" s="65">
        <v>0</v>
      </c>
      <c r="BN559" s="65">
        <v>0</v>
      </c>
      <c r="BO559" s="65">
        <v>0</v>
      </c>
      <c r="BP559" s="5"/>
      <c r="BQ559" s="5"/>
      <c r="BR559" s="5"/>
      <c r="BS559" s="5"/>
      <c r="BT559" s="5"/>
      <c r="BU559" s="5"/>
      <c r="BV559" s="144">
        <f t="shared" si="810"/>
        <v>0</v>
      </c>
      <c r="BW559" s="144">
        <f t="shared" si="811"/>
        <v>0</v>
      </c>
      <c r="BX559" s="144">
        <f t="shared" si="812"/>
        <v>0</v>
      </c>
      <c r="BY559" s="5"/>
      <c r="BZ559" s="5"/>
      <c r="CA559" s="4"/>
      <c r="CB559" s="5"/>
      <c r="CC559" s="5"/>
      <c r="CD559" s="5"/>
      <c r="CE559" s="5"/>
      <c r="CF559" s="64"/>
      <c r="CG559" s="70"/>
      <c r="CH559" s="70"/>
      <c r="CI559" s="70"/>
      <c r="CJ559" s="63"/>
      <c r="CK559" s="8">
        <f t="shared" si="761"/>
        <v>3323.913</v>
      </c>
      <c r="CL559" s="202">
        <f t="shared" si="885"/>
        <v>-3323.913</v>
      </c>
      <c r="CM559" s="202">
        <f t="shared" si="886"/>
        <v>-3323.913</v>
      </c>
      <c r="CN559" s="202">
        <f t="shared" si="887"/>
        <v>-3323.913</v>
      </c>
      <c r="CO559" s="9">
        <f t="shared" si="888"/>
        <v>-3323.913</v>
      </c>
      <c r="CP559" s="9">
        <f t="shared" si="889"/>
        <v>-3323.913</v>
      </c>
      <c r="CQ559" s="9">
        <f t="shared" si="890"/>
        <v>-3323.913</v>
      </c>
      <c r="CR559" s="202">
        <f t="shared" si="891"/>
        <v>-3323.913</v>
      </c>
      <c r="CS559" s="202">
        <f t="shared" si="892"/>
        <v>-3323.913</v>
      </c>
      <c r="CT559" s="202">
        <f t="shared" si="893"/>
        <v>-3323.913</v>
      </c>
      <c r="CU559" s="203" t="e">
        <f t="shared" si="894"/>
        <v>#DIV/0!</v>
      </c>
      <c r="CV559" s="203" t="e">
        <f t="shared" si="895"/>
        <v>#DIV/0!</v>
      </c>
      <c r="CW559" s="203" t="e">
        <f t="shared" si="896"/>
        <v>#DIV/0!</v>
      </c>
      <c r="CX559" s="19" t="e">
        <f t="shared" si="897"/>
        <v>#DIV/0!</v>
      </c>
      <c r="CY559" s="19" t="e">
        <f t="shared" si="898"/>
        <v>#DIV/0!</v>
      </c>
      <c r="CZ559" s="19" t="e">
        <f t="shared" si="899"/>
        <v>#DIV/0!</v>
      </c>
      <c r="DA559" s="203" t="e">
        <f t="shared" si="900"/>
        <v>#DIV/0!</v>
      </c>
      <c r="DB559" s="203" t="e">
        <f t="shared" si="901"/>
        <v>#DIV/0!</v>
      </c>
      <c r="DC559" s="203" t="e">
        <f t="shared" si="902"/>
        <v>#DIV/0!</v>
      </c>
      <c r="DD559" s="65"/>
      <c r="DE559" s="66"/>
      <c r="DF559" s="66"/>
      <c r="DG559" s="66"/>
      <c r="DH559" s="66"/>
      <c r="DI559" s="66"/>
      <c r="DJ559" s="66"/>
      <c r="DK559" s="70"/>
      <c r="DL559" s="70"/>
      <c r="DM559" s="8">
        <f t="shared" si="762"/>
        <v>0</v>
      </c>
      <c r="DN559" s="8">
        <f t="shared" si="763"/>
        <v>3323.913</v>
      </c>
      <c r="DO559" s="202">
        <f t="shared" si="737"/>
        <v>-3323.913</v>
      </c>
      <c r="DP559" s="202">
        <f t="shared" si="738"/>
        <v>-3323.913</v>
      </c>
      <c r="DQ559" s="202">
        <f t="shared" si="739"/>
        <v>-3323.913</v>
      </c>
      <c r="DR559" s="9">
        <f t="shared" si="740"/>
        <v>-3323.913</v>
      </c>
      <c r="DS559" s="9">
        <f t="shared" si="905"/>
        <v>-3323.913</v>
      </c>
      <c r="DT559" s="9">
        <f t="shared" si="741"/>
        <v>-3323.913</v>
      </c>
      <c r="DU559" s="202">
        <f t="shared" si="742"/>
        <v>-3323.913</v>
      </c>
      <c r="DV559" s="202">
        <f t="shared" si="743"/>
        <v>-3323.913</v>
      </c>
      <c r="DW559" s="202">
        <f t="shared" si="744"/>
        <v>-3323.913</v>
      </c>
      <c r="DX559" s="203" t="e">
        <f t="shared" si="745"/>
        <v>#DIV/0!</v>
      </c>
      <c r="DY559" s="203" t="e">
        <f t="shared" si="746"/>
        <v>#DIV/0!</v>
      </c>
      <c r="DZ559" s="203" t="e">
        <f t="shared" si="747"/>
        <v>#DIV/0!</v>
      </c>
      <c r="EA559" s="19" t="e">
        <f t="shared" si="748"/>
        <v>#DIV/0!</v>
      </c>
      <c r="EB559" s="19" t="e">
        <f t="shared" si="906"/>
        <v>#DIV/0!</v>
      </c>
      <c r="EC559" s="19" t="e">
        <f t="shared" si="749"/>
        <v>#DIV/0!</v>
      </c>
      <c r="ED559" s="203" t="e">
        <f t="shared" si="750"/>
        <v>#DIV/0!</v>
      </c>
      <c r="EE559" s="203" t="e">
        <f t="shared" si="751"/>
        <v>#DIV/0!</v>
      </c>
      <c r="EF559" s="203" t="e">
        <f t="shared" si="752"/>
        <v>#DIV/0!</v>
      </c>
      <c r="EH559" s="58">
        <f t="shared" si="798"/>
        <v>3323.913</v>
      </c>
      <c r="EI559" s="68" t="e">
        <f t="shared" si="799"/>
        <v>#DIV/0!</v>
      </c>
      <c r="EJ559" s="58">
        <f t="shared" si="800"/>
        <v>3323.913</v>
      </c>
      <c r="EK559" s="68" t="e">
        <f t="shared" si="799"/>
        <v>#DIV/0!</v>
      </c>
      <c r="EL559" s="58">
        <f t="shared" si="801"/>
        <v>0</v>
      </c>
      <c r="EM559" s="58">
        <f t="shared" si="802"/>
        <v>0</v>
      </c>
      <c r="EN559" s="68" t="e">
        <f t="shared" si="803"/>
        <v>#DIV/0!</v>
      </c>
      <c r="EO559" s="139">
        <f t="shared" si="854"/>
        <v>0.32946562535829382</v>
      </c>
      <c r="EP559">
        <f>+(SUM(M559:O559)*EO559*(1-'[1]Tier 3 Data'!$A$2))</f>
        <v>0</v>
      </c>
    </row>
    <row r="560" spans="1:146" x14ac:dyDescent="0.2">
      <c r="A560" s="43">
        <v>0</v>
      </c>
      <c r="B560" s="43">
        <v>0</v>
      </c>
      <c r="C560" s="43">
        <v>0</v>
      </c>
      <c r="D560" s="70">
        <v>2054</v>
      </c>
      <c r="E560" s="70">
        <v>1</v>
      </c>
      <c r="F560" s="2">
        <v>744</v>
      </c>
      <c r="G560" s="133">
        <f t="shared" si="838"/>
        <v>0</v>
      </c>
      <c r="H560" s="64"/>
      <c r="I560" s="133">
        <f t="shared" si="839"/>
        <v>0</v>
      </c>
      <c r="J560" s="133">
        <f t="shared" si="778"/>
        <v>0</v>
      </c>
      <c r="K560" s="64"/>
      <c r="L560" s="133">
        <f t="shared" si="779"/>
        <v>0</v>
      </c>
      <c r="M560" s="5"/>
      <c r="N560" s="5"/>
      <c r="O560" s="5"/>
      <c r="P560" s="200">
        <f t="shared" si="770"/>
        <v>0</v>
      </c>
      <c r="Q560" s="200">
        <f t="shared" si="771"/>
        <v>0</v>
      </c>
      <c r="R560" s="200">
        <f t="shared" si="772"/>
        <v>0</v>
      </c>
      <c r="S560" s="133">
        <f t="shared" si="840"/>
        <v>0</v>
      </c>
      <c r="T560" s="133">
        <f t="shared" si="841"/>
        <v>0</v>
      </c>
      <c r="U560" s="133">
        <f t="shared" si="842"/>
        <v>0</v>
      </c>
      <c r="V560" s="200">
        <f t="shared" si="773"/>
        <v>0</v>
      </c>
      <c r="W560" s="200">
        <f t="shared" si="774"/>
        <v>0</v>
      </c>
      <c r="X560" s="200">
        <f t="shared" si="775"/>
        <v>0</v>
      </c>
      <c r="Y560" s="58">
        <f t="shared" si="813"/>
        <v>0</v>
      </c>
      <c r="AA560" s="58">
        <f t="shared" si="814"/>
        <v>0</v>
      </c>
      <c r="AB560" s="200">
        <f t="shared" si="815"/>
        <v>0</v>
      </c>
      <c r="AC560" s="200">
        <f t="shared" si="816"/>
        <v>0</v>
      </c>
      <c r="AD560" s="200">
        <f t="shared" si="817"/>
        <v>0</v>
      </c>
      <c r="AE560" s="199">
        <f t="shared" si="719"/>
        <v>0</v>
      </c>
      <c r="AF560" s="199">
        <f t="shared" si="818"/>
        <v>0</v>
      </c>
      <c r="AG560" s="199">
        <f t="shared" si="720"/>
        <v>0</v>
      </c>
      <c r="AH560" s="199">
        <f t="shared" si="843"/>
        <v>0</v>
      </c>
      <c r="AI560" s="200">
        <f t="shared" si="819"/>
        <v>0</v>
      </c>
      <c r="AJ560" s="200">
        <f t="shared" si="820"/>
        <v>0</v>
      </c>
      <c r="AK560" s="200">
        <f t="shared" si="821"/>
        <v>0</v>
      </c>
      <c r="AL560" s="4"/>
      <c r="AM560" s="4"/>
      <c r="AN560" s="4"/>
      <c r="AO560" s="4"/>
      <c r="AP560" s="63"/>
      <c r="AQ560" s="18"/>
      <c r="AR560" s="18"/>
      <c r="AS560" s="18"/>
      <c r="AT560" s="18">
        <v>0</v>
      </c>
      <c r="AU560" s="133">
        <f t="shared" ref="AU560" si="919">+AU548</f>
        <v>98.513999999999996</v>
      </c>
      <c r="AV560" s="133">
        <f t="shared" ref="AV560" si="920">+AV548</f>
        <v>3278.6750000000002</v>
      </c>
      <c r="AW560" s="194"/>
      <c r="AX560" s="194"/>
      <c r="AY560" s="194"/>
      <c r="AZ560" s="194"/>
      <c r="BA560" s="194"/>
      <c r="BB560" s="194"/>
      <c r="BC560" s="65">
        <v>0</v>
      </c>
      <c r="BD560" s="65">
        <v>0</v>
      </c>
      <c r="BE560" s="65">
        <v>0</v>
      </c>
      <c r="BF560" s="65">
        <v>0</v>
      </c>
      <c r="BG560" s="65">
        <v>0</v>
      </c>
      <c r="BH560" s="65">
        <v>0</v>
      </c>
      <c r="BI560" s="65">
        <v>0</v>
      </c>
      <c r="BJ560" s="65">
        <v>0</v>
      </c>
      <c r="BK560" s="65">
        <v>0</v>
      </c>
      <c r="BL560" s="65">
        <v>0</v>
      </c>
      <c r="BM560" s="65">
        <v>0</v>
      </c>
      <c r="BN560" s="65">
        <v>0</v>
      </c>
      <c r="BO560" s="65">
        <v>0</v>
      </c>
      <c r="BP560" s="5"/>
      <c r="BQ560" s="5"/>
      <c r="BR560" s="5"/>
      <c r="BS560" s="5"/>
      <c r="BT560" s="5"/>
      <c r="BU560" s="5"/>
      <c r="BV560" s="144">
        <f t="shared" si="810"/>
        <v>0</v>
      </c>
      <c r="BW560" s="144">
        <f t="shared" si="811"/>
        <v>0</v>
      </c>
      <c r="BX560" s="144">
        <f t="shared" si="812"/>
        <v>0</v>
      </c>
      <c r="BY560" s="5"/>
      <c r="BZ560" s="5"/>
      <c r="CA560" s="4"/>
      <c r="CB560" s="5"/>
      <c r="CC560" s="5"/>
      <c r="CD560" s="5"/>
      <c r="CE560" s="5"/>
      <c r="CF560" s="64"/>
      <c r="CG560" s="70"/>
      <c r="CH560" s="70"/>
      <c r="CI560" s="70"/>
      <c r="CJ560" s="63"/>
      <c r="CK560" s="8">
        <f t="shared" si="761"/>
        <v>3377.1890000000003</v>
      </c>
      <c r="CL560" s="202">
        <f t="shared" si="885"/>
        <v>-3377.1890000000003</v>
      </c>
      <c r="CM560" s="202">
        <f t="shared" si="886"/>
        <v>-3377.1890000000003</v>
      </c>
      <c r="CN560" s="202">
        <f t="shared" si="887"/>
        <v>-3377.1890000000003</v>
      </c>
      <c r="CO560" s="9">
        <f t="shared" si="888"/>
        <v>-3377.1890000000003</v>
      </c>
      <c r="CP560" s="9">
        <f t="shared" si="889"/>
        <v>-3377.1890000000003</v>
      </c>
      <c r="CQ560" s="9">
        <f t="shared" si="890"/>
        <v>-3377.1890000000003</v>
      </c>
      <c r="CR560" s="202">
        <f t="shared" si="891"/>
        <v>-3377.1890000000003</v>
      </c>
      <c r="CS560" s="202">
        <f t="shared" si="892"/>
        <v>-3377.1890000000003</v>
      </c>
      <c r="CT560" s="202">
        <f t="shared" si="893"/>
        <v>-3377.1890000000003</v>
      </c>
      <c r="CU560" s="203" t="e">
        <f t="shared" si="894"/>
        <v>#DIV/0!</v>
      </c>
      <c r="CV560" s="203" t="e">
        <f t="shared" si="895"/>
        <v>#DIV/0!</v>
      </c>
      <c r="CW560" s="203" t="e">
        <f t="shared" si="896"/>
        <v>#DIV/0!</v>
      </c>
      <c r="CX560" s="19" t="e">
        <f t="shared" si="897"/>
        <v>#DIV/0!</v>
      </c>
      <c r="CY560" s="19" t="e">
        <f t="shared" si="898"/>
        <v>#DIV/0!</v>
      </c>
      <c r="CZ560" s="19" t="e">
        <f t="shared" si="899"/>
        <v>#DIV/0!</v>
      </c>
      <c r="DA560" s="203" t="e">
        <f t="shared" si="900"/>
        <v>#DIV/0!</v>
      </c>
      <c r="DB560" s="203" t="e">
        <f t="shared" si="901"/>
        <v>#DIV/0!</v>
      </c>
      <c r="DC560" s="203" t="e">
        <f t="shared" si="902"/>
        <v>#DIV/0!</v>
      </c>
      <c r="DD560" s="65"/>
      <c r="DE560" s="66"/>
      <c r="DF560" s="66"/>
      <c r="DG560" s="66"/>
      <c r="DH560" s="66"/>
      <c r="DI560" s="66"/>
      <c r="DJ560" s="66"/>
      <c r="DK560" s="70"/>
      <c r="DL560" s="70"/>
      <c r="DM560" s="8">
        <f t="shared" si="762"/>
        <v>0</v>
      </c>
      <c r="DN560" s="8">
        <f t="shared" si="763"/>
        <v>3377.1890000000003</v>
      </c>
      <c r="DO560" s="202">
        <f t="shared" si="737"/>
        <v>-3377.1890000000003</v>
      </c>
      <c r="DP560" s="202">
        <f t="shared" si="738"/>
        <v>-3377.1890000000003</v>
      </c>
      <c r="DQ560" s="202">
        <f t="shared" si="739"/>
        <v>-3377.1890000000003</v>
      </c>
      <c r="DR560" s="9">
        <f t="shared" si="740"/>
        <v>-3377.1890000000003</v>
      </c>
      <c r="DS560" s="9">
        <f t="shared" si="905"/>
        <v>-3377.1890000000003</v>
      </c>
      <c r="DT560" s="9">
        <f t="shared" si="741"/>
        <v>-3377.1890000000003</v>
      </c>
      <c r="DU560" s="202">
        <f t="shared" si="742"/>
        <v>-3377.1890000000003</v>
      </c>
      <c r="DV560" s="202">
        <f t="shared" si="743"/>
        <v>-3377.1890000000003</v>
      </c>
      <c r="DW560" s="202">
        <f t="shared" si="744"/>
        <v>-3377.1890000000003</v>
      </c>
      <c r="DX560" s="203" t="e">
        <f t="shared" si="745"/>
        <v>#DIV/0!</v>
      </c>
      <c r="DY560" s="203" t="e">
        <f t="shared" si="746"/>
        <v>#DIV/0!</v>
      </c>
      <c r="DZ560" s="203" t="e">
        <f t="shared" si="747"/>
        <v>#DIV/0!</v>
      </c>
      <c r="EA560" s="19" t="e">
        <f t="shared" si="748"/>
        <v>#DIV/0!</v>
      </c>
      <c r="EB560" s="19" t="e">
        <f t="shared" si="906"/>
        <v>#DIV/0!</v>
      </c>
      <c r="EC560" s="19" t="e">
        <f t="shared" si="749"/>
        <v>#DIV/0!</v>
      </c>
      <c r="ED560" s="203" t="e">
        <f t="shared" si="750"/>
        <v>#DIV/0!</v>
      </c>
      <c r="EE560" s="203" t="e">
        <f t="shared" si="751"/>
        <v>#DIV/0!</v>
      </c>
      <c r="EF560" s="203" t="e">
        <f t="shared" si="752"/>
        <v>#DIV/0!</v>
      </c>
      <c r="EH560" s="58">
        <f t="shared" si="798"/>
        <v>3377.1890000000003</v>
      </c>
      <c r="EI560" s="68" t="e">
        <f t="shared" si="799"/>
        <v>#DIV/0!</v>
      </c>
      <c r="EJ560" s="58">
        <f t="shared" si="800"/>
        <v>3377.1890000000003</v>
      </c>
      <c r="EK560" s="68" t="e">
        <f t="shared" si="799"/>
        <v>#DIV/0!</v>
      </c>
      <c r="EL560" s="58">
        <f t="shared" si="801"/>
        <v>0</v>
      </c>
      <c r="EM560" s="58">
        <f t="shared" si="802"/>
        <v>0</v>
      </c>
      <c r="EN560" s="68" t="e">
        <f t="shared" si="803"/>
        <v>#DIV/0!</v>
      </c>
      <c r="EO560" s="139">
        <f t="shared" si="854"/>
        <v>0.32527353469126524</v>
      </c>
      <c r="EP560">
        <f>+(SUM(M560:O560)*EO560*(1-'[1]Tier 3 Data'!$A$2))</f>
        <v>0</v>
      </c>
    </row>
    <row r="561" spans="1:146" x14ac:dyDescent="0.2">
      <c r="A561" s="43">
        <v>0</v>
      </c>
      <c r="B561" s="43">
        <v>0</v>
      </c>
      <c r="C561" s="43">
        <v>0</v>
      </c>
      <c r="D561" s="70">
        <v>2054</v>
      </c>
      <c r="E561" s="70">
        <v>2</v>
      </c>
      <c r="F561" s="2">
        <v>672</v>
      </c>
      <c r="G561" s="133">
        <f t="shared" si="838"/>
        <v>0</v>
      </c>
      <c r="H561" s="64"/>
      <c r="I561" s="133">
        <f t="shared" si="839"/>
        <v>0</v>
      </c>
      <c r="J561" s="133">
        <f t="shared" si="778"/>
        <v>0</v>
      </c>
      <c r="K561" s="64"/>
      <c r="L561" s="133">
        <f t="shared" si="779"/>
        <v>0</v>
      </c>
      <c r="M561" s="5"/>
      <c r="N561" s="5"/>
      <c r="O561" s="5"/>
      <c r="P561" s="200">
        <f t="shared" si="770"/>
        <v>0</v>
      </c>
      <c r="Q561" s="200">
        <f t="shared" si="771"/>
        <v>0</v>
      </c>
      <c r="R561" s="200">
        <f t="shared" si="772"/>
        <v>0</v>
      </c>
      <c r="S561" s="133">
        <f t="shared" si="840"/>
        <v>0</v>
      </c>
      <c r="T561" s="133">
        <f t="shared" si="841"/>
        <v>0</v>
      </c>
      <c r="U561" s="133">
        <f t="shared" si="842"/>
        <v>0</v>
      </c>
      <c r="V561" s="200">
        <f t="shared" si="773"/>
        <v>0</v>
      </c>
      <c r="W561" s="200">
        <f t="shared" si="774"/>
        <v>0</v>
      </c>
      <c r="X561" s="200">
        <f t="shared" si="775"/>
        <v>0</v>
      </c>
      <c r="Y561" s="58">
        <f t="shared" si="813"/>
        <v>0</v>
      </c>
      <c r="AA561" s="58">
        <f t="shared" si="814"/>
        <v>0</v>
      </c>
      <c r="AB561" s="200">
        <f t="shared" si="815"/>
        <v>0</v>
      </c>
      <c r="AC561" s="200">
        <f t="shared" si="816"/>
        <v>0</v>
      </c>
      <c r="AD561" s="200">
        <f t="shared" si="817"/>
        <v>0</v>
      </c>
      <c r="AE561" s="199">
        <f t="shared" ref="AE561:AE595" si="921">+S561+$Y561</f>
        <v>0</v>
      </c>
      <c r="AF561" s="199">
        <f t="shared" si="818"/>
        <v>0</v>
      </c>
      <c r="AG561" s="199">
        <f t="shared" ref="AG561:AG595" si="922">+U561+$AA561</f>
        <v>0</v>
      </c>
      <c r="AH561" s="199">
        <f t="shared" si="843"/>
        <v>0</v>
      </c>
      <c r="AI561" s="200">
        <f t="shared" si="819"/>
        <v>0</v>
      </c>
      <c r="AJ561" s="200">
        <f t="shared" si="820"/>
        <v>0</v>
      </c>
      <c r="AK561" s="200">
        <f t="shared" si="821"/>
        <v>0</v>
      </c>
      <c r="AL561" s="4"/>
      <c r="AM561" s="4"/>
      <c r="AN561" s="4"/>
      <c r="AO561" s="4"/>
      <c r="AP561" s="63"/>
      <c r="AQ561" s="18"/>
      <c r="AR561" s="18"/>
      <c r="AS561" s="18"/>
      <c r="AT561" s="18">
        <v>0</v>
      </c>
      <c r="AU561" s="133">
        <f t="shared" ref="AU561" si="923">+AU549</f>
        <v>92.897999999999996</v>
      </c>
      <c r="AV561" s="133">
        <f t="shared" ref="AV561" si="924">+AV549</f>
        <v>3057.587</v>
      </c>
      <c r="AW561" s="194"/>
      <c r="AX561" s="194"/>
      <c r="AY561" s="194"/>
      <c r="AZ561" s="194"/>
      <c r="BA561" s="194"/>
      <c r="BB561" s="194"/>
      <c r="BC561" s="65">
        <v>0</v>
      </c>
      <c r="BD561" s="65">
        <v>0</v>
      </c>
      <c r="BE561" s="65">
        <v>0</v>
      </c>
      <c r="BF561" s="65">
        <v>0</v>
      </c>
      <c r="BG561" s="65">
        <v>0</v>
      </c>
      <c r="BH561" s="65">
        <v>0</v>
      </c>
      <c r="BI561" s="65">
        <v>0</v>
      </c>
      <c r="BJ561" s="65">
        <v>0</v>
      </c>
      <c r="BK561" s="65">
        <v>0</v>
      </c>
      <c r="BL561" s="65">
        <v>0</v>
      </c>
      <c r="BM561" s="65">
        <v>0</v>
      </c>
      <c r="BN561" s="65">
        <v>0</v>
      </c>
      <c r="BO561" s="65">
        <v>0</v>
      </c>
      <c r="BP561" s="5"/>
      <c r="BQ561" s="5"/>
      <c r="BR561" s="5"/>
      <c r="BS561" s="5"/>
      <c r="BT561" s="5"/>
      <c r="BU561" s="5"/>
      <c r="BV561" s="144">
        <f t="shared" si="810"/>
        <v>0</v>
      </c>
      <c r="BW561" s="144">
        <f t="shared" si="811"/>
        <v>0</v>
      </c>
      <c r="BX561" s="144">
        <f t="shared" si="812"/>
        <v>0</v>
      </c>
      <c r="BY561" s="5"/>
      <c r="BZ561" s="5"/>
      <c r="CA561" s="4"/>
      <c r="CB561" s="5"/>
      <c r="CC561" s="5"/>
      <c r="CD561" s="5"/>
      <c r="CE561" s="5"/>
      <c r="CF561" s="64"/>
      <c r="CG561" s="70"/>
      <c r="CH561" s="70"/>
      <c r="CI561" s="70"/>
      <c r="CJ561" s="63"/>
      <c r="CK561" s="8">
        <f t="shared" si="761"/>
        <v>3150.4850000000001</v>
      </c>
      <c r="CL561" s="202">
        <f t="shared" si="885"/>
        <v>-3150.4850000000001</v>
      </c>
      <c r="CM561" s="202">
        <f t="shared" si="886"/>
        <v>-3150.4850000000001</v>
      </c>
      <c r="CN561" s="202">
        <f t="shared" si="887"/>
        <v>-3150.4850000000001</v>
      </c>
      <c r="CO561" s="9">
        <f t="shared" si="888"/>
        <v>-3150.4850000000001</v>
      </c>
      <c r="CP561" s="9">
        <f t="shared" si="889"/>
        <v>-3150.4850000000001</v>
      </c>
      <c r="CQ561" s="9">
        <f t="shared" si="890"/>
        <v>-3150.4850000000001</v>
      </c>
      <c r="CR561" s="202">
        <f t="shared" si="891"/>
        <v>-3150.4850000000001</v>
      </c>
      <c r="CS561" s="202">
        <f t="shared" si="892"/>
        <v>-3150.4850000000001</v>
      </c>
      <c r="CT561" s="202">
        <f t="shared" si="893"/>
        <v>-3150.4850000000001</v>
      </c>
      <c r="CU561" s="203" t="e">
        <f t="shared" si="894"/>
        <v>#DIV/0!</v>
      </c>
      <c r="CV561" s="203" t="e">
        <f t="shared" si="895"/>
        <v>#DIV/0!</v>
      </c>
      <c r="CW561" s="203" t="e">
        <f t="shared" si="896"/>
        <v>#DIV/0!</v>
      </c>
      <c r="CX561" s="19" t="e">
        <f t="shared" si="897"/>
        <v>#DIV/0!</v>
      </c>
      <c r="CY561" s="19" t="e">
        <f t="shared" si="898"/>
        <v>#DIV/0!</v>
      </c>
      <c r="CZ561" s="19" t="e">
        <f t="shared" si="899"/>
        <v>#DIV/0!</v>
      </c>
      <c r="DA561" s="203" t="e">
        <f t="shared" si="900"/>
        <v>#DIV/0!</v>
      </c>
      <c r="DB561" s="203" t="e">
        <f t="shared" si="901"/>
        <v>#DIV/0!</v>
      </c>
      <c r="DC561" s="203" t="e">
        <f t="shared" si="902"/>
        <v>#DIV/0!</v>
      </c>
      <c r="DD561" s="65"/>
      <c r="DE561" s="66"/>
      <c r="DF561" s="66"/>
      <c r="DG561" s="66"/>
      <c r="DH561" s="66"/>
      <c r="DI561" s="66"/>
      <c r="DJ561" s="66"/>
      <c r="DK561" s="70"/>
      <c r="DL561" s="70"/>
      <c r="DM561" s="8">
        <f t="shared" si="762"/>
        <v>0</v>
      </c>
      <c r="DN561" s="8">
        <f t="shared" si="763"/>
        <v>3150.4850000000001</v>
      </c>
      <c r="DO561" s="202">
        <f t="shared" si="737"/>
        <v>-3150.4850000000001</v>
      </c>
      <c r="DP561" s="202">
        <f t="shared" si="738"/>
        <v>-3150.4850000000001</v>
      </c>
      <c r="DQ561" s="202">
        <f t="shared" si="739"/>
        <v>-3150.4850000000001</v>
      </c>
      <c r="DR561" s="9">
        <f t="shared" si="740"/>
        <v>-3150.4850000000001</v>
      </c>
      <c r="DS561" s="9">
        <f t="shared" si="905"/>
        <v>-3150.4850000000001</v>
      </c>
      <c r="DT561" s="9">
        <f t="shared" si="741"/>
        <v>-3150.4850000000001</v>
      </c>
      <c r="DU561" s="202">
        <f t="shared" si="742"/>
        <v>-3150.4850000000001</v>
      </c>
      <c r="DV561" s="202">
        <f t="shared" si="743"/>
        <v>-3150.4850000000001</v>
      </c>
      <c r="DW561" s="202">
        <f t="shared" si="744"/>
        <v>-3150.4850000000001</v>
      </c>
      <c r="DX561" s="203" t="e">
        <f t="shared" si="745"/>
        <v>#DIV/0!</v>
      </c>
      <c r="DY561" s="203" t="e">
        <f t="shared" si="746"/>
        <v>#DIV/0!</v>
      </c>
      <c r="DZ561" s="203" t="e">
        <f t="shared" si="747"/>
        <v>#DIV/0!</v>
      </c>
      <c r="EA561" s="19" t="e">
        <f t="shared" si="748"/>
        <v>#DIV/0!</v>
      </c>
      <c r="EB561" s="19" t="e">
        <f t="shared" si="906"/>
        <v>#DIV/0!</v>
      </c>
      <c r="EC561" s="19" t="e">
        <f t="shared" si="749"/>
        <v>#DIV/0!</v>
      </c>
      <c r="ED561" s="203" t="e">
        <f t="shared" si="750"/>
        <v>#DIV/0!</v>
      </c>
      <c r="EE561" s="203" t="e">
        <f t="shared" si="751"/>
        <v>#DIV/0!</v>
      </c>
      <c r="EF561" s="203" t="e">
        <f t="shared" si="752"/>
        <v>#DIV/0!</v>
      </c>
      <c r="EH561" s="58">
        <f t="shared" si="798"/>
        <v>3150.4850000000001</v>
      </c>
      <c r="EI561" s="68" t="e">
        <f t="shared" si="799"/>
        <v>#DIV/0!</v>
      </c>
      <c r="EJ561" s="58">
        <f t="shared" si="800"/>
        <v>3150.4850000000001</v>
      </c>
      <c r="EK561" s="68" t="e">
        <f t="shared" si="799"/>
        <v>#DIV/0!</v>
      </c>
      <c r="EL561" s="58">
        <f t="shared" si="801"/>
        <v>0</v>
      </c>
      <c r="EM561" s="58">
        <f t="shared" si="802"/>
        <v>0</v>
      </c>
      <c r="EN561" s="68" t="e">
        <f t="shared" si="803"/>
        <v>#DIV/0!</v>
      </c>
      <c r="EO561" s="139">
        <f t="shared" si="854"/>
        <v>0.3126447604730192</v>
      </c>
      <c r="EP561">
        <f>+(SUM(M561:O561)*EO561*(1-'[1]Tier 3 Data'!$A$2))</f>
        <v>0</v>
      </c>
    </row>
    <row r="562" spans="1:146" x14ac:dyDescent="0.2">
      <c r="A562" s="43">
        <v>0</v>
      </c>
      <c r="B562" s="43">
        <v>0</v>
      </c>
      <c r="C562" s="43">
        <v>0</v>
      </c>
      <c r="D562" s="70">
        <v>2054</v>
      </c>
      <c r="E562" s="70">
        <v>3</v>
      </c>
      <c r="F562" s="2">
        <v>743</v>
      </c>
      <c r="G562" s="133">
        <f t="shared" si="838"/>
        <v>0</v>
      </c>
      <c r="H562" s="64"/>
      <c r="I562" s="133">
        <f t="shared" si="839"/>
        <v>0</v>
      </c>
      <c r="J562" s="133">
        <f t="shared" si="778"/>
        <v>0</v>
      </c>
      <c r="K562" s="64"/>
      <c r="L562" s="133">
        <f t="shared" si="779"/>
        <v>0</v>
      </c>
      <c r="M562" s="5"/>
      <c r="N562" s="5"/>
      <c r="O562" s="5"/>
      <c r="P562" s="200">
        <f t="shared" si="770"/>
        <v>0</v>
      </c>
      <c r="Q562" s="200">
        <f t="shared" si="771"/>
        <v>0</v>
      </c>
      <c r="R562" s="200">
        <f t="shared" si="772"/>
        <v>0</v>
      </c>
      <c r="S562" s="133">
        <f t="shared" si="840"/>
        <v>0</v>
      </c>
      <c r="T562" s="133">
        <f t="shared" si="841"/>
        <v>0</v>
      </c>
      <c r="U562" s="133">
        <f t="shared" si="842"/>
        <v>0</v>
      </c>
      <c r="V562" s="200">
        <f t="shared" si="773"/>
        <v>0</v>
      </c>
      <c r="W562" s="200">
        <f t="shared" si="774"/>
        <v>0</v>
      </c>
      <c r="X562" s="200">
        <f t="shared" si="775"/>
        <v>0</v>
      </c>
      <c r="Y562" s="58">
        <f t="shared" si="813"/>
        <v>0</v>
      </c>
      <c r="AA562" s="58">
        <f t="shared" si="814"/>
        <v>0</v>
      </c>
      <c r="AB562" s="200">
        <f t="shared" si="815"/>
        <v>0</v>
      </c>
      <c r="AC562" s="200">
        <f t="shared" si="816"/>
        <v>0</v>
      </c>
      <c r="AD562" s="200">
        <f t="shared" si="817"/>
        <v>0</v>
      </c>
      <c r="AE562" s="199">
        <f t="shared" si="921"/>
        <v>0</v>
      </c>
      <c r="AF562" s="199">
        <f t="shared" si="818"/>
        <v>0</v>
      </c>
      <c r="AG562" s="199">
        <f t="shared" si="922"/>
        <v>0</v>
      </c>
      <c r="AH562" s="199">
        <f t="shared" si="843"/>
        <v>0</v>
      </c>
      <c r="AI562" s="200">
        <f t="shared" si="819"/>
        <v>0</v>
      </c>
      <c r="AJ562" s="200">
        <f t="shared" si="820"/>
        <v>0</v>
      </c>
      <c r="AK562" s="200">
        <f t="shared" si="821"/>
        <v>0</v>
      </c>
      <c r="AL562" s="4"/>
      <c r="AM562" s="4"/>
      <c r="AN562" s="4"/>
      <c r="AO562" s="4"/>
      <c r="AP562" s="63"/>
      <c r="AQ562" s="18"/>
      <c r="AR562" s="18"/>
      <c r="AS562" s="18"/>
      <c r="AT562" s="18">
        <v>0</v>
      </c>
      <c r="AU562" s="133">
        <f t="shared" ref="AU562" si="925">+AU550</f>
        <v>87.516000000000005</v>
      </c>
      <c r="AV562" s="133">
        <f t="shared" ref="AV562" si="926">+AV550</f>
        <v>3232.7139999999999</v>
      </c>
      <c r="AW562" s="194"/>
      <c r="AX562" s="194"/>
      <c r="AY562" s="194"/>
      <c r="AZ562" s="194"/>
      <c r="BA562" s="194"/>
      <c r="BB562" s="194"/>
      <c r="BC562" s="65">
        <v>0</v>
      </c>
      <c r="BD562" s="65">
        <v>0</v>
      </c>
      <c r="BE562" s="65">
        <v>0</v>
      </c>
      <c r="BF562" s="65">
        <v>0</v>
      </c>
      <c r="BG562" s="65">
        <v>0</v>
      </c>
      <c r="BH562" s="65">
        <v>0</v>
      </c>
      <c r="BI562" s="65">
        <v>0</v>
      </c>
      <c r="BJ562" s="65">
        <v>0</v>
      </c>
      <c r="BK562" s="65">
        <v>0</v>
      </c>
      <c r="BL562" s="65">
        <v>0</v>
      </c>
      <c r="BM562" s="65">
        <v>0</v>
      </c>
      <c r="BN562" s="65">
        <v>0</v>
      </c>
      <c r="BO562" s="65">
        <v>0</v>
      </c>
      <c r="BP562" s="5"/>
      <c r="BQ562" s="5"/>
      <c r="BR562" s="5"/>
      <c r="BS562" s="5"/>
      <c r="BT562" s="5"/>
      <c r="BU562" s="5"/>
      <c r="BV562" s="144">
        <f t="shared" si="810"/>
        <v>0</v>
      </c>
      <c r="BW562" s="144">
        <f t="shared" si="811"/>
        <v>0</v>
      </c>
      <c r="BX562" s="144">
        <f t="shared" si="812"/>
        <v>0</v>
      </c>
      <c r="BY562" s="5"/>
      <c r="BZ562" s="5"/>
      <c r="CA562" s="4"/>
      <c r="CB562" s="5"/>
      <c r="CC562" s="5"/>
      <c r="CD562" s="5"/>
      <c r="CE562" s="5"/>
      <c r="CF562" s="64"/>
      <c r="CG562" s="70"/>
      <c r="CH562" s="70"/>
      <c r="CI562" s="70"/>
      <c r="CJ562" s="63"/>
      <c r="CK562" s="8">
        <f t="shared" si="761"/>
        <v>3320.23</v>
      </c>
      <c r="CL562" s="202">
        <f t="shared" si="885"/>
        <v>-3320.23</v>
      </c>
      <c r="CM562" s="202">
        <f t="shared" si="886"/>
        <v>-3320.23</v>
      </c>
      <c r="CN562" s="202">
        <f t="shared" si="887"/>
        <v>-3320.23</v>
      </c>
      <c r="CO562" s="9">
        <f t="shared" si="888"/>
        <v>-3320.23</v>
      </c>
      <c r="CP562" s="9">
        <f t="shared" si="889"/>
        <v>-3320.23</v>
      </c>
      <c r="CQ562" s="9">
        <f t="shared" si="890"/>
        <v>-3320.23</v>
      </c>
      <c r="CR562" s="202">
        <f t="shared" si="891"/>
        <v>-3320.23</v>
      </c>
      <c r="CS562" s="202">
        <f t="shared" si="892"/>
        <v>-3320.23</v>
      </c>
      <c r="CT562" s="202">
        <f t="shared" si="893"/>
        <v>-3320.23</v>
      </c>
      <c r="CU562" s="203" t="e">
        <f t="shared" si="894"/>
        <v>#DIV/0!</v>
      </c>
      <c r="CV562" s="203" t="e">
        <f t="shared" si="895"/>
        <v>#DIV/0!</v>
      </c>
      <c r="CW562" s="203" t="e">
        <f t="shared" si="896"/>
        <v>#DIV/0!</v>
      </c>
      <c r="CX562" s="19" t="e">
        <f t="shared" si="897"/>
        <v>#DIV/0!</v>
      </c>
      <c r="CY562" s="19" t="e">
        <f t="shared" si="898"/>
        <v>#DIV/0!</v>
      </c>
      <c r="CZ562" s="19" t="e">
        <f t="shared" si="899"/>
        <v>#DIV/0!</v>
      </c>
      <c r="DA562" s="203" t="e">
        <f t="shared" si="900"/>
        <v>#DIV/0!</v>
      </c>
      <c r="DB562" s="203" t="e">
        <f t="shared" si="901"/>
        <v>#DIV/0!</v>
      </c>
      <c r="DC562" s="203" t="e">
        <f t="shared" si="902"/>
        <v>#DIV/0!</v>
      </c>
      <c r="DD562" s="65"/>
      <c r="DE562" s="66"/>
      <c r="DF562" s="66"/>
      <c r="DG562" s="66"/>
      <c r="DH562" s="66"/>
      <c r="DI562" s="66"/>
      <c r="DJ562" s="66"/>
      <c r="DK562" s="70"/>
      <c r="DL562" s="70"/>
      <c r="DM562" s="8">
        <f t="shared" si="762"/>
        <v>0</v>
      </c>
      <c r="DN562" s="8">
        <f t="shared" si="763"/>
        <v>3320.23</v>
      </c>
      <c r="DO562" s="202">
        <f t="shared" si="737"/>
        <v>-3320.23</v>
      </c>
      <c r="DP562" s="202">
        <f t="shared" si="738"/>
        <v>-3320.23</v>
      </c>
      <c r="DQ562" s="202">
        <f t="shared" si="739"/>
        <v>-3320.23</v>
      </c>
      <c r="DR562" s="9">
        <f t="shared" si="740"/>
        <v>-3320.23</v>
      </c>
      <c r="DS562" s="9">
        <f t="shared" si="905"/>
        <v>-3320.23</v>
      </c>
      <c r="DT562" s="9">
        <f t="shared" si="741"/>
        <v>-3320.23</v>
      </c>
      <c r="DU562" s="202">
        <f t="shared" si="742"/>
        <v>-3320.23</v>
      </c>
      <c r="DV562" s="202">
        <f t="shared" si="743"/>
        <v>-3320.23</v>
      </c>
      <c r="DW562" s="202">
        <f t="shared" si="744"/>
        <v>-3320.23</v>
      </c>
      <c r="DX562" s="203" t="e">
        <f t="shared" si="745"/>
        <v>#DIV/0!</v>
      </c>
      <c r="DY562" s="203" t="e">
        <f t="shared" si="746"/>
        <v>#DIV/0!</v>
      </c>
      <c r="DZ562" s="203" t="e">
        <f t="shared" si="747"/>
        <v>#DIV/0!</v>
      </c>
      <c r="EA562" s="19" t="e">
        <f t="shared" si="748"/>
        <v>#DIV/0!</v>
      </c>
      <c r="EB562" s="19" t="e">
        <f t="shared" si="906"/>
        <v>#DIV/0!</v>
      </c>
      <c r="EC562" s="19" t="e">
        <f t="shared" si="749"/>
        <v>#DIV/0!</v>
      </c>
      <c r="ED562" s="203" t="e">
        <f t="shared" si="750"/>
        <v>#DIV/0!</v>
      </c>
      <c r="EE562" s="203" t="e">
        <f t="shared" si="751"/>
        <v>#DIV/0!</v>
      </c>
      <c r="EF562" s="203" t="e">
        <f t="shared" si="752"/>
        <v>#DIV/0!</v>
      </c>
      <c r="EH562" s="58">
        <f t="shared" si="798"/>
        <v>3320.23</v>
      </c>
      <c r="EI562" s="68" t="e">
        <f t="shared" si="799"/>
        <v>#DIV/0!</v>
      </c>
      <c r="EJ562" s="58">
        <f t="shared" si="800"/>
        <v>3320.23</v>
      </c>
      <c r="EK562" s="68" t="e">
        <f t="shared" si="799"/>
        <v>#DIV/0!</v>
      </c>
      <c r="EL562" s="58">
        <f t="shared" si="801"/>
        <v>0</v>
      </c>
      <c r="EM562" s="58">
        <f t="shared" si="802"/>
        <v>0</v>
      </c>
      <c r="EN562" s="68" t="e">
        <f t="shared" si="803"/>
        <v>#DIV/0!</v>
      </c>
      <c r="EO562" s="139">
        <f t="shared" si="854"/>
        <v>0.32861286969700848</v>
      </c>
      <c r="EP562">
        <f>+(SUM(M562:O562)*EO562*(1-'[1]Tier 3 Data'!$A$2))</f>
        <v>0</v>
      </c>
    </row>
    <row r="563" spans="1:146" x14ac:dyDescent="0.2">
      <c r="A563" s="43">
        <v>0</v>
      </c>
      <c r="B563" s="43">
        <v>0</v>
      </c>
      <c r="C563" s="43">
        <v>0</v>
      </c>
      <c r="D563" s="70">
        <v>2054</v>
      </c>
      <c r="E563" s="70">
        <v>4</v>
      </c>
      <c r="F563" s="2">
        <v>720</v>
      </c>
      <c r="G563" s="133">
        <f t="shared" si="838"/>
        <v>0</v>
      </c>
      <c r="H563" s="64"/>
      <c r="I563" s="133">
        <f t="shared" si="839"/>
        <v>0</v>
      </c>
      <c r="J563" s="133">
        <f t="shared" si="778"/>
        <v>0</v>
      </c>
      <c r="K563" s="64"/>
      <c r="L563" s="133">
        <f t="shared" si="779"/>
        <v>0</v>
      </c>
      <c r="M563" s="5"/>
      <c r="N563" s="5"/>
      <c r="O563" s="5"/>
      <c r="P563" s="200">
        <f t="shared" si="770"/>
        <v>0</v>
      </c>
      <c r="Q563" s="200">
        <f t="shared" si="771"/>
        <v>0</v>
      </c>
      <c r="R563" s="200">
        <f t="shared" si="772"/>
        <v>0</v>
      </c>
      <c r="S563" s="133">
        <f t="shared" si="840"/>
        <v>0</v>
      </c>
      <c r="T563" s="133">
        <f t="shared" si="841"/>
        <v>0</v>
      </c>
      <c r="U563" s="133">
        <f t="shared" si="842"/>
        <v>0</v>
      </c>
      <c r="V563" s="200">
        <f t="shared" si="773"/>
        <v>0</v>
      </c>
      <c r="W563" s="200">
        <f t="shared" si="774"/>
        <v>0</v>
      </c>
      <c r="X563" s="200">
        <f t="shared" si="775"/>
        <v>0</v>
      </c>
      <c r="Y563" s="58">
        <f t="shared" si="813"/>
        <v>0</v>
      </c>
      <c r="AA563" s="58">
        <f t="shared" si="814"/>
        <v>0</v>
      </c>
      <c r="AB563" s="200">
        <f t="shared" si="815"/>
        <v>0</v>
      </c>
      <c r="AC563" s="200">
        <f t="shared" si="816"/>
        <v>0</v>
      </c>
      <c r="AD563" s="200">
        <f t="shared" si="817"/>
        <v>0</v>
      </c>
      <c r="AE563" s="199">
        <f t="shared" si="921"/>
        <v>0</v>
      </c>
      <c r="AF563" s="199">
        <f t="shared" si="818"/>
        <v>0</v>
      </c>
      <c r="AG563" s="199">
        <f t="shared" si="922"/>
        <v>0</v>
      </c>
      <c r="AH563" s="199">
        <f t="shared" si="843"/>
        <v>0</v>
      </c>
      <c r="AI563" s="200">
        <f t="shared" si="819"/>
        <v>0</v>
      </c>
      <c r="AJ563" s="200">
        <f t="shared" si="820"/>
        <v>0</v>
      </c>
      <c r="AK563" s="200">
        <f t="shared" si="821"/>
        <v>0</v>
      </c>
      <c r="AL563" s="4"/>
      <c r="AM563" s="4"/>
      <c r="AN563" s="4"/>
      <c r="AO563" s="4"/>
      <c r="AP563" s="63"/>
      <c r="AQ563" s="18"/>
      <c r="AR563" s="18"/>
      <c r="AS563" s="18"/>
      <c r="AT563" s="18">
        <v>0</v>
      </c>
      <c r="AU563" s="133">
        <f t="shared" ref="AU563" si="927">+AU551</f>
        <v>96.057000000000002</v>
      </c>
      <c r="AV563" s="133">
        <f t="shared" ref="AV563" si="928">+AV551</f>
        <v>3017.9659999999999</v>
      </c>
      <c r="AW563" s="194"/>
      <c r="AX563" s="194"/>
      <c r="AY563" s="194"/>
      <c r="AZ563" s="194"/>
      <c r="BA563" s="194"/>
      <c r="BB563" s="194"/>
      <c r="BC563" s="65">
        <v>0</v>
      </c>
      <c r="BD563" s="65">
        <v>0</v>
      </c>
      <c r="BE563" s="65">
        <v>0</v>
      </c>
      <c r="BF563" s="65">
        <v>0</v>
      </c>
      <c r="BG563" s="65">
        <v>0</v>
      </c>
      <c r="BH563" s="65">
        <v>0</v>
      </c>
      <c r="BI563" s="65">
        <v>0</v>
      </c>
      <c r="BJ563" s="65">
        <v>0</v>
      </c>
      <c r="BK563" s="65">
        <v>0</v>
      </c>
      <c r="BL563" s="65">
        <v>0</v>
      </c>
      <c r="BM563" s="65">
        <v>0</v>
      </c>
      <c r="BN563" s="65">
        <v>0</v>
      </c>
      <c r="BO563" s="65">
        <v>0</v>
      </c>
      <c r="BP563" s="5"/>
      <c r="BQ563" s="5"/>
      <c r="BR563" s="5"/>
      <c r="BS563" s="5"/>
      <c r="BT563" s="5"/>
      <c r="BU563" s="5"/>
      <c r="BV563" s="144">
        <f t="shared" si="810"/>
        <v>0</v>
      </c>
      <c r="BW563" s="144">
        <f t="shared" si="811"/>
        <v>0</v>
      </c>
      <c r="BX563" s="144">
        <f t="shared" si="812"/>
        <v>0</v>
      </c>
      <c r="BY563" s="5"/>
      <c r="BZ563" s="5"/>
      <c r="CA563" s="4"/>
      <c r="CB563" s="5"/>
      <c r="CC563" s="5"/>
      <c r="CD563" s="5"/>
      <c r="CE563" s="5"/>
      <c r="CF563" s="64"/>
      <c r="CG563" s="70"/>
      <c r="CH563" s="70"/>
      <c r="CI563" s="70"/>
      <c r="CJ563" s="63"/>
      <c r="CK563" s="8">
        <f t="shared" si="761"/>
        <v>3114.0229999999997</v>
      </c>
      <c r="CL563" s="202">
        <f t="shared" si="885"/>
        <v>-3114.0229999999997</v>
      </c>
      <c r="CM563" s="202">
        <f t="shared" si="886"/>
        <v>-3114.0229999999997</v>
      </c>
      <c r="CN563" s="202">
        <f t="shared" si="887"/>
        <v>-3114.0229999999997</v>
      </c>
      <c r="CO563" s="9">
        <f t="shared" si="888"/>
        <v>-3114.0229999999997</v>
      </c>
      <c r="CP563" s="9">
        <f t="shared" si="889"/>
        <v>-3114.0229999999997</v>
      </c>
      <c r="CQ563" s="9">
        <f t="shared" si="890"/>
        <v>-3114.0229999999997</v>
      </c>
      <c r="CR563" s="202">
        <f t="shared" si="891"/>
        <v>-3114.0229999999997</v>
      </c>
      <c r="CS563" s="202">
        <f t="shared" si="892"/>
        <v>-3114.0229999999997</v>
      </c>
      <c r="CT563" s="202">
        <f t="shared" si="893"/>
        <v>-3114.0229999999997</v>
      </c>
      <c r="CU563" s="203" t="e">
        <f t="shared" si="894"/>
        <v>#DIV/0!</v>
      </c>
      <c r="CV563" s="203" t="e">
        <f t="shared" si="895"/>
        <v>#DIV/0!</v>
      </c>
      <c r="CW563" s="203" t="e">
        <f t="shared" si="896"/>
        <v>#DIV/0!</v>
      </c>
      <c r="CX563" s="19" t="e">
        <f t="shared" si="897"/>
        <v>#DIV/0!</v>
      </c>
      <c r="CY563" s="19" t="e">
        <f t="shared" si="898"/>
        <v>#DIV/0!</v>
      </c>
      <c r="CZ563" s="19" t="e">
        <f t="shared" si="899"/>
        <v>#DIV/0!</v>
      </c>
      <c r="DA563" s="203" t="e">
        <f t="shared" si="900"/>
        <v>#DIV/0!</v>
      </c>
      <c r="DB563" s="203" t="e">
        <f t="shared" si="901"/>
        <v>#DIV/0!</v>
      </c>
      <c r="DC563" s="203" t="e">
        <f t="shared" si="902"/>
        <v>#DIV/0!</v>
      </c>
      <c r="DD563" s="65"/>
      <c r="DE563" s="66"/>
      <c r="DF563" s="66"/>
      <c r="DG563" s="66"/>
      <c r="DH563" s="66"/>
      <c r="DI563" s="66"/>
      <c r="DJ563" s="66"/>
      <c r="DK563" s="70"/>
      <c r="DL563" s="70"/>
      <c r="DM563" s="8">
        <f t="shared" si="762"/>
        <v>0</v>
      </c>
      <c r="DN563" s="8">
        <f t="shared" si="763"/>
        <v>3114.0229999999997</v>
      </c>
      <c r="DO563" s="202">
        <f t="shared" si="737"/>
        <v>-3114.0229999999997</v>
      </c>
      <c r="DP563" s="202">
        <f t="shared" si="738"/>
        <v>-3114.0229999999997</v>
      </c>
      <c r="DQ563" s="202">
        <f t="shared" si="739"/>
        <v>-3114.0229999999997</v>
      </c>
      <c r="DR563" s="9">
        <f t="shared" si="740"/>
        <v>-3114.0229999999997</v>
      </c>
      <c r="DS563" s="9">
        <f t="shared" si="905"/>
        <v>-3114.0229999999997</v>
      </c>
      <c r="DT563" s="9">
        <f t="shared" si="741"/>
        <v>-3114.0229999999997</v>
      </c>
      <c r="DU563" s="202">
        <f t="shared" si="742"/>
        <v>-3114.0229999999997</v>
      </c>
      <c r="DV563" s="202">
        <f t="shared" si="743"/>
        <v>-3114.0229999999997</v>
      </c>
      <c r="DW563" s="202">
        <f t="shared" si="744"/>
        <v>-3114.0229999999997</v>
      </c>
      <c r="DX563" s="203" t="e">
        <f t="shared" si="745"/>
        <v>#DIV/0!</v>
      </c>
      <c r="DY563" s="203" t="e">
        <f t="shared" si="746"/>
        <v>#DIV/0!</v>
      </c>
      <c r="DZ563" s="203" t="e">
        <f t="shared" si="747"/>
        <v>#DIV/0!</v>
      </c>
      <c r="EA563" s="19" t="e">
        <f t="shared" si="748"/>
        <v>#DIV/0!</v>
      </c>
      <c r="EB563" s="19" t="e">
        <f t="shared" si="906"/>
        <v>#DIV/0!</v>
      </c>
      <c r="EC563" s="19" t="e">
        <f t="shared" si="749"/>
        <v>#DIV/0!</v>
      </c>
      <c r="ED563" s="203" t="e">
        <f t="shared" si="750"/>
        <v>#DIV/0!</v>
      </c>
      <c r="EE563" s="203" t="e">
        <f t="shared" si="751"/>
        <v>#DIV/0!</v>
      </c>
      <c r="EF563" s="203" t="e">
        <f t="shared" si="752"/>
        <v>#DIV/0!</v>
      </c>
      <c r="EH563" s="58">
        <f t="shared" si="798"/>
        <v>3114.0229999999997</v>
      </c>
      <c r="EI563" s="68" t="e">
        <f t="shared" si="799"/>
        <v>#DIV/0!</v>
      </c>
      <c r="EJ563" s="58">
        <f t="shared" si="800"/>
        <v>3114.0229999999997</v>
      </c>
      <c r="EK563" s="68" t="e">
        <f t="shared" si="799"/>
        <v>#DIV/0!</v>
      </c>
      <c r="EL563" s="58">
        <f t="shared" si="801"/>
        <v>0</v>
      </c>
      <c r="EM563" s="58">
        <f t="shared" si="802"/>
        <v>0</v>
      </c>
      <c r="EN563" s="68" t="e">
        <f t="shared" si="803"/>
        <v>#DIV/0!</v>
      </c>
      <c r="EO563" s="139">
        <f t="shared" si="854"/>
        <v>0.35351678044029999</v>
      </c>
      <c r="EP563">
        <f>+(SUM(M563:O563)*EO563*(1-'[1]Tier 3 Data'!$A$2))</f>
        <v>0</v>
      </c>
    </row>
    <row r="564" spans="1:146" x14ac:dyDescent="0.2">
      <c r="A564" s="43">
        <v>0</v>
      </c>
      <c r="B564" s="43">
        <v>0</v>
      </c>
      <c r="C564" s="43">
        <v>0</v>
      </c>
      <c r="D564" s="70">
        <v>2054</v>
      </c>
      <c r="E564" s="70">
        <v>5</v>
      </c>
      <c r="F564" s="2">
        <v>744</v>
      </c>
      <c r="G564" s="133">
        <f t="shared" si="838"/>
        <v>0</v>
      </c>
      <c r="H564" s="64"/>
      <c r="I564" s="133">
        <f t="shared" si="839"/>
        <v>0</v>
      </c>
      <c r="J564" s="133">
        <f t="shared" si="778"/>
        <v>0</v>
      </c>
      <c r="K564" s="64"/>
      <c r="L564" s="133">
        <f t="shared" si="779"/>
        <v>0</v>
      </c>
      <c r="M564" s="5"/>
      <c r="N564" s="5"/>
      <c r="O564" s="5"/>
      <c r="P564" s="200">
        <f t="shared" si="770"/>
        <v>0</v>
      </c>
      <c r="Q564" s="200">
        <f t="shared" si="771"/>
        <v>0</v>
      </c>
      <c r="R564" s="200">
        <f t="shared" si="772"/>
        <v>0</v>
      </c>
      <c r="S564" s="133">
        <f t="shared" si="840"/>
        <v>0</v>
      </c>
      <c r="T564" s="133">
        <f t="shared" si="841"/>
        <v>0</v>
      </c>
      <c r="U564" s="133">
        <f t="shared" si="842"/>
        <v>0</v>
      </c>
      <c r="V564" s="200">
        <f t="shared" si="773"/>
        <v>0</v>
      </c>
      <c r="W564" s="200">
        <f t="shared" si="774"/>
        <v>0</v>
      </c>
      <c r="X564" s="200">
        <f t="shared" si="775"/>
        <v>0</v>
      </c>
      <c r="Y564" s="58">
        <f t="shared" si="813"/>
        <v>0</v>
      </c>
      <c r="AA564" s="58">
        <f t="shared" si="814"/>
        <v>0</v>
      </c>
      <c r="AB564" s="200">
        <f t="shared" si="815"/>
        <v>0</v>
      </c>
      <c r="AC564" s="200">
        <f t="shared" si="816"/>
        <v>0</v>
      </c>
      <c r="AD564" s="200">
        <f t="shared" si="817"/>
        <v>0</v>
      </c>
      <c r="AE564" s="199">
        <f t="shared" si="921"/>
        <v>0</v>
      </c>
      <c r="AF564" s="199">
        <f t="shared" si="818"/>
        <v>0</v>
      </c>
      <c r="AG564" s="199">
        <f t="shared" si="922"/>
        <v>0</v>
      </c>
      <c r="AH564" s="199">
        <f t="shared" si="843"/>
        <v>0</v>
      </c>
      <c r="AI564" s="200">
        <f t="shared" si="819"/>
        <v>0</v>
      </c>
      <c r="AJ564" s="200">
        <f t="shared" si="820"/>
        <v>0</v>
      </c>
      <c r="AK564" s="200">
        <f t="shared" si="821"/>
        <v>0</v>
      </c>
      <c r="AL564" s="4"/>
      <c r="AM564" s="4"/>
      <c r="AN564" s="4"/>
      <c r="AO564" s="4"/>
      <c r="AP564" s="63"/>
      <c r="AQ564" s="18"/>
      <c r="AR564" s="18"/>
      <c r="AS564" s="18"/>
      <c r="AT564" s="18">
        <v>0</v>
      </c>
      <c r="AU564" s="133">
        <f t="shared" ref="AU564" si="929">+AU552</f>
        <v>109.161</v>
      </c>
      <c r="AV564" s="133">
        <f t="shared" ref="AV564" si="930">+AV552</f>
        <v>3327.41</v>
      </c>
      <c r="AW564" s="194"/>
      <c r="AX564" s="194"/>
      <c r="AY564" s="194"/>
      <c r="AZ564" s="194"/>
      <c r="BA564" s="194"/>
      <c r="BB564" s="194"/>
      <c r="BC564" s="65">
        <v>0</v>
      </c>
      <c r="BD564" s="65">
        <v>0</v>
      </c>
      <c r="BE564" s="65">
        <v>0</v>
      </c>
      <c r="BF564" s="65">
        <v>0</v>
      </c>
      <c r="BG564" s="65">
        <v>0</v>
      </c>
      <c r="BH564" s="65">
        <v>0</v>
      </c>
      <c r="BI564" s="65">
        <v>0</v>
      </c>
      <c r="BJ564" s="65">
        <v>0</v>
      </c>
      <c r="BK564" s="65">
        <v>0</v>
      </c>
      <c r="BL564" s="65">
        <v>0</v>
      </c>
      <c r="BM564" s="65">
        <v>0</v>
      </c>
      <c r="BN564" s="65">
        <v>0</v>
      </c>
      <c r="BO564" s="65">
        <v>0</v>
      </c>
      <c r="BP564" s="5"/>
      <c r="BQ564" s="5"/>
      <c r="BR564" s="5"/>
      <c r="BS564" s="5"/>
      <c r="BT564" s="5"/>
      <c r="BU564" s="5"/>
      <c r="BV564" s="144">
        <f t="shared" si="810"/>
        <v>0</v>
      </c>
      <c r="BW564" s="144">
        <f t="shared" si="811"/>
        <v>0</v>
      </c>
      <c r="BX564" s="144">
        <f t="shared" si="812"/>
        <v>0</v>
      </c>
      <c r="BY564" s="5"/>
      <c r="BZ564" s="5"/>
      <c r="CA564" s="4"/>
      <c r="CB564" s="5"/>
      <c r="CC564" s="5"/>
      <c r="CD564" s="5"/>
      <c r="CE564" s="5"/>
      <c r="CF564" s="64"/>
      <c r="CG564" s="70"/>
      <c r="CH564" s="70"/>
      <c r="CI564" s="70"/>
      <c r="CJ564" s="63"/>
      <c r="CK564" s="8">
        <f t="shared" si="761"/>
        <v>3436.5709999999999</v>
      </c>
      <c r="CL564" s="202">
        <f t="shared" si="885"/>
        <v>-3436.5709999999999</v>
      </c>
      <c r="CM564" s="202">
        <f t="shared" si="886"/>
        <v>-3436.5709999999999</v>
      </c>
      <c r="CN564" s="202">
        <f t="shared" si="887"/>
        <v>-3436.5709999999999</v>
      </c>
      <c r="CO564" s="9">
        <f t="shared" si="888"/>
        <v>-3436.5709999999999</v>
      </c>
      <c r="CP564" s="9">
        <f t="shared" si="889"/>
        <v>-3436.5709999999999</v>
      </c>
      <c r="CQ564" s="9">
        <f t="shared" si="890"/>
        <v>-3436.5709999999999</v>
      </c>
      <c r="CR564" s="202">
        <f t="shared" si="891"/>
        <v>-3436.5709999999999</v>
      </c>
      <c r="CS564" s="202">
        <f t="shared" si="892"/>
        <v>-3436.5709999999999</v>
      </c>
      <c r="CT564" s="202">
        <f t="shared" si="893"/>
        <v>-3436.5709999999999</v>
      </c>
      <c r="CU564" s="203" t="e">
        <f t="shared" si="894"/>
        <v>#DIV/0!</v>
      </c>
      <c r="CV564" s="203" t="e">
        <f t="shared" si="895"/>
        <v>#DIV/0!</v>
      </c>
      <c r="CW564" s="203" t="e">
        <f t="shared" si="896"/>
        <v>#DIV/0!</v>
      </c>
      <c r="CX564" s="19" t="e">
        <f t="shared" si="897"/>
        <v>#DIV/0!</v>
      </c>
      <c r="CY564" s="19" t="e">
        <f t="shared" si="898"/>
        <v>#DIV/0!</v>
      </c>
      <c r="CZ564" s="19" t="e">
        <f t="shared" si="899"/>
        <v>#DIV/0!</v>
      </c>
      <c r="DA564" s="203" t="e">
        <f t="shared" si="900"/>
        <v>#DIV/0!</v>
      </c>
      <c r="DB564" s="203" t="e">
        <f t="shared" si="901"/>
        <v>#DIV/0!</v>
      </c>
      <c r="DC564" s="203" t="e">
        <f t="shared" si="902"/>
        <v>#DIV/0!</v>
      </c>
      <c r="DD564" s="65"/>
      <c r="DE564" s="66"/>
      <c r="DF564" s="66"/>
      <c r="DG564" s="66"/>
      <c r="DH564" s="66"/>
      <c r="DI564" s="66"/>
      <c r="DJ564" s="66"/>
      <c r="DK564" s="70"/>
      <c r="DL564" s="70"/>
      <c r="DM564" s="8">
        <f t="shared" si="762"/>
        <v>0</v>
      </c>
      <c r="DN564" s="8">
        <f t="shared" si="763"/>
        <v>3436.5709999999999</v>
      </c>
      <c r="DO564" s="202">
        <f t="shared" si="737"/>
        <v>-3436.5709999999999</v>
      </c>
      <c r="DP564" s="202">
        <f t="shared" si="738"/>
        <v>-3436.5709999999999</v>
      </c>
      <c r="DQ564" s="202">
        <f t="shared" si="739"/>
        <v>-3436.5709999999999</v>
      </c>
      <c r="DR564" s="9">
        <f t="shared" si="740"/>
        <v>-3436.5709999999999</v>
      </c>
      <c r="DS564" s="9">
        <f t="shared" si="905"/>
        <v>-3436.5709999999999</v>
      </c>
      <c r="DT564" s="9">
        <f t="shared" si="741"/>
        <v>-3436.5709999999999</v>
      </c>
      <c r="DU564" s="202">
        <f t="shared" si="742"/>
        <v>-3436.5709999999999</v>
      </c>
      <c r="DV564" s="202">
        <f t="shared" si="743"/>
        <v>-3436.5709999999999</v>
      </c>
      <c r="DW564" s="202">
        <f t="shared" si="744"/>
        <v>-3436.5709999999999</v>
      </c>
      <c r="DX564" s="203" t="e">
        <f t="shared" si="745"/>
        <v>#DIV/0!</v>
      </c>
      <c r="DY564" s="203" t="e">
        <f t="shared" si="746"/>
        <v>#DIV/0!</v>
      </c>
      <c r="DZ564" s="203" t="e">
        <f t="shared" si="747"/>
        <v>#DIV/0!</v>
      </c>
      <c r="EA564" s="19" t="e">
        <f t="shared" si="748"/>
        <v>#DIV/0!</v>
      </c>
      <c r="EB564" s="19" t="e">
        <f t="shared" si="906"/>
        <v>#DIV/0!</v>
      </c>
      <c r="EC564" s="19" t="e">
        <f t="shared" si="749"/>
        <v>#DIV/0!</v>
      </c>
      <c r="ED564" s="203" t="e">
        <f t="shared" si="750"/>
        <v>#DIV/0!</v>
      </c>
      <c r="EE564" s="203" t="e">
        <f t="shared" si="751"/>
        <v>#DIV/0!</v>
      </c>
      <c r="EF564" s="203" t="e">
        <f t="shared" si="752"/>
        <v>#DIV/0!</v>
      </c>
      <c r="EH564" s="58">
        <f t="shared" si="798"/>
        <v>3436.5709999999999</v>
      </c>
      <c r="EI564" s="68" t="e">
        <f t="shared" si="799"/>
        <v>#DIV/0!</v>
      </c>
      <c r="EJ564" s="58">
        <f t="shared" si="800"/>
        <v>3436.5709999999999</v>
      </c>
      <c r="EK564" s="68" t="e">
        <f t="shared" si="799"/>
        <v>#DIV/0!</v>
      </c>
      <c r="EL564" s="58">
        <f t="shared" si="801"/>
        <v>0</v>
      </c>
      <c r="EM564" s="58">
        <f t="shared" si="802"/>
        <v>0</v>
      </c>
      <c r="EN564" s="68" t="e">
        <f t="shared" si="803"/>
        <v>#DIV/0!</v>
      </c>
      <c r="EO564" s="139">
        <f t="shared" si="854"/>
        <v>0.28868615856523006</v>
      </c>
      <c r="EP564">
        <f>+(SUM(M564:O564)*EO564*(1-'[1]Tier 3 Data'!$A$2))</f>
        <v>0</v>
      </c>
    </row>
    <row r="565" spans="1:146" x14ac:dyDescent="0.2">
      <c r="A565" s="43">
        <v>0</v>
      </c>
      <c r="B565" s="43">
        <v>0</v>
      </c>
      <c r="C565" s="43">
        <v>0</v>
      </c>
      <c r="D565" s="70">
        <v>2054</v>
      </c>
      <c r="E565" s="70">
        <v>6</v>
      </c>
      <c r="F565" s="2">
        <v>720</v>
      </c>
      <c r="G565" s="133">
        <f t="shared" si="838"/>
        <v>0</v>
      </c>
      <c r="H565" s="64"/>
      <c r="I565" s="133">
        <f t="shared" si="839"/>
        <v>0</v>
      </c>
      <c r="J565" s="133">
        <f t="shared" si="778"/>
        <v>0</v>
      </c>
      <c r="K565" s="64"/>
      <c r="L565" s="133">
        <f t="shared" si="779"/>
        <v>0</v>
      </c>
      <c r="M565" s="5"/>
      <c r="N565" s="5"/>
      <c r="O565" s="5"/>
      <c r="P565" s="200">
        <f t="shared" si="770"/>
        <v>0</v>
      </c>
      <c r="Q565" s="200">
        <f t="shared" si="771"/>
        <v>0</v>
      </c>
      <c r="R565" s="200">
        <f t="shared" si="772"/>
        <v>0</v>
      </c>
      <c r="S565" s="133">
        <f t="shared" si="840"/>
        <v>0</v>
      </c>
      <c r="T565" s="133">
        <f t="shared" si="841"/>
        <v>0</v>
      </c>
      <c r="U565" s="133">
        <f t="shared" si="842"/>
        <v>0</v>
      </c>
      <c r="V565" s="200">
        <f t="shared" si="773"/>
        <v>0</v>
      </c>
      <c r="W565" s="200">
        <f t="shared" si="774"/>
        <v>0</v>
      </c>
      <c r="X565" s="200">
        <f t="shared" si="775"/>
        <v>0</v>
      </c>
      <c r="Y565" s="58">
        <f t="shared" si="813"/>
        <v>0</v>
      </c>
      <c r="AA565" s="58">
        <f t="shared" si="814"/>
        <v>0</v>
      </c>
      <c r="AB565" s="200">
        <f t="shared" si="815"/>
        <v>0</v>
      </c>
      <c r="AC565" s="200">
        <f t="shared" si="816"/>
        <v>0</v>
      </c>
      <c r="AD565" s="200">
        <f t="shared" si="817"/>
        <v>0</v>
      </c>
      <c r="AE565" s="199">
        <f t="shared" si="921"/>
        <v>0</v>
      </c>
      <c r="AF565" s="199">
        <f t="shared" si="818"/>
        <v>0</v>
      </c>
      <c r="AG565" s="199">
        <f t="shared" si="922"/>
        <v>0</v>
      </c>
      <c r="AH565" s="199">
        <f t="shared" si="843"/>
        <v>0</v>
      </c>
      <c r="AI565" s="200">
        <f t="shared" si="819"/>
        <v>0</v>
      </c>
      <c r="AJ565" s="200">
        <f t="shared" si="820"/>
        <v>0</v>
      </c>
      <c r="AK565" s="200">
        <f t="shared" si="821"/>
        <v>0</v>
      </c>
      <c r="AL565" s="4"/>
      <c r="AM565" s="4"/>
      <c r="AN565" s="4"/>
      <c r="AO565" s="4"/>
      <c r="AP565" s="63"/>
      <c r="AQ565" s="18"/>
      <c r="AR565" s="18"/>
      <c r="AS565" s="18"/>
      <c r="AT565" s="18">
        <v>0</v>
      </c>
      <c r="AU565" s="133">
        <f t="shared" ref="AU565" si="931">+AU553</f>
        <v>128.934</v>
      </c>
      <c r="AV565" s="133">
        <f t="shared" ref="AV565" si="932">+AV553</f>
        <v>3110.2840000000001</v>
      </c>
      <c r="AW565" s="194"/>
      <c r="AX565" s="194"/>
      <c r="AY565" s="194"/>
      <c r="AZ565" s="194"/>
      <c r="BA565" s="194"/>
      <c r="BB565" s="194"/>
      <c r="BC565" s="65">
        <v>0</v>
      </c>
      <c r="BD565" s="65">
        <v>0</v>
      </c>
      <c r="BE565" s="65">
        <v>0</v>
      </c>
      <c r="BF565" s="65">
        <v>0</v>
      </c>
      <c r="BG565" s="65">
        <v>0</v>
      </c>
      <c r="BH565" s="65">
        <v>0</v>
      </c>
      <c r="BI565" s="65">
        <v>0</v>
      </c>
      <c r="BJ565" s="65">
        <v>0</v>
      </c>
      <c r="BK565" s="65">
        <v>0</v>
      </c>
      <c r="BL565" s="65">
        <v>0</v>
      </c>
      <c r="BM565" s="65">
        <v>0</v>
      </c>
      <c r="BN565" s="65">
        <v>0</v>
      </c>
      <c r="BO565" s="65">
        <v>0</v>
      </c>
      <c r="BP565" s="5"/>
      <c r="BQ565" s="5"/>
      <c r="BR565" s="5"/>
      <c r="BS565" s="5"/>
      <c r="BT565" s="5"/>
      <c r="BU565" s="5"/>
      <c r="BV565" s="144">
        <f t="shared" si="810"/>
        <v>0</v>
      </c>
      <c r="BW565" s="144">
        <f t="shared" si="811"/>
        <v>0</v>
      </c>
      <c r="BX565" s="144">
        <f t="shared" si="812"/>
        <v>0</v>
      </c>
      <c r="BY565" s="5"/>
      <c r="BZ565" s="5"/>
      <c r="CA565" s="4"/>
      <c r="CB565" s="5"/>
      <c r="CC565" s="5"/>
      <c r="CD565" s="5"/>
      <c r="CE565" s="5"/>
      <c r="CF565" s="64"/>
      <c r="CG565" s="70"/>
      <c r="CH565" s="70"/>
      <c r="CI565" s="70"/>
      <c r="CJ565" s="63"/>
      <c r="CK565" s="8">
        <f t="shared" si="761"/>
        <v>3239.2180000000003</v>
      </c>
      <c r="CL565" s="202">
        <f t="shared" si="885"/>
        <v>-3239.2180000000003</v>
      </c>
      <c r="CM565" s="202">
        <f t="shared" si="886"/>
        <v>-3239.2180000000003</v>
      </c>
      <c r="CN565" s="202">
        <f t="shared" si="887"/>
        <v>-3239.2180000000003</v>
      </c>
      <c r="CO565" s="9">
        <f t="shared" si="888"/>
        <v>-3239.2180000000003</v>
      </c>
      <c r="CP565" s="9">
        <f t="shared" si="889"/>
        <v>-3239.2180000000003</v>
      </c>
      <c r="CQ565" s="9">
        <f t="shared" si="890"/>
        <v>-3239.2180000000003</v>
      </c>
      <c r="CR565" s="202">
        <f t="shared" si="891"/>
        <v>-3239.2180000000003</v>
      </c>
      <c r="CS565" s="202">
        <f t="shared" si="892"/>
        <v>-3239.2180000000003</v>
      </c>
      <c r="CT565" s="202">
        <f t="shared" si="893"/>
        <v>-3239.2180000000003</v>
      </c>
      <c r="CU565" s="203" t="e">
        <f t="shared" si="894"/>
        <v>#DIV/0!</v>
      </c>
      <c r="CV565" s="203" t="e">
        <f t="shared" si="895"/>
        <v>#DIV/0!</v>
      </c>
      <c r="CW565" s="203" t="e">
        <f t="shared" si="896"/>
        <v>#DIV/0!</v>
      </c>
      <c r="CX565" s="19" t="e">
        <f t="shared" si="897"/>
        <v>#DIV/0!</v>
      </c>
      <c r="CY565" s="19" t="e">
        <f t="shared" si="898"/>
        <v>#DIV/0!</v>
      </c>
      <c r="CZ565" s="19" t="e">
        <f t="shared" si="899"/>
        <v>#DIV/0!</v>
      </c>
      <c r="DA565" s="203" t="e">
        <f t="shared" si="900"/>
        <v>#DIV/0!</v>
      </c>
      <c r="DB565" s="203" t="e">
        <f t="shared" si="901"/>
        <v>#DIV/0!</v>
      </c>
      <c r="DC565" s="203" t="e">
        <f t="shared" si="902"/>
        <v>#DIV/0!</v>
      </c>
      <c r="DD565" s="65"/>
      <c r="DE565" s="66"/>
      <c r="DF565" s="66"/>
      <c r="DG565" s="66"/>
      <c r="DH565" s="66"/>
      <c r="DI565" s="66"/>
      <c r="DJ565" s="66"/>
      <c r="DK565" s="70"/>
      <c r="DL565" s="70"/>
      <c r="DM565" s="8">
        <f t="shared" si="762"/>
        <v>0</v>
      </c>
      <c r="DN565" s="8">
        <f t="shared" si="763"/>
        <v>3239.2180000000003</v>
      </c>
      <c r="DO565" s="202">
        <f t="shared" si="737"/>
        <v>-3239.2180000000003</v>
      </c>
      <c r="DP565" s="202">
        <f t="shared" si="738"/>
        <v>-3239.2180000000003</v>
      </c>
      <c r="DQ565" s="202">
        <f t="shared" si="739"/>
        <v>-3239.2180000000003</v>
      </c>
      <c r="DR565" s="9">
        <f t="shared" si="740"/>
        <v>-3239.2180000000003</v>
      </c>
      <c r="DS565" s="9">
        <f t="shared" si="905"/>
        <v>-3239.2180000000003</v>
      </c>
      <c r="DT565" s="9">
        <f t="shared" si="741"/>
        <v>-3239.2180000000003</v>
      </c>
      <c r="DU565" s="202">
        <f t="shared" si="742"/>
        <v>-3239.2180000000003</v>
      </c>
      <c r="DV565" s="202">
        <f t="shared" si="743"/>
        <v>-3239.2180000000003</v>
      </c>
      <c r="DW565" s="202">
        <f t="shared" si="744"/>
        <v>-3239.2180000000003</v>
      </c>
      <c r="DX565" s="203" t="e">
        <f t="shared" si="745"/>
        <v>#DIV/0!</v>
      </c>
      <c r="DY565" s="203" t="e">
        <f t="shared" si="746"/>
        <v>#DIV/0!</v>
      </c>
      <c r="DZ565" s="203" t="e">
        <f t="shared" si="747"/>
        <v>#DIV/0!</v>
      </c>
      <c r="EA565" s="19" t="e">
        <f t="shared" si="748"/>
        <v>#DIV/0!</v>
      </c>
      <c r="EB565" s="19" t="e">
        <f t="shared" si="906"/>
        <v>#DIV/0!</v>
      </c>
      <c r="EC565" s="19" t="e">
        <f t="shared" si="749"/>
        <v>#DIV/0!</v>
      </c>
      <c r="ED565" s="203" t="e">
        <f t="shared" si="750"/>
        <v>#DIV/0!</v>
      </c>
      <c r="EE565" s="203" t="e">
        <f t="shared" si="751"/>
        <v>#DIV/0!</v>
      </c>
      <c r="EF565" s="203" t="e">
        <f t="shared" si="752"/>
        <v>#DIV/0!</v>
      </c>
      <c r="EH565" s="58">
        <f t="shared" si="798"/>
        <v>3239.2180000000003</v>
      </c>
      <c r="EI565" s="68" t="e">
        <f t="shared" si="799"/>
        <v>#DIV/0!</v>
      </c>
      <c r="EJ565" s="58">
        <f t="shared" si="800"/>
        <v>3239.2180000000003</v>
      </c>
      <c r="EK565" s="68" t="e">
        <f t="shared" si="799"/>
        <v>#DIV/0!</v>
      </c>
      <c r="EL565" s="58">
        <f t="shared" si="801"/>
        <v>0</v>
      </c>
      <c r="EM565" s="58">
        <f t="shared" si="802"/>
        <v>0</v>
      </c>
      <c r="EN565" s="68" t="e">
        <f t="shared" si="803"/>
        <v>#DIV/0!</v>
      </c>
      <c r="EO565" s="139">
        <f t="shared" si="854"/>
        <v>0.24029016665052916</v>
      </c>
      <c r="EP565">
        <f>+(SUM(M565:O565)*EO565*(1-'[1]Tier 3 Data'!$A$2))</f>
        <v>0</v>
      </c>
    </row>
    <row r="566" spans="1:146" x14ac:dyDescent="0.2">
      <c r="A566" s="43">
        <v>0</v>
      </c>
      <c r="B566" s="43">
        <v>0</v>
      </c>
      <c r="C566" s="43">
        <v>0</v>
      </c>
      <c r="D566" s="70">
        <v>2054</v>
      </c>
      <c r="E566" s="70">
        <v>7</v>
      </c>
      <c r="F566" s="2">
        <v>744</v>
      </c>
      <c r="G566" s="133">
        <f t="shared" si="838"/>
        <v>0</v>
      </c>
      <c r="H566" s="64"/>
      <c r="I566" s="133">
        <f t="shared" si="839"/>
        <v>0</v>
      </c>
      <c r="J566" s="133">
        <f t="shared" si="778"/>
        <v>0</v>
      </c>
      <c r="K566" s="64"/>
      <c r="L566" s="133">
        <f t="shared" si="779"/>
        <v>0</v>
      </c>
      <c r="M566" s="5"/>
      <c r="N566" s="5"/>
      <c r="O566" s="5"/>
      <c r="P566" s="200">
        <f t="shared" si="770"/>
        <v>0</v>
      </c>
      <c r="Q566" s="200">
        <f t="shared" si="771"/>
        <v>0</v>
      </c>
      <c r="R566" s="200">
        <f t="shared" si="772"/>
        <v>0</v>
      </c>
      <c r="S566" s="133">
        <f t="shared" si="840"/>
        <v>0</v>
      </c>
      <c r="T566" s="133">
        <f t="shared" si="841"/>
        <v>0</v>
      </c>
      <c r="U566" s="133">
        <f t="shared" si="842"/>
        <v>0</v>
      </c>
      <c r="V566" s="200">
        <f t="shared" si="773"/>
        <v>0</v>
      </c>
      <c r="W566" s="200">
        <f t="shared" si="774"/>
        <v>0</v>
      </c>
      <c r="X566" s="200">
        <f t="shared" si="775"/>
        <v>0</v>
      </c>
      <c r="Y566" s="58">
        <f t="shared" si="813"/>
        <v>0</v>
      </c>
      <c r="AA566" s="58">
        <f t="shared" si="814"/>
        <v>0</v>
      </c>
      <c r="AB566" s="200">
        <f t="shared" si="815"/>
        <v>0</v>
      </c>
      <c r="AC566" s="200">
        <f t="shared" si="816"/>
        <v>0</v>
      </c>
      <c r="AD566" s="200">
        <f t="shared" si="817"/>
        <v>0</v>
      </c>
      <c r="AE566" s="199">
        <f t="shared" si="921"/>
        <v>0</v>
      </c>
      <c r="AF566" s="199">
        <f t="shared" si="818"/>
        <v>0</v>
      </c>
      <c r="AG566" s="199">
        <f t="shared" si="922"/>
        <v>0</v>
      </c>
      <c r="AH566" s="199">
        <f t="shared" si="843"/>
        <v>0</v>
      </c>
      <c r="AI566" s="200">
        <f t="shared" si="819"/>
        <v>0</v>
      </c>
      <c r="AJ566" s="200">
        <f t="shared" si="820"/>
        <v>0</v>
      </c>
      <c r="AK566" s="200">
        <f t="shared" si="821"/>
        <v>0</v>
      </c>
      <c r="AL566" s="4"/>
      <c r="AM566" s="4"/>
      <c r="AN566" s="4"/>
      <c r="AO566" s="4"/>
      <c r="AP566" s="63"/>
      <c r="AQ566" s="18"/>
      <c r="AR566" s="18"/>
      <c r="AS566" s="18"/>
      <c r="AT566" s="18">
        <v>0</v>
      </c>
      <c r="AU566" s="133">
        <f t="shared" ref="AU566" si="933">+AU554</f>
        <v>118.521</v>
      </c>
      <c r="AV566" s="133">
        <f t="shared" ref="AV566" si="934">+AV554</f>
        <v>3084.53</v>
      </c>
      <c r="AW566" s="194"/>
      <c r="AX566" s="194"/>
      <c r="AY566" s="194"/>
      <c r="AZ566" s="194"/>
      <c r="BA566" s="194"/>
      <c r="BB566" s="194"/>
      <c r="BC566" s="65">
        <v>0</v>
      </c>
      <c r="BD566" s="65">
        <v>0</v>
      </c>
      <c r="BE566" s="65">
        <v>0</v>
      </c>
      <c r="BF566" s="65">
        <v>0</v>
      </c>
      <c r="BG566" s="65">
        <v>0</v>
      </c>
      <c r="BH566" s="65">
        <v>0</v>
      </c>
      <c r="BI566" s="65">
        <v>0</v>
      </c>
      <c r="BJ566" s="65">
        <v>0</v>
      </c>
      <c r="BK566" s="65">
        <v>0</v>
      </c>
      <c r="BL566" s="65">
        <v>0</v>
      </c>
      <c r="BM566" s="65">
        <v>0</v>
      </c>
      <c r="BN566" s="65">
        <v>0</v>
      </c>
      <c r="BO566" s="65">
        <v>0</v>
      </c>
      <c r="BP566" s="5"/>
      <c r="BQ566" s="5"/>
      <c r="BR566" s="5"/>
      <c r="BS566" s="5"/>
      <c r="BT566" s="5"/>
      <c r="BU566" s="5"/>
      <c r="BV566" s="144">
        <f t="shared" si="810"/>
        <v>0</v>
      </c>
      <c r="BW566" s="144">
        <f t="shared" si="811"/>
        <v>0</v>
      </c>
      <c r="BX566" s="144">
        <f t="shared" si="812"/>
        <v>0</v>
      </c>
      <c r="BY566" s="5"/>
      <c r="BZ566" s="5"/>
      <c r="CA566" s="4"/>
      <c r="CB566" s="5"/>
      <c r="CC566" s="5"/>
      <c r="CD566" s="5"/>
      <c r="CE566" s="5"/>
      <c r="CF566" s="64"/>
      <c r="CG566" s="70"/>
      <c r="CH566" s="70"/>
      <c r="CI566" s="70"/>
      <c r="CJ566" s="63"/>
      <c r="CK566" s="8">
        <f t="shared" si="761"/>
        <v>3203.0510000000004</v>
      </c>
      <c r="CL566" s="202">
        <f t="shared" si="885"/>
        <v>-3203.0510000000004</v>
      </c>
      <c r="CM566" s="202">
        <f t="shared" si="886"/>
        <v>-3203.0510000000004</v>
      </c>
      <c r="CN566" s="202">
        <f t="shared" si="887"/>
        <v>-3203.0510000000004</v>
      </c>
      <c r="CO566" s="9">
        <f t="shared" si="888"/>
        <v>-3203.0510000000004</v>
      </c>
      <c r="CP566" s="9">
        <f t="shared" si="889"/>
        <v>-3203.0510000000004</v>
      </c>
      <c r="CQ566" s="9">
        <f t="shared" si="890"/>
        <v>-3203.0510000000004</v>
      </c>
      <c r="CR566" s="202">
        <f t="shared" si="891"/>
        <v>-3203.0510000000004</v>
      </c>
      <c r="CS566" s="202">
        <f t="shared" si="892"/>
        <v>-3203.0510000000004</v>
      </c>
      <c r="CT566" s="202">
        <f t="shared" si="893"/>
        <v>-3203.0510000000004</v>
      </c>
      <c r="CU566" s="203" t="e">
        <f t="shared" si="894"/>
        <v>#DIV/0!</v>
      </c>
      <c r="CV566" s="203" t="e">
        <f t="shared" si="895"/>
        <v>#DIV/0!</v>
      </c>
      <c r="CW566" s="203" t="e">
        <f t="shared" si="896"/>
        <v>#DIV/0!</v>
      </c>
      <c r="CX566" s="19" t="e">
        <f t="shared" si="897"/>
        <v>#DIV/0!</v>
      </c>
      <c r="CY566" s="19" t="e">
        <f t="shared" si="898"/>
        <v>#DIV/0!</v>
      </c>
      <c r="CZ566" s="19" t="e">
        <f t="shared" si="899"/>
        <v>#DIV/0!</v>
      </c>
      <c r="DA566" s="203" t="e">
        <f t="shared" si="900"/>
        <v>#DIV/0!</v>
      </c>
      <c r="DB566" s="203" t="e">
        <f t="shared" si="901"/>
        <v>#DIV/0!</v>
      </c>
      <c r="DC566" s="203" t="e">
        <f t="shared" si="902"/>
        <v>#DIV/0!</v>
      </c>
      <c r="DD566" s="65"/>
      <c r="DE566" s="66"/>
      <c r="DF566" s="66"/>
      <c r="DG566" s="66"/>
      <c r="DH566" s="66"/>
      <c r="DI566" s="66"/>
      <c r="DJ566" s="66"/>
      <c r="DK566" s="70"/>
      <c r="DL566" s="70"/>
      <c r="DM566" s="8">
        <f t="shared" si="762"/>
        <v>0</v>
      </c>
      <c r="DN566" s="8">
        <f t="shared" si="763"/>
        <v>3203.0510000000004</v>
      </c>
      <c r="DO566" s="202">
        <f t="shared" si="737"/>
        <v>-3203.0510000000004</v>
      </c>
      <c r="DP566" s="202">
        <f t="shared" si="738"/>
        <v>-3203.0510000000004</v>
      </c>
      <c r="DQ566" s="202">
        <f t="shared" si="739"/>
        <v>-3203.0510000000004</v>
      </c>
      <c r="DR566" s="9">
        <f t="shared" si="740"/>
        <v>-3203.0510000000004</v>
      </c>
      <c r="DS566" s="9">
        <f t="shared" si="905"/>
        <v>-3203.0510000000004</v>
      </c>
      <c r="DT566" s="9">
        <f t="shared" si="741"/>
        <v>-3203.0510000000004</v>
      </c>
      <c r="DU566" s="202">
        <f t="shared" si="742"/>
        <v>-3203.0510000000004</v>
      </c>
      <c r="DV566" s="202">
        <f t="shared" si="743"/>
        <v>-3203.0510000000004</v>
      </c>
      <c r="DW566" s="202">
        <f t="shared" si="744"/>
        <v>-3203.0510000000004</v>
      </c>
      <c r="DX566" s="203" t="e">
        <f t="shared" si="745"/>
        <v>#DIV/0!</v>
      </c>
      <c r="DY566" s="203" t="e">
        <f t="shared" si="746"/>
        <v>#DIV/0!</v>
      </c>
      <c r="DZ566" s="203" t="e">
        <f t="shared" si="747"/>
        <v>#DIV/0!</v>
      </c>
      <c r="EA566" s="19" t="e">
        <f t="shared" si="748"/>
        <v>#DIV/0!</v>
      </c>
      <c r="EB566" s="19" t="e">
        <f t="shared" si="906"/>
        <v>#DIV/0!</v>
      </c>
      <c r="EC566" s="19" t="e">
        <f t="shared" si="749"/>
        <v>#DIV/0!</v>
      </c>
      <c r="ED566" s="203" t="e">
        <f t="shared" si="750"/>
        <v>#DIV/0!</v>
      </c>
      <c r="EE566" s="203" t="e">
        <f t="shared" si="751"/>
        <v>#DIV/0!</v>
      </c>
      <c r="EF566" s="203" t="e">
        <f t="shared" si="752"/>
        <v>#DIV/0!</v>
      </c>
      <c r="EH566" s="58">
        <f t="shared" si="798"/>
        <v>3203.0510000000004</v>
      </c>
      <c r="EI566" s="68" t="e">
        <f t="shared" si="799"/>
        <v>#DIV/0!</v>
      </c>
      <c r="EJ566" s="58">
        <f t="shared" si="800"/>
        <v>3203.0510000000004</v>
      </c>
      <c r="EK566" s="68" t="e">
        <f t="shared" si="799"/>
        <v>#DIV/0!</v>
      </c>
      <c r="EL566" s="58">
        <f t="shared" si="801"/>
        <v>0</v>
      </c>
      <c r="EM566" s="58">
        <f t="shared" si="802"/>
        <v>0</v>
      </c>
      <c r="EN566" s="68" t="e">
        <f t="shared" si="803"/>
        <v>#DIV/0!</v>
      </c>
      <c r="EO566" s="139">
        <f t="shared" si="854"/>
        <v>0.25197746931178833</v>
      </c>
      <c r="EP566">
        <f>+(SUM(M566:O566)*EO566*(1-'[1]Tier 3 Data'!$A$2))</f>
        <v>0</v>
      </c>
    </row>
    <row r="567" spans="1:146" x14ac:dyDescent="0.2">
      <c r="A567" s="43">
        <v>0</v>
      </c>
      <c r="B567" s="43">
        <v>0</v>
      </c>
      <c r="C567" s="43">
        <v>0</v>
      </c>
      <c r="D567" s="70">
        <v>2054</v>
      </c>
      <c r="E567" s="70">
        <v>8</v>
      </c>
      <c r="F567" s="2">
        <v>744</v>
      </c>
      <c r="G567" s="133">
        <f t="shared" si="838"/>
        <v>0</v>
      </c>
      <c r="H567" s="64"/>
      <c r="I567" s="133">
        <f t="shared" si="839"/>
        <v>0</v>
      </c>
      <c r="J567" s="133">
        <f t="shared" si="778"/>
        <v>0</v>
      </c>
      <c r="K567" s="64"/>
      <c r="L567" s="133">
        <f t="shared" si="779"/>
        <v>0</v>
      </c>
      <c r="M567" s="5"/>
      <c r="N567" s="5"/>
      <c r="O567" s="5"/>
      <c r="P567" s="200">
        <f t="shared" si="770"/>
        <v>0</v>
      </c>
      <c r="Q567" s="200">
        <f t="shared" si="771"/>
        <v>0</v>
      </c>
      <c r="R567" s="200">
        <f t="shared" si="772"/>
        <v>0</v>
      </c>
      <c r="S567" s="133">
        <f t="shared" si="840"/>
        <v>0</v>
      </c>
      <c r="T567" s="133">
        <f t="shared" si="841"/>
        <v>0</v>
      </c>
      <c r="U567" s="133">
        <f t="shared" si="842"/>
        <v>0</v>
      </c>
      <c r="V567" s="200">
        <f t="shared" si="773"/>
        <v>0</v>
      </c>
      <c r="W567" s="200">
        <f t="shared" si="774"/>
        <v>0</v>
      </c>
      <c r="X567" s="200">
        <f t="shared" si="775"/>
        <v>0</v>
      </c>
      <c r="Y567" s="58">
        <f t="shared" si="813"/>
        <v>0</v>
      </c>
      <c r="AA567" s="58">
        <f t="shared" si="814"/>
        <v>0</v>
      </c>
      <c r="AB567" s="200">
        <f t="shared" si="815"/>
        <v>0</v>
      </c>
      <c r="AC567" s="200">
        <f t="shared" si="816"/>
        <v>0</v>
      </c>
      <c r="AD567" s="200">
        <f t="shared" si="817"/>
        <v>0</v>
      </c>
      <c r="AE567" s="199">
        <f t="shared" si="921"/>
        <v>0</v>
      </c>
      <c r="AF567" s="199">
        <f t="shared" si="818"/>
        <v>0</v>
      </c>
      <c r="AG567" s="199">
        <f t="shared" si="922"/>
        <v>0</v>
      </c>
      <c r="AH567" s="199">
        <f t="shared" si="843"/>
        <v>0</v>
      </c>
      <c r="AI567" s="200">
        <f t="shared" si="819"/>
        <v>0</v>
      </c>
      <c r="AJ567" s="200">
        <f t="shared" si="820"/>
        <v>0</v>
      </c>
      <c r="AK567" s="200">
        <f t="shared" si="821"/>
        <v>0</v>
      </c>
      <c r="AL567" s="4"/>
      <c r="AM567" s="4"/>
      <c r="AN567" s="4"/>
      <c r="AO567" s="4"/>
      <c r="AP567" s="63"/>
      <c r="AQ567" s="18"/>
      <c r="AR567" s="18"/>
      <c r="AS567" s="18"/>
      <c r="AT567" s="18">
        <v>0</v>
      </c>
      <c r="AU567" s="133">
        <f t="shared" ref="AU567" si="935">+AU555</f>
        <v>107.64</v>
      </c>
      <c r="AV567" s="133">
        <f t="shared" ref="AV567" si="936">+AV555</f>
        <v>3021.9279999999999</v>
      </c>
      <c r="AW567" s="194"/>
      <c r="AX567" s="194"/>
      <c r="AY567" s="194"/>
      <c r="AZ567" s="194"/>
      <c r="BA567" s="194"/>
      <c r="BB567" s="194"/>
      <c r="BC567" s="65">
        <v>0</v>
      </c>
      <c r="BD567" s="65">
        <v>0</v>
      </c>
      <c r="BE567" s="65">
        <v>0</v>
      </c>
      <c r="BF567" s="65">
        <v>0</v>
      </c>
      <c r="BG567" s="65">
        <v>0</v>
      </c>
      <c r="BH567" s="65">
        <v>0</v>
      </c>
      <c r="BI567" s="65">
        <v>0</v>
      </c>
      <c r="BJ567" s="65">
        <v>0</v>
      </c>
      <c r="BK567" s="65">
        <v>0</v>
      </c>
      <c r="BL567" s="65">
        <v>0</v>
      </c>
      <c r="BM567" s="65">
        <v>0</v>
      </c>
      <c r="BN567" s="65">
        <v>0</v>
      </c>
      <c r="BO567" s="65">
        <v>0</v>
      </c>
      <c r="BP567" s="5"/>
      <c r="BQ567" s="5"/>
      <c r="BR567" s="5"/>
      <c r="BS567" s="5"/>
      <c r="BT567" s="5"/>
      <c r="BU567" s="5"/>
      <c r="BV567" s="144">
        <f t="shared" si="810"/>
        <v>0</v>
      </c>
      <c r="BW567" s="144">
        <f t="shared" si="811"/>
        <v>0</v>
      </c>
      <c r="BX567" s="144">
        <f t="shared" si="812"/>
        <v>0</v>
      </c>
      <c r="BY567" s="5"/>
      <c r="BZ567" s="5"/>
      <c r="CA567" s="4"/>
      <c r="CB567" s="5"/>
      <c r="CC567" s="5"/>
      <c r="CD567" s="5"/>
      <c r="CE567" s="5"/>
      <c r="CF567" s="64"/>
      <c r="CG567" s="70"/>
      <c r="CH567" s="70"/>
      <c r="CI567" s="70"/>
      <c r="CJ567" s="63"/>
      <c r="CK567" s="8">
        <f t="shared" si="761"/>
        <v>3129.5679999999998</v>
      </c>
      <c r="CL567" s="202">
        <f t="shared" si="885"/>
        <v>-3129.5679999999998</v>
      </c>
      <c r="CM567" s="202">
        <f t="shared" si="886"/>
        <v>-3129.5679999999998</v>
      </c>
      <c r="CN567" s="202">
        <f t="shared" si="887"/>
        <v>-3129.5679999999998</v>
      </c>
      <c r="CO567" s="9">
        <f t="shared" si="888"/>
        <v>-3129.5679999999998</v>
      </c>
      <c r="CP567" s="9">
        <f t="shared" si="889"/>
        <v>-3129.5679999999998</v>
      </c>
      <c r="CQ567" s="9">
        <f t="shared" si="890"/>
        <v>-3129.5679999999998</v>
      </c>
      <c r="CR567" s="202">
        <f t="shared" si="891"/>
        <v>-3129.5679999999998</v>
      </c>
      <c r="CS567" s="202">
        <f t="shared" si="892"/>
        <v>-3129.5679999999998</v>
      </c>
      <c r="CT567" s="202">
        <f t="shared" si="893"/>
        <v>-3129.5679999999998</v>
      </c>
      <c r="CU567" s="203" t="e">
        <f t="shared" si="894"/>
        <v>#DIV/0!</v>
      </c>
      <c r="CV567" s="203" t="e">
        <f t="shared" si="895"/>
        <v>#DIV/0!</v>
      </c>
      <c r="CW567" s="203" t="e">
        <f t="shared" si="896"/>
        <v>#DIV/0!</v>
      </c>
      <c r="CX567" s="19" t="e">
        <f t="shared" si="897"/>
        <v>#DIV/0!</v>
      </c>
      <c r="CY567" s="19" t="e">
        <f t="shared" si="898"/>
        <v>#DIV/0!</v>
      </c>
      <c r="CZ567" s="19" t="e">
        <f t="shared" si="899"/>
        <v>#DIV/0!</v>
      </c>
      <c r="DA567" s="203" t="e">
        <f t="shared" si="900"/>
        <v>#DIV/0!</v>
      </c>
      <c r="DB567" s="203" t="e">
        <f t="shared" si="901"/>
        <v>#DIV/0!</v>
      </c>
      <c r="DC567" s="203" t="e">
        <f t="shared" si="902"/>
        <v>#DIV/0!</v>
      </c>
      <c r="DD567" s="65"/>
      <c r="DE567" s="66"/>
      <c r="DF567" s="66"/>
      <c r="DG567" s="66"/>
      <c r="DH567" s="66"/>
      <c r="DI567" s="66"/>
      <c r="DJ567" s="66"/>
      <c r="DK567" s="70"/>
      <c r="DL567" s="70"/>
      <c r="DM567" s="8">
        <f t="shared" si="762"/>
        <v>0</v>
      </c>
      <c r="DN567" s="8">
        <f t="shared" si="763"/>
        <v>3129.5679999999998</v>
      </c>
      <c r="DO567" s="202">
        <f t="shared" si="737"/>
        <v>-3129.5679999999998</v>
      </c>
      <c r="DP567" s="202">
        <f t="shared" si="738"/>
        <v>-3129.5679999999998</v>
      </c>
      <c r="DQ567" s="202">
        <f t="shared" si="739"/>
        <v>-3129.5679999999998</v>
      </c>
      <c r="DR567" s="9">
        <f t="shared" si="740"/>
        <v>-3129.5679999999998</v>
      </c>
      <c r="DS567" s="9">
        <f t="shared" si="905"/>
        <v>-3129.5679999999998</v>
      </c>
      <c r="DT567" s="9">
        <f t="shared" si="741"/>
        <v>-3129.5679999999998</v>
      </c>
      <c r="DU567" s="202">
        <f t="shared" si="742"/>
        <v>-3129.5679999999998</v>
      </c>
      <c r="DV567" s="202">
        <f t="shared" si="743"/>
        <v>-3129.5679999999998</v>
      </c>
      <c r="DW567" s="202">
        <f t="shared" si="744"/>
        <v>-3129.5679999999998</v>
      </c>
      <c r="DX567" s="203" t="e">
        <f t="shared" si="745"/>
        <v>#DIV/0!</v>
      </c>
      <c r="DY567" s="203" t="e">
        <f t="shared" si="746"/>
        <v>#DIV/0!</v>
      </c>
      <c r="DZ567" s="203" t="e">
        <f t="shared" si="747"/>
        <v>#DIV/0!</v>
      </c>
      <c r="EA567" s="19" t="e">
        <f t="shared" si="748"/>
        <v>#DIV/0!</v>
      </c>
      <c r="EB567" s="19" t="e">
        <f t="shared" si="906"/>
        <v>#DIV/0!</v>
      </c>
      <c r="EC567" s="19" t="e">
        <f t="shared" si="749"/>
        <v>#DIV/0!</v>
      </c>
      <c r="ED567" s="203" t="e">
        <f t="shared" si="750"/>
        <v>#DIV/0!</v>
      </c>
      <c r="EE567" s="203" t="e">
        <f t="shared" si="751"/>
        <v>#DIV/0!</v>
      </c>
      <c r="EF567" s="203" t="e">
        <f t="shared" si="752"/>
        <v>#DIV/0!</v>
      </c>
      <c r="EH567" s="58">
        <f t="shared" si="798"/>
        <v>3129.5679999999998</v>
      </c>
      <c r="EI567" s="68" t="e">
        <f t="shared" si="799"/>
        <v>#DIV/0!</v>
      </c>
      <c r="EJ567" s="58">
        <f t="shared" si="800"/>
        <v>3129.5679999999998</v>
      </c>
      <c r="EK567" s="68" t="e">
        <f t="shared" si="799"/>
        <v>#DIV/0!</v>
      </c>
      <c r="EL567" s="58">
        <f t="shared" si="801"/>
        <v>0</v>
      </c>
      <c r="EM567" s="58">
        <f t="shared" si="802"/>
        <v>0</v>
      </c>
      <c r="EN567" s="68" t="e">
        <f t="shared" si="803"/>
        <v>#DIV/0!</v>
      </c>
      <c r="EO567" s="139">
        <f t="shared" si="854"/>
        <v>0.28519905910129462</v>
      </c>
      <c r="EP567">
        <f>+(SUM(M567:O567)*EO567*(1-'[1]Tier 3 Data'!$A$2))</f>
        <v>0</v>
      </c>
    </row>
    <row r="568" spans="1:146" x14ac:dyDescent="0.2">
      <c r="A568" s="43">
        <v>0</v>
      </c>
      <c r="B568" s="43">
        <v>0</v>
      </c>
      <c r="C568" s="43">
        <v>0</v>
      </c>
      <c r="D568" s="70">
        <v>2054</v>
      </c>
      <c r="E568" s="70">
        <v>9</v>
      </c>
      <c r="F568" s="2">
        <v>720</v>
      </c>
      <c r="G568" s="133">
        <f t="shared" si="838"/>
        <v>0</v>
      </c>
      <c r="H568" s="64"/>
      <c r="I568" s="133">
        <f t="shared" si="839"/>
        <v>0</v>
      </c>
      <c r="J568" s="133">
        <f t="shared" si="778"/>
        <v>0</v>
      </c>
      <c r="K568" s="64"/>
      <c r="L568" s="133">
        <f t="shared" si="779"/>
        <v>0</v>
      </c>
      <c r="M568" s="5"/>
      <c r="N568" s="5"/>
      <c r="O568" s="5"/>
      <c r="P568" s="200">
        <f t="shared" si="770"/>
        <v>0</v>
      </c>
      <c r="Q568" s="200">
        <f t="shared" si="771"/>
        <v>0</v>
      </c>
      <c r="R568" s="200">
        <f t="shared" si="772"/>
        <v>0</v>
      </c>
      <c r="S568" s="133">
        <f t="shared" si="840"/>
        <v>0</v>
      </c>
      <c r="T568" s="133">
        <f t="shared" si="841"/>
        <v>0</v>
      </c>
      <c r="U568" s="133">
        <f t="shared" si="842"/>
        <v>0</v>
      </c>
      <c r="V568" s="200">
        <f t="shared" si="773"/>
        <v>0</v>
      </c>
      <c r="W568" s="200">
        <f t="shared" si="774"/>
        <v>0</v>
      </c>
      <c r="X568" s="200">
        <f t="shared" si="775"/>
        <v>0</v>
      </c>
      <c r="Y568" s="58">
        <f t="shared" si="813"/>
        <v>0</v>
      </c>
      <c r="AA568" s="58">
        <f t="shared" si="814"/>
        <v>0</v>
      </c>
      <c r="AB568" s="200">
        <f t="shared" si="815"/>
        <v>0</v>
      </c>
      <c r="AC568" s="200">
        <f t="shared" si="816"/>
        <v>0</v>
      </c>
      <c r="AD568" s="200">
        <f t="shared" si="817"/>
        <v>0</v>
      </c>
      <c r="AE568" s="199">
        <f t="shared" si="921"/>
        <v>0</v>
      </c>
      <c r="AF568" s="199">
        <f t="shared" si="818"/>
        <v>0</v>
      </c>
      <c r="AG568" s="199">
        <f t="shared" si="922"/>
        <v>0</v>
      </c>
      <c r="AH568" s="199">
        <f t="shared" si="843"/>
        <v>0</v>
      </c>
      <c r="AI568" s="200">
        <f t="shared" si="819"/>
        <v>0</v>
      </c>
      <c r="AJ568" s="200">
        <f t="shared" si="820"/>
        <v>0</v>
      </c>
      <c r="AK568" s="200">
        <f t="shared" si="821"/>
        <v>0</v>
      </c>
      <c r="AL568" s="4"/>
      <c r="AM568" s="4"/>
      <c r="AN568" s="4"/>
      <c r="AO568" s="4"/>
      <c r="AP568" s="63"/>
      <c r="AQ568" s="18"/>
      <c r="AR568" s="18"/>
      <c r="AS568" s="18"/>
      <c r="AT568" s="18">
        <v>0</v>
      </c>
      <c r="AU568" s="133">
        <f t="shared" ref="AU568" si="937">+AU556</f>
        <v>102.375</v>
      </c>
      <c r="AV568" s="133">
        <f t="shared" ref="AV568" si="938">+AV556</f>
        <v>2969.6280000000002</v>
      </c>
      <c r="AW568" s="194"/>
      <c r="AX568" s="194"/>
      <c r="AY568" s="194"/>
      <c r="AZ568" s="194"/>
      <c r="BA568" s="194"/>
      <c r="BB568" s="194"/>
      <c r="BC568" s="65">
        <v>0</v>
      </c>
      <c r="BD568" s="65">
        <v>0</v>
      </c>
      <c r="BE568" s="65">
        <v>0</v>
      </c>
      <c r="BF568" s="65">
        <v>0</v>
      </c>
      <c r="BG568" s="65">
        <v>0</v>
      </c>
      <c r="BH568" s="65">
        <v>0</v>
      </c>
      <c r="BI568" s="65">
        <v>0</v>
      </c>
      <c r="BJ568" s="65">
        <v>0</v>
      </c>
      <c r="BK568" s="65">
        <v>0</v>
      </c>
      <c r="BL568" s="65">
        <v>0</v>
      </c>
      <c r="BM568" s="65">
        <v>0</v>
      </c>
      <c r="BN568" s="65">
        <v>0</v>
      </c>
      <c r="BO568" s="65">
        <v>0</v>
      </c>
      <c r="BP568" s="5"/>
      <c r="BQ568" s="5"/>
      <c r="BR568" s="5"/>
      <c r="BS568" s="5"/>
      <c r="BT568" s="5"/>
      <c r="BU568" s="5"/>
      <c r="BV568" s="144">
        <f t="shared" si="810"/>
        <v>0</v>
      </c>
      <c r="BW568" s="144">
        <f t="shared" si="811"/>
        <v>0</v>
      </c>
      <c r="BX568" s="144">
        <f t="shared" si="812"/>
        <v>0</v>
      </c>
      <c r="BY568" s="5"/>
      <c r="BZ568" s="5"/>
      <c r="CA568" s="4"/>
      <c r="CB568" s="5"/>
      <c r="CC568" s="5"/>
      <c r="CD568" s="5"/>
      <c r="CE568" s="5"/>
      <c r="CF568" s="64"/>
      <c r="CG568" s="70"/>
      <c r="CH568" s="70"/>
      <c r="CI568" s="70"/>
      <c r="CJ568" s="63"/>
      <c r="CK568" s="8">
        <f t="shared" si="761"/>
        <v>3072.0030000000002</v>
      </c>
      <c r="CL568" s="202">
        <f t="shared" si="885"/>
        <v>-3072.0030000000002</v>
      </c>
      <c r="CM568" s="202">
        <f t="shared" si="886"/>
        <v>-3072.0030000000002</v>
      </c>
      <c r="CN568" s="202">
        <f t="shared" si="887"/>
        <v>-3072.0030000000002</v>
      </c>
      <c r="CO568" s="9">
        <f t="shared" si="888"/>
        <v>-3072.0030000000002</v>
      </c>
      <c r="CP568" s="9">
        <f t="shared" si="889"/>
        <v>-3072.0030000000002</v>
      </c>
      <c r="CQ568" s="9">
        <f t="shared" si="890"/>
        <v>-3072.0030000000002</v>
      </c>
      <c r="CR568" s="202">
        <f t="shared" si="891"/>
        <v>-3072.0030000000002</v>
      </c>
      <c r="CS568" s="202">
        <f t="shared" si="892"/>
        <v>-3072.0030000000002</v>
      </c>
      <c r="CT568" s="202">
        <f t="shared" si="893"/>
        <v>-3072.0030000000002</v>
      </c>
      <c r="CU568" s="203" t="e">
        <f t="shared" si="894"/>
        <v>#DIV/0!</v>
      </c>
      <c r="CV568" s="203" t="e">
        <f t="shared" si="895"/>
        <v>#DIV/0!</v>
      </c>
      <c r="CW568" s="203" t="e">
        <f t="shared" si="896"/>
        <v>#DIV/0!</v>
      </c>
      <c r="CX568" s="19" t="e">
        <f t="shared" si="897"/>
        <v>#DIV/0!</v>
      </c>
      <c r="CY568" s="19" t="e">
        <f t="shared" si="898"/>
        <v>#DIV/0!</v>
      </c>
      <c r="CZ568" s="19" t="e">
        <f t="shared" si="899"/>
        <v>#DIV/0!</v>
      </c>
      <c r="DA568" s="203" t="e">
        <f t="shared" si="900"/>
        <v>#DIV/0!</v>
      </c>
      <c r="DB568" s="203" t="e">
        <f t="shared" si="901"/>
        <v>#DIV/0!</v>
      </c>
      <c r="DC568" s="203" t="e">
        <f t="shared" si="902"/>
        <v>#DIV/0!</v>
      </c>
      <c r="DD568" s="65"/>
      <c r="DE568" s="66"/>
      <c r="DF568" s="66"/>
      <c r="DG568" s="66"/>
      <c r="DH568" s="66"/>
      <c r="DI568" s="66"/>
      <c r="DJ568" s="66"/>
      <c r="DK568" s="70"/>
      <c r="DL568" s="70"/>
      <c r="DM568" s="8">
        <f t="shared" si="762"/>
        <v>0</v>
      </c>
      <c r="DN568" s="8">
        <f t="shared" si="763"/>
        <v>3072.0030000000002</v>
      </c>
      <c r="DO568" s="202">
        <f t="shared" ref="DO568:DO595" si="939">+AB568-$DN568</f>
        <v>-3072.0030000000002</v>
      </c>
      <c r="DP568" s="202">
        <f t="shared" ref="DP568:DP595" si="940">+AC568-$DN568</f>
        <v>-3072.0030000000002</v>
      </c>
      <c r="DQ568" s="202">
        <f t="shared" ref="DQ568:DQ595" si="941">+AD568-$DN568</f>
        <v>-3072.0030000000002</v>
      </c>
      <c r="DR568" s="9">
        <f t="shared" ref="DR568:DR595" si="942">+AE568-$DN568</f>
        <v>-3072.0030000000002</v>
      </c>
      <c r="DS568" s="9">
        <f t="shared" si="905"/>
        <v>-3072.0030000000002</v>
      </c>
      <c r="DT568" s="9">
        <f t="shared" ref="DT568:DT595" si="943">+AG568-$DN568</f>
        <v>-3072.0030000000002</v>
      </c>
      <c r="DU568" s="202">
        <f t="shared" ref="DU568:DU595" si="944">+AI568-$DN568</f>
        <v>-3072.0030000000002</v>
      </c>
      <c r="DV568" s="202">
        <f t="shared" ref="DV568:DV595" si="945">+AJ568-$DN568</f>
        <v>-3072.0030000000002</v>
      </c>
      <c r="DW568" s="202">
        <f t="shared" ref="DW568:DW595" si="946">+AK568-$DN568</f>
        <v>-3072.0030000000002</v>
      </c>
      <c r="DX568" s="203" t="e">
        <f t="shared" ref="DX568:DX595" si="947">+DO568/AB568</f>
        <v>#DIV/0!</v>
      </c>
      <c r="DY568" s="203" t="e">
        <f t="shared" ref="DY568:DY595" si="948">+DP568/AC568</f>
        <v>#DIV/0!</v>
      </c>
      <c r="DZ568" s="203" t="e">
        <f t="shared" ref="DZ568:DZ595" si="949">+DQ568/AD568</f>
        <v>#DIV/0!</v>
      </c>
      <c r="EA568" s="19" t="e">
        <f t="shared" ref="EA568:EA595" si="950">+DR568/AE568</f>
        <v>#DIV/0!</v>
      </c>
      <c r="EB568" s="19" t="e">
        <f t="shared" si="906"/>
        <v>#DIV/0!</v>
      </c>
      <c r="EC568" s="19" t="e">
        <f t="shared" ref="EC568:EC595" si="951">+DT568/AG568</f>
        <v>#DIV/0!</v>
      </c>
      <c r="ED568" s="203" t="e">
        <f t="shared" ref="ED568:ED595" si="952">+DU568/AI568</f>
        <v>#DIV/0!</v>
      </c>
      <c r="EE568" s="203" t="e">
        <f t="shared" ref="EE568:EE595" si="953">+DV568/AJ568</f>
        <v>#DIV/0!</v>
      </c>
      <c r="EF568" s="203" t="e">
        <f t="shared" ref="EF568:EF595" si="954">+DW568/AK568</f>
        <v>#DIV/0!</v>
      </c>
      <c r="EH568" s="58">
        <f t="shared" si="798"/>
        <v>3072.0030000000002</v>
      </c>
      <c r="EI568" s="68" t="e">
        <f t="shared" si="799"/>
        <v>#DIV/0!</v>
      </c>
      <c r="EJ568" s="58">
        <f t="shared" si="800"/>
        <v>3072.0030000000002</v>
      </c>
      <c r="EK568" s="68" t="e">
        <f t="shared" si="799"/>
        <v>#DIV/0!</v>
      </c>
      <c r="EL568" s="58">
        <f t="shared" si="801"/>
        <v>0</v>
      </c>
      <c r="EM568" s="58">
        <f t="shared" si="802"/>
        <v>0</v>
      </c>
      <c r="EN568" s="68" t="e">
        <f t="shared" si="803"/>
        <v>#DIV/0!</v>
      </c>
      <c r="EO568" s="139">
        <f t="shared" si="854"/>
        <v>0.31860645638858931</v>
      </c>
      <c r="EP568">
        <f>+(SUM(M568:O568)*EO568*(1-'[1]Tier 3 Data'!$A$2))</f>
        <v>0</v>
      </c>
    </row>
    <row r="569" spans="1:146" x14ac:dyDescent="0.2">
      <c r="A569" s="43">
        <v>0</v>
      </c>
      <c r="B569" s="43">
        <v>0</v>
      </c>
      <c r="C569" s="43">
        <v>0</v>
      </c>
      <c r="D569" s="70">
        <v>2054</v>
      </c>
      <c r="E569" s="70">
        <v>10</v>
      </c>
      <c r="F569" s="2">
        <v>744</v>
      </c>
      <c r="G569" s="133">
        <f t="shared" si="838"/>
        <v>0</v>
      </c>
      <c r="H569" s="64"/>
      <c r="I569" s="133">
        <f t="shared" si="839"/>
        <v>0</v>
      </c>
      <c r="J569" s="133">
        <f t="shared" si="778"/>
        <v>0</v>
      </c>
      <c r="K569" s="64"/>
      <c r="L569" s="133">
        <f t="shared" si="779"/>
        <v>0</v>
      </c>
      <c r="M569" s="5"/>
      <c r="N569" s="5"/>
      <c r="O569" s="5"/>
      <c r="P569" s="200">
        <f t="shared" si="770"/>
        <v>0</v>
      </c>
      <c r="Q569" s="200">
        <f t="shared" si="771"/>
        <v>0</v>
      </c>
      <c r="R569" s="200">
        <f t="shared" si="772"/>
        <v>0</v>
      </c>
      <c r="S569" s="133">
        <f t="shared" si="840"/>
        <v>0</v>
      </c>
      <c r="T569" s="133">
        <f t="shared" si="841"/>
        <v>0</v>
      </c>
      <c r="U569" s="133">
        <f t="shared" si="842"/>
        <v>0</v>
      </c>
      <c r="V569" s="200">
        <f t="shared" si="773"/>
        <v>0</v>
      </c>
      <c r="W569" s="200">
        <f t="shared" si="774"/>
        <v>0</v>
      </c>
      <c r="X569" s="200">
        <f t="shared" si="775"/>
        <v>0</v>
      </c>
      <c r="Y569" s="58">
        <f t="shared" si="813"/>
        <v>0</v>
      </c>
      <c r="AA569" s="58">
        <f t="shared" si="814"/>
        <v>0</v>
      </c>
      <c r="AB569" s="200">
        <f t="shared" si="815"/>
        <v>0</v>
      </c>
      <c r="AC569" s="200">
        <f t="shared" si="816"/>
        <v>0</v>
      </c>
      <c r="AD569" s="200">
        <f t="shared" si="817"/>
        <v>0</v>
      </c>
      <c r="AE569" s="199">
        <f t="shared" si="921"/>
        <v>0</v>
      </c>
      <c r="AF569" s="199">
        <f t="shared" si="818"/>
        <v>0</v>
      </c>
      <c r="AG569" s="199">
        <f t="shared" si="922"/>
        <v>0</v>
      </c>
      <c r="AH569" s="199">
        <f t="shared" si="843"/>
        <v>0</v>
      </c>
      <c r="AI569" s="200">
        <f t="shared" si="819"/>
        <v>0</v>
      </c>
      <c r="AJ569" s="200">
        <f t="shared" si="820"/>
        <v>0</v>
      </c>
      <c r="AK569" s="200">
        <f t="shared" si="821"/>
        <v>0</v>
      </c>
      <c r="AL569" s="4"/>
      <c r="AM569" s="4"/>
      <c r="AN569" s="4"/>
      <c r="AO569" s="4"/>
      <c r="AP569" s="63"/>
      <c r="AQ569" s="18"/>
      <c r="AR569" s="18"/>
      <c r="AS569" s="18"/>
      <c r="AT569" s="18">
        <v>0</v>
      </c>
      <c r="AU569" s="133">
        <f t="shared" ref="AU569" si="955">+AU557</f>
        <v>118.17</v>
      </c>
      <c r="AV569" s="133">
        <f t="shared" ref="AV569" si="956">+AV557</f>
        <v>3225.1860000000001</v>
      </c>
      <c r="AW569" s="194"/>
      <c r="AX569" s="194"/>
      <c r="AY569" s="194"/>
      <c r="AZ569" s="194"/>
      <c r="BA569" s="194"/>
      <c r="BB569" s="194"/>
      <c r="BC569" s="65">
        <v>0</v>
      </c>
      <c r="BD569" s="65">
        <v>0</v>
      </c>
      <c r="BE569" s="65">
        <v>0</v>
      </c>
      <c r="BF569" s="65">
        <v>0</v>
      </c>
      <c r="BG569" s="65">
        <v>0</v>
      </c>
      <c r="BH569" s="65">
        <v>0</v>
      </c>
      <c r="BI569" s="65">
        <v>0</v>
      </c>
      <c r="BJ569" s="65">
        <v>0</v>
      </c>
      <c r="BK569" s="65">
        <v>0</v>
      </c>
      <c r="BL569" s="65">
        <v>0</v>
      </c>
      <c r="BM569" s="65">
        <v>0</v>
      </c>
      <c r="BN569" s="65">
        <v>0</v>
      </c>
      <c r="BO569" s="65">
        <v>0</v>
      </c>
      <c r="BP569" s="5"/>
      <c r="BQ569" s="5"/>
      <c r="BR569" s="5"/>
      <c r="BS569" s="5"/>
      <c r="BT569" s="5"/>
      <c r="BU569" s="5"/>
      <c r="BV569" s="144">
        <f t="shared" si="810"/>
        <v>0</v>
      </c>
      <c r="BW569" s="144">
        <f t="shared" si="811"/>
        <v>0</v>
      </c>
      <c r="BX569" s="144">
        <f t="shared" si="812"/>
        <v>0</v>
      </c>
      <c r="BY569" s="5"/>
      <c r="BZ569" s="5"/>
      <c r="CA569" s="4"/>
      <c r="CB569" s="5"/>
      <c r="CC569" s="5"/>
      <c r="CD569" s="5"/>
      <c r="CE569" s="5"/>
      <c r="CF569" s="64"/>
      <c r="CG569" s="70"/>
      <c r="CH569" s="70"/>
      <c r="CI569" s="70"/>
      <c r="CJ569" s="63"/>
      <c r="CK569" s="8">
        <f t="shared" si="761"/>
        <v>3343.3560000000002</v>
      </c>
      <c r="CL569" s="202">
        <f t="shared" si="885"/>
        <v>-3343.3560000000002</v>
      </c>
      <c r="CM569" s="202">
        <f t="shared" si="886"/>
        <v>-3343.3560000000002</v>
      </c>
      <c r="CN569" s="202">
        <f t="shared" si="887"/>
        <v>-3343.3560000000002</v>
      </c>
      <c r="CO569" s="9">
        <f t="shared" si="888"/>
        <v>-3343.3560000000002</v>
      </c>
      <c r="CP569" s="9">
        <f t="shared" si="889"/>
        <v>-3343.3560000000002</v>
      </c>
      <c r="CQ569" s="9">
        <f t="shared" si="890"/>
        <v>-3343.3560000000002</v>
      </c>
      <c r="CR569" s="202">
        <f t="shared" si="891"/>
        <v>-3343.3560000000002</v>
      </c>
      <c r="CS569" s="202">
        <f t="shared" si="892"/>
        <v>-3343.3560000000002</v>
      </c>
      <c r="CT569" s="202">
        <f t="shared" si="893"/>
        <v>-3343.3560000000002</v>
      </c>
      <c r="CU569" s="203" t="e">
        <f t="shared" si="894"/>
        <v>#DIV/0!</v>
      </c>
      <c r="CV569" s="203" t="e">
        <f t="shared" si="895"/>
        <v>#DIV/0!</v>
      </c>
      <c r="CW569" s="203" t="e">
        <f t="shared" si="896"/>
        <v>#DIV/0!</v>
      </c>
      <c r="CX569" s="19" t="e">
        <f t="shared" si="897"/>
        <v>#DIV/0!</v>
      </c>
      <c r="CY569" s="19" t="e">
        <f t="shared" si="898"/>
        <v>#DIV/0!</v>
      </c>
      <c r="CZ569" s="19" t="e">
        <f t="shared" si="899"/>
        <v>#DIV/0!</v>
      </c>
      <c r="DA569" s="203" t="e">
        <f t="shared" si="900"/>
        <v>#DIV/0!</v>
      </c>
      <c r="DB569" s="203" t="e">
        <f t="shared" si="901"/>
        <v>#DIV/0!</v>
      </c>
      <c r="DC569" s="203" t="e">
        <f t="shared" si="902"/>
        <v>#DIV/0!</v>
      </c>
      <c r="DD569" s="65"/>
      <c r="DE569" s="66"/>
      <c r="DF569" s="66"/>
      <c r="DG569" s="66"/>
      <c r="DH569" s="66"/>
      <c r="DI569" s="66"/>
      <c r="DJ569" s="66"/>
      <c r="DK569" s="70"/>
      <c r="DL569" s="70"/>
      <c r="DM569" s="8">
        <f t="shared" si="762"/>
        <v>0</v>
      </c>
      <c r="DN569" s="8">
        <f t="shared" si="763"/>
        <v>3343.3560000000002</v>
      </c>
      <c r="DO569" s="202">
        <f t="shared" si="939"/>
        <v>-3343.3560000000002</v>
      </c>
      <c r="DP569" s="202">
        <f t="shared" si="940"/>
        <v>-3343.3560000000002</v>
      </c>
      <c r="DQ569" s="202">
        <f t="shared" si="941"/>
        <v>-3343.3560000000002</v>
      </c>
      <c r="DR569" s="9">
        <f t="shared" si="942"/>
        <v>-3343.3560000000002</v>
      </c>
      <c r="DS569" s="9">
        <f t="shared" si="905"/>
        <v>-3343.3560000000002</v>
      </c>
      <c r="DT569" s="9">
        <f t="shared" si="943"/>
        <v>-3343.3560000000002</v>
      </c>
      <c r="DU569" s="202">
        <f t="shared" si="944"/>
        <v>-3343.3560000000002</v>
      </c>
      <c r="DV569" s="202">
        <f t="shared" si="945"/>
        <v>-3343.3560000000002</v>
      </c>
      <c r="DW569" s="202">
        <f t="shared" si="946"/>
        <v>-3343.3560000000002</v>
      </c>
      <c r="DX569" s="203" t="e">
        <f t="shared" si="947"/>
        <v>#DIV/0!</v>
      </c>
      <c r="DY569" s="203" t="e">
        <f t="shared" si="948"/>
        <v>#DIV/0!</v>
      </c>
      <c r="DZ569" s="203" t="e">
        <f t="shared" si="949"/>
        <v>#DIV/0!</v>
      </c>
      <c r="EA569" s="19" t="e">
        <f t="shared" si="950"/>
        <v>#DIV/0!</v>
      </c>
      <c r="EB569" s="19" t="e">
        <f t="shared" si="906"/>
        <v>#DIV/0!</v>
      </c>
      <c r="EC569" s="19" t="e">
        <f t="shared" si="951"/>
        <v>#DIV/0!</v>
      </c>
      <c r="ED569" s="203" t="e">
        <f t="shared" si="952"/>
        <v>#DIV/0!</v>
      </c>
      <c r="EE569" s="203" t="e">
        <f t="shared" si="953"/>
        <v>#DIV/0!</v>
      </c>
      <c r="EF569" s="203" t="e">
        <f t="shared" si="954"/>
        <v>#DIV/0!</v>
      </c>
      <c r="EH569" s="58">
        <f t="shared" si="798"/>
        <v>3343.3560000000002</v>
      </c>
      <c r="EI569" s="68" t="e">
        <f t="shared" si="799"/>
        <v>#DIV/0!</v>
      </c>
      <c r="EJ569" s="58">
        <f t="shared" si="800"/>
        <v>3343.3560000000002</v>
      </c>
      <c r="EK569" s="68" t="e">
        <f t="shared" si="799"/>
        <v>#DIV/0!</v>
      </c>
      <c r="EL569" s="58">
        <f t="shared" si="801"/>
        <v>0</v>
      </c>
      <c r="EM569" s="58">
        <f t="shared" si="802"/>
        <v>0</v>
      </c>
      <c r="EN569" s="68" t="e">
        <f t="shared" si="803"/>
        <v>#DIV/0!</v>
      </c>
      <c r="EO569" s="139">
        <f t="shared" si="854"/>
        <v>0.35739486552628164</v>
      </c>
      <c r="EP569">
        <f>+(SUM(M569:O569)*EO569*(1-'[1]Tier 3 Data'!$A$2))</f>
        <v>0</v>
      </c>
    </row>
    <row r="570" spans="1:146" x14ac:dyDescent="0.2">
      <c r="A570" s="43">
        <v>0</v>
      </c>
      <c r="B570" s="43">
        <v>0</v>
      </c>
      <c r="C570" s="43">
        <v>0</v>
      </c>
      <c r="D570" s="70">
        <v>2054</v>
      </c>
      <c r="E570" s="70">
        <v>11</v>
      </c>
      <c r="F570" s="2">
        <v>721</v>
      </c>
      <c r="G570" s="133">
        <f t="shared" si="838"/>
        <v>0</v>
      </c>
      <c r="H570" s="64"/>
      <c r="I570" s="133">
        <f t="shared" si="839"/>
        <v>0</v>
      </c>
      <c r="J570" s="133">
        <f t="shared" si="778"/>
        <v>0</v>
      </c>
      <c r="K570" s="64"/>
      <c r="L570" s="133">
        <f t="shared" si="779"/>
        <v>0</v>
      </c>
      <c r="M570" s="5"/>
      <c r="N570" s="5"/>
      <c r="O570" s="5"/>
      <c r="P570" s="200">
        <f t="shared" si="770"/>
        <v>0</v>
      </c>
      <c r="Q570" s="200">
        <f t="shared" si="771"/>
        <v>0</v>
      </c>
      <c r="R570" s="200">
        <f t="shared" si="772"/>
        <v>0</v>
      </c>
      <c r="S570" s="133">
        <f t="shared" si="840"/>
        <v>0</v>
      </c>
      <c r="T570" s="133">
        <f t="shared" si="841"/>
        <v>0</v>
      </c>
      <c r="U570" s="133">
        <f t="shared" si="842"/>
        <v>0</v>
      </c>
      <c r="V570" s="200">
        <f t="shared" si="773"/>
        <v>0</v>
      </c>
      <c r="W570" s="200">
        <f t="shared" si="774"/>
        <v>0</v>
      </c>
      <c r="X570" s="200">
        <f t="shared" si="775"/>
        <v>0</v>
      </c>
      <c r="Y570" s="58">
        <f t="shared" si="813"/>
        <v>0</v>
      </c>
      <c r="AA570" s="58">
        <f t="shared" si="814"/>
        <v>0</v>
      </c>
      <c r="AB570" s="200">
        <f t="shared" si="815"/>
        <v>0</v>
      </c>
      <c r="AC570" s="200">
        <f t="shared" si="816"/>
        <v>0</v>
      </c>
      <c r="AD570" s="200">
        <f t="shared" si="817"/>
        <v>0</v>
      </c>
      <c r="AE570" s="199">
        <f t="shared" si="921"/>
        <v>0</v>
      </c>
      <c r="AF570" s="199">
        <f t="shared" si="818"/>
        <v>0</v>
      </c>
      <c r="AG570" s="199">
        <f t="shared" si="922"/>
        <v>0</v>
      </c>
      <c r="AH570" s="199">
        <f t="shared" si="843"/>
        <v>0</v>
      </c>
      <c r="AI570" s="200">
        <f t="shared" si="819"/>
        <v>0</v>
      </c>
      <c r="AJ570" s="200">
        <f t="shared" si="820"/>
        <v>0</v>
      </c>
      <c r="AK570" s="200">
        <f t="shared" si="821"/>
        <v>0</v>
      </c>
      <c r="AL570" s="4"/>
      <c r="AM570" s="4"/>
      <c r="AN570" s="4"/>
      <c r="AO570" s="4"/>
      <c r="AP570" s="63"/>
      <c r="AQ570" s="18"/>
      <c r="AR570" s="18"/>
      <c r="AS570" s="18"/>
      <c r="AT570" s="18">
        <v>0</v>
      </c>
      <c r="AU570" s="133">
        <f t="shared" ref="AU570" si="957">+AU558</f>
        <v>104.364</v>
      </c>
      <c r="AV570" s="133">
        <f t="shared" ref="AV570" si="958">+AV558</f>
        <v>3268.3739999999998</v>
      </c>
      <c r="AW570" s="194"/>
      <c r="AX570" s="194"/>
      <c r="AY570" s="194"/>
      <c r="AZ570" s="194"/>
      <c r="BA570" s="194"/>
      <c r="BB570" s="194"/>
      <c r="BC570" s="65">
        <v>0</v>
      </c>
      <c r="BD570" s="65">
        <v>0</v>
      </c>
      <c r="BE570" s="65">
        <v>0</v>
      </c>
      <c r="BF570" s="65">
        <v>0</v>
      </c>
      <c r="BG570" s="65">
        <v>0</v>
      </c>
      <c r="BH570" s="65">
        <v>0</v>
      </c>
      <c r="BI570" s="65">
        <v>0</v>
      </c>
      <c r="BJ570" s="65">
        <v>0</v>
      </c>
      <c r="BK570" s="65">
        <v>0</v>
      </c>
      <c r="BL570" s="65">
        <v>0</v>
      </c>
      <c r="BM570" s="65">
        <v>0</v>
      </c>
      <c r="BN570" s="65">
        <v>0</v>
      </c>
      <c r="BO570" s="65">
        <v>0</v>
      </c>
      <c r="BP570" s="5"/>
      <c r="BQ570" s="5"/>
      <c r="BR570" s="5"/>
      <c r="BS570" s="5"/>
      <c r="BT570" s="5"/>
      <c r="BU570" s="5"/>
      <c r="BV570" s="144">
        <f t="shared" si="810"/>
        <v>0</v>
      </c>
      <c r="BW570" s="144">
        <f t="shared" si="811"/>
        <v>0</v>
      </c>
      <c r="BX570" s="144">
        <f t="shared" si="812"/>
        <v>0</v>
      </c>
      <c r="BY570" s="5"/>
      <c r="BZ570" s="5"/>
      <c r="CA570" s="4"/>
      <c r="CB570" s="5"/>
      <c r="CC570" s="5"/>
      <c r="CD570" s="5"/>
      <c r="CE570" s="5"/>
      <c r="CF570" s="64"/>
      <c r="CG570" s="70"/>
      <c r="CH570" s="70"/>
      <c r="CI570" s="70"/>
      <c r="CJ570" s="63"/>
      <c r="CK570" s="8">
        <f t="shared" si="761"/>
        <v>3372.7379999999998</v>
      </c>
      <c r="CL570" s="202">
        <f t="shared" si="885"/>
        <v>-3372.7379999999998</v>
      </c>
      <c r="CM570" s="202">
        <f t="shared" si="886"/>
        <v>-3372.7379999999998</v>
      </c>
      <c r="CN570" s="202">
        <f t="shared" si="887"/>
        <v>-3372.7379999999998</v>
      </c>
      <c r="CO570" s="9">
        <f t="shared" si="888"/>
        <v>-3372.7379999999998</v>
      </c>
      <c r="CP570" s="9">
        <f t="shared" si="889"/>
        <v>-3372.7379999999998</v>
      </c>
      <c r="CQ570" s="9">
        <f t="shared" si="890"/>
        <v>-3372.7379999999998</v>
      </c>
      <c r="CR570" s="202">
        <f t="shared" si="891"/>
        <v>-3372.7379999999998</v>
      </c>
      <c r="CS570" s="202">
        <f t="shared" si="892"/>
        <v>-3372.7379999999998</v>
      </c>
      <c r="CT570" s="202">
        <f t="shared" si="893"/>
        <v>-3372.7379999999998</v>
      </c>
      <c r="CU570" s="203" t="e">
        <f t="shared" si="894"/>
        <v>#DIV/0!</v>
      </c>
      <c r="CV570" s="203" t="e">
        <f t="shared" si="895"/>
        <v>#DIV/0!</v>
      </c>
      <c r="CW570" s="203" t="e">
        <f t="shared" si="896"/>
        <v>#DIV/0!</v>
      </c>
      <c r="CX570" s="19" t="e">
        <f t="shared" si="897"/>
        <v>#DIV/0!</v>
      </c>
      <c r="CY570" s="19" t="e">
        <f t="shared" si="898"/>
        <v>#DIV/0!</v>
      </c>
      <c r="CZ570" s="19" t="e">
        <f t="shared" si="899"/>
        <v>#DIV/0!</v>
      </c>
      <c r="DA570" s="203" t="e">
        <f t="shared" si="900"/>
        <v>#DIV/0!</v>
      </c>
      <c r="DB570" s="203" t="e">
        <f t="shared" si="901"/>
        <v>#DIV/0!</v>
      </c>
      <c r="DC570" s="203" t="e">
        <f t="shared" si="902"/>
        <v>#DIV/0!</v>
      </c>
      <c r="DD570" s="65"/>
      <c r="DE570" s="66"/>
      <c r="DF570" s="66"/>
      <c r="DG570" s="66"/>
      <c r="DH570" s="66"/>
      <c r="DI570" s="66"/>
      <c r="DJ570" s="66"/>
      <c r="DK570" s="70"/>
      <c r="DL570" s="70"/>
      <c r="DM570" s="8">
        <f t="shared" si="762"/>
        <v>0</v>
      </c>
      <c r="DN570" s="8">
        <f t="shared" si="763"/>
        <v>3372.7379999999998</v>
      </c>
      <c r="DO570" s="202">
        <f t="shared" si="939"/>
        <v>-3372.7379999999998</v>
      </c>
      <c r="DP570" s="202">
        <f t="shared" si="940"/>
        <v>-3372.7379999999998</v>
      </c>
      <c r="DQ570" s="202">
        <f t="shared" si="941"/>
        <v>-3372.7379999999998</v>
      </c>
      <c r="DR570" s="9">
        <f t="shared" si="942"/>
        <v>-3372.7379999999998</v>
      </c>
      <c r="DS570" s="9">
        <f t="shared" si="905"/>
        <v>-3372.7379999999998</v>
      </c>
      <c r="DT570" s="9">
        <f t="shared" si="943"/>
        <v>-3372.7379999999998</v>
      </c>
      <c r="DU570" s="202">
        <f t="shared" si="944"/>
        <v>-3372.7379999999998</v>
      </c>
      <c r="DV570" s="202">
        <f t="shared" si="945"/>
        <v>-3372.7379999999998</v>
      </c>
      <c r="DW570" s="202">
        <f t="shared" si="946"/>
        <v>-3372.7379999999998</v>
      </c>
      <c r="DX570" s="203" t="e">
        <f t="shared" si="947"/>
        <v>#DIV/0!</v>
      </c>
      <c r="DY570" s="203" t="e">
        <f t="shared" si="948"/>
        <v>#DIV/0!</v>
      </c>
      <c r="DZ570" s="203" t="e">
        <f t="shared" si="949"/>
        <v>#DIV/0!</v>
      </c>
      <c r="EA570" s="19" t="e">
        <f t="shared" si="950"/>
        <v>#DIV/0!</v>
      </c>
      <c r="EB570" s="19" t="e">
        <f t="shared" si="906"/>
        <v>#DIV/0!</v>
      </c>
      <c r="EC570" s="19" t="e">
        <f t="shared" si="951"/>
        <v>#DIV/0!</v>
      </c>
      <c r="ED570" s="203" t="e">
        <f t="shared" si="952"/>
        <v>#DIV/0!</v>
      </c>
      <c r="EE570" s="203" t="e">
        <f t="shared" si="953"/>
        <v>#DIV/0!</v>
      </c>
      <c r="EF570" s="203" t="e">
        <f t="shared" si="954"/>
        <v>#DIV/0!</v>
      </c>
      <c r="EH570" s="58">
        <f t="shared" si="798"/>
        <v>3372.7379999999998</v>
      </c>
      <c r="EI570" s="68" t="e">
        <f t="shared" si="799"/>
        <v>#DIV/0!</v>
      </c>
      <c r="EJ570" s="58">
        <f t="shared" si="800"/>
        <v>3372.7379999999998</v>
      </c>
      <c r="EK570" s="68" t="e">
        <f t="shared" si="799"/>
        <v>#DIV/0!</v>
      </c>
      <c r="EL570" s="58">
        <f t="shared" si="801"/>
        <v>0</v>
      </c>
      <c r="EM570" s="58">
        <f t="shared" si="802"/>
        <v>0</v>
      </c>
      <c r="EN570" s="68" t="e">
        <f t="shared" si="803"/>
        <v>#DIV/0!</v>
      </c>
      <c r="EO570" s="139">
        <f t="shared" si="854"/>
        <v>0.4050825009776523</v>
      </c>
      <c r="EP570">
        <f>+(SUM(M570:O570)*EO570*(1-'[1]Tier 3 Data'!$A$2))</f>
        <v>0</v>
      </c>
    </row>
    <row r="571" spans="1:146" x14ac:dyDescent="0.2">
      <c r="A571" s="43">
        <v>0</v>
      </c>
      <c r="B571" s="43">
        <v>0</v>
      </c>
      <c r="C571" s="43">
        <v>0</v>
      </c>
      <c r="D571" s="70">
        <v>2054</v>
      </c>
      <c r="E571" s="70">
        <v>12</v>
      </c>
      <c r="F571" s="2">
        <v>744</v>
      </c>
      <c r="G571" s="133">
        <f t="shared" si="838"/>
        <v>0</v>
      </c>
      <c r="H571" s="64"/>
      <c r="I571" s="133">
        <f t="shared" si="839"/>
        <v>0</v>
      </c>
      <c r="J571" s="133">
        <f t="shared" si="778"/>
        <v>0</v>
      </c>
      <c r="K571" s="64"/>
      <c r="L571" s="133">
        <f t="shared" si="779"/>
        <v>0</v>
      </c>
      <c r="M571" s="5"/>
      <c r="N571" s="5"/>
      <c r="O571" s="5"/>
      <c r="P571" s="200">
        <f t="shared" si="770"/>
        <v>0</v>
      </c>
      <c r="Q571" s="200">
        <f t="shared" si="771"/>
        <v>0</v>
      </c>
      <c r="R571" s="200">
        <f t="shared" si="772"/>
        <v>0</v>
      </c>
      <c r="S571" s="133">
        <f t="shared" si="840"/>
        <v>0</v>
      </c>
      <c r="T571" s="133">
        <f t="shared" si="841"/>
        <v>0</v>
      </c>
      <c r="U571" s="133">
        <f t="shared" si="842"/>
        <v>0</v>
      </c>
      <c r="V571" s="200">
        <f t="shared" si="773"/>
        <v>0</v>
      </c>
      <c r="W571" s="200">
        <f t="shared" si="774"/>
        <v>0</v>
      </c>
      <c r="X571" s="200">
        <f t="shared" si="775"/>
        <v>0</v>
      </c>
      <c r="Y571" s="58">
        <f t="shared" si="813"/>
        <v>0</v>
      </c>
      <c r="AA571" s="58">
        <f t="shared" si="814"/>
        <v>0</v>
      </c>
      <c r="AB571" s="200">
        <f t="shared" si="815"/>
        <v>0</v>
      </c>
      <c r="AC571" s="200">
        <f t="shared" si="816"/>
        <v>0</v>
      </c>
      <c r="AD571" s="200">
        <f t="shared" si="817"/>
        <v>0</v>
      </c>
      <c r="AE571" s="199">
        <f t="shared" si="921"/>
        <v>0</v>
      </c>
      <c r="AF571" s="199">
        <f t="shared" si="818"/>
        <v>0</v>
      </c>
      <c r="AG571" s="199">
        <f t="shared" si="922"/>
        <v>0</v>
      </c>
      <c r="AH571" s="199">
        <f t="shared" si="843"/>
        <v>0</v>
      </c>
      <c r="AI571" s="200">
        <f t="shared" si="819"/>
        <v>0</v>
      </c>
      <c r="AJ571" s="200">
        <f t="shared" si="820"/>
        <v>0</v>
      </c>
      <c r="AK571" s="200">
        <f t="shared" si="821"/>
        <v>0</v>
      </c>
      <c r="AL571" s="4"/>
      <c r="AM571" s="4"/>
      <c r="AN571" s="4"/>
      <c r="AO571" s="4"/>
      <c r="AP571" s="63"/>
      <c r="AQ571" s="18"/>
      <c r="AR571" s="18"/>
      <c r="AS571" s="18"/>
      <c r="AT571" s="18">
        <v>0</v>
      </c>
      <c r="AU571" s="133">
        <f t="shared" ref="AU571" si="959">+AU559</f>
        <v>105.066</v>
      </c>
      <c r="AV571" s="133">
        <f t="shared" ref="AV571" si="960">+AV559</f>
        <v>3218.8470000000002</v>
      </c>
      <c r="AW571" s="194"/>
      <c r="AX571" s="194"/>
      <c r="AY571" s="194"/>
      <c r="AZ571" s="194"/>
      <c r="BA571" s="194"/>
      <c r="BB571" s="194"/>
      <c r="BC571" s="65">
        <v>0</v>
      </c>
      <c r="BD571" s="65">
        <v>0</v>
      </c>
      <c r="BE571" s="65">
        <v>0</v>
      </c>
      <c r="BF571" s="65">
        <v>0</v>
      </c>
      <c r="BG571" s="65">
        <v>0</v>
      </c>
      <c r="BH571" s="65">
        <v>0</v>
      </c>
      <c r="BI571" s="65">
        <v>0</v>
      </c>
      <c r="BJ571" s="65">
        <v>0</v>
      </c>
      <c r="BK571" s="65">
        <v>0</v>
      </c>
      <c r="BL571" s="65">
        <v>0</v>
      </c>
      <c r="BM571" s="65">
        <v>0</v>
      </c>
      <c r="BN571" s="65">
        <v>0</v>
      </c>
      <c r="BO571" s="65">
        <v>0</v>
      </c>
      <c r="BP571" s="5"/>
      <c r="BQ571" s="5"/>
      <c r="BR571" s="5"/>
      <c r="BS571" s="5"/>
      <c r="BT571" s="5"/>
      <c r="BU571" s="5"/>
      <c r="BV571" s="144">
        <f t="shared" si="810"/>
        <v>0</v>
      </c>
      <c r="BW571" s="144">
        <f t="shared" si="811"/>
        <v>0</v>
      </c>
      <c r="BX571" s="144">
        <f t="shared" si="812"/>
        <v>0</v>
      </c>
      <c r="BY571" s="5"/>
      <c r="BZ571" s="5"/>
      <c r="CA571" s="4"/>
      <c r="CB571" s="5"/>
      <c r="CC571" s="5"/>
      <c r="CD571" s="5"/>
      <c r="CE571" s="5"/>
      <c r="CF571" s="64"/>
      <c r="CG571" s="70"/>
      <c r="CH571" s="70"/>
      <c r="CI571" s="70"/>
      <c r="CJ571" s="63"/>
      <c r="CK571" s="8">
        <f t="shared" si="761"/>
        <v>3323.913</v>
      </c>
      <c r="CL571" s="202">
        <f t="shared" si="885"/>
        <v>-3323.913</v>
      </c>
      <c r="CM571" s="202">
        <f t="shared" si="886"/>
        <v>-3323.913</v>
      </c>
      <c r="CN571" s="202">
        <f t="shared" si="887"/>
        <v>-3323.913</v>
      </c>
      <c r="CO571" s="9">
        <f t="shared" si="888"/>
        <v>-3323.913</v>
      </c>
      <c r="CP571" s="9">
        <f t="shared" si="889"/>
        <v>-3323.913</v>
      </c>
      <c r="CQ571" s="9">
        <f t="shared" si="890"/>
        <v>-3323.913</v>
      </c>
      <c r="CR571" s="202">
        <f t="shared" si="891"/>
        <v>-3323.913</v>
      </c>
      <c r="CS571" s="202">
        <f t="shared" si="892"/>
        <v>-3323.913</v>
      </c>
      <c r="CT571" s="202">
        <f t="shared" si="893"/>
        <v>-3323.913</v>
      </c>
      <c r="CU571" s="203" t="e">
        <f t="shared" si="894"/>
        <v>#DIV/0!</v>
      </c>
      <c r="CV571" s="203" t="e">
        <f t="shared" si="895"/>
        <v>#DIV/0!</v>
      </c>
      <c r="CW571" s="203" t="e">
        <f t="shared" si="896"/>
        <v>#DIV/0!</v>
      </c>
      <c r="CX571" s="19" t="e">
        <f t="shared" si="897"/>
        <v>#DIV/0!</v>
      </c>
      <c r="CY571" s="19" t="e">
        <f t="shared" si="898"/>
        <v>#DIV/0!</v>
      </c>
      <c r="CZ571" s="19" t="e">
        <f t="shared" si="899"/>
        <v>#DIV/0!</v>
      </c>
      <c r="DA571" s="203" t="e">
        <f t="shared" si="900"/>
        <v>#DIV/0!</v>
      </c>
      <c r="DB571" s="203" t="e">
        <f t="shared" si="901"/>
        <v>#DIV/0!</v>
      </c>
      <c r="DC571" s="203" t="e">
        <f t="shared" si="902"/>
        <v>#DIV/0!</v>
      </c>
      <c r="DD571" s="65"/>
      <c r="DE571" s="66"/>
      <c r="DF571" s="66"/>
      <c r="DG571" s="66"/>
      <c r="DH571" s="66"/>
      <c r="DI571" s="66"/>
      <c r="DJ571" s="66"/>
      <c r="DK571" s="70"/>
      <c r="DL571" s="70"/>
      <c r="DM571" s="8">
        <f t="shared" si="762"/>
        <v>0</v>
      </c>
      <c r="DN571" s="8">
        <f t="shared" si="763"/>
        <v>3323.913</v>
      </c>
      <c r="DO571" s="202">
        <f t="shared" si="939"/>
        <v>-3323.913</v>
      </c>
      <c r="DP571" s="202">
        <f t="shared" si="940"/>
        <v>-3323.913</v>
      </c>
      <c r="DQ571" s="202">
        <f t="shared" si="941"/>
        <v>-3323.913</v>
      </c>
      <c r="DR571" s="9">
        <f t="shared" si="942"/>
        <v>-3323.913</v>
      </c>
      <c r="DS571" s="9">
        <f t="shared" si="905"/>
        <v>-3323.913</v>
      </c>
      <c r="DT571" s="9">
        <f t="shared" si="943"/>
        <v>-3323.913</v>
      </c>
      <c r="DU571" s="202">
        <f t="shared" si="944"/>
        <v>-3323.913</v>
      </c>
      <c r="DV571" s="202">
        <f t="shared" si="945"/>
        <v>-3323.913</v>
      </c>
      <c r="DW571" s="202">
        <f t="shared" si="946"/>
        <v>-3323.913</v>
      </c>
      <c r="DX571" s="203" t="e">
        <f t="shared" si="947"/>
        <v>#DIV/0!</v>
      </c>
      <c r="DY571" s="203" t="e">
        <f t="shared" si="948"/>
        <v>#DIV/0!</v>
      </c>
      <c r="DZ571" s="203" t="e">
        <f t="shared" si="949"/>
        <v>#DIV/0!</v>
      </c>
      <c r="EA571" s="19" t="e">
        <f t="shared" si="950"/>
        <v>#DIV/0!</v>
      </c>
      <c r="EB571" s="19" t="e">
        <f t="shared" si="906"/>
        <v>#DIV/0!</v>
      </c>
      <c r="EC571" s="19" t="e">
        <f t="shared" si="951"/>
        <v>#DIV/0!</v>
      </c>
      <c r="ED571" s="203" t="e">
        <f t="shared" si="952"/>
        <v>#DIV/0!</v>
      </c>
      <c r="EE571" s="203" t="e">
        <f t="shared" si="953"/>
        <v>#DIV/0!</v>
      </c>
      <c r="EF571" s="203" t="e">
        <f t="shared" si="954"/>
        <v>#DIV/0!</v>
      </c>
      <c r="EH571" s="58">
        <f t="shared" si="798"/>
        <v>3323.913</v>
      </c>
      <c r="EI571" s="68" t="e">
        <f t="shared" si="799"/>
        <v>#DIV/0!</v>
      </c>
      <c r="EJ571" s="58">
        <f t="shared" si="800"/>
        <v>3323.913</v>
      </c>
      <c r="EK571" s="68" t="e">
        <f t="shared" si="799"/>
        <v>#DIV/0!</v>
      </c>
      <c r="EL571" s="58">
        <f t="shared" si="801"/>
        <v>0</v>
      </c>
      <c r="EM571" s="58">
        <f t="shared" si="802"/>
        <v>0</v>
      </c>
      <c r="EN571" s="68" t="e">
        <f t="shared" si="803"/>
        <v>#DIV/0!</v>
      </c>
      <c r="EO571" s="139">
        <f t="shared" si="854"/>
        <v>0.32946562535829382</v>
      </c>
      <c r="EP571">
        <f>+(SUM(M571:O571)*EO571*(1-'[1]Tier 3 Data'!$A$2))</f>
        <v>0</v>
      </c>
    </row>
    <row r="572" spans="1:146" x14ac:dyDescent="0.2">
      <c r="A572" s="43">
        <v>0</v>
      </c>
      <c r="B572" s="43">
        <v>0</v>
      </c>
      <c r="C572" s="43">
        <v>0</v>
      </c>
      <c r="D572" s="70">
        <v>2055</v>
      </c>
      <c r="E572" s="70">
        <v>1</v>
      </c>
      <c r="F572" s="2">
        <v>744</v>
      </c>
      <c r="G572" s="133">
        <f t="shared" si="838"/>
        <v>0</v>
      </c>
      <c r="H572" s="64"/>
      <c r="I572" s="133">
        <f t="shared" si="839"/>
        <v>0</v>
      </c>
      <c r="J572" s="133">
        <f t="shared" si="778"/>
        <v>0</v>
      </c>
      <c r="K572" s="64"/>
      <c r="L572" s="133">
        <f t="shared" si="779"/>
        <v>0</v>
      </c>
      <c r="M572" s="5"/>
      <c r="N572" s="5"/>
      <c r="O572" s="5"/>
      <c r="P572" s="200">
        <f t="shared" si="770"/>
        <v>0</v>
      </c>
      <c r="Q572" s="200">
        <f t="shared" si="771"/>
        <v>0</v>
      </c>
      <c r="R572" s="200">
        <f t="shared" si="772"/>
        <v>0</v>
      </c>
      <c r="S572" s="133">
        <f t="shared" si="840"/>
        <v>0</v>
      </c>
      <c r="T572" s="133">
        <f t="shared" si="841"/>
        <v>0</v>
      </c>
      <c r="U572" s="133">
        <f t="shared" si="842"/>
        <v>0</v>
      </c>
      <c r="V572" s="200">
        <f t="shared" si="773"/>
        <v>0</v>
      </c>
      <c r="W572" s="200">
        <f t="shared" si="774"/>
        <v>0</v>
      </c>
      <c r="X572" s="200">
        <f t="shared" si="775"/>
        <v>0</v>
      </c>
      <c r="Y572" s="58">
        <f t="shared" si="813"/>
        <v>0</v>
      </c>
      <c r="AA572" s="58">
        <f t="shared" si="814"/>
        <v>0</v>
      </c>
      <c r="AB572" s="200">
        <f t="shared" si="815"/>
        <v>0</v>
      </c>
      <c r="AC572" s="200">
        <f t="shared" si="816"/>
        <v>0</v>
      </c>
      <c r="AD572" s="200">
        <f t="shared" si="817"/>
        <v>0</v>
      </c>
      <c r="AE572" s="199">
        <f t="shared" si="921"/>
        <v>0</v>
      </c>
      <c r="AF572" s="199">
        <f t="shared" si="818"/>
        <v>0</v>
      </c>
      <c r="AG572" s="199">
        <f t="shared" si="922"/>
        <v>0</v>
      </c>
      <c r="AH572" s="199">
        <f t="shared" si="843"/>
        <v>0</v>
      </c>
      <c r="AI572" s="200">
        <f t="shared" si="819"/>
        <v>0</v>
      </c>
      <c r="AJ572" s="200">
        <f t="shared" si="820"/>
        <v>0</v>
      </c>
      <c r="AK572" s="200">
        <f t="shared" si="821"/>
        <v>0</v>
      </c>
      <c r="AL572" s="4"/>
      <c r="AM572" s="4"/>
      <c r="AN572" s="4"/>
      <c r="AO572" s="4"/>
      <c r="AP572" s="63"/>
      <c r="AQ572" s="18"/>
      <c r="AR572" s="18"/>
      <c r="AS572" s="18"/>
      <c r="AT572" s="18">
        <v>0</v>
      </c>
      <c r="AU572" s="133">
        <f t="shared" ref="AU572" si="961">+AU560</f>
        <v>98.513999999999996</v>
      </c>
      <c r="AV572" s="133">
        <f t="shared" ref="AV572" si="962">+AV560</f>
        <v>3278.6750000000002</v>
      </c>
      <c r="AW572" s="194"/>
      <c r="AX572" s="194"/>
      <c r="AY572" s="194"/>
      <c r="AZ572" s="194"/>
      <c r="BA572" s="194"/>
      <c r="BB572" s="194"/>
      <c r="BC572" s="65">
        <v>0</v>
      </c>
      <c r="BD572" s="65">
        <v>0</v>
      </c>
      <c r="BE572" s="65">
        <v>0</v>
      </c>
      <c r="BF572" s="65">
        <v>0</v>
      </c>
      <c r="BG572" s="65">
        <v>0</v>
      </c>
      <c r="BH572" s="65">
        <v>0</v>
      </c>
      <c r="BI572" s="65">
        <v>0</v>
      </c>
      <c r="BJ572" s="65">
        <v>0</v>
      </c>
      <c r="BK572" s="65">
        <v>0</v>
      </c>
      <c r="BL572" s="65">
        <v>0</v>
      </c>
      <c r="BM572" s="65">
        <v>0</v>
      </c>
      <c r="BN572" s="65">
        <v>0</v>
      </c>
      <c r="BO572" s="65">
        <v>0</v>
      </c>
      <c r="BP572" s="5"/>
      <c r="BQ572" s="5"/>
      <c r="BR572" s="5"/>
      <c r="BS572" s="5"/>
      <c r="BT572" s="5"/>
      <c r="BU572" s="5"/>
      <c r="BV572" s="144">
        <f t="shared" si="810"/>
        <v>0</v>
      </c>
      <c r="BW572" s="144">
        <f t="shared" si="811"/>
        <v>0</v>
      </c>
      <c r="BX572" s="144">
        <f t="shared" si="812"/>
        <v>0</v>
      </c>
      <c r="BY572" s="5"/>
      <c r="BZ572" s="5"/>
      <c r="CA572" s="4"/>
      <c r="CB572" s="5"/>
      <c r="CC572" s="5"/>
      <c r="CD572" s="5"/>
      <c r="CE572" s="5"/>
      <c r="CF572" s="64"/>
      <c r="CG572" s="70"/>
      <c r="CH572" s="70"/>
      <c r="CI572" s="70"/>
      <c r="CJ572" s="63"/>
      <c r="CK572" s="8">
        <f t="shared" ref="CK572:CK595" si="963">+SUM(AL572:CI572)</f>
        <v>3377.1890000000003</v>
      </c>
      <c r="CL572" s="202">
        <f t="shared" si="885"/>
        <v>-3377.1890000000003</v>
      </c>
      <c r="CM572" s="202">
        <f t="shared" si="886"/>
        <v>-3377.1890000000003</v>
      </c>
      <c r="CN572" s="202">
        <f t="shared" si="887"/>
        <v>-3377.1890000000003</v>
      </c>
      <c r="CO572" s="9">
        <f t="shared" si="888"/>
        <v>-3377.1890000000003</v>
      </c>
      <c r="CP572" s="9">
        <f t="shared" si="889"/>
        <v>-3377.1890000000003</v>
      </c>
      <c r="CQ572" s="9">
        <f t="shared" si="890"/>
        <v>-3377.1890000000003</v>
      </c>
      <c r="CR572" s="202">
        <f t="shared" si="891"/>
        <v>-3377.1890000000003</v>
      </c>
      <c r="CS572" s="202">
        <f t="shared" si="892"/>
        <v>-3377.1890000000003</v>
      </c>
      <c r="CT572" s="202">
        <f t="shared" si="893"/>
        <v>-3377.1890000000003</v>
      </c>
      <c r="CU572" s="203" t="e">
        <f t="shared" si="894"/>
        <v>#DIV/0!</v>
      </c>
      <c r="CV572" s="203" t="e">
        <f t="shared" si="895"/>
        <v>#DIV/0!</v>
      </c>
      <c r="CW572" s="203" t="e">
        <f t="shared" si="896"/>
        <v>#DIV/0!</v>
      </c>
      <c r="CX572" s="19" t="e">
        <f t="shared" si="897"/>
        <v>#DIV/0!</v>
      </c>
      <c r="CY572" s="19" t="e">
        <f t="shared" si="898"/>
        <v>#DIV/0!</v>
      </c>
      <c r="CZ572" s="19" t="e">
        <f t="shared" si="899"/>
        <v>#DIV/0!</v>
      </c>
      <c r="DA572" s="203" t="e">
        <f t="shared" si="900"/>
        <v>#DIV/0!</v>
      </c>
      <c r="DB572" s="203" t="e">
        <f t="shared" si="901"/>
        <v>#DIV/0!</v>
      </c>
      <c r="DC572" s="203" t="e">
        <f t="shared" si="902"/>
        <v>#DIV/0!</v>
      </c>
      <c r="DD572" s="65"/>
      <c r="DE572" s="66"/>
      <c r="DF572" s="66"/>
      <c r="DG572" s="66"/>
      <c r="DH572" s="66"/>
      <c r="DI572" s="66"/>
      <c r="DJ572" s="66"/>
      <c r="DK572" s="70"/>
      <c r="DL572" s="70"/>
      <c r="DM572" s="8">
        <f t="shared" ref="DM572:DM595" si="964">+SUM(DD572:DL572)</f>
        <v>0</v>
      </c>
      <c r="DN572" s="8">
        <f t="shared" ref="DN572:DN595" si="965">+DM572+CK572</f>
        <v>3377.1890000000003</v>
      </c>
      <c r="DO572" s="202">
        <f t="shared" si="939"/>
        <v>-3377.1890000000003</v>
      </c>
      <c r="DP572" s="202">
        <f t="shared" si="940"/>
        <v>-3377.1890000000003</v>
      </c>
      <c r="DQ572" s="202">
        <f t="shared" si="941"/>
        <v>-3377.1890000000003</v>
      </c>
      <c r="DR572" s="9">
        <f t="shared" si="942"/>
        <v>-3377.1890000000003</v>
      </c>
      <c r="DS572" s="9">
        <f t="shared" si="905"/>
        <v>-3377.1890000000003</v>
      </c>
      <c r="DT572" s="9">
        <f t="shared" si="943"/>
        <v>-3377.1890000000003</v>
      </c>
      <c r="DU572" s="202">
        <f t="shared" si="944"/>
        <v>-3377.1890000000003</v>
      </c>
      <c r="DV572" s="202">
        <f t="shared" si="945"/>
        <v>-3377.1890000000003</v>
      </c>
      <c r="DW572" s="202">
        <f t="shared" si="946"/>
        <v>-3377.1890000000003</v>
      </c>
      <c r="DX572" s="203" t="e">
        <f t="shared" si="947"/>
        <v>#DIV/0!</v>
      </c>
      <c r="DY572" s="203" t="e">
        <f t="shared" si="948"/>
        <v>#DIV/0!</v>
      </c>
      <c r="DZ572" s="203" t="e">
        <f t="shared" si="949"/>
        <v>#DIV/0!</v>
      </c>
      <c r="EA572" s="19" t="e">
        <f t="shared" si="950"/>
        <v>#DIV/0!</v>
      </c>
      <c r="EB572" s="19" t="e">
        <f t="shared" si="906"/>
        <v>#DIV/0!</v>
      </c>
      <c r="EC572" s="19" t="e">
        <f t="shared" si="951"/>
        <v>#DIV/0!</v>
      </c>
      <c r="ED572" s="203" t="e">
        <f t="shared" si="952"/>
        <v>#DIV/0!</v>
      </c>
      <c r="EE572" s="203" t="e">
        <f t="shared" si="953"/>
        <v>#DIV/0!</v>
      </c>
      <c r="EF572" s="203" t="e">
        <f t="shared" si="954"/>
        <v>#DIV/0!</v>
      </c>
      <c r="EH572" s="58">
        <f t="shared" si="798"/>
        <v>3377.1890000000003</v>
      </c>
      <c r="EI572" s="68" t="e">
        <f t="shared" si="799"/>
        <v>#DIV/0!</v>
      </c>
      <c r="EJ572" s="58">
        <f t="shared" si="800"/>
        <v>3377.1890000000003</v>
      </c>
      <c r="EK572" s="68" t="e">
        <f t="shared" si="799"/>
        <v>#DIV/0!</v>
      </c>
      <c r="EL572" s="58">
        <f t="shared" si="801"/>
        <v>0</v>
      </c>
      <c r="EM572" s="58">
        <f t="shared" si="802"/>
        <v>0</v>
      </c>
      <c r="EN572" s="68" t="e">
        <f t="shared" si="803"/>
        <v>#DIV/0!</v>
      </c>
      <c r="EO572" s="139">
        <f t="shared" si="854"/>
        <v>0.32527353469126524</v>
      </c>
      <c r="EP572">
        <f>+(SUM(M572:O572)*EO572*(1-'[1]Tier 3 Data'!$A$2))</f>
        <v>0</v>
      </c>
    </row>
    <row r="573" spans="1:146" x14ac:dyDescent="0.2">
      <c r="A573" s="43">
        <v>0</v>
      </c>
      <c r="B573" s="43">
        <v>0</v>
      </c>
      <c r="C573" s="43">
        <v>0</v>
      </c>
      <c r="D573" s="70">
        <v>2055</v>
      </c>
      <c r="E573" s="70">
        <v>2</v>
      </c>
      <c r="F573" s="2">
        <v>672</v>
      </c>
      <c r="G573" s="133">
        <f t="shared" si="838"/>
        <v>0</v>
      </c>
      <c r="H573" s="64"/>
      <c r="I573" s="133">
        <f t="shared" si="839"/>
        <v>0</v>
      </c>
      <c r="J573" s="133">
        <f t="shared" si="778"/>
        <v>0</v>
      </c>
      <c r="K573" s="64"/>
      <c r="L573" s="133">
        <f t="shared" si="779"/>
        <v>0</v>
      </c>
      <c r="M573" s="5"/>
      <c r="N573" s="5"/>
      <c r="O573" s="5"/>
      <c r="P573" s="200">
        <f t="shared" si="770"/>
        <v>0</v>
      </c>
      <c r="Q573" s="200">
        <f t="shared" si="771"/>
        <v>0</v>
      </c>
      <c r="R573" s="200">
        <f t="shared" si="772"/>
        <v>0</v>
      </c>
      <c r="S573" s="133">
        <f t="shared" si="840"/>
        <v>0</v>
      </c>
      <c r="T573" s="133">
        <f t="shared" si="841"/>
        <v>0</v>
      </c>
      <c r="U573" s="133">
        <f t="shared" si="842"/>
        <v>0</v>
      </c>
      <c r="V573" s="200">
        <f t="shared" si="773"/>
        <v>0</v>
      </c>
      <c r="W573" s="200">
        <f t="shared" si="774"/>
        <v>0</v>
      </c>
      <c r="X573" s="200">
        <f t="shared" si="775"/>
        <v>0</v>
      </c>
      <c r="Y573" s="58">
        <f t="shared" si="813"/>
        <v>0</v>
      </c>
      <c r="AA573" s="58">
        <f t="shared" si="814"/>
        <v>0</v>
      </c>
      <c r="AB573" s="200">
        <f t="shared" si="815"/>
        <v>0</v>
      </c>
      <c r="AC573" s="200">
        <f t="shared" si="816"/>
        <v>0</v>
      </c>
      <c r="AD573" s="200">
        <f t="shared" si="817"/>
        <v>0</v>
      </c>
      <c r="AE573" s="199">
        <f t="shared" si="921"/>
        <v>0</v>
      </c>
      <c r="AF573" s="199">
        <f t="shared" si="818"/>
        <v>0</v>
      </c>
      <c r="AG573" s="199">
        <f t="shared" si="922"/>
        <v>0</v>
      </c>
      <c r="AH573" s="199">
        <f t="shared" si="843"/>
        <v>0</v>
      </c>
      <c r="AI573" s="200">
        <f t="shared" si="819"/>
        <v>0</v>
      </c>
      <c r="AJ573" s="200">
        <f t="shared" si="820"/>
        <v>0</v>
      </c>
      <c r="AK573" s="200">
        <f t="shared" si="821"/>
        <v>0</v>
      </c>
      <c r="AL573" s="4"/>
      <c r="AM573" s="4"/>
      <c r="AN573" s="4"/>
      <c r="AO573" s="4"/>
      <c r="AP573" s="63"/>
      <c r="AQ573" s="18"/>
      <c r="AR573" s="18"/>
      <c r="AS573" s="18"/>
      <c r="AT573" s="18">
        <v>0</v>
      </c>
      <c r="AU573" s="133">
        <f t="shared" ref="AU573" si="966">+AU561</f>
        <v>92.897999999999996</v>
      </c>
      <c r="AV573" s="133">
        <f t="shared" ref="AV573" si="967">+AV561</f>
        <v>3057.587</v>
      </c>
      <c r="AW573" s="194"/>
      <c r="AX573" s="194"/>
      <c r="AY573" s="194"/>
      <c r="AZ573" s="194"/>
      <c r="BA573" s="194"/>
      <c r="BB573" s="194"/>
      <c r="BC573" s="65">
        <v>0</v>
      </c>
      <c r="BD573" s="65">
        <v>0</v>
      </c>
      <c r="BE573" s="65">
        <v>0</v>
      </c>
      <c r="BF573" s="65">
        <v>0</v>
      </c>
      <c r="BG573" s="65">
        <v>0</v>
      </c>
      <c r="BH573" s="65">
        <v>0</v>
      </c>
      <c r="BI573" s="65">
        <v>0</v>
      </c>
      <c r="BJ573" s="65">
        <v>0</v>
      </c>
      <c r="BK573" s="65">
        <v>0</v>
      </c>
      <c r="BL573" s="65">
        <v>0</v>
      </c>
      <c r="BM573" s="65">
        <v>0</v>
      </c>
      <c r="BN573" s="65">
        <v>0</v>
      </c>
      <c r="BO573" s="65">
        <v>0</v>
      </c>
      <c r="BP573" s="5"/>
      <c r="BQ573" s="5"/>
      <c r="BR573" s="5"/>
      <c r="BS573" s="5"/>
      <c r="BT573" s="5"/>
      <c r="BU573" s="5"/>
      <c r="BV573" s="144">
        <f t="shared" si="810"/>
        <v>0</v>
      </c>
      <c r="BW573" s="144">
        <f t="shared" si="811"/>
        <v>0</v>
      </c>
      <c r="BX573" s="144">
        <f t="shared" si="812"/>
        <v>0</v>
      </c>
      <c r="BY573" s="5"/>
      <c r="BZ573" s="5"/>
      <c r="CA573" s="4"/>
      <c r="CB573" s="5"/>
      <c r="CC573" s="5"/>
      <c r="CD573" s="5"/>
      <c r="CE573" s="5"/>
      <c r="CF573" s="64"/>
      <c r="CG573" s="70"/>
      <c r="CH573" s="70"/>
      <c r="CI573" s="70"/>
      <c r="CJ573" s="63"/>
      <c r="CK573" s="8">
        <f t="shared" si="963"/>
        <v>3150.4850000000001</v>
      </c>
      <c r="CL573" s="202">
        <f t="shared" si="885"/>
        <v>-3150.4850000000001</v>
      </c>
      <c r="CM573" s="202">
        <f t="shared" si="886"/>
        <v>-3150.4850000000001</v>
      </c>
      <c r="CN573" s="202">
        <f t="shared" si="887"/>
        <v>-3150.4850000000001</v>
      </c>
      <c r="CO573" s="9">
        <f t="shared" si="888"/>
        <v>-3150.4850000000001</v>
      </c>
      <c r="CP573" s="9">
        <f t="shared" si="889"/>
        <v>-3150.4850000000001</v>
      </c>
      <c r="CQ573" s="9">
        <f t="shared" si="890"/>
        <v>-3150.4850000000001</v>
      </c>
      <c r="CR573" s="202">
        <f t="shared" si="891"/>
        <v>-3150.4850000000001</v>
      </c>
      <c r="CS573" s="202">
        <f t="shared" si="892"/>
        <v>-3150.4850000000001</v>
      </c>
      <c r="CT573" s="202">
        <f t="shared" si="893"/>
        <v>-3150.4850000000001</v>
      </c>
      <c r="CU573" s="203" t="e">
        <f t="shared" si="894"/>
        <v>#DIV/0!</v>
      </c>
      <c r="CV573" s="203" t="e">
        <f t="shared" si="895"/>
        <v>#DIV/0!</v>
      </c>
      <c r="CW573" s="203" t="e">
        <f t="shared" si="896"/>
        <v>#DIV/0!</v>
      </c>
      <c r="CX573" s="19" t="e">
        <f t="shared" si="897"/>
        <v>#DIV/0!</v>
      </c>
      <c r="CY573" s="19" t="e">
        <f t="shared" si="898"/>
        <v>#DIV/0!</v>
      </c>
      <c r="CZ573" s="19" t="e">
        <f t="shared" si="899"/>
        <v>#DIV/0!</v>
      </c>
      <c r="DA573" s="203" t="e">
        <f t="shared" si="900"/>
        <v>#DIV/0!</v>
      </c>
      <c r="DB573" s="203" t="e">
        <f t="shared" si="901"/>
        <v>#DIV/0!</v>
      </c>
      <c r="DC573" s="203" t="e">
        <f t="shared" si="902"/>
        <v>#DIV/0!</v>
      </c>
      <c r="DD573" s="65"/>
      <c r="DE573" s="66"/>
      <c r="DF573" s="66"/>
      <c r="DG573" s="66"/>
      <c r="DH573" s="66"/>
      <c r="DI573" s="66"/>
      <c r="DJ573" s="66"/>
      <c r="DK573" s="70"/>
      <c r="DL573" s="70"/>
      <c r="DM573" s="8">
        <f t="shared" si="964"/>
        <v>0</v>
      </c>
      <c r="DN573" s="8">
        <f t="shared" si="965"/>
        <v>3150.4850000000001</v>
      </c>
      <c r="DO573" s="202">
        <f t="shared" si="939"/>
        <v>-3150.4850000000001</v>
      </c>
      <c r="DP573" s="202">
        <f t="shared" si="940"/>
        <v>-3150.4850000000001</v>
      </c>
      <c r="DQ573" s="202">
        <f t="shared" si="941"/>
        <v>-3150.4850000000001</v>
      </c>
      <c r="DR573" s="9">
        <f t="shared" si="942"/>
        <v>-3150.4850000000001</v>
      </c>
      <c r="DS573" s="9">
        <f t="shared" si="905"/>
        <v>-3150.4850000000001</v>
      </c>
      <c r="DT573" s="9">
        <f t="shared" si="943"/>
        <v>-3150.4850000000001</v>
      </c>
      <c r="DU573" s="202">
        <f t="shared" si="944"/>
        <v>-3150.4850000000001</v>
      </c>
      <c r="DV573" s="202">
        <f t="shared" si="945"/>
        <v>-3150.4850000000001</v>
      </c>
      <c r="DW573" s="202">
        <f t="shared" si="946"/>
        <v>-3150.4850000000001</v>
      </c>
      <c r="DX573" s="203" t="e">
        <f t="shared" si="947"/>
        <v>#DIV/0!</v>
      </c>
      <c r="DY573" s="203" t="e">
        <f t="shared" si="948"/>
        <v>#DIV/0!</v>
      </c>
      <c r="DZ573" s="203" t="e">
        <f t="shared" si="949"/>
        <v>#DIV/0!</v>
      </c>
      <c r="EA573" s="19" t="e">
        <f t="shared" si="950"/>
        <v>#DIV/0!</v>
      </c>
      <c r="EB573" s="19" t="e">
        <f t="shared" si="906"/>
        <v>#DIV/0!</v>
      </c>
      <c r="EC573" s="19" t="e">
        <f t="shared" si="951"/>
        <v>#DIV/0!</v>
      </c>
      <c r="ED573" s="203" t="e">
        <f t="shared" si="952"/>
        <v>#DIV/0!</v>
      </c>
      <c r="EE573" s="203" t="e">
        <f t="shared" si="953"/>
        <v>#DIV/0!</v>
      </c>
      <c r="EF573" s="203" t="e">
        <f t="shared" si="954"/>
        <v>#DIV/0!</v>
      </c>
      <c r="EH573" s="58">
        <f t="shared" si="798"/>
        <v>3150.4850000000001</v>
      </c>
      <c r="EI573" s="68" t="e">
        <f t="shared" si="799"/>
        <v>#DIV/0!</v>
      </c>
      <c r="EJ573" s="58">
        <f t="shared" si="800"/>
        <v>3150.4850000000001</v>
      </c>
      <c r="EK573" s="68" t="e">
        <f t="shared" si="799"/>
        <v>#DIV/0!</v>
      </c>
      <c r="EL573" s="58">
        <f t="shared" si="801"/>
        <v>0</v>
      </c>
      <c r="EM573" s="58">
        <f t="shared" si="802"/>
        <v>0</v>
      </c>
      <c r="EN573" s="68" t="e">
        <f t="shared" si="803"/>
        <v>#DIV/0!</v>
      </c>
      <c r="EO573" s="139">
        <f t="shared" si="854"/>
        <v>0.3126447604730192</v>
      </c>
      <c r="EP573">
        <f>+(SUM(M573:O573)*EO573*(1-'[1]Tier 3 Data'!$A$2))</f>
        <v>0</v>
      </c>
    </row>
    <row r="574" spans="1:146" x14ac:dyDescent="0.2">
      <c r="A574" s="43">
        <v>0</v>
      </c>
      <c r="B574" s="43">
        <v>0</v>
      </c>
      <c r="C574" s="43">
        <v>0</v>
      </c>
      <c r="D574" s="70">
        <v>2055</v>
      </c>
      <c r="E574" s="70">
        <v>3</v>
      </c>
      <c r="F574" s="2">
        <v>743</v>
      </c>
      <c r="G574" s="133">
        <f t="shared" si="838"/>
        <v>0</v>
      </c>
      <c r="H574" s="64"/>
      <c r="I574" s="133">
        <f t="shared" si="839"/>
        <v>0</v>
      </c>
      <c r="J574" s="133">
        <f t="shared" si="778"/>
        <v>0</v>
      </c>
      <c r="K574" s="64"/>
      <c r="L574" s="133">
        <f t="shared" si="779"/>
        <v>0</v>
      </c>
      <c r="M574" s="5"/>
      <c r="N574" s="5"/>
      <c r="O574" s="5"/>
      <c r="P574" s="200">
        <f t="shared" si="770"/>
        <v>0</v>
      </c>
      <c r="Q574" s="200">
        <f t="shared" si="771"/>
        <v>0</v>
      </c>
      <c r="R574" s="200">
        <f t="shared" si="772"/>
        <v>0</v>
      </c>
      <c r="S574" s="133">
        <f t="shared" si="840"/>
        <v>0</v>
      </c>
      <c r="T574" s="133">
        <f t="shared" si="841"/>
        <v>0</v>
      </c>
      <c r="U574" s="133">
        <f t="shared" si="842"/>
        <v>0</v>
      </c>
      <c r="V574" s="200">
        <f t="shared" si="773"/>
        <v>0</v>
      </c>
      <c r="W574" s="200">
        <f t="shared" si="774"/>
        <v>0</v>
      </c>
      <c r="X574" s="200">
        <f t="shared" si="775"/>
        <v>0</v>
      </c>
      <c r="Y574" s="58">
        <f t="shared" si="813"/>
        <v>0</v>
      </c>
      <c r="AA574" s="58">
        <f t="shared" si="814"/>
        <v>0</v>
      </c>
      <c r="AB574" s="200">
        <f t="shared" si="815"/>
        <v>0</v>
      </c>
      <c r="AC574" s="200">
        <f t="shared" si="816"/>
        <v>0</v>
      </c>
      <c r="AD574" s="200">
        <f t="shared" si="817"/>
        <v>0</v>
      </c>
      <c r="AE574" s="199">
        <f t="shared" si="921"/>
        <v>0</v>
      </c>
      <c r="AF574" s="199">
        <f t="shared" si="818"/>
        <v>0</v>
      </c>
      <c r="AG574" s="199">
        <f t="shared" si="922"/>
        <v>0</v>
      </c>
      <c r="AH574" s="199">
        <f t="shared" si="843"/>
        <v>0</v>
      </c>
      <c r="AI574" s="200">
        <f t="shared" si="819"/>
        <v>0</v>
      </c>
      <c r="AJ574" s="200">
        <f t="shared" si="820"/>
        <v>0</v>
      </c>
      <c r="AK574" s="200">
        <f t="shared" si="821"/>
        <v>0</v>
      </c>
      <c r="AL574" s="4"/>
      <c r="AM574" s="4"/>
      <c r="AN574" s="4"/>
      <c r="AO574" s="4"/>
      <c r="AP574" s="63"/>
      <c r="AQ574" s="18"/>
      <c r="AR574" s="18"/>
      <c r="AS574" s="18"/>
      <c r="AT574" s="18">
        <v>0</v>
      </c>
      <c r="AU574" s="133">
        <f t="shared" ref="AU574" si="968">+AU562</f>
        <v>87.516000000000005</v>
      </c>
      <c r="AV574" s="133">
        <f t="shared" ref="AV574" si="969">+AV562</f>
        <v>3232.7139999999999</v>
      </c>
      <c r="AW574" s="194"/>
      <c r="AX574" s="194"/>
      <c r="AY574" s="194"/>
      <c r="AZ574" s="194"/>
      <c r="BA574" s="194"/>
      <c r="BB574" s="194"/>
      <c r="BC574" s="65">
        <v>0</v>
      </c>
      <c r="BD574" s="65">
        <v>0</v>
      </c>
      <c r="BE574" s="65">
        <v>0</v>
      </c>
      <c r="BF574" s="65">
        <v>0</v>
      </c>
      <c r="BG574" s="65">
        <v>0</v>
      </c>
      <c r="BH574" s="65">
        <v>0</v>
      </c>
      <c r="BI574" s="65">
        <v>0</v>
      </c>
      <c r="BJ574" s="65">
        <v>0</v>
      </c>
      <c r="BK574" s="65">
        <v>0</v>
      </c>
      <c r="BL574" s="65">
        <v>0</v>
      </c>
      <c r="BM574" s="65">
        <v>0</v>
      </c>
      <c r="BN574" s="65">
        <v>0</v>
      </c>
      <c r="BO574" s="65">
        <v>0</v>
      </c>
      <c r="BP574" s="5"/>
      <c r="BQ574" s="5"/>
      <c r="BR574" s="5"/>
      <c r="BS574" s="5"/>
      <c r="BT574" s="5"/>
      <c r="BU574" s="5"/>
      <c r="BV574" s="144">
        <f t="shared" si="810"/>
        <v>0</v>
      </c>
      <c r="BW574" s="144">
        <f t="shared" si="811"/>
        <v>0</v>
      </c>
      <c r="BX574" s="144">
        <f t="shared" si="812"/>
        <v>0</v>
      </c>
      <c r="BY574" s="5"/>
      <c r="BZ574" s="5"/>
      <c r="CA574" s="4"/>
      <c r="CB574" s="5"/>
      <c r="CC574" s="5"/>
      <c r="CD574" s="5"/>
      <c r="CE574" s="5"/>
      <c r="CF574" s="64"/>
      <c r="CG574" s="70"/>
      <c r="CH574" s="70"/>
      <c r="CI574" s="70"/>
      <c r="CJ574" s="63"/>
      <c r="CK574" s="8">
        <f t="shared" si="963"/>
        <v>3320.23</v>
      </c>
      <c r="CL574" s="202">
        <f t="shared" si="885"/>
        <v>-3320.23</v>
      </c>
      <c r="CM574" s="202">
        <f t="shared" si="886"/>
        <v>-3320.23</v>
      </c>
      <c r="CN574" s="202">
        <f t="shared" si="887"/>
        <v>-3320.23</v>
      </c>
      <c r="CO574" s="9">
        <f t="shared" si="888"/>
        <v>-3320.23</v>
      </c>
      <c r="CP574" s="9">
        <f t="shared" si="889"/>
        <v>-3320.23</v>
      </c>
      <c r="CQ574" s="9">
        <f t="shared" si="890"/>
        <v>-3320.23</v>
      </c>
      <c r="CR574" s="202">
        <f t="shared" si="891"/>
        <v>-3320.23</v>
      </c>
      <c r="CS574" s="202">
        <f t="shared" si="892"/>
        <v>-3320.23</v>
      </c>
      <c r="CT574" s="202">
        <f t="shared" si="893"/>
        <v>-3320.23</v>
      </c>
      <c r="CU574" s="203" t="e">
        <f t="shared" si="894"/>
        <v>#DIV/0!</v>
      </c>
      <c r="CV574" s="203" t="e">
        <f t="shared" si="895"/>
        <v>#DIV/0!</v>
      </c>
      <c r="CW574" s="203" t="e">
        <f t="shared" si="896"/>
        <v>#DIV/0!</v>
      </c>
      <c r="CX574" s="19" t="e">
        <f t="shared" si="897"/>
        <v>#DIV/0!</v>
      </c>
      <c r="CY574" s="19" t="e">
        <f t="shared" si="898"/>
        <v>#DIV/0!</v>
      </c>
      <c r="CZ574" s="19" t="e">
        <f t="shared" si="899"/>
        <v>#DIV/0!</v>
      </c>
      <c r="DA574" s="203" t="e">
        <f t="shared" si="900"/>
        <v>#DIV/0!</v>
      </c>
      <c r="DB574" s="203" t="e">
        <f t="shared" si="901"/>
        <v>#DIV/0!</v>
      </c>
      <c r="DC574" s="203" t="e">
        <f t="shared" si="902"/>
        <v>#DIV/0!</v>
      </c>
      <c r="DD574" s="65"/>
      <c r="DE574" s="66"/>
      <c r="DF574" s="66"/>
      <c r="DG574" s="66"/>
      <c r="DH574" s="66"/>
      <c r="DI574" s="66"/>
      <c r="DJ574" s="66"/>
      <c r="DK574" s="70"/>
      <c r="DL574" s="70"/>
      <c r="DM574" s="8">
        <f t="shared" si="964"/>
        <v>0</v>
      </c>
      <c r="DN574" s="8">
        <f t="shared" si="965"/>
        <v>3320.23</v>
      </c>
      <c r="DO574" s="202">
        <f t="shared" si="939"/>
        <v>-3320.23</v>
      </c>
      <c r="DP574" s="202">
        <f t="shared" si="940"/>
        <v>-3320.23</v>
      </c>
      <c r="DQ574" s="202">
        <f t="shared" si="941"/>
        <v>-3320.23</v>
      </c>
      <c r="DR574" s="9">
        <f t="shared" si="942"/>
        <v>-3320.23</v>
      </c>
      <c r="DS574" s="9">
        <f t="shared" si="905"/>
        <v>-3320.23</v>
      </c>
      <c r="DT574" s="9">
        <f t="shared" si="943"/>
        <v>-3320.23</v>
      </c>
      <c r="DU574" s="202">
        <f t="shared" si="944"/>
        <v>-3320.23</v>
      </c>
      <c r="DV574" s="202">
        <f t="shared" si="945"/>
        <v>-3320.23</v>
      </c>
      <c r="DW574" s="202">
        <f t="shared" si="946"/>
        <v>-3320.23</v>
      </c>
      <c r="DX574" s="203" t="e">
        <f t="shared" si="947"/>
        <v>#DIV/0!</v>
      </c>
      <c r="DY574" s="203" t="e">
        <f t="shared" si="948"/>
        <v>#DIV/0!</v>
      </c>
      <c r="DZ574" s="203" t="e">
        <f t="shared" si="949"/>
        <v>#DIV/0!</v>
      </c>
      <c r="EA574" s="19" t="e">
        <f t="shared" si="950"/>
        <v>#DIV/0!</v>
      </c>
      <c r="EB574" s="19" t="e">
        <f t="shared" si="906"/>
        <v>#DIV/0!</v>
      </c>
      <c r="EC574" s="19" t="e">
        <f t="shared" si="951"/>
        <v>#DIV/0!</v>
      </c>
      <c r="ED574" s="203" t="e">
        <f t="shared" si="952"/>
        <v>#DIV/0!</v>
      </c>
      <c r="EE574" s="203" t="e">
        <f t="shared" si="953"/>
        <v>#DIV/0!</v>
      </c>
      <c r="EF574" s="203" t="e">
        <f t="shared" si="954"/>
        <v>#DIV/0!</v>
      </c>
      <c r="EH574" s="58">
        <f t="shared" si="798"/>
        <v>3320.23</v>
      </c>
      <c r="EI574" s="68" t="e">
        <f t="shared" si="799"/>
        <v>#DIV/0!</v>
      </c>
      <c r="EJ574" s="58">
        <f t="shared" si="800"/>
        <v>3320.23</v>
      </c>
      <c r="EK574" s="68" t="e">
        <f t="shared" si="799"/>
        <v>#DIV/0!</v>
      </c>
      <c r="EL574" s="58">
        <f t="shared" si="801"/>
        <v>0</v>
      </c>
      <c r="EM574" s="58">
        <f t="shared" si="802"/>
        <v>0</v>
      </c>
      <c r="EN574" s="68" t="e">
        <f t="shared" si="803"/>
        <v>#DIV/0!</v>
      </c>
      <c r="EO574" s="139">
        <f t="shared" si="854"/>
        <v>0.32861286969700848</v>
      </c>
      <c r="EP574">
        <f>+(SUM(M574:O574)*EO574*(1-'[1]Tier 3 Data'!$A$2))</f>
        <v>0</v>
      </c>
    </row>
    <row r="575" spans="1:146" x14ac:dyDescent="0.2">
      <c r="A575" s="43">
        <v>0</v>
      </c>
      <c r="B575" s="43">
        <v>0</v>
      </c>
      <c r="C575" s="43">
        <v>0</v>
      </c>
      <c r="D575" s="70">
        <v>2055</v>
      </c>
      <c r="E575" s="70">
        <v>4</v>
      </c>
      <c r="F575" s="2">
        <v>720</v>
      </c>
      <c r="G575" s="133">
        <f t="shared" si="838"/>
        <v>0</v>
      </c>
      <c r="H575" s="64"/>
      <c r="I575" s="133">
        <f t="shared" si="839"/>
        <v>0</v>
      </c>
      <c r="J575" s="133">
        <f t="shared" si="778"/>
        <v>0</v>
      </c>
      <c r="K575" s="64"/>
      <c r="L575" s="133">
        <f t="shared" si="779"/>
        <v>0</v>
      </c>
      <c r="M575" s="5"/>
      <c r="N575" s="5"/>
      <c r="O575" s="5"/>
      <c r="P575" s="200">
        <f t="shared" si="770"/>
        <v>0</v>
      </c>
      <c r="Q575" s="200">
        <f t="shared" si="771"/>
        <v>0</v>
      </c>
      <c r="R575" s="200">
        <f t="shared" si="772"/>
        <v>0</v>
      </c>
      <c r="S575" s="133">
        <f t="shared" si="840"/>
        <v>0</v>
      </c>
      <c r="T575" s="133">
        <f t="shared" si="841"/>
        <v>0</v>
      </c>
      <c r="U575" s="133">
        <f t="shared" si="842"/>
        <v>0</v>
      </c>
      <c r="V575" s="200">
        <f t="shared" si="773"/>
        <v>0</v>
      </c>
      <c r="W575" s="200">
        <f t="shared" si="774"/>
        <v>0</v>
      </c>
      <c r="X575" s="200">
        <f t="shared" si="775"/>
        <v>0</v>
      </c>
      <c r="Y575" s="58">
        <f t="shared" si="813"/>
        <v>0</v>
      </c>
      <c r="AA575" s="58">
        <f t="shared" si="814"/>
        <v>0</v>
      </c>
      <c r="AB575" s="200">
        <f t="shared" si="815"/>
        <v>0</v>
      </c>
      <c r="AC575" s="200">
        <f t="shared" si="816"/>
        <v>0</v>
      </c>
      <c r="AD575" s="200">
        <f t="shared" si="817"/>
        <v>0</v>
      </c>
      <c r="AE575" s="199">
        <f t="shared" si="921"/>
        <v>0</v>
      </c>
      <c r="AF575" s="199">
        <f t="shared" si="818"/>
        <v>0</v>
      </c>
      <c r="AG575" s="199">
        <f t="shared" si="922"/>
        <v>0</v>
      </c>
      <c r="AH575" s="199">
        <f t="shared" si="843"/>
        <v>0</v>
      </c>
      <c r="AI575" s="200">
        <f t="shared" si="819"/>
        <v>0</v>
      </c>
      <c r="AJ575" s="200">
        <f t="shared" si="820"/>
        <v>0</v>
      </c>
      <c r="AK575" s="200">
        <f t="shared" si="821"/>
        <v>0</v>
      </c>
      <c r="AL575" s="4"/>
      <c r="AM575" s="4"/>
      <c r="AN575" s="4"/>
      <c r="AO575" s="4"/>
      <c r="AP575" s="63"/>
      <c r="AQ575" s="18"/>
      <c r="AR575" s="18"/>
      <c r="AS575" s="18"/>
      <c r="AT575" s="18">
        <v>0</v>
      </c>
      <c r="AU575" s="133">
        <f t="shared" ref="AU575" si="970">+AU563</f>
        <v>96.057000000000002</v>
      </c>
      <c r="AV575" s="133">
        <f t="shared" ref="AV575" si="971">+AV563</f>
        <v>3017.9659999999999</v>
      </c>
      <c r="AW575" s="194"/>
      <c r="AX575" s="194"/>
      <c r="AY575" s="194"/>
      <c r="AZ575" s="194"/>
      <c r="BA575" s="194"/>
      <c r="BB575" s="194"/>
      <c r="BC575" s="65">
        <v>0</v>
      </c>
      <c r="BD575" s="65">
        <v>0</v>
      </c>
      <c r="BE575" s="65">
        <v>0</v>
      </c>
      <c r="BF575" s="65">
        <v>0</v>
      </c>
      <c r="BG575" s="65">
        <v>0</v>
      </c>
      <c r="BH575" s="65">
        <v>0</v>
      </c>
      <c r="BI575" s="65">
        <v>0</v>
      </c>
      <c r="BJ575" s="65">
        <v>0</v>
      </c>
      <c r="BK575" s="65">
        <v>0</v>
      </c>
      <c r="BL575" s="65">
        <v>0</v>
      </c>
      <c r="BM575" s="65">
        <v>0</v>
      </c>
      <c r="BN575" s="65">
        <v>0</v>
      </c>
      <c r="BO575" s="65">
        <v>0</v>
      </c>
      <c r="BP575" s="5"/>
      <c r="BQ575" s="5"/>
      <c r="BR575" s="5"/>
      <c r="BS575" s="5"/>
      <c r="BT575" s="5"/>
      <c r="BU575" s="5"/>
      <c r="BV575" s="144">
        <f t="shared" si="810"/>
        <v>0</v>
      </c>
      <c r="BW575" s="144">
        <f t="shared" si="811"/>
        <v>0</v>
      </c>
      <c r="BX575" s="144">
        <f t="shared" si="812"/>
        <v>0</v>
      </c>
      <c r="BY575" s="5"/>
      <c r="BZ575" s="5"/>
      <c r="CA575" s="4"/>
      <c r="CB575" s="5"/>
      <c r="CC575" s="5"/>
      <c r="CD575" s="5"/>
      <c r="CE575" s="5"/>
      <c r="CF575" s="64"/>
      <c r="CG575" s="70"/>
      <c r="CH575" s="70"/>
      <c r="CI575" s="70"/>
      <c r="CJ575" s="63"/>
      <c r="CK575" s="8">
        <f t="shared" si="963"/>
        <v>3114.0229999999997</v>
      </c>
      <c r="CL575" s="202">
        <f t="shared" si="885"/>
        <v>-3114.0229999999997</v>
      </c>
      <c r="CM575" s="202">
        <f t="shared" si="886"/>
        <v>-3114.0229999999997</v>
      </c>
      <c r="CN575" s="202">
        <f t="shared" si="887"/>
        <v>-3114.0229999999997</v>
      </c>
      <c r="CO575" s="9">
        <f t="shared" si="888"/>
        <v>-3114.0229999999997</v>
      </c>
      <c r="CP575" s="9">
        <f t="shared" si="889"/>
        <v>-3114.0229999999997</v>
      </c>
      <c r="CQ575" s="9">
        <f t="shared" si="890"/>
        <v>-3114.0229999999997</v>
      </c>
      <c r="CR575" s="202">
        <f t="shared" si="891"/>
        <v>-3114.0229999999997</v>
      </c>
      <c r="CS575" s="202">
        <f t="shared" si="892"/>
        <v>-3114.0229999999997</v>
      </c>
      <c r="CT575" s="202">
        <f t="shared" si="893"/>
        <v>-3114.0229999999997</v>
      </c>
      <c r="CU575" s="203" t="e">
        <f t="shared" si="894"/>
        <v>#DIV/0!</v>
      </c>
      <c r="CV575" s="203" t="e">
        <f t="shared" si="895"/>
        <v>#DIV/0!</v>
      </c>
      <c r="CW575" s="203" t="e">
        <f t="shared" si="896"/>
        <v>#DIV/0!</v>
      </c>
      <c r="CX575" s="19" t="e">
        <f t="shared" si="897"/>
        <v>#DIV/0!</v>
      </c>
      <c r="CY575" s="19" t="e">
        <f t="shared" si="898"/>
        <v>#DIV/0!</v>
      </c>
      <c r="CZ575" s="19" t="e">
        <f t="shared" si="899"/>
        <v>#DIV/0!</v>
      </c>
      <c r="DA575" s="203" t="e">
        <f t="shared" si="900"/>
        <v>#DIV/0!</v>
      </c>
      <c r="DB575" s="203" t="e">
        <f t="shared" si="901"/>
        <v>#DIV/0!</v>
      </c>
      <c r="DC575" s="203" t="e">
        <f t="shared" si="902"/>
        <v>#DIV/0!</v>
      </c>
      <c r="DD575" s="65"/>
      <c r="DE575" s="66"/>
      <c r="DF575" s="66"/>
      <c r="DG575" s="66"/>
      <c r="DH575" s="66"/>
      <c r="DI575" s="66"/>
      <c r="DJ575" s="66"/>
      <c r="DK575" s="70"/>
      <c r="DL575" s="70"/>
      <c r="DM575" s="8">
        <f t="shared" si="964"/>
        <v>0</v>
      </c>
      <c r="DN575" s="8">
        <f t="shared" si="965"/>
        <v>3114.0229999999997</v>
      </c>
      <c r="DO575" s="202">
        <f t="shared" si="939"/>
        <v>-3114.0229999999997</v>
      </c>
      <c r="DP575" s="202">
        <f t="shared" si="940"/>
        <v>-3114.0229999999997</v>
      </c>
      <c r="DQ575" s="202">
        <f t="shared" si="941"/>
        <v>-3114.0229999999997</v>
      </c>
      <c r="DR575" s="9">
        <f t="shared" si="942"/>
        <v>-3114.0229999999997</v>
      </c>
      <c r="DS575" s="9">
        <f t="shared" si="905"/>
        <v>-3114.0229999999997</v>
      </c>
      <c r="DT575" s="9">
        <f t="shared" si="943"/>
        <v>-3114.0229999999997</v>
      </c>
      <c r="DU575" s="202">
        <f t="shared" si="944"/>
        <v>-3114.0229999999997</v>
      </c>
      <c r="DV575" s="202">
        <f t="shared" si="945"/>
        <v>-3114.0229999999997</v>
      </c>
      <c r="DW575" s="202">
        <f t="shared" si="946"/>
        <v>-3114.0229999999997</v>
      </c>
      <c r="DX575" s="203" t="e">
        <f t="shared" si="947"/>
        <v>#DIV/0!</v>
      </c>
      <c r="DY575" s="203" t="e">
        <f t="shared" si="948"/>
        <v>#DIV/0!</v>
      </c>
      <c r="DZ575" s="203" t="e">
        <f t="shared" si="949"/>
        <v>#DIV/0!</v>
      </c>
      <c r="EA575" s="19" t="e">
        <f t="shared" si="950"/>
        <v>#DIV/0!</v>
      </c>
      <c r="EB575" s="19" t="e">
        <f t="shared" si="906"/>
        <v>#DIV/0!</v>
      </c>
      <c r="EC575" s="19" t="e">
        <f t="shared" si="951"/>
        <v>#DIV/0!</v>
      </c>
      <c r="ED575" s="203" t="e">
        <f t="shared" si="952"/>
        <v>#DIV/0!</v>
      </c>
      <c r="EE575" s="203" t="e">
        <f t="shared" si="953"/>
        <v>#DIV/0!</v>
      </c>
      <c r="EF575" s="203" t="e">
        <f t="shared" si="954"/>
        <v>#DIV/0!</v>
      </c>
      <c r="EH575" s="58">
        <f t="shared" si="798"/>
        <v>3114.0229999999997</v>
      </c>
      <c r="EI575" s="68" t="e">
        <f t="shared" si="799"/>
        <v>#DIV/0!</v>
      </c>
      <c r="EJ575" s="58">
        <f t="shared" si="800"/>
        <v>3114.0229999999997</v>
      </c>
      <c r="EK575" s="68" t="e">
        <f t="shared" si="799"/>
        <v>#DIV/0!</v>
      </c>
      <c r="EL575" s="58">
        <f t="shared" si="801"/>
        <v>0</v>
      </c>
      <c r="EM575" s="58">
        <f t="shared" si="802"/>
        <v>0</v>
      </c>
      <c r="EN575" s="68" t="e">
        <f t="shared" si="803"/>
        <v>#DIV/0!</v>
      </c>
      <c r="EO575" s="139">
        <f t="shared" si="854"/>
        <v>0.35351678044029999</v>
      </c>
      <c r="EP575">
        <f>+(SUM(M575:O575)*EO575*(1-'[1]Tier 3 Data'!$A$2))</f>
        <v>0</v>
      </c>
    </row>
    <row r="576" spans="1:146" x14ac:dyDescent="0.2">
      <c r="A576" s="43">
        <v>0</v>
      </c>
      <c r="B576" s="43">
        <v>0</v>
      </c>
      <c r="C576" s="43">
        <v>0</v>
      </c>
      <c r="D576" s="70">
        <v>2055</v>
      </c>
      <c r="E576" s="70">
        <v>5</v>
      </c>
      <c r="F576" s="2">
        <v>744</v>
      </c>
      <c r="G576" s="133">
        <f t="shared" si="838"/>
        <v>0</v>
      </c>
      <c r="H576" s="64"/>
      <c r="I576" s="133">
        <f t="shared" si="839"/>
        <v>0</v>
      </c>
      <c r="J576" s="133">
        <f t="shared" si="778"/>
        <v>0</v>
      </c>
      <c r="K576" s="64"/>
      <c r="L576" s="133">
        <f t="shared" si="779"/>
        <v>0</v>
      </c>
      <c r="M576" s="5"/>
      <c r="N576" s="5"/>
      <c r="O576" s="5"/>
      <c r="P576" s="200">
        <f t="shared" ref="P576:P595" si="972">+$G576-J576-(30%*SUM($M576:$O576))</f>
        <v>0</v>
      </c>
      <c r="Q576" s="200">
        <f t="shared" ref="Q576:Q595" si="973">+$G576-K576-(30%*SUM($M576:$O576))</f>
        <v>0</v>
      </c>
      <c r="R576" s="200">
        <f t="shared" ref="R576:R595" si="974">+$G576-L576-(30%*SUM($M576:$O576))</f>
        <v>0</v>
      </c>
      <c r="S576" s="133">
        <f t="shared" si="840"/>
        <v>0</v>
      </c>
      <c r="T576" s="133">
        <f t="shared" si="841"/>
        <v>0</v>
      </c>
      <c r="U576" s="133">
        <f t="shared" si="842"/>
        <v>0</v>
      </c>
      <c r="V576" s="200">
        <f t="shared" ref="V576:V595" si="975">+$I576-J576-(30%*SUM($M576:$O576))</f>
        <v>0</v>
      </c>
      <c r="W576" s="200">
        <f t="shared" ref="W576:W595" si="976">+$I576-K576-(30%*SUM($M576:$O576))</f>
        <v>0</v>
      </c>
      <c r="X576" s="200">
        <f t="shared" ref="X576:X595" si="977">+$I576-L576-(30%*SUM($M576:$O576))</f>
        <v>0</v>
      </c>
      <c r="Y576" s="58">
        <f t="shared" si="813"/>
        <v>0</v>
      </c>
      <c r="AA576" s="58">
        <f t="shared" si="814"/>
        <v>0</v>
      </c>
      <c r="AB576" s="200">
        <f t="shared" si="815"/>
        <v>0</v>
      </c>
      <c r="AC576" s="200">
        <f t="shared" si="816"/>
        <v>0</v>
      </c>
      <c r="AD576" s="200">
        <f t="shared" si="817"/>
        <v>0</v>
      </c>
      <c r="AE576" s="199">
        <f t="shared" si="921"/>
        <v>0</v>
      </c>
      <c r="AF576" s="199">
        <f t="shared" si="818"/>
        <v>0</v>
      </c>
      <c r="AG576" s="199">
        <f t="shared" si="922"/>
        <v>0</v>
      </c>
      <c r="AH576" s="199">
        <f t="shared" si="843"/>
        <v>0</v>
      </c>
      <c r="AI576" s="200">
        <f t="shared" si="819"/>
        <v>0</v>
      </c>
      <c r="AJ576" s="200">
        <f t="shared" si="820"/>
        <v>0</v>
      </c>
      <c r="AK576" s="200">
        <f t="shared" si="821"/>
        <v>0</v>
      </c>
      <c r="AL576" s="4"/>
      <c r="AM576" s="4"/>
      <c r="AN576" s="4"/>
      <c r="AO576" s="4"/>
      <c r="AP576" s="63"/>
      <c r="AQ576" s="18"/>
      <c r="AR576" s="18"/>
      <c r="AS576" s="18"/>
      <c r="AT576" s="18">
        <v>0</v>
      </c>
      <c r="AU576" s="133">
        <f t="shared" ref="AU576" si="978">+AU564</f>
        <v>109.161</v>
      </c>
      <c r="AV576" s="133">
        <f t="shared" ref="AV576" si="979">+AV564</f>
        <v>3327.41</v>
      </c>
      <c r="AW576" s="194"/>
      <c r="AX576" s="194"/>
      <c r="AY576" s="194"/>
      <c r="AZ576" s="194"/>
      <c r="BA576" s="194"/>
      <c r="BB576" s="194"/>
      <c r="BC576" s="65">
        <v>0</v>
      </c>
      <c r="BD576" s="65">
        <v>0</v>
      </c>
      <c r="BE576" s="65">
        <v>0</v>
      </c>
      <c r="BF576" s="65">
        <v>0</v>
      </c>
      <c r="BG576" s="65">
        <v>0</v>
      </c>
      <c r="BH576" s="65">
        <v>0</v>
      </c>
      <c r="BI576" s="65">
        <v>0</v>
      </c>
      <c r="BJ576" s="65">
        <v>0</v>
      </c>
      <c r="BK576" s="65">
        <v>0</v>
      </c>
      <c r="BL576" s="65">
        <v>0</v>
      </c>
      <c r="BM576" s="65">
        <v>0</v>
      </c>
      <c r="BN576" s="65">
        <v>0</v>
      </c>
      <c r="BO576" s="65">
        <v>0</v>
      </c>
      <c r="BP576" s="5"/>
      <c r="BQ576" s="5"/>
      <c r="BR576" s="5"/>
      <c r="BS576" s="5"/>
      <c r="BT576" s="5"/>
      <c r="BU576" s="5"/>
      <c r="BV576" s="144">
        <f t="shared" si="810"/>
        <v>0</v>
      </c>
      <c r="BW576" s="144">
        <f t="shared" si="811"/>
        <v>0</v>
      </c>
      <c r="BX576" s="144">
        <f t="shared" si="812"/>
        <v>0</v>
      </c>
      <c r="BY576" s="5"/>
      <c r="BZ576" s="5"/>
      <c r="CA576" s="4"/>
      <c r="CB576" s="5"/>
      <c r="CC576" s="5"/>
      <c r="CD576" s="5"/>
      <c r="CE576" s="5"/>
      <c r="CF576" s="64"/>
      <c r="CG576" s="70"/>
      <c r="CH576" s="70"/>
      <c r="CI576" s="70"/>
      <c r="CJ576" s="63"/>
      <c r="CK576" s="8">
        <f t="shared" si="963"/>
        <v>3436.5709999999999</v>
      </c>
      <c r="CL576" s="202">
        <f t="shared" si="885"/>
        <v>-3436.5709999999999</v>
      </c>
      <c r="CM576" s="202">
        <f t="shared" si="886"/>
        <v>-3436.5709999999999</v>
      </c>
      <c r="CN576" s="202">
        <f t="shared" si="887"/>
        <v>-3436.5709999999999</v>
      </c>
      <c r="CO576" s="9">
        <f t="shared" si="888"/>
        <v>-3436.5709999999999</v>
      </c>
      <c r="CP576" s="9">
        <f t="shared" si="889"/>
        <v>-3436.5709999999999</v>
      </c>
      <c r="CQ576" s="9">
        <f t="shared" si="890"/>
        <v>-3436.5709999999999</v>
      </c>
      <c r="CR576" s="202">
        <f t="shared" si="891"/>
        <v>-3436.5709999999999</v>
      </c>
      <c r="CS576" s="202">
        <f t="shared" si="892"/>
        <v>-3436.5709999999999</v>
      </c>
      <c r="CT576" s="202">
        <f t="shared" si="893"/>
        <v>-3436.5709999999999</v>
      </c>
      <c r="CU576" s="203" t="e">
        <f t="shared" si="894"/>
        <v>#DIV/0!</v>
      </c>
      <c r="CV576" s="203" t="e">
        <f t="shared" si="895"/>
        <v>#DIV/0!</v>
      </c>
      <c r="CW576" s="203" t="e">
        <f t="shared" si="896"/>
        <v>#DIV/0!</v>
      </c>
      <c r="CX576" s="19" t="e">
        <f t="shared" si="897"/>
        <v>#DIV/0!</v>
      </c>
      <c r="CY576" s="19" t="e">
        <f t="shared" si="898"/>
        <v>#DIV/0!</v>
      </c>
      <c r="CZ576" s="19" t="e">
        <f t="shared" si="899"/>
        <v>#DIV/0!</v>
      </c>
      <c r="DA576" s="203" t="e">
        <f t="shared" si="900"/>
        <v>#DIV/0!</v>
      </c>
      <c r="DB576" s="203" t="e">
        <f t="shared" si="901"/>
        <v>#DIV/0!</v>
      </c>
      <c r="DC576" s="203" t="e">
        <f t="shared" si="902"/>
        <v>#DIV/0!</v>
      </c>
      <c r="DD576" s="65"/>
      <c r="DE576" s="66"/>
      <c r="DF576" s="66"/>
      <c r="DG576" s="66"/>
      <c r="DH576" s="66"/>
      <c r="DI576" s="66"/>
      <c r="DJ576" s="66"/>
      <c r="DK576" s="70"/>
      <c r="DL576" s="70"/>
      <c r="DM576" s="8">
        <f t="shared" si="964"/>
        <v>0</v>
      </c>
      <c r="DN576" s="8">
        <f t="shared" si="965"/>
        <v>3436.5709999999999</v>
      </c>
      <c r="DO576" s="202">
        <f t="shared" si="939"/>
        <v>-3436.5709999999999</v>
      </c>
      <c r="DP576" s="202">
        <f t="shared" si="940"/>
        <v>-3436.5709999999999</v>
      </c>
      <c r="DQ576" s="202">
        <f t="shared" si="941"/>
        <v>-3436.5709999999999</v>
      </c>
      <c r="DR576" s="9">
        <f t="shared" si="942"/>
        <v>-3436.5709999999999</v>
      </c>
      <c r="DS576" s="9">
        <f t="shared" si="905"/>
        <v>-3436.5709999999999</v>
      </c>
      <c r="DT576" s="9">
        <f t="shared" si="943"/>
        <v>-3436.5709999999999</v>
      </c>
      <c r="DU576" s="202">
        <f t="shared" si="944"/>
        <v>-3436.5709999999999</v>
      </c>
      <c r="DV576" s="202">
        <f t="shared" si="945"/>
        <v>-3436.5709999999999</v>
      </c>
      <c r="DW576" s="202">
        <f t="shared" si="946"/>
        <v>-3436.5709999999999</v>
      </c>
      <c r="DX576" s="203" t="e">
        <f t="shared" si="947"/>
        <v>#DIV/0!</v>
      </c>
      <c r="DY576" s="203" t="e">
        <f t="shared" si="948"/>
        <v>#DIV/0!</v>
      </c>
      <c r="DZ576" s="203" t="e">
        <f t="shared" si="949"/>
        <v>#DIV/0!</v>
      </c>
      <c r="EA576" s="19" t="e">
        <f t="shared" si="950"/>
        <v>#DIV/0!</v>
      </c>
      <c r="EB576" s="19" t="e">
        <f t="shared" si="906"/>
        <v>#DIV/0!</v>
      </c>
      <c r="EC576" s="19" t="e">
        <f t="shared" si="951"/>
        <v>#DIV/0!</v>
      </c>
      <c r="ED576" s="203" t="e">
        <f t="shared" si="952"/>
        <v>#DIV/0!</v>
      </c>
      <c r="EE576" s="203" t="e">
        <f t="shared" si="953"/>
        <v>#DIV/0!</v>
      </c>
      <c r="EF576" s="203" t="e">
        <f t="shared" si="954"/>
        <v>#DIV/0!</v>
      </c>
      <c r="EH576" s="58">
        <f t="shared" si="798"/>
        <v>3436.5709999999999</v>
      </c>
      <c r="EI576" s="68" t="e">
        <f t="shared" si="799"/>
        <v>#DIV/0!</v>
      </c>
      <c r="EJ576" s="58">
        <f t="shared" si="800"/>
        <v>3436.5709999999999</v>
      </c>
      <c r="EK576" s="68" t="e">
        <f t="shared" si="799"/>
        <v>#DIV/0!</v>
      </c>
      <c r="EL576" s="58">
        <f t="shared" si="801"/>
        <v>0</v>
      </c>
      <c r="EM576" s="58">
        <f t="shared" si="802"/>
        <v>0</v>
      </c>
      <c r="EN576" s="68" t="e">
        <f t="shared" si="803"/>
        <v>#DIV/0!</v>
      </c>
      <c r="EO576" s="139">
        <f t="shared" si="854"/>
        <v>0.28868615856523006</v>
      </c>
      <c r="EP576">
        <f>+(SUM(M576:O576)*EO576*(1-'[1]Tier 3 Data'!$A$2))</f>
        <v>0</v>
      </c>
    </row>
    <row r="577" spans="1:146" x14ac:dyDescent="0.2">
      <c r="A577" s="43">
        <v>0</v>
      </c>
      <c r="B577" s="43">
        <v>0</v>
      </c>
      <c r="C577" s="43">
        <v>0</v>
      </c>
      <c r="D577" s="70">
        <v>2055</v>
      </c>
      <c r="E577" s="70">
        <v>6</v>
      </c>
      <c r="F577" s="2">
        <v>720</v>
      </c>
      <c r="G577" s="133">
        <f t="shared" si="838"/>
        <v>0</v>
      </c>
      <c r="H577" s="64"/>
      <c r="I577" s="133">
        <f t="shared" si="839"/>
        <v>0</v>
      </c>
      <c r="J577" s="133">
        <f t="shared" ref="J577:J595" si="980">+K577</f>
        <v>0</v>
      </c>
      <c r="K577" s="64"/>
      <c r="L577" s="133">
        <f t="shared" ref="L577:L595" si="981">+K577</f>
        <v>0</v>
      </c>
      <c r="M577" s="5"/>
      <c r="N577" s="5"/>
      <c r="O577" s="5"/>
      <c r="P577" s="200">
        <f t="shared" si="972"/>
        <v>0</v>
      </c>
      <c r="Q577" s="200">
        <f t="shared" si="973"/>
        <v>0</v>
      </c>
      <c r="R577" s="200">
        <f t="shared" si="974"/>
        <v>0</v>
      </c>
      <c r="S577" s="133">
        <f t="shared" si="840"/>
        <v>0</v>
      </c>
      <c r="T577" s="133">
        <f t="shared" si="841"/>
        <v>0</v>
      </c>
      <c r="U577" s="133">
        <f t="shared" si="842"/>
        <v>0</v>
      </c>
      <c r="V577" s="200">
        <f t="shared" si="975"/>
        <v>0</v>
      </c>
      <c r="W577" s="200">
        <f t="shared" si="976"/>
        <v>0</v>
      </c>
      <c r="X577" s="200">
        <f t="shared" si="977"/>
        <v>0</v>
      </c>
      <c r="Y577" s="58">
        <f t="shared" si="813"/>
        <v>0</v>
      </c>
      <c r="AA577" s="58">
        <f t="shared" si="814"/>
        <v>0</v>
      </c>
      <c r="AB577" s="200">
        <f t="shared" si="815"/>
        <v>0</v>
      </c>
      <c r="AC577" s="200">
        <f t="shared" si="816"/>
        <v>0</v>
      </c>
      <c r="AD577" s="200">
        <f t="shared" si="817"/>
        <v>0</v>
      </c>
      <c r="AE577" s="199">
        <f t="shared" si="921"/>
        <v>0</v>
      </c>
      <c r="AF577" s="199">
        <f t="shared" si="818"/>
        <v>0</v>
      </c>
      <c r="AG577" s="199">
        <f t="shared" si="922"/>
        <v>0</v>
      </c>
      <c r="AH577" s="199">
        <f t="shared" si="843"/>
        <v>0</v>
      </c>
      <c r="AI577" s="200">
        <f t="shared" si="819"/>
        <v>0</v>
      </c>
      <c r="AJ577" s="200">
        <f t="shared" si="820"/>
        <v>0</v>
      </c>
      <c r="AK577" s="200">
        <f t="shared" si="821"/>
        <v>0</v>
      </c>
      <c r="AL577" s="4"/>
      <c r="AM577" s="4"/>
      <c r="AN577" s="4"/>
      <c r="AO577" s="4"/>
      <c r="AP577" s="63"/>
      <c r="AQ577" s="18"/>
      <c r="AR577" s="18"/>
      <c r="AS577" s="18"/>
      <c r="AT577" s="18">
        <v>0</v>
      </c>
      <c r="AU577" s="133">
        <f t="shared" ref="AU577" si="982">+AU565</f>
        <v>128.934</v>
      </c>
      <c r="AV577" s="133">
        <f t="shared" ref="AV577" si="983">+AV565</f>
        <v>3110.2840000000001</v>
      </c>
      <c r="AW577" s="194"/>
      <c r="AX577" s="194"/>
      <c r="AY577" s="194"/>
      <c r="AZ577" s="194"/>
      <c r="BA577" s="194"/>
      <c r="BB577" s="194"/>
      <c r="BC577" s="65">
        <v>0</v>
      </c>
      <c r="BD577" s="65">
        <v>0</v>
      </c>
      <c r="BE577" s="65">
        <v>0</v>
      </c>
      <c r="BF577" s="65">
        <v>0</v>
      </c>
      <c r="BG577" s="65">
        <v>0</v>
      </c>
      <c r="BH577" s="65">
        <v>0</v>
      </c>
      <c r="BI577" s="65">
        <v>0</v>
      </c>
      <c r="BJ577" s="65">
        <v>0</v>
      </c>
      <c r="BK577" s="65">
        <v>0</v>
      </c>
      <c r="BL577" s="65">
        <v>0</v>
      </c>
      <c r="BM577" s="65">
        <v>0</v>
      </c>
      <c r="BN577" s="65">
        <v>0</v>
      </c>
      <c r="BO577" s="65">
        <v>0</v>
      </c>
      <c r="BP577" s="5"/>
      <c r="BQ577" s="5"/>
      <c r="BR577" s="5"/>
      <c r="BS577" s="5"/>
      <c r="BT577" s="5"/>
      <c r="BU577" s="5"/>
      <c r="BV577" s="144">
        <f t="shared" si="810"/>
        <v>0</v>
      </c>
      <c r="BW577" s="144">
        <f t="shared" si="811"/>
        <v>0</v>
      </c>
      <c r="BX577" s="144">
        <f t="shared" si="812"/>
        <v>0</v>
      </c>
      <c r="BY577" s="5"/>
      <c r="BZ577" s="5"/>
      <c r="CA577" s="4"/>
      <c r="CB577" s="5"/>
      <c r="CC577" s="5"/>
      <c r="CD577" s="5"/>
      <c r="CE577" s="5"/>
      <c r="CF577" s="64"/>
      <c r="CG577" s="70"/>
      <c r="CH577" s="70"/>
      <c r="CI577" s="70"/>
      <c r="CJ577" s="63"/>
      <c r="CK577" s="8">
        <f t="shared" si="963"/>
        <v>3239.2180000000003</v>
      </c>
      <c r="CL577" s="202">
        <f t="shared" si="885"/>
        <v>-3239.2180000000003</v>
      </c>
      <c r="CM577" s="202">
        <f t="shared" si="886"/>
        <v>-3239.2180000000003</v>
      </c>
      <c r="CN577" s="202">
        <f t="shared" si="887"/>
        <v>-3239.2180000000003</v>
      </c>
      <c r="CO577" s="9">
        <f t="shared" si="888"/>
        <v>-3239.2180000000003</v>
      </c>
      <c r="CP577" s="9">
        <f t="shared" si="889"/>
        <v>-3239.2180000000003</v>
      </c>
      <c r="CQ577" s="9">
        <f t="shared" si="890"/>
        <v>-3239.2180000000003</v>
      </c>
      <c r="CR577" s="202">
        <f t="shared" si="891"/>
        <v>-3239.2180000000003</v>
      </c>
      <c r="CS577" s="202">
        <f t="shared" si="892"/>
        <v>-3239.2180000000003</v>
      </c>
      <c r="CT577" s="202">
        <f t="shared" si="893"/>
        <v>-3239.2180000000003</v>
      </c>
      <c r="CU577" s="203" t="e">
        <f t="shared" si="894"/>
        <v>#DIV/0!</v>
      </c>
      <c r="CV577" s="203" t="e">
        <f t="shared" si="895"/>
        <v>#DIV/0!</v>
      </c>
      <c r="CW577" s="203" t="e">
        <f t="shared" si="896"/>
        <v>#DIV/0!</v>
      </c>
      <c r="CX577" s="19" t="e">
        <f t="shared" si="897"/>
        <v>#DIV/0!</v>
      </c>
      <c r="CY577" s="19" t="e">
        <f t="shared" si="898"/>
        <v>#DIV/0!</v>
      </c>
      <c r="CZ577" s="19" t="e">
        <f t="shared" si="899"/>
        <v>#DIV/0!</v>
      </c>
      <c r="DA577" s="203" t="e">
        <f t="shared" si="900"/>
        <v>#DIV/0!</v>
      </c>
      <c r="DB577" s="203" t="e">
        <f t="shared" si="901"/>
        <v>#DIV/0!</v>
      </c>
      <c r="DC577" s="203" t="e">
        <f t="shared" si="902"/>
        <v>#DIV/0!</v>
      </c>
      <c r="DD577" s="65"/>
      <c r="DE577" s="66"/>
      <c r="DF577" s="66"/>
      <c r="DG577" s="66"/>
      <c r="DH577" s="66"/>
      <c r="DI577" s="66"/>
      <c r="DJ577" s="66"/>
      <c r="DK577" s="70"/>
      <c r="DL577" s="70"/>
      <c r="DM577" s="8">
        <f t="shared" si="964"/>
        <v>0</v>
      </c>
      <c r="DN577" s="8">
        <f t="shared" si="965"/>
        <v>3239.2180000000003</v>
      </c>
      <c r="DO577" s="202">
        <f t="shared" si="939"/>
        <v>-3239.2180000000003</v>
      </c>
      <c r="DP577" s="202">
        <f t="shared" si="940"/>
        <v>-3239.2180000000003</v>
      </c>
      <c r="DQ577" s="202">
        <f t="shared" si="941"/>
        <v>-3239.2180000000003</v>
      </c>
      <c r="DR577" s="9">
        <f t="shared" si="942"/>
        <v>-3239.2180000000003</v>
      </c>
      <c r="DS577" s="9">
        <f t="shared" si="905"/>
        <v>-3239.2180000000003</v>
      </c>
      <c r="DT577" s="9">
        <f t="shared" si="943"/>
        <v>-3239.2180000000003</v>
      </c>
      <c r="DU577" s="202">
        <f t="shared" si="944"/>
        <v>-3239.2180000000003</v>
      </c>
      <c r="DV577" s="202">
        <f t="shared" si="945"/>
        <v>-3239.2180000000003</v>
      </c>
      <c r="DW577" s="202">
        <f t="shared" si="946"/>
        <v>-3239.2180000000003</v>
      </c>
      <c r="DX577" s="203" t="e">
        <f t="shared" si="947"/>
        <v>#DIV/0!</v>
      </c>
      <c r="DY577" s="203" t="e">
        <f t="shared" si="948"/>
        <v>#DIV/0!</v>
      </c>
      <c r="DZ577" s="203" t="e">
        <f t="shared" si="949"/>
        <v>#DIV/0!</v>
      </c>
      <c r="EA577" s="19" t="e">
        <f t="shared" si="950"/>
        <v>#DIV/0!</v>
      </c>
      <c r="EB577" s="19" t="e">
        <f t="shared" si="906"/>
        <v>#DIV/0!</v>
      </c>
      <c r="EC577" s="19" t="e">
        <f t="shared" si="951"/>
        <v>#DIV/0!</v>
      </c>
      <c r="ED577" s="203" t="e">
        <f t="shared" si="952"/>
        <v>#DIV/0!</v>
      </c>
      <c r="EE577" s="203" t="e">
        <f t="shared" si="953"/>
        <v>#DIV/0!</v>
      </c>
      <c r="EF577" s="203" t="e">
        <f t="shared" si="954"/>
        <v>#DIV/0!</v>
      </c>
      <c r="EH577" s="58">
        <f t="shared" si="798"/>
        <v>3239.2180000000003</v>
      </c>
      <c r="EI577" s="68" t="e">
        <f t="shared" si="799"/>
        <v>#DIV/0!</v>
      </c>
      <c r="EJ577" s="58">
        <f t="shared" si="800"/>
        <v>3239.2180000000003</v>
      </c>
      <c r="EK577" s="68" t="e">
        <f t="shared" si="799"/>
        <v>#DIV/0!</v>
      </c>
      <c r="EL577" s="58">
        <f t="shared" si="801"/>
        <v>0</v>
      </c>
      <c r="EM577" s="58">
        <f t="shared" si="802"/>
        <v>0</v>
      </c>
      <c r="EN577" s="68" t="e">
        <f t="shared" si="803"/>
        <v>#DIV/0!</v>
      </c>
      <c r="EO577" s="139">
        <f t="shared" si="854"/>
        <v>0.24029016665052916</v>
      </c>
      <c r="EP577">
        <f>+(SUM(M577:O577)*EO577*(1-'[1]Tier 3 Data'!$A$2))</f>
        <v>0</v>
      </c>
    </row>
    <row r="578" spans="1:146" x14ac:dyDescent="0.2">
      <c r="A578" s="43">
        <v>0</v>
      </c>
      <c r="B578" s="43">
        <v>0</v>
      </c>
      <c r="C578" s="43">
        <v>0</v>
      </c>
      <c r="D578" s="70">
        <v>2055</v>
      </c>
      <c r="E578" s="70">
        <v>7</v>
      </c>
      <c r="F578" s="2">
        <v>744</v>
      </c>
      <c r="G578" s="133">
        <f t="shared" si="838"/>
        <v>0</v>
      </c>
      <c r="H578" s="64"/>
      <c r="I578" s="133">
        <f t="shared" si="839"/>
        <v>0</v>
      </c>
      <c r="J578" s="133">
        <f t="shared" si="980"/>
        <v>0</v>
      </c>
      <c r="K578" s="64"/>
      <c r="L578" s="133">
        <f t="shared" si="981"/>
        <v>0</v>
      </c>
      <c r="M578" s="5"/>
      <c r="N578" s="5"/>
      <c r="O578" s="5"/>
      <c r="P578" s="200">
        <f t="shared" si="972"/>
        <v>0</v>
      </c>
      <c r="Q578" s="200">
        <f t="shared" si="973"/>
        <v>0</v>
      </c>
      <c r="R578" s="200">
        <f t="shared" si="974"/>
        <v>0</v>
      </c>
      <c r="S578" s="133">
        <f t="shared" si="840"/>
        <v>0</v>
      </c>
      <c r="T578" s="133">
        <f t="shared" si="841"/>
        <v>0</v>
      </c>
      <c r="U578" s="133">
        <f t="shared" si="842"/>
        <v>0</v>
      </c>
      <c r="V578" s="200">
        <f t="shared" si="975"/>
        <v>0</v>
      </c>
      <c r="W578" s="200">
        <f t="shared" si="976"/>
        <v>0</v>
      </c>
      <c r="X578" s="200">
        <f t="shared" si="977"/>
        <v>0</v>
      </c>
      <c r="Y578" s="58">
        <f t="shared" si="813"/>
        <v>0</v>
      </c>
      <c r="AA578" s="58">
        <f t="shared" si="814"/>
        <v>0</v>
      </c>
      <c r="AB578" s="200">
        <f t="shared" si="815"/>
        <v>0</v>
      </c>
      <c r="AC578" s="200">
        <f t="shared" si="816"/>
        <v>0</v>
      </c>
      <c r="AD578" s="200">
        <f t="shared" si="817"/>
        <v>0</v>
      </c>
      <c r="AE578" s="199">
        <f t="shared" si="921"/>
        <v>0</v>
      </c>
      <c r="AF578" s="199">
        <f t="shared" si="818"/>
        <v>0</v>
      </c>
      <c r="AG578" s="199">
        <f t="shared" si="922"/>
        <v>0</v>
      </c>
      <c r="AH578" s="199">
        <f t="shared" si="843"/>
        <v>0</v>
      </c>
      <c r="AI578" s="200">
        <f t="shared" si="819"/>
        <v>0</v>
      </c>
      <c r="AJ578" s="200">
        <f t="shared" si="820"/>
        <v>0</v>
      </c>
      <c r="AK578" s="200">
        <f t="shared" si="821"/>
        <v>0</v>
      </c>
      <c r="AL578" s="4"/>
      <c r="AM578" s="4"/>
      <c r="AN578" s="4"/>
      <c r="AO578" s="4"/>
      <c r="AP578" s="63"/>
      <c r="AQ578" s="18"/>
      <c r="AR578" s="18"/>
      <c r="AS578" s="18"/>
      <c r="AT578" s="18">
        <v>0</v>
      </c>
      <c r="AU578" s="133">
        <f t="shared" ref="AU578" si="984">+AU566</f>
        <v>118.521</v>
      </c>
      <c r="AV578" s="133">
        <f t="shared" ref="AV578" si="985">+AV566</f>
        <v>3084.53</v>
      </c>
      <c r="AW578" s="194"/>
      <c r="AX578" s="194"/>
      <c r="AY578" s="194"/>
      <c r="AZ578" s="194"/>
      <c r="BA578" s="194"/>
      <c r="BB578" s="194"/>
      <c r="BC578" s="65">
        <v>0</v>
      </c>
      <c r="BD578" s="65">
        <v>0</v>
      </c>
      <c r="BE578" s="65">
        <v>0</v>
      </c>
      <c r="BF578" s="65">
        <v>0</v>
      </c>
      <c r="BG578" s="65">
        <v>0</v>
      </c>
      <c r="BH578" s="65">
        <v>0</v>
      </c>
      <c r="BI578" s="65">
        <v>0</v>
      </c>
      <c r="BJ578" s="65">
        <v>0</v>
      </c>
      <c r="BK578" s="65">
        <v>0</v>
      </c>
      <c r="BL578" s="65">
        <v>0</v>
      </c>
      <c r="BM578" s="65">
        <v>0</v>
      </c>
      <c r="BN578" s="65">
        <v>0</v>
      </c>
      <c r="BO578" s="65">
        <v>0</v>
      </c>
      <c r="BP578" s="5"/>
      <c r="BQ578" s="5"/>
      <c r="BR578" s="5"/>
      <c r="BS578" s="5"/>
      <c r="BT578" s="5"/>
      <c r="BU578" s="5"/>
      <c r="BV578" s="144">
        <f t="shared" si="810"/>
        <v>0</v>
      </c>
      <c r="BW578" s="144">
        <f t="shared" si="811"/>
        <v>0</v>
      </c>
      <c r="BX578" s="144">
        <f t="shared" si="812"/>
        <v>0</v>
      </c>
      <c r="BY578" s="5"/>
      <c r="BZ578" s="5"/>
      <c r="CA578" s="4"/>
      <c r="CB578" s="5"/>
      <c r="CC578" s="5"/>
      <c r="CD578" s="5"/>
      <c r="CE578" s="5"/>
      <c r="CF578" s="64"/>
      <c r="CG578" s="70"/>
      <c r="CH578" s="70"/>
      <c r="CI578" s="70"/>
      <c r="CJ578" s="63"/>
      <c r="CK578" s="8">
        <f t="shared" si="963"/>
        <v>3203.0510000000004</v>
      </c>
      <c r="CL578" s="202">
        <f t="shared" si="885"/>
        <v>-3203.0510000000004</v>
      </c>
      <c r="CM578" s="202">
        <f t="shared" si="886"/>
        <v>-3203.0510000000004</v>
      </c>
      <c r="CN578" s="202">
        <f t="shared" si="887"/>
        <v>-3203.0510000000004</v>
      </c>
      <c r="CO578" s="9">
        <f t="shared" si="888"/>
        <v>-3203.0510000000004</v>
      </c>
      <c r="CP578" s="9">
        <f t="shared" si="889"/>
        <v>-3203.0510000000004</v>
      </c>
      <c r="CQ578" s="9">
        <f t="shared" si="890"/>
        <v>-3203.0510000000004</v>
      </c>
      <c r="CR578" s="202">
        <f t="shared" si="891"/>
        <v>-3203.0510000000004</v>
      </c>
      <c r="CS578" s="202">
        <f t="shared" si="892"/>
        <v>-3203.0510000000004</v>
      </c>
      <c r="CT578" s="202">
        <f t="shared" si="893"/>
        <v>-3203.0510000000004</v>
      </c>
      <c r="CU578" s="203" t="e">
        <f t="shared" si="894"/>
        <v>#DIV/0!</v>
      </c>
      <c r="CV578" s="203" t="e">
        <f t="shared" si="895"/>
        <v>#DIV/0!</v>
      </c>
      <c r="CW578" s="203" t="e">
        <f t="shared" si="896"/>
        <v>#DIV/0!</v>
      </c>
      <c r="CX578" s="19" t="e">
        <f t="shared" si="897"/>
        <v>#DIV/0!</v>
      </c>
      <c r="CY578" s="19" t="e">
        <f t="shared" si="898"/>
        <v>#DIV/0!</v>
      </c>
      <c r="CZ578" s="19" t="e">
        <f t="shared" si="899"/>
        <v>#DIV/0!</v>
      </c>
      <c r="DA578" s="203" t="e">
        <f t="shared" si="900"/>
        <v>#DIV/0!</v>
      </c>
      <c r="DB578" s="203" t="e">
        <f t="shared" si="901"/>
        <v>#DIV/0!</v>
      </c>
      <c r="DC578" s="203" t="e">
        <f t="shared" si="902"/>
        <v>#DIV/0!</v>
      </c>
      <c r="DD578" s="65"/>
      <c r="DE578" s="66"/>
      <c r="DF578" s="66"/>
      <c r="DG578" s="66"/>
      <c r="DH578" s="66"/>
      <c r="DI578" s="66"/>
      <c r="DJ578" s="66"/>
      <c r="DK578" s="70"/>
      <c r="DL578" s="70"/>
      <c r="DM578" s="8">
        <f t="shared" si="964"/>
        <v>0</v>
      </c>
      <c r="DN578" s="8">
        <f t="shared" si="965"/>
        <v>3203.0510000000004</v>
      </c>
      <c r="DO578" s="202">
        <f t="shared" si="939"/>
        <v>-3203.0510000000004</v>
      </c>
      <c r="DP578" s="202">
        <f t="shared" si="940"/>
        <v>-3203.0510000000004</v>
      </c>
      <c r="DQ578" s="202">
        <f t="shared" si="941"/>
        <v>-3203.0510000000004</v>
      </c>
      <c r="DR578" s="9">
        <f t="shared" si="942"/>
        <v>-3203.0510000000004</v>
      </c>
      <c r="DS578" s="9">
        <f t="shared" si="905"/>
        <v>-3203.0510000000004</v>
      </c>
      <c r="DT578" s="9">
        <f t="shared" si="943"/>
        <v>-3203.0510000000004</v>
      </c>
      <c r="DU578" s="202">
        <f t="shared" si="944"/>
        <v>-3203.0510000000004</v>
      </c>
      <c r="DV578" s="202">
        <f t="shared" si="945"/>
        <v>-3203.0510000000004</v>
      </c>
      <c r="DW578" s="202">
        <f t="shared" si="946"/>
        <v>-3203.0510000000004</v>
      </c>
      <c r="DX578" s="203" t="e">
        <f t="shared" si="947"/>
        <v>#DIV/0!</v>
      </c>
      <c r="DY578" s="203" t="e">
        <f t="shared" si="948"/>
        <v>#DIV/0!</v>
      </c>
      <c r="DZ578" s="203" t="e">
        <f t="shared" si="949"/>
        <v>#DIV/0!</v>
      </c>
      <c r="EA578" s="19" t="e">
        <f t="shared" si="950"/>
        <v>#DIV/0!</v>
      </c>
      <c r="EB578" s="19" t="e">
        <f t="shared" si="906"/>
        <v>#DIV/0!</v>
      </c>
      <c r="EC578" s="19" t="e">
        <f t="shared" si="951"/>
        <v>#DIV/0!</v>
      </c>
      <c r="ED578" s="203" t="e">
        <f t="shared" si="952"/>
        <v>#DIV/0!</v>
      </c>
      <c r="EE578" s="203" t="e">
        <f t="shared" si="953"/>
        <v>#DIV/0!</v>
      </c>
      <c r="EF578" s="203" t="e">
        <f t="shared" si="954"/>
        <v>#DIV/0!</v>
      </c>
      <c r="EH578" s="58">
        <f t="shared" si="798"/>
        <v>3203.0510000000004</v>
      </c>
      <c r="EI578" s="68" t="e">
        <f t="shared" si="799"/>
        <v>#DIV/0!</v>
      </c>
      <c r="EJ578" s="58">
        <f t="shared" si="800"/>
        <v>3203.0510000000004</v>
      </c>
      <c r="EK578" s="68" t="e">
        <f t="shared" si="799"/>
        <v>#DIV/0!</v>
      </c>
      <c r="EL578" s="58">
        <f t="shared" si="801"/>
        <v>0</v>
      </c>
      <c r="EM578" s="58">
        <f t="shared" si="802"/>
        <v>0</v>
      </c>
      <c r="EN578" s="68" t="e">
        <f t="shared" si="803"/>
        <v>#DIV/0!</v>
      </c>
      <c r="EO578" s="139">
        <f t="shared" si="854"/>
        <v>0.25197746931178833</v>
      </c>
      <c r="EP578">
        <f>+(SUM(M578:O578)*EO578*(1-'[1]Tier 3 Data'!$A$2))</f>
        <v>0</v>
      </c>
    </row>
    <row r="579" spans="1:146" x14ac:dyDescent="0.2">
      <c r="A579" s="43">
        <v>0</v>
      </c>
      <c r="B579" s="43">
        <v>0</v>
      </c>
      <c r="C579" s="43">
        <v>0</v>
      </c>
      <c r="D579" s="70">
        <v>2055</v>
      </c>
      <c r="E579" s="70">
        <v>8</v>
      </c>
      <c r="F579" s="2">
        <v>744</v>
      </c>
      <c r="G579" s="133">
        <f t="shared" si="838"/>
        <v>0</v>
      </c>
      <c r="H579" s="64"/>
      <c r="I579" s="133">
        <f t="shared" si="839"/>
        <v>0</v>
      </c>
      <c r="J579" s="133">
        <f t="shared" si="980"/>
        <v>0</v>
      </c>
      <c r="K579" s="64"/>
      <c r="L579" s="133">
        <f t="shared" si="981"/>
        <v>0</v>
      </c>
      <c r="M579" s="5"/>
      <c r="N579" s="5"/>
      <c r="O579" s="5"/>
      <c r="P579" s="200">
        <f t="shared" si="972"/>
        <v>0</v>
      </c>
      <c r="Q579" s="200">
        <f t="shared" si="973"/>
        <v>0</v>
      </c>
      <c r="R579" s="200">
        <f t="shared" si="974"/>
        <v>0</v>
      </c>
      <c r="S579" s="133">
        <f t="shared" si="840"/>
        <v>0</v>
      </c>
      <c r="T579" s="133">
        <f t="shared" si="841"/>
        <v>0</v>
      </c>
      <c r="U579" s="133">
        <f t="shared" si="842"/>
        <v>0</v>
      </c>
      <c r="V579" s="200">
        <f t="shared" si="975"/>
        <v>0</v>
      </c>
      <c r="W579" s="200">
        <f t="shared" si="976"/>
        <v>0</v>
      </c>
      <c r="X579" s="200">
        <f t="shared" si="977"/>
        <v>0</v>
      </c>
      <c r="Y579" s="58">
        <f t="shared" si="813"/>
        <v>0</v>
      </c>
      <c r="AA579" s="58">
        <f t="shared" si="814"/>
        <v>0</v>
      </c>
      <c r="AB579" s="200">
        <f t="shared" si="815"/>
        <v>0</v>
      </c>
      <c r="AC579" s="200">
        <f t="shared" si="816"/>
        <v>0</v>
      </c>
      <c r="AD579" s="200">
        <f t="shared" si="817"/>
        <v>0</v>
      </c>
      <c r="AE579" s="199">
        <f t="shared" si="921"/>
        <v>0</v>
      </c>
      <c r="AF579" s="199">
        <f t="shared" si="818"/>
        <v>0</v>
      </c>
      <c r="AG579" s="199">
        <f t="shared" si="922"/>
        <v>0</v>
      </c>
      <c r="AH579" s="199">
        <f t="shared" si="843"/>
        <v>0</v>
      </c>
      <c r="AI579" s="200">
        <f t="shared" si="819"/>
        <v>0</v>
      </c>
      <c r="AJ579" s="200">
        <f t="shared" si="820"/>
        <v>0</v>
      </c>
      <c r="AK579" s="200">
        <f t="shared" si="821"/>
        <v>0</v>
      </c>
      <c r="AL579" s="4"/>
      <c r="AM579" s="4"/>
      <c r="AN579" s="4"/>
      <c r="AO579" s="4"/>
      <c r="AP579" s="63"/>
      <c r="AQ579" s="18"/>
      <c r="AR579" s="18"/>
      <c r="AS579" s="18"/>
      <c r="AT579" s="18">
        <v>0</v>
      </c>
      <c r="AU579" s="133">
        <f t="shared" ref="AU579" si="986">+AU567</f>
        <v>107.64</v>
      </c>
      <c r="AV579" s="133">
        <f t="shared" ref="AV579" si="987">+AV567</f>
        <v>3021.9279999999999</v>
      </c>
      <c r="AW579" s="194"/>
      <c r="AX579" s="194"/>
      <c r="AY579" s="194"/>
      <c r="AZ579" s="194"/>
      <c r="BA579" s="194"/>
      <c r="BB579" s="194"/>
      <c r="BC579" s="65">
        <v>0</v>
      </c>
      <c r="BD579" s="65">
        <v>0</v>
      </c>
      <c r="BE579" s="65">
        <v>0</v>
      </c>
      <c r="BF579" s="65">
        <v>0</v>
      </c>
      <c r="BG579" s="65">
        <v>0</v>
      </c>
      <c r="BH579" s="65">
        <v>0</v>
      </c>
      <c r="BI579" s="65">
        <v>0</v>
      </c>
      <c r="BJ579" s="65">
        <v>0</v>
      </c>
      <c r="BK579" s="65">
        <v>0</v>
      </c>
      <c r="BL579" s="65">
        <v>0</v>
      </c>
      <c r="BM579" s="65">
        <v>0</v>
      </c>
      <c r="BN579" s="65">
        <v>0</v>
      </c>
      <c r="BO579" s="65">
        <v>0</v>
      </c>
      <c r="BP579" s="5"/>
      <c r="BQ579" s="5"/>
      <c r="BR579" s="5"/>
      <c r="BS579" s="5"/>
      <c r="BT579" s="5"/>
      <c r="BU579" s="5"/>
      <c r="BV579" s="144">
        <f t="shared" si="810"/>
        <v>0</v>
      </c>
      <c r="BW579" s="144">
        <f t="shared" si="811"/>
        <v>0</v>
      </c>
      <c r="BX579" s="144">
        <f t="shared" si="812"/>
        <v>0</v>
      </c>
      <c r="BY579" s="5"/>
      <c r="BZ579" s="5"/>
      <c r="CA579" s="4"/>
      <c r="CB579" s="5"/>
      <c r="CC579" s="5"/>
      <c r="CD579" s="5"/>
      <c r="CE579" s="5"/>
      <c r="CF579" s="64"/>
      <c r="CG579" s="70"/>
      <c r="CH579" s="70"/>
      <c r="CI579" s="70"/>
      <c r="CJ579" s="63"/>
      <c r="CK579" s="8">
        <f t="shared" si="963"/>
        <v>3129.5679999999998</v>
      </c>
      <c r="CL579" s="202">
        <f t="shared" si="885"/>
        <v>-3129.5679999999998</v>
      </c>
      <c r="CM579" s="202">
        <f t="shared" si="886"/>
        <v>-3129.5679999999998</v>
      </c>
      <c r="CN579" s="202">
        <f t="shared" si="887"/>
        <v>-3129.5679999999998</v>
      </c>
      <c r="CO579" s="9">
        <f t="shared" si="888"/>
        <v>-3129.5679999999998</v>
      </c>
      <c r="CP579" s="9">
        <f t="shared" si="889"/>
        <v>-3129.5679999999998</v>
      </c>
      <c r="CQ579" s="9">
        <f t="shared" si="890"/>
        <v>-3129.5679999999998</v>
      </c>
      <c r="CR579" s="202">
        <f t="shared" si="891"/>
        <v>-3129.5679999999998</v>
      </c>
      <c r="CS579" s="202">
        <f t="shared" si="892"/>
        <v>-3129.5679999999998</v>
      </c>
      <c r="CT579" s="202">
        <f t="shared" si="893"/>
        <v>-3129.5679999999998</v>
      </c>
      <c r="CU579" s="203" t="e">
        <f t="shared" si="894"/>
        <v>#DIV/0!</v>
      </c>
      <c r="CV579" s="203" t="e">
        <f t="shared" si="895"/>
        <v>#DIV/0!</v>
      </c>
      <c r="CW579" s="203" t="e">
        <f t="shared" si="896"/>
        <v>#DIV/0!</v>
      </c>
      <c r="CX579" s="19" t="e">
        <f t="shared" si="897"/>
        <v>#DIV/0!</v>
      </c>
      <c r="CY579" s="19" t="e">
        <f t="shared" si="898"/>
        <v>#DIV/0!</v>
      </c>
      <c r="CZ579" s="19" t="e">
        <f t="shared" si="899"/>
        <v>#DIV/0!</v>
      </c>
      <c r="DA579" s="203" t="e">
        <f t="shared" si="900"/>
        <v>#DIV/0!</v>
      </c>
      <c r="DB579" s="203" t="e">
        <f t="shared" si="901"/>
        <v>#DIV/0!</v>
      </c>
      <c r="DC579" s="203" t="e">
        <f t="shared" si="902"/>
        <v>#DIV/0!</v>
      </c>
      <c r="DD579" s="65"/>
      <c r="DE579" s="66"/>
      <c r="DF579" s="66"/>
      <c r="DG579" s="66"/>
      <c r="DH579" s="66"/>
      <c r="DI579" s="66"/>
      <c r="DJ579" s="66"/>
      <c r="DK579" s="70"/>
      <c r="DL579" s="70"/>
      <c r="DM579" s="8">
        <f t="shared" si="964"/>
        <v>0</v>
      </c>
      <c r="DN579" s="8">
        <f t="shared" si="965"/>
        <v>3129.5679999999998</v>
      </c>
      <c r="DO579" s="202">
        <f t="shared" si="939"/>
        <v>-3129.5679999999998</v>
      </c>
      <c r="DP579" s="202">
        <f t="shared" si="940"/>
        <v>-3129.5679999999998</v>
      </c>
      <c r="DQ579" s="202">
        <f t="shared" si="941"/>
        <v>-3129.5679999999998</v>
      </c>
      <c r="DR579" s="9">
        <f t="shared" si="942"/>
        <v>-3129.5679999999998</v>
      </c>
      <c r="DS579" s="9">
        <f t="shared" si="905"/>
        <v>-3129.5679999999998</v>
      </c>
      <c r="DT579" s="9">
        <f t="shared" si="943"/>
        <v>-3129.5679999999998</v>
      </c>
      <c r="DU579" s="202">
        <f t="shared" si="944"/>
        <v>-3129.5679999999998</v>
      </c>
      <c r="DV579" s="202">
        <f t="shared" si="945"/>
        <v>-3129.5679999999998</v>
      </c>
      <c r="DW579" s="202">
        <f t="shared" si="946"/>
        <v>-3129.5679999999998</v>
      </c>
      <c r="DX579" s="203" t="e">
        <f t="shared" si="947"/>
        <v>#DIV/0!</v>
      </c>
      <c r="DY579" s="203" t="e">
        <f t="shared" si="948"/>
        <v>#DIV/0!</v>
      </c>
      <c r="DZ579" s="203" t="e">
        <f t="shared" si="949"/>
        <v>#DIV/0!</v>
      </c>
      <c r="EA579" s="19" t="e">
        <f t="shared" si="950"/>
        <v>#DIV/0!</v>
      </c>
      <c r="EB579" s="19" t="e">
        <f t="shared" si="906"/>
        <v>#DIV/0!</v>
      </c>
      <c r="EC579" s="19" t="e">
        <f t="shared" si="951"/>
        <v>#DIV/0!</v>
      </c>
      <c r="ED579" s="203" t="e">
        <f t="shared" si="952"/>
        <v>#DIV/0!</v>
      </c>
      <c r="EE579" s="203" t="e">
        <f t="shared" si="953"/>
        <v>#DIV/0!</v>
      </c>
      <c r="EF579" s="203" t="e">
        <f t="shared" si="954"/>
        <v>#DIV/0!</v>
      </c>
      <c r="EH579" s="58">
        <f t="shared" si="798"/>
        <v>3129.5679999999998</v>
      </c>
      <c r="EI579" s="68" t="e">
        <f t="shared" si="799"/>
        <v>#DIV/0!</v>
      </c>
      <c r="EJ579" s="58">
        <f t="shared" si="800"/>
        <v>3129.5679999999998</v>
      </c>
      <c r="EK579" s="68" t="e">
        <f t="shared" si="799"/>
        <v>#DIV/0!</v>
      </c>
      <c r="EL579" s="58">
        <f t="shared" si="801"/>
        <v>0</v>
      </c>
      <c r="EM579" s="58">
        <f t="shared" si="802"/>
        <v>0</v>
      </c>
      <c r="EN579" s="68" t="e">
        <f t="shared" si="803"/>
        <v>#DIV/0!</v>
      </c>
      <c r="EO579" s="139">
        <f t="shared" si="854"/>
        <v>0.28519905910129462</v>
      </c>
      <c r="EP579">
        <f>+(SUM(M579:O579)*EO579*(1-'[1]Tier 3 Data'!$A$2))</f>
        <v>0</v>
      </c>
    </row>
    <row r="580" spans="1:146" x14ac:dyDescent="0.2">
      <c r="A580" s="43">
        <v>0</v>
      </c>
      <c r="B580" s="43">
        <v>0</v>
      </c>
      <c r="C580" s="43">
        <v>0</v>
      </c>
      <c r="D580" s="70">
        <v>2055</v>
      </c>
      <c r="E580" s="70">
        <v>9</v>
      </c>
      <c r="F580" s="2">
        <v>720</v>
      </c>
      <c r="G580" s="133">
        <f t="shared" si="838"/>
        <v>0</v>
      </c>
      <c r="H580" s="64"/>
      <c r="I580" s="133">
        <f t="shared" si="839"/>
        <v>0</v>
      </c>
      <c r="J580" s="133">
        <f t="shared" si="980"/>
        <v>0</v>
      </c>
      <c r="K580" s="64"/>
      <c r="L580" s="133">
        <f t="shared" si="981"/>
        <v>0</v>
      </c>
      <c r="M580" s="5"/>
      <c r="N580" s="5"/>
      <c r="O580" s="5"/>
      <c r="P580" s="200">
        <f t="shared" si="972"/>
        <v>0</v>
      </c>
      <c r="Q580" s="200">
        <f t="shared" si="973"/>
        <v>0</v>
      </c>
      <c r="R580" s="200">
        <f t="shared" si="974"/>
        <v>0</v>
      </c>
      <c r="S580" s="133">
        <f t="shared" si="840"/>
        <v>0</v>
      </c>
      <c r="T580" s="133">
        <f t="shared" si="841"/>
        <v>0</v>
      </c>
      <c r="U580" s="133">
        <f t="shared" si="842"/>
        <v>0</v>
      </c>
      <c r="V580" s="200">
        <f t="shared" si="975"/>
        <v>0</v>
      </c>
      <c r="W580" s="200">
        <f t="shared" si="976"/>
        <v>0</v>
      </c>
      <c r="X580" s="200">
        <f t="shared" si="977"/>
        <v>0</v>
      </c>
      <c r="Y580" s="58">
        <f t="shared" si="813"/>
        <v>0</v>
      </c>
      <c r="AA580" s="58">
        <f t="shared" si="814"/>
        <v>0</v>
      </c>
      <c r="AB580" s="200">
        <f t="shared" si="815"/>
        <v>0</v>
      </c>
      <c r="AC580" s="200">
        <f t="shared" si="816"/>
        <v>0</v>
      </c>
      <c r="AD580" s="200">
        <f t="shared" si="817"/>
        <v>0</v>
      </c>
      <c r="AE580" s="199">
        <f t="shared" si="921"/>
        <v>0</v>
      </c>
      <c r="AF580" s="199">
        <f t="shared" si="818"/>
        <v>0</v>
      </c>
      <c r="AG580" s="199">
        <f t="shared" si="922"/>
        <v>0</v>
      </c>
      <c r="AH580" s="199">
        <f t="shared" si="843"/>
        <v>0</v>
      </c>
      <c r="AI580" s="200">
        <f t="shared" si="819"/>
        <v>0</v>
      </c>
      <c r="AJ580" s="200">
        <f t="shared" si="820"/>
        <v>0</v>
      </c>
      <c r="AK580" s="200">
        <f t="shared" si="821"/>
        <v>0</v>
      </c>
      <c r="AL580" s="4"/>
      <c r="AM580" s="4"/>
      <c r="AN580" s="4"/>
      <c r="AO580" s="4"/>
      <c r="AP580" s="63"/>
      <c r="AQ580" s="18"/>
      <c r="AR580" s="18"/>
      <c r="AS580" s="18"/>
      <c r="AT580" s="18">
        <v>0</v>
      </c>
      <c r="AU580" s="133">
        <f t="shared" ref="AU580" si="988">+AU568</f>
        <v>102.375</v>
      </c>
      <c r="AV580" s="133">
        <f t="shared" ref="AV580" si="989">+AV568</f>
        <v>2969.6280000000002</v>
      </c>
      <c r="AW580" s="194"/>
      <c r="AX580" s="194"/>
      <c r="AY580" s="194"/>
      <c r="AZ580" s="194"/>
      <c r="BA580" s="194"/>
      <c r="BB580" s="194"/>
      <c r="BC580" s="65">
        <v>0</v>
      </c>
      <c r="BD580" s="65">
        <v>0</v>
      </c>
      <c r="BE580" s="65">
        <v>0</v>
      </c>
      <c r="BF580" s="65">
        <v>0</v>
      </c>
      <c r="BG580" s="65">
        <v>0</v>
      </c>
      <c r="BH580" s="65">
        <v>0</v>
      </c>
      <c r="BI580" s="65">
        <v>0</v>
      </c>
      <c r="BJ580" s="65">
        <v>0</v>
      </c>
      <c r="BK580" s="65">
        <v>0</v>
      </c>
      <c r="BL580" s="65">
        <v>0</v>
      </c>
      <c r="BM580" s="65">
        <v>0</v>
      </c>
      <c r="BN580" s="65">
        <v>0</v>
      </c>
      <c r="BO580" s="65">
        <v>0</v>
      </c>
      <c r="BP580" s="5"/>
      <c r="BQ580" s="5"/>
      <c r="BR580" s="5"/>
      <c r="BS580" s="5"/>
      <c r="BT580" s="5"/>
      <c r="BU580" s="5"/>
      <c r="BV580" s="144">
        <f t="shared" si="810"/>
        <v>0</v>
      </c>
      <c r="BW580" s="144">
        <f t="shared" si="811"/>
        <v>0</v>
      </c>
      <c r="BX580" s="144">
        <f t="shared" si="812"/>
        <v>0</v>
      </c>
      <c r="BY580" s="5"/>
      <c r="BZ580" s="5"/>
      <c r="CA580" s="4"/>
      <c r="CB580" s="5"/>
      <c r="CC580" s="5"/>
      <c r="CD580" s="5"/>
      <c r="CE580" s="5"/>
      <c r="CF580" s="64"/>
      <c r="CG580" s="70"/>
      <c r="CH580" s="70"/>
      <c r="CI580" s="70"/>
      <c r="CJ580" s="63"/>
      <c r="CK580" s="8">
        <f t="shared" si="963"/>
        <v>3072.0030000000002</v>
      </c>
      <c r="CL580" s="202">
        <f t="shared" si="885"/>
        <v>-3072.0030000000002</v>
      </c>
      <c r="CM580" s="202">
        <f t="shared" si="886"/>
        <v>-3072.0030000000002</v>
      </c>
      <c r="CN580" s="202">
        <f t="shared" si="887"/>
        <v>-3072.0030000000002</v>
      </c>
      <c r="CO580" s="9">
        <f t="shared" si="888"/>
        <v>-3072.0030000000002</v>
      </c>
      <c r="CP580" s="9">
        <f t="shared" si="889"/>
        <v>-3072.0030000000002</v>
      </c>
      <c r="CQ580" s="9">
        <f t="shared" si="890"/>
        <v>-3072.0030000000002</v>
      </c>
      <c r="CR580" s="202">
        <f t="shared" si="891"/>
        <v>-3072.0030000000002</v>
      </c>
      <c r="CS580" s="202">
        <f t="shared" si="892"/>
        <v>-3072.0030000000002</v>
      </c>
      <c r="CT580" s="202">
        <f t="shared" si="893"/>
        <v>-3072.0030000000002</v>
      </c>
      <c r="CU580" s="203" t="e">
        <f t="shared" si="894"/>
        <v>#DIV/0!</v>
      </c>
      <c r="CV580" s="203" t="e">
        <f t="shared" si="895"/>
        <v>#DIV/0!</v>
      </c>
      <c r="CW580" s="203" t="e">
        <f t="shared" si="896"/>
        <v>#DIV/0!</v>
      </c>
      <c r="CX580" s="19" t="e">
        <f t="shared" si="897"/>
        <v>#DIV/0!</v>
      </c>
      <c r="CY580" s="19" t="e">
        <f t="shared" si="898"/>
        <v>#DIV/0!</v>
      </c>
      <c r="CZ580" s="19" t="e">
        <f t="shared" si="899"/>
        <v>#DIV/0!</v>
      </c>
      <c r="DA580" s="203" t="e">
        <f t="shared" si="900"/>
        <v>#DIV/0!</v>
      </c>
      <c r="DB580" s="203" t="e">
        <f t="shared" si="901"/>
        <v>#DIV/0!</v>
      </c>
      <c r="DC580" s="203" t="e">
        <f t="shared" si="902"/>
        <v>#DIV/0!</v>
      </c>
      <c r="DD580" s="65"/>
      <c r="DE580" s="66"/>
      <c r="DF580" s="66"/>
      <c r="DG580" s="66"/>
      <c r="DH580" s="66"/>
      <c r="DI580" s="66"/>
      <c r="DJ580" s="66"/>
      <c r="DK580" s="70"/>
      <c r="DL580" s="70"/>
      <c r="DM580" s="8">
        <f t="shared" si="964"/>
        <v>0</v>
      </c>
      <c r="DN580" s="8">
        <f t="shared" si="965"/>
        <v>3072.0030000000002</v>
      </c>
      <c r="DO580" s="202">
        <f t="shared" si="939"/>
        <v>-3072.0030000000002</v>
      </c>
      <c r="DP580" s="202">
        <f t="shared" si="940"/>
        <v>-3072.0030000000002</v>
      </c>
      <c r="DQ580" s="202">
        <f t="shared" si="941"/>
        <v>-3072.0030000000002</v>
      </c>
      <c r="DR580" s="9">
        <f t="shared" si="942"/>
        <v>-3072.0030000000002</v>
      </c>
      <c r="DS580" s="9">
        <f t="shared" si="905"/>
        <v>-3072.0030000000002</v>
      </c>
      <c r="DT580" s="9">
        <f t="shared" si="943"/>
        <v>-3072.0030000000002</v>
      </c>
      <c r="DU580" s="202">
        <f t="shared" si="944"/>
        <v>-3072.0030000000002</v>
      </c>
      <c r="DV580" s="202">
        <f t="shared" si="945"/>
        <v>-3072.0030000000002</v>
      </c>
      <c r="DW580" s="202">
        <f t="shared" si="946"/>
        <v>-3072.0030000000002</v>
      </c>
      <c r="DX580" s="203" t="e">
        <f t="shared" si="947"/>
        <v>#DIV/0!</v>
      </c>
      <c r="DY580" s="203" t="e">
        <f t="shared" si="948"/>
        <v>#DIV/0!</v>
      </c>
      <c r="DZ580" s="203" t="e">
        <f t="shared" si="949"/>
        <v>#DIV/0!</v>
      </c>
      <c r="EA580" s="19" t="e">
        <f t="shared" si="950"/>
        <v>#DIV/0!</v>
      </c>
      <c r="EB580" s="19" t="e">
        <f t="shared" si="906"/>
        <v>#DIV/0!</v>
      </c>
      <c r="EC580" s="19" t="e">
        <f t="shared" si="951"/>
        <v>#DIV/0!</v>
      </c>
      <c r="ED580" s="203" t="e">
        <f t="shared" si="952"/>
        <v>#DIV/0!</v>
      </c>
      <c r="EE580" s="203" t="e">
        <f t="shared" si="953"/>
        <v>#DIV/0!</v>
      </c>
      <c r="EF580" s="203" t="e">
        <f t="shared" si="954"/>
        <v>#DIV/0!</v>
      </c>
      <c r="EH580" s="58">
        <f t="shared" si="798"/>
        <v>3072.0030000000002</v>
      </c>
      <c r="EI580" s="68" t="e">
        <f t="shared" si="799"/>
        <v>#DIV/0!</v>
      </c>
      <c r="EJ580" s="58">
        <f t="shared" si="800"/>
        <v>3072.0030000000002</v>
      </c>
      <c r="EK580" s="68" t="e">
        <f t="shared" si="799"/>
        <v>#DIV/0!</v>
      </c>
      <c r="EL580" s="58">
        <f t="shared" si="801"/>
        <v>0</v>
      </c>
      <c r="EM580" s="58">
        <f t="shared" si="802"/>
        <v>0</v>
      </c>
      <c r="EN580" s="68" t="e">
        <f t="shared" si="803"/>
        <v>#DIV/0!</v>
      </c>
      <c r="EO580" s="139">
        <f t="shared" si="854"/>
        <v>0.31860645638858931</v>
      </c>
      <c r="EP580">
        <f>+(SUM(M580:O580)*EO580*(1-'[1]Tier 3 Data'!$A$2))</f>
        <v>0</v>
      </c>
    </row>
    <row r="581" spans="1:146" x14ac:dyDescent="0.2">
      <c r="A581" s="43">
        <v>0</v>
      </c>
      <c r="B581" s="43">
        <v>0</v>
      </c>
      <c r="C581" s="43">
        <v>0</v>
      </c>
      <c r="D581" s="70">
        <v>2055</v>
      </c>
      <c r="E581" s="70">
        <v>10</v>
      </c>
      <c r="F581" s="2">
        <v>744</v>
      </c>
      <c r="G581" s="133">
        <f t="shared" si="838"/>
        <v>0</v>
      </c>
      <c r="H581" s="64"/>
      <c r="I581" s="133">
        <f t="shared" si="839"/>
        <v>0</v>
      </c>
      <c r="J581" s="133">
        <f t="shared" si="980"/>
        <v>0</v>
      </c>
      <c r="K581" s="64"/>
      <c r="L581" s="133">
        <f t="shared" si="981"/>
        <v>0</v>
      </c>
      <c r="M581" s="5"/>
      <c r="N581" s="5"/>
      <c r="O581" s="5"/>
      <c r="P581" s="200">
        <f t="shared" si="972"/>
        <v>0</v>
      </c>
      <c r="Q581" s="200">
        <f t="shared" si="973"/>
        <v>0</v>
      </c>
      <c r="R581" s="200">
        <f t="shared" si="974"/>
        <v>0</v>
      </c>
      <c r="S581" s="133">
        <f t="shared" si="840"/>
        <v>0</v>
      </c>
      <c r="T581" s="133">
        <f t="shared" si="841"/>
        <v>0</v>
      </c>
      <c r="U581" s="133">
        <f t="shared" si="842"/>
        <v>0</v>
      </c>
      <c r="V581" s="200">
        <f t="shared" si="975"/>
        <v>0</v>
      </c>
      <c r="W581" s="200">
        <f t="shared" si="976"/>
        <v>0</v>
      </c>
      <c r="X581" s="200">
        <f t="shared" si="977"/>
        <v>0</v>
      </c>
      <c r="Y581" s="58">
        <f t="shared" si="813"/>
        <v>0</v>
      </c>
      <c r="AA581" s="58">
        <f t="shared" si="814"/>
        <v>0</v>
      </c>
      <c r="AB581" s="200">
        <f t="shared" si="815"/>
        <v>0</v>
      </c>
      <c r="AC581" s="200">
        <f t="shared" si="816"/>
        <v>0</v>
      </c>
      <c r="AD581" s="200">
        <f t="shared" si="817"/>
        <v>0</v>
      </c>
      <c r="AE581" s="199">
        <f t="shared" si="921"/>
        <v>0</v>
      </c>
      <c r="AF581" s="199">
        <f t="shared" si="818"/>
        <v>0</v>
      </c>
      <c r="AG581" s="199">
        <f t="shared" si="922"/>
        <v>0</v>
      </c>
      <c r="AH581" s="199">
        <f t="shared" si="843"/>
        <v>0</v>
      </c>
      <c r="AI581" s="200">
        <f t="shared" si="819"/>
        <v>0</v>
      </c>
      <c r="AJ581" s="200">
        <f t="shared" si="820"/>
        <v>0</v>
      </c>
      <c r="AK581" s="200">
        <f t="shared" si="821"/>
        <v>0</v>
      </c>
      <c r="AL581" s="4"/>
      <c r="AM581" s="4"/>
      <c r="AN581" s="4"/>
      <c r="AO581" s="4"/>
      <c r="AP581" s="63"/>
      <c r="AQ581" s="18"/>
      <c r="AR581" s="18"/>
      <c r="AS581" s="18"/>
      <c r="AT581" s="18">
        <v>0</v>
      </c>
      <c r="AU581" s="133">
        <f t="shared" ref="AU581" si="990">+AU569</f>
        <v>118.17</v>
      </c>
      <c r="AV581" s="133">
        <f t="shared" ref="AV581" si="991">+AV569</f>
        <v>3225.1860000000001</v>
      </c>
      <c r="AW581" s="194"/>
      <c r="AX581" s="194"/>
      <c r="AY581" s="194"/>
      <c r="AZ581" s="194"/>
      <c r="BA581" s="194"/>
      <c r="BB581" s="194"/>
      <c r="BC581" s="65">
        <v>0</v>
      </c>
      <c r="BD581" s="65">
        <v>0</v>
      </c>
      <c r="BE581" s="65">
        <v>0</v>
      </c>
      <c r="BF581" s="65">
        <v>0</v>
      </c>
      <c r="BG581" s="65">
        <v>0</v>
      </c>
      <c r="BH581" s="65">
        <v>0</v>
      </c>
      <c r="BI581" s="65">
        <v>0</v>
      </c>
      <c r="BJ581" s="65">
        <v>0</v>
      </c>
      <c r="BK581" s="65">
        <v>0</v>
      </c>
      <c r="BL581" s="65">
        <v>0</v>
      </c>
      <c r="BM581" s="65">
        <v>0</v>
      </c>
      <c r="BN581" s="65">
        <v>0</v>
      </c>
      <c r="BO581" s="65">
        <v>0</v>
      </c>
      <c r="BP581" s="5"/>
      <c r="BQ581" s="5"/>
      <c r="BR581" s="5"/>
      <c r="BS581" s="5"/>
      <c r="BT581" s="5"/>
      <c r="BU581" s="5"/>
      <c r="BV581" s="144">
        <f t="shared" si="810"/>
        <v>0</v>
      </c>
      <c r="BW581" s="144">
        <f t="shared" si="811"/>
        <v>0</v>
      </c>
      <c r="BX581" s="144">
        <f t="shared" si="812"/>
        <v>0</v>
      </c>
      <c r="BY581" s="5"/>
      <c r="BZ581" s="5"/>
      <c r="CA581" s="4"/>
      <c r="CB581" s="5"/>
      <c r="CC581" s="5"/>
      <c r="CD581" s="5"/>
      <c r="CE581" s="5"/>
      <c r="CF581" s="64"/>
      <c r="CG581" s="70"/>
      <c r="CH581" s="70"/>
      <c r="CI581" s="70"/>
      <c r="CJ581" s="63"/>
      <c r="CK581" s="8">
        <f t="shared" si="963"/>
        <v>3343.3560000000002</v>
      </c>
      <c r="CL581" s="202">
        <f t="shared" si="885"/>
        <v>-3343.3560000000002</v>
      </c>
      <c r="CM581" s="202">
        <f t="shared" si="886"/>
        <v>-3343.3560000000002</v>
      </c>
      <c r="CN581" s="202">
        <f t="shared" si="887"/>
        <v>-3343.3560000000002</v>
      </c>
      <c r="CO581" s="9">
        <f t="shared" si="888"/>
        <v>-3343.3560000000002</v>
      </c>
      <c r="CP581" s="9">
        <f t="shared" si="889"/>
        <v>-3343.3560000000002</v>
      </c>
      <c r="CQ581" s="9">
        <f t="shared" si="890"/>
        <v>-3343.3560000000002</v>
      </c>
      <c r="CR581" s="202">
        <f t="shared" si="891"/>
        <v>-3343.3560000000002</v>
      </c>
      <c r="CS581" s="202">
        <f t="shared" si="892"/>
        <v>-3343.3560000000002</v>
      </c>
      <c r="CT581" s="202">
        <f t="shared" si="893"/>
        <v>-3343.3560000000002</v>
      </c>
      <c r="CU581" s="203" t="e">
        <f t="shared" si="894"/>
        <v>#DIV/0!</v>
      </c>
      <c r="CV581" s="203" t="e">
        <f t="shared" si="895"/>
        <v>#DIV/0!</v>
      </c>
      <c r="CW581" s="203" t="e">
        <f t="shared" si="896"/>
        <v>#DIV/0!</v>
      </c>
      <c r="CX581" s="19" t="e">
        <f t="shared" si="897"/>
        <v>#DIV/0!</v>
      </c>
      <c r="CY581" s="19" t="e">
        <f t="shared" si="898"/>
        <v>#DIV/0!</v>
      </c>
      <c r="CZ581" s="19" t="e">
        <f t="shared" si="899"/>
        <v>#DIV/0!</v>
      </c>
      <c r="DA581" s="203" t="e">
        <f t="shared" si="900"/>
        <v>#DIV/0!</v>
      </c>
      <c r="DB581" s="203" t="e">
        <f t="shared" si="901"/>
        <v>#DIV/0!</v>
      </c>
      <c r="DC581" s="203" t="e">
        <f t="shared" si="902"/>
        <v>#DIV/0!</v>
      </c>
      <c r="DD581" s="65"/>
      <c r="DE581" s="66"/>
      <c r="DF581" s="66"/>
      <c r="DG581" s="66"/>
      <c r="DH581" s="66"/>
      <c r="DI581" s="66"/>
      <c r="DJ581" s="66"/>
      <c r="DK581" s="70"/>
      <c r="DL581" s="70"/>
      <c r="DM581" s="8">
        <f t="shared" si="964"/>
        <v>0</v>
      </c>
      <c r="DN581" s="8">
        <f t="shared" si="965"/>
        <v>3343.3560000000002</v>
      </c>
      <c r="DO581" s="202">
        <f t="shared" si="939"/>
        <v>-3343.3560000000002</v>
      </c>
      <c r="DP581" s="202">
        <f t="shared" si="940"/>
        <v>-3343.3560000000002</v>
      </c>
      <c r="DQ581" s="202">
        <f t="shared" si="941"/>
        <v>-3343.3560000000002</v>
      </c>
      <c r="DR581" s="9">
        <f t="shared" si="942"/>
        <v>-3343.3560000000002</v>
      </c>
      <c r="DS581" s="9">
        <f t="shared" si="905"/>
        <v>-3343.3560000000002</v>
      </c>
      <c r="DT581" s="9">
        <f t="shared" si="943"/>
        <v>-3343.3560000000002</v>
      </c>
      <c r="DU581" s="202">
        <f t="shared" si="944"/>
        <v>-3343.3560000000002</v>
      </c>
      <c r="DV581" s="202">
        <f t="shared" si="945"/>
        <v>-3343.3560000000002</v>
      </c>
      <c r="DW581" s="202">
        <f t="shared" si="946"/>
        <v>-3343.3560000000002</v>
      </c>
      <c r="DX581" s="203" t="e">
        <f t="shared" si="947"/>
        <v>#DIV/0!</v>
      </c>
      <c r="DY581" s="203" t="e">
        <f t="shared" si="948"/>
        <v>#DIV/0!</v>
      </c>
      <c r="DZ581" s="203" t="e">
        <f t="shared" si="949"/>
        <v>#DIV/0!</v>
      </c>
      <c r="EA581" s="19" t="e">
        <f t="shared" si="950"/>
        <v>#DIV/0!</v>
      </c>
      <c r="EB581" s="19" t="e">
        <f t="shared" si="906"/>
        <v>#DIV/0!</v>
      </c>
      <c r="EC581" s="19" t="e">
        <f t="shared" si="951"/>
        <v>#DIV/0!</v>
      </c>
      <c r="ED581" s="203" t="e">
        <f t="shared" si="952"/>
        <v>#DIV/0!</v>
      </c>
      <c r="EE581" s="203" t="e">
        <f t="shared" si="953"/>
        <v>#DIV/0!</v>
      </c>
      <c r="EF581" s="203" t="e">
        <f t="shared" si="954"/>
        <v>#DIV/0!</v>
      </c>
      <c r="EH581" s="58">
        <f t="shared" si="798"/>
        <v>3343.3560000000002</v>
      </c>
      <c r="EI581" s="68" t="e">
        <f t="shared" si="799"/>
        <v>#DIV/0!</v>
      </c>
      <c r="EJ581" s="58">
        <f t="shared" si="800"/>
        <v>3343.3560000000002</v>
      </c>
      <c r="EK581" s="68" t="e">
        <f t="shared" si="799"/>
        <v>#DIV/0!</v>
      </c>
      <c r="EL581" s="58">
        <f t="shared" si="801"/>
        <v>0</v>
      </c>
      <c r="EM581" s="58">
        <f t="shared" si="802"/>
        <v>0</v>
      </c>
      <c r="EN581" s="68" t="e">
        <f t="shared" si="803"/>
        <v>#DIV/0!</v>
      </c>
      <c r="EO581" s="139">
        <f t="shared" si="854"/>
        <v>0.35739486552628164</v>
      </c>
      <c r="EP581">
        <f>+(SUM(M581:O581)*EO581*(1-'[1]Tier 3 Data'!$A$2))</f>
        <v>0</v>
      </c>
    </row>
    <row r="582" spans="1:146" x14ac:dyDescent="0.2">
      <c r="A582" s="43">
        <v>0</v>
      </c>
      <c r="B582" s="43">
        <v>0</v>
      </c>
      <c r="C582" s="43">
        <v>0</v>
      </c>
      <c r="D582" s="70">
        <v>2055</v>
      </c>
      <c r="E582" s="70">
        <v>11</v>
      </c>
      <c r="F582" s="2">
        <v>721</v>
      </c>
      <c r="G582" s="133">
        <f t="shared" si="838"/>
        <v>0</v>
      </c>
      <c r="H582" s="64"/>
      <c r="I582" s="133">
        <f t="shared" si="839"/>
        <v>0</v>
      </c>
      <c r="J582" s="133">
        <f t="shared" si="980"/>
        <v>0</v>
      </c>
      <c r="K582" s="64"/>
      <c r="L582" s="133">
        <f t="shared" si="981"/>
        <v>0</v>
      </c>
      <c r="M582" s="5"/>
      <c r="N582" s="5"/>
      <c r="O582" s="5"/>
      <c r="P582" s="200">
        <f t="shared" si="972"/>
        <v>0</v>
      </c>
      <c r="Q582" s="200">
        <f t="shared" si="973"/>
        <v>0</v>
      </c>
      <c r="R582" s="200">
        <f t="shared" si="974"/>
        <v>0</v>
      </c>
      <c r="S582" s="133">
        <f t="shared" si="840"/>
        <v>0</v>
      </c>
      <c r="T582" s="133">
        <f t="shared" si="841"/>
        <v>0</v>
      </c>
      <c r="U582" s="133">
        <f t="shared" si="842"/>
        <v>0</v>
      </c>
      <c r="V582" s="200">
        <f t="shared" si="975"/>
        <v>0</v>
      </c>
      <c r="W582" s="200">
        <f t="shared" si="976"/>
        <v>0</v>
      </c>
      <c r="X582" s="200">
        <f t="shared" si="977"/>
        <v>0</v>
      </c>
      <c r="Y582" s="58">
        <f t="shared" si="813"/>
        <v>0</v>
      </c>
      <c r="AA582" s="58">
        <f t="shared" si="814"/>
        <v>0</v>
      </c>
      <c r="AB582" s="200">
        <f t="shared" si="815"/>
        <v>0</v>
      </c>
      <c r="AC582" s="200">
        <f t="shared" si="816"/>
        <v>0</v>
      </c>
      <c r="AD582" s="200">
        <f t="shared" si="817"/>
        <v>0</v>
      </c>
      <c r="AE582" s="199">
        <f t="shared" si="921"/>
        <v>0</v>
      </c>
      <c r="AF582" s="199">
        <f t="shared" si="818"/>
        <v>0</v>
      </c>
      <c r="AG582" s="199">
        <f t="shared" si="922"/>
        <v>0</v>
      </c>
      <c r="AH582" s="199">
        <f t="shared" si="843"/>
        <v>0</v>
      </c>
      <c r="AI582" s="200">
        <f t="shared" si="819"/>
        <v>0</v>
      </c>
      <c r="AJ582" s="200">
        <f t="shared" si="820"/>
        <v>0</v>
      </c>
      <c r="AK582" s="200">
        <f t="shared" si="821"/>
        <v>0</v>
      </c>
      <c r="AL582" s="4"/>
      <c r="AM582" s="4"/>
      <c r="AN582" s="4"/>
      <c r="AO582" s="4"/>
      <c r="AP582" s="63"/>
      <c r="AQ582" s="18"/>
      <c r="AR582" s="18"/>
      <c r="AS582" s="18"/>
      <c r="AT582" s="18">
        <v>0</v>
      </c>
      <c r="AU582" s="133">
        <f t="shared" ref="AU582" si="992">+AU570</f>
        <v>104.364</v>
      </c>
      <c r="AV582" s="133">
        <f t="shared" ref="AV582" si="993">+AV570</f>
        <v>3268.3739999999998</v>
      </c>
      <c r="AW582" s="194"/>
      <c r="AX582" s="194"/>
      <c r="AY582" s="194"/>
      <c r="AZ582" s="194"/>
      <c r="BA582" s="194"/>
      <c r="BB582" s="194"/>
      <c r="BC582" s="65">
        <v>0</v>
      </c>
      <c r="BD582" s="65">
        <v>0</v>
      </c>
      <c r="BE582" s="65">
        <v>0</v>
      </c>
      <c r="BF582" s="65">
        <v>0</v>
      </c>
      <c r="BG582" s="65">
        <v>0</v>
      </c>
      <c r="BH582" s="65">
        <v>0</v>
      </c>
      <c r="BI582" s="65">
        <v>0</v>
      </c>
      <c r="BJ582" s="65">
        <v>0</v>
      </c>
      <c r="BK582" s="65">
        <v>0</v>
      </c>
      <c r="BL582" s="65">
        <v>0</v>
      </c>
      <c r="BM582" s="65">
        <v>0</v>
      </c>
      <c r="BN582" s="65">
        <v>0</v>
      </c>
      <c r="BO582" s="65">
        <v>0</v>
      </c>
      <c r="BP582" s="5"/>
      <c r="BQ582" s="5"/>
      <c r="BR582" s="5"/>
      <c r="BS582" s="5"/>
      <c r="BT582" s="5"/>
      <c r="BU582" s="5"/>
      <c r="BV582" s="144">
        <f t="shared" si="810"/>
        <v>0</v>
      </c>
      <c r="BW582" s="144">
        <f t="shared" si="811"/>
        <v>0</v>
      </c>
      <c r="BX582" s="144">
        <f t="shared" si="812"/>
        <v>0</v>
      </c>
      <c r="BY582" s="5"/>
      <c r="BZ582" s="5"/>
      <c r="CA582" s="4"/>
      <c r="CB582" s="5"/>
      <c r="CC582" s="5"/>
      <c r="CD582" s="5"/>
      <c r="CE582" s="5"/>
      <c r="CF582" s="64"/>
      <c r="CG582" s="70"/>
      <c r="CH582" s="70"/>
      <c r="CI582" s="70"/>
      <c r="CJ582" s="63"/>
      <c r="CK582" s="8">
        <f t="shared" si="963"/>
        <v>3372.7379999999998</v>
      </c>
      <c r="CL582" s="202">
        <f t="shared" si="885"/>
        <v>-3372.7379999999998</v>
      </c>
      <c r="CM582" s="202">
        <f t="shared" si="886"/>
        <v>-3372.7379999999998</v>
      </c>
      <c r="CN582" s="202">
        <f t="shared" si="887"/>
        <v>-3372.7379999999998</v>
      </c>
      <c r="CO582" s="9">
        <f t="shared" si="888"/>
        <v>-3372.7379999999998</v>
      </c>
      <c r="CP582" s="9">
        <f t="shared" si="889"/>
        <v>-3372.7379999999998</v>
      </c>
      <c r="CQ582" s="9">
        <f t="shared" si="890"/>
        <v>-3372.7379999999998</v>
      </c>
      <c r="CR582" s="202">
        <f t="shared" si="891"/>
        <v>-3372.7379999999998</v>
      </c>
      <c r="CS582" s="202">
        <f t="shared" si="892"/>
        <v>-3372.7379999999998</v>
      </c>
      <c r="CT582" s="202">
        <f t="shared" si="893"/>
        <v>-3372.7379999999998</v>
      </c>
      <c r="CU582" s="203" t="e">
        <f t="shared" si="894"/>
        <v>#DIV/0!</v>
      </c>
      <c r="CV582" s="203" t="e">
        <f t="shared" si="895"/>
        <v>#DIV/0!</v>
      </c>
      <c r="CW582" s="203" t="e">
        <f t="shared" si="896"/>
        <v>#DIV/0!</v>
      </c>
      <c r="CX582" s="19" t="e">
        <f t="shared" si="897"/>
        <v>#DIV/0!</v>
      </c>
      <c r="CY582" s="19" t="e">
        <f t="shared" si="898"/>
        <v>#DIV/0!</v>
      </c>
      <c r="CZ582" s="19" t="e">
        <f t="shared" si="899"/>
        <v>#DIV/0!</v>
      </c>
      <c r="DA582" s="203" t="e">
        <f t="shared" si="900"/>
        <v>#DIV/0!</v>
      </c>
      <c r="DB582" s="203" t="e">
        <f t="shared" si="901"/>
        <v>#DIV/0!</v>
      </c>
      <c r="DC582" s="203" t="e">
        <f t="shared" si="902"/>
        <v>#DIV/0!</v>
      </c>
      <c r="DD582" s="65"/>
      <c r="DE582" s="66"/>
      <c r="DF582" s="66"/>
      <c r="DG582" s="66"/>
      <c r="DH582" s="66"/>
      <c r="DI582" s="66"/>
      <c r="DJ582" s="66"/>
      <c r="DK582" s="70"/>
      <c r="DL582" s="70"/>
      <c r="DM582" s="8">
        <f t="shared" si="964"/>
        <v>0</v>
      </c>
      <c r="DN582" s="8">
        <f t="shared" si="965"/>
        <v>3372.7379999999998</v>
      </c>
      <c r="DO582" s="202">
        <f t="shared" si="939"/>
        <v>-3372.7379999999998</v>
      </c>
      <c r="DP582" s="202">
        <f t="shared" si="940"/>
        <v>-3372.7379999999998</v>
      </c>
      <c r="DQ582" s="202">
        <f t="shared" si="941"/>
        <v>-3372.7379999999998</v>
      </c>
      <c r="DR582" s="9">
        <f t="shared" si="942"/>
        <v>-3372.7379999999998</v>
      </c>
      <c r="DS582" s="9">
        <f t="shared" si="905"/>
        <v>-3372.7379999999998</v>
      </c>
      <c r="DT582" s="9">
        <f t="shared" si="943"/>
        <v>-3372.7379999999998</v>
      </c>
      <c r="DU582" s="202">
        <f t="shared" si="944"/>
        <v>-3372.7379999999998</v>
      </c>
      <c r="DV582" s="202">
        <f t="shared" si="945"/>
        <v>-3372.7379999999998</v>
      </c>
      <c r="DW582" s="202">
        <f t="shared" si="946"/>
        <v>-3372.7379999999998</v>
      </c>
      <c r="DX582" s="203" t="e">
        <f t="shared" si="947"/>
        <v>#DIV/0!</v>
      </c>
      <c r="DY582" s="203" t="e">
        <f t="shared" si="948"/>
        <v>#DIV/0!</v>
      </c>
      <c r="DZ582" s="203" t="e">
        <f t="shared" si="949"/>
        <v>#DIV/0!</v>
      </c>
      <c r="EA582" s="19" t="e">
        <f t="shared" si="950"/>
        <v>#DIV/0!</v>
      </c>
      <c r="EB582" s="19" t="e">
        <f t="shared" si="906"/>
        <v>#DIV/0!</v>
      </c>
      <c r="EC582" s="19" t="e">
        <f t="shared" si="951"/>
        <v>#DIV/0!</v>
      </c>
      <c r="ED582" s="203" t="e">
        <f t="shared" si="952"/>
        <v>#DIV/0!</v>
      </c>
      <c r="EE582" s="203" t="e">
        <f t="shared" si="953"/>
        <v>#DIV/0!</v>
      </c>
      <c r="EF582" s="203" t="e">
        <f t="shared" si="954"/>
        <v>#DIV/0!</v>
      </c>
      <c r="EH582" s="58">
        <f t="shared" si="798"/>
        <v>3372.7379999999998</v>
      </c>
      <c r="EI582" s="68" t="e">
        <f t="shared" si="799"/>
        <v>#DIV/0!</v>
      </c>
      <c r="EJ582" s="58">
        <f t="shared" si="800"/>
        <v>3372.7379999999998</v>
      </c>
      <c r="EK582" s="68" t="e">
        <f t="shared" si="799"/>
        <v>#DIV/0!</v>
      </c>
      <c r="EL582" s="58">
        <f t="shared" si="801"/>
        <v>0</v>
      </c>
      <c r="EM582" s="58">
        <f t="shared" si="802"/>
        <v>0</v>
      </c>
      <c r="EN582" s="68" t="e">
        <f t="shared" si="803"/>
        <v>#DIV/0!</v>
      </c>
      <c r="EO582" s="139">
        <f t="shared" si="854"/>
        <v>0.4050825009776523</v>
      </c>
      <c r="EP582">
        <f>+(SUM(M582:O582)*EO582*(1-'[1]Tier 3 Data'!$A$2))</f>
        <v>0</v>
      </c>
    </row>
    <row r="583" spans="1:146" x14ac:dyDescent="0.2">
      <c r="A583" s="43">
        <v>0</v>
      </c>
      <c r="B583" s="43">
        <v>0</v>
      </c>
      <c r="C583" s="43">
        <v>0</v>
      </c>
      <c r="D583" s="70">
        <v>2055</v>
      </c>
      <c r="E583" s="70">
        <v>12</v>
      </c>
      <c r="F583" s="2">
        <v>744</v>
      </c>
      <c r="G583" s="133">
        <f t="shared" si="838"/>
        <v>0</v>
      </c>
      <c r="H583" s="64"/>
      <c r="I583" s="133">
        <f t="shared" si="839"/>
        <v>0</v>
      </c>
      <c r="J583" s="133">
        <f t="shared" si="980"/>
        <v>0</v>
      </c>
      <c r="K583" s="64"/>
      <c r="L583" s="133">
        <f t="shared" si="981"/>
        <v>0</v>
      </c>
      <c r="M583" s="5"/>
      <c r="N583" s="5"/>
      <c r="O583" s="5"/>
      <c r="P583" s="200">
        <f t="shared" si="972"/>
        <v>0</v>
      </c>
      <c r="Q583" s="200">
        <f t="shared" si="973"/>
        <v>0</v>
      </c>
      <c r="R583" s="200">
        <f t="shared" si="974"/>
        <v>0</v>
      </c>
      <c r="S583" s="133">
        <f t="shared" si="840"/>
        <v>0</v>
      </c>
      <c r="T583" s="133">
        <f t="shared" si="841"/>
        <v>0</v>
      </c>
      <c r="U583" s="133">
        <f t="shared" si="842"/>
        <v>0</v>
      </c>
      <c r="V583" s="200">
        <f t="shared" si="975"/>
        <v>0</v>
      </c>
      <c r="W583" s="200">
        <f t="shared" si="976"/>
        <v>0</v>
      </c>
      <c r="X583" s="200">
        <f t="shared" si="977"/>
        <v>0</v>
      </c>
      <c r="Y583" s="58">
        <f t="shared" si="813"/>
        <v>0</v>
      </c>
      <c r="AA583" s="58">
        <f t="shared" si="814"/>
        <v>0</v>
      </c>
      <c r="AB583" s="200">
        <f t="shared" si="815"/>
        <v>0</v>
      </c>
      <c r="AC583" s="200">
        <f t="shared" si="816"/>
        <v>0</v>
      </c>
      <c r="AD583" s="200">
        <f t="shared" si="817"/>
        <v>0</v>
      </c>
      <c r="AE583" s="199">
        <f t="shared" si="921"/>
        <v>0</v>
      </c>
      <c r="AF583" s="199">
        <f t="shared" si="818"/>
        <v>0</v>
      </c>
      <c r="AG583" s="199">
        <f t="shared" si="922"/>
        <v>0</v>
      </c>
      <c r="AH583" s="199">
        <f t="shared" si="843"/>
        <v>0</v>
      </c>
      <c r="AI583" s="200">
        <f t="shared" si="819"/>
        <v>0</v>
      </c>
      <c r="AJ583" s="200">
        <f t="shared" si="820"/>
        <v>0</v>
      </c>
      <c r="AK583" s="200">
        <f t="shared" si="821"/>
        <v>0</v>
      </c>
      <c r="AL583" s="4"/>
      <c r="AM583" s="4"/>
      <c r="AN583" s="4"/>
      <c r="AO583" s="4"/>
      <c r="AP583" s="63"/>
      <c r="AQ583" s="18"/>
      <c r="AR583" s="18"/>
      <c r="AS583" s="18"/>
      <c r="AT583" s="18">
        <v>0</v>
      </c>
      <c r="AU583" s="133">
        <f t="shared" ref="AU583" si="994">+AU571</f>
        <v>105.066</v>
      </c>
      <c r="AV583" s="133">
        <f t="shared" ref="AV583" si="995">+AV571</f>
        <v>3218.8470000000002</v>
      </c>
      <c r="AW583" s="194"/>
      <c r="AX583" s="194"/>
      <c r="AY583" s="194"/>
      <c r="AZ583" s="194"/>
      <c r="BA583" s="194"/>
      <c r="BB583" s="194"/>
      <c r="BC583" s="65">
        <v>0</v>
      </c>
      <c r="BD583" s="65">
        <v>0</v>
      </c>
      <c r="BE583" s="65">
        <v>0</v>
      </c>
      <c r="BF583" s="65">
        <v>0</v>
      </c>
      <c r="BG583" s="65">
        <v>0</v>
      </c>
      <c r="BH583" s="65">
        <v>0</v>
      </c>
      <c r="BI583" s="65">
        <v>0</v>
      </c>
      <c r="BJ583" s="65">
        <v>0</v>
      </c>
      <c r="BK583" s="65">
        <v>0</v>
      </c>
      <c r="BL583" s="65">
        <v>0</v>
      </c>
      <c r="BM583" s="65">
        <v>0</v>
      </c>
      <c r="BN583" s="65">
        <v>0</v>
      </c>
      <c r="BO583" s="65">
        <v>0</v>
      </c>
      <c r="BP583" s="5"/>
      <c r="BQ583" s="5"/>
      <c r="BR583" s="5"/>
      <c r="BS583" s="5"/>
      <c r="BT583" s="5"/>
      <c r="BU583" s="5"/>
      <c r="BV583" s="144">
        <f t="shared" si="810"/>
        <v>0</v>
      </c>
      <c r="BW583" s="144">
        <f t="shared" si="811"/>
        <v>0</v>
      </c>
      <c r="BX583" s="144">
        <f t="shared" si="812"/>
        <v>0</v>
      </c>
      <c r="BY583" s="5"/>
      <c r="BZ583" s="5"/>
      <c r="CA583" s="4"/>
      <c r="CB583" s="5"/>
      <c r="CC583" s="5"/>
      <c r="CD583" s="5"/>
      <c r="CE583" s="5"/>
      <c r="CF583" s="64"/>
      <c r="CG583" s="70"/>
      <c r="CH583" s="70"/>
      <c r="CI583" s="70"/>
      <c r="CJ583" s="63"/>
      <c r="CK583" s="8">
        <f t="shared" si="963"/>
        <v>3323.913</v>
      </c>
      <c r="CL583" s="202">
        <f t="shared" si="885"/>
        <v>-3323.913</v>
      </c>
      <c r="CM583" s="202">
        <f t="shared" si="886"/>
        <v>-3323.913</v>
      </c>
      <c r="CN583" s="202">
        <f t="shared" si="887"/>
        <v>-3323.913</v>
      </c>
      <c r="CO583" s="9">
        <f t="shared" si="888"/>
        <v>-3323.913</v>
      </c>
      <c r="CP583" s="9">
        <f t="shared" si="889"/>
        <v>-3323.913</v>
      </c>
      <c r="CQ583" s="9">
        <f t="shared" si="890"/>
        <v>-3323.913</v>
      </c>
      <c r="CR583" s="202">
        <f t="shared" si="891"/>
        <v>-3323.913</v>
      </c>
      <c r="CS583" s="202">
        <f t="shared" si="892"/>
        <v>-3323.913</v>
      </c>
      <c r="CT583" s="202">
        <f t="shared" si="893"/>
        <v>-3323.913</v>
      </c>
      <c r="CU583" s="203" t="e">
        <f t="shared" si="894"/>
        <v>#DIV/0!</v>
      </c>
      <c r="CV583" s="203" t="e">
        <f t="shared" si="895"/>
        <v>#DIV/0!</v>
      </c>
      <c r="CW583" s="203" t="e">
        <f t="shared" si="896"/>
        <v>#DIV/0!</v>
      </c>
      <c r="CX583" s="19" t="e">
        <f t="shared" si="897"/>
        <v>#DIV/0!</v>
      </c>
      <c r="CY583" s="19" t="e">
        <f t="shared" si="898"/>
        <v>#DIV/0!</v>
      </c>
      <c r="CZ583" s="19" t="e">
        <f t="shared" si="899"/>
        <v>#DIV/0!</v>
      </c>
      <c r="DA583" s="203" t="e">
        <f t="shared" si="900"/>
        <v>#DIV/0!</v>
      </c>
      <c r="DB583" s="203" t="e">
        <f t="shared" si="901"/>
        <v>#DIV/0!</v>
      </c>
      <c r="DC583" s="203" t="e">
        <f t="shared" si="902"/>
        <v>#DIV/0!</v>
      </c>
      <c r="DD583" s="65"/>
      <c r="DE583" s="66"/>
      <c r="DF583" s="66"/>
      <c r="DG583" s="66"/>
      <c r="DH583" s="66"/>
      <c r="DI583" s="66"/>
      <c r="DJ583" s="66"/>
      <c r="DK583" s="70"/>
      <c r="DL583" s="70"/>
      <c r="DM583" s="8">
        <f t="shared" si="964"/>
        <v>0</v>
      </c>
      <c r="DN583" s="8">
        <f t="shared" si="965"/>
        <v>3323.913</v>
      </c>
      <c r="DO583" s="202">
        <f t="shared" si="939"/>
        <v>-3323.913</v>
      </c>
      <c r="DP583" s="202">
        <f t="shared" si="940"/>
        <v>-3323.913</v>
      </c>
      <c r="DQ583" s="202">
        <f t="shared" si="941"/>
        <v>-3323.913</v>
      </c>
      <c r="DR583" s="9">
        <f t="shared" si="942"/>
        <v>-3323.913</v>
      </c>
      <c r="DS583" s="9">
        <f t="shared" si="905"/>
        <v>-3323.913</v>
      </c>
      <c r="DT583" s="9">
        <f t="shared" si="943"/>
        <v>-3323.913</v>
      </c>
      <c r="DU583" s="202">
        <f t="shared" si="944"/>
        <v>-3323.913</v>
      </c>
      <c r="DV583" s="202">
        <f t="shared" si="945"/>
        <v>-3323.913</v>
      </c>
      <c r="DW583" s="202">
        <f t="shared" si="946"/>
        <v>-3323.913</v>
      </c>
      <c r="DX583" s="203" t="e">
        <f t="shared" si="947"/>
        <v>#DIV/0!</v>
      </c>
      <c r="DY583" s="203" t="e">
        <f t="shared" si="948"/>
        <v>#DIV/0!</v>
      </c>
      <c r="DZ583" s="203" t="e">
        <f t="shared" si="949"/>
        <v>#DIV/0!</v>
      </c>
      <c r="EA583" s="19" t="e">
        <f t="shared" si="950"/>
        <v>#DIV/0!</v>
      </c>
      <c r="EB583" s="19" t="e">
        <f t="shared" si="906"/>
        <v>#DIV/0!</v>
      </c>
      <c r="EC583" s="19" t="e">
        <f t="shared" si="951"/>
        <v>#DIV/0!</v>
      </c>
      <c r="ED583" s="203" t="e">
        <f t="shared" si="952"/>
        <v>#DIV/0!</v>
      </c>
      <c r="EE583" s="203" t="e">
        <f t="shared" si="953"/>
        <v>#DIV/0!</v>
      </c>
      <c r="EF583" s="203" t="e">
        <f t="shared" si="954"/>
        <v>#DIV/0!</v>
      </c>
      <c r="EH583" s="58">
        <f t="shared" si="798"/>
        <v>3323.913</v>
      </c>
      <c r="EI583" s="68" t="e">
        <f t="shared" si="799"/>
        <v>#DIV/0!</v>
      </c>
      <c r="EJ583" s="58">
        <f t="shared" si="800"/>
        <v>3323.913</v>
      </c>
      <c r="EK583" s="68" t="e">
        <f t="shared" si="799"/>
        <v>#DIV/0!</v>
      </c>
      <c r="EL583" s="58">
        <f t="shared" si="801"/>
        <v>0</v>
      </c>
      <c r="EM583" s="58">
        <f t="shared" si="802"/>
        <v>0</v>
      </c>
      <c r="EN583" s="68" t="e">
        <f t="shared" si="803"/>
        <v>#DIV/0!</v>
      </c>
      <c r="EO583" s="139">
        <f t="shared" si="854"/>
        <v>0.32946562535829382</v>
      </c>
      <c r="EP583">
        <f>+(SUM(M583:O583)*EO583*(1-'[1]Tier 3 Data'!$A$2))</f>
        <v>0</v>
      </c>
    </row>
    <row r="584" spans="1:146" x14ac:dyDescent="0.2">
      <c r="A584" s="43">
        <v>0</v>
      </c>
      <c r="B584" s="43">
        <v>0</v>
      </c>
      <c r="C584" s="43">
        <v>0</v>
      </c>
      <c r="D584" s="70">
        <v>2056</v>
      </c>
      <c r="E584" s="70">
        <v>1</v>
      </c>
      <c r="F584" s="2">
        <v>744</v>
      </c>
      <c r="G584" s="133">
        <f t="shared" si="838"/>
        <v>0</v>
      </c>
      <c r="H584" s="64"/>
      <c r="I584" s="133">
        <f t="shared" si="839"/>
        <v>0</v>
      </c>
      <c r="J584" s="133">
        <f t="shared" si="980"/>
        <v>0</v>
      </c>
      <c r="K584" s="64"/>
      <c r="L584" s="133">
        <f t="shared" si="981"/>
        <v>0</v>
      </c>
      <c r="M584" s="5"/>
      <c r="N584" s="5"/>
      <c r="O584" s="5"/>
      <c r="P584" s="200">
        <f t="shared" si="972"/>
        <v>0</v>
      </c>
      <c r="Q584" s="200">
        <f t="shared" si="973"/>
        <v>0</v>
      </c>
      <c r="R584" s="200">
        <f t="shared" si="974"/>
        <v>0</v>
      </c>
      <c r="S584" s="133">
        <f t="shared" si="840"/>
        <v>0</v>
      </c>
      <c r="T584" s="133">
        <f t="shared" si="841"/>
        <v>0</v>
      </c>
      <c r="U584" s="133">
        <f t="shared" si="842"/>
        <v>0</v>
      </c>
      <c r="V584" s="200">
        <f t="shared" si="975"/>
        <v>0</v>
      </c>
      <c r="W584" s="200">
        <f t="shared" si="976"/>
        <v>0</v>
      </c>
      <c r="X584" s="200">
        <f t="shared" si="977"/>
        <v>0</v>
      </c>
      <c r="Y584" s="58">
        <f t="shared" si="813"/>
        <v>0</v>
      </c>
      <c r="AA584" s="58">
        <f t="shared" si="814"/>
        <v>0</v>
      </c>
      <c r="AB584" s="200">
        <f t="shared" si="815"/>
        <v>0</v>
      </c>
      <c r="AC584" s="200">
        <f t="shared" si="816"/>
        <v>0</v>
      </c>
      <c r="AD584" s="200">
        <f t="shared" si="817"/>
        <v>0</v>
      </c>
      <c r="AE584" s="199">
        <f t="shared" si="921"/>
        <v>0</v>
      </c>
      <c r="AF584" s="199">
        <f t="shared" si="818"/>
        <v>0</v>
      </c>
      <c r="AG584" s="199">
        <f t="shared" si="922"/>
        <v>0</v>
      </c>
      <c r="AH584" s="199">
        <f t="shared" si="843"/>
        <v>0</v>
      </c>
      <c r="AI584" s="200">
        <f t="shared" si="819"/>
        <v>0</v>
      </c>
      <c r="AJ584" s="200">
        <f t="shared" si="820"/>
        <v>0</v>
      </c>
      <c r="AK584" s="200">
        <f t="shared" si="821"/>
        <v>0</v>
      </c>
      <c r="AL584" s="4"/>
      <c r="AM584" s="4"/>
      <c r="AN584" s="4"/>
      <c r="AO584" s="4"/>
      <c r="AP584" s="63"/>
      <c r="AQ584" s="18"/>
      <c r="AR584" s="18"/>
      <c r="AS584" s="18"/>
      <c r="AT584" s="18">
        <v>0</v>
      </c>
      <c r="AU584" s="133">
        <f t="shared" ref="AU584" si="996">+AU572</f>
        <v>98.513999999999996</v>
      </c>
      <c r="AV584" s="133">
        <f t="shared" ref="AV584" si="997">+AV572</f>
        <v>3278.6750000000002</v>
      </c>
      <c r="AW584" s="194"/>
      <c r="AX584" s="194"/>
      <c r="AY584" s="194"/>
      <c r="AZ584" s="194"/>
      <c r="BA584" s="194"/>
      <c r="BB584" s="194"/>
      <c r="BC584" s="65">
        <v>0</v>
      </c>
      <c r="BD584" s="65">
        <v>0</v>
      </c>
      <c r="BE584" s="65">
        <v>0</v>
      </c>
      <c r="BF584" s="65">
        <v>0</v>
      </c>
      <c r="BG584" s="65">
        <v>0</v>
      </c>
      <c r="BH584" s="65">
        <v>0</v>
      </c>
      <c r="BI584" s="65">
        <v>0</v>
      </c>
      <c r="BJ584" s="65">
        <v>0</v>
      </c>
      <c r="BK584" s="65">
        <v>0</v>
      </c>
      <c r="BL584" s="65">
        <v>0</v>
      </c>
      <c r="BM584" s="65">
        <v>0</v>
      </c>
      <c r="BN584" s="65">
        <v>0</v>
      </c>
      <c r="BO584" s="65">
        <v>0</v>
      </c>
      <c r="BP584" s="5"/>
      <c r="BQ584" s="5"/>
      <c r="BR584" s="5"/>
      <c r="BS584" s="5"/>
      <c r="BT584" s="5"/>
      <c r="BU584" s="5"/>
      <c r="BV584" s="144">
        <f t="shared" si="810"/>
        <v>0</v>
      </c>
      <c r="BW584" s="144">
        <f t="shared" si="811"/>
        <v>0</v>
      </c>
      <c r="BX584" s="144">
        <f t="shared" si="812"/>
        <v>0</v>
      </c>
      <c r="BY584" s="5"/>
      <c r="BZ584" s="5"/>
      <c r="CA584" s="4"/>
      <c r="CB584" s="5"/>
      <c r="CC584" s="5"/>
      <c r="CD584" s="5"/>
      <c r="CE584" s="5"/>
      <c r="CF584" s="64"/>
      <c r="CG584" s="70"/>
      <c r="CH584" s="70"/>
      <c r="CI584" s="70"/>
      <c r="CJ584" s="63"/>
      <c r="CK584" s="8">
        <f t="shared" si="963"/>
        <v>3377.1890000000003</v>
      </c>
      <c r="CL584" s="202">
        <f t="shared" si="885"/>
        <v>-3377.1890000000003</v>
      </c>
      <c r="CM584" s="202">
        <f t="shared" si="886"/>
        <v>-3377.1890000000003</v>
      </c>
      <c r="CN584" s="202">
        <f t="shared" si="887"/>
        <v>-3377.1890000000003</v>
      </c>
      <c r="CO584" s="9">
        <f t="shared" si="888"/>
        <v>-3377.1890000000003</v>
      </c>
      <c r="CP584" s="9">
        <f t="shared" si="889"/>
        <v>-3377.1890000000003</v>
      </c>
      <c r="CQ584" s="9">
        <f t="shared" si="890"/>
        <v>-3377.1890000000003</v>
      </c>
      <c r="CR584" s="202">
        <f t="shared" si="891"/>
        <v>-3377.1890000000003</v>
      </c>
      <c r="CS584" s="202">
        <f t="shared" si="892"/>
        <v>-3377.1890000000003</v>
      </c>
      <c r="CT584" s="202">
        <f t="shared" si="893"/>
        <v>-3377.1890000000003</v>
      </c>
      <c r="CU584" s="203" t="e">
        <f t="shared" si="894"/>
        <v>#DIV/0!</v>
      </c>
      <c r="CV584" s="203" t="e">
        <f t="shared" si="895"/>
        <v>#DIV/0!</v>
      </c>
      <c r="CW584" s="203" t="e">
        <f t="shared" si="896"/>
        <v>#DIV/0!</v>
      </c>
      <c r="CX584" s="19" t="e">
        <f t="shared" si="897"/>
        <v>#DIV/0!</v>
      </c>
      <c r="CY584" s="19" t="e">
        <f t="shared" si="898"/>
        <v>#DIV/0!</v>
      </c>
      <c r="CZ584" s="19" t="e">
        <f t="shared" si="899"/>
        <v>#DIV/0!</v>
      </c>
      <c r="DA584" s="203" t="e">
        <f t="shared" si="900"/>
        <v>#DIV/0!</v>
      </c>
      <c r="DB584" s="203" t="e">
        <f t="shared" si="901"/>
        <v>#DIV/0!</v>
      </c>
      <c r="DC584" s="203" t="e">
        <f t="shared" si="902"/>
        <v>#DIV/0!</v>
      </c>
      <c r="DD584" s="65"/>
      <c r="DE584" s="66"/>
      <c r="DF584" s="66"/>
      <c r="DG584" s="66"/>
      <c r="DH584" s="66"/>
      <c r="DI584" s="66"/>
      <c r="DJ584" s="66"/>
      <c r="DK584" s="70"/>
      <c r="DL584" s="70"/>
      <c r="DM584" s="8">
        <f t="shared" si="964"/>
        <v>0</v>
      </c>
      <c r="DN584" s="8">
        <f t="shared" si="965"/>
        <v>3377.1890000000003</v>
      </c>
      <c r="DO584" s="202">
        <f t="shared" si="939"/>
        <v>-3377.1890000000003</v>
      </c>
      <c r="DP584" s="202">
        <f t="shared" si="940"/>
        <v>-3377.1890000000003</v>
      </c>
      <c r="DQ584" s="202">
        <f t="shared" si="941"/>
        <v>-3377.1890000000003</v>
      </c>
      <c r="DR584" s="9">
        <f t="shared" si="942"/>
        <v>-3377.1890000000003</v>
      </c>
      <c r="DS584" s="9">
        <f t="shared" si="905"/>
        <v>-3377.1890000000003</v>
      </c>
      <c r="DT584" s="9">
        <f t="shared" si="943"/>
        <v>-3377.1890000000003</v>
      </c>
      <c r="DU584" s="202">
        <f t="shared" si="944"/>
        <v>-3377.1890000000003</v>
      </c>
      <c r="DV584" s="202">
        <f t="shared" si="945"/>
        <v>-3377.1890000000003</v>
      </c>
      <c r="DW584" s="202">
        <f t="shared" si="946"/>
        <v>-3377.1890000000003</v>
      </c>
      <c r="DX584" s="203" t="e">
        <f t="shared" si="947"/>
        <v>#DIV/0!</v>
      </c>
      <c r="DY584" s="203" t="e">
        <f t="shared" si="948"/>
        <v>#DIV/0!</v>
      </c>
      <c r="DZ584" s="203" t="e">
        <f t="shared" si="949"/>
        <v>#DIV/0!</v>
      </c>
      <c r="EA584" s="19" t="e">
        <f t="shared" si="950"/>
        <v>#DIV/0!</v>
      </c>
      <c r="EB584" s="19" t="e">
        <f t="shared" si="906"/>
        <v>#DIV/0!</v>
      </c>
      <c r="EC584" s="19" t="e">
        <f t="shared" si="951"/>
        <v>#DIV/0!</v>
      </c>
      <c r="ED584" s="203" t="e">
        <f t="shared" si="952"/>
        <v>#DIV/0!</v>
      </c>
      <c r="EE584" s="203" t="e">
        <f t="shared" si="953"/>
        <v>#DIV/0!</v>
      </c>
      <c r="EF584" s="203" t="e">
        <f t="shared" si="954"/>
        <v>#DIV/0!</v>
      </c>
      <c r="EH584" s="58">
        <f t="shared" si="798"/>
        <v>3377.1890000000003</v>
      </c>
      <c r="EI584" s="68" t="e">
        <f t="shared" si="799"/>
        <v>#DIV/0!</v>
      </c>
      <c r="EJ584" s="58">
        <f t="shared" si="800"/>
        <v>3377.1890000000003</v>
      </c>
      <c r="EK584" s="68" t="e">
        <f t="shared" si="799"/>
        <v>#DIV/0!</v>
      </c>
      <c r="EL584" s="58">
        <f t="shared" si="801"/>
        <v>0</v>
      </c>
      <c r="EM584" s="58">
        <f t="shared" si="802"/>
        <v>0</v>
      </c>
      <c r="EN584" s="68" t="e">
        <f t="shared" si="803"/>
        <v>#DIV/0!</v>
      </c>
      <c r="EO584" s="139">
        <f t="shared" si="854"/>
        <v>0.32527353469126524</v>
      </c>
      <c r="EP584">
        <f>+(SUM(M584:O584)*EO584*(1-'[1]Tier 3 Data'!$A$2))</f>
        <v>0</v>
      </c>
    </row>
    <row r="585" spans="1:146" x14ac:dyDescent="0.2">
      <c r="A585" s="43">
        <v>0</v>
      </c>
      <c r="B585" s="43">
        <v>0</v>
      </c>
      <c r="C585" s="43">
        <v>0</v>
      </c>
      <c r="D585" s="70">
        <v>2056</v>
      </c>
      <c r="E585" s="70">
        <v>2</v>
      </c>
      <c r="F585" s="2">
        <v>696</v>
      </c>
      <c r="G585" s="133">
        <f t="shared" si="838"/>
        <v>0</v>
      </c>
      <c r="H585" s="64"/>
      <c r="I585" s="133">
        <f t="shared" si="839"/>
        <v>0</v>
      </c>
      <c r="J585" s="133">
        <f t="shared" si="980"/>
        <v>0</v>
      </c>
      <c r="K585" s="64"/>
      <c r="L585" s="133">
        <f t="shared" si="981"/>
        <v>0</v>
      </c>
      <c r="M585" s="5"/>
      <c r="N585" s="5"/>
      <c r="O585" s="5"/>
      <c r="P585" s="200">
        <f t="shared" si="972"/>
        <v>0</v>
      </c>
      <c r="Q585" s="200">
        <f t="shared" si="973"/>
        <v>0</v>
      </c>
      <c r="R585" s="200">
        <f t="shared" si="974"/>
        <v>0</v>
      </c>
      <c r="S585" s="133">
        <f t="shared" si="840"/>
        <v>0</v>
      </c>
      <c r="T585" s="133">
        <f t="shared" si="841"/>
        <v>0</v>
      </c>
      <c r="U585" s="133">
        <f t="shared" si="842"/>
        <v>0</v>
      </c>
      <c r="V585" s="200">
        <f t="shared" si="975"/>
        <v>0</v>
      </c>
      <c r="W585" s="200">
        <f t="shared" si="976"/>
        <v>0</v>
      </c>
      <c r="X585" s="200">
        <f t="shared" si="977"/>
        <v>0</v>
      </c>
      <c r="Y585" s="58">
        <f t="shared" si="813"/>
        <v>0</v>
      </c>
      <c r="AA585" s="58">
        <f t="shared" si="814"/>
        <v>0</v>
      </c>
      <c r="AB585" s="200">
        <f t="shared" si="815"/>
        <v>0</v>
      </c>
      <c r="AC585" s="200">
        <f t="shared" si="816"/>
        <v>0</v>
      </c>
      <c r="AD585" s="200">
        <f t="shared" si="817"/>
        <v>0</v>
      </c>
      <c r="AE585" s="199">
        <f t="shared" si="921"/>
        <v>0</v>
      </c>
      <c r="AF585" s="199">
        <f t="shared" si="818"/>
        <v>0</v>
      </c>
      <c r="AG585" s="199">
        <f t="shared" si="922"/>
        <v>0</v>
      </c>
      <c r="AH585" s="199">
        <f t="shared" si="843"/>
        <v>0</v>
      </c>
      <c r="AI585" s="200">
        <f t="shared" si="819"/>
        <v>0</v>
      </c>
      <c r="AJ585" s="200">
        <f t="shared" si="820"/>
        <v>0</v>
      </c>
      <c r="AK585" s="200">
        <f t="shared" si="821"/>
        <v>0</v>
      </c>
      <c r="AL585" s="4"/>
      <c r="AM585" s="4"/>
      <c r="AN585" s="4"/>
      <c r="AO585" s="4"/>
      <c r="AP585" s="63"/>
      <c r="AQ585" s="18"/>
      <c r="AR585" s="18"/>
      <c r="AS585" s="18"/>
      <c r="AT585" s="18">
        <v>0</v>
      </c>
      <c r="AU585" s="133">
        <f t="shared" ref="AU585" si="998">+AU573</f>
        <v>92.897999999999996</v>
      </c>
      <c r="AV585" s="133">
        <f t="shared" ref="AV585" si="999">+AV573</f>
        <v>3057.587</v>
      </c>
      <c r="AW585" s="194"/>
      <c r="AX585" s="194"/>
      <c r="AY585" s="194"/>
      <c r="AZ585" s="194"/>
      <c r="BA585" s="194"/>
      <c r="BB585" s="194"/>
      <c r="BC585" s="65">
        <v>0</v>
      </c>
      <c r="BD585" s="65">
        <v>0</v>
      </c>
      <c r="BE585" s="65">
        <v>0</v>
      </c>
      <c r="BF585" s="65">
        <v>0</v>
      </c>
      <c r="BG585" s="65">
        <v>0</v>
      </c>
      <c r="BH585" s="65">
        <v>0</v>
      </c>
      <c r="BI585" s="65">
        <v>0</v>
      </c>
      <c r="BJ585" s="65">
        <v>0</v>
      </c>
      <c r="BK585" s="65">
        <v>0</v>
      </c>
      <c r="BL585" s="65">
        <v>0</v>
      </c>
      <c r="BM585" s="65">
        <v>0</v>
      </c>
      <c r="BN585" s="65">
        <v>0</v>
      </c>
      <c r="BO585" s="65">
        <v>0</v>
      </c>
      <c r="BP585" s="5"/>
      <c r="BQ585" s="5"/>
      <c r="BR585" s="5"/>
      <c r="BS585" s="5"/>
      <c r="BT585" s="5"/>
      <c r="BU585" s="5"/>
      <c r="BV585" s="144">
        <f t="shared" si="810"/>
        <v>0</v>
      </c>
      <c r="BW585" s="144">
        <f t="shared" si="811"/>
        <v>0</v>
      </c>
      <c r="BX585" s="144">
        <f t="shared" si="812"/>
        <v>0</v>
      </c>
      <c r="BY585" s="5"/>
      <c r="BZ585" s="5"/>
      <c r="CA585" s="4"/>
      <c r="CB585" s="5"/>
      <c r="CC585" s="5"/>
      <c r="CD585" s="5"/>
      <c r="CE585" s="5"/>
      <c r="CF585" s="64"/>
      <c r="CG585" s="70"/>
      <c r="CH585" s="70"/>
      <c r="CI585" s="70"/>
      <c r="CJ585" s="63"/>
      <c r="CK585" s="8">
        <f t="shared" si="963"/>
        <v>3150.4850000000001</v>
      </c>
      <c r="CL585" s="202">
        <f t="shared" si="885"/>
        <v>-3150.4850000000001</v>
      </c>
      <c r="CM585" s="202">
        <f t="shared" si="886"/>
        <v>-3150.4850000000001</v>
      </c>
      <c r="CN585" s="202">
        <f t="shared" si="887"/>
        <v>-3150.4850000000001</v>
      </c>
      <c r="CO585" s="9">
        <f t="shared" si="888"/>
        <v>-3150.4850000000001</v>
      </c>
      <c r="CP585" s="9">
        <f t="shared" si="889"/>
        <v>-3150.4850000000001</v>
      </c>
      <c r="CQ585" s="9">
        <f t="shared" si="890"/>
        <v>-3150.4850000000001</v>
      </c>
      <c r="CR585" s="202">
        <f t="shared" si="891"/>
        <v>-3150.4850000000001</v>
      </c>
      <c r="CS585" s="202">
        <f t="shared" si="892"/>
        <v>-3150.4850000000001</v>
      </c>
      <c r="CT585" s="202">
        <f t="shared" si="893"/>
        <v>-3150.4850000000001</v>
      </c>
      <c r="CU585" s="203" t="e">
        <f t="shared" si="894"/>
        <v>#DIV/0!</v>
      </c>
      <c r="CV585" s="203" t="e">
        <f t="shared" si="895"/>
        <v>#DIV/0!</v>
      </c>
      <c r="CW585" s="203" t="e">
        <f t="shared" si="896"/>
        <v>#DIV/0!</v>
      </c>
      <c r="CX585" s="19" t="e">
        <f t="shared" si="897"/>
        <v>#DIV/0!</v>
      </c>
      <c r="CY585" s="19" t="e">
        <f t="shared" si="898"/>
        <v>#DIV/0!</v>
      </c>
      <c r="CZ585" s="19" t="e">
        <f t="shared" si="899"/>
        <v>#DIV/0!</v>
      </c>
      <c r="DA585" s="203" t="e">
        <f t="shared" si="900"/>
        <v>#DIV/0!</v>
      </c>
      <c r="DB585" s="203" t="e">
        <f t="shared" si="901"/>
        <v>#DIV/0!</v>
      </c>
      <c r="DC585" s="203" t="e">
        <f t="shared" si="902"/>
        <v>#DIV/0!</v>
      </c>
      <c r="DD585" s="65"/>
      <c r="DE585" s="66"/>
      <c r="DF585" s="66"/>
      <c r="DG585" s="66"/>
      <c r="DH585" s="66"/>
      <c r="DI585" s="66"/>
      <c r="DJ585" s="66"/>
      <c r="DK585" s="70"/>
      <c r="DL585" s="70"/>
      <c r="DM585" s="8">
        <f t="shared" si="964"/>
        <v>0</v>
      </c>
      <c r="DN585" s="8">
        <f t="shared" si="965"/>
        <v>3150.4850000000001</v>
      </c>
      <c r="DO585" s="202">
        <f t="shared" si="939"/>
        <v>-3150.4850000000001</v>
      </c>
      <c r="DP585" s="202">
        <f t="shared" si="940"/>
        <v>-3150.4850000000001</v>
      </c>
      <c r="DQ585" s="202">
        <f t="shared" si="941"/>
        <v>-3150.4850000000001</v>
      </c>
      <c r="DR585" s="9">
        <f t="shared" si="942"/>
        <v>-3150.4850000000001</v>
      </c>
      <c r="DS585" s="9">
        <f t="shared" si="905"/>
        <v>-3150.4850000000001</v>
      </c>
      <c r="DT585" s="9">
        <f t="shared" si="943"/>
        <v>-3150.4850000000001</v>
      </c>
      <c r="DU585" s="202">
        <f t="shared" si="944"/>
        <v>-3150.4850000000001</v>
      </c>
      <c r="DV585" s="202">
        <f t="shared" si="945"/>
        <v>-3150.4850000000001</v>
      </c>
      <c r="DW585" s="202">
        <f t="shared" si="946"/>
        <v>-3150.4850000000001</v>
      </c>
      <c r="DX585" s="203" t="e">
        <f t="shared" si="947"/>
        <v>#DIV/0!</v>
      </c>
      <c r="DY585" s="203" t="e">
        <f t="shared" si="948"/>
        <v>#DIV/0!</v>
      </c>
      <c r="DZ585" s="203" t="e">
        <f t="shared" si="949"/>
        <v>#DIV/0!</v>
      </c>
      <c r="EA585" s="19" t="e">
        <f t="shared" si="950"/>
        <v>#DIV/0!</v>
      </c>
      <c r="EB585" s="19" t="e">
        <f t="shared" si="906"/>
        <v>#DIV/0!</v>
      </c>
      <c r="EC585" s="19" t="e">
        <f t="shared" si="951"/>
        <v>#DIV/0!</v>
      </c>
      <c r="ED585" s="203" t="e">
        <f t="shared" si="952"/>
        <v>#DIV/0!</v>
      </c>
      <c r="EE585" s="203" t="e">
        <f t="shared" si="953"/>
        <v>#DIV/0!</v>
      </c>
      <c r="EF585" s="203" t="e">
        <f t="shared" si="954"/>
        <v>#DIV/0!</v>
      </c>
      <c r="EH585" s="58">
        <f t="shared" ref="EH585:EH595" si="1000">SUMIF($AL$1:$DL$1,1,$AL585:$DL585)-0.5*BZ585</f>
        <v>3150.4850000000001</v>
      </c>
      <c r="EI585" s="68" t="e">
        <f t="shared" ref="EI585:EK595" si="1001">+EH585/$AF585</f>
        <v>#DIV/0!</v>
      </c>
      <c r="EJ585" s="58">
        <f t="shared" ref="EJ585:EJ595" si="1002">SUMIF($AL$2:$DL$2,1,$AL585:$DL585)</f>
        <v>3150.4850000000001</v>
      </c>
      <c r="EK585" s="68" t="e">
        <f t="shared" si="1001"/>
        <v>#DIV/0!</v>
      </c>
      <c r="EL585" s="58">
        <f t="shared" ref="EL585:EL595" si="1003">+EM585-BX585</f>
        <v>0</v>
      </c>
      <c r="EM585" s="58">
        <f t="shared" ref="EM585:EM595" si="1004">SUMIF($AL$3:$DL$3,1,$AL585:$DL585)</f>
        <v>0</v>
      </c>
      <c r="EN585" s="68" t="e">
        <f t="shared" ref="EN585:EN595" si="1005">+EM585/$AF585</f>
        <v>#DIV/0!</v>
      </c>
      <c r="EO585" s="139">
        <f t="shared" si="854"/>
        <v>0.3126447604730192</v>
      </c>
      <c r="EP585">
        <f>+(SUM(M585:O585)*EO585*(1-'[1]Tier 3 Data'!$A$2))</f>
        <v>0</v>
      </c>
    </row>
    <row r="586" spans="1:146" x14ac:dyDescent="0.2">
      <c r="A586" s="43">
        <v>0</v>
      </c>
      <c r="B586" s="43">
        <v>0</v>
      </c>
      <c r="C586" s="43">
        <v>0</v>
      </c>
      <c r="D586" s="70">
        <v>2056</v>
      </c>
      <c r="E586" s="70">
        <v>3</v>
      </c>
      <c r="F586" s="2">
        <v>743</v>
      </c>
      <c r="G586" s="133">
        <f t="shared" si="838"/>
        <v>0</v>
      </c>
      <c r="H586" s="64"/>
      <c r="I586" s="133">
        <f t="shared" si="839"/>
        <v>0</v>
      </c>
      <c r="J586" s="133">
        <f t="shared" si="980"/>
        <v>0</v>
      </c>
      <c r="K586" s="64"/>
      <c r="L586" s="133">
        <f t="shared" si="981"/>
        <v>0</v>
      </c>
      <c r="M586" s="5"/>
      <c r="N586" s="5"/>
      <c r="O586" s="5"/>
      <c r="P586" s="200">
        <f t="shared" si="972"/>
        <v>0</v>
      </c>
      <c r="Q586" s="200">
        <f t="shared" si="973"/>
        <v>0</v>
      </c>
      <c r="R586" s="200">
        <f t="shared" si="974"/>
        <v>0</v>
      </c>
      <c r="S586" s="133">
        <f t="shared" si="840"/>
        <v>0</v>
      </c>
      <c r="T586" s="133">
        <f t="shared" si="841"/>
        <v>0</v>
      </c>
      <c r="U586" s="133">
        <f t="shared" si="842"/>
        <v>0</v>
      </c>
      <c r="V586" s="200">
        <f t="shared" si="975"/>
        <v>0</v>
      </c>
      <c r="W586" s="200">
        <f t="shared" si="976"/>
        <v>0</v>
      </c>
      <c r="X586" s="200">
        <f t="shared" si="977"/>
        <v>0</v>
      </c>
      <c r="Y586" s="58">
        <f t="shared" si="813"/>
        <v>0</v>
      </c>
      <c r="AA586" s="58">
        <f t="shared" si="814"/>
        <v>0</v>
      </c>
      <c r="AB586" s="200">
        <f t="shared" si="815"/>
        <v>0</v>
      </c>
      <c r="AC586" s="200">
        <f t="shared" si="816"/>
        <v>0</v>
      </c>
      <c r="AD586" s="200">
        <f t="shared" si="817"/>
        <v>0</v>
      </c>
      <c r="AE586" s="199">
        <f t="shared" si="921"/>
        <v>0</v>
      </c>
      <c r="AF586" s="199">
        <f t="shared" si="818"/>
        <v>0</v>
      </c>
      <c r="AG586" s="199">
        <f t="shared" si="922"/>
        <v>0</v>
      </c>
      <c r="AH586" s="199">
        <f t="shared" si="843"/>
        <v>0</v>
      </c>
      <c r="AI586" s="200">
        <f t="shared" si="819"/>
        <v>0</v>
      </c>
      <c r="AJ586" s="200">
        <f t="shared" si="820"/>
        <v>0</v>
      </c>
      <c r="AK586" s="200">
        <f t="shared" si="821"/>
        <v>0</v>
      </c>
      <c r="AL586" s="4"/>
      <c r="AM586" s="4"/>
      <c r="AN586" s="4"/>
      <c r="AO586" s="4"/>
      <c r="AP586" s="63"/>
      <c r="AQ586" s="18"/>
      <c r="AR586" s="18"/>
      <c r="AS586" s="18"/>
      <c r="AT586" s="18">
        <v>0</v>
      </c>
      <c r="AU586" s="133">
        <f t="shared" ref="AU586" si="1006">+AU574</f>
        <v>87.516000000000005</v>
      </c>
      <c r="AV586" s="133">
        <f t="shared" ref="AV586" si="1007">+AV574</f>
        <v>3232.7139999999999</v>
      </c>
      <c r="AW586" s="194"/>
      <c r="AX586" s="194"/>
      <c r="AY586" s="194"/>
      <c r="AZ586" s="194"/>
      <c r="BA586" s="194"/>
      <c r="BB586" s="194"/>
      <c r="BC586" s="65">
        <v>0</v>
      </c>
      <c r="BD586" s="65">
        <v>0</v>
      </c>
      <c r="BE586" s="65">
        <v>0</v>
      </c>
      <c r="BF586" s="65">
        <v>0</v>
      </c>
      <c r="BG586" s="65">
        <v>0</v>
      </c>
      <c r="BH586" s="65">
        <v>0</v>
      </c>
      <c r="BI586" s="65">
        <v>0</v>
      </c>
      <c r="BJ586" s="65">
        <v>0</v>
      </c>
      <c r="BK586" s="65">
        <v>0</v>
      </c>
      <c r="BL586" s="65">
        <v>0</v>
      </c>
      <c r="BM586" s="65">
        <v>0</v>
      </c>
      <c r="BN586" s="65">
        <v>0</v>
      </c>
      <c r="BO586" s="65">
        <v>0</v>
      </c>
      <c r="BP586" s="5"/>
      <c r="BQ586" s="5"/>
      <c r="BR586" s="5"/>
      <c r="BS586" s="5"/>
      <c r="BT586" s="5"/>
      <c r="BU586" s="5"/>
      <c r="BV586" s="144">
        <f t="shared" si="810"/>
        <v>0</v>
      </c>
      <c r="BW586" s="144">
        <f t="shared" si="811"/>
        <v>0</v>
      </c>
      <c r="BX586" s="144">
        <f t="shared" si="812"/>
        <v>0</v>
      </c>
      <c r="BY586" s="5"/>
      <c r="BZ586" s="5"/>
      <c r="CA586" s="4"/>
      <c r="CB586" s="5"/>
      <c r="CC586" s="5"/>
      <c r="CD586" s="5"/>
      <c r="CE586" s="5"/>
      <c r="CF586" s="64"/>
      <c r="CG586" s="70"/>
      <c r="CH586" s="70"/>
      <c r="CI586" s="70"/>
      <c r="CJ586" s="63"/>
      <c r="CK586" s="8">
        <f t="shared" si="963"/>
        <v>3320.23</v>
      </c>
      <c r="CL586" s="202">
        <f t="shared" si="885"/>
        <v>-3320.23</v>
      </c>
      <c r="CM586" s="202">
        <f t="shared" si="886"/>
        <v>-3320.23</v>
      </c>
      <c r="CN586" s="202">
        <f t="shared" si="887"/>
        <v>-3320.23</v>
      </c>
      <c r="CO586" s="9">
        <f t="shared" si="888"/>
        <v>-3320.23</v>
      </c>
      <c r="CP586" s="9">
        <f t="shared" si="889"/>
        <v>-3320.23</v>
      </c>
      <c r="CQ586" s="9">
        <f t="shared" si="890"/>
        <v>-3320.23</v>
      </c>
      <c r="CR586" s="202">
        <f t="shared" si="891"/>
        <v>-3320.23</v>
      </c>
      <c r="CS586" s="202">
        <f t="shared" si="892"/>
        <v>-3320.23</v>
      </c>
      <c r="CT586" s="202">
        <f t="shared" si="893"/>
        <v>-3320.23</v>
      </c>
      <c r="CU586" s="203" t="e">
        <f t="shared" si="894"/>
        <v>#DIV/0!</v>
      </c>
      <c r="CV586" s="203" t="e">
        <f t="shared" si="895"/>
        <v>#DIV/0!</v>
      </c>
      <c r="CW586" s="203" t="e">
        <f t="shared" si="896"/>
        <v>#DIV/0!</v>
      </c>
      <c r="CX586" s="19" t="e">
        <f t="shared" si="897"/>
        <v>#DIV/0!</v>
      </c>
      <c r="CY586" s="19" t="e">
        <f t="shared" si="898"/>
        <v>#DIV/0!</v>
      </c>
      <c r="CZ586" s="19" t="e">
        <f t="shared" si="899"/>
        <v>#DIV/0!</v>
      </c>
      <c r="DA586" s="203" t="e">
        <f t="shared" si="900"/>
        <v>#DIV/0!</v>
      </c>
      <c r="DB586" s="203" t="e">
        <f t="shared" si="901"/>
        <v>#DIV/0!</v>
      </c>
      <c r="DC586" s="203" t="e">
        <f t="shared" si="902"/>
        <v>#DIV/0!</v>
      </c>
      <c r="DD586" s="65"/>
      <c r="DE586" s="66"/>
      <c r="DF586" s="66"/>
      <c r="DG586" s="66"/>
      <c r="DH586" s="66"/>
      <c r="DI586" s="66"/>
      <c r="DJ586" s="66"/>
      <c r="DK586" s="70"/>
      <c r="DL586" s="70"/>
      <c r="DM586" s="8">
        <f t="shared" si="964"/>
        <v>0</v>
      </c>
      <c r="DN586" s="8">
        <f t="shared" si="965"/>
        <v>3320.23</v>
      </c>
      <c r="DO586" s="202">
        <f t="shared" si="939"/>
        <v>-3320.23</v>
      </c>
      <c r="DP586" s="202">
        <f t="shared" si="940"/>
        <v>-3320.23</v>
      </c>
      <c r="DQ586" s="202">
        <f t="shared" si="941"/>
        <v>-3320.23</v>
      </c>
      <c r="DR586" s="9">
        <f t="shared" si="942"/>
        <v>-3320.23</v>
      </c>
      <c r="DS586" s="9">
        <f t="shared" si="905"/>
        <v>-3320.23</v>
      </c>
      <c r="DT586" s="9">
        <f t="shared" si="943"/>
        <v>-3320.23</v>
      </c>
      <c r="DU586" s="202">
        <f t="shared" si="944"/>
        <v>-3320.23</v>
      </c>
      <c r="DV586" s="202">
        <f t="shared" si="945"/>
        <v>-3320.23</v>
      </c>
      <c r="DW586" s="202">
        <f t="shared" si="946"/>
        <v>-3320.23</v>
      </c>
      <c r="DX586" s="203" t="e">
        <f t="shared" si="947"/>
        <v>#DIV/0!</v>
      </c>
      <c r="DY586" s="203" t="e">
        <f t="shared" si="948"/>
        <v>#DIV/0!</v>
      </c>
      <c r="DZ586" s="203" t="e">
        <f t="shared" si="949"/>
        <v>#DIV/0!</v>
      </c>
      <c r="EA586" s="19" t="e">
        <f t="shared" si="950"/>
        <v>#DIV/0!</v>
      </c>
      <c r="EB586" s="19" t="e">
        <f t="shared" si="906"/>
        <v>#DIV/0!</v>
      </c>
      <c r="EC586" s="19" t="e">
        <f t="shared" si="951"/>
        <v>#DIV/0!</v>
      </c>
      <c r="ED586" s="203" t="e">
        <f t="shared" si="952"/>
        <v>#DIV/0!</v>
      </c>
      <c r="EE586" s="203" t="e">
        <f t="shared" si="953"/>
        <v>#DIV/0!</v>
      </c>
      <c r="EF586" s="203" t="e">
        <f t="shared" si="954"/>
        <v>#DIV/0!</v>
      </c>
      <c r="EH586" s="58">
        <f t="shared" si="1000"/>
        <v>3320.23</v>
      </c>
      <c r="EI586" s="68" t="e">
        <f t="shared" si="1001"/>
        <v>#DIV/0!</v>
      </c>
      <c r="EJ586" s="58">
        <f t="shared" si="1002"/>
        <v>3320.23</v>
      </c>
      <c r="EK586" s="68" t="e">
        <f t="shared" si="1001"/>
        <v>#DIV/0!</v>
      </c>
      <c r="EL586" s="58">
        <f t="shared" si="1003"/>
        <v>0</v>
      </c>
      <c r="EM586" s="58">
        <f t="shared" si="1004"/>
        <v>0</v>
      </c>
      <c r="EN586" s="68" t="e">
        <f t="shared" si="1005"/>
        <v>#DIV/0!</v>
      </c>
      <c r="EO586" s="139">
        <f t="shared" si="854"/>
        <v>0.32861286969700848</v>
      </c>
      <c r="EP586">
        <f>+(SUM(M586:O586)*EO586*(1-'[1]Tier 3 Data'!$A$2))</f>
        <v>0</v>
      </c>
    </row>
    <row r="587" spans="1:146" x14ac:dyDescent="0.2">
      <c r="A587" s="43">
        <v>0</v>
      </c>
      <c r="B587" s="43">
        <v>0</v>
      </c>
      <c r="C587" s="43">
        <v>0</v>
      </c>
      <c r="D587" s="70">
        <v>2056</v>
      </c>
      <c r="E587" s="70">
        <v>4</v>
      </c>
      <c r="F587" s="2">
        <v>720</v>
      </c>
      <c r="G587" s="133">
        <f t="shared" si="838"/>
        <v>0</v>
      </c>
      <c r="H587" s="64"/>
      <c r="I587" s="133">
        <f t="shared" si="839"/>
        <v>0</v>
      </c>
      <c r="J587" s="133">
        <f t="shared" si="980"/>
        <v>0</v>
      </c>
      <c r="K587" s="64"/>
      <c r="L587" s="133">
        <f t="shared" si="981"/>
        <v>0</v>
      </c>
      <c r="M587" s="5"/>
      <c r="N587" s="5"/>
      <c r="O587" s="5"/>
      <c r="P587" s="200">
        <f t="shared" si="972"/>
        <v>0</v>
      </c>
      <c r="Q587" s="200">
        <f t="shared" si="973"/>
        <v>0</v>
      </c>
      <c r="R587" s="200">
        <f t="shared" si="974"/>
        <v>0</v>
      </c>
      <c r="S587" s="133">
        <f t="shared" si="840"/>
        <v>0</v>
      </c>
      <c r="T587" s="133">
        <f t="shared" si="841"/>
        <v>0</v>
      </c>
      <c r="U587" s="133">
        <f t="shared" si="842"/>
        <v>0</v>
      </c>
      <c r="V587" s="200">
        <f t="shared" si="975"/>
        <v>0</v>
      </c>
      <c r="W587" s="200">
        <f t="shared" si="976"/>
        <v>0</v>
      </c>
      <c r="X587" s="200">
        <f t="shared" si="977"/>
        <v>0</v>
      </c>
      <c r="Y587" s="58">
        <f t="shared" si="813"/>
        <v>0</v>
      </c>
      <c r="AA587" s="58">
        <f t="shared" si="814"/>
        <v>0</v>
      </c>
      <c r="AB587" s="200">
        <f t="shared" si="815"/>
        <v>0</v>
      </c>
      <c r="AC587" s="200">
        <f t="shared" si="816"/>
        <v>0</v>
      </c>
      <c r="AD587" s="200">
        <f t="shared" si="817"/>
        <v>0</v>
      </c>
      <c r="AE587" s="199">
        <f t="shared" si="921"/>
        <v>0</v>
      </c>
      <c r="AF587" s="199">
        <f t="shared" si="818"/>
        <v>0</v>
      </c>
      <c r="AG587" s="199">
        <f t="shared" si="922"/>
        <v>0</v>
      </c>
      <c r="AH587" s="199">
        <f t="shared" si="843"/>
        <v>0</v>
      </c>
      <c r="AI587" s="200">
        <f t="shared" si="819"/>
        <v>0</v>
      </c>
      <c r="AJ587" s="200">
        <f t="shared" si="820"/>
        <v>0</v>
      </c>
      <c r="AK587" s="200">
        <f t="shared" si="821"/>
        <v>0</v>
      </c>
      <c r="AL587" s="4"/>
      <c r="AM587" s="4"/>
      <c r="AN587" s="4"/>
      <c r="AO587" s="4"/>
      <c r="AP587" s="63"/>
      <c r="AQ587" s="18"/>
      <c r="AR587" s="18"/>
      <c r="AS587" s="18"/>
      <c r="AT587" s="18">
        <v>0</v>
      </c>
      <c r="AU587" s="133">
        <f t="shared" ref="AU587" si="1008">+AU575</f>
        <v>96.057000000000002</v>
      </c>
      <c r="AV587" s="133">
        <f t="shared" ref="AV587" si="1009">+AV575</f>
        <v>3017.9659999999999</v>
      </c>
      <c r="AW587" s="194"/>
      <c r="AX587" s="194"/>
      <c r="AY587" s="194"/>
      <c r="AZ587" s="194"/>
      <c r="BA587" s="194"/>
      <c r="BB587" s="194"/>
      <c r="BC587" s="65">
        <v>0</v>
      </c>
      <c r="BD587" s="65">
        <v>0</v>
      </c>
      <c r="BE587" s="65">
        <v>0</v>
      </c>
      <c r="BF587" s="65">
        <v>0</v>
      </c>
      <c r="BG587" s="65">
        <v>0</v>
      </c>
      <c r="BH587" s="65">
        <v>0</v>
      </c>
      <c r="BI587" s="65">
        <v>0</v>
      </c>
      <c r="BJ587" s="65">
        <v>0</v>
      </c>
      <c r="BK587" s="65">
        <v>0</v>
      </c>
      <c r="BL587" s="65">
        <v>0</v>
      </c>
      <c r="BM587" s="65">
        <v>0</v>
      </c>
      <c r="BN587" s="65">
        <v>0</v>
      </c>
      <c r="BO587" s="65">
        <v>0</v>
      </c>
      <c r="BP587" s="5"/>
      <c r="BQ587" s="5"/>
      <c r="BR587" s="5"/>
      <c r="BS587" s="5"/>
      <c r="BT587" s="5"/>
      <c r="BU587" s="5"/>
      <c r="BV587" s="144">
        <f t="shared" si="810"/>
        <v>0</v>
      </c>
      <c r="BW587" s="144">
        <f t="shared" si="811"/>
        <v>0</v>
      </c>
      <c r="BX587" s="144">
        <f t="shared" si="812"/>
        <v>0</v>
      </c>
      <c r="BY587" s="5"/>
      <c r="BZ587" s="5"/>
      <c r="CA587" s="4"/>
      <c r="CB587" s="5"/>
      <c r="CC587" s="5"/>
      <c r="CD587" s="5"/>
      <c r="CE587" s="5"/>
      <c r="CF587" s="64"/>
      <c r="CG587" s="70"/>
      <c r="CH587" s="70"/>
      <c r="CI587" s="70"/>
      <c r="CJ587" s="63"/>
      <c r="CK587" s="8">
        <f t="shared" si="963"/>
        <v>3114.0229999999997</v>
      </c>
      <c r="CL587" s="202">
        <f t="shared" si="885"/>
        <v>-3114.0229999999997</v>
      </c>
      <c r="CM587" s="202">
        <f t="shared" si="886"/>
        <v>-3114.0229999999997</v>
      </c>
      <c r="CN587" s="202">
        <f t="shared" si="887"/>
        <v>-3114.0229999999997</v>
      </c>
      <c r="CO587" s="9">
        <f t="shared" si="888"/>
        <v>-3114.0229999999997</v>
      </c>
      <c r="CP587" s="9">
        <f t="shared" si="889"/>
        <v>-3114.0229999999997</v>
      </c>
      <c r="CQ587" s="9">
        <f t="shared" si="890"/>
        <v>-3114.0229999999997</v>
      </c>
      <c r="CR587" s="202">
        <f t="shared" si="891"/>
        <v>-3114.0229999999997</v>
      </c>
      <c r="CS587" s="202">
        <f t="shared" si="892"/>
        <v>-3114.0229999999997</v>
      </c>
      <c r="CT587" s="202">
        <f t="shared" si="893"/>
        <v>-3114.0229999999997</v>
      </c>
      <c r="CU587" s="203" t="e">
        <f t="shared" si="894"/>
        <v>#DIV/0!</v>
      </c>
      <c r="CV587" s="203" t="e">
        <f t="shared" si="895"/>
        <v>#DIV/0!</v>
      </c>
      <c r="CW587" s="203" t="e">
        <f t="shared" si="896"/>
        <v>#DIV/0!</v>
      </c>
      <c r="CX587" s="19" t="e">
        <f t="shared" si="897"/>
        <v>#DIV/0!</v>
      </c>
      <c r="CY587" s="19" t="e">
        <f t="shared" si="898"/>
        <v>#DIV/0!</v>
      </c>
      <c r="CZ587" s="19" t="e">
        <f t="shared" si="899"/>
        <v>#DIV/0!</v>
      </c>
      <c r="DA587" s="203" t="e">
        <f t="shared" si="900"/>
        <v>#DIV/0!</v>
      </c>
      <c r="DB587" s="203" t="e">
        <f t="shared" si="901"/>
        <v>#DIV/0!</v>
      </c>
      <c r="DC587" s="203" t="e">
        <f t="shared" si="902"/>
        <v>#DIV/0!</v>
      </c>
      <c r="DD587" s="65"/>
      <c r="DE587" s="66"/>
      <c r="DF587" s="66"/>
      <c r="DG587" s="66"/>
      <c r="DH587" s="66"/>
      <c r="DI587" s="66"/>
      <c r="DJ587" s="66"/>
      <c r="DK587" s="70"/>
      <c r="DL587" s="70"/>
      <c r="DM587" s="8">
        <f t="shared" si="964"/>
        <v>0</v>
      </c>
      <c r="DN587" s="8">
        <f t="shared" si="965"/>
        <v>3114.0229999999997</v>
      </c>
      <c r="DO587" s="202">
        <f t="shared" si="939"/>
        <v>-3114.0229999999997</v>
      </c>
      <c r="DP587" s="202">
        <f t="shared" si="940"/>
        <v>-3114.0229999999997</v>
      </c>
      <c r="DQ587" s="202">
        <f t="shared" si="941"/>
        <v>-3114.0229999999997</v>
      </c>
      <c r="DR587" s="9">
        <f t="shared" si="942"/>
        <v>-3114.0229999999997</v>
      </c>
      <c r="DS587" s="9">
        <f t="shared" si="905"/>
        <v>-3114.0229999999997</v>
      </c>
      <c r="DT587" s="9">
        <f t="shared" si="943"/>
        <v>-3114.0229999999997</v>
      </c>
      <c r="DU587" s="202">
        <f t="shared" si="944"/>
        <v>-3114.0229999999997</v>
      </c>
      <c r="DV587" s="202">
        <f t="shared" si="945"/>
        <v>-3114.0229999999997</v>
      </c>
      <c r="DW587" s="202">
        <f t="shared" si="946"/>
        <v>-3114.0229999999997</v>
      </c>
      <c r="DX587" s="203" t="e">
        <f t="shared" si="947"/>
        <v>#DIV/0!</v>
      </c>
      <c r="DY587" s="203" t="e">
        <f t="shared" si="948"/>
        <v>#DIV/0!</v>
      </c>
      <c r="DZ587" s="203" t="e">
        <f t="shared" si="949"/>
        <v>#DIV/0!</v>
      </c>
      <c r="EA587" s="19" t="e">
        <f t="shared" si="950"/>
        <v>#DIV/0!</v>
      </c>
      <c r="EB587" s="19" t="e">
        <f t="shared" si="906"/>
        <v>#DIV/0!</v>
      </c>
      <c r="EC587" s="19" t="e">
        <f t="shared" si="951"/>
        <v>#DIV/0!</v>
      </c>
      <c r="ED587" s="203" t="e">
        <f t="shared" si="952"/>
        <v>#DIV/0!</v>
      </c>
      <c r="EE587" s="203" t="e">
        <f t="shared" si="953"/>
        <v>#DIV/0!</v>
      </c>
      <c r="EF587" s="203" t="e">
        <f t="shared" si="954"/>
        <v>#DIV/0!</v>
      </c>
      <c r="EH587" s="58">
        <f t="shared" si="1000"/>
        <v>3114.0229999999997</v>
      </c>
      <c r="EI587" s="68" t="e">
        <f t="shared" si="1001"/>
        <v>#DIV/0!</v>
      </c>
      <c r="EJ587" s="58">
        <f t="shared" si="1002"/>
        <v>3114.0229999999997</v>
      </c>
      <c r="EK587" s="68" t="e">
        <f t="shared" si="1001"/>
        <v>#DIV/0!</v>
      </c>
      <c r="EL587" s="58">
        <f t="shared" si="1003"/>
        <v>0</v>
      </c>
      <c r="EM587" s="58">
        <f t="shared" si="1004"/>
        <v>0</v>
      </c>
      <c r="EN587" s="68" t="e">
        <f t="shared" si="1005"/>
        <v>#DIV/0!</v>
      </c>
      <c r="EO587" s="139">
        <f t="shared" si="854"/>
        <v>0.35351678044029999</v>
      </c>
      <c r="EP587">
        <f>+(SUM(M587:O587)*EO587*(1-'[1]Tier 3 Data'!$A$2))</f>
        <v>0</v>
      </c>
    </row>
    <row r="588" spans="1:146" x14ac:dyDescent="0.2">
      <c r="A588" s="43">
        <v>0</v>
      </c>
      <c r="B588" s="43">
        <v>0</v>
      </c>
      <c r="C588" s="43">
        <v>0</v>
      </c>
      <c r="D588" s="70">
        <v>2056</v>
      </c>
      <c r="E588" s="70">
        <v>5</v>
      </c>
      <c r="F588" s="2">
        <v>744</v>
      </c>
      <c r="G588" s="133">
        <f t="shared" si="838"/>
        <v>0</v>
      </c>
      <c r="H588" s="64"/>
      <c r="I588" s="133">
        <f t="shared" si="839"/>
        <v>0</v>
      </c>
      <c r="J588" s="133">
        <f t="shared" si="980"/>
        <v>0</v>
      </c>
      <c r="K588" s="64"/>
      <c r="L588" s="133">
        <f t="shared" si="981"/>
        <v>0</v>
      </c>
      <c r="M588" s="5"/>
      <c r="N588" s="5"/>
      <c r="O588" s="5"/>
      <c r="P588" s="200">
        <f t="shared" si="972"/>
        <v>0</v>
      </c>
      <c r="Q588" s="200">
        <f t="shared" si="973"/>
        <v>0</v>
      </c>
      <c r="R588" s="200">
        <f t="shared" si="974"/>
        <v>0</v>
      </c>
      <c r="S588" s="133">
        <f t="shared" si="840"/>
        <v>0</v>
      </c>
      <c r="T588" s="133">
        <f t="shared" si="841"/>
        <v>0</v>
      </c>
      <c r="U588" s="133">
        <f t="shared" si="842"/>
        <v>0</v>
      </c>
      <c r="V588" s="200">
        <f t="shared" si="975"/>
        <v>0</v>
      </c>
      <c r="W588" s="200">
        <f t="shared" si="976"/>
        <v>0</v>
      </c>
      <c r="X588" s="200">
        <f t="shared" si="977"/>
        <v>0</v>
      </c>
      <c r="Y588" s="58">
        <f t="shared" si="813"/>
        <v>0</v>
      </c>
      <c r="AA588" s="58">
        <f t="shared" si="814"/>
        <v>0</v>
      </c>
      <c r="AB588" s="200">
        <f t="shared" si="815"/>
        <v>0</v>
      </c>
      <c r="AC588" s="200">
        <f t="shared" si="816"/>
        <v>0</v>
      </c>
      <c r="AD588" s="200">
        <f t="shared" si="817"/>
        <v>0</v>
      </c>
      <c r="AE588" s="199">
        <f t="shared" si="921"/>
        <v>0</v>
      </c>
      <c r="AF588" s="199">
        <f t="shared" si="818"/>
        <v>0</v>
      </c>
      <c r="AG588" s="199">
        <f t="shared" si="922"/>
        <v>0</v>
      </c>
      <c r="AH588" s="199">
        <f t="shared" si="843"/>
        <v>0</v>
      </c>
      <c r="AI588" s="200">
        <f t="shared" si="819"/>
        <v>0</v>
      </c>
      <c r="AJ588" s="200">
        <f t="shared" si="820"/>
        <v>0</v>
      </c>
      <c r="AK588" s="200">
        <f t="shared" si="821"/>
        <v>0</v>
      </c>
      <c r="AL588" s="4"/>
      <c r="AM588" s="4"/>
      <c r="AN588" s="4"/>
      <c r="AO588" s="4"/>
      <c r="AP588" s="63"/>
      <c r="AQ588" s="18"/>
      <c r="AR588" s="18"/>
      <c r="AS588" s="18"/>
      <c r="AT588" s="18">
        <v>0</v>
      </c>
      <c r="AU588" s="133">
        <f t="shared" ref="AU588" si="1010">+AU576</f>
        <v>109.161</v>
      </c>
      <c r="AV588" s="133">
        <f t="shared" ref="AV588" si="1011">+AV576</f>
        <v>3327.41</v>
      </c>
      <c r="AW588" s="194"/>
      <c r="AX588" s="194"/>
      <c r="AY588" s="194"/>
      <c r="AZ588" s="194"/>
      <c r="BA588" s="194"/>
      <c r="BB588" s="194"/>
      <c r="BC588" s="65">
        <v>0</v>
      </c>
      <c r="BD588" s="65">
        <v>0</v>
      </c>
      <c r="BE588" s="65">
        <v>0</v>
      </c>
      <c r="BF588" s="65">
        <v>0</v>
      </c>
      <c r="BG588" s="65">
        <v>0</v>
      </c>
      <c r="BH588" s="65">
        <v>0</v>
      </c>
      <c r="BI588" s="65">
        <v>0</v>
      </c>
      <c r="BJ588" s="65">
        <v>0</v>
      </c>
      <c r="BK588" s="65">
        <v>0</v>
      </c>
      <c r="BL588" s="65">
        <v>0</v>
      </c>
      <c r="BM588" s="65">
        <v>0</v>
      </c>
      <c r="BN588" s="65">
        <v>0</v>
      </c>
      <c r="BO588" s="65">
        <v>0</v>
      </c>
      <c r="BP588" s="5"/>
      <c r="BQ588" s="5"/>
      <c r="BR588" s="5"/>
      <c r="BS588" s="5"/>
      <c r="BT588" s="5"/>
      <c r="BU588" s="5"/>
      <c r="BV588" s="144">
        <f t="shared" ref="BV588:BV595" si="1012">+M588*0.7</f>
        <v>0</v>
      </c>
      <c r="BW588" s="144">
        <f t="shared" ref="BW588:BW595" si="1013">+N588*0.7</f>
        <v>0</v>
      </c>
      <c r="BX588" s="144">
        <f t="shared" ref="BX588:BX595" si="1014">+O588*0.7</f>
        <v>0</v>
      </c>
      <c r="BY588" s="5"/>
      <c r="BZ588" s="5"/>
      <c r="CA588" s="4"/>
      <c r="CB588" s="5"/>
      <c r="CC588" s="5"/>
      <c r="CD588" s="5"/>
      <c r="CE588" s="5"/>
      <c r="CF588" s="64"/>
      <c r="CG588" s="70"/>
      <c r="CH588" s="70"/>
      <c r="CI588" s="70"/>
      <c r="CJ588" s="63"/>
      <c r="CK588" s="8">
        <f t="shared" si="963"/>
        <v>3436.5709999999999</v>
      </c>
      <c r="CL588" s="202">
        <f t="shared" si="885"/>
        <v>-3436.5709999999999</v>
      </c>
      <c r="CM588" s="202">
        <f t="shared" si="886"/>
        <v>-3436.5709999999999</v>
      </c>
      <c r="CN588" s="202">
        <f t="shared" si="887"/>
        <v>-3436.5709999999999</v>
      </c>
      <c r="CO588" s="9">
        <f t="shared" si="888"/>
        <v>-3436.5709999999999</v>
      </c>
      <c r="CP588" s="9">
        <f t="shared" si="889"/>
        <v>-3436.5709999999999</v>
      </c>
      <c r="CQ588" s="9">
        <f t="shared" si="890"/>
        <v>-3436.5709999999999</v>
      </c>
      <c r="CR588" s="202">
        <f t="shared" si="891"/>
        <v>-3436.5709999999999</v>
      </c>
      <c r="CS588" s="202">
        <f t="shared" si="892"/>
        <v>-3436.5709999999999</v>
      </c>
      <c r="CT588" s="202">
        <f t="shared" si="893"/>
        <v>-3436.5709999999999</v>
      </c>
      <c r="CU588" s="203" t="e">
        <f t="shared" si="894"/>
        <v>#DIV/0!</v>
      </c>
      <c r="CV588" s="203" t="e">
        <f t="shared" si="895"/>
        <v>#DIV/0!</v>
      </c>
      <c r="CW588" s="203" t="e">
        <f t="shared" si="896"/>
        <v>#DIV/0!</v>
      </c>
      <c r="CX588" s="19" t="e">
        <f t="shared" si="897"/>
        <v>#DIV/0!</v>
      </c>
      <c r="CY588" s="19" t="e">
        <f t="shared" si="898"/>
        <v>#DIV/0!</v>
      </c>
      <c r="CZ588" s="19" t="e">
        <f t="shared" si="899"/>
        <v>#DIV/0!</v>
      </c>
      <c r="DA588" s="203" t="e">
        <f t="shared" si="900"/>
        <v>#DIV/0!</v>
      </c>
      <c r="DB588" s="203" t="e">
        <f t="shared" si="901"/>
        <v>#DIV/0!</v>
      </c>
      <c r="DC588" s="203" t="e">
        <f t="shared" si="902"/>
        <v>#DIV/0!</v>
      </c>
      <c r="DD588" s="65"/>
      <c r="DE588" s="66"/>
      <c r="DF588" s="66"/>
      <c r="DG588" s="66"/>
      <c r="DH588" s="66"/>
      <c r="DI588" s="66"/>
      <c r="DJ588" s="66"/>
      <c r="DK588" s="70"/>
      <c r="DL588" s="70"/>
      <c r="DM588" s="8">
        <f t="shared" si="964"/>
        <v>0</v>
      </c>
      <c r="DN588" s="8">
        <f t="shared" si="965"/>
        <v>3436.5709999999999</v>
      </c>
      <c r="DO588" s="202">
        <f t="shared" si="939"/>
        <v>-3436.5709999999999</v>
      </c>
      <c r="DP588" s="202">
        <f t="shared" si="940"/>
        <v>-3436.5709999999999</v>
      </c>
      <c r="DQ588" s="202">
        <f t="shared" si="941"/>
        <v>-3436.5709999999999</v>
      </c>
      <c r="DR588" s="9">
        <f t="shared" si="942"/>
        <v>-3436.5709999999999</v>
      </c>
      <c r="DS588" s="9">
        <f t="shared" si="905"/>
        <v>-3436.5709999999999</v>
      </c>
      <c r="DT588" s="9">
        <f t="shared" si="943"/>
        <v>-3436.5709999999999</v>
      </c>
      <c r="DU588" s="202">
        <f t="shared" si="944"/>
        <v>-3436.5709999999999</v>
      </c>
      <c r="DV588" s="202">
        <f t="shared" si="945"/>
        <v>-3436.5709999999999</v>
      </c>
      <c r="DW588" s="202">
        <f t="shared" si="946"/>
        <v>-3436.5709999999999</v>
      </c>
      <c r="DX588" s="203" t="e">
        <f t="shared" si="947"/>
        <v>#DIV/0!</v>
      </c>
      <c r="DY588" s="203" t="e">
        <f t="shared" si="948"/>
        <v>#DIV/0!</v>
      </c>
      <c r="DZ588" s="203" t="e">
        <f t="shared" si="949"/>
        <v>#DIV/0!</v>
      </c>
      <c r="EA588" s="19" t="e">
        <f t="shared" si="950"/>
        <v>#DIV/0!</v>
      </c>
      <c r="EB588" s="19" t="e">
        <f t="shared" si="906"/>
        <v>#DIV/0!</v>
      </c>
      <c r="EC588" s="19" t="e">
        <f t="shared" si="951"/>
        <v>#DIV/0!</v>
      </c>
      <c r="ED588" s="203" t="e">
        <f t="shared" si="952"/>
        <v>#DIV/0!</v>
      </c>
      <c r="EE588" s="203" t="e">
        <f t="shared" si="953"/>
        <v>#DIV/0!</v>
      </c>
      <c r="EF588" s="203" t="e">
        <f t="shared" si="954"/>
        <v>#DIV/0!</v>
      </c>
      <c r="EH588" s="58">
        <f t="shared" si="1000"/>
        <v>3436.5709999999999</v>
      </c>
      <c r="EI588" s="68" t="e">
        <f t="shared" si="1001"/>
        <v>#DIV/0!</v>
      </c>
      <c r="EJ588" s="58">
        <f t="shared" si="1002"/>
        <v>3436.5709999999999</v>
      </c>
      <c r="EK588" s="68" t="e">
        <f t="shared" si="1001"/>
        <v>#DIV/0!</v>
      </c>
      <c r="EL588" s="58">
        <f t="shared" si="1003"/>
        <v>0</v>
      </c>
      <c r="EM588" s="58">
        <f t="shared" si="1004"/>
        <v>0</v>
      </c>
      <c r="EN588" s="68" t="e">
        <f t="shared" si="1005"/>
        <v>#DIV/0!</v>
      </c>
      <c r="EO588" s="139">
        <f t="shared" si="854"/>
        <v>0.28868615856523006</v>
      </c>
      <c r="EP588">
        <f>+(SUM(M588:O588)*EO588*(1-'[1]Tier 3 Data'!$A$2))</f>
        <v>0</v>
      </c>
    </row>
    <row r="589" spans="1:146" x14ac:dyDescent="0.2">
      <c r="A589" s="43">
        <v>0</v>
      </c>
      <c r="B589" s="43">
        <v>0</v>
      </c>
      <c r="C589" s="43">
        <v>0</v>
      </c>
      <c r="D589" s="70">
        <v>2056</v>
      </c>
      <c r="E589" s="70">
        <v>6</v>
      </c>
      <c r="F589" s="2">
        <v>720</v>
      </c>
      <c r="G589" s="133">
        <f t="shared" si="838"/>
        <v>0</v>
      </c>
      <c r="H589" s="64"/>
      <c r="I589" s="133">
        <f t="shared" si="839"/>
        <v>0</v>
      </c>
      <c r="J589" s="133">
        <f t="shared" si="980"/>
        <v>0</v>
      </c>
      <c r="K589" s="64"/>
      <c r="L589" s="133">
        <f t="shared" si="981"/>
        <v>0</v>
      </c>
      <c r="M589" s="5"/>
      <c r="N589" s="5"/>
      <c r="O589" s="5"/>
      <c r="P589" s="200">
        <f t="shared" si="972"/>
        <v>0</v>
      </c>
      <c r="Q589" s="200">
        <f t="shared" si="973"/>
        <v>0</v>
      </c>
      <c r="R589" s="200">
        <f t="shared" si="974"/>
        <v>0</v>
      </c>
      <c r="S589" s="133">
        <f t="shared" si="840"/>
        <v>0</v>
      </c>
      <c r="T589" s="133">
        <f t="shared" si="841"/>
        <v>0</v>
      </c>
      <c r="U589" s="133">
        <f t="shared" si="842"/>
        <v>0</v>
      </c>
      <c r="V589" s="200">
        <f t="shared" si="975"/>
        <v>0</v>
      </c>
      <c r="W589" s="200">
        <f t="shared" si="976"/>
        <v>0</v>
      </c>
      <c r="X589" s="200">
        <f t="shared" si="977"/>
        <v>0</v>
      </c>
      <c r="Y589" s="58">
        <f t="shared" ref="Y589:Y595" si="1015">+Z589*$Y$6</f>
        <v>0</v>
      </c>
      <c r="AA589" s="58">
        <f t="shared" ref="AA589:AA595" si="1016">+Z589*$AA$6</f>
        <v>0</v>
      </c>
      <c r="AB589" s="200">
        <f t="shared" ref="AB589:AB593" si="1017">+P589+$Z589</f>
        <v>0</v>
      </c>
      <c r="AC589" s="200">
        <f t="shared" ref="AC589:AC593" si="1018">+Q589+$Z589</f>
        <v>0</v>
      </c>
      <c r="AD589" s="200">
        <f t="shared" ref="AD589:AD593" si="1019">+R589+$Z589</f>
        <v>0</v>
      </c>
      <c r="AE589" s="199">
        <f t="shared" si="921"/>
        <v>0</v>
      </c>
      <c r="AF589" s="199">
        <f t="shared" ref="AF589:AF593" si="1020">+T589+$Z589</f>
        <v>0</v>
      </c>
      <c r="AG589" s="199">
        <f t="shared" si="922"/>
        <v>0</v>
      </c>
      <c r="AH589" s="199">
        <f t="shared" si="843"/>
        <v>0</v>
      </c>
      <c r="AI589" s="200">
        <f t="shared" ref="AI589:AI593" si="1021">+V589+$Z589</f>
        <v>0</v>
      </c>
      <c r="AJ589" s="200">
        <f t="shared" ref="AJ589:AJ593" si="1022">+W589+$Z589</f>
        <v>0</v>
      </c>
      <c r="AK589" s="200">
        <f t="shared" ref="AK589:AK593" si="1023">+X589+$Z589</f>
        <v>0</v>
      </c>
      <c r="AL589" s="4"/>
      <c r="AM589" s="4"/>
      <c r="AN589" s="4"/>
      <c r="AO589" s="4"/>
      <c r="AP589" s="63"/>
      <c r="AQ589" s="18"/>
      <c r="AR589" s="18"/>
      <c r="AS589" s="18"/>
      <c r="AT589" s="18">
        <v>0</v>
      </c>
      <c r="AU589" s="133">
        <f t="shared" ref="AU589" si="1024">+AU577</f>
        <v>128.934</v>
      </c>
      <c r="AV589" s="133">
        <f t="shared" ref="AV589" si="1025">+AV577</f>
        <v>3110.2840000000001</v>
      </c>
      <c r="AW589" s="194"/>
      <c r="AX589" s="194"/>
      <c r="AY589" s="194"/>
      <c r="AZ589" s="194"/>
      <c r="BA589" s="194"/>
      <c r="BB589" s="194"/>
      <c r="BC589" s="65">
        <v>0</v>
      </c>
      <c r="BD589" s="65">
        <v>0</v>
      </c>
      <c r="BE589" s="65">
        <v>0</v>
      </c>
      <c r="BF589" s="65">
        <v>0</v>
      </c>
      <c r="BG589" s="65">
        <v>0</v>
      </c>
      <c r="BH589" s="65">
        <v>0</v>
      </c>
      <c r="BI589" s="65">
        <v>0</v>
      </c>
      <c r="BJ589" s="65">
        <v>0</v>
      </c>
      <c r="BK589" s="65">
        <v>0</v>
      </c>
      <c r="BL589" s="65">
        <v>0</v>
      </c>
      <c r="BM589" s="65">
        <v>0</v>
      </c>
      <c r="BN589" s="65">
        <v>0</v>
      </c>
      <c r="BO589" s="65">
        <v>0</v>
      </c>
      <c r="BP589" s="5"/>
      <c r="BQ589" s="5"/>
      <c r="BR589" s="5"/>
      <c r="BS589" s="5"/>
      <c r="BT589" s="5"/>
      <c r="BU589" s="5"/>
      <c r="BV589" s="144">
        <f t="shared" si="1012"/>
        <v>0</v>
      </c>
      <c r="BW589" s="144">
        <f t="shared" si="1013"/>
        <v>0</v>
      </c>
      <c r="BX589" s="144">
        <f t="shared" si="1014"/>
        <v>0</v>
      </c>
      <c r="BY589" s="5"/>
      <c r="BZ589" s="5"/>
      <c r="CA589" s="4"/>
      <c r="CB589" s="5"/>
      <c r="CC589" s="5"/>
      <c r="CD589" s="5"/>
      <c r="CE589" s="5"/>
      <c r="CF589" s="64"/>
      <c r="CG589" s="70"/>
      <c r="CH589" s="70"/>
      <c r="CI589" s="70"/>
      <c r="CJ589" s="63"/>
      <c r="CK589" s="8">
        <f t="shared" si="963"/>
        <v>3239.2180000000003</v>
      </c>
      <c r="CL589" s="202">
        <f t="shared" si="885"/>
        <v>-3239.2180000000003</v>
      </c>
      <c r="CM589" s="202">
        <f t="shared" si="886"/>
        <v>-3239.2180000000003</v>
      </c>
      <c r="CN589" s="202">
        <f t="shared" si="887"/>
        <v>-3239.2180000000003</v>
      </c>
      <c r="CO589" s="9">
        <f t="shared" si="888"/>
        <v>-3239.2180000000003</v>
      </c>
      <c r="CP589" s="9">
        <f t="shared" si="889"/>
        <v>-3239.2180000000003</v>
      </c>
      <c r="CQ589" s="9">
        <f t="shared" si="890"/>
        <v>-3239.2180000000003</v>
      </c>
      <c r="CR589" s="202">
        <f t="shared" si="891"/>
        <v>-3239.2180000000003</v>
      </c>
      <c r="CS589" s="202">
        <f t="shared" si="892"/>
        <v>-3239.2180000000003</v>
      </c>
      <c r="CT589" s="202">
        <f t="shared" si="893"/>
        <v>-3239.2180000000003</v>
      </c>
      <c r="CU589" s="203" t="e">
        <f t="shared" si="894"/>
        <v>#DIV/0!</v>
      </c>
      <c r="CV589" s="203" t="e">
        <f t="shared" si="895"/>
        <v>#DIV/0!</v>
      </c>
      <c r="CW589" s="203" t="e">
        <f t="shared" si="896"/>
        <v>#DIV/0!</v>
      </c>
      <c r="CX589" s="19" t="e">
        <f t="shared" si="897"/>
        <v>#DIV/0!</v>
      </c>
      <c r="CY589" s="19" t="e">
        <f t="shared" si="898"/>
        <v>#DIV/0!</v>
      </c>
      <c r="CZ589" s="19" t="e">
        <f t="shared" si="899"/>
        <v>#DIV/0!</v>
      </c>
      <c r="DA589" s="203" t="e">
        <f t="shared" si="900"/>
        <v>#DIV/0!</v>
      </c>
      <c r="DB589" s="203" t="e">
        <f t="shared" si="901"/>
        <v>#DIV/0!</v>
      </c>
      <c r="DC589" s="203" t="e">
        <f t="shared" si="902"/>
        <v>#DIV/0!</v>
      </c>
      <c r="DD589" s="65"/>
      <c r="DE589" s="66"/>
      <c r="DF589" s="66"/>
      <c r="DG589" s="66"/>
      <c r="DH589" s="66"/>
      <c r="DI589" s="66"/>
      <c r="DJ589" s="66"/>
      <c r="DK589" s="70"/>
      <c r="DL589" s="70"/>
      <c r="DM589" s="8">
        <f t="shared" si="964"/>
        <v>0</v>
      </c>
      <c r="DN589" s="8">
        <f t="shared" si="965"/>
        <v>3239.2180000000003</v>
      </c>
      <c r="DO589" s="202">
        <f t="shared" si="939"/>
        <v>-3239.2180000000003</v>
      </c>
      <c r="DP589" s="202">
        <f t="shared" si="940"/>
        <v>-3239.2180000000003</v>
      </c>
      <c r="DQ589" s="202">
        <f t="shared" si="941"/>
        <v>-3239.2180000000003</v>
      </c>
      <c r="DR589" s="9">
        <f t="shared" si="942"/>
        <v>-3239.2180000000003</v>
      </c>
      <c r="DS589" s="9">
        <f t="shared" si="905"/>
        <v>-3239.2180000000003</v>
      </c>
      <c r="DT589" s="9">
        <f t="shared" si="943"/>
        <v>-3239.2180000000003</v>
      </c>
      <c r="DU589" s="202">
        <f t="shared" si="944"/>
        <v>-3239.2180000000003</v>
      </c>
      <c r="DV589" s="202">
        <f t="shared" si="945"/>
        <v>-3239.2180000000003</v>
      </c>
      <c r="DW589" s="202">
        <f t="shared" si="946"/>
        <v>-3239.2180000000003</v>
      </c>
      <c r="DX589" s="203" t="e">
        <f t="shared" si="947"/>
        <v>#DIV/0!</v>
      </c>
      <c r="DY589" s="203" t="e">
        <f t="shared" si="948"/>
        <v>#DIV/0!</v>
      </c>
      <c r="DZ589" s="203" t="e">
        <f t="shared" si="949"/>
        <v>#DIV/0!</v>
      </c>
      <c r="EA589" s="19" t="e">
        <f t="shared" si="950"/>
        <v>#DIV/0!</v>
      </c>
      <c r="EB589" s="19" t="e">
        <f t="shared" si="906"/>
        <v>#DIV/0!</v>
      </c>
      <c r="EC589" s="19" t="e">
        <f t="shared" si="951"/>
        <v>#DIV/0!</v>
      </c>
      <c r="ED589" s="203" t="e">
        <f t="shared" si="952"/>
        <v>#DIV/0!</v>
      </c>
      <c r="EE589" s="203" t="e">
        <f t="shared" si="953"/>
        <v>#DIV/0!</v>
      </c>
      <c r="EF589" s="203" t="e">
        <f t="shared" si="954"/>
        <v>#DIV/0!</v>
      </c>
      <c r="EH589" s="58">
        <f t="shared" si="1000"/>
        <v>3239.2180000000003</v>
      </c>
      <c r="EI589" s="68" t="e">
        <f t="shared" si="1001"/>
        <v>#DIV/0!</v>
      </c>
      <c r="EJ589" s="58">
        <f t="shared" si="1002"/>
        <v>3239.2180000000003</v>
      </c>
      <c r="EK589" s="68" t="e">
        <f t="shared" si="1001"/>
        <v>#DIV/0!</v>
      </c>
      <c r="EL589" s="58">
        <f t="shared" si="1003"/>
        <v>0</v>
      </c>
      <c r="EM589" s="58">
        <f t="shared" si="1004"/>
        <v>0</v>
      </c>
      <c r="EN589" s="68" t="e">
        <f t="shared" si="1005"/>
        <v>#DIV/0!</v>
      </c>
      <c r="EO589" s="139">
        <f t="shared" si="854"/>
        <v>0.24029016665052916</v>
      </c>
      <c r="EP589">
        <f>+(SUM(M589:O589)*EO589*(1-'[1]Tier 3 Data'!$A$2))</f>
        <v>0</v>
      </c>
    </row>
    <row r="590" spans="1:146" x14ac:dyDescent="0.2">
      <c r="A590" s="43">
        <v>0</v>
      </c>
      <c r="B590" s="43">
        <v>0</v>
      </c>
      <c r="C590" s="43">
        <v>0</v>
      </c>
      <c r="D590" s="70">
        <v>2056</v>
      </c>
      <c r="E590" s="70">
        <v>7</v>
      </c>
      <c r="F590" s="2">
        <v>744</v>
      </c>
      <c r="G590" s="133">
        <f t="shared" si="838"/>
        <v>0</v>
      </c>
      <c r="H590" s="64"/>
      <c r="I590" s="133">
        <f t="shared" si="839"/>
        <v>0</v>
      </c>
      <c r="J590" s="133">
        <f t="shared" si="980"/>
        <v>0</v>
      </c>
      <c r="K590" s="64"/>
      <c r="L590" s="133">
        <f t="shared" si="981"/>
        <v>0</v>
      </c>
      <c r="M590" s="5"/>
      <c r="N590" s="5"/>
      <c r="O590" s="5"/>
      <c r="P590" s="200">
        <f t="shared" si="972"/>
        <v>0</v>
      </c>
      <c r="Q590" s="200">
        <f t="shared" si="973"/>
        <v>0</v>
      </c>
      <c r="R590" s="200">
        <f t="shared" si="974"/>
        <v>0</v>
      </c>
      <c r="S590" s="133">
        <f t="shared" si="840"/>
        <v>0</v>
      </c>
      <c r="T590" s="133">
        <f t="shared" si="841"/>
        <v>0</v>
      </c>
      <c r="U590" s="133">
        <f t="shared" si="842"/>
        <v>0</v>
      </c>
      <c r="V590" s="200">
        <f t="shared" si="975"/>
        <v>0</v>
      </c>
      <c r="W590" s="200">
        <f t="shared" si="976"/>
        <v>0</v>
      </c>
      <c r="X590" s="200">
        <f t="shared" si="977"/>
        <v>0</v>
      </c>
      <c r="Y590" s="58">
        <f t="shared" si="1015"/>
        <v>0</v>
      </c>
      <c r="AA590" s="58">
        <f t="shared" si="1016"/>
        <v>0</v>
      </c>
      <c r="AB590" s="200">
        <f t="shared" si="1017"/>
        <v>0</v>
      </c>
      <c r="AC590" s="200">
        <f t="shared" si="1018"/>
        <v>0</v>
      </c>
      <c r="AD590" s="200">
        <f t="shared" si="1019"/>
        <v>0</v>
      </c>
      <c r="AE590" s="199">
        <f t="shared" si="921"/>
        <v>0</v>
      </c>
      <c r="AF590" s="199">
        <f t="shared" si="1020"/>
        <v>0</v>
      </c>
      <c r="AG590" s="199">
        <f t="shared" si="922"/>
        <v>0</v>
      </c>
      <c r="AH590" s="199">
        <f t="shared" si="843"/>
        <v>0</v>
      </c>
      <c r="AI590" s="200">
        <f t="shared" si="1021"/>
        <v>0</v>
      </c>
      <c r="AJ590" s="200">
        <f t="shared" si="1022"/>
        <v>0</v>
      </c>
      <c r="AK590" s="200">
        <f t="shared" si="1023"/>
        <v>0</v>
      </c>
      <c r="AL590" s="4"/>
      <c r="AM590" s="4"/>
      <c r="AN590" s="4"/>
      <c r="AO590" s="4"/>
      <c r="AP590" s="63"/>
      <c r="AQ590" s="18"/>
      <c r="AR590" s="18"/>
      <c r="AS590" s="18"/>
      <c r="AT590" s="18">
        <v>0</v>
      </c>
      <c r="AU590" s="133">
        <f t="shared" ref="AU590" si="1026">+AU578</f>
        <v>118.521</v>
      </c>
      <c r="AV590" s="133">
        <f t="shared" ref="AV590" si="1027">+AV578</f>
        <v>3084.53</v>
      </c>
      <c r="AW590" s="194"/>
      <c r="AX590" s="194"/>
      <c r="AY590" s="194"/>
      <c r="AZ590" s="194"/>
      <c r="BA590" s="194"/>
      <c r="BB590" s="194"/>
      <c r="BC590" s="65">
        <v>0</v>
      </c>
      <c r="BD590" s="65">
        <v>0</v>
      </c>
      <c r="BE590" s="65">
        <v>0</v>
      </c>
      <c r="BF590" s="65">
        <v>0</v>
      </c>
      <c r="BG590" s="65">
        <v>0</v>
      </c>
      <c r="BH590" s="65">
        <v>0</v>
      </c>
      <c r="BI590" s="65">
        <v>0</v>
      </c>
      <c r="BJ590" s="65">
        <v>0</v>
      </c>
      <c r="BK590" s="65">
        <v>0</v>
      </c>
      <c r="BL590" s="65">
        <v>0</v>
      </c>
      <c r="BM590" s="65">
        <v>0</v>
      </c>
      <c r="BN590" s="65">
        <v>0</v>
      </c>
      <c r="BO590" s="65">
        <v>0</v>
      </c>
      <c r="BP590" s="5"/>
      <c r="BQ590" s="5"/>
      <c r="BR590" s="5"/>
      <c r="BS590" s="5"/>
      <c r="BT590" s="5"/>
      <c r="BU590" s="5"/>
      <c r="BV590" s="144">
        <f t="shared" si="1012"/>
        <v>0</v>
      </c>
      <c r="BW590" s="144">
        <f t="shared" si="1013"/>
        <v>0</v>
      </c>
      <c r="BX590" s="144">
        <f t="shared" si="1014"/>
        <v>0</v>
      </c>
      <c r="BY590" s="5"/>
      <c r="BZ590" s="5"/>
      <c r="CA590" s="4"/>
      <c r="CB590" s="5"/>
      <c r="CC590" s="5"/>
      <c r="CD590" s="5"/>
      <c r="CE590" s="5"/>
      <c r="CF590" s="64"/>
      <c r="CG590" s="70"/>
      <c r="CH590" s="70"/>
      <c r="CI590" s="70"/>
      <c r="CJ590" s="63"/>
      <c r="CK590" s="8">
        <f t="shared" si="963"/>
        <v>3203.0510000000004</v>
      </c>
      <c r="CL590" s="202">
        <f t="shared" si="885"/>
        <v>-3203.0510000000004</v>
      </c>
      <c r="CM590" s="202">
        <f t="shared" si="886"/>
        <v>-3203.0510000000004</v>
      </c>
      <c r="CN590" s="202">
        <f t="shared" si="887"/>
        <v>-3203.0510000000004</v>
      </c>
      <c r="CO590" s="9">
        <f t="shared" si="888"/>
        <v>-3203.0510000000004</v>
      </c>
      <c r="CP590" s="9">
        <f t="shared" si="889"/>
        <v>-3203.0510000000004</v>
      </c>
      <c r="CQ590" s="9">
        <f t="shared" si="890"/>
        <v>-3203.0510000000004</v>
      </c>
      <c r="CR590" s="202">
        <f t="shared" si="891"/>
        <v>-3203.0510000000004</v>
      </c>
      <c r="CS590" s="202">
        <f t="shared" si="892"/>
        <v>-3203.0510000000004</v>
      </c>
      <c r="CT590" s="202">
        <f t="shared" si="893"/>
        <v>-3203.0510000000004</v>
      </c>
      <c r="CU590" s="203" t="e">
        <f t="shared" si="894"/>
        <v>#DIV/0!</v>
      </c>
      <c r="CV590" s="203" t="e">
        <f t="shared" si="895"/>
        <v>#DIV/0!</v>
      </c>
      <c r="CW590" s="203" t="e">
        <f t="shared" si="896"/>
        <v>#DIV/0!</v>
      </c>
      <c r="CX590" s="19" t="e">
        <f t="shared" si="897"/>
        <v>#DIV/0!</v>
      </c>
      <c r="CY590" s="19" t="e">
        <f t="shared" si="898"/>
        <v>#DIV/0!</v>
      </c>
      <c r="CZ590" s="19" t="e">
        <f t="shared" si="899"/>
        <v>#DIV/0!</v>
      </c>
      <c r="DA590" s="203" t="e">
        <f t="shared" si="900"/>
        <v>#DIV/0!</v>
      </c>
      <c r="DB590" s="203" t="e">
        <f t="shared" si="901"/>
        <v>#DIV/0!</v>
      </c>
      <c r="DC590" s="203" t="e">
        <f t="shared" si="902"/>
        <v>#DIV/0!</v>
      </c>
      <c r="DD590" s="65"/>
      <c r="DE590" s="66"/>
      <c r="DF590" s="66"/>
      <c r="DG590" s="66"/>
      <c r="DH590" s="66"/>
      <c r="DI590" s="66"/>
      <c r="DJ590" s="66"/>
      <c r="DK590" s="70"/>
      <c r="DL590" s="70"/>
      <c r="DM590" s="8">
        <f t="shared" si="964"/>
        <v>0</v>
      </c>
      <c r="DN590" s="8">
        <f t="shared" si="965"/>
        <v>3203.0510000000004</v>
      </c>
      <c r="DO590" s="202">
        <f t="shared" si="939"/>
        <v>-3203.0510000000004</v>
      </c>
      <c r="DP590" s="202">
        <f t="shared" si="940"/>
        <v>-3203.0510000000004</v>
      </c>
      <c r="DQ590" s="202">
        <f t="shared" si="941"/>
        <v>-3203.0510000000004</v>
      </c>
      <c r="DR590" s="9">
        <f t="shared" si="942"/>
        <v>-3203.0510000000004</v>
      </c>
      <c r="DS590" s="9">
        <f t="shared" si="905"/>
        <v>-3203.0510000000004</v>
      </c>
      <c r="DT590" s="9">
        <f t="shared" si="943"/>
        <v>-3203.0510000000004</v>
      </c>
      <c r="DU590" s="202">
        <f t="shared" si="944"/>
        <v>-3203.0510000000004</v>
      </c>
      <c r="DV590" s="202">
        <f t="shared" si="945"/>
        <v>-3203.0510000000004</v>
      </c>
      <c r="DW590" s="202">
        <f t="shared" si="946"/>
        <v>-3203.0510000000004</v>
      </c>
      <c r="DX590" s="203" t="e">
        <f t="shared" si="947"/>
        <v>#DIV/0!</v>
      </c>
      <c r="DY590" s="203" t="e">
        <f t="shared" si="948"/>
        <v>#DIV/0!</v>
      </c>
      <c r="DZ590" s="203" t="e">
        <f t="shared" si="949"/>
        <v>#DIV/0!</v>
      </c>
      <c r="EA590" s="19" t="e">
        <f t="shared" si="950"/>
        <v>#DIV/0!</v>
      </c>
      <c r="EB590" s="19" t="e">
        <f t="shared" si="906"/>
        <v>#DIV/0!</v>
      </c>
      <c r="EC590" s="19" t="e">
        <f t="shared" si="951"/>
        <v>#DIV/0!</v>
      </c>
      <c r="ED590" s="203" t="e">
        <f t="shared" si="952"/>
        <v>#DIV/0!</v>
      </c>
      <c r="EE590" s="203" t="e">
        <f t="shared" si="953"/>
        <v>#DIV/0!</v>
      </c>
      <c r="EF590" s="203" t="e">
        <f t="shared" si="954"/>
        <v>#DIV/0!</v>
      </c>
      <c r="EH590" s="58">
        <f t="shared" si="1000"/>
        <v>3203.0510000000004</v>
      </c>
      <c r="EI590" s="68" t="e">
        <f t="shared" si="1001"/>
        <v>#DIV/0!</v>
      </c>
      <c r="EJ590" s="58">
        <f t="shared" si="1002"/>
        <v>3203.0510000000004</v>
      </c>
      <c r="EK590" s="68" t="e">
        <f t="shared" si="1001"/>
        <v>#DIV/0!</v>
      </c>
      <c r="EL590" s="58">
        <f t="shared" si="1003"/>
        <v>0</v>
      </c>
      <c r="EM590" s="58">
        <f t="shared" si="1004"/>
        <v>0</v>
      </c>
      <c r="EN590" s="68" t="e">
        <f t="shared" si="1005"/>
        <v>#DIV/0!</v>
      </c>
      <c r="EO590" s="139">
        <f t="shared" si="854"/>
        <v>0.25197746931178833</v>
      </c>
      <c r="EP590">
        <f>+(SUM(M590:O590)*EO590*(1-'[1]Tier 3 Data'!$A$2))</f>
        <v>0</v>
      </c>
    </row>
    <row r="591" spans="1:146" x14ac:dyDescent="0.2">
      <c r="A591" s="43">
        <v>0</v>
      </c>
      <c r="B591" s="43">
        <v>0</v>
      </c>
      <c r="C591" s="43">
        <v>0</v>
      </c>
      <c r="D591" s="70">
        <v>2056</v>
      </c>
      <c r="E591" s="70">
        <v>8</v>
      </c>
      <c r="F591" s="2">
        <v>744</v>
      </c>
      <c r="G591" s="133">
        <f t="shared" si="838"/>
        <v>0</v>
      </c>
      <c r="H591" s="64"/>
      <c r="I591" s="133">
        <f t="shared" si="839"/>
        <v>0</v>
      </c>
      <c r="J591" s="133">
        <f t="shared" si="980"/>
        <v>0</v>
      </c>
      <c r="K591" s="64"/>
      <c r="L591" s="133">
        <f t="shared" si="981"/>
        <v>0</v>
      </c>
      <c r="M591" s="5"/>
      <c r="N591" s="5"/>
      <c r="O591" s="5"/>
      <c r="P591" s="200">
        <f t="shared" si="972"/>
        <v>0</v>
      </c>
      <c r="Q591" s="200">
        <f t="shared" si="973"/>
        <v>0</v>
      </c>
      <c r="R591" s="200">
        <f t="shared" si="974"/>
        <v>0</v>
      </c>
      <c r="S591" s="133">
        <f t="shared" si="840"/>
        <v>0</v>
      </c>
      <c r="T591" s="133">
        <f t="shared" si="841"/>
        <v>0</v>
      </c>
      <c r="U591" s="133">
        <f t="shared" si="842"/>
        <v>0</v>
      </c>
      <c r="V591" s="200">
        <f t="shared" si="975"/>
        <v>0</v>
      </c>
      <c r="W591" s="200">
        <f t="shared" si="976"/>
        <v>0</v>
      </c>
      <c r="X591" s="200">
        <f t="shared" si="977"/>
        <v>0</v>
      </c>
      <c r="Y591" s="58">
        <f t="shared" si="1015"/>
        <v>0</v>
      </c>
      <c r="AA591" s="58">
        <f t="shared" si="1016"/>
        <v>0</v>
      </c>
      <c r="AB591" s="200">
        <f t="shared" si="1017"/>
        <v>0</v>
      </c>
      <c r="AC591" s="200">
        <f t="shared" si="1018"/>
        <v>0</v>
      </c>
      <c r="AD591" s="200">
        <f t="shared" si="1019"/>
        <v>0</v>
      </c>
      <c r="AE591" s="199">
        <f t="shared" si="921"/>
        <v>0</v>
      </c>
      <c r="AF591" s="199">
        <f t="shared" si="1020"/>
        <v>0</v>
      </c>
      <c r="AG591" s="199">
        <f t="shared" si="922"/>
        <v>0</v>
      </c>
      <c r="AH591" s="199">
        <f t="shared" si="843"/>
        <v>0</v>
      </c>
      <c r="AI591" s="200">
        <f t="shared" si="1021"/>
        <v>0</v>
      </c>
      <c r="AJ591" s="200">
        <f t="shared" si="1022"/>
        <v>0</v>
      </c>
      <c r="AK591" s="200">
        <f t="shared" si="1023"/>
        <v>0</v>
      </c>
      <c r="AL591" s="4"/>
      <c r="AM591" s="4"/>
      <c r="AN591" s="4"/>
      <c r="AO591" s="4"/>
      <c r="AP591" s="63"/>
      <c r="AQ591" s="18"/>
      <c r="AR591" s="18"/>
      <c r="AS591" s="18"/>
      <c r="AT591" s="18">
        <v>0</v>
      </c>
      <c r="AU591" s="133">
        <f t="shared" ref="AU591" si="1028">+AU579</f>
        <v>107.64</v>
      </c>
      <c r="AV591" s="133">
        <f t="shared" ref="AV591" si="1029">+AV579</f>
        <v>3021.9279999999999</v>
      </c>
      <c r="AW591" s="194"/>
      <c r="AX591" s="194"/>
      <c r="AY591" s="194"/>
      <c r="AZ591" s="194"/>
      <c r="BA591" s="194"/>
      <c r="BB591" s="194"/>
      <c r="BC591" s="65">
        <v>0</v>
      </c>
      <c r="BD591" s="65">
        <v>0</v>
      </c>
      <c r="BE591" s="65">
        <v>0</v>
      </c>
      <c r="BF591" s="65">
        <v>0</v>
      </c>
      <c r="BG591" s="65">
        <v>0</v>
      </c>
      <c r="BH591" s="65">
        <v>0</v>
      </c>
      <c r="BI591" s="65">
        <v>0</v>
      </c>
      <c r="BJ591" s="65">
        <v>0</v>
      </c>
      <c r="BK591" s="65">
        <v>0</v>
      </c>
      <c r="BL591" s="65">
        <v>0</v>
      </c>
      <c r="BM591" s="65">
        <v>0</v>
      </c>
      <c r="BN591" s="65">
        <v>0</v>
      </c>
      <c r="BO591" s="65">
        <v>0</v>
      </c>
      <c r="BP591" s="5"/>
      <c r="BQ591" s="5"/>
      <c r="BR591" s="5"/>
      <c r="BS591" s="5"/>
      <c r="BT591" s="5"/>
      <c r="BU591" s="5"/>
      <c r="BV591" s="144">
        <f t="shared" si="1012"/>
        <v>0</v>
      </c>
      <c r="BW591" s="144">
        <f t="shared" si="1013"/>
        <v>0</v>
      </c>
      <c r="BX591" s="144">
        <f t="shared" si="1014"/>
        <v>0</v>
      </c>
      <c r="BY591" s="5"/>
      <c r="BZ591" s="5"/>
      <c r="CA591" s="4"/>
      <c r="CB591" s="5"/>
      <c r="CC591" s="5"/>
      <c r="CD591" s="5"/>
      <c r="CE591" s="5"/>
      <c r="CF591" s="64"/>
      <c r="CG591" s="70"/>
      <c r="CH591" s="70"/>
      <c r="CI591" s="70"/>
      <c r="CJ591" s="63"/>
      <c r="CK591" s="8">
        <f t="shared" si="963"/>
        <v>3129.5679999999998</v>
      </c>
      <c r="CL591" s="202">
        <f t="shared" si="885"/>
        <v>-3129.5679999999998</v>
      </c>
      <c r="CM591" s="202">
        <f t="shared" si="886"/>
        <v>-3129.5679999999998</v>
      </c>
      <c r="CN591" s="202">
        <f t="shared" si="887"/>
        <v>-3129.5679999999998</v>
      </c>
      <c r="CO591" s="9">
        <f t="shared" si="888"/>
        <v>-3129.5679999999998</v>
      </c>
      <c r="CP591" s="9">
        <f t="shared" si="889"/>
        <v>-3129.5679999999998</v>
      </c>
      <c r="CQ591" s="9">
        <f t="shared" si="890"/>
        <v>-3129.5679999999998</v>
      </c>
      <c r="CR591" s="202">
        <f t="shared" si="891"/>
        <v>-3129.5679999999998</v>
      </c>
      <c r="CS591" s="202">
        <f t="shared" si="892"/>
        <v>-3129.5679999999998</v>
      </c>
      <c r="CT591" s="202">
        <f t="shared" si="893"/>
        <v>-3129.5679999999998</v>
      </c>
      <c r="CU591" s="203" t="e">
        <f t="shared" si="894"/>
        <v>#DIV/0!</v>
      </c>
      <c r="CV591" s="203" t="e">
        <f t="shared" si="895"/>
        <v>#DIV/0!</v>
      </c>
      <c r="CW591" s="203" t="e">
        <f t="shared" si="896"/>
        <v>#DIV/0!</v>
      </c>
      <c r="CX591" s="19" t="e">
        <f t="shared" si="897"/>
        <v>#DIV/0!</v>
      </c>
      <c r="CY591" s="19" t="e">
        <f t="shared" si="898"/>
        <v>#DIV/0!</v>
      </c>
      <c r="CZ591" s="19" t="e">
        <f t="shared" si="899"/>
        <v>#DIV/0!</v>
      </c>
      <c r="DA591" s="203" t="e">
        <f t="shared" si="900"/>
        <v>#DIV/0!</v>
      </c>
      <c r="DB591" s="203" t="e">
        <f t="shared" si="901"/>
        <v>#DIV/0!</v>
      </c>
      <c r="DC591" s="203" t="e">
        <f t="shared" si="902"/>
        <v>#DIV/0!</v>
      </c>
      <c r="DD591" s="65"/>
      <c r="DE591" s="66"/>
      <c r="DF591" s="66"/>
      <c r="DG591" s="66"/>
      <c r="DH591" s="66"/>
      <c r="DI591" s="66"/>
      <c r="DJ591" s="66"/>
      <c r="DK591" s="70"/>
      <c r="DL591" s="70"/>
      <c r="DM591" s="8">
        <f t="shared" si="964"/>
        <v>0</v>
      </c>
      <c r="DN591" s="8">
        <f t="shared" si="965"/>
        <v>3129.5679999999998</v>
      </c>
      <c r="DO591" s="202">
        <f t="shared" si="939"/>
        <v>-3129.5679999999998</v>
      </c>
      <c r="DP591" s="202">
        <f t="shared" si="940"/>
        <v>-3129.5679999999998</v>
      </c>
      <c r="DQ591" s="202">
        <f t="shared" si="941"/>
        <v>-3129.5679999999998</v>
      </c>
      <c r="DR591" s="9">
        <f t="shared" si="942"/>
        <v>-3129.5679999999998</v>
      </c>
      <c r="DS591" s="9">
        <f t="shared" si="905"/>
        <v>-3129.5679999999998</v>
      </c>
      <c r="DT591" s="9">
        <f t="shared" si="943"/>
        <v>-3129.5679999999998</v>
      </c>
      <c r="DU591" s="202">
        <f t="shared" si="944"/>
        <v>-3129.5679999999998</v>
      </c>
      <c r="DV591" s="202">
        <f t="shared" si="945"/>
        <v>-3129.5679999999998</v>
      </c>
      <c r="DW591" s="202">
        <f t="shared" si="946"/>
        <v>-3129.5679999999998</v>
      </c>
      <c r="DX591" s="203" t="e">
        <f t="shared" si="947"/>
        <v>#DIV/0!</v>
      </c>
      <c r="DY591" s="203" t="e">
        <f t="shared" si="948"/>
        <v>#DIV/0!</v>
      </c>
      <c r="DZ591" s="203" t="e">
        <f t="shared" si="949"/>
        <v>#DIV/0!</v>
      </c>
      <c r="EA591" s="19" t="e">
        <f t="shared" si="950"/>
        <v>#DIV/0!</v>
      </c>
      <c r="EB591" s="19" t="e">
        <f t="shared" si="906"/>
        <v>#DIV/0!</v>
      </c>
      <c r="EC591" s="19" t="e">
        <f t="shared" si="951"/>
        <v>#DIV/0!</v>
      </c>
      <c r="ED591" s="203" t="e">
        <f t="shared" si="952"/>
        <v>#DIV/0!</v>
      </c>
      <c r="EE591" s="203" t="e">
        <f t="shared" si="953"/>
        <v>#DIV/0!</v>
      </c>
      <c r="EF591" s="203" t="e">
        <f t="shared" si="954"/>
        <v>#DIV/0!</v>
      </c>
      <c r="EH591" s="58">
        <f t="shared" si="1000"/>
        <v>3129.5679999999998</v>
      </c>
      <c r="EI591" s="68" t="e">
        <f t="shared" si="1001"/>
        <v>#DIV/0!</v>
      </c>
      <c r="EJ591" s="58">
        <f t="shared" si="1002"/>
        <v>3129.5679999999998</v>
      </c>
      <c r="EK591" s="68" t="e">
        <f t="shared" si="1001"/>
        <v>#DIV/0!</v>
      </c>
      <c r="EL591" s="58">
        <f t="shared" si="1003"/>
        <v>0</v>
      </c>
      <c r="EM591" s="58">
        <f t="shared" si="1004"/>
        <v>0</v>
      </c>
      <c r="EN591" s="68" t="e">
        <f t="shared" si="1005"/>
        <v>#DIV/0!</v>
      </c>
      <c r="EO591" s="139">
        <f t="shared" si="854"/>
        <v>0.28519905910129462</v>
      </c>
      <c r="EP591">
        <f>+(SUM(M591:O591)*EO591*(1-'[1]Tier 3 Data'!$A$2))</f>
        <v>0</v>
      </c>
    </row>
    <row r="592" spans="1:146" x14ac:dyDescent="0.2">
      <c r="A592" s="43">
        <v>0</v>
      </c>
      <c r="B592" s="43">
        <v>0</v>
      </c>
      <c r="C592" s="43">
        <v>0</v>
      </c>
      <c r="D592" s="70">
        <v>2056</v>
      </c>
      <c r="E592" s="70">
        <v>9</v>
      </c>
      <c r="F592" s="2">
        <v>720</v>
      </c>
      <c r="G592" s="133">
        <f t="shared" si="838"/>
        <v>0</v>
      </c>
      <c r="H592" s="64"/>
      <c r="I592" s="133">
        <f t="shared" si="839"/>
        <v>0</v>
      </c>
      <c r="J592" s="133">
        <f t="shared" si="980"/>
        <v>0</v>
      </c>
      <c r="K592" s="64"/>
      <c r="L592" s="133">
        <f t="shared" si="981"/>
        <v>0</v>
      </c>
      <c r="M592" s="5"/>
      <c r="N592" s="5"/>
      <c r="O592" s="5"/>
      <c r="P592" s="200">
        <f t="shared" si="972"/>
        <v>0</v>
      </c>
      <c r="Q592" s="200">
        <f t="shared" si="973"/>
        <v>0</v>
      </c>
      <c r="R592" s="200">
        <f t="shared" si="974"/>
        <v>0</v>
      </c>
      <c r="S592" s="133">
        <f t="shared" si="840"/>
        <v>0</v>
      </c>
      <c r="T592" s="133">
        <f t="shared" si="841"/>
        <v>0</v>
      </c>
      <c r="U592" s="133">
        <f t="shared" si="842"/>
        <v>0</v>
      </c>
      <c r="V592" s="200">
        <f t="shared" si="975"/>
        <v>0</v>
      </c>
      <c r="W592" s="200">
        <f t="shared" si="976"/>
        <v>0</v>
      </c>
      <c r="X592" s="200">
        <f t="shared" si="977"/>
        <v>0</v>
      </c>
      <c r="Y592" s="58">
        <f t="shared" si="1015"/>
        <v>0</v>
      </c>
      <c r="AA592" s="58">
        <f t="shared" si="1016"/>
        <v>0</v>
      </c>
      <c r="AB592" s="200">
        <f t="shared" si="1017"/>
        <v>0</v>
      </c>
      <c r="AC592" s="200">
        <f t="shared" si="1018"/>
        <v>0</v>
      </c>
      <c r="AD592" s="200">
        <f t="shared" si="1019"/>
        <v>0</v>
      </c>
      <c r="AE592" s="199">
        <f t="shared" si="921"/>
        <v>0</v>
      </c>
      <c r="AF592" s="199">
        <f t="shared" si="1020"/>
        <v>0</v>
      </c>
      <c r="AG592" s="199">
        <f t="shared" si="922"/>
        <v>0</v>
      </c>
      <c r="AH592" s="199">
        <f t="shared" si="843"/>
        <v>0</v>
      </c>
      <c r="AI592" s="200">
        <f t="shared" si="1021"/>
        <v>0</v>
      </c>
      <c r="AJ592" s="200">
        <f t="shared" si="1022"/>
        <v>0</v>
      </c>
      <c r="AK592" s="200">
        <f t="shared" si="1023"/>
        <v>0</v>
      </c>
      <c r="AL592" s="4"/>
      <c r="AM592" s="4"/>
      <c r="AN592" s="4"/>
      <c r="AO592" s="4"/>
      <c r="AP592" s="63"/>
      <c r="AQ592" s="18"/>
      <c r="AR592" s="18"/>
      <c r="AS592" s="18"/>
      <c r="AT592" s="18">
        <v>0</v>
      </c>
      <c r="AU592" s="133">
        <f t="shared" ref="AU592" si="1030">+AU580</f>
        <v>102.375</v>
      </c>
      <c r="AV592" s="133">
        <f t="shared" ref="AV592" si="1031">+AV580</f>
        <v>2969.6280000000002</v>
      </c>
      <c r="AW592" s="194"/>
      <c r="AX592" s="194"/>
      <c r="AY592" s="194"/>
      <c r="AZ592" s="194"/>
      <c r="BA592" s="194"/>
      <c r="BB592" s="194"/>
      <c r="BC592" s="65">
        <v>0</v>
      </c>
      <c r="BD592" s="65">
        <v>0</v>
      </c>
      <c r="BE592" s="65">
        <v>0</v>
      </c>
      <c r="BF592" s="65">
        <v>0</v>
      </c>
      <c r="BG592" s="65">
        <v>0</v>
      </c>
      <c r="BH592" s="65">
        <v>0</v>
      </c>
      <c r="BI592" s="65">
        <v>0</v>
      </c>
      <c r="BJ592" s="65">
        <v>0</v>
      </c>
      <c r="BK592" s="65">
        <v>0</v>
      </c>
      <c r="BL592" s="65">
        <v>0</v>
      </c>
      <c r="BM592" s="65">
        <v>0</v>
      </c>
      <c r="BN592" s="65">
        <v>0</v>
      </c>
      <c r="BO592" s="65">
        <v>0</v>
      </c>
      <c r="BP592" s="5"/>
      <c r="BQ592" s="5"/>
      <c r="BR592" s="5"/>
      <c r="BS592" s="5"/>
      <c r="BT592" s="5"/>
      <c r="BU592" s="5"/>
      <c r="BV592" s="144">
        <f t="shared" si="1012"/>
        <v>0</v>
      </c>
      <c r="BW592" s="144">
        <f t="shared" si="1013"/>
        <v>0</v>
      </c>
      <c r="BX592" s="144">
        <f t="shared" si="1014"/>
        <v>0</v>
      </c>
      <c r="BY592" s="5"/>
      <c r="BZ592" s="5"/>
      <c r="CA592" s="4"/>
      <c r="CB592" s="5"/>
      <c r="CC592" s="5"/>
      <c r="CD592" s="5"/>
      <c r="CE592" s="5"/>
      <c r="CF592" s="64"/>
      <c r="CG592" s="70"/>
      <c r="CH592" s="70"/>
      <c r="CI592" s="70"/>
      <c r="CJ592" s="63"/>
      <c r="CK592" s="8">
        <f t="shared" si="963"/>
        <v>3072.0030000000002</v>
      </c>
      <c r="CL592" s="202">
        <f t="shared" si="885"/>
        <v>-3072.0030000000002</v>
      </c>
      <c r="CM592" s="202">
        <f t="shared" si="886"/>
        <v>-3072.0030000000002</v>
      </c>
      <c r="CN592" s="202">
        <f t="shared" si="887"/>
        <v>-3072.0030000000002</v>
      </c>
      <c r="CO592" s="9">
        <f t="shared" si="888"/>
        <v>-3072.0030000000002</v>
      </c>
      <c r="CP592" s="9">
        <f t="shared" si="889"/>
        <v>-3072.0030000000002</v>
      </c>
      <c r="CQ592" s="9">
        <f t="shared" si="890"/>
        <v>-3072.0030000000002</v>
      </c>
      <c r="CR592" s="202">
        <f t="shared" si="891"/>
        <v>-3072.0030000000002</v>
      </c>
      <c r="CS592" s="202">
        <f t="shared" si="892"/>
        <v>-3072.0030000000002</v>
      </c>
      <c r="CT592" s="202">
        <f t="shared" si="893"/>
        <v>-3072.0030000000002</v>
      </c>
      <c r="CU592" s="203" t="e">
        <f t="shared" si="894"/>
        <v>#DIV/0!</v>
      </c>
      <c r="CV592" s="203" t="e">
        <f t="shared" si="895"/>
        <v>#DIV/0!</v>
      </c>
      <c r="CW592" s="203" t="e">
        <f t="shared" si="896"/>
        <v>#DIV/0!</v>
      </c>
      <c r="CX592" s="19" t="e">
        <f t="shared" si="897"/>
        <v>#DIV/0!</v>
      </c>
      <c r="CY592" s="19" t="e">
        <f t="shared" si="898"/>
        <v>#DIV/0!</v>
      </c>
      <c r="CZ592" s="19" t="e">
        <f t="shared" si="899"/>
        <v>#DIV/0!</v>
      </c>
      <c r="DA592" s="203" t="e">
        <f t="shared" si="900"/>
        <v>#DIV/0!</v>
      </c>
      <c r="DB592" s="203" t="e">
        <f t="shared" si="901"/>
        <v>#DIV/0!</v>
      </c>
      <c r="DC592" s="203" t="e">
        <f t="shared" si="902"/>
        <v>#DIV/0!</v>
      </c>
      <c r="DD592" s="65"/>
      <c r="DE592" s="66"/>
      <c r="DF592" s="66"/>
      <c r="DG592" s="66"/>
      <c r="DH592" s="66"/>
      <c r="DI592" s="66"/>
      <c r="DJ592" s="66"/>
      <c r="DK592" s="70"/>
      <c r="DL592" s="70"/>
      <c r="DM592" s="8">
        <f t="shared" si="964"/>
        <v>0</v>
      </c>
      <c r="DN592" s="8">
        <f t="shared" si="965"/>
        <v>3072.0030000000002</v>
      </c>
      <c r="DO592" s="202">
        <f t="shared" si="939"/>
        <v>-3072.0030000000002</v>
      </c>
      <c r="DP592" s="202">
        <f t="shared" si="940"/>
        <v>-3072.0030000000002</v>
      </c>
      <c r="DQ592" s="202">
        <f t="shared" si="941"/>
        <v>-3072.0030000000002</v>
      </c>
      <c r="DR592" s="9">
        <f t="shared" si="942"/>
        <v>-3072.0030000000002</v>
      </c>
      <c r="DS592" s="9">
        <f t="shared" si="905"/>
        <v>-3072.0030000000002</v>
      </c>
      <c r="DT592" s="9">
        <f t="shared" si="943"/>
        <v>-3072.0030000000002</v>
      </c>
      <c r="DU592" s="202">
        <f t="shared" si="944"/>
        <v>-3072.0030000000002</v>
      </c>
      <c r="DV592" s="202">
        <f t="shared" si="945"/>
        <v>-3072.0030000000002</v>
      </c>
      <c r="DW592" s="202">
        <f t="shared" si="946"/>
        <v>-3072.0030000000002</v>
      </c>
      <c r="DX592" s="203" t="e">
        <f t="shared" si="947"/>
        <v>#DIV/0!</v>
      </c>
      <c r="DY592" s="203" t="e">
        <f t="shared" si="948"/>
        <v>#DIV/0!</v>
      </c>
      <c r="DZ592" s="203" t="e">
        <f t="shared" si="949"/>
        <v>#DIV/0!</v>
      </c>
      <c r="EA592" s="19" t="e">
        <f t="shared" si="950"/>
        <v>#DIV/0!</v>
      </c>
      <c r="EB592" s="19" t="e">
        <f t="shared" si="906"/>
        <v>#DIV/0!</v>
      </c>
      <c r="EC592" s="19" t="e">
        <f t="shared" si="951"/>
        <v>#DIV/0!</v>
      </c>
      <c r="ED592" s="203" t="e">
        <f t="shared" si="952"/>
        <v>#DIV/0!</v>
      </c>
      <c r="EE592" s="203" t="e">
        <f t="shared" si="953"/>
        <v>#DIV/0!</v>
      </c>
      <c r="EF592" s="203" t="e">
        <f t="shared" si="954"/>
        <v>#DIV/0!</v>
      </c>
      <c r="EH592" s="58">
        <f t="shared" si="1000"/>
        <v>3072.0030000000002</v>
      </c>
      <c r="EI592" s="68" t="e">
        <f t="shared" si="1001"/>
        <v>#DIV/0!</v>
      </c>
      <c r="EJ592" s="58">
        <f t="shared" si="1002"/>
        <v>3072.0030000000002</v>
      </c>
      <c r="EK592" s="68" t="e">
        <f t="shared" si="1001"/>
        <v>#DIV/0!</v>
      </c>
      <c r="EL592" s="58">
        <f t="shared" si="1003"/>
        <v>0</v>
      </c>
      <c r="EM592" s="58">
        <f t="shared" si="1004"/>
        <v>0</v>
      </c>
      <c r="EN592" s="68" t="e">
        <f t="shared" si="1005"/>
        <v>#DIV/0!</v>
      </c>
      <c r="EO592" s="139">
        <f t="shared" si="854"/>
        <v>0.31860645638858931</v>
      </c>
      <c r="EP592">
        <f>+(SUM(M592:O592)*EO592*(1-'[1]Tier 3 Data'!$A$2))</f>
        <v>0</v>
      </c>
    </row>
    <row r="593" spans="1:146" x14ac:dyDescent="0.2">
      <c r="A593" s="43">
        <v>0</v>
      </c>
      <c r="B593" s="43">
        <v>0</v>
      </c>
      <c r="C593" s="43">
        <v>0</v>
      </c>
      <c r="D593" s="70">
        <v>2056</v>
      </c>
      <c r="E593" s="70">
        <v>10</v>
      </c>
      <c r="F593" s="2">
        <v>744</v>
      </c>
      <c r="G593" s="133">
        <f t="shared" si="838"/>
        <v>0</v>
      </c>
      <c r="H593" s="64"/>
      <c r="I593" s="133">
        <f t="shared" si="839"/>
        <v>0</v>
      </c>
      <c r="J593" s="133">
        <f t="shared" si="980"/>
        <v>0</v>
      </c>
      <c r="K593" s="64"/>
      <c r="L593" s="133">
        <f t="shared" si="981"/>
        <v>0</v>
      </c>
      <c r="M593" s="5"/>
      <c r="N593" s="5"/>
      <c r="O593" s="5"/>
      <c r="P593" s="200">
        <f t="shared" si="972"/>
        <v>0</v>
      </c>
      <c r="Q593" s="200">
        <f t="shared" si="973"/>
        <v>0</v>
      </c>
      <c r="R593" s="200">
        <f t="shared" si="974"/>
        <v>0</v>
      </c>
      <c r="S593" s="133">
        <f t="shared" si="840"/>
        <v>0</v>
      </c>
      <c r="T593" s="133">
        <f t="shared" si="841"/>
        <v>0</v>
      </c>
      <c r="U593" s="133">
        <f t="shared" si="842"/>
        <v>0</v>
      </c>
      <c r="V593" s="200">
        <f t="shared" si="975"/>
        <v>0</v>
      </c>
      <c r="W593" s="200">
        <f t="shared" si="976"/>
        <v>0</v>
      </c>
      <c r="X593" s="200">
        <f t="shared" si="977"/>
        <v>0</v>
      </c>
      <c r="Y593" s="58">
        <f t="shared" si="1015"/>
        <v>0</v>
      </c>
      <c r="AA593" s="58">
        <f t="shared" si="1016"/>
        <v>0</v>
      </c>
      <c r="AB593" s="200">
        <f t="shared" si="1017"/>
        <v>0</v>
      </c>
      <c r="AC593" s="200">
        <f t="shared" si="1018"/>
        <v>0</v>
      </c>
      <c r="AD593" s="200">
        <f t="shared" si="1019"/>
        <v>0</v>
      </c>
      <c r="AE593" s="199">
        <f t="shared" si="921"/>
        <v>0</v>
      </c>
      <c r="AF593" s="199">
        <f t="shared" si="1020"/>
        <v>0</v>
      </c>
      <c r="AG593" s="199">
        <f t="shared" si="922"/>
        <v>0</v>
      </c>
      <c r="AH593" s="199">
        <f t="shared" si="843"/>
        <v>0</v>
      </c>
      <c r="AI593" s="200">
        <f t="shared" si="1021"/>
        <v>0</v>
      </c>
      <c r="AJ593" s="200">
        <f t="shared" si="1022"/>
        <v>0</v>
      </c>
      <c r="AK593" s="200">
        <f t="shared" si="1023"/>
        <v>0</v>
      </c>
      <c r="AL593" s="4"/>
      <c r="AM593" s="4"/>
      <c r="AN593" s="4"/>
      <c r="AO593" s="4"/>
      <c r="AP593" s="63"/>
      <c r="AQ593" s="18"/>
      <c r="AR593" s="18"/>
      <c r="AS593" s="18"/>
      <c r="AT593" s="18">
        <v>0</v>
      </c>
      <c r="AU593" s="133">
        <f t="shared" ref="AU593" si="1032">+AU581</f>
        <v>118.17</v>
      </c>
      <c r="AV593" s="133">
        <f t="shared" ref="AV593" si="1033">+AV581</f>
        <v>3225.1860000000001</v>
      </c>
      <c r="AW593" s="194"/>
      <c r="AX593" s="194"/>
      <c r="AY593" s="194"/>
      <c r="AZ593" s="194"/>
      <c r="BA593" s="194"/>
      <c r="BB593" s="194"/>
      <c r="BC593" s="65">
        <v>0</v>
      </c>
      <c r="BD593" s="65">
        <v>0</v>
      </c>
      <c r="BE593" s="65">
        <v>0</v>
      </c>
      <c r="BF593" s="65">
        <v>0</v>
      </c>
      <c r="BG593" s="65">
        <v>0</v>
      </c>
      <c r="BH593" s="65">
        <v>0</v>
      </c>
      <c r="BI593" s="65">
        <v>0</v>
      </c>
      <c r="BJ593" s="65">
        <v>0</v>
      </c>
      <c r="BK593" s="65">
        <v>0</v>
      </c>
      <c r="BL593" s="65">
        <v>0</v>
      </c>
      <c r="BM593" s="65">
        <v>0</v>
      </c>
      <c r="BN593" s="65">
        <v>0</v>
      </c>
      <c r="BO593" s="65">
        <v>0</v>
      </c>
      <c r="BP593" s="5"/>
      <c r="BQ593" s="5"/>
      <c r="BR593" s="5"/>
      <c r="BS593" s="5"/>
      <c r="BT593" s="5"/>
      <c r="BU593" s="5"/>
      <c r="BV593" s="144">
        <f t="shared" si="1012"/>
        <v>0</v>
      </c>
      <c r="BW593" s="144">
        <f t="shared" si="1013"/>
        <v>0</v>
      </c>
      <c r="BX593" s="144">
        <f t="shared" si="1014"/>
        <v>0</v>
      </c>
      <c r="BY593" s="5"/>
      <c r="BZ593" s="5"/>
      <c r="CA593" s="4"/>
      <c r="CB593" s="5"/>
      <c r="CC593" s="5"/>
      <c r="CD593" s="5"/>
      <c r="CE593" s="5"/>
      <c r="CF593" s="64"/>
      <c r="CG593" s="70"/>
      <c r="CH593" s="70"/>
      <c r="CI593" s="70"/>
      <c r="CJ593" s="63"/>
      <c r="CK593" s="8">
        <f t="shared" si="963"/>
        <v>3343.3560000000002</v>
      </c>
      <c r="CL593" s="202">
        <f t="shared" si="885"/>
        <v>-3343.3560000000002</v>
      </c>
      <c r="CM593" s="202">
        <f t="shared" si="886"/>
        <v>-3343.3560000000002</v>
      </c>
      <c r="CN593" s="202">
        <f t="shared" si="887"/>
        <v>-3343.3560000000002</v>
      </c>
      <c r="CO593" s="9">
        <f t="shared" si="888"/>
        <v>-3343.3560000000002</v>
      </c>
      <c r="CP593" s="9">
        <f t="shared" si="889"/>
        <v>-3343.3560000000002</v>
      </c>
      <c r="CQ593" s="9">
        <f t="shared" si="890"/>
        <v>-3343.3560000000002</v>
      </c>
      <c r="CR593" s="202">
        <f t="shared" si="891"/>
        <v>-3343.3560000000002</v>
      </c>
      <c r="CS593" s="202">
        <f t="shared" si="892"/>
        <v>-3343.3560000000002</v>
      </c>
      <c r="CT593" s="202">
        <f t="shared" si="893"/>
        <v>-3343.3560000000002</v>
      </c>
      <c r="CU593" s="203" t="e">
        <f t="shared" si="894"/>
        <v>#DIV/0!</v>
      </c>
      <c r="CV593" s="203" t="e">
        <f t="shared" si="895"/>
        <v>#DIV/0!</v>
      </c>
      <c r="CW593" s="203" t="e">
        <f t="shared" si="896"/>
        <v>#DIV/0!</v>
      </c>
      <c r="CX593" s="19" t="e">
        <f t="shared" si="897"/>
        <v>#DIV/0!</v>
      </c>
      <c r="CY593" s="19" t="e">
        <f t="shared" si="898"/>
        <v>#DIV/0!</v>
      </c>
      <c r="CZ593" s="19" t="e">
        <f t="shared" si="899"/>
        <v>#DIV/0!</v>
      </c>
      <c r="DA593" s="203" t="e">
        <f t="shared" si="900"/>
        <v>#DIV/0!</v>
      </c>
      <c r="DB593" s="203" t="e">
        <f t="shared" si="901"/>
        <v>#DIV/0!</v>
      </c>
      <c r="DC593" s="203" t="e">
        <f t="shared" si="902"/>
        <v>#DIV/0!</v>
      </c>
      <c r="DD593" s="65"/>
      <c r="DE593" s="66"/>
      <c r="DF593" s="66"/>
      <c r="DG593" s="66"/>
      <c r="DH593" s="66"/>
      <c r="DI593" s="66"/>
      <c r="DJ593" s="66"/>
      <c r="DK593" s="70"/>
      <c r="DL593" s="70"/>
      <c r="DM593" s="8">
        <f t="shared" si="964"/>
        <v>0</v>
      </c>
      <c r="DN593" s="8">
        <f t="shared" si="965"/>
        <v>3343.3560000000002</v>
      </c>
      <c r="DO593" s="202">
        <f t="shared" si="939"/>
        <v>-3343.3560000000002</v>
      </c>
      <c r="DP593" s="202">
        <f t="shared" si="940"/>
        <v>-3343.3560000000002</v>
      </c>
      <c r="DQ593" s="202">
        <f t="shared" si="941"/>
        <v>-3343.3560000000002</v>
      </c>
      <c r="DR593" s="9">
        <f t="shared" si="942"/>
        <v>-3343.3560000000002</v>
      </c>
      <c r="DS593" s="9">
        <f t="shared" si="905"/>
        <v>-3343.3560000000002</v>
      </c>
      <c r="DT593" s="9">
        <f t="shared" si="943"/>
        <v>-3343.3560000000002</v>
      </c>
      <c r="DU593" s="202">
        <f t="shared" si="944"/>
        <v>-3343.3560000000002</v>
      </c>
      <c r="DV593" s="202">
        <f t="shared" si="945"/>
        <v>-3343.3560000000002</v>
      </c>
      <c r="DW593" s="202">
        <f t="shared" si="946"/>
        <v>-3343.3560000000002</v>
      </c>
      <c r="DX593" s="203" t="e">
        <f t="shared" si="947"/>
        <v>#DIV/0!</v>
      </c>
      <c r="DY593" s="203" t="e">
        <f t="shared" si="948"/>
        <v>#DIV/0!</v>
      </c>
      <c r="DZ593" s="203" t="e">
        <f t="shared" si="949"/>
        <v>#DIV/0!</v>
      </c>
      <c r="EA593" s="19" t="e">
        <f t="shared" si="950"/>
        <v>#DIV/0!</v>
      </c>
      <c r="EB593" s="19" t="e">
        <f t="shared" si="906"/>
        <v>#DIV/0!</v>
      </c>
      <c r="EC593" s="19" t="e">
        <f t="shared" si="951"/>
        <v>#DIV/0!</v>
      </c>
      <c r="ED593" s="203" t="e">
        <f t="shared" si="952"/>
        <v>#DIV/0!</v>
      </c>
      <c r="EE593" s="203" t="e">
        <f t="shared" si="953"/>
        <v>#DIV/0!</v>
      </c>
      <c r="EF593" s="203" t="e">
        <f t="shared" si="954"/>
        <v>#DIV/0!</v>
      </c>
      <c r="EH593" s="58">
        <f t="shared" si="1000"/>
        <v>3343.3560000000002</v>
      </c>
      <c r="EI593" s="68" t="e">
        <f t="shared" si="1001"/>
        <v>#DIV/0!</v>
      </c>
      <c r="EJ593" s="58">
        <f t="shared" si="1002"/>
        <v>3343.3560000000002</v>
      </c>
      <c r="EK593" s="68" t="e">
        <f t="shared" si="1001"/>
        <v>#DIV/0!</v>
      </c>
      <c r="EL593" s="58">
        <f t="shared" si="1003"/>
        <v>0</v>
      </c>
      <c r="EM593" s="58">
        <f t="shared" si="1004"/>
        <v>0</v>
      </c>
      <c r="EN593" s="68" t="e">
        <f t="shared" si="1005"/>
        <v>#DIV/0!</v>
      </c>
      <c r="EO593" s="139">
        <f t="shared" si="854"/>
        <v>0.35739486552628164</v>
      </c>
      <c r="EP593">
        <f>+(SUM(M593:O593)*EO593*(1-'[1]Tier 3 Data'!$A$2))</f>
        <v>0</v>
      </c>
    </row>
    <row r="594" spans="1:146" x14ac:dyDescent="0.2">
      <c r="A594" s="43">
        <v>0</v>
      </c>
      <c r="B594" s="43">
        <v>0</v>
      </c>
      <c r="C594" s="43">
        <v>0</v>
      </c>
      <c r="D594" s="70">
        <v>2056</v>
      </c>
      <c r="E594" s="70">
        <v>11</v>
      </c>
      <c r="F594" s="2">
        <v>721</v>
      </c>
      <c r="G594" s="133">
        <f t="shared" si="838"/>
        <v>0</v>
      </c>
      <c r="H594" s="64"/>
      <c r="I594" s="133">
        <f t="shared" si="839"/>
        <v>0</v>
      </c>
      <c r="J594" s="133">
        <f t="shared" si="980"/>
        <v>0</v>
      </c>
      <c r="K594" s="64"/>
      <c r="L594" s="133">
        <f t="shared" si="981"/>
        <v>0</v>
      </c>
      <c r="M594" s="5"/>
      <c r="N594" s="5"/>
      <c r="O594" s="5"/>
      <c r="P594" s="200">
        <f t="shared" si="972"/>
        <v>0</v>
      </c>
      <c r="Q594" s="200">
        <f t="shared" si="973"/>
        <v>0</v>
      </c>
      <c r="R594" s="200">
        <f t="shared" si="974"/>
        <v>0</v>
      </c>
      <c r="S594" s="133">
        <f t="shared" si="840"/>
        <v>0</v>
      </c>
      <c r="T594" s="133">
        <f t="shared" si="841"/>
        <v>0</v>
      </c>
      <c r="U594" s="133">
        <f t="shared" si="842"/>
        <v>0</v>
      </c>
      <c r="V594" s="200">
        <f t="shared" si="975"/>
        <v>0</v>
      </c>
      <c r="W594" s="200">
        <f t="shared" si="976"/>
        <v>0</v>
      </c>
      <c r="X594" s="200">
        <f t="shared" si="977"/>
        <v>0</v>
      </c>
      <c r="Y594" s="58">
        <f t="shared" si="1015"/>
        <v>0</v>
      </c>
      <c r="AA594" s="58">
        <f t="shared" si="1016"/>
        <v>0</v>
      </c>
      <c r="AB594" s="200">
        <f t="shared" ref="AB594:AB595" si="1034">+P594+$Z594</f>
        <v>0</v>
      </c>
      <c r="AC594" s="200">
        <f t="shared" ref="AC594:AC595" si="1035">+Q594+$Z594</f>
        <v>0</v>
      </c>
      <c r="AD594" s="200">
        <f t="shared" ref="AD594:AD595" si="1036">+R594+$Z594</f>
        <v>0</v>
      </c>
      <c r="AE594" s="199">
        <f t="shared" si="921"/>
        <v>0</v>
      </c>
      <c r="AF594" s="199">
        <f t="shared" ref="AF594:AF595" si="1037">+T594+$Z594</f>
        <v>0</v>
      </c>
      <c r="AG594" s="199">
        <f t="shared" si="922"/>
        <v>0</v>
      </c>
      <c r="AH594" s="199">
        <f t="shared" si="843"/>
        <v>0</v>
      </c>
      <c r="AI594" s="200">
        <f t="shared" ref="AI594:AI595" si="1038">+V594+$Z594</f>
        <v>0</v>
      </c>
      <c r="AJ594" s="200">
        <f t="shared" ref="AJ594:AJ595" si="1039">+W594+$Z594</f>
        <v>0</v>
      </c>
      <c r="AK594" s="200">
        <f t="shared" ref="AK594:AK595" si="1040">+X594+$Z594</f>
        <v>0</v>
      </c>
      <c r="AL594" s="4"/>
      <c r="AM594" s="4"/>
      <c r="AN594" s="4"/>
      <c r="AO594" s="4"/>
      <c r="AP594" s="63"/>
      <c r="AQ594" s="18"/>
      <c r="AR594" s="18"/>
      <c r="AS594" s="18"/>
      <c r="AT594" s="18">
        <v>0</v>
      </c>
      <c r="AU594" s="133">
        <f t="shared" ref="AU594" si="1041">+AU582</f>
        <v>104.364</v>
      </c>
      <c r="AV594" s="133">
        <f t="shared" ref="AV594" si="1042">+AV582</f>
        <v>3268.3739999999998</v>
      </c>
      <c r="AW594" s="194"/>
      <c r="AX594" s="194"/>
      <c r="AY594" s="194"/>
      <c r="AZ594" s="194"/>
      <c r="BA594" s="194"/>
      <c r="BB594" s="194"/>
      <c r="BC594" s="65">
        <v>0</v>
      </c>
      <c r="BD594" s="65">
        <v>0</v>
      </c>
      <c r="BE594" s="65">
        <v>0</v>
      </c>
      <c r="BF594" s="65">
        <v>0</v>
      </c>
      <c r="BG594" s="65">
        <v>0</v>
      </c>
      <c r="BH594" s="65">
        <v>0</v>
      </c>
      <c r="BI594" s="65">
        <v>0</v>
      </c>
      <c r="BJ594" s="65">
        <v>0</v>
      </c>
      <c r="BK594" s="65">
        <v>0</v>
      </c>
      <c r="BL594" s="65">
        <v>0</v>
      </c>
      <c r="BM594" s="65">
        <v>0</v>
      </c>
      <c r="BN594" s="65">
        <v>0</v>
      </c>
      <c r="BO594" s="65">
        <v>0</v>
      </c>
      <c r="BP594" s="5"/>
      <c r="BQ594" s="5"/>
      <c r="BR594" s="5"/>
      <c r="BS594" s="5"/>
      <c r="BT594" s="5"/>
      <c r="BU594" s="5"/>
      <c r="BV594" s="144">
        <f t="shared" si="1012"/>
        <v>0</v>
      </c>
      <c r="BW594" s="144">
        <f t="shared" si="1013"/>
        <v>0</v>
      </c>
      <c r="BX594" s="144">
        <f t="shared" si="1014"/>
        <v>0</v>
      </c>
      <c r="BY594" s="5"/>
      <c r="BZ594" s="5"/>
      <c r="CA594" s="4"/>
      <c r="CB594" s="5"/>
      <c r="CC594" s="5"/>
      <c r="CD594" s="5"/>
      <c r="CE594" s="5"/>
      <c r="CF594" s="64"/>
      <c r="CG594" s="70"/>
      <c r="CH594" s="70"/>
      <c r="CI594" s="70"/>
      <c r="CJ594" s="63"/>
      <c r="CK594" s="8">
        <f t="shared" si="963"/>
        <v>3372.7379999999998</v>
      </c>
      <c r="CL594" s="202">
        <f t="shared" si="885"/>
        <v>-3372.7379999999998</v>
      </c>
      <c r="CM594" s="202">
        <f t="shared" si="886"/>
        <v>-3372.7379999999998</v>
      </c>
      <c r="CN594" s="202">
        <f t="shared" si="887"/>
        <v>-3372.7379999999998</v>
      </c>
      <c r="CO594" s="9">
        <f t="shared" si="888"/>
        <v>-3372.7379999999998</v>
      </c>
      <c r="CP594" s="9">
        <f t="shared" si="889"/>
        <v>-3372.7379999999998</v>
      </c>
      <c r="CQ594" s="9">
        <f t="shared" si="890"/>
        <v>-3372.7379999999998</v>
      </c>
      <c r="CR594" s="202">
        <f t="shared" si="891"/>
        <v>-3372.7379999999998</v>
      </c>
      <c r="CS594" s="202">
        <f t="shared" si="892"/>
        <v>-3372.7379999999998</v>
      </c>
      <c r="CT594" s="202">
        <f t="shared" si="893"/>
        <v>-3372.7379999999998</v>
      </c>
      <c r="CU594" s="203" t="e">
        <f t="shared" si="894"/>
        <v>#DIV/0!</v>
      </c>
      <c r="CV594" s="203" t="e">
        <f t="shared" si="895"/>
        <v>#DIV/0!</v>
      </c>
      <c r="CW594" s="203" t="e">
        <f t="shared" si="896"/>
        <v>#DIV/0!</v>
      </c>
      <c r="CX594" s="19" t="e">
        <f t="shared" si="897"/>
        <v>#DIV/0!</v>
      </c>
      <c r="CY594" s="19" t="e">
        <f t="shared" si="898"/>
        <v>#DIV/0!</v>
      </c>
      <c r="CZ594" s="19" t="e">
        <f t="shared" si="899"/>
        <v>#DIV/0!</v>
      </c>
      <c r="DA594" s="203" t="e">
        <f t="shared" si="900"/>
        <v>#DIV/0!</v>
      </c>
      <c r="DB594" s="203" t="e">
        <f t="shared" si="901"/>
        <v>#DIV/0!</v>
      </c>
      <c r="DC594" s="203" t="e">
        <f t="shared" si="902"/>
        <v>#DIV/0!</v>
      </c>
      <c r="DD594" s="65"/>
      <c r="DE594" s="66"/>
      <c r="DF594" s="66"/>
      <c r="DG594" s="66"/>
      <c r="DH594" s="66"/>
      <c r="DI594" s="66"/>
      <c r="DJ594" s="66"/>
      <c r="DK594" s="70"/>
      <c r="DL594" s="70"/>
      <c r="DM594" s="8">
        <f t="shared" si="964"/>
        <v>0</v>
      </c>
      <c r="DN594" s="8">
        <f t="shared" si="965"/>
        <v>3372.7379999999998</v>
      </c>
      <c r="DO594" s="202">
        <f t="shared" si="939"/>
        <v>-3372.7379999999998</v>
      </c>
      <c r="DP594" s="202">
        <f t="shared" si="940"/>
        <v>-3372.7379999999998</v>
      </c>
      <c r="DQ594" s="202">
        <f t="shared" si="941"/>
        <v>-3372.7379999999998</v>
      </c>
      <c r="DR594" s="9">
        <f t="shared" si="942"/>
        <v>-3372.7379999999998</v>
      </c>
      <c r="DS594" s="9">
        <f t="shared" si="905"/>
        <v>-3372.7379999999998</v>
      </c>
      <c r="DT594" s="9">
        <f t="shared" si="943"/>
        <v>-3372.7379999999998</v>
      </c>
      <c r="DU594" s="202">
        <f t="shared" si="944"/>
        <v>-3372.7379999999998</v>
      </c>
      <c r="DV594" s="202">
        <f t="shared" si="945"/>
        <v>-3372.7379999999998</v>
      </c>
      <c r="DW594" s="202">
        <f t="shared" si="946"/>
        <v>-3372.7379999999998</v>
      </c>
      <c r="DX594" s="203" t="e">
        <f t="shared" si="947"/>
        <v>#DIV/0!</v>
      </c>
      <c r="DY594" s="203" t="e">
        <f t="shared" si="948"/>
        <v>#DIV/0!</v>
      </c>
      <c r="DZ594" s="203" t="e">
        <f t="shared" si="949"/>
        <v>#DIV/0!</v>
      </c>
      <c r="EA594" s="19" t="e">
        <f t="shared" si="950"/>
        <v>#DIV/0!</v>
      </c>
      <c r="EB594" s="19" t="e">
        <f t="shared" si="906"/>
        <v>#DIV/0!</v>
      </c>
      <c r="EC594" s="19" t="e">
        <f t="shared" si="951"/>
        <v>#DIV/0!</v>
      </c>
      <c r="ED594" s="203" t="e">
        <f t="shared" si="952"/>
        <v>#DIV/0!</v>
      </c>
      <c r="EE594" s="203" t="e">
        <f t="shared" si="953"/>
        <v>#DIV/0!</v>
      </c>
      <c r="EF594" s="203" t="e">
        <f t="shared" si="954"/>
        <v>#DIV/0!</v>
      </c>
      <c r="EH594" s="58">
        <f t="shared" si="1000"/>
        <v>3372.7379999999998</v>
      </c>
      <c r="EI594" s="68" t="e">
        <f t="shared" si="1001"/>
        <v>#DIV/0!</v>
      </c>
      <c r="EJ594" s="58">
        <f t="shared" si="1002"/>
        <v>3372.7379999999998</v>
      </c>
      <c r="EK594" s="68" t="e">
        <f t="shared" si="1001"/>
        <v>#DIV/0!</v>
      </c>
      <c r="EL594" s="58">
        <f t="shared" si="1003"/>
        <v>0</v>
      </c>
      <c r="EM594" s="58">
        <f t="shared" si="1004"/>
        <v>0</v>
      </c>
      <c r="EN594" s="68" t="e">
        <f t="shared" si="1005"/>
        <v>#DIV/0!</v>
      </c>
      <c r="EO594" s="139">
        <f t="shared" si="854"/>
        <v>0.4050825009776523</v>
      </c>
      <c r="EP594">
        <f>+(SUM(M594:O594)*EO594*(1-'[1]Tier 3 Data'!$A$2))</f>
        <v>0</v>
      </c>
    </row>
    <row r="595" spans="1:146" x14ac:dyDescent="0.2">
      <c r="A595" s="43">
        <v>0</v>
      </c>
      <c r="B595" s="43">
        <v>0</v>
      </c>
      <c r="C595" s="43">
        <v>0</v>
      </c>
      <c r="D595" s="70">
        <v>2056</v>
      </c>
      <c r="E595" s="70">
        <v>12</v>
      </c>
      <c r="F595" s="2">
        <v>744</v>
      </c>
      <c r="G595" s="133">
        <f t="shared" si="838"/>
        <v>0</v>
      </c>
      <c r="H595" s="64"/>
      <c r="I595" s="133">
        <f t="shared" si="839"/>
        <v>0</v>
      </c>
      <c r="J595" s="133">
        <f t="shared" si="980"/>
        <v>0</v>
      </c>
      <c r="K595" s="64"/>
      <c r="L595" s="133">
        <f t="shared" si="981"/>
        <v>0</v>
      </c>
      <c r="M595" s="5"/>
      <c r="N595" s="5"/>
      <c r="O595" s="5"/>
      <c r="P595" s="200">
        <f t="shared" si="972"/>
        <v>0</v>
      </c>
      <c r="Q595" s="200">
        <f t="shared" si="973"/>
        <v>0</v>
      </c>
      <c r="R595" s="200">
        <f t="shared" si="974"/>
        <v>0</v>
      </c>
      <c r="S595" s="133">
        <f t="shared" si="840"/>
        <v>0</v>
      </c>
      <c r="T595" s="133">
        <f t="shared" si="841"/>
        <v>0</v>
      </c>
      <c r="U595" s="133">
        <f t="shared" si="842"/>
        <v>0</v>
      </c>
      <c r="V595" s="200">
        <f t="shared" si="975"/>
        <v>0</v>
      </c>
      <c r="W595" s="200">
        <f t="shared" si="976"/>
        <v>0</v>
      </c>
      <c r="X595" s="200">
        <f t="shared" si="977"/>
        <v>0</v>
      </c>
      <c r="Y595" s="58">
        <f t="shared" si="1015"/>
        <v>0</v>
      </c>
      <c r="AA595" s="58">
        <f t="shared" si="1016"/>
        <v>0</v>
      </c>
      <c r="AB595" s="200">
        <f t="shared" si="1034"/>
        <v>0</v>
      </c>
      <c r="AC595" s="200">
        <f t="shared" si="1035"/>
        <v>0</v>
      </c>
      <c r="AD595" s="200">
        <f t="shared" si="1036"/>
        <v>0</v>
      </c>
      <c r="AE595" s="199">
        <f t="shared" si="921"/>
        <v>0</v>
      </c>
      <c r="AF595" s="199">
        <f t="shared" si="1037"/>
        <v>0</v>
      </c>
      <c r="AG595" s="199">
        <f t="shared" si="922"/>
        <v>0</v>
      </c>
      <c r="AH595" s="199">
        <f t="shared" si="843"/>
        <v>0</v>
      </c>
      <c r="AI595" s="200">
        <f t="shared" si="1038"/>
        <v>0</v>
      </c>
      <c r="AJ595" s="200">
        <f t="shared" si="1039"/>
        <v>0</v>
      </c>
      <c r="AK595" s="200">
        <f t="shared" si="1040"/>
        <v>0</v>
      </c>
      <c r="AL595" s="4"/>
      <c r="AM595" s="4"/>
      <c r="AN595" s="4"/>
      <c r="AO595" s="4"/>
      <c r="AP595" s="63"/>
      <c r="AQ595" s="18"/>
      <c r="AR595" s="18"/>
      <c r="AS595" s="18"/>
      <c r="AT595" s="18">
        <v>0</v>
      </c>
      <c r="AU595" s="133">
        <f t="shared" ref="AU595" si="1043">+AU583</f>
        <v>105.066</v>
      </c>
      <c r="AV595" s="133">
        <f t="shared" ref="AV595" si="1044">+AV583</f>
        <v>3218.8470000000002</v>
      </c>
      <c r="AW595" s="194"/>
      <c r="AX595" s="194"/>
      <c r="AY595" s="194"/>
      <c r="AZ595" s="194"/>
      <c r="BA595" s="194"/>
      <c r="BB595" s="194"/>
      <c r="BC595" s="65">
        <v>0</v>
      </c>
      <c r="BD595" s="65">
        <v>0</v>
      </c>
      <c r="BE595" s="65">
        <v>0</v>
      </c>
      <c r="BF595" s="65">
        <v>0</v>
      </c>
      <c r="BG595" s="65">
        <v>0</v>
      </c>
      <c r="BH595" s="65">
        <v>0</v>
      </c>
      <c r="BI595" s="65">
        <v>0</v>
      </c>
      <c r="BJ595" s="65">
        <v>0</v>
      </c>
      <c r="BK595" s="65">
        <v>0</v>
      </c>
      <c r="BL595" s="65">
        <v>0</v>
      </c>
      <c r="BM595" s="65">
        <v>0</v>
      </c>
      <c r="BN595" s="65">
        <v>0</v>
      </c>
      <c r="BO595" s="65">
        <v>0</v>
      </c>
      <c r="BP595" s="5"/>
      <c r="BQ595" s="5"/>
      <c r="BR595" s="5"/>
      <c r="BS595" s="5"/>
      <c r="BT595" s="5"/>
      <c r="BU595" s="5"/>
      <c r="BV595" s="144">
        <f t="shared" si="1012"/>
        <v>0</v>
      </c>
      <c r="BW595" s="144">
        <f t="shared" si="1013"/>
        <v>0</v>
      </c>
      <c r="BX595" s="144">
        <f t="shared" si="1014"/>
        <v>0</v>
      </c>
      <c r="BY595" s="5"/>
      <c r="BZ595" s="5"/>
      <c r="CA595" s="4"/>
      <c r="CB595" s="5"/>
      <c r="CC595" s="5"/>
      <c r="CD595" s="5"/>
      <c r="CE595" s="5"/>
      <c r="CF595" s="64"/>
      <c r="CG595" s="70"/>
      <c r="CH595" s="70"/>
      <c r="CI595" s="70"/>
      <c r="CJ595" s="63"/>
      <c r="CK595" s="8">
        <f t="shared" si="963"/>
        <v>3323.913</v>
      </c>
      <c r="CL595" s="202">
        <f t="shared" si="885"/>
        <v>-3323.913</v>
      </c>
      <c r="CM595" s="202">
        <f t="shared" si="886"/>
        <v>-3323.913</v>
      </c>
      <c r="CN595" s="202">
        <f t="shared" si="887"/>
        <v>-3323.913</v>
      </c>
      <c r="CO595" s="9">
        <f t="shared" si="888"/>
        <v>-3323.913</v>
      </c>
      <c r="CP595" s="9">
        <f>+AF595-$CK595</f>
        <v>-3323.913</v>
      </c>
      <c r="CQ595" s="9">
        <f t="shared" si="890"/>
        <v>-3323.913</v>
      </c>
      <c r="CR595" s="202">
        <f t="shared" si="891"/>
        <v>-3323.913</v>
      </c>
      <c r="CS595" s="202">
        <f t="shared" si="892"/>
        <v>-3323.913</v>
      </c>
      <c r="CT595" s="202">
        <f t="shared" si="893"/>
        <v>-3323.913</v>
      </c>
      <c r="CU595" s="203" t="e">
        <f t="shared" si="894"/>
        <v>#DIV/0!</v>
      </c>
      <c r="CV595" s="203" t="e">
        <f t="shared" si="895"/>
        <v>#DIV/0!</v>
      </c>
      <c r="CW595" s="203" t="e">
        <f t="shared" si="896"/>
        <v>#DIV/0!</v>
      </c>
      <c r="CX595" s="19" t="e">
        <f t="shared" si="897"/>
        <v>#DIV/0!</v>
      </c>
      <c r="CY595" s="19" t="e">
        <f>+CP595/AF595</f>
        <v>#DIV/0!</v>
      </c>
      <c r="CZ595" s="19" t="e">
        <f t="shared" si="899"/>
        <v>#DIV/0!</v>
      </c>
      <c r="DA595" s="203" t="e">
        <f t="shared" si="900"/>
        <v>#DIV/0!</v>
      </c>
      <c r="DB595" s="203" t="e">
        <f t="shared" si="901"/>
        <v>#DIV/0!</v>
      </c>
      <c r="DC595" s="203" t="e">
        <f t="shared" si="902"/>
        <v>#DIV/0!</v>
      </c>
      <c r="DD595" s="65"/>
      <c r="DE595" s="66"/>
      <c r="DF595" s="66"/>
      <c r="DG595" s="66"/>
      <c r="DH595" s="66"/>
      <c r="DI595" s="66"/>
      <c r="DJ595" s="66"/>
      <c r="DK595" s="70"/>
      <c r="DL595" s="70"/>
      <c r="DM595" s="8">
        <f t="shared" si="964"/>
        <v>0</v>
      </c>
      <c r="DN595" s="8">
        <f t="shared" si="965"/>
        <v>3323.913</v>
      </c>
      <c r="DO595" s="202">
        <f t="shared" si="939"/>
        <v>-3323.913</v>
      </c>
      <c r="DP595" s="202">
        <f t="shared" si="940"/>
        <v>-3323.913</v>
      </c>
      <c r="DQ595" s="202">
        <f t="shared" si="941"/>
        <v>-3323.913</v>
      </c>
      <c r="DR595" s="9">
        <f t="shared" si="942"/>
        <v>-3323.913</v>
      </c>
      <c r="DS595" s="9">
        <f t="shared" si="905"/>
        <v>-3323.913</v>
      </c>
      <c r="DT595" s="9">
        <f t="shared" si="943"/>
        <v>-3323.913</v>
      </c>
      <c r="DU595" s="202">
        <f t="shared" si="944"/>
        <v>-3323.913</v>
      </c>
      <c r="DV595" s="202">
        <f t="shared" si="945"/>
        <v>-3323.913</v>
      </c>
      <c r="DW595" s="202">
        <f t="shared" si="946"/>
        <v>-3323.913</v>
      </c>
      <c r="DX595" s="203" t="e">
        <f t="shared" si="947"/>
        <v>#DIV/0!</v>
      </c>
      <c r="DY595" s="203" t="e">
        <f t="shared" si="948"/>
        <v>#DIV/0!</v>
      </c>
      <c r="DZ595" s="203" t="e">
        <f t="shared" si="949"/>
        <v>#DIV/0!</v>
      </c>
      <c r="EA595" s="19" t="e">
        <f t="shared" si="950"/>
        <v>#DIV/0!</v>
      </c>
      <c r="EB595" s="19" t="e">
        <f t="shared" si="906"/>
        <v>#DIV/0!</v>
      </c>
      <c r="EC595" s="19" t="e">
        <f t="shared" si="951"/>
        <v>#DIV/0!</v>
      </c>
      <c r="ED595" s="203" t="e">
        <f t="shared" si="952"/>
        <v>#DIV/0!</v>
      </c>
      <c r="EE595" s="203" t="e">
        <f t="shared" si="953"/>
        <v>#DIV/0!</v>
      </c>
      <c r="EF595" s="203" t="e">
        <f t="shared" si="954"/>
        <v>#DIV/0!</v>
      </c>
      <c r="EH595" s="58">
        <f t="shared" si="1000"/>
        <v>3323.913</v>
      </c>
      <c r="EI595" s="68" t="e">
        <f t="shared" si="1001"/>
        <v>#DIV/0!</v>
      </c>
      <c r="EJ595" s="58">
        <f t="shared" si="1002"/>
        <v>3323.913</v>
      </c>
      <c r="EK595" s="68" t="e">
        <f t="shared" si="1001"/>
        <v>#DIV/0!</v>
      </c>
      <c r="EL595" s="58">
        <f t="shared" si="1003"/>
        <v>0</v>
      </c>
      <c r="EM595" s="58">
        <f t="shared" si="1004"/>
        <v>0</v>
      </c>
      <c r="EN595" s="68" t="e">
        <f t="shared" si="1005"/>
        <v>#DIV/0!</v>
      </c>
      <c r="EO595" s="139">
        <f t="shared" si="854"/>
        <v>0.32946562535829382</v>
      </c>
      <c r="EP595">
        <f>+(SUM(M595:O595)*EO595*(1-'[1]Tier 3 Data'!$A$2))</f>
        <v>0</v>
      </c>
    </row>
  </sheetData>
  <phoneticPr fontId="3" type="noConversion"/>
  <conditionalFormatting sqref="CU8:DC595">
    <cfRule type="cellIs" dxfId="5" priority="2" stopIfTrue="1" operator="lessThan">
      <formula>0</formula>
    </cfRule>
  </conditionalFormatting>
  <conditionalFormatting sqref="DX8:EF595">
    <cfRule type="cellIs" dxfId="4" priority="1" stopIfTrue="1" operator="lessThan">
      <formula>0</formula>
    </cfRule>
  </conditionalFormatting>
  <pageMargins left="0.75" right="0.75" top="1" bottom="1" header="0.5" footer="0.5"/>
  <pageSetup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J123"/>
  <sheetViews>
    <sheetView workbookViewId="0">
      <pane xSplit="1" ySplit="7" topLeftCell="CV11" activePane="bottomRight" state="frozen"/>
      <selection activeCell="D119" sqref="D119"/>
      <selection pane="topRight" activeCell="D119" sqref="D119"/>
      <selection pane="bottomLeft" activeCell="D119" sqref="D119"/>
      <selection pane="bottomRight" activeCell="DO26" sqref="DO26:DO29"/>
    </sheetView>
  </sheetViews>
  <sheetFormatPr defaultRowHeight="12.75" x14ac:dyDescent="0.2"/>
  <cols>
    <col min="1" max="1" width="15.85546875" bestFit="1" customWidth="1"/>
    <col min="25" max="25" width="2.7109375" customWidth="1"/>
    <col min="26" max="56" width="10.7109375" customWidth="1"/>
    <col min="75" max="75" width="9.7109375" customWidth="1"/>
    <col min="76" max="76" width="9.28515625" bestFit="1" customWidth="1"/>
    <col min="86" max="96" width="10.7109375" customWidth="1"/>
    <col min="128" max="128" width="18" bestFit="1" customWidth="1"/>
    <col min="132" max="132" width="9.7109375" customWidth="1"/>
    <col min="134" max="142" width="9.7109375" customWidth="1"/>
    <col min="144" max="144" width="32.7109375" customWidth="1"/>
    <col min="145" max="147" width="11.7109375" customWidth="1"/>
    <col min="148" max="148" width="12.5703125" customWidth="1"/>
    <col min="149" max="149" width="11.7109375" customWidth="1"/>
    <col min="150" max="156" width="10.7109375" customWidth="1"/>
    <col min="171" max="171" width="11.28515625" customWidth="1"/>
    <col min="172" max="172" width="11.5703125" customWidth="1"/>
    <col min="176" max="176" width="12.42578125" customWidth="1"/>
    <col min="182" max="182" width="10.85546875" customWidth="1"/>
    <col min="190" max="190" width="12.85546875" customWidth="1"/>
    <col min="192" max="192" width="11.28515625" bestFit="1" customWidth="1"/>
    <col min="193" max="193" width="11.7109375" bestFit="1" customWidth="1"/>
  </cols>
  <sheetData>
    <row r="1" spans="1:149" x14ac:dyDescent="0.2">
      <c r="A1" s="61" t="s">
        <v>422</v>
      </c>
      <c r="Z1" s="59">
        <f>+'Monthly Energy Data'!AL1</f>
        <v>1</v>
      </c>
      <c r="AA1" s="59">
        <f>+'Monthly Energy Data'!AM1</f>
        <v>1</v>
      </c>
      <c r="AB1" s="59">
        <f>+'Monthly Energy Data'!AN1</f>
        <v>1</v>
      </c>
      <c r="AC1" s="59">
        <f>+'Monthly Energy Data'!AO1</f>
        <v>1</v>
      </c>
      <c r="AD1" s="59">
        <f>+'Monthly Energy Data'!AP1</f>
        <v>1</v>
      </c>
      <c r="AE1" s="59">
        <f>+'Monthly Energy Data'!AQ1</f>
        <v>1</v>
      </c>
      <c r="AF1" s="59">
        <f>+'Monthly Energy Data'!AR1</f>
        <v>1</v>
      </c>
      <c r="AG1" s="59">
        <f>+'Monthly Energy Data'!AS1</f>
        <v>1</v>
      </c>
      <c r="AH1" s="59">
        <f>+'Monthly Energy Data'!AT1</f>
        <v>1</v>
      </c>
      <c r="AI1" s="59">
        <f>+'Monthly Energy Data'!AU1</f>
        <v>1</v>
      </c>
      <c r="AJ1" s="59">
        <f>+'Monthly Energy Data'!AV1</f>
        <v>1</v>
      </c>
      <c r="AK1" s="59">
        <f>+'Monthly Energy Data'!AW1</f>
        <v>0</v>
      </c>
      <c r="AL1" s="59">
        <f>+'Monthly Energy Data'!AX1</f>
        <v>0</v>
      </c>
      <c r="AM1" s="59">
        <f>+'Monthly Energy Data'!AY1</f>
        <v>1</v>
      </c>
      <c r="AN1" s="59">
        <f>+'Monthly Energy Data'!AZ1</f>
        <v>1</v>
      </c>
      <c r="AO1" s="59">
        <f>+'Monthly Energy Data'!BA1</f>
        <v>1</v>
      </c>
      <c r="AP1" s="59">
        <f>+'Monthly Energy Data'!BB1</f>
        <v>1</v>
      </c>
      <c r="AQ1" s="59">
        <f>+'Monthly Energy Data'!BC1</f>
        <v>1</v>
      </c>
      <c r="AR1" s="59">
        <f>+'Monthly Energy Data'!BD1</f>
        <v>1</v>
      </c>
      <c r="AS1" s="59">
        <f>+'Monthly Energy Data'!BE1</f>
        <v>1</v>
      </c>
      <c r="AT1" s="59">
        <f>+'Monthly Energy Data'!BF1</f>
        <v>0</v>
      </c>
      <c r="AU1" s="59">
        <f>+'Monthly Energy Data'!BG1</f>
        <v>1</v>
      </c>
      <c r="AV1" s="59">
        <f>+'Monthly Energy Data'!BH1</f>
        <v>1</v>
      </c>
      <c r="AW1" s="59">
        <f>+'Monthly Energy Data'!BI1</f>
        <v>1</v>
      </c>
      <c r="AX1" s="59">
        <f>+'Monthly Energy Data'!BJ1</f>
        <v>1</v>
      </c>
      <c r="AY1" s="59">
        <f>+'Monthly Energy Data'!BK1</f>
        <v>1</v>
      </c>
      <c r="AZ1" s="59">
        <f>+'Monthly Energy Data'!BL1</f>
        <v>0</v>
      </c>
      <c r="BA1" s="59">
        <f>+'Monthly Energy Data'!BM1</f>
        <v>1</v>
      </c>
      <c r="BB1" s="59">
        <f>+'Monthly Energy Data'!BN1</f>
        <v>1</v>
      </c>
      <c r="BC1" s="59">
        <f>+'Monthly Energy Data'!BO1</f>
        <v>1</v>
      </c>
      <c r="BD1" s="59">
        <f>+'Monthly Energy Data'!BP1</f>
        <v>1</v>
      </c>
      <c r="BE1" s="59">
        <f>+'Monthly Energy Data'!BQ1</f>
        <v>1</v>
      </c>
      <c r="BF1" s="59">
        <f>+'Monthly Energy Data'!BR1</f>
        <v>1</v>
      </c>
      <c r="BG1" s="59">
        <f>+'Monthly Energy Data'!BS1</f>
        <v>1</v>
      </c>
      <c r="BH1" s="59">
        <f>+'Monthly Energy Data'!BT1</f>
        <v>1</v>
      </c>
      <c r="BI1" s="59">
        <f>+'Monthly Energy Data'!BU1</f>
        <v>1</v>
      </c>
      <c r="BJ1" s="59">
        <f>+'Monthly Energy Data'!BX1</f>
        <v>1</v>
      </c>
      <c r="BK1" s="59">
        <f>+'Monthly Energy Data'!BY1</f>
        <v>1</v>
      </c>
      <c r="BL1" s="59">
        <f>+'Monthly Energy Data'!BZ1</f>
        <v>1</v>
      </c>
      <c r="BM1" s="59">
        <f>+'Monthly Energy Data'!CA1</f>
        <v>0</v>
      </c>
      <c r="BN1" s="59">
        <f>+'Monthly Energy Data'!CB1</f>
        <v>0</v>
      </c>
      <c r="BO1" s="59">
        <f>+'Monthly Energy Data'!CC1</f>
        <v>0</v>
      </c>
      <c r="BP1" s="59">
        <f>+'Monthly Energy Data'!CD1</f>
        <v>0</v>
      </c>
      <c r="BQ1" s="59">
        <f>+'Monthly Energy Data'!CE1</f>
        <v>0</v>
      </c>
      <c r="BR1" s="59">
        <f>+'Monthly Energy Data'!CF1</f>
        <v>1</v>
      </c>
      <c r="BS1" s="59">
        <f>+'Monthly Energy Data'!CG1</f>
        <v>1</v>
      </c>
      <c r="BT1" s="59">
        <f>+'Monthly Energy Data'!CH1</f>
        <v>1</v>
      </c>
      <c r="BU1" s="59">
        <f>+'Monthly Energy Data'!CI1</f>
        <v>0</v>
      </c>
      <c r="BV1" s="59">
        <f>+'Monthly Energy Data'!CJ1</f>
        <v>0</v>
      </c>
      <c r="BW1" s="266"/>
      <c r="BX1" s="266"/>
      <c r="BY1" s="266"/>
      <c r="BZ1" s="266"/>
      <c r="CA1" s="266"/>
      <c r="CB1" s="266"/>
      <c r="CC1" s="266"/>
      <c r="CD1" s="266"/>
      <c r="CE1" s="266"/>
      <c r="CF1" s="266"/>
      <c r="CG1" s="266"/>
      <c r="CH1" s="59">
        <f>+'[1]Monthly Energy Data'!CS1</f>
        <v>0</v>
      </c>
      <c r="CI1" s="59">
        <f>+'[1]Monthly Energy Data'!CT1</f>
        <v>0</v>
      </c>
      <c r="CJ1" s="59">
        <f>+'[1]Monthly Energy Data'!CU1</f>
        <v>0</v>
      </c>
      <c r="CK1" s="59">
        <f>+'[1]Monthly Energy Data'!CV1</f>
        <v>0</v>
      </c>
      <c r="CL1" s="59">
        <f>+'[1]Monthly Energy Data'!CW1</f>
        <v>0</v>
      </c>
      <c r="CM1" s="59">
        <f>+'[1]Monthly Energy Data'!CX1</f>
        <v>0</v>
      </c>
      <c r="CN1" s="59">
        <f>+'[1]Monthly Energy Data'!CY1</f>
        <v>0</v>
      </c>
      <c r="CO1" s="59">
        <f>+'[1]Monthly Energy Data'!CZ1</f>
        <v>0</v>
      </c>
      <c r="CP1" s="59">
        <f>+'[1]Monthly Energy Data'!DA1</f>
        <v>0</v>
      </c>
    </row>
    <row r="2" spans="1:149" x14ac:dyDescent="0.2">
      <c r="A2" s="61" t="s">
        <v>423</v>
      </c>
      <c r="Z2" s="59">
        <f>+'Monthly Energy Data'!AL2</f>
        <v>1</v>
      </c>
      <c r="AA2" s="59">
        <f>+'Monthly Energy Data'!AM2</f>
        <v>1</v>
      </c>
      <c r="AB2" s="59">
        <f>+'Monthly Energy Data'!AN2</f>
        <v>1</v>
      </c>
      <c r="AC2" s="59">
        <f>+'Monthly Energy Data'!AO2</f>
        <v>1</v>
      </c>
      <c r="AD2" s="59">
        <f>+'Monthly Energy Data'!AP2</f>
        <v>1</v>
      </c>
      <c r="AE2" s="59">
        <f>+'Monthly Energy Data'!AQ2</f>
        <v>1</v>
      </c>
      <c r="AF2" s="59">
        <f>+'Monthly Energy Data'!AR2</f>
        <v>1</v>
      </c>
      <c r="AG2" s="59">
        <f>+'Monthly Energy Data'!AS2</f>
        <v>1</v>
      </c>
      <c r="AH2" s="59">
        <f>+'Monthly Energy Data'!AT2</f>
        <v>1</v>
      </c>
      <c r="AI2" s="59">
        <f>+'Monthly Energy Data'!AU2</f>
        <v>1</v>
      </c>
      <c r="AJ2" s="59">
        <f>+'Monthly Energy Data'!AV2</f>
        <v>1</v>
      </c>
      <c r="AK2" s="59">
        <f>+'Monthly Energy Data'!AW2</f>
        <v>0</v>
      </c>
      <c r="AL2" s="59">
        <f>+'Monthly Energy Data'!AX2</f>
        <v>0</v>
      </c>
      <c r="AM2" s="59">
        <f>+'Monthly Energy Data'!AY2</f>
        <v>1</v>
      </c>
      <c r="AN2" s="59">
        <f>+'Monthly Energy Data'!AZ2</f>
        <v>1</v>
      </c>
      <c r="AO2" s="59">
        <f>+'Monthly Energy Data'!BA2</f>
        <v>1</v>
      </c>
      <c r="AP2" s="59">
        <f>+'Monthly Energy Data'!BB2</f>
        <v>1</v>
      </c>
      <c r="AQ2" s="59">
        <f>+'Monthly Energy Data'!BC2</f>
        <v>1</v>
      </c>
      <c r="AR2" s="59">
        <f>+'Monthly Energy Data'!BD2</f>
        <v>1</v>
      </c>
      <c r="AS2" s="59">
        <f>+'Monthly Energy Data'!BE2</f>
        <v>1</v>
      </c>
      <c r="AT2" s="59">
        <f>+'Monthly Energy Data'!BF2</f>
        <v>0</v>
      </c>
      <c r="AU2" s="59">
        <f>+'Monthly Energy Data'!BG2</f>
        <v>1</v>
      </c>
      <c r="AV2" s="59">
        <f>+'Monthly Energy Data'!BH2</f>
        <v>1</v>
      </c>
      <c r="AW2" s="59">
        <f>+'Monthly Energy Data'!BI2</f>
        <v>1</v>
      </c>
      <c r="AX2" s="59">
        <f>+'Monthly Energy Data'!BJ2</f>
        <v>1</v>
      </c>
      <c r="AY2" s="59">
        <f>+'Monthly Energy Data'!BK2</f>
        <v>1</v>
      </c>
      <c r="AZ2" s="59">
        <f>+'Monthly Energy Data'!BL2</f>
        <v>0</v>
      </c>
      <c r="BA2" s="59">
        <f>+'Monthly Energy Data'!BM2</f>
        <v>1</v>
      </c>
      <c r="BB2" s="59">
        <f>+'Monthly Energy Data'!BN2</f>
        <v>1</v>
      </c>
      <c r="BC2" s="59">
        <f>+'Monthly Energy Data'!BO2</f>
        <v>1</v>
      </c>
      <c r="BD2" s="59">
        <f>+'Monthly Energy Data'!BP2</f>
        <v>1</v>
      </c>
      <c r="BE2" s="59">
        <f>+'Monthly Energy Data'!BQ2</f>
        <v>1</v>
      </c>
      <c r="BF2" s="59">
        <f>+'Monthly Energy Data'!BR2</f>
        <v>1</v>
      </c>
      <c r="BG2" s="59">
        <f>+'Monthly Energy Data'!BS2</f>
        <v>1</v>
      </c>
      <c r="BH2" s="59">
        <f>+'Monthly Energy Data'!BT2</f>
        <v>1</v>
      </c>
      <c r="BI2" s="59">
        <f>+'Monthly Energy Data'!BU2</f>
        <v>1</v>
      </c>
      <c r="BJ2" s="59">
        <f>+'Monthly Energy Data'!BX2</f>
        <v>1</v>
      </c>
      <c r="BK2" s="59">
        <f>+'Monthly Energy Data'!BY2</f>
        <v>1</v>
      </c>
      <c r="BL2" s="59">
        <f>+'Monthly Energy Data'!BZ2</f>
        <v>0</v>
      </c>
      <c r="BM2" s="59">
        <f>+'Monthly Energy Data'!CA2</f>
        <v>0</v>
      </c>
      <c r="BN2" s="59">
        <f>+'Monthly Energy Data'!CB2</f>
        <v>0</v>
      </c>
      <c r="BO2" s="59">
        <f>+'Monthly Energy Data'!CC2</f>
        <v>0</v>
      </c>
      <c r="BP2" s="59">
        <f>+'Monthly Energy Data'!CD2</f>
        <v>0</v>
      </c>
      <c r="BQ2" s="59">
        <f>+'Monthly Energy Data'!CE2</f>
        <v>0</v>
      </c>
      <c r="BR2" s="59">
        <f>+'Monthly Energy Data'!CF2</f>
        <v>1</v>
      </c>
      <c r="BS2" s="59">
        <f>+'Monthly Energy Data'!CG2</f>
        <v>1</v>
      </c>
      <c r="BT2" s="59">
        <f>+'Monthly Energy Data'!CH2</f>
        <v>1</v>
      </c>
      <c r="BU2" s="59">
        <f>+'Monthly Energy Data'!CI2</f>
        <v>0</v>
      </c>
      <c r="BV2" s="59">
        <f>+'Monthly Energy Data'!CJ2</f>
        <v>0</v>
      </c>
      <c r="BW2" s="266"/>
      <c r="BX2" s="266"/>
      <c r="BY2" s="266"/>
      <c r="BZ2" s="266"/>
      <c r="CA2" s="266"/>
      <c r="CB2" s="266"/>
      <c r="CC2" s="266"/>
      <c r="CD2" s="266"/>
      <c r="CE2" s="266"/>
      <c r="CF2" s="266"/>
      <c r="CG2" s="266"/>
      <c r="CH2" s="59">
        <f>+'[1]Monthly Energy Data'!CS2</f>
        <v>0</v>
      </c>
      <c r="CI2" s="59">
        <f>+'[1]Monthly Energy Data'!CT2</f>
        <v>0</v>
      </c>
      <c r="CJ2" s="59">
        <f>+'[1]Monthly Energy Data'!CU2</f>
        <v>0</v>
      </c>
      <c r="CK2" s="59">
        <f>+'[1]Monthly Energy Data'!CV2</f>
        <v>0</v>
      </c>
      <c r="CL2" s="59">
        <f>+'[1]Monthly Energy Data'!CW2</f>
        <v>0</v>
      </c>
      <c r="CM2" s="59">
        <f>+'[1]Monthly Energy Data'!CX2</f>
        <v>0</v>
      </c>
      <c r="CN2" s="59">
        <f>+'[1]Monthly Energy Data'!CY2</f>
        <v>0</v>
      </c>
      <c r="CO2" s="59">
        <f>+'[1]Monthly Energy Data'!CZ2</f>
        <v>0</v>
      </c>
      <c r="CP2" s="59">
        <f>+'[1]Monthly Energy Data'!DA2</f>
        <v>0</v>
      </c>
    </row>
    <row r="3" spans="1:149" x14ac:dyDescent="0.2">
      <c r="Z3" t="b">
        <f>+EXACT(Z7,'Monthly Energy Data'!AL7)</f>
        <v>1</v>
      </c>
      <c r="AA3" t="b">
        <f>+EXACT(AA7,'Monthly Energy Data'!AM7)</f>
        <v>1</v>
      </c>
      <c r="AB3" t="b">
        <f>+EXACT(AB7,'Monthly Energy Data'!AN7)</f>
        <v>1</v>
      </c>
      <c r="AC3" t="b">
        <f>+EXACT(AC7,'Monthly Energy Data'!AO7)</f>
        <v>1</v>
      </c>
      <c r="AD3" t="b">
        <f>+EXACT(AD7,'Monthly Energy Data'!AP7)</f>
        <v>1</v>
      </c>
      <c r="AE3" t="b">
        <f>+EXACT(AE7,'Monthly Energy Data'!AQ7)</f>
        <v>1</v>
      </c>
      <c r="AF3" t="b">
        <f>+EXACT(AF7,'Monthly Energy Data'!AR7)</f>
        <v>1</v>
      </c>
      <c r="AG3" t="b">
        <f>+EXACT(AG7,'Monthly Energy Data'!AS7)</f>
        <v>1</v>
      </c>
      <c r="AH3" t="b">
        <f>+EXACT(AH7,'Monthly Energy Data'!AT7)</f>
        <v>1</v>
      </c>
      <c r="AI3" t="b">
        <f>+EXACT(AI7,'Monthly Energy Data'!AU7)</f>
        <v>1</v>
      </c>
      <c r="AJ3" t="b">
        <f>+EXACT(AJ7,'Monthly Energy Data'!AV7)</f>
        <v>1</v>
      </c>
      <c r="AK3" t="b">
        <f>+EXACT(AK7,'Monthly Energy Data'!AW7)</f>
        <v>1</v>
      </c>
      <c r="AL3" t="b">
        <f>+EXACT(AL7,'Monthly Energy Data'!AX7)</f>
        <v>1</v>
      </c>
      <c r="AM3" t="b">
        <f>+EXACT(AM7,'Monthly Energy Data'!AY7)</f>
        <v>1</v>
      </c>
      <c r="AN3" t="b">
        <f>+EXACT(AN7,'Monthly Energy Data'!AZ7)</f>
        <v>1</v>
      </c>
      <c r="AO3" t="b">
        <f>+EXACT(AO7,'Monthly Energy Data'!BA7)</f>
        <v>1</v>
      </c>
      <c r="AP3" t="b">
        <f>+EXACT(AP7,'Monthly Energy Data'!BB7)</f>
        <v>1</v>
      </c>
      <c r="AQ3" t="b">
        <f>+EXACT(AQ7,'Monthly Energy Data'!BC7)</f>
        <v>1</v>
      </c>
      <c r="AR3" t="b">
        <f>+EXACT(AR7,'Monthly Energy Data'!BD7)</f>
        <v>1</v>
      </c>
      <c r="AS3" t="b">
        <f>+EXACT(AS7,'Monthly Energy Data'!BE7)</f>
        <v>1</v>
      </c>
      <c r="AT3" t="b">
        <f>+EXACT(AT7,'Monthly Energy Data'!BF7)</f>
        <v>1</v>
      </c>
      <c r="AU3" t="b">
        <f>+EXACT(AU7,'Monthly Energy Data'!BG7)</f>
        <v>1</v>
      </c>
      <c r="AV3" t="b">
        <f>+EXACT(AV7,'Monthly Energy Data'!BH7)</f>
        <v>1</v>
      </c>
      <c r="AW3" t="b">
        <f>+EXACT(AW7,'Monthly Energy Data'!BI7)</f>
        <v>1</v>
      </c>
      <c r="AX3" t="b">
        <f>+EXACT(AX7,'Monthly Energy Data'!BJ7)</f>
        <v>1</v>
      </c>
      <c r="AY3" t="b">
        <f>+EXACT(AY7,'Monthly Energy Data'!BK7)</f>
        <v>1</v>
      </c>
      <c r="AZ3" t="b">
        <f>+EXACT(AZ7,'Monthly Energy Data'!BL7)</f>
        <v>1</v>
      </c>
      <c r="BA3" t="b">
        <f>+EXACT(BA7,'Monthly Energy Data'!BM7)</f>
        <v>1</v>
      </c>
      <c r="BB3" t="b">
        <f>+EXACT(BB7,'Monthly Energy Data'!BN7)</f>
        <v>1</v>
      </c>
      <c r="BC3" t="b">
        <f>+EXACT(BC7,'Monthly Energy Data'!BO7)</f>
        <v>1</v>
      </c>
      <c r="BD3" t="b">
        <f>+EXACT(BD7,'Monthly Energy Data'!BP7)</f>
        <v>1</v>
      </c>
      <c r="BE3" t="b">
        <f>+EXACT(BE7,'Monthly Energy Data'!BQ7)</f>
        <v>1</v>
      </c>
      <c r="BF3" t="b">
        <f>+EXACT(BF7,'Monthly Energy Data'!BR7)</f>
        <v>1</v>
      </c>
      <c r="BG3" t="b">
        <f>+EXACT(BG7,'Monthly Energy Data'!BS7)</f>
        <v>1</v>
      </c>
      <c r="BH3" t="b">
        <f>+EXACT(BH7,'Monthly Energy Data'!BT7)</f>
        <v>1</v>
      </c>
      <c r="BI3" t="b">
        <f>+EXACT(BI7,'Monthly Energy Data'!BU7)</f>
        <v>1</v>
      </c>
      <c r="BJ3" t="b">
        <f>+EXACT(BJ7,'Monthly Energy Data'!BV7)</f>
        <v>0</v>
      </c>
      <c r="BK3" t="b">
        <f>+EXACT(BK7,'Monthly Energy Data'!BY7)</f>
        <v>1</v>
      </c>
      <c r="BL3" t="b">
        <f>+EXACT(BL7,'Monthly Energy Data'!BZ7)</f>
        <v>1</v>
      </c>
      <c r="BM3" t="b">
        <f>+EXACT(BM7,'Monthly Energy Data'!CA7)</f>
        <v>1</v>
      </c>
      <c r="BN3" t="b">
        <f>+EXACT(BN7,'Monthly Energy Data'!CB7)</f>
        <v>1</v>
      </c>
      <c r="BO3" t="b">
        <f>+EXACT(BO7,'Monthly Energy Data'!CC7)</f>
        <v>1</v>
      </c>
      <c r="BP3" t="b">
        <f>+EXACT(BP7,'Monthly Energy Data'!CD7)</f>
        <v>1</v>
      </c>
      <c r="BQ3" t="b">
        <f>+EXACT(BQ7,'Monthly Energy Data'!CE7)</f>
        <v>1</v>
      </c>
      <c r="BR3" t="b">
        <f>+EXACT(BR7,'Monthly Energy Data'!CF7)</f>
        <v>1</v>
      </c>
      <c r="BS3" t="b">
        <f>+EXACT(BS7,'Monthly Energy Data'!CG7)</f>
        <v>1</v>
      </c>
      <c r="BT3" t="b">
        <f>+EXACT(BT7,'Monthly Energy Data'!CH7)</f>
        <v>1</v>
      </c>
      <c r="BU3" t="b">
        <f>+EXACT(BU7,'Monthly Energy Data'!CI7)</f>
        <v>1</v>
      </c>
      <c r="BV3" t="b">
        <f>+EXACT(BV7,'Monthly Energy Data'!CJ7)</f>
        <v>1</v>
      </c>
    </row>
    <row r="4" spans="1:149" ht="38.25" x14ac:dyDescent="0.2">
      <c r="A4" s="7" t="s">
        <v>12</v>
      </c>
      <c r="Z4" s="57" t="str">
        <f>+'Monthly Energy Data'!AL4</f>
        <v>Tier 1</v>
      </c>
      <c r="AA4" s="57" t="str">
        <f>+'Monthly Energy Data'!AM4</f>
        <v>Tier 1</v>
      </c>
      <c r="AB4" s="57" t="str">
        <f>+'Monthly Energy Data'!AN4</f>
        <v>Tier 1</v>
      </c>
      <c r="AC4" s="57" t="str">
        <f>+'Monthly Energy Data'!AO4</f>
        <v>Tier 1</v>
      </c>
      <c r="AD4" s="57" t="str">
        <f>+'Monthly Energy Data'!AP4</f>
        <v>Tier 1</v>
      </c>
      <c r="AE4" s="57" t="str">
        <f>+'Monthly Energy Data'!AQ4</f>
        <v>Tier 1</v>
      </c>
      <c r="AF4" s="57" t="str">
        <f>+'Monthly Energy Data'!AR4</f>
        <v>Tier 1</v>
      </c>
      <c r="AG4" s="57" t="str">
        <f>+'Monthly Energy Data'!AS4</f>
        <v>Tier 1</v>
      </c>
      <c r="AH4" s="57" t="str">
        <f>+'Monthly Energy Data'!AT4</f>
        <v>Tier 1</v>
      </c>
      <c r="AI4" s="57" t="str">
        <f>+'Monthly Energy Data'!AU4</f>
        <v>Tier 1</v>
      </c>
      <c r="AJ4" s="57" t="str">
        <f>+'Monthly Energy Data'!AV4</f>
        <v>Tier 1</v>
      </c>
      <c r="AK4" s="57" t="str">
        <f>+'Monthly Energy Data'!AW4</f>
        <v>Tier 1</v>
      </c>
      <c r="AL4" s="57" t="str">
        <f>+'Monthly Energy Data'!AX4</f>
        <v>Tier 1</v>
      </c>
      <c r="AM4" s="57" t="str">
        <f>+'Monthly Energy Data'!AY4</f>
        <v>Tier 1</v>
      </c>
      <c r="AN4" s="261" t="str">
        <f>+'Monthly Energy Data'!AZ4</f>
        <v>Tier 1</v>
      </c>
      <c r="AO4" s="261" t="str">
        <f>+'Monthly Energy Data'!BA4</f>
        <v>Tier 1</v>
      </c>
      <c r="AP4" s="261" t="str">
        <f>+'Monthly Energy Data'!BB4</f>
        <v>Tier 1</v>
      </c>
      <c r="AQ4" s="261" t="str">
        <f>+'Monthly Energy Data'!BC4</f>
        <v>Tier 2</v>
      </c>
      <c r="AR4" s="261" t="str">
        <f>+'Monthly Energy Data'!BD4</f>
        <v>Tier 2</v>
      </c>
      <c r="AS4" s="261" t="str">
        <f>+'Monthly Energy Data'!BE4</f>
        <v>Tier 2</v>
      </c>
      <c r="AT4" s="261" t="str">
        <f>+'Monthly Energy Data'!BF4</f>
        <v>Non-Renewable</v>
      </c>
      <c r="AU4" s="261" t="str">
        <f>+'Monthly Energy Data'!BG4</f>
        <v>Tier 2</v>
      </c>
      <c r="AV4" s="261" t="str">
        <f>+'Monthly Energy Data'!BH4</f>
        <v>Tier 2</v>
      </c>
      <c r="AW4" s="261" t="str">
        <f>+'Monthly Energy Data'!BI4</f>
        <v>Tier 2</v>
      </c>
      <c r="AX4" s="261" t="str">
        <f>+'Monthly Energy Data'!BJ4</f>
        <v>Tier 2</v>
      </c>
      <c r="AY4" s="261" t="str">
        <f>+'Monthly Energy Data'!BK4</f>
        <v>Tier 2</v>
      </c>
      <c r="AZ4" s="261" t="str">
        <f>+'Monthly Energy Data'!BL4</f>
        <v>Non-Renewable</v>
      </c>
      <c r="BA4" s="261" t="str">
        <f>+'Monthly Energy Data'!BM4</f>
        <v>Tier 2</v>
      </c>
      <c r="BB4" s="261" t="str">
        <f>+'Monthly Energy Data'!BN4</f>
        <v>Tier 2</v>
      </c>
      <c r="BC4" s="261" t="str">
        <f>+'Monthly Energy Data'!BO4</f>
        <v>Tier 2</v>
      </c>
      <c r="BD4" s="261" t="str">
        <f>+'Monthly Energy Data'!BP4</f>
        <v>Tier 1</v>
      </c>
      <c r="BE4" s="261" t="str">
        <f>+'Monthly Energy Data'!BQ4</f>
        <v>Tier 2</v>
      </c>
      <c r="BF4" s="261" t="str">
        <f>+'Monthly Energy Data'!BR4</f>
        <v>Tier 2</v>
      </c>
      <c r="BG4" s="261" t="str">
        <f>+'Monthly Energy Data'!BS4</f>
        <v>Tier 2</v>
      </c>
      <c r="BH4" s="261" t="str">
        <f>+'Monthly Energy Data'!BT4</f>
        <v>Tier 2</v>
      </c>
      <c r="BI4" s="261" t="str">
        <f>+'Monthly Energy Data'!BU4</f>
        <v>Tier 2</v>
      </c>
      <c r="BJ4" s="261" t="str">
        <f>+'Monthly Energy Data'!BX4</f>
        <v>Tier 2</v>
      </c>
      <c r="BK4" s="261">
        <f>+'Monthly Energy Data'!BY4</f>
        <v>0</v>
      </c>
      <c r="BL4" s="261" t="str">
        <f>+'Monthly Energy Data'!BZ4</f>
        <v>Carbon Free</v>
      </c>
      <c r="BM4" s="261" t="str">
        <f>+'Monthly Energy Data'!CA4</f>
        <v>Non-Renewable</v>
      </c>
      <c r="BN4" s="261" t="str">
        <f>+'Monthly Energy Data'!CB4</f>
        <v>Non-Renewable</v>
      </c>
      <c r="BO4" s="261" t="str">
        <f>+'Monthly Energy Data'!CC4</f>
        <v>Non-Renewable</v>
      </c>
      <c r="BP4" s="261" t="str">
        <f>+'Monthly Energy Data'!CD4</f>
        <v>Non-Renewable</v>
      </c>
      <c r="BQ4" s="261" t="str">
        <f>+'Monthly Energy Data'!CE4</f>
        <v>Non-Renewable</v>
      </c>
      <c r="BR4" s="261" t="str">
        <f>+'Monthly Energy Data'!CF4</f>
        <v>Tier 1</v>
      </c>
      <c r="BS4" s="261" t="str">
        <f>+'Monthly Energy Data'!CG4</f>
        <v>Tier 1</v>
      </c>
      <c r="BT4" s="261" t="str">
        <f>+'Monthly Energy Data'!CH4</f>
        <v>Tier 1</v>
      </c>
      <c r="BU4" s="261" t="str">
        <f>+'Monthly Energy Data'!CI4</f>
        <v>Non-Renewable</v>
      </c>
      <c r="BV4" s="261">
        <f>+'Monthly Energy Data'!CJ4</f>
        <v>0</v>
      </c>
      <c r="BW4" s="261"/>
      <c r="BX4" s="261"/>
      <c r="BY4" s="261"/>
      <c r="BZ4" s="261"/>
      <c r="CA4" s="261"/>
      <c r="CB4" s="261"/>
      <c r="CC4" s="261"/>
      <c r="CD4" s="261"/>
      <c r="CE4" s="261"/>
      <c r="CF4" s="261"/>
      <c r="CG4" s="261"/>
      <c r="CH4" s="261" t="str">
        <f>+'Monthly Energy Data'!DD4</f>
        <v>Tier 2</v>
      </c>
      <c r="CI4" s="261" t="str">
        <f>+'Monthly Energy Data'!DE4</f>
        <v>Tier 2</v>
      </c>
      <c r="CJ4" s="261" t="str">
        <f>+'Monthly Energy Data'!DF4</f>
        <v>Tier 2</v>
      </c>
      <c r="CK4" s="261" t="str">
        <f>+'Monthly Energy Data'!DG4</f>
        <v>Tier 2</v>
      </c>
      <c r="CL4" s="261" t="str">
        <f>+'Monthly Energy Data'!DH4</f>
        <v>Tier 2</v>
      </c>
      <c r="CM4" s="261" t="str">
        <f>+'Monthly Energy Data'!DI4</f>
        <v>Tier 2</v>
      </c>
      <c r="CN4" s="261" t="str">
        <f>+'Monthly Energy Data'!DJ4</f>
        <v>Tier 2</v>
      </c>
      <c r="CO4" s="261" t="str">
        <f>+'Monthly Energy Data'!DK4</f>
        <v>Tier 2</v>
      </c>
      <c r="CP4" s="261" t="str">
        <f>+'Monthly Energy Data'!DL4</f>
        <v>Tier 2</v>
      </c>
      <c r="CQ4" s="261"/>
      <c r="CR4" s="261"/>
      <c r="CS4" s="261"/>
      <c r="CT4" s="261"/>
      <c r="CU4" s="261"/>
      <c r="CV4" s="261"/>
      <c r="CW4" s="261"/>
      <c r="CX4" s="261"/>
      <c r="CY4" s="261"/>
      <c r="CZ4" s="261"/>
      <c r="DA4" s="261"/>
      <c r="DB4" s="261"/>
      <c r="DC4" s="261"/>
      <c r="DD4" s="261"/>
      <c r="DE4" s="261"/>
      <c r="DF4" s="261"/>
      <c r="DG4" s="261"/>
      <c r="DH4" s="261"/>
      <c r="DI4" s="261"/>
      <c r="DJ4" s="261"/>
      <c r="DK4" s="261"/>
    </row>
    <row r="5" spans="1:149" x14ac:dyDescent="0.2">
      <c r="A5" s="2" t="s">
        <v>13</v>
      </c>
      <c r="AF5" t="e">
        <f>+AF29/(8760*AF6)</f>
        <v>#VALUE!</v>
      </c>
      <c r="AG5" t="e">
        <f>+AG31/(8760*AG6)</f>
        <v>#VALUE!</v>
      </c>
      <c r="BD5" s="58" t="e">
        <f>+BD17+#REF!</f>
        <v>#REF!</v>
      </c>
      <c r="CS5" s="61" t="s">
        <v>367</v>
      </c>
    </row>
    <row r="6" spans="1:149" x14ac:dyDescent="0.2">
      <c r="Z6" t="str">
        <f>+'Monthly Energy Data'!AL6</f>
        <v>Hydro</v>
      </c>
      <c r="AA6" t="str">
        <f>+'Monthly Energy Data'!AM6</f>
        <v>Hydro</v>
      </c>
      <c r="AB6" t="str">
        <f>+'Monthly Energy Data'!AN6</f>
        <v>Hydro</v>
      </c>
      <c r="AC6" t="str">
        <f>+'Monthly Energy Data'!AO6</f>
        <v>Hydro</v>
      </c>
      <c r="AD6" t="str">
        <f>+'Monthly Energy Data'!AP6</f>
        <v>Hydro</v>
      </c>
      <c r="AE6" t="str">
        <f>+'Monthly Energy Data'!AQ6</f>
        <v>Hydro</v>
      </c>
      <c r="AF6" t="str">
        <f>+'Monthly Energy Data'!AR6</f>
        <v>Hydro</v>
      </c>
      <c r="AG6" t="str">
        <f>+'Monthly Energy Data'!AS6</f>
        <v>Hydro</v>
      </c>
      <c r="AH6" t="str">
        <f>+'Monthly Energy Data'!AT6</f>
        <v>Hydro</v>
      </c>
      <c r="AI6" t="str">
        <f>+'Monthly Energy Data'!AU6</f>
        <v>Hydro</v>
      </c>
      <c r="AJ6" t="str">
        <f>+'Monthly Energy Data'!AV6</f>
        <v>Hydro</v>
      </c>
      <c r="AK6" t="str">
        <f>+'Monthly Energy Data'!AW6</f>
        <v>Hydro</v>
      </c>
      <c r="AL6" t="str">
        <f>+'Monthly Energy Data'!AX6</f>
        <v>Hydro</v>
      </c>
      <c r="AM6" s="61" t="s">
        <v>72</v>
      </c>
      <c r="AN6" t="str">
        <f>+'Monthly Energy Data'!AZ6</f>
        <v>Hydro</v>
      </c>
      <c r="BD6">
        <f>+'Monthly Energy Data'!BP6</f>
        <v>0</v>
      </c>
      <c r="BE6">
        <f>+'Monthly Energy Data'!BQ6</f>
        <v>0</v>
      </c>
      <c r="BG6">
        <f>+'Monthly Energy Data'!BS6</f>
        <v>0</v>
      </c>
      <c r="BH6">
        <f>+'Monthly Energy Data'!BT6</f>
        <v>0</v>
      </c>
      <c r="BI6">
        <f>+'Monthly Energy Data'!BU6</f>
        <v>0</v>
      </c>
      <c r="BJ6">
        <f>+'Monthly Energy Data'!BX6</f>
        <v>0</v>
      </c>
      <c r="BK6">
        <f>+'Monthly Energy Data'!BY6</f>
        <v>0</v>
      </c>
      <c r="BL6">
        <f>+'Monthly Energy Data'!BZ6</f>
        <v>0.97499999999999998</v>
      </c>
      <c r="BM6">
        <f>+'Monthly Energy Data'!CA6</f>
        <v>0</v>
      </c>
      <c r="BN6">
        <f>+'Monthly Energy Data'!CB6</f>
        <v>0</v>
      </c>
      <c r="BP6">
        <f>+'Monthly Energy Data'!CD6</f>
        <v>0</v>
      </c>
      <c r="DN6">
        <v>1</v>
      </c>
      <c r="DO6" s="61" t="s">
        <v>469</v>
      </c>
      <c r="DP6" s="61" t="s">
        <v>469</v>
      </c>
      <c r="DQ6" s="61" t="s">
        <v>469</v>
      </c>
      <c r="EB6" s="61" t="s">
        <v>472</v>
      </c>
    </row>
    <row r="7" spans="1:149" ht="114.75" x14ac:dyDescent="0.2">
      <c r="A7" s="11" t="str">
        <f>+'Monthly Energy Data'!D7</f>
        <v>Year</v>
      </c>
      <c r="B7" s="12" t="str">
        <f>+'Monthly Energy Data'!G7</f>
        <v>Underlying Base High Forecast for 2022 IRP - Pre DSM and Tier III</v>
      </c>
      <c r="C7" s="12" t="str">
        <f>+'Monthly Energy Data'!H7</f>
        <v>Underlying Base Load Forecast for 2025 IRP - Pre DSM and Tier III</v>
      </c>
      <c r="D7" s="12" t="str">
        <f>+'Monthly Energy Data'!I7</f>
        <v>Underlying Base Low Forecast for 2022 IRP - Pre DSM and Tier III</v>
      </c>
      <c r="E7" s="12" t="str">
        <f>+'Monthly Energy Data'!J7</f>
        <v>Low     DSM Impact</v>
      </c>
      <c r="F7" s="12" t="str">
        <f>+'Monthly Energy Data'!K7</f>
        <v xml:space="preserve"> Base DSM Impact</v>
      </c>
      <c r="G7" s="12" t="str">
        <f>+'Monthly Energy Data'!L7</f>
        <v>High     DSM Impact</v>
      </c>
      <c r="H7" s="12" t="s">
        <v>290</v>
      </c>
      <c r="I7" s="12" t="str">
        <f>+'Monthly Energy Data'!P7</f>
        <v>Pre-Tier 3 High Forecast -High DSM    Net Load Forecast</v>
      </c>
      <c r="J7" s="12" t="str">
        <f>+'Monthly Energy Data'!Q7</f>
        <v>Pre-Tier 3 High Forecast - Base DSM     Net Load Forecast</v>
      </c>
      <c r="K7" s="12" t="str">
        <f>+'Monthly Energy Data'!R7</f>
        <v>Pre Tier 3 High Forecast - Low DSM     Net Load Forecast</v>
      </c>
      <c r="L7" s="12" t="str">
        <f>+'Monthly Energy Data'!S7</f>
        <v>Pre-Tier 3 Base Forecast - High DSM  High NM  Net Load Forecast</v>
      </c>
      <c r="M7" s="12" t="str">
        <f>+'Monthly Energy Data'!T7</f>
        <v>Pre-Tier 3 Base Forecast - Base DSM Base NM   Net Load Forecast</v>
      </c>
      <c r="N7" s="12" t="str">
        <f>+'Monthly Energy Data'!U7</f>
        <v>Pre-Tier 3 Base Forecast - Low DSM  Low NM   Net Load Forecast</v>
      </c>
      <c r="O7" s="12" t="str">
        <f>+'Monthly Energy Data'!V7</f>
        <v>Pre-Tier 3 Low Forecast - High DSM    Net Load Forecast</v>
      </c>
      <c r="P7" s="12" t="str">
        <f>+'Monthly Energy Data'!W7</f>
        <v>Pre-Tier 3 Low Forcast - Base DSM    Net Load Forecast</v>
      </c>
      <c r="Q7" s="12" t="str">
        <f>+'Monthly Energy Data'!X7</f>
        <v>Pre-Tier 3 Low Forecast - Low DSM     Net Load Forecast</v>
      </c>
      <c r="R7" s="12" t="str">
        <f>+'Monthly Energy Data'!Y7</f>
        <v>VELCO EV and VELCO CCHP Tier III Load Growth</v>
      </c>
      <c r="S7" s="12" t="str">
        <f>+'Monthly Energy Data'!Z7</f>
        <v>CAP EV and CAP CCHP Tier III Load Growth</v>
      </c>
      <c r="T7" s="12" t="str">
        <f>+'Monthly Energy Data'!AA7</f>
        <v>VEC Historic EV and EVT CCHP Tier III Load Growth</v>
      </c>
      <c r="U7" s="12" t="str">
        <f>+'Monthly Energy Data'!AE7</f>
        <v>VELCO Forecast</v>
      </c>
      <c r="V7" s="12" t="str">
        <f>+'Monthly Energy Data'!AF7</f>
        <v>Climate Action Plan Forecast</v>
      </c>
      <c r="W7" s="12" t="str">
        <f>+'Monthly Energy Data'!AG7</f>
        <v>VEC Forecast</v>
      </c>
      <c r="X7" s="12" t="str">
        <f>+'Monthly Energy Data'!AH7</f>
        <v>Average of High and Low</v>
      </c>
      <c r="Y7" s="79"/>
      <c r="Z7" s="12" t="str">
        <f>+'Monthly Energy Data'!AL7</f>
        <v>HQ B</v>
      </c>
      <c r="AA7" s="12" t="str">
        <f>+'Monthly Energy Data'!AM7</f>
        <v>HQ C-1</v>
      </c>
      <c r="AB7" s="12" t="str">
        <f>+'Monthly Energy Data'!AN7</f>
        <v>HQ C-2</v>
      </c>
      <c r="AC7" s="12" t="str">
        <f>+'Monthly Energy Data'!AO7</f>
        <v>HQ C-3</v>
      </c>
      <c r="AD7" s="12" t="str">
        <f>+'Monthly Energy Data'!AP7</f>
        <v>HQ 2021-2023</v>
      </c>
      <c r="AE7" s="12" t="str">
        <f>+'Monthly Energy Data'!AQ7</f>
        <v>HQUS 11/2012 - 10/2020</v>
      </c>
      <c r="AF7" s="12" t="str">
        <f>+'Monthly Energy Data'!AR7</f>
        <v>HQUS 11/2020 - 10/2030</v>
      </c>
      <c r="AG7" s="12" t="str">
        <f>+'Monthly Energy Data'!AS7</f>
        <v>HQUS 11/2030 - 10/2035</v>
      </c>
      <c r="AH7" s="12" t="str">
        <f>+'Monthly Energy Data'!AT7</f>
        <v>HQUS 11/2035 - 10/2038</v>
      </c>
      <c r="AI7" s="12" t="str">
        <f>+'Monthly Energy Data'!AU7</f>
        <v>St Lawrence</v>
      </c>
      <c r="AJ7" s="12" t="str">
        <f>+'Monthly Energy Data'!AV7</f>
        <v>Niagara</v>
      </c>
      <c r="AK7" s="12" t="str">
        <f>+'Monthly Energy Data'!AW7</f>
        <v>Delvin Warner</v>
      </c>
      <c r="AL7" s="12" t="str">
        <f>+'Monthly Energy Data'!AX7</f>
        <v>Arlon Warner</v>
      </c>
      <c r="AM7" s="12" t="str">
        <f>+'Monthly Energy Data'!AY7</f>
        <v>Ryegate</v>
      </c>
      <c r="AN7" s="12" t="str">
        <f>+'Monthly Energy Data'!AZ7</f>
        <v>VEPPI</v>
      </c>
      <c r="AO7" s="12" t="str">
        <f>+'Monthly Energy Data'!BA7</f>
        <v>Kingdom Wind</v>
      </c>
      <c r="AP7" s="12" t="str">
        <f>+'Monthly Energy Data'!BB7</f>
        <v>Sheffield - Fixed Price</v>
      </c>
      <c r="AQ7" s="12" t="str">
        <f>+'Monthly Energy Data'!BC7</f>
        <v>Standard Offer - Pre-July 2015 On-Line Date          Solar</v>
      </c>
      <c r="AR7" s="12" t="str">
        <f>+'Monthly Energy Data'!BD7</f>
        <v>Standard Offer - Pre-July 2015 On-Line Date          Biomass</v>
      </c>
      <c r="AS7" s="12" t="str">
        <f>+'Monthly Energy Data'!BE7</f>
        <v>Standard Offer - Pre-July 2015 On-Line Date          Wind</v>
      </c>
      <c r="AT7" s="12" t="str">
        <f>+'Monthly Energy Data'!BF7</f>
        <v>Standard Offer - Pre-July 2015 On-Line Date          Farm Methane</v>
      </c>
      <c r="AU7" s="12" t="str">
        <f>+'Monthly Energy Data'!BG7</f>
        <v>Standard Offer - Pre-July 2015 On-Line Date          LFG</v>
      </c>
      <c r="AV7" s="12" t="str">
        <f>+'Monthly Energy Data'!BH7</f>
        <v>Standard Offer - Pre-July 2015 On-Line Date          Hydro</v>
      </c>
      <c r="AW7" s="12" t="str">
        <f>+'Monthly Energy Data'!BI7</f>
        <v>Standard Offer - Post-June 2015 On-Line Date          Solar</v>
      </c>
      <c r="AX7" s="12" t="str">
        <f>+'Monthly Energy Data'!BJ7</f>
        <v>Standard Offer - Post-June 2015 On-Line Date          Biomass</v>
      </c>
      <c r="AY7" s="12" t="str">
        <f>+'Monthly Energy Data'!BK7</f>
        <v>Standard Offer - Post-June 2015 On-Line Date          Wind</v>
      </c>
      <c r="AZ7" s="12" t="str">
        <f>+'Monthly Energy Data'!BL7</f>
        <v>Standard Offer - Post-June 2015 On-Line Date          Farm Methane</v>
      </c>
      <c r="BA7" s="12" t="str">
        <f>+'Monthly Energy Data'!BM7</f>
        <v>Standard Offer - Post-June 2015 On-Line Date          LFG</v>
      </c>
      <c r="BB7" s="12" t="str">
        <f>+'Monthly Energy Data'!BN7</f>
        <v>Standard Offer - Post-June 2015 On-Line Date          Hydro</v>
      </c>
      <c r="BC7" s="12" t="str">
        <f>+'Monthly Energy Data'!BO7</f>
        <v>Standard Offer - Post-June 2015 On-Line Date          Food Waste</v>
      </c>
      <c r="BD7" s="12" t="str">
        <f>+'Monthly Energy Data'!BP7</f>
        <v xml:space="preserve">WEC- HQUS </v>
      </c>
      <c r="BE7" s="12" t="str">
        <f>+'Monthly Energy Data'!BQ7</f>
        <v>Alburgh Solar</v>
      </c>
      <c r="BF7" s="12" t="str">
        <f>+'Monthly Energy Data'!BR7</f>
        <v>Magee Hill Solar</v>
      </c>
      <c r="BG7" s="12" t="str">
        <f>+'Monthly Energy Data'!BS7</f>
        <v>Grand Isle Solar</v>
      </c>
      <c r="BH7" s="12" t="str">
        <f>+'Monthly Energy Data'!BT7</f>
        <v>Jericho - Gravel Pit Solar</v>
      </c>
      <c r="BI7" s="12" t="str">
        <f>+'Monthly Energy Data'!BU7</f>
        <v>Jericho - Landfill Solar</v>
      </c>
      <c r="BJ7" s="123" t="s">
        <v>295</v>
      </c>
      <c r="BK7" s="12" t="str">
        <f>+'Monthly Energy Data'!BY7</f>
        <v>Committed Resource H</v>
      </c>
      <c r="BL7" s="12" t="str">
        <f>+'Monthly Energy Data'!BZ7</f>
        <v>Next Era - Seabrook</v>
      </c>
      <c r="BM7" s="12" t="str">
        <f>+'Monthly Energy Data'!CA7</f>
        <v>NextEra 2022-2025</v>
      </c>
      <c r="BN7" s="12" t="str">
        <f>+'Monthly Energy Data'!CB7</f>
        <v>Exelon</v>
      </c>
      <c r="BO7" s="32" t="str">
        <f>+'Monthly Energy Data'!CC7</f>
        <v>BP Energy</v>
      </c>
      <c r="BP7" s="12" t="str">
        <f>+'Monthly Energy Data'!CD7</f>
        <v>VPPSA Peaker</v>
      </c>
      <c r="BQ7" s="12" t="str">
        <f>+'Monthly Energy Data'!CE7</f>
        <v>EDF Trading</v>
      </c>
      <c r="BR7" s="12" t="str">
        <f>+'Monthly Energy Data'!CF7</f>
        <v>Newport Hydro</v>
      </c>
      <c r="BS7" s="12" t="str">
        <f>+'Monthly Energy Data'!CG7</f>
        <v>Howard Wind</v>
      </c>
      <c r="BT7" s="12" t="str">
        <f>+'Monthly Energy Data'!CH7</f>
        <v>Brookfield Hydro</v>
      </c>
      <c r="BU7" s="12" t="str">
        <f>+'Monthly Energy Data'!CI7</f>
        <v>Committed Resource    L</v>
      </c>
      <c r="BV7" s="24" t="str">
        <f>+'Monthly Energy Data'!CJ7</f>
        <v>Sheffield 5% Discount</v>
      </c>
      <c r="BW7" s="12" t="str">
        <f>+'Monthly Energy Data'!CK7</f>
        <v>Total Existing Resources</v>
      </c>
      <c r="BX7" s="12" t="str">
        <f>+'Monthly Energy Data'!CL7</f>
        <v>High Forecast - High DSM    Net Load Forecast Shortfall (Excess)</v>
      </c>
      <c r="BY7" s="12" t="str">
        <f>+'Monthly Energy Data'!CM7</f>
        <v>High Forecast - Base DSM     Net Load Forecast Shortfall (Excess)</v>
      </c>
      <c r="BZ7" s="12" t="str">
        <f>+'Monthly Energy Data'!CN7</f>
        <v>High Forecast - Low DSM     Net Load Forecast Shortfall (Excess)</v>
      </c>
      <c r="CA7" s="12" t="str">
        <f>+'Monthly Energy Data'!CO7</f>
        <v>Base Forecast - High DSM    Net Load Forecast Shortfall (Excess)</v>
      </c>
      <c r="CB7" s="28" t="str">
        <f>+'Monthly Energy Data'!CP7</f>
        <v xml:space="preserve">Base Forecast - Base DSM    Net Load Forecast Shortfall (Excess) </v>
      </c>
      <c r="CC7" s="12" t="str">
        <f>+'Monthly Energy Data'!CQ7</f>
        <v>Base Forecast - Low DSM     Net Load Forecast Shortfall (Excess)</v>
      </c>
      <c r="CD7" s="12" t="str">
        <f>+'Monthly Energy Data'!CR7</f>
        <v>Low Forecast - High DSM    Net Load Forecast Shortfall (Excess)</v>
      </c>
      <c r="CE7" s="12" t="str">
        <f>+'Monthly Energy Data'!CS7</f>
        <v>Low Forecast - Base DSM    Net Load Forecast Shortfall (Excess)</v>
      </c>
      <c r="CF7" s="12" t="str">
        <f>+'Monthly Energy Data'!CT7</f>
        <v>Low Forecast - Low DSM    Net Load Forecast Shortfall (Excess)</v>
      </c>
      <c r="CG7" s="79"/>
      <c r="CH7" s="12" t="str">
        <f>+'Monthly Energy Data'!DD7</f>
        <v>Proposed New Tier 2 Renewable A</v>
      </c>
      <c r="CI7" s="12" t="str">
        <f>+'Monthly Energy Data'!DE7</f>
        <v>Proposed New Tier 2 Renewable B</v>
      </c>
      <c r="CJ7" s="12" t="str">
        <f>+'Monthly Energy Data'!DF7</f>
        <v>Proposed New Tier 2 Renewable C</v>
      </c>
      <c r="CK7" s="12" t="str">
        <f>+'Monthly Energy Data'!DG7</f>
        <v>Proposed New Tier 2 Renewable D</v>
      </c>
      <c r="CL7" s="12" t="str">
        <f>+'Monthly Energy Data'!DH7</f>
        <v>Proposed New Tier 2 Renewable E</v>
      </c>
      <c r="CM7" s="12" t="str">
        <f>+'Monthly Energy Data'!DI7</f>
        <v>Proposed New Tier 2 Renewable F</v>
      </c>
      <c r="CN7" s="12" t="str">
        <f>+'Monthly Energy Data'!DJ7</f>
        <v>Proposed New Tier 2 Renewable G</v>
      </c>
      <c r="CO7" s="12" t="str">
        <f>+'Monthly Energy Data'!DK7</f>
        <v>Proposed New Tier 2 Renewable H</v>
      </c>
      <c r="CP7" s="12" t="str">
        <f>+'Monthly Energy Data'!DL7</f>
        <v xml:space="preserve">Proposed New Tier 2 Renewable  I </v>
      </c>
      <c r="CQ7" s="12" t="str">
        <f>+'Monthly Energy Data'!DM7</f>
        <v>Total Pending Resources</v>
      </c>
      <c r="CR7" s="12" t="str">
        <f>+'Monthly Energy Data'!DN7</f>
        <v>Total Resources Existing + Pending</v>
      </c>
      <c r="CS7" s="12" t="str">
        <f>+'Monthly Energy Data'!DO7</f>
        <v>High Forecast - High DSM    Net Load Forecast Shortfall (Excess)</v>
      </c>
      <c r="CT7" s="12" t="str">
        <f>+'Monthly Energy Data'!DP7</f>
        <v>High Forecast - Base DSM     Net Load Forecast Shortfall (Excess)</v>
      </c>
      <c r="CU7" s="12" t="str">
        <f>+'Monthly Energy Data'!DQ7</f>
        <v>High Forecast - Low DSM     Net Load Forecast Shortfall (Excess)</v>
      </c>
      <c r="CV7" s="12" t="str">
        <f>+'Monthly Energy Data'!DR7</f>
        <v>Base Forecast - High DSM    Net Load Forecast Shortfall (Excess)</v>
      </c>
      <c r="CW7" s="12" t="str">
        <f>+'Monthly Energy Data'!DS7</f>
        <v xml:space="preserve">Base Forecast - Base DSM    Net Load Forecast Shortfall (Excess) </v>
      </c>
      <c r="CX7" s="12" t="str">
        <f>+'Monthly Energy Data'!DT7</f>
        <v>Base Forecast - Low DSM     Net Load Forecast Shortfall (Excess)</v>
      </c>
      <c r="CY7" s="12" t="str">
        <f>+'Monthly Energy Data'!DU7</f>
        <v>Low Forecast - High DSM    Net Load Forecast Shortfall (Excess)</v>
      </c>
      <c r="CZ7" s="12" t="str">
        <f>+'Monthly Energy Data'!DV7</f>
        <v>Low Forecast - Base DSM    Net Load Forecast Shortfall (Excess)</v>
      </c>
      <c r="DA7" s="12" t="str">
        <f>+'Monthly Energy Data'!DW7</f>
        <v>Low Forecast - Low DSM    Net Load Forecast Shortfall (Excess)</v>
      </c>
      <c r="DB7" s="12" t="str">
        <f>+'Monthly Energy Data'!DX7</f>
        <v>High Forecast - High DSM    Net Load Forecast % Shortfall (Excess)</v>
      </c>
      <c r="DC7" s="12" t="str">
        <f>+'Monthly Energy Data'!DY7</f>
        <v>High Forecast - Base DSM     Net Load Forecast % Shortfall (Excess)</v>
      </c>
      <c r="DD7" s="12" t="str">
        <f>+'Monthly Energy Data'!DZ7</f>
        <v>High Forecast - Low DSM     Net Load Forecast % Shortfall (Excess)</v>
      </c>
      <c r="DE7" s="12" t="str">
        <f>+'Monthly Energy Data'!EA7</f>
        <v>Base Forecast - High DSM    Net Load Forecast % Shortfall (Excess)</v>
      </c>
      <c r="DF7" s="12" t="str">
        <f>+'Monthly Energy Data'!EB7</f>
        <v xml:space="preserve">Base Forecast - Base DSM    Net Load Forecast % Shortfall (Excess) </v>
      </c>
      <c r="DG7" s="12" t="str">
        <f>+'Monthly Energy Data'!EC7</f>
        <v>Base Forecast - Low DSM     Net Load Forecast % Shortfall (Excess)</v>
      </c>
      <c r="DH7" s="12" t="str">
        <f>+'Monthly Energy Data'!ED7</f>
        <v>Low Forecast - High DSM    Net Load Forecast % Shortfall (Excess)</v>
      </c>
      <c r="DI7" s="12" t="str">
        <f>+'Monthly Energy Data'!EE7</f>
        <v>Low Forecast - Base DSM    Net Load Forecast % Shortfall (Excess)</v>
      </c>
      <c r="DJ7" s="12" t="str">
        <f>+'Monthly Energy Data'!EF7</f>
        <v>Low Forecast - Low DSM    Net Load Forecast % Shortfall (Excess)</v>
      </c>
      <c r="DK7" s="263" t="s">
        <v>497</v>
      </c>
      <c r="DL7" s="263" t="s">
        <v>471</v>
      </c>
      <c r="DM7" s="263" t="s">
        <v>496</v>
      </c>
      <c r="DN7" s="263" t="s">
        <v>416</v>
      </c>
      <c r="DO7" s="59" t="str">
        <f>+U7</f>
        <v>VELCO Forecast</v>
      </c>
      <c r="DP7" s="59" t="str">
        <f>+V7</f>
        <v>Climate Action Plan Forecast</v>
      </c>
      <c r="DQ7" s="59" t="str">
        <f>+W7</f>
        <v>VEC Forecast</v>
      </c>
      <c r="DR7" s="59"/>
      <c r="DS7" s="59" t="s">
        <v>470</v>
      </c>
      <c r="DT7" s="263" t="s">
        <v>410</v>
      </c>
      <c r="DU7" s="59" t="str">
        <f>+U7</f>
        <v>VELCO Forecast</v>
      </c>
      <c r="DV7" s="59" t="str">
        <f>+V7</f>
        <v>Climate Action Plan Forecast</v>
      </c>
      <c r="DW7" s="59" t="str">
        <f>+W7</f>
        <v>VEC Forecast</v>
      </c>
      <c r="DX7" s="263" t="s">
        <v>181</v>
      </c>
      <c r="DZ7" s="263" t="str">
        <f>+V7</f>
        <v>Climate Action Plan Forecast</v>
      </c>
      <c r="EA7" s="263" t="str">
        <f>+W7</f>
        <v>VEC Forecast</v>
      </c>
      <c r="EB7" s="263" t="str">
        <f>+U7</f>
        <v>VELCO Forecast</v>
      </c>
      <c r="EC7" s="265"/>
      <c r="ED7" s="263" t="s">
        <v>420</v>
      </c>
      <c r="EE7" s="263" t="s">
        <v>421</v>
      </c>
      <c r="EF7" s="59" t="s">
        <v>417</v>
      </c>
      <c r="EG7" s="59" t="s">
        <v>418</v>
      </c>
      <c r="EH7" s="59" t="s">
        <v>419</v>
      </c>
    </row>
    <row r="8" spans="1:149" hidden="1" x14ac:dyDescent="0.2">
      <c r="A8" s="13">
        <f>+'Monthly Energy Data'!D8</f>
        <v>2008</v>
      </c>
      <c r="B8" s="14">
        <f>+SUM('Monthly Energy Data'!G8:G19)</f>
        <v>0</v>
      </c>
      <c r="C8" s="14">
        <f>+SUM('Monthly Energy Data'!H8:H19)</f>
        <v>0</v>
      </c>
      <c r="D8" s="14">
        <f>+SUM('Monthly Energy Data'!I8:I19)</f>
        <v>0</v>
      </c>
      <c r="E8" s="14">
        <f>+SUM('Monthly Energy Data'!J8:J19)</f>
        <v>0</v>
      </c>
      <c r="F8" s="14">
        <f>+SUM('Monthly Energy Data'!K8:K19)</f>
        <v>0</v>
      </c>
      <c r="G8" s="14">
        <f>+SUM('Monthly Energy Data'!L8:L19)</f>
        <v>0</v>
      </c>
      <c r="H8" s="14"/>
      <c r="I8" s="14" t="e">
        <f>+SUM('Monthly Energy Data'!P8:P19)</f>
        <v>#N/A</v>
      </c>
      <c r="J8" s="14" t="e">
        <f>+SUM('Monthly Energy Data'!Q8:Q19)</f>
        <v>#N/A</v>
      </c>
      <c r="K8" s="14" t="e">
        <f>+SUM('Monthly Energy Data'!R8:R19)</f>
        <v>#N/A</v>
      </c>
      <c r="L8" s="14" t="e">
        <f>+SUM('Monthly Energy Data'!S8:S19)</f>
        <v>#N/A</v>
      </c>
      <c r="M8" s="14" t="e">
        <f>+SUM('Monthly Energy Data'!T8:T19)</f>
        <v>#N/A</v>
      </c>
      <c r="N8" s="14" t="e">
        <f>+SUM('Monthly Energy Data'!U8:U19)</f>
        <v>#N/A</v>
      </c>
      <c r="O8" s="14" t="e">
        <f>+SUM('Monthly Energy Data'!V8:V19)</f>
        <v>#N/A</v>
      </c>
      <c r="P8" s="14" t="e">
        <f>+SUM('Monthly Energy Data'!W8:W19)</f>
        <v>#N/A</v>
      </c>
      <c r="Q8" s="14" t="e">
        <f>+SUM('Monthly Energy Data'!X8:X19)</f>
        <v>#N/A</v>
      </c>
      <c r="R8" s="14">
        <f>+SUM('Monthly Energy Data'!Y8:Y19)</f>
        <v>0</v>
      </c>
      <c r="S8" s="14">
        <f>+SUM('Monthly Energy Data'!Z8:Z19)</f>
        <v>0</v>
      </c>
      <c r="T8" s="14">
        <f>+SUM('Monthly Energy Data'!AA8:AA19)</f>
        <v>0</v>
      </c>
      <c r="U8" s="14"/>
      <c r="V8" s="14"/>
      <c r="W8" s="14"/>
      <c r="X8" s="14"/>
      <c r="Y8" s="80"/>
      <c r="Z8" s="14">
        <f>+SUM('Monthly Energy Data'!AL8:AL19)</f>
        <v>0</v>
      </c>
      <c r="AA8" s="14">
        <f>+SUM('Monthly Energy Data'!AM8:AM19)</f>
        <v>0</v>
      </c>
      <c r="AB8" s="14">
        <f>+SUM('Monthly Energy Data'!AN8:AN19)</f>
        <v>0</v>
      </c>
      <c r="AC8" s="14">
        <f>+SUM('Monthly Energy Data'!AO8:AO19)</f>
        <v>0</v>
      </c>
      <c r="AD8" s="14">
        <f>+SUM('Monthly Energy Data'!AP8:AP19)</f>
        <v>0</v>
      </c>
      <c r="AE8" s="14">
        <f>+SUM('Monthly Energy Data'!AQ8:AQ19)</f>
        <v>0</v>
      </c>
      <c r="AF8" s="14">
        <f>+SUM('Monthly Energy Data'!AR8:AR19)</f>
        <v>0</v>
      </c>
      <c r="AG8" s="14">
        <f>+SUM('Monthly Energy Data'!AS8:AS19)</f>
        <v>0</v>
      </c>
      <c r="AH8" s="14">
        <f>+SUM('Monthly Energy Data'!AT8:AT19)</f>
        <v>0</v>
      </c>
      <c r="AI8" s="14">
        <f>+SUM('Monthly Energy Data'!AU8:AU19)</f>
        <v>28830.746223999999</v>
      </c>
      <c r="AJ8" s="14">
        <f>+SUM('Monthly Energy Data'!AV8:AV19)</f>
        <v>809.49699999999996</v>
      </c>
      <c r="AK8" s="14">
        <f>+SUM('Monthly Energy Data'!AW8:AW19)</f>
        <v>83.621818181818185</v>
      </c>
      <c r="AL8" s="14">
        <f>+SUM('Monthly Energy Data'!AX8:AX19)</f>
        <v>35.526327272727272</v>
      </c>
      <c r="AM8" s="14">
        <f>+SUM('Monthly Energy Data'!AY8:AY19)</f>
        <v>0</v>
      </c>
      <c r="AN8" s="14">
        <f>+SUM('Monthly Energy Data'!AZ8:AZ19)</f>
        <v>27184.1106779129</v>
      </c>
      <c r="AO8" s="14">
        <f>+SUM('Monthly Energy Data'!BA8:BA19)</f>
        <v>0</v>
      </c>
      <c r="AP8" s="14">
        <f>+SUM('Monthly Energy Data'!BB8:BB19)</f>
        <v>0</v>
      </c>
      <c r="AQ8" s="14">
        <f>+SUM('Monthly Energy Data'!BC8:BC19)</f>
        <v>0</v>
      </c>
      <c r="AR8" s="14">
        <f>+SUM('Monthly Energy Data'!BD8:BD19)</f>
        <v>0</v>
      </c>
      <c r="AS8" s="14">
        <f>+SUM('Monthly Energy Data'!BE8:BE19)</f>
        <v>0</v>
      </c>
      <c r="AT8" s="14">
        <f>+SUM('Monthly Energy Data'!BF8:BF19)</f>
        <v>0</v>
      </c>
      <c r="AU8" s="14">
        <f>+SUM('Monthly Energy Data'!BG8:BG19)</f>
        <v>0</v>
      </c>
      <c r="AV8" s="14">
        <f>+SUM('Monthly Energy Data'!BH8:BH19)</f>
        <v>0</v>
      </c>
      <c r="AW8" s="14">
        <f>+SUM('Monthly Energy Data'!BI8:BI19)</f>
        <v>0</v>
      </c>
      <c r="AX8" s="14">
        <f>+SUM('Monthly Energy Data'!BJ8:BJ19)</f>
        <v>0</v>
      </c>
      <c r="AY8" s="14">
        <f>+SUM('Monthly Energy Data'!BK8:BK19)</f>
        <v>0</v>
      </c>
      <c r="AZ8" s="14">
        <f>+SUM('Monthly Energy Data'!BL8:BL19)</f>
        <v>0</v>
      </c>
      <c r="BA8" s="14">
        <f>+SUM('Monthly Energy Data'!BM8:BM19)</f>
        <v>0</v>
      </c>
      <c r="BB8" s="14">
        <f>+SUM('Monthly Energy Data'!BN8:BN19)</f>
        <v>0</v>
      </c>
      <c r="BC8" s="14">
        <f>+SUM('Monthly Energy Data'!BO8:BO19)</f>
        <v>0</v>
      </c>
      <c r="BD8" s="14">
        <f>+SUM('Monthly Energy Data'!BP8:BP19)</f>
        <v>0</v>
      </c>
      <c r="BE8" s="14">
        <f>+SUM('Monthly Energy Data'!BQ8:BQ19)</f>
        <v>0</v>
      </c>
      <c r="BF8" s="14">
        <f>+SUM('Monthly Energy Data'!BR8:BR19)</f>
        <v>280.18124999999998</v>
      </c>
      <c r="BG8" s="14">
        <f>+SUM('Monthly Energy Data'!BS8:BS19)</f>
        <v>76380</v>
      </c>
      <c r="BH8" s="14">
        <f>+SUM('Monthly Energy Data'!BT8:BT19)</f>
        <v>40626</v>
      </c>
      <c r="BI8" s="14">
        <f>+SUM('Monthly Energy Data'!BU8:BU19)</f>
        <v>43920</v>
      </c>
      <c r="BJ8" s="14">
        <f>+SUM('Monthly Energy Data'!BX8:BX19)</f>
        <v>0</v>
      </c>
      <c r="BK8" s="14">
        <f>+SUM('Monthly Energy Data'!BY8:BY19)</f>
        <v>0</v>
      </c>
      <c r="BL8" s="14">
        <f>+SUM('Monthly Energy Data'!BZ8:BZ19)</f>
        <v>0</v>
      </c>
      <c r="BM8" s="14">
        <f>+SUM('Monthly Energy Data'!CA8:CA19)</f>
        <v>0</v>
      </c>
      <c r="BN8" s="14">
        <f>+SUM('Monthly Energy Data'!CB8:CB19)</f>
        <v>0</v>
      </c>
      <c r="BO8" s="33">
        <f>+SUM('Monthly Energy Data'!CC8:CC19)</f>
        <v>0</v>
      </c>
      <c r="BP8" s="14">
        <f>+SUM('Monthly Energy Data'!CD8:CD19)</f>
        <v>0</v>
      </c>
      <c r="BQ8" s="14">
        <f>+SUM('Monthly Energy Data'!CE8:CE19)</f>
        <v>0</v>
      </c>
      <c r="BR8" s="14">
        <f>+SUM('Monthly Energy Data'!CF8:CF19)</f>
        <v>0</v>
      </c>
      <c r="BS8" s="14">
        <f>+SUM('Monthly Energy Data'!CG8:CG19)</f>
        <v>0</v>
      </c>
      <c r="BT8" s="14">
        <f>+SUM('Monthly Energy Data'!CH8:CH19)</f>
        <v>0</v>
      </c>
      <c r="BU8" s="14">
        <f>+SUM('Monthly Energy Data'!CI8:CI19)</f>
        <v>0</v>
      </c>
      <c r="BV8" s="25">
        <f>+SUM('Monthly Energy Data'!CJ8:CJ19)</f>
        <v>0</v>
      </c>
      <c r="BW8" s="33" t="e">
        <f>+SUM('Monthly Energy Data'!CK8:CK19)</f>
        <v>#N/A</v>
      </c>
      <c r="BX8" s="33" t="e">
        <f>+SUM('Monthly Energy Data'!CL8:CL19)</f>
        <v>#N/A</v>
      </c>
      <c r="BY8" s="33" t="e">
        <f>+SUM('Monthly Energy Data'!CM8:CM19)</f>
        <v>#N/A</v>
      </c>
      <c r="BZ8" s="33" t="e">
        <f>+SUM('Monthly Energy Data'!CN8:CN19)</f>
        <v>#N/A</v>
      </c>
      <c r="CA8" s="33" t="e">
        <f>+SUM('Monthly Energy Data'!CO8:CO19)</f>
        <v>#N/A</v>
      </c>
      <c r="CB8" s="35" t="e">
        <f>+SUM('Monthly Energy Data'!CP8:CP19)</f>
        <v>#N/A</v>
      </c>
      <c r="CC8" s="33" t="e">
        <f>+SUM('Monthly Energy Data'!CQ8:CQ19)</f>
        <v>#N/A</v>
      </c>
      <c r="CD8" s="33" t="e">
        <f>+SUM('Monthly Energy Data'!CR8:CR19)</f>
        <v>#N/A</v>
      </c>
      <c r="CE8" s="33" t="e">
        <f>+SUM('Monthly Energy Data'!CS8:CS19)</f>
        <v>#N/A</v>
      </c>
      <c r="CF8" s="33" t="e">
        <f>+SUM('Monthly Energy Data'!CT8:CT19)</f>
        <v>#N/A</v>
      </c>
      <c r="CG8" s="80"/>
      <c r="CH8" s="14">
        <f>+SUM('Monthly Energy Data'!DD8:DD19)</f>
        <v>0</v>
      </c>
      <c r="CI8" s="14">
        <f>+SUM('Monthly Energy Data'!DE8:DE19)</f>
        <v>0</v>
      </c>
      <c r="CJ8" s="14">
        <f>+SUM('Monthly Energy Data'!DF8:DF19)</f>
        <v>0</v>
      </c>
      <c r="CK8" s="14">
        <f>+SUM('Monthly Energy Data'!DG8:DG19)</f>
        <v>0</v>
      </c>
      <c r="CL8" s="14">
        <f>+SUM('Monthly Energy Data'!DH8:DH19)</f>
        <v>0</v>
      </c>
      <c r="CM8" s="14">
        <f>+SUM('Monthly Energy Data'!DI8:DI19)</f>
        <v>0</v>
      </c>
      <c r="CN8" s="14">
        <f>+SUM('Monthly Energy Data'!DJ8:DJ19)</f>
        <v>0</v>
      </c>
      <c r="CO8" s="14">
        <f>+SUM('Monthly Energy Data'!DK8:DK19)</f>
        <v>0</v>
      </c>
      <c r="CP8" s="14">
        <f>+SUM('Monthly Energy Data'!DL8:DL19)</f>
        <v>0</v>
      </c>
      <c r="CQ8" s="14" t="e">
        <f>+SUM('Monthly Energy Data'!DM8:DM19)</f>
        <v>#N/A</v>
      </c>
      <c r="CR8" s="14" t="e">
        <f>+SUM('Monthly Energy Data'!DN8:DN19)</f>
        <v>#N/A</v>
      </c>
      <c r="CS8" s="14" t="e">
        <f>+SUM('Monthly Energy Data'!DO8:DO19)</f>
        <v>#N/A</v>
      </c>
      <c r="CT8" s="14" t="e">
        <f>+SUM('Monthly Energy Data'!DP8:DP19)</f>
        <v>#N/A</v>
      </c>
      <c r="CU8" s="14" t="e">
        <f>+SUM('Monthly Energy Data'!DQ8:DQ19)</f>
        <v>#N/A</v>
      </c>
      <c r="CV8" s="14" t="e">
        <f>+SUM('Monthly Energy Data'!DR8:DR19)</f>
        <v>#N/A</v>
      </c>
      <c r="CW8" s="14" t="e">
        <f>+SUM('Monthly Energy Data'!DS8:DS19)</f>
        <v>#N/A</v>
      </c>
      <c r="CX8" s="14" t="e">
        <f>+SUM('Monthly Energy Data'!DT8:DT19)</f>
        <v>#N/A</v>
      </c>
      <c r="CY8" s="14" t="e">
        <f>+SUM('Monthly Energy Data'!DU8:DU19)</f>
        <v>#N/A</v>
      </c>
      <c r="CZ8" s="14" t="e">
        <f>+SUM('Monthly Energy Data'!DV8:DV19)</f>
        <v>#N/A</v>
      </c>
      <c r="DA8" s="14" t="e">
        <f>+SUM('Monthly Energy Data'!DW8:DW19)</f>
        <v>#N/A</v>
      </c>
      <c r="DB8" s="8"/>
      <c r="DC8" s="8"/>
      <c r="DD8" s="8"/>
      <c r="DE8" s="8"/>
      <c r="DF8" s="8"/>
      <c r="DG8" s="8"/>
      <c r="DH8" s="8"/>
      <c r="DI8" s="8"/>
      <c r="DJ8" s="8"/>
      <c r="DK8" s="8"/>
    </row>
    <row r="9" spans="1:149" hidden="1" x14ac:dyDescent="0.2">
      <c r="A9" s="15" t="e">
        <f>#N/A</f>
        <v>#N/A</v>
      </c>
      <c r="B9" s="16">
        <f>+SUM('Monthly Energy Data'!G20:G31)</f>
        <v>0</v>
      </c>
      <c r="C9" s="16">
        <f>+SUM('Monthly Energy Data'!H20:H31)</f>
        <v>0</v>
      </c>
      <c r="D9" s="16">
        <f>+SUM('Monthly Energy Data'!I20:I31)</f>
        <v>0</v>
      </c>
      <c r="E9" s="16">
        <f>+SUM('Monthly Energy Data'!J20:J31)</f>
        <v>0</v>
      </c>
      <c r="F9" s="16">
        <f>+SUM('Monthly Energy Data'!K20:K31)</f>
        <v>0</v>
      </c>
      <c r="G9" s="16">
        <f>+SUM('Monthly Energy Data'!L20:L31)</f>
        <v>0</v>
      </c>
      <c r="H9" s="16"/>
      <c r="I9" s="16" t="e">
        <f>+SUM('Monthly Energy Data'!P20:P31)</f>
        <v>#N/A</v>
      </c>
      <c r="J9" s="16" t="e">
        <f>+SUM('Monthly Energy Data'!Q20:Q31)</f>
        <v>#N/A</v>
      </c>
      <c r="K9" s="16" t="e">
        <f>+SUM('Monthly Energy Data'!R20:R31)</f>
        <v>#N/A</v>
      </c>
      <c r="L9" s="16" t="e">
        <f>+SUM('Monthly Energy Data'!S20:S31)</f>
        <v>#N/A</v>
      </c>
      <c r="M9" s="16" t="e">
        <f>+SUM('Monthly Energy Data'!T20:T31)</f>
        <v>#N/A</v>
      </c>
      <c r="N9" s="16" t="e">
        <f>+SUM('Monthly Energy Data'!U20:U31)</f>
        <v>#N/A</v>
      </c>
      <c r="O9" s="16" t="e">
        <f>+SUM('Monthly Energy Data'!V20:V31)</f>
        <v>#N/A</v>
      </c>
      <c r="P9" s="16" t="e">
        <f>+SUM('Monthly Energy Data'!W20:W31)</f>
        <v>#N/A</v>
      </c>
      <c r="Q9" s="16" t="e">
        <f>+SUM('Monthly Energy Data'!X20:X31)</f>
        <v>#N/A</v>
      </c>
      <c r="R9" s="16">
        <f>+SUM('Monthly Energy Data'!Y20:Y31)</f>
        <v>0</v>
      </c>
      <c r="S9" s="16">
        <f>+SUM('Monthly Energy Data'!Z20:Z31)</f>
        <v>0</v>
      </c>
      <c r="T9" s="16">
        <f>+SUM('Monthly Energy Data'!AA20:AA31)</f>
        <v>0</v>
      </c>
      <c r="U9" s="16"/>
      <c r="V9" s="16"/>
      <c r="W9" s="16"/>
      <c r="X9" s="16"/>
      <c r="Y9" s="81"/>
      <c r="Z9" s="16">
        <f>+SUM('Monthly Energy Data'!AL20:AL31)</f>
        <v>0</v>
      </c>
      <c r="AA9" s="16">
        <f>+SUM('Monthly Energy Data'!AM20:AM31)</f>
        <v>0</v>
      </c>
      <c r="AB9" s="16">
        <f>+SUM('Monthly Energy Data'!AN20:AN31)</f>
        <v>0</v>
      </c>
      <c r="AC9" s="16">
        <f>+SUM('Monthly Energy Data'!AO20:AO31)</f>
        <v>0</v>
      </c>
      <c r="AD9" s="16">
        <f>+SUM('Monthly Energy Data'!AP20:AP31)</f>
        <v>0</v>
      </c>
      <c r="AE9" s="16">
        <f>+SUM('Monthly Energy Data'!AQ20:AQ31)</f>
        <v>0</v>
      </c>
      <c r="AF9" s="16">
        <f>+SUM('Monthly Energy Data'!AR20:AR31)</f>
        <v>0</v>
      </c>
      <c r="AG9" s="16">
        <f>+SUM('Monthly Energy Data'!AS20:AS31)</f>
        <v>0</v>
      </c>
      <c r="AH9" s="16">
        <f>+SUM('Monthly Energy Data'!AT20:AT31)</f>
        <v>0</v>
      </c>
      <c r="AI9" s="16">
        <f>+SUM('Monthly Energy Data'!AU20:AU31)</f>
        <v>28830.746223999999</v>
      </c>
      <c r="AJ9" s="16">
        <f>+SUM('Monthly Energy Data'!AV20:AV31)</f>
        <v>809.49699999999996</v>
      </c>
      <c r="AK9" s="16">
        <f>+SUM('Monthly Energy Data'!AW20:AW31)</f>
        <v>83.621818181818185</v>
      </c>
      <c r="AL9" s="16">
        <f>+SUM('Monthly Energy Data'!AX20:AX31)</f>
        <v>35.526327272727272</v>
      </c>
      <c r="AM9" s="16">
        <f>+SUM('Monthly Energy Data'!AY20:AY31)</f>
        <v>0</v>
      </c>
      <c r="AN9" s="16">
        <f>+SUM('Monthly Energy Data'!AZ20:AZ31)</f>
        <v>25796.440857442525</v>
      </c>
      <c r="AO9" s="16">
        <f>+SUM('Monthly Energy Data'!BA20:BA31)</f>
        <v>0</v>
      </c>
      <c r="AP9" s="16">
        <f>+SUM('Monthly Energy Data'!BB20:BB31)</f>
        <v>0</v>
      </c>
      <c r="AQ9" s="16">
        <f>+SUM('Monthly Energy Data'!BC20:BC31)</f>
        <v>0</v>
      </c>
      <c r="AR9" s="16">
        <f>+SUM('Monthly Energy Data'!BD20:BD31)</f>
        <v>0</v>
      </c>
      <c r="AS9" s="16">
        <f>+SUM('Monthly Energy Data'!BE20:BE31)</f>
        <v>0</v>
      </c>
      <c r="AT9" s="16">
        <f>+SUM('Monthly Energy Data'!BF20:BF31)</f>
        <v>0</v>
      </c>
      <c r="AU9" s="16">
        <f>+SUM('Monthly Energy Data'!BG20:BG31)</f>
        <v>0</v>
      </c>
      <c r="AV9" s="16">
        <f>+SUM('Monthly Energy Data'!BH20:BH31)</f>
        <v>0</v>
      </c>
      <c r="AW9" s="16">
        <f>+SUM('Monthly Energy Data'!BI20:BI31)</f>
        <v>0</v>
      </c>
      <c r="AX9" s="16">
        <f>+SUM('Monthly Energy Data'!BJ20:BJ31)</f>
        <v>0</v>
      </c>
      <c r="AY9" s="16">
        <f>+SUM('Monthly Energy Data'!BK20:BK31)</f>
        <v>0</v>
      </c>
      <c r="AZ9" s="16">
        <f>+SUM('Monthly Energy Data'!BL20:BL31)</f>
        <v>0</v>
      </c>
      <c r="BA9" s="16">
        <f>+SUM('Monthly Energy Data'!BM20:BM31)</f>
        <v>0</v>
      </c>
      <c r="BB9" s="16">
        <f>+SUM('Monthly Energy Data'!BN20:BN31)</f>
        <v>0</v>
      </c>
      <c r="BC9" s="16">
        <f>+SUM('Monthly Energy Data'!BO20:BO31)</f>
        <v>0</v>
      </c>
      <c r="BD9" s="16">
        <f>+SUM('Monthly Energy Data'!BP20:BP31)</f>
        <v>0</v>
      </c>
      <c r="BE9" s="16">
        <f>+SUM('Monthly Energy Data'!BQ20:BQ31)</f>
        <v>0</v>
      </c>
      <c r="BF9" s="16">
        <f>+SUM('Monthly Energy Data'!BR20:BR31)</f>
        <v>1773.9000000000003</v>
      </c>
      <c r="BG9" s="16">
        <f>+SUM('Monthly Energy Data'!BS20:BS31)</f>
        <v>83220</v>
      </c>
      <c r="BH9" s="16">
        <f>+SUM('Monthly Energy Data'!BT20:BT31)</f>
        <v>40515</v>
      </c>
      <c r="BI9" s="16">
        <f>+SUM('Monthly Energy Data'!BU20:BU31)</f>
        <v>43800</v>
      </c>
      <c r="BJ9" s="16">
        <f>+SUM('Monthly Energy Data'!BX20:BX31)</f>
        <v>0</v>
      </c>
      <c r="BK9" s="16">
        <f>+SUM('Monthly Energy Data'!BY20:BY31)</f>
        <v>0</v>
      </c>
      <c r="BL9" s="16">
        <f>+SUM('Monthly Energy Data'!BZ20:BZ31)</f>
        <v>0</v>
      </c>
      <c r="BM9" s="16">
        <f>+SUM('Monthly Energy Data'!CA20:CA31)</f>
        <v>0</v>
      </c>
      <c r="BN9" s="16">
        <f>+SUM('Monthly Energy Data'!CB20:CB31)</f>
        <v>0</v>
      </c>
      <c r="BO9" s="34">
        <f>+SUM('Monthly Energy Data'!CC20:CC31)</f>
        <v>0</v>
      </c>
      <c r="BP9" s="16">
        <f>+SUM('Monthly Energy Data'!CD20:CD31)</f>
        <v>0</v>
      </c>
      <c r="BQ9" s="16">
        <f>+SUM('Monthly Energy Data'!CE20:CE31)</f>
        <v>0</v>
      </c>
      <c r="BR9" s="16">
        <f>+SUM('Monthly Energy Data'!CF20:CF31)</f>
        <v>0</v>
      </c>
      <c r="BS9" s="16">
        <f>+SUM('Monthly Energy Data'!CG20:CG31)</f>
        <v>0</v>
      </c>
      <c r="BT9" s="16">
        <f>+SUM('Monthly Energy Data'!CH20:CH31)</f>
        <v>0</v>
      </c>
      <c r="BU9" s="16">
        <f>+SUM('Monthly Energy Data'!CI20:CI31)</f>
        <v>0</v>
      </c>
      <c r="BV9" s="26">
        <f>+SUM('Monthly Energy Data'!CJ20:CJ31)</f>
        <v>0</v>
      </c>
      <c r="BW9" s="34" t="e">
        <f>+SUM('Monthly Energy Data'!CK20:CK31)</f>
        <v>#N/A</v>
      </c>
      <c r="BX9" s="34" t="e">
        <f>+SUM('Monthly Energy Data'!CL20:CL31)</f>
        <v>#N/A</v>
      </c>
      <c r="BY9" s="34" t="e">
        <f>+SUM('Monthly Energy Data'!CM20:CM31)</f>
        <v>#N/A</v>
      </c>
      <c r="BZ9" s="34" t="e">
        <f>+SUM('Monthly Energy Data'!CN20:CN31)</f>
        <v>#N/A</v>
      </c>
      <c r="CA9" s="34" t="e">
        <f>+SUM('Monthly Energy Data'!CO20:CO31)</f>
        <v>#N/A</v>
      </c>
      <c r="CB9" s="36" t="e">
        <f>+SUM('Monthly Energy Data'!CP20:CP31)</f>
        <v>#N/A</v>
      </c>
      <c r="CC9" s="34" t="e">
        <f>+SUM('Monthly Energy Data'!CQ20:CQ31)</f>
        <v>#N/A</v>
      </c>
      <c r="CD9" s="34" t="e">
        <f>+SUM('Monthly Energy Data'!CR20:CR31)</f>
        <v>#N/A</v>
      </c>
      <c r="CE9" s="34" t="e">
        <f>+SUM('Monthly Energy Data'!CS20:CS31)</f>
        <v>#N/A</v>
      </c>
      <c r="CF9" s="34" t="e">
        <f>+SUM('Monthly Energy Data'!CT20:CT31)</f>
        <v>#N/A</v>
      </c>
      <c r="CG9" s="81"/>
      <c r="CH9" s="16">
        <f>+SUM('Monthly Energy Data'!DD20:DD31)</f>
        <v>0</v>
      </c>
      <c r="CI9" s="16">
        <f>+SUM('Monthly Energy Data'!DE20:DE31)</f>
        <v>0</v>
      </c>
      <c r="CJ9" s="16">
        <f>+SUM('Monthly Energy Data'!DF20:DF31)</f>
        <v>0</v>
      </c>
      <c r="CK9" s="16">
        <f>+SUM('Monthly Energy Data'!DG20:DG31)</f>
        <v>0</v>
      </c>
      <c r="CL9" s="16">
        <f>+SUM('Monthly Energy Data'!DH20:DH31)</f>
        <v>0</v>
      </c>
      <c r="CM9" s="16">
        <f>+SUM('Monthly Energy Data'!DI20:DI31)</f>
        <v>0</v>
      </c>
      <c r="CN9" s="16">
        <f>+SUM('Monthly Energy Data'!DJ20:DJ31)</f>
        <v>0</v>
      </c>
      <c r="CO9" s="16">
        <f>+SUM('Monthly Energy Data'!DK20:DK31)</f>
        <v>0</v>
      </c>
      <c r="CP9" s="16">
        <f>+SUM('Monthly Energy Data'!DL20:DL31)</f>
        <v>0</v>
      </c>
      <c r="CQ9" s="16" t="e">
        <f>+SUM('Monthly Energy Data'!DM20:DM31)</f>
        <v>#N/A</v>
      </c>
      <c r="CR9" s="16" t="e">
        <f>+SUM('Monthly Energy Data'!DN20:DN31)</f>
        <v>#N/A</v>
      </c>
      <c r="CS9" s="16" t="e">
        <f>+SUM('Monthly Energy Data'!DO20:DO31)</f>
        <v>#N/A</v>
      </c>
      <c r="CT9" s="16" t="e">
        <f>+SUM('Monthly Energy Data'!DP20:DP31)</f>
        <v>#N/A</v>
      </c>
      <c r="CU9" s="16" t="e">
        <f>+SUM('Monthly Energy Data'!DQ20:DQ31)</f>
        <v>#N/A</v>
      </c>
      <c r="CV9" s="16" t="e">
        <f>+SUM('Monthly Energy Data'!DR20:DR31)</f>
        <v>#N/A</v>
      </c>
      <c r="CW9" s="16" t="e">
        <f>+SUM('Monthly Energy Data'!DS20:DS31)</f>
        <v>#N/A</v>
      </c>
      <c r="CX9" s="16" t="e">
        <f>+SUM('Monthly Energy Data'!DT20:DT31)</f>
        <v>#N/A</v>
      </c>
      <c r="CY9" s="16" t="e">
        <f>+SUM('Monthly Energy Data'!DU20:DU31)</f>
        <v>#N/A</v>
      </c>
      <c r="CZ9" s="16" t="e">
        <f>+SUM('Monthly Energy Data'!DV20:DV31)</f>
        <v>#N/A</v>
      </c>
      <c r="DA9" s="16" t="e">
        <f>+SUM('Monthly Energy Data'!DW20:DW31)</f>
        <v>#N/A</v>
      </c>
      <c r="DB9" s="8"/>
      <c r="DC9" s="8"/>
      <c r="DD9" s="8"/>
      <c r="DE9" s="8"/>
      <c r="DF9" s="8"/>
      <c r="DG9" s="8"/>
      <c r="DH9" s="8"/>
      <c r="DI9" s="8"/>
      <c r="DJ9" s="8"/>
      <c r="DK9" s="8"/>
    </row>
    <row r="10" spans="1:149" hidden="1" x14ac:dyDescent="0.2">
      <c r="A10" s="15" t="e">
        <f>#N/A</f>
        <v>#N/A</v>
      </c>
      <c r="B10" s="16">
        <f>+SUM('Monthly Energy Data'!G32:G43)</f>
        <v>0</v>
      </c>
      <c r="C10" s="16">
        <f>+SUM('Monthly Energy Data'!H32:H43)</f>
        <v>0</v>
      </c>
      <c r="D10" s="16">
        <f>+SUM('Monthly Energy Data'!I32:I43)</f>
        <v>0</v>
      </c>
      <c r="E10" s="16">
        <f>+SUM('Monthly Energy Data'!J32:J43)</f>
        <v>0</v>
      </c>
      <c r="F10" s="16">
        <f>+SUM('Monthly Energy Data'!K32:K43)</f>
        <v>0</v>
      </c>
      <c r="G10" s="16">
        <f>+SUM('Monthly Energy Data'!L32:L43)</f>
        <v>0</v>
      </c>
      <c r="H10" s="16"/>
      <c r="I10" s="16">
        <f>+SUM('Monthly Energy Data'!P32:P43)</f>
        <v>0</v>
      </c>
      <c r="J10" s="16">
        <f>+SUM('Monthly Energy Data'!Q32:Q43)</f>
        <v>0</v>
      </c>
      <c r="K10" s="16">
        <f>+SUM('Monthly Energy Data'!R32:R43)</f>
        <v>0</v>
      </c>
      <c r="L10" s="16">
        <f>+SUM('Monthly Energy Data'!S32:S43)</f>
        <v>0</v>
      </c>
      <c r="M10" s="16">
        <f>+SUM('Monthly Energy Data'!T32:T43)</f>
        <v>0</v>
      </c>
      <c r="N10" s="16">
        <f>+SUM('Monthly Energy Data'!U32:U43)</f>
        <v>0</v>
      </c>
      <c r="O10" s="16">
        <f>+SUM('Monthly Energy Data'!V32:V43)</f>
        <v>0</v>
      </c>
      <c r="P10" s="16">
        <f>+SUM('Monthly Energy Data'!W32:W43)</f>
        <v>0</v>
      </c>
      <c r="Q10" s="16">
        <f>+SUM('Monthly Energy Data'!X32:X43)</f>
        <v>0</v>
      </c>
      <c r="R10" s="16">
        <f>+SUM('Monthly Energy Data'!Y32:Y43)</f>
        <v>0</v>
      </c>
      <c r="S10" s="16">
        <f>+SUM('Monthly Energy Data'!Z32:Z43)</f>
        <v>0</v>
      </c>
      <c r="T10" s="16">
        <f>+SUM('Monthly Energy Data'!AA32:AA43)</f>
        <v>0</v>
      </c>
      <c r="U10" s="16"/>
      <c r="V10" s="16"/>
      <c r="W10" s="16"/>
      <c r="X10" s="16"/>
      <c r="Y10" s="81"/>
      <c r="Z10" s="16">
        <f>+SUM('Monthly Energy Data'!AL32:AL43)</f>
        <v>0</v>
      </c>
      <c r="AA10" s="16">
        <f>+SUM('Monthly Energy Data'!AM32:AM43)</f>
        <v>0</v>
      </c>
      <c r="AB10" s="16">
        <f>+SUM('Monthly Energy Data'!AN32:AN43)</f>
        <v>0</v>
      </c>
      <c r="AC10" s="16">
        <f>+SUM('Monthly Energy Data'!AO32:AO43)</f>
        <v>0</v>
      </c>
      <c r="AD10" s="16">
        <f>+SUM('Monthly Energy Data'!AP32:AP43)</f>
        <v>0</v>
      </c>
      <c r="AE10" s="16">
        <f>+SUM('Monthly Energy Data'!AQ32:AQ43)</f>
        <v>0</v>
      </c>
      <c r="AF10" s="16">
        <f>+SUM('Monthly Energy Data'!AR32:AR43)</f>
        <v>0</v>
      </c>
      <c r="AG10" s="16">
        <f>+SUM('Monthly Energy Data'!AS32:AS43)</f>
        <v>0</v>
      </c>
      <c r="AH10" s="16">
        <f>+SUM('Monthly Energy Data'!AT32:AT43)</f>
        <v>0</v>
      </c>
      <c r="AI10" s="16">
        <f>+SUM('Monthly Energy Data'!AU32:AU43)</f>
        <v>0</v>
      </c>
      <c r="AJ10" s="16">
        <f>+SUM('Monthly Energy Data'!AV32:AV43)</f>
        <v>0</v>
      </c>
      <c r="AK10" s="16">
        <f>+SUM('Monthly Energy Data'!AW32:AW43)</f>
        <v>0</v>
      </c>
      <c r="AL10" s="16">
        <f>+SUM('Monthly Energy Data'!AX32:AX43)</f>
        <v>0</v>
      </c>
      <c r="AM10" s="16">
        <f>+SUM('Monthly Energy Data'!AY32:AY43)</f>
        <v>0</v>
      </c>
      <c r="AN10" s="16">
        <f>+SUM('Monthly Energy Data'!AZ32:AZ43)</f>
        <v>0</v>
      </c>
      <c r="AO10" s="16">
        <f>+SUM('Monthly Energy Data'!BA32:BA43)</f>
        <v>0</v>
      </c>
      <c r="AP10" s="16">
        <f>+SUM('Monthly Energy Data'!BB32:BB43)</f>
        <v>0</v>
      </c>
      <c r="AQ10" s="16">
        <f>+SUM('Monthly Energy Data'!BC32:BC43)</f>
        <v>0</v>
      </c>
      <c r="AR10" s="16">
        <f>+SUM('Monthly Energy Data'!BD32:BD43)</f>
        <v>0</v>
      </c>
      <c r="AS10" s="16">
        <f>+SUM('Monthly Energy Data'!BE32:BE43)</f>
        <v>0</v>
      </c>
      <c r="AT10" s="16">
        <f>+SUM('Monthly Energy Data'!BF32:BF43)</f>
        <v>0</v>
      </c>
      <c r="AU10" s="16">
        <f>+SUM('Monthly Energy Data'!BG32:BG43)</f>
        <v>0</v>
      </c>
      <c r="AV10" s="16">
        <f>+SUM('Monthly Energy Data'!BH32:BH43)</f>
        <v>0</v>
      </c>
      <c r="AW10" s="16">
        <f>+SUM('Monthly Energy Data'!BI32:BI43)</f>
        <v>0</v>
      </c>
      <c r="AX10" s="16">
        <f>+SUM('Monthly Energy Data'!BJ32:BJ43)</f>
        <v>0</v>
      </c>
      <c r="AY10" s="16">
        <f>+SUM('Monthly Energy Data'!BK32:BK43)</f>
        <v>0</v>
      </c>
      <c r="AZ10" s="16">
        <f>+SUM('Monthly Energy Data'!BL32:BL43)</f>
        <v>0</v>
      </c>
      <c r="BA10" s="16">
        <f>+SUM('Monthly Energy Data'!BM32:BM43)</f>
        <v>0</v>
      </c>
      <c r="BB10" s="16">
        <f>+SUM('Monthly Energy Data'!BN32:BN43)</f>
        <v>0</v>
      </c>
      <c r="BC10" s="16">
        <f>+SUM('Monthly Energy Data'!BO32:BO43)</f>
        <v>0</v>
      </c>
      <c r="BD10" s="16">
        <f>+SUM('Monthly Energy Data'!BP32:BP43)</f>
        <v>0</v>
      </c>
      <c r="BE10" s="16">
        <f>+SUM('Monthly Energy Data'!BQ32:BQ43)</f>
        <v>0</v>
      </c>
      <c r="BF10" s="16">
        <f>+SUM('Monthly Energy Data'!BR32:BR43)</f>
        <v>0</v>
      </c>
      <c r="BG10" s="16">
        <f>+SUM('Monthly Energy Data'!BS32:BS43)</f>
        <v>0</v>
      </c>
      <c r="BH10" s="16">
        <f>+SUM('Monthly Energy Data'!BT32:BT43)</f>
        <v>0</v>
      </c>
      <c r="BI10" s="16">
        <f>+SUM('Monthly Energy Data'!BU32:BU43)</f>
        <v>0</v>
      </c>
      <c r="BJ10" s="16">
        <f>+SUM('Monthly Energy Data'!BX32:BX43)</f>
        <v>0</v>
      </c>
      <c r="BK10" s="16">
        <f>+SUM('Monthly Energy Data'!BY32:BY43)</f>
        <v>0</v>
      </c>
      <c r="BL10" s="16">
        <f>+SUM('Monthly Energy Data'!BZ32:BZ43)</f>
        <v>0</v>
      </c>
      <c r="BM10" s="16">
        <f>+SUM('Monthly Energy Data'!CA32:CA43)</f>
        <v>0</v>
      </c>
      <c r="BN10" s="16">
        <f>+SUM('Monthly Energy Data'!CB32:CB43)</f>
        <v>0</v>
      </c>
      <c r="BO10" s="34">
        <f>+SUM('Monthly Energy Data'!CC32:CC43)</f>
        <v>0</v>
      </c>
      <c r="BP10" s="16">
        <f>+SUM('Monthly Energy Data'!CD32:CD43)</f>
        <v>0</v>
      </c>
      <c r="BQ10" s="16">
        <f>+SUM('Monthly Energy Data'!CE32:CE43)</f>
        <v>0</v>
      </c>
      <c r="BR10" s="16">
        <f>+SUM('Monthly Energy Data'!CF32:CF43)</f>
        <v>0</v>
      </c>
      <c r="BS10" s="16">
        <f>+SUM('Monthly Energy Data'!CG32:CG43)</f>
        <v>0</v>
      </c>
      <c r="BT10" s="16">
        <f>+SUM('Monthly Energy Data'!CH32:CH43)</f>
        <v>0</v>
      </c>
      <c r="BU10" s="16">
        <f>+SUM('Monthly Energy Data'!CI32:CI43)</f>
        <v>0</v>
      </c>
      <c r="BV10" s="26">
        <f>+SUM('Monthly Energy Data'!CJ32:CJ43)</f>
        <v>0</v>
      </c>
      <c r="BW10" s="34">
        <f>+SUM('Monthly Energy Data'!CK32:CK43)</f>
        <v>0</v>
      </c>
      <c r="BX10" s="34">
        <f>+SUM('Monthly Energy Data'!CL32:CL43)</f>
        <v>0</v>
      </c>
      <c r="BY10" s="34">
        <f>+SUM('Monthly Energy Data'!CM32:CM43)</f>
        <v>0</v>
      </c>
      <c r="BZ10" s="34">
        <f>+SUM('Monthly Energy Data'!CN32:CN43)</f>
        <v>0</v>
      </c>
      <c r="CA10" s="34">
        <f>+SUM('Monthly Energy Data'!CO32:CO43)</f>
        <v>0</v>
      </c>
      <c r="CB10" s="36">
        <f>+SUM('Monthly Energy Data'!CP32:CP43)</f>
        <v>0</v>
      </c>
      <c r="CC10" s="34">
        <f>+SUM('Monthly Energy Data'!CQ32:CQ43)</f>
        <v>0</v>
      </c>
      <c r="CD10" s="34">
        <f>+SUM('Monthly Energy Data'!CR32:CR43)</f>
        <v>0</v>
      </c>
      <c r="CE10" s="34">
        <f>+SUM('Monthly Energy Data'!CS32:CS43)</f>
        <v>0</v>
      </c>
      <c r="CF10" s="34">
        <f>+SUM('Monthly Energy Data'!CT32:CT43)</f>
        <v>0</v>
      </c>
      <c r="CG10" s="81"/>
      <c r="CH10" s="16">
        <f>+SUM('Monthly Energy Data'!DD32:DD43)</f>
        <v>0</v>
      </c>
      <c r="CI10" s="16">
        <f>+SUM('Monthly Energy Data'!DE32:DE43)</f>
        <v>0</v>
      </c>
      <c r="CJ10" s="16">
        <f>+SUM('Monthly Energy Data'!DF32:DF43)</f>
        <v>0</v>
      </c>
      <c r="CK10" s="16">
        <f>+SUM('Monthly Energy Data'!DG32:DG43)</f>
        <v>0</v>
      </c>
      <c r="CL10" s="16">
        <f>+SUM('Monthly Energy Data'!DH32:DH43)</f>
        <v>0</v>
      </c>
      <c r="CM10" s="16">
        <f>+SUM('Monthly Energy Data'!DI32:DI43)</f>
        <v>0</v>
      </c>
      <c r="CN10" s="16">
        <f>+SUM('Monthly Energy Data'!DJ32:DJ43)</f>
        <v>0</v>
      </c>
      <c r="CO10" s="16">
        <f>+SUM('Monthly Energy Data'!DK32:DK43)</f>
        <v>0</v>
      </c>
      <c r="CP10" s="16">
        <f>+SUM('Monthly Energy Data'!DL32:DL43)</f>
        <v>0</v>
      </c>
      <c r="CQ10" s="16">
        <f>+SUM('Monthly Energy Data'!DM32:DM43)</f>
        <v>0</v>
      </c>
      <c r="CR10" s="16">
        <f>+SUM('Monthly Energy Data'!DN32:DN43)</f>
        <v>0</v>
      </c>
      <c r="CS10" s="16" t="e">
        <f>+SUM('Monthly Energy Data'!DO32:DO43)</f>
        <v>#N/A</v>
      </c>
      <c r="CT10" s="16" t="e">
        <f>+SUM('Monthly Energy Data'!DP32:DP43)</f>
        <v>#N/A</v>
      </c>
      <c r="CU10" s="16" t="e">
        <f>+SUM('Monthly Energy Data'!DQ32:DQ43)</f>
        <v>#N/A</v>
      </c>
      <c r="CV10" s="16" t="e">
        <f>+SUM('Monthly Energy Data'!DR32:DR43)</f>
        <v>#N/A</v>
      </c>
      <c r="CW10" s="16" t="e">
        <f>+SUM('Monthly Energy Data'!DS32:DS43)</f>
        <v>#N/A</v>
      </c>
      <c r="CX10" s="16" t="e">
        <f>+SUM('Monthly Energy Data'!DT32:DT43)</f>
        <v>#N/A</v>
      </c>
      <c r="CY10" s="16" t="e">
        <f>+SUM('Monthly Energy Data'!DU32:DU43)</f>
        <v>#N/A</v>
      </c>
      <c r="CZ10" s="16" t="e">
        <f>+SUM('Monthly Energy Data'!DV32:DV43)</f>
        <v>#N/A</v>
      </c>
      <c r="DA10" s="16" t="e">
        <f>+SUM('Monthly Energy Data'!DW32:DW43)</f>
        <v>#N/A</v>
      </c>
      <c r="DB10" s="8"/>
      <c r="DC10" s="8"/>
      <c r="DD10" s="8"/>
      <c r="DE10" s="8"/>
      <c r="DF10" s="8"/>
      <c r="DG10" s="8"/>
      <c r="DH10" s="8"/>
      <c r="DI10" s="8"/>
      <c r="DJ10" s="8"/>
      <c r="DK10" s="8"/>
    </row>
    <row r="11" spans="1:149" x14ac:dyDescent="0.2">
      <c r="A11" s="15">
        <f>+'Monthly Energy Data'!D44</f>
        <v>2011</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129"/>
      <c r="BP11" s="81"/>
      <c r="BQ11" s="81"/>
      <c r="BR11" s="81"/>
      <c r="BS11" s="81"/>
      <c r="BT11" s="81"/>
      <c r="BU11" s="81"/>
      <c r="BV11" s="81"/>
      <c r="BW11" s="129"/>
      <c r="BX11" s="129"/>
      <c r="BY11" s="129"/>
      <c r="BZ11" s="129"/>
      <c r="CA11" s="129"/>
      <c r="CB11" s="129"/>
      <c r="CC11" s="129"/>
      <c r="CD11" s="129"/>
      <c r="CE11" s="129"/>
      <c r="CF11" s="129"/>
      <c r="CG11" s="81"/>
      <c r="CH11" s="81"/>
      <c r="CI11" s="81"/>
      <c r="CJ11" s="81"/>
      <c r="CK11" s="81"/>
      <c r="CL11" s="81"/>
      <c r="CM11" s="81"/>
      <c r="CN11" s="81"/>
      <c r="CO11" s="81"/>
      <c r="CP11" s="81"/>
      <c r="CQ11" s="81"/>
      <c r="CR11" s="81"/>
      <c r="CS11" s="81"/>
      <c r="CT11" s="81"/>
      <c r="CU11" s="81"/>
      <c r="CV11" s="81"/>
      <c r="CW11" s="81"/>
      <c r="CX11" s="81"/>
      <c r="CY11" s="81"/>
      <c r="CZ11" s="81"/>
      <c r="DA11" s="81"/>
      <c r="DB11" s="63"/>
      <c r="DC11" s="63"/>
      <c r="DD11" s="63"/>
      <c r="DE11" s="63"/>
      <c r="DF11" s="63"/>
      <c r="DG11" s="63"/>
      <c r="DH11" s="63"/>
      <c r="DI11" s="63"/>
      <c r="DJ11" s="63"/>
      <c r="DK11" s="63"/>
      <c r="DZ11" s="68" t="e">
        <f t="shared" ref="DZ11:DZ53" si="0">+$BW11/V11</f>
        <v>#DIV/0!</v>
      </c>
      <c r="EA11" s="68" t="e">
        <f t="shared" ref="EA11:EA53" si="1">+$BW11/W11</f>
        <v>#DIV/0!</v>
      </c>
      <c r="EB11" s="68" t="e">
        <f t="shared" ref="EB11:EB53" si="2">+$BW11/U11</f>
        <v>#DIV/0!</v>
      </c>
    </row>
    <row r="12" spans="1:149" x14ac:dyDescent="0.2">
      <c r="A12" s="15">
        <f>+'Monthly Energy Data'!D56</f>
        <v>2012</v>
      </c>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129"/>
      <c r="BP12" s="81"/>
      <c r="BQ12" s="81"/>
      <c r="BR12" s="81"/>
      <c r="BS12" s="81"/>
      <c r="BT12" s="81"/>
      <c r="BU12" s="81"/>
      <c r="BV12" s="81"/>
      <c r="BW12" s="129"/>
      <c r="BX12" s="129"/>
      <c r="BY12" s="129"/>
      <c r="BZ12" s="129"/>
      <c r="CA12" s="129"/>
      <c r="CB12" s="129"/>
      <c r="CC12" s="129"/>
      <c r="CD12" s="129"/>
      <c r="CE12" s="129"/>
      <c r="CF12" s="129"/>
      <c r="CG12" s="81"/>
      <c r="CH12" s="81"/>
      <c r="CI12" s="81"/>
      <c r="CJ12" s="81"/>
      <c r="CK12" s="81"/>
      <c r="CL12" s="81"/>
      <c r="CM12" s="81"/>
      <c r="CN12" s="81"/>
      <c r="CO12" s="81"/>
      <c r="CP12" s="81"/>
      <c r="CQ12" s="81"/>
      <c r="CR12" s="81"/>
      <c r="CS12" s="81"/>
      <c r="CT12" s="81"/>
      <c r="CU12" s="81"/>
      <c r="CV12" s="81"/>
      <c r="CW12" s="81"/>
      <c r="CX12" s="81"/>
      <c r="CY12" s="81"/>
      <c r="CZ12" s="81"/>
      <c r="DA12" s="81"/>
      <c r="DB12" s="63"/>
      <c r="DC12" s="63"/>
      <c r="DD12" s="63"/>
      <c r="DE12" s="63"/>
      <c r="DF12" s="63"/>
      <c r="DG12" s="63"/>
      <c r="DH12" s="63"/>
      <c r="DI12" s="63"/>
      <c r="DJ12" s="63"/>
      <c r="DK12" s="63"/>
      <c r="DZ12" s="68" t="e">
        <f t="shared" si="0"/>
        <v>#DIV/0!</v>
      </c>
      <c r="EA12" s="68" t="e">
        <f t="shared" si="1"/>
        <v>#DIV/0!</v>
      </c>
      <c r="EB12" s="68" t="e">
        <f t="shared" si="2"/>
        <v>#DIV/0!</v>
      </c>
    </row>
    <row r="13" spans="1:149" x14ac:dyDescent="0.2">
      <c r="A13" s="15">
        <f>+'Monthly Energy Data'!D68</f>
        <v>2013</v>
      </c>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129"/>
      <c r="BP13" s="81"/>
      <c r="BQ13" s="81"/>
      <c r="BR13" s="81"/>
      <c r="BS13" s="81"/>
      <c r="BT13" s="81"/>
      <c r="BU13" s="81"/>
      <c r="BV13" s="81"/>
      <c r="BW13" s="129"/>
      <c r="BX13" s="129"/>
      <c r="BY13" s="129"/>
      <c r="BZ13" s="129"/>
      <c r="CA13" s="129"/>
      <c r="CB13" s="129"/>
      <c r="CC13" s="129"/>
      <c r="CD13" s="129"/>
      <c r="CE13" s="129"/>
      <c r="CF13" s="129"/>
      <c r="CG13" s="81"/>
      <c r="CH13" s="81"/>
      <c r="CI13" s="81"/>
      <c r="CJ13" s="81"/>
      <c r="CK13" s="81"/>
      <c r="CL13" s="81"/>
      <c r="CM13" s="81"/>
      <c r="CN13" s="81"/>
      <c r="CO13" s="81"/>
      <c r="CP13" s="81"/>
      <c r="CQ13" s="81"/>
      <c r="CR13" s="81"/>
      <c r="CS13" s="81"/>
      <c r="CT13" s="81"/>
      <c r="CU13" s="81"/>
      <c r="CV13" s="81"/>
      <c r="CW13" s="81"/>
      <c r="CX13" s="81"/>
      <c r="CY13" s="81"/>
      <c r="CZ13" s="81"/>
      <c r="DA13" s="81"/>
      <c r="DB13" s="63"/>
      <c r="DC13" s="63"/>
      <c r="DD13" s="63"/>
      <c r="DE13" s="63"/>
      <c r="DF13" s="63"/>
      <c r="DG13" s="63"/>
      <c r="DH13" s="63"/>
      <c r="DI13" s="63"/>
      <c r="DJ13" s="63"/>
      <c r="DK13" s="63"/>
      <c r="DZ13" s="68" t="e">
        <f t="shared" si="0"/>
        <v>#DIV/0!</v>
      </c>
      <c r="EA13" s="68" t="e">
        <f t="shared" si="1"/>
        <v>#DIV/0!</v>
      </c>
      <c r="EB13" s="68" t="e">
        <f t="shared" si="2"/>
        <v>#DIV/0!</v>
      </c>
    </row>
    <row r="14" spans="1:149" x14ac:dyDescent="0.2">
      <c r="A14" s="15">
        <f>+'Monthly Energy Data'!D80</f>
        <v>2014</v>
      </c>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129"/>
      <c r="BP14" s="81"/>
      <c r="BQ14" s="81"/>
      <c r="BR14" s="81"/>
      <c r="BS14" s="81"/>
      <c r="BT14" s="81"/>
      <c r="BU14" s="81"/>
      <c r="BV14" s="81"/>
      <c r="BW14" s="129"/>
      <c r="BX14" s="129"/>
      <c r="BY14" s="129"/>
      <c r="BZ14" s="129"/>
      <c r="CA14" s="129"/>
      <c r="CB14" s="129"/>
      <c r="CC14" s="129"/>
      <c r="CD14" s="129"/>
      <c r="CE14" s="129"/>
      <c r="CF14" s="129"/>
      <c r="CG14" s="81"/>
      <c r="CH14" s="81"/>
      <c r="CI14" s="81"/>
      <c r="CJ14" s="81"/>
      <c r="CK14" s="81"/>
      <c r="CL14" s="81"/>
      <c r="CM14" s="81"/>
      <c r="CN14" s="81"/>
      <c r="CO14" s="81"/>
      <c r="CP14" s="81"/>
      <c r="CQ14" s="81"/>
      <c r="CR14" s="81"/>
      <c r="CS14" s="81"/>
      <c r="CT14" s="81"/>
      <c r="CU14" s="81"/>
      <c r="CV14" s="81"/>
      <c r="CW14" s="81"/>
      <c r="CX14" s="81"/>
      <c r="CY14" s="81"/>
      <c r="CZ14" s="81"/>
      <c r="DA14" s="81"/>
      <c r="DB14" s="63"/>
      <c r="DC14" s="63"/>
      <c r="DD14" s="63"/>
      <c r="DE14" s="63"/>
      <c r="DF14" s="63"/>
      <c r="DG14" s="63"/>
      <c r="DH14" s="63"/>
      <c r="DI14" s="63"/>
      <c r="DJ14" s="63"/>
      <c r="DK14" s="63"/>
      <c r="DL14" s="58"/>
      <c r="DM14" s="58"/>
      <c r="DN14" s="58"/>
      <c r="DO14" s="58"/>
      <c r="DP14" s="58"/>
      <c r="DQ14" s="58"/>
      <c r="DR14" s="58"/>
      <c r="DS14" s="58"/>
      <c r="DT14" s="58"/>
      <c r="DU14" s="58"/>
      <c r="DV14" s="58"/>
      <c r="DW14" s="58"/>
      <c r="DZ14" s="68" t="e">
        <f t="shared" si="0"/>
        <v>#DIV/0!</v>
      </c>
      <c r="EA14" s="68" t="e">
        <f t="shared" si="1"/>
        <v>#DIV/0!</v>
      </c>
      <c r="EB14" s="68" t="e">
        <f t="shared" si="2"/>
        <v>#DIV/0!</v>
      </c>
    </row>
    <row r="15" spans="1:149" ht="38.25" x14ac:dyDescent="0.2">
      <c r="A15" s="15">
        <f>+'Monthly Energy Data'!D92</f>
        <v>2015</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129"/>
      <c r="BP15" s="81"/>
      <c r="BQ15" s="81"/>
      <c r="BR15" s="81"/>
      <c r="BS15" s="81"/>
      <c r="BT15" s="81"/>
      <c r="BU15" s="81"/>
      <c r="BV15" s="81"/>
      <c r="BW15" s="129"/>
      <c r="BX15" s="129"/>
      <c r="BY15" s="129"/>
      <c r="BZ15" s="129"/>
      <c r="CA15" s="129"/>
      <c r="CB15" s="129"/>
      <c r="CC15" s="129"/>
      <c r="CD15" s="129"/>
      <c r="CE15" s="129"/>
      <c r="CF15" s="129"/>
      <c r="CG15" s="81"/>
      <c r="CH15" s="81"/>
      <c r="CI15" s="81"/>
      <c r="CJ15" s="81"/>
      <c r="CK15" s="81"/>
      <c r="CL15" s="81"/>
      <c r="CM15" s="81"/>
      <c r="CN15" s="81"/>
      <c r="CO15" s="81"/>
      <c r="CP15" s="81"/>
      <c r="CQ15" s="81"/>
      <c r="CR15" s="81"/>
      <c r="CS15" s="81"/>
      <c r="CT15" s="81"/>
      <c r="CU15" s="81"/>
      <c r="CV15" s="81"/>
      <c r="CW15" s="81"/>
      <c r="CX15" s="81"/>
      <c r="CY15" s="81"/>
      <c r="CZ15" s="81"/>
      <c r="DA15" s="81"/>
      <c r="DB15" s="63"/>
      <c r="DC15" s="63"/>
      <c r="DD15" s="63"/>
      <c r="DE15" s="63"/>
      <c r="DF15" s="63"/>
      <c r="DG15" s="63"/>
      <c r="DH15" s="63"/>
      <c r="DI15" s="63"/>
      <c r="DJ15" s="63"/>
      <c r="DK15" s="63"/>
      <c r="DL15" s="58"/>
      <c r="DM15" s="58"/>
      <c r="DN15" s="58"/>
      <c r="DO15" s="58"/>
      <c r="DP15" s="58"/>
      <c r="DQ15" s="58"/>
      <c r="DR15" s="58"/>
      <c r="DS15" s="58"/>
      <c r="DT15" s="58"/>
      <c r="DU15" s="58"/>
      <c r="DV15" s="58"/>
      <c r="DW15" s="58"/>
      <c r="DZ15" s="68" t="e">
        <f t="shared" si="0"/>
        <v>#DIV/0!</v>
      </c>
      <c r="EA15" s="68" t="e">
        <f t="shared" si="1"/>
        <v>#DIV/0!</v>
      </c>
      <c r="EB15" s="68" t="e">
        <f t="shared" si="2"/>
        <v>#DIV/0!</v>
      </c>
      <c r="EN15" s="85" t="s">
        <v>104</v>
      </c>
      <c r="EO15" s="85" t="s">
        <v>113</v>
      </c>
      <c r="EP15" s="85" t="s">
        <v>111</v>
      </c>
      <c r="EQ15" s="85" t="s">
        <v>105</v>
      </c>
      <c r="ER15" s="85" t="s">
        <v>106</v>
      </c>
      <c r="ES15" s="83"/>
    </row>
    <row r="16" spans="1:149" x14ac:dyDescent="0.2">
      <c r="A16" s="15">
        <f>+'Monthly Energy Data'!D104</f>
        <v>2016</v>
      </c>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129"/>
      <c r="BP16" s="81"/>
      <c r="BQ16" s="81"/>
      <c r="BR16" s="81"/>
      <c r="BS16" s="81"/>
      <c r="BT16" s="81"/>
      <c r="BU16" s="81"/>
      <c r="BV16" s="81"/>
      <c r="BW16" s="129"/>
      <c r="BX16" s="129"/>
      <c r="BY16" s="129"/>
      <c r="BZ16" s="129"/>
      <c r="CA16" s="129"/>
      <c r="CB16" s="129"/>
      <c r="CC16" s="129"/>
      <c r="CD16" s="129"/>
      <c r="CE16" s="129"/>
      <c r="CF16" s="129"/>
      <c r="CG16" s="81"/>
      <c r="CH16" s="81"/>
      <c r="CI16" s="81"/>
      <c r="CJ16" s="81"/>
      <c r="CK16" s="81"/>
      <c r="CL16" s="81"/>
      <c r="CM16" s="81"/>
      <c r="CN16" s="81"/>
      <c r="CO16" s="81"/>
      <c r="CP16" s="81"/>
      <c r="CQ16" s="81"/>
      <c r="CR16" s="81"/>
      <c r="CS16" s="81"/>
      <c r="CT16" s="81"/>
      <c r="CU16" s="81"/>
      <c r="CV16" s="81"/>
      <c r="CW16" s="81"/>
      <c r="CX16" s="81"/>
      <c r="CY16" s="81"/>
      <c r="CZ16" s="81"/>
      <c r="DA16" s="81"/>
      <c r="DB16" s="63"/>
      <c r="DC16" s="63"/>
      <c r="DD16" s="63"/>
      <c r="DE16" s="63"/>
      <c r="DF16" s="63"/>
      <c r="DG16" s="63"/>
      <c r="DH16" s="63"/>
      <c r="DI16" s="63"/>
      <c r="DJ16" s="63"/>
      <c r="DK16" s="63"/>
      <c r="DL16" s="58"/>
      <c r="DM16" s="58"/>
      <c r="DN16" s="58"/>
      <c r="DO16" s="58"/>
      <c r="DP16" s="58"/>
      <c r="DQ16" s="58"/>
      <c r="DR16" s="58"/>
      <c r="DS16" s="58"/>
      <c r="DT16" s="58"/>
      <c r="DU16" s="58"/>
      <c r="DV16" s="58"/>
      <c r="DW16" s="58"/>
      <c r="DX16" s="68" t="e">
        <f t="shared" ref="DX16:DX53" si="3">+CR16/M16</f>
        <v>#DIV/0!</v>
      </c>
      <c r="DZ16" s="68" t="e">
        <f t="shared" si="0"/>
        <v>#DIV/0!</v>
      </c>
      <c r="EA16" s="68" t="e">
        <f t="shared" si="1"/>
        <v>#DIV/0!</v>
      </c>
      <c r="EB16" s="68" t="e">
        <f t="shared" si="2"/>
        <v>#DIV/0!</v>
      </c>
      <c r="EN16" s="86" t="s">
        <v>107</v>
      </c>
      <c r="EO16" s="87">
        <v>42370</v>
      </c>
      <c r="EP16" s="87">
        <v>44135</v>
      </c>
      <c r="EQ16" s="88" t="e">
        <f>+AVERAGE(AD17)</f>
        <v>#DIV/0!</v>
      </c>
      <c r="ER16" s="86" t="s">
        <v>110</v>
      </c>
    </row>
    <row r="17" spans="1:166" x14ac:dyDescent="0.2">
      <c r="A17" s="15">
        <f>+'Monthly Energy Data'!D116</f>
        <v>2017</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129"/>
      <c r="BP17" s="81"/>
      <c r="BQ17" s="81"/>
      <c r="BR17" s="81"/>
      <c r="BS17" s="81"/>
      <c r="BT17" s="81"/>
      <c r="BU17" s="81"/>
      <c r="BV17" s="81"/>
      <c r="BW17" s="129"/>
      <c r="BX17" s="129"/>
      <c r="BY17" s="129"/>
      <c r="BZ17" s="129"/>
      <c r="CA17" s="129"/>
      <c r="CB17" s="129"/>
      <c r="CC17" s="129"/>
      <c r="CD17" s="129"/>
      <c r="CE17" s="129"/>
      <c r="CF17" s="129"/>
      <c r="CG17" s="81"/>
      <c r="CH17" s="81"/>
      <c r="CI17" s="81"/>
      <c r="CJ17" s="81"/>
      <c r="CK17" s="81"/>
      <c r="CL17" s="81"/>
      <c r="CM17" s="81"/>
      <c r="CN17" s="81"/>
      <c r="CO17" s="81"/>
      <c r="CP17" s="81"/>
      <c r="CQ17" s="81"/>
      <c r="CR17" s="81"/>
      <c r="CS17" s="81"/>
      <c r="CT17" s="81"/>
      <c r="CU17" s="81"/>
      <c r="CV17" s="81"/>
      <c r="CW17" s="81"/>
      <c r="CX17" s="81"/>
      <c r="CY17" s="81"/>
      <c r="CZ17" s="81"/>
      <c r="DA17" s="81"/>
      <c r="DB17" s="63"/>
      <c r="DC17" s="63"/>
      <c r="DD17" s="63"/>
      <c r="DE17" s="63"/>
      <c r="DF17" s="63"/>
      <c r="DG17" s="63"/>
      <c r="DH17" s="63"/>
      <c r="DI17" s="63"/>
      <c r="DJ17" s="63"/>
      <c r="DK17" s="63"/>
      <c r="DL17" s="58"/>
      <c r="DM17" s="58"/>
      <c r="DN17" s="58"/>
      <c r="DO17" s="58"/>
      <c r="DP17" s="58"/>
      <c r="DQ17" s="58"/>
      <c r="DR17" s="58"/>
      <c r="DS17" s="58"/>
      <c r="DT17" s="58"/>
      <c r="DU17" s="58"/>
      <c r="DV17" s="58"/>
      <c r="DW17" s="58"/>
      <c r="DX17" s="68" t="e">
        <f t="shared" si="3"/>
        <v>#DIV/0!</v>
      </c>
      <c r="DZ17" s="68" t="e">
        <f t="shared" si="0"/>
        <v>#DIV/0!</v>
      </c>
      <c r="EA17" s="68" t="e">
        <f t="shared" si="1"/>
        <v>#DIV/0!</v>
      </c>
      <c r="EB17" s="68" t="e">
        <f t="shared" si="2"/>
        <v>#DIV/0!</v>
      </c>
      <c r="EN17" s="86" t="s">
        <v>108</v>
      </c>
      <c r="EO17" s="87">
        <v>42370</v>
      </c>
      <c r="EP17" s="87">
        <v>50709</v>
      </c>
      <c r="EQ17" s="88"/>
      <c r="ER17" s="86" t="s">
        <v>110</v>
      </c>
      <c r="FJ17" s="68"/>
    </row>
    <row r="18" spans="1:166" x14ac:dyDescent="0.2">
      <c r="A18" s="15">
        <f>+'Monthly Energy Data'!D128</f>
        <v>2018</v>
      </c>
      <c r="B18" s="16">
        <f>+SUM('Monthly Energy Data'!G128:G139)</f>
        <v>0</v>
      </c>
      <c r="C18" s="16">
        <f>+SUM('Monthly Energy Data'!H128:H139)</f>
        <v>0</v>
      </c>
      <c r="D18" s="16">
        <f>+SUM('Monthly Energy Data'!I128:I139)</f>
        <v>0</v>
      </c>
      <c r="E18" s="16">
        <f>+SUM('Monthly Energy Data'!J128:J139)</f>
        <v>0</v>
      </c>
      <c r="F18" s="16">
        <f>+SUM('Monthly Energy Data'!K128:K139)</f>
        <v>0</v>
      </c>
      <c r="G18" s="16">
        <f>+SUM('Monthly Energy Data'!L128:L139)</f>
        <v>0</v>
      </c>
      <c r="H18" s="16">
        <f>+SUM('Monthly Energy Data'!BX128:BX139)</f>
        <v>0</v>
      </c>
      <c r="I18" s="16">
        <f>+SUM('Monthly Energy Data'!P128:P139)</f>
        <v>0</v>
      </c>
      <c r="J18" s="16">
        <f>+SUM('Monthly Energy Data'!Q128:Q139)</f>
        <v>0</v>
      </c>
      <c r="K18" s="16">
        <f>+SUM('Monthly Energy Data'!R128:R139)</f>
        <v>0</v>
      </c>
      <c r="L18" s="16">
        <f>+SUM('Monthly Energy Data'!S128:S139)</f>
        <v>0</v>
      </c>
      <c r="M18" s="16">
        <f>+SUM('Monthly Energy Data'!T128:T139)</f>
        <v>0</v>
      </c>
      <c r="N18" s="16">
        <f>+SUM('Monthly Energy Data'!U128:U139)</f>
        <v>0</v>
      </c>
      <c r="O18" s="16">
        <f>+SUM('Monthly Energy Data'!V128:V139)</f>
        <v>0</v>
      </c>
      <c r="P18" s="16">
        <f>+SUM('Monthly Energy Data'!W128:W139)</f>
        <v>0</v>
      </c>
      <c r="Q18" s="16">
        <f>+SUM('Monthly Energy Data'!X128:X139)</f>
        <v>0</v>
      </c>
      <c r="R18" s="16">
        <f>+SUM('Monthly Energy Data'!Y128:Y139)</f>
        <v>0</v>
      </c>
      <c r="S18" s="16">
        <f>+SUM('Monthly Energy Data'!Z128:Z139)</f>
        <v>0</v>
      </c>
      <c r="T18" s="16">
        <f>+SUM('Monthly Energy Data'!AA128:AA139)</f>
        <v>0</v>
      </c>
      <c r="U18" s="16">
        <f>+'Tier 3 Data'!F13</f>
        <v>0</v>
      </c>
      <c r="V18" s="16">
        <f>+'Tier 3 Data'!G13</f>
        <v>0</v>
      </c>
      <c r="W18" s="16">
        <f>+'Tier 3 Data'!H13</f>
        <v>0</v>
      </c>
      <c r="X18" s="16">
        <f>+'Tier 3 Data'!I13</f>
        <v>2.6666666666666665E-2</v>
      </c>
      <c r="Y18" s="81"/>
      <c r="Z18" s="16">
        <f>+SUM('Monthly Energy Data'!AL128:AL139)</f>
        <v>0</v>
      </c>
      <c r="AA18" s="16">
        <f>+SUM('Monthly Energy Data'!AM128:AM139)</f>
        <v>0</v>
      </c>
      <c r="AB18" s="16">
        <f>+SUM('Monthly Energy Data'!AN128:AN139)</f>
        <v>0</v>
      </c>
      <c r="AC18" s="16">
        <f>+SUM('Monthly Energy Data'!AO128:AO139)</f>
        <v>0</v>
      </c>
      <c r="AD18" s="16">
        <f>+SUM('Monthly Energy Data'!AP128:AP139)</f>
        <v>0</v>
      </c>
      <c r="AE18" s="16">
        <f>+SUM('Monthly Energy Data'!AQ128:AQ139)</f>
        <v>99280</v>
      </c>
      <c r="AF18" s="16">
        <f>+SUM('Monthly Energy Data'!AR128:AR139)</f>
        <v>0</v>
      </c>
      <c r="AG18" s="16">
        <f>+SUM('Monthly Energy Data'!AS128:AS139)</f>
        <v>0</v>
      </c>
      <c r="AH18" s="16">
        <f>+SUM('Monthly Energy Data'!AT128:AT139)</f>
        <v>0</v>
      </c>
      <c r="AI18" s="16">
        <f>+SUM('Monthly Energy Data'!AU128:AU139)</f>
        <v>905.798</v>
      </c>
      <c r="AJ18" s="16">
        <f>+SUM('Monthly Energy Data'!AV128:AV139)</f>
        <v>40012.245999999999</v>
      </c>
      <c r="AK18" s="16">
        <f>+SUM('Monthly Energy Data'!AW128:AW139)</f>
        <v>34.16244155844155</v>
      </c>
      <c r="AL18" s="16">
        <f>+SUM('Monthly Energy Data'!AX128:AX139)</f>
        <v>80.36993939393939</v>
      </c>
      <c r="AM18" s="16">
        <f>+SUM('Monthly Energy Data'!AY128:AY139)</f>
        <v>13608.5825442308</v>
      </c>
      <c r="AN18" s="16">
        <f>+SUM('Monthly Energy Data'!AZ128:AZ139)</f>
        <v>4024.1272920579245</v>
      </c>
      <c r="AO18" s="16">
        <f>+SUM('Monthly Energy Data'!BA128:BA139)</f>
        <v>19193.496000000003</v>
      </c>
      <c r="AP18" s="16">
        <f>+SUM('Monthly Energy Data'!BB128:BB139)</f>
        <v>22207.910499999998</v>
      </c>
      <c r="AQ18" s="16">
        <f>+SUM('Monthly Energy Data'!BC128:BC139)</f>
        <v>0</v>
      </c>
      <c r="AR18" s="16">
        <f>+SUM('Monthly Energy Data'!BD128:BD139)</f>
        <v>0</v>
      </c>
      <c r="AS18" s="16">
        <f>+SUM('Monthly Energy Data'!BE128:BE139)</f>
        <v>0</v>
      </c>
      <c r="AT18" s="16">
        <f>+SUM('Monthly Energy Data'!BF128:BF139)</f>
        <v>0</v>
      </c>
      <c r="AU18" s="16">
        <f>+SUM('Monthly Energy Data'!BG128:BG139)</f>
        <v>0</v>
      </c>
      <c r="AV18" s="16">
        <f>+SUM('Monthly Energy Data'!BH128:BH139)</f>
        <v>0</v>
      </c>
      <c r="AW18" s="16">
        <f>+SUM('Monthly Energy Data'!BI128:BI139)</f>
        <v>0</v>
      </c>
      <c r="AX18" s="16">
        <f>+SUM('Monthly Energy Data'!BJ128:BJ139)</f>
        <v>0</v>
      </c>
      <c r="AY18" s="16">
        <f>+SUM('Monthly Energy Data'!BK128:BK139)</f>
        <v>0</v>
      </c>
      <c r="AZ18" s="16">
        <f>+SUM('Monthly Energy Data'!BL128:BL139)</f>
        <v>0</v>
      </c>
      <c r="BA18" s="16">
        <f>+SUM('Monthly Energy Data'!BM128:BM139)</f>
        <v>0</v>
      </c>
      <c r="BB18" s="16">
        <f>+SUM('Monthly Energy Data'!BN128:BN139)</f>
        <v>0</v>
      </c>
      <c r="BC18" s="16">
        <f>+SUM('Monthly Energy Data'!BO128:BO139)</f>
        <v>0</v>
      </c>
      <c r="BD18" s="16">
        <f>+SUM('Monthly Energy Data'!BP128:BP139)</f>
        <v>23360</v>
      </c>
      <c r="BE18" s="16">
        <f>+SUM('Monthly Energy Data'!BQ128:BQ139)</f>
        <v>1563.5555385546877</v>
      </c>
      <c r="BF18" s="16">
        <f>+SUM('Monthly Energy Data'!BR128:BR139)</f>
        <v>2042.4462658448258</v>
      </c>
      <c r="BG18" s="16">
        <f>+SUM('Monthly Energy Data'!BS128:BS139)</f>
        <v>7391.9241895999985</v>
      </c>
      <c r="BH18" s="16">
        <f>+SUM('Monthly Energy Data'!BT128:BT139)</f>
        <v>0</v>
      </c>
      <c r="BI18" s="16">
        <f>+SUM('Monthly Energy Data'!BU128:BU139)</f>
        <v>0</v>
      </c>
      <c r="BK18" s="16">
        <f>+SUM('Monthly Energy Data'!BY128:BY139)</f>
        <v>0</v>
      </c>
      <c r="BL18" s="16">
        <f>+SUM('Monthly Energy Data'!BZ128:BZ139)</f>
        <v>78156</v>
      </c>
      <c r="BM18" s="16">
        <f>+SUM('Monthly Energy Data'!CA128:CA139)</f>
        <v>43800</v>
      </c>
      <c r="BN18" s="16">
        <f>+SUM('Monthly Energy Data'!CB128:CB139)</f>
        <v>54595</v>
      </c>
      <c r="BO18" s="34">
        <f>+SUM('Monthly Energy Data'!CC128:CC139)</f>
        <v>0</v>
      </c>
      <c r="BP18" s="16">
        <f>+SUM('Monthly Energy Data'!CD128:CD139)</f>
        <v>0</v>
      </c>
      <c r="BQ18" s="16">
        <f>+SUM('Monthly Energy Data'!CE128:CE139)</f>
        <v>0</v>
      </c>
      <c r="BR18" s="16">
        <f>+SUM('Monthly Energy Data'!CF128:CF139)</f>
        <v>0</v>
      </c>
      <c r="BS18" s="16">
        <f>+SUM('Monthly Energy Data'!CG128:CG139)</f>
        <v>0</v>
      </c>
      <c r="BT18" s="16">
        <f>+SUM('Monthly Energy Data'!CH128:CH139)</f>
        <v>0</v>
      </c>
      <c r="BU18" s="16">
        <f>+SUM('Monthly Energy Data'!CI128:CI139)</f>
        <v>0</v>
      </c>
      <c r="BV18" s="26">
        <f>+SUM('Monthly Energy Data'!CJ128:CJ139)</f>
        <v>22207.910499999998</v>
      </c>
      <c r="BW18" s="34">
        <f>+SUM('Monthly Energy Data'!CK128:CK139)</f>
        <v>410255.61871124059</v>
      </c>
      <c r="BX18" s="34">
        <f>+SUM('Monthly Energy Data'!CL128:CL139)</f>
        <v>-410255.61871124059</v>
      </c>
      <c r="BY18" s="34">
        <f>+SUM('Monthly Energy Data'!CM128:CM139)</f>
        <v>-410255.61871124059</v>
      </c>
      <c r="BZ18" s="34">
        <f>+SUM('Monthly Energy Data'!CN128:CN139)</f>
        <v>-410255.61871124059</v>
      </c>
      <c r="CA18" s="34">
        <f>+SUM('Monthly Energy Data'!CO128:CO139)</f>
        <v>-410255.61871124059</v>
      </c>
      <c r="CB18" s="36">
        <f>+SUM('Monthly Energy Data'!CP128:CP139)</f>
        <v>-410255.61871124059</v>
      </c>
      <c r="CC18" s="34">
        <f>+SUM('Monthly Energy Data'!CQ128:CQ139)</f>
        <v>-410255.61871124059</v>
      </c>
      <c r="CD18" s="34">
        <f>+SUM('Monthly Energy Data'!CR128:CR139)</f>
        <v>-410255.61871124059</v>
      </c>
      <c r="CE18" s="34">
        <f>+SUM('Monthly Energy Data'!CS128:CS139)</f>
        <v>-410255.61871124059</v>
      </c>
      <c r="CF18" s="34">
        <f>+SUM('Monthly Energy Data'!CT128:CT139)</f>
        <v>-410255.61871124059</v>
      </c>
      <c r="CG18" s="81"/>
      <c r="CH18" s="16">
        <f>+SUM('Monthly Energy Data'!DD128:DD139)</f>
        <v>0</v>
      </c>
      <c r="CI18" s="16">
        <f>+SUM('Monthly Energy Data'!DE128:DE139)</f>
        <v>0</v>
      </c>
      <c r="CJ18" s="16">
        <f>+SUM('Monthly Energy Data'!DF128:DF139)</f>
        <v>0</v>
      </c>
      <c r="CK18" s="16">
        <f>+SUM('Monthly Energy Data'!DG128:DG139)</f>
        <v>0</v>
      </c>
      <c r="CL18" s="16">
        <f>+SUM('Monthly Energy Data'!DH128:DH139)</f>
        <v>0</v>
      </c>
      <c r="CM18" s="16">
        <f>+SUM('Monthly Energy Data'!DI128:DI139)</f>
        <v>0</v>
      </c>
      <c r="CN18" s="16">
        <f>+SUM('Monthly Energy Data'!DJ128:DJ139)</f>
        <v>0</v>
      </c>
      <c r="CO18" s="16">
        <f>+SUM('Monthly Energy Data'!DK128:DK139)</f>
        <v>0</v>
      </c>
      <c r="CP18" s="16">
        <f>+SUM('Monthly Energy Data'!DL128:DL139)</f>
        <v>0</v>
      </c>
      <c r="CQ18" s="16">
        <f>+SUM('Monthly Energy Data'!DM128:DM139)</f>
        <v>0</v>
      </c>
      <c r="CR18" s="16">
        <f>+SUM('Monthly Energy Data'!DN128:DN139)</f>
        <v>410255.61871124059</v>
      </c>
      <c r="CS18" s="16">
        <f>+SUM('Monthly Energy Data'!DO128:DO139)</f>
        <v>-410255.61871124059</v>
      </c>
      <c r="CT18" s="16">
        <f>+SUM('Monthly Energy Data'!DP128:DP139)</f>
        <v>-410255.61871124059</v>
      </c>
      <c r="CU18" s="16">
        <f>+SUM('Monthly Energy Data'!DQ128:DQ139)</f>
        <v>-410255.61871124059</v>
      </c>
      <c r="CV18" s="16">
        <f>+SUM('Monthly Energy Data'!DR128:DR139)</f>
        <v>-410255.61871124059</v>
      </c>
      <c r="CW18" s="16">
        <f>+SUM('Monthly Energy Data'!DS128:DS139)</f>
        <v>-410255.61871124059</v>
      </c>
      <c r="CX18" s="16">
        <f>+SUM('Monthly Energy Data'!DT128:DT139)</f>
        <v>-410255.61871124059</v>
      </c>
      <c r="CY18" s="16">
        <f>+SUM('Monthly Energy Data'!DU128:DU139)</f>
        <v>-410255.61871124059</v>
      </c>
      <c r="CZ18" s="16">
        <f>+SUM('Monthly Energy Data'!DV128:DV139)</f>
        <v>-410255.61871124059</v>
      </c>
      <c r="DA18" s="16">
        <f>+SUM('Monthly Energy Data'!DW128:DW139)</f>
        <v>-410255.61871124059</v>
      </c>
      <c r="DB18" s="78"/>
      <c r="DC18" s="78"/>
      <c r="DD18" s="78"/>
      <c r="DE18" s="78"/>
      <c r="DF18" s="19" t="e">
        <f t="shared" ref="DF18:DF53" si="4">+CW18/V18</f>
        <v>#DIV/0!</v>
      </c>
      <c r="DG18" s="78"/>
      <c r="DH18" s="78"/>
      <c r="DI18" s="78"/>
      <c r="DJ18" s="78"/>
      <c r="DK18" s="78"/>
      <c r="DL18" s="58"/>
      <c r="DM18" s="58"/>
      <c r="DN18" s="58"/>
      <c r="DO18" s="58"/>
      <c r="DP18" s="58"/>
      <c r="DQ18" s="58"/>
      <c r="DR18" s="58"/>
      <c r="DS18" s="58"/>
      <c r="DT18" s="58"/>
      <c r="DU18" s="58"/>
      <c r="DV18" s="58"/>
      <c r="DW18" s="58"/>
      <c r="DX18" s="68" t="e">
        <f t="shared" si="3"/>
        <v>#DIV/0!</v>
      </c>
      <c r="DZ18" s="68" t="e">
        <f t="shared" si="0"/>
        <v>#DIV/0!</v>
      </c>
      <c r="EA18" s="68" t="e">
        <f t="shared" si="1"/>
        <v>#DIV/0!</v>
      </c>
      <c r="EB18" s="68" t="e">
        <f t="shared" si="2"/>
        <v>#DIV/0!</v>
      </c>
      <c r="EN18" s="86" t="s">
        <v>109</v>
      </c>
      <c r="EO18" s="87">
        <v>42675</v>
      </c>
      <c r="EP18" s="87">
        <v>42004</v>
      </c>
      <c r="EQ18" s="88"/>
      <c r="ER18" s="86" t="s">
        <v>110</v>
      </c>
      <c r="FJ18" s="68"/>
    </row>
    <row r="19" spans="1:166" x14ac:dyDescent="0.2">
      <c r="A19" s="15">
        <f>+'Monthly Energy Data'!D140</f>
        <v>2019</v>
      </c>
      <c r="B19" s="16">
        <f>+SUM('Monthly Energy Data'!G140:G151)</f>
        <v>0</v>
      </c>
      <c r="C19" s="16">
        <f>+SUM('Monthly Energy Data'!H140:H151)</f>
        <v>0</v>
      </c>
      <c r="D19" s="16">
        <f>+SUM('Monthly Energy Data'!I140:I151)</f>
        <v>0</v>
      </c>
      <c r="E19" s="16">
        <f>+SUM('Monthly Energy Data'!J140:J151)</f>
        <v>0</v>
      </c>
      <c r="F19" s="16">
        <f>+SUM('Monthly Energy Data'!K140:K151)</f>
        <v>0</v>
      </c>
      <c r="G19" s="16">
        <f>+SUM('Monthly Energy Data'!L140:L151)</f>
        <v>0</v>
      </c>
      <c r="H19" s="16">
        <f>+SUM('Monthly Energy Data'!$M$140:$O$151)</f>
        <v>0</v>
      </c>
      <c r="I19" s="16">
        <f>+SUM('Monthly Energy Data'!P140:P151)</f>
        <v>0</v>
      </c>
      <c r="J19" s="16">
        <f>+SUM('Monthly Energy Data'!Q140:Q151)</f>
        <v>0</v>
      </c>
      <c r="K19" s="16">
        <f>+SUM('Monthly Energy Data'!R140:R151)</f>
        <v>0</v>
      </c>
      <c r="L19" s="16">
        <f>+SUM('Monthly Energy Data'!S140:S151)</f>
        <v>0</v>
      </c>
      <c r="M19" s="16">
        <f>+SUM('Monthly Energy Data'!T140:T151)</f>
        <v>0</v>
      </c>
      <c r="N19" s="16">
        <f>+SUM('Monthly Energy Data'!U140:U151)</f>
        <v>0</v>
      </c>
      <c r="O19" s="16">
        <f>+SUM('Monthly Energy Data'!V140:V151)</f>
        <v>0</v>
      </c>
      <c r="P19" s="16">
        <f>+SUM('Monthly Energy Data'!W140:W151)</f>
        <v>0</v>
      </c>
      <c r="Q19" s="16">
        <f>+SUM('Monthly Energy Data'!X140:X151)</f>
        <v>0</v>
      </c>
      <c r="R19" s="16">
        <f>+SUM('Monthly Energy Data'!Y140:Y151)</f>
        <v>0</v>
      </c>
      <c r="S19" s="16">
        <f>+SUM('Monthly Energy Data'!Z140:Z151)</f>
        <v>0</v>
      </c>
      <c r="T19" s="16">
        <f>+SUM('Monthly Energy Data'!AA140:AA151)</f>
        <v>0</v>
      </c>
      <c r="U19" s="16">
        <f>+'Tier 3 Data'!F14</f>
        <v>0</v>
      </c>
      <c r="V19" s="16">
        <f>+'Tier 3 Data'!G14</f>
        <v>0</v>
      </c>
      <c r="W19" s="16">
        <f>+'Tier 3 Data'!H14</f>
        <v>0</v>
      </c>
      <c r="X19" s="16">
        <f>+'Tier 3 Data'!I14</f>
        <v>3.3333333333333333E-2</v>
      </c>
      <c r="Y19" s="81"/>
      <c r="Z19" s="16">
        <f>+SUM('Monthly Energy Data'!AL140:AL151)</f>
        <v>0</v>
      </c>
      <c r="AA19" s="16">
        <f>+SUM('Monthly Energy Data'!AM140:AM151)</f>
        <v>0</v>
      </c>
      <c r="AB19" s="16">
        <f>+SUM('Monthly Energy Data'!AN140:AN151)</f>
        <v>0</v>
      </c>
      <c r="AC19" s="16">
        <f>+SUM('Monthly Energy Data'!AO140:AO151)</f>
        <v>0</v>
      </c>
      <c r="AD19" s="16">
        <f>+SUM('Monthly Energy Data'!AP140:AP151)</f>
        <v>0</v>
      </c>
      <c r="AE19" s="16">
        <f>+SUM('Monthly Energy Data'!AQ140:AQ151)</f>
        <v>99280</v>
      </c>
      <c r="AF19" s="16">
        <f>+SUM('Monthly Energy Data'!AR140:AR151)</f>
        <v>0</v>
      </c>
      <c r="AG19" s="16">
        <f>+SUM('Monthly Energy Data'!AS140:AS151)</f>
        <v>0</v>
      </c>
      <c r="AH19" s="16">
        <f>+SUM('Monthly Energy Data'!AT140:AT151)</f>
        <v>0</v>
      </c>
      <c r="AI19" s="16">
        <f>+SUM('Monthly Energy Data'!AU140:AU151)</f>
        <v>1050.2040000000002</v>
      </c>
      <c r="AJ19" s="16">
        <f>+SUM('Monthly Energy Data'!AV140:AV151)</f>
        <v>39981.139000000003</v>
      </c>
      <c r="AK19" s="16">
        <f>+SUM('Monthly Energy Data'!AW140:AW151)</f>
        <v>34.4202647280256</v>
      </c>
      <c r="AL19" s="16">
        <f>+SUM('Monthly Energy Data'!AX140:AX151)</f>
        <v>81.366883399209485</v>
      </c>
      <c r="AM19" s="16">
        <f>+SUM('Monthly Energy Data'!AY140:AY151)</f>
        <v>13621.04375112</v>
      </c>
      <c r="AN19" s="16">
        <f>+SUM('Monthly Energy Data'!AZ140:AZ151)</f>
        <v>2253.1416629097748</v>
      </c>
      <c r="AO19" s="16">
        <f>+SUM('Monthly Energy Data'!BA140:BA151)</f>
        <v>21852.818120600001</v>
      </c>
      <c r="AP19" s="16">
        <f>+SUM('Monthly Energy Data'!BB140:BB151)</f>
        <v>21870.601500000001</v>
      </c>
      <c r="AQ19" s="16">
        <f>+SUM('Monthly Energy Data'!BC140:BC151)</f>
        <v>0</v>
      </c>
      <c r="AR19" s="16">
        <f>+SUM('Monthly Energy Data'!BD140:BD151)</f>
        <v>0</v>
      </c>
      <c r="AS19" s="16">
        <f>+SUM('Monthly Energy Data'!BE140:BE151)</f>
        <v>0</v>
      </c>
      <c r="AT19" s="16">
        <f>+SUM('Monthly Energy Data'!BF140:BF151)</f>
        <v>0</v>
      </c>
      <c r="AU19" s="16">
        <f>+SUM('Monthly Energy Data'!BG140:BG151)</f>
        <v>0</v>
      </c>
      <c r="AV19" s="16">
        <f>+SUM('Monthly Energy Data'!BH140:BH151)</f>
        <v>0</v>
      </c>
      <c r="AW19" s="16">
        <f>+SUM('Monthly Energy Data'!BI140:BI151)</f>
        <v>0</v>
      </c>
      <c r="AX19" s="16">
        <f>+SUM('Monthly Energy Data'!BJ140:BJ151)</f>
        <v>0</v>
      </c>
      <c r="AY19" s="16">
        <f>+SUM('Monthly Energy Data'!BK140:BK151)</f>
        <v>0</v>
      </c>
      <c r="AZ19" s="16">
        <f>+SUM('Monthly Energy Data'!BL140:BL151)</f>
        <v>0</v>
      </c>
      <c r="BA19" s="16">
        <f>+SUM('Monthly Energy Data'!BM140:BM151)</f>
        <v>0</v>
      </c>
      <c r="BB19" s="16">
        <f>+SUM('Monthly Energy Data'!BN140:BN151)</f>
        <v>0</v>
      </c>
      <c r="BC19" s="16">
        <f>+SUM('Monthly Energy Data'!BO140:BO151)</f>
        <v>0</v>
      </c>
      <c r="BD19" s="16">
        <f>+SUM('Monthly Energy Data'!BP140:BP151)</f>
        <v>23360</v>
      </c>
      <c r="BE19" s="16">
        <f>+SUM('Monthly Energy Data'!BQ140:BQ151)</f>
        <v>1555.7377608619142</v>
      </c>
      <c r="BF19" s="16">
        <f>+SUM('Monthly Energy Data'!BR140:BR151)</f>
        <v>2032.2340345156022</v>
      </c>
      <c r="BG19" s="16">
        <f>+SUM('Monthly Energy Data'!BS140:BS151)</f>
        <v>7354.9645686519989</v>
      </c>
      <c r="BH19" s="16">
        <f>+SUM('Monthly Energy Data'!BT140:BT151)</f>
        <v>104.27841821299998</v>
      </c>
      <c r="BI19" s="16">
        <f>+SUM('Monthly Energy Data'!BU140:BU151)</f>
        <v>110.30647615900003</v>
      </c>
      <c r="BJ19" s="16">
        <f>SUM('Monthly Energy Data'!BV$140:BX$151)</f>
        <v>0</v>
      </c>
      <c r="BK19" s="16">
        <f>+SUM('Monthly Energy Data'!BY140:BY151)</f>
        <v>0</v>
      </c>
      <c r="BL19" s="16">
        <f>+SUM('Monthly Energy Data'!BZ140:BZ151)</f>
        <v>85410</v>
      </c>
      <c r="BM19" s="16">
        <f>+SUM('Monthly Energy Data'!CA140:CA151)</f>
        <v>43800</v>
      </c>
      <c r="BN19" s="16">
        <f>+SUM('Monthly Energy Data'!CB140:CB151)</f>
        <v>43800</v>
      </c>
      <c r="BO19" s="34">
        <f>+SUM('Monthly Energy Data'!CC140:CC151)</f>
        <v>0</v>
      </c>
      <c r="BP19" s="16">
        <f>+SUM('Monthly Energy Data'!CD140:CD151)</f>
        <v>48.620000000000005</v>
      </c>
      <c r="BQ19" s="16">
        <f>+SUM('Monthly Energy Data'!CE140:CE151)</f>
        <v>0</v>
      </c>
      <c r="BR19" s="16">
        <f>+SUM('Monthly Energy Data'!CF140:CF151)</f>
        <v>0</v>
      </c>
      <c r="BS19" s="16">
        <f>+SUM('Monthly Energy Data'!CG140:CG151)</f>
        <v>0</v>
      </c>
      <c r="BT19" s="16">
        <f>+SUM('Monthly Energy Data'!CH140:CH151)</f>
        <v>0</v>
      </c>
      <c r="BU19" s="16">
        <f>+SUM('Monthly Energy Data'!CI140:CI151)</f>
        <v>0</v>
      </c>
      <c r="BV19" s="26">
        <f>+SUM('Monthly Energy Data'!CJ140:CJ151)</f>
        <v>21870.601500000001</v>
      </c>
      <c r="BW19" s="34">
        <f>+SUM('Monthly Energy Data'!CK140:CK151)</f>
        <v>407600.87644115853</v>
      </c>
      <c r="BX19" s="34">
        <f>+SUM('Monthly Energy Data'!CL140:CL151)</f>
        <v>-407600.87644115853</v>
      </c>
      <c r="BY19" s="34">
        <f>+SUM('Monthly Energy Data'!CM140:CM151)</f>
        <v>-407600.87644115853</v>
      </c>
      <c r="BZ19" s="34">
        <f>+SUM('Monthly Energy Data'!CN140:CN151)</f>
        <v>-407600.87644115853</v>
      </c>
      <c r="CA19" s="34">
        <f>+SUM('Monthly Energy Data'!CO140:CO151)</f>
        <v>-407600.87644115853</v>
      </c>
      <c r="CB19" s="36">
        <f>+SUM('Monthly Energy Data'!CP140:CP151)</f>
        <v>-407600.87644115853</v>
      </c>
      <c r="CC19" s="34">
        <f>+SUM('Monthly Energy Data'!CQ140:CQ151)</f>
        <v>-407600.87644115853</v>
      </c>
      <c r="CD19" s="34">
        <f>+SUM('Monthly Energy Data'!CR140:CR151)</f>
        <v>-407600.87644115853</v>
      </c>
      <c r="CE19" s="34">
        <f>+SUM('Monthly Energy Data'!CS140:CS151)</f>
        <v>-407600.87644115853</v>
      </c>
      <c r="CF19" s="34">
        <f>+SUM('Monthly Energy Data'!CT140:CT151)</f>
        <v>-407600.87644115853</v>
      </c>
      <c r="CG19" s="81"/>
      <c r="CH19" s="16">
        <f>+SUM('Monthly Energy Data'!DD140:DD151)</f>
        <v>0</v>
      </c>
      <c r="CI19" s="16">
        <f>+SUM('Monthly Energy Data'!DE140:DE151)</f>
        <v>0</v>
      </c>
      <c r="CJ19" s="16">
        <f>+SUM('Monthly Energy Data'!DF140:DF151)</f>
        <v>0</v>
      </c>
      <c r="CK19" s="16">
        <f>+SUM('Monthly Energy Data'!DG140:DG151)</f>
        <v>0</v>
      </c>
      <c r="CL19" s="16">
        <f>+SUM('Monthly Energy Data'!DH140:DH151)</f>
        <v>0</v>
      </c>
      <c r="CM19" s="16">
        <f>+SUM('Monthly Energy Data'!DI140:DI151)</f>
        <v>0</v>
      </c>
      <c r="CN19" s="16">
        <f>+SUM('Monthly Energy Data'!DJ140:DJ151)</f>
        <v>0</v>
      </c>
      <c r="CO19" s="16">
        <f>+SUM('Monthly Energy Data'!DK140:DK151)</f>
        <v>0</v>
      </c>
      <c r="CP19" s="16">
        <f>+SUM('Monthly Energy Data'!DL140:DL151)</f>
        <v>0</v>
      </c>
      <c r="CQ19" s="16">
        <f>+SUM('Monthly Energy Data'!DM140:DM151)</f>
        <v>0</v>
      </c>
      <c r="CR19" s="16">
        <f>+SUM('Monthly Energy Data'!DN140:DN151)</f>
        <v>407600.87644115853</v>
      </c>
      <c r="CS19" s="16">
        <f>+SUM('Monthly Energy Data'!DO140:DO151)</f>
        <v>-407600.87644115853</v>
      </c>
      <c r="CT19" s="16">
        <f>+SUM('Monthly Energy Data'!DP140:DP151)</f>
        <v>-407600.87644115853</v>
      </c>
      <c r="CU19" s="16">
        <f>+SUM('Monthly Energy Data'!DQ140:DQ151)</f>
        <v>-407600.87644115853</v>
      </c>
      <c r="CV19" s="16">
        <f>+SUM('Monthly Energy Data'!DR140:DR151)</f>
        <v>-407600.87644115853</v>
      </c>
      <c r="CW19" s="16">
        <f>+SUM('Monthly Energy Data'!DS140:DS151)</f>
        <v>-407600.87644115853</v>
      </c>
      <c r="CX19" s="16">
        <f>+SUM('Monthly Energy Data'!DT140:DT151)</f>
        <v>-407600.87644115853</v>
      </c>
      <c r="CY19" s="16">
        <f>+SUM('Monthly Energy Data'!DU140:DU151)</f>
        <v>-407600.87644115853</v>
      </c>
      <c r="CZ19" s="16">
        <f>+SUM('Monthly Energy Data'!DV140:DV151)</f>
        <v>-407600.87644115853</v>
      </c>
      <c r="DA19" s="16">
        <f>+SUM('Monthly Energy Data'!DW140:DW151)</f>
        <v>-407600.87644115853</v>
      </c>
      <c r="DB19" s="78"/>
      <c r="DC19" s="78"/>
      <c r="DD19" s="78"/>
      <c r="DE19" s="78"/>
      <c r="DF19" s="19" t="e">
        <f t="shared" si="4"/>
        <v>#DIV/0!</v>
      </c>
      <c r="DG19" s="78"/>
      <c r="DH19" s="78"/>
      <c r="DI19" s="78"/>
      <c r="DJ19" s="78"/>
      <c r="DK19" s="78"/>
      <c r="DL19" s="58"/>
      <c r="DM19" s="58"/>
      <c r="DN19" s="58"/>
      <c r="DO19" s="58"/>
      <c r="DP19" s="58"/>
      <c r="DQ19" s="58"/>
      <c r="DR19" s="58"/>
      <c r="DS19" s="58"/>
      <c r="DT19" s="58"/>
      <c r="DU19" s="58"/>
      <c r="DV19" s="58"/>
      <c r="DW19" s="58"/>
      <c r="DX19" s="68" t="e">
        <f t="shared" si="3"/>
        <v>#DIV/0!</v>
      </c>
      <c r="DZ19" s="68" t="e">
        <f t="shared" si="0"/>
        <v>#DIV/0!</v>
      </c>
      <c r="EA19" s="68" t="e">
        <f t="shared" si="1"/>
        <v>#DIV/0!</v>
      </c>
      <c r="EB19" s="68" t="e">
        <f t="shared" si="2"/>
        <v>#DIV/0!</v>
      </c>
      <c r="EN19" s="86" t="s">
        <v>75</v>
      </c>
      <c r="EO19" s="87">
        <v>42370</v>
      </c>
      <c r="EP19" s="87">
        <v>49674</v>
      </c>
      <c r="EQ19" s="88">
        <v>32759</v>
      </c>
      <c r="ER19" s="86" t="s">
        <v>110</v>
      </c>
      <c r="FJ19" s="68"/>
    </row>
    <row r="20" spans="1:166" x14ac:dyDescent="0.2">
      <c r="A20" s="15">
        <f>+'Monthly Energy Data'!D152</f>
        <v>2020</v>
      </c>
      <c r="B20" s="16">
        <f>+SUM('Monthly Energy Data'!G152:G163)</f>
        <v>0</v>
      </c>
      <c r="C20" s="16">
        <f>+SUM('Monthly Energy Data'!H152:H163)</f>
        <v>0</v>
      </c>
      <c r="D20" s="16">
        <f>+SUM('Monthly Energy Data'!I152:I163)</f>
        <v>0</v>
      </c>
      <c r="E20" s="16">
        <f>+SUM('Monthly Energy Data'!J152:J163)</f>
        <v>0</v>
      </c>
      <c r="F20" s="16">
        <f>+SUM('Monthly Energy Data'!K152:K163)</f>
        <v>0</v>
      </c>
      <c r="G20" s="16">
        <f>+SUM('Monthly Energy Data'!L152:L163)</f>
        <v>0</v>
      </c>
      <c r="H20" s="16">
        <f>+SUM('Monthly Energy Data'!$M$152:$O$163)</f>
        <v>0</v>
      </c>
      <c r="I20" s="16">
        <f>+SUM('Monthly Energy Data'!P152:P163)</f>
        <v>0</v>
      </c>
      <c r="J20" s="16">
        <f>+SUM('Monthly Energy Data'!Q152:Q163)</f>
        <v>0</v>
      </c>
      <c r="K20" s="16">
        <f>+SUM('Monthly Energy Data'!R152:R163)</f>
        <v>0</v>
      </c>
      <c r="L20" s="16">
        <f>+SUM('Monthly Energy Data'!S152:S163)</f>
        <v>0</v>
      </c>
      <c r="M20" s="16">
        <f>+SUM('Monthly Energy Data'!T152:T163)</f>
        <v>0</v>
      </c>
      <c r="N20" s="16">
        <f>+SUM('Monthly Energy Data'!U152:U163)</f>
        <v>0</v>
      </c>
      <c r="O20" s="16">
        <f>+SUM('Monthly Energy Data'!V152:V163)</f>
        <v>0</v>
      </c>
      <c r="P20" s="16">
        <f>+SUM('Monthly Energy Data'!W152:W163)</f>
        <v>0</v>
      </c>
      <c r="Q20" s="16">
        <f>+SUM('Monthly Energy Data'!X152:X163)</f>
        <v>0</v>
      </c>
      <c r="R20" s="16">
        <f>+SUM('Monthly Energy Data'!Y152:Y163)</f>
        <v>0</v>
      </c>
      <c r="S20" s="16">
        <f>+SUM('Monthly Energy Data'!Z152:Z163)</f>
        <v>0</v>
      </c>
      <c r="T20" s="16">
        <f>+SUM('Monthly Energy Data'!AA152:AA163)</f>
        <v>0</v>
      </c>
      <c r="U20" s="16">
        <f>+'Tier 3 Data'!F15</f>
        <v>0</v>
      </c>
      <c r="V20" s="16">
        <f>+'Tier 3 Data'!G15</f>
        <v>0</v>
      </c>
      <c r="W20" s="16">
        <f>+'Tier 3 Data'!H15</f>
        <v>0</v>
      </c>
      <c r="X20" s="16">
        <f>+'Tier 3 Data'!I15</f>
        <v>0.04</v>
      </c>
      <c r="Y20" s="81"/>
      <c r="Z20" s="16">
        <f>+SUM('Monthly Energy Data'!AL152:AL163)</f>
        <v>0</v>
      </c>
      <c r="AA20" s="16">
        <f>+SUM('Monthly Energy Data'!AM152:AM163)</f>
        <v>0</v>
      </c>
      <c r="AB20" s="16">
        <f>+SUM('Monthly Energy Data'!AN152:AN163)</f>
        <v>0</v>
      </c>
      <c r="AC20" s="16">
        <f>+SUM('Monthly Energy Data'!AO152:AO163)</f>
        <v>0</v>
      </c>
      <c r="AD20" s="16">
        <f>+SUM('Monthly Energy Data'!AP152:AP163)</f>
        <v>0</v>
      </c>
      <c r="AE20" s="16">
        <f>+SUM('Monthly Energy Data'!AQ152:AQ163)</f>
        <v>82960</v>
      </c>
      <c r="AF20" s="16">
        <f>+SUM('Monthly Energy Data'!AR152:AR163)</f>
        <v>19520</v>
      </c>
      <c r="AG20" s="16">
        <f>+SUM('Monthly Energy Data'!AS152:AS163)</f>
        <v>0</v>
      </c>
      <c r="AH20" s="16">
        <f>+SUM('Monthly Energy Data'!AT152:AT163)</f>
        <v>0</v>
      </c>
      <c r="AI20" s="16">
        <f>+SUM('Monthly Energy Data'!AU152:AU163)</f>
        <v>1050.2040000000002</v>
      </c>
      <c r="AJ20" s="16">
        <f>+SUM('Monthly Energy Data'!AV152:AV163)</f>
        <v>39981.139000000003</v>
      </c>
      <c r="AK20" s="16">
        <f>+SUM('Monthly Energy Data'!AW152:AW163)</f>
        <v>34.4202647280256</v>
      </c>
      <c r="AL20" s="16">
        <f>+SUM('Monthly Energy Data'!AX152:AX163)</f>
        <v>81.366883399209485</v>
      </c>
      <c r="AM20" s="16">
        <f>+SUM('Monthly Energy Data'!AY152:AY163)</f>
        <v>13621.04375112</v>
      </c>
      <c r="AN20" s="16">
        <f>+SUM('Monthly Energy Data'!AZ152:AZ163)</f>
        <v>2203.9268419518794</v>
      </c>
      <c r="AO20" s="16">
        <f>+SUM('Monthly Energy Data'!BA152:BA163)</f>
        <v>21852.818120600001</v>
      </c>
      <c r="AP20" s="16">
        <f>+SUM('Monthly Energy Data'!BB152:BB163)</f>
        <v>21870.601500000001</v>
      </c>
      <c r="AQ20" s="16">
        <f>+SUM('Monthly Energy Data'!BC152:BC163)</f>
        <v>0</v>
      </c>
      <c r="AR20" s="16">
        <f>+SUM('Monthly Energy Data'!BD152:BD163)</f>
        <v>0</v>
      </c>
      <c r="AS20" s="16">
        <f>+SUM('Monthly Energy Data'!BE152:BE163)</f>
        <v>0</v>
      </c>
      <c r="AT20" s="16">
        <f>+SUM('Monthly Energy Data'!BF152:BF163)</f>
        <v>0</v>
      </c>
      <c r="AU20" s="16">
        <f>+SUM('Monthly Energy Data'!BG152:BG163)</f>
        <v>0</v>
      </c>
      <c r="AV20" s="16">
        <f>+SUM('Monthly Energy Data'!BH152:BH163)</f>
        <v>0</v>
      </c>
      <c r="AW20" s="16">
        <f>+SUM('Monthly Energy Data'!BI152:BI163)</f>
        <v>0</v>
      </c>
      <c r="AX20" s="16">
        <f>+SUM('Monthly Energy Data'!BJ152:BJ163)</f>
        <v>0</v>
      </c>
      <c r="AY20" s="16">
        <f>+SUM('Monthly Energy Data'!BK152:BK163)</f>
        <v>0</v>
      </c>
      <c r="AZ20" s="16">
        <f>+SUM('Monthly Energy Data'!BL152:BL163)</f>
        <v>0</v>
      </c>
      <c r="BA20" s="16">
        <f>+SUM('Monthly Energy Data'!BM152:BM163)</f>
        <v>0</v>
      </c>
      <c r="BB20" s="16">
        <f>+SUM('Monthly Energy Data'!BN152:BN163)</f>
        <v>0</v>
      </c>
      <c r="BC20" s="16">
        <f>+SUM('Monthly Energy Data'!BO152:BO163)</f>
        <v>0</v>
      </c>
      <c r="BD20" s="16">
        <f>+SUM('Monthly Energy Data'!BP152:BP163)</f>
        <v>23424</v>
      </c>
      <c r="BE20" s="16">
        <f>+SUM('Monthly Energy Data'!BQ152:BQ163)</f>
        <v>1547.9590720576043</v>
      </c>
      <c r="BF20" s="16">
        <f>+SUM('Monthly Energy Data'!BR152:BR163)</f>
        <v>2022.0728643430239</v>
      </c>
      <c r="BG20" s="16">
        <f>+SUM('Monthly Energy Data'!BS152:BS163)</f>
        <v>7318.1897458087387</v>
      </c>
      <c r="BH20" s="16">
        <f>+SUM('Monthly Energy Data'!BT152:BT163)</f>
        <v>2496.0633875839344</v>
      </c>
      <c r="BI20" s="16">
        <f>+SUM('Monthly Energy Data'!BU152:BU163)</f>
        <v>2730.1972840272051</v>
      </c>
      <c r="BJ20" s="16">
        <f>SUM('Monthly Energy Data'!BV$152:BX$163)</f>
        <v>0</v>
      </c>
      <c r="BK20" s="16">
        <f>+SUM('Monthly Energy Data'!BY152:BY163)</f>
        <v>0</v>
      </c>
      <c r="BL20" s="16">
        <f>+SUM('Monthly Energy Data'!BZ152:BZ163)</f>
        <v>78624</v>
      </c>
      <c r="BM20" s="16">
        <f>+SUM('Monthly Energy Data'!CA152:CA163)</f>
        <v>43920</v>
      </c>
      <c r="BN20" s="16">
        <f>+SUM('Monthly Energy Data'!CB152:CB163)</f>
        <v>43920</v>
      </c>
      <c r="BO20" s="34">
        <f>+SUM('Monthly Energy Data'!CC152:CC163)</f>
        <v>0</v>
      </c>
      <c r="BP20" s="16">
        <f>+SUM('Monthly Energy Data'!CD152:CD163)</f>
        <v>48.620000000000005</v>
      </c>
      <c r="BQ20" s="16">
        <f>+SUM('Monthly Energy Data'!CE152:CE163)</f>
        <v>0</v>
      </c>
      <c r="BR20" s="16">
        <f>+SUM('Monthly Energy Data'!CF152:CF163)</f>
        <v>1609</v>
      </c>
      <c r="BS20" s="16">
        <f>+SUM('Monthly Energy Data'!CG152:CG163)</f>
        <v>0</v>
      </c>
      <c r="BT20" s="16">
        <f>+SUM('Monthly Energy Data'!CH152:CH163)</f>
        <v>0</v>
      </c>
      <c r="BU20" s="16">
        <f>+SUM('Monthly Energy Data'!CI152:CI163)</f>
        <v>0</v>
      </c>
      <c r="BV20" s="26">
        <f>+SUM('Monthly Energy Data'!CJ152:CJ163)</f>
        <v>21870.601500000001</v>
      </c>
      <c r="BW20" s="34">
        <f>+SUM('Monthly Energy Data'!CK152:CK163)</f>
        <v>410835.62271561963</v>
      </c>
      <c r="BX20" s="34">
        <f>+SUM('Monthly Energy Data'!CL152:CL163)</f>
        <v>-410835.62271561963</v>
      </c>
      <c r="BY20" s="34">
        <f>+SUM('Monthly Energy Data'!CM152:CM163)</f>
        <v>-410835.62271561963</v>
      </c>
      <c r="BZ20" s="34">
        <f>+SUM('Monthly Energy Data'!CN152:CN163)</f>
        <v>-410835.62271561963</v>
      </c>
      <c r="CA20" s="34">
        <f>+SUM('Monthly Energy Data'!CO152:CO163)</f>
        <v>-410835.62271561963</v>
      </c>
      <c r="CB20" s="36">
        <f>+SUM('Monthly Energy Data'!CP152:CP163)</f>
        <v>-410835.62271561963</v>
      </c>
      <c r="CC20" s="34">
        <f>+SUM('Monthly Energy Data'!CQ152:CQ163)</f>
        <v>-410835.62271561963</v>
      </c>
      <c r="CD20" s="34">
        <f>+SUM('Monthly Energy Data'!CR152:CR163)</f>
        <v>-410835.62271561963</v>
      </c>
      <c r="CE20" s="34">
        <f>+SUM('Monthly Energy Data'!CS152:CS163)</f>
        <v>-410835.62271561963</v>
      </c>
      <c r="CF20" s="34">
        <f>+SUM('Monthly Energy Data'!CT152:CT163)</f>
        <v>-410835.62271561963</v>
      </c>
      <c r="CG20" s="81"/>
      <c r="CH20" s="16">
        <f>+SUM('Monthly Energy Data'!DD152:DD163)</f>
        <v>0</v>
      </c>
      <c r="CI20" s="16">
        <f>+SUM('Monthly Energy Data'!DE152:DE163)</f>
        <v>0</v>
      </c>
      <c r="CJ20" s="16">
        <f>+SUM('Monthly Energy Data'!DF152:DF163)</f>
        <v>0</v>
      </c>
      <c r="CK20" s="16">
        <f>+SUM('Monthly Energy Data'!DG152:DG163)</f>
        <v>0</v>
      </c>
      <c r="CL20" s="16">
        <f>+SUM('Monthly Energy Data'!DH152:DH163)</f>
        <v>0</v>
      </c>
      <c r="CM20" s="16">
        <f>+SUM('Monthly Energy Data'!DI152:DI163)</f>
        <v>0</v>
      </c>
      <c r="CN20" s="16">
        <f>+SUM('Monthly Energy Data'!DJ152:DJ163)</f>
        <v>0</v>
      </c>
      <c r="CO20" s="16">
        <f>+SUM('Monthly Energy Data'!DK152:DK163)</f>
        <v>0</v>
      </c>
      <c r="CP20" s="16">
        <f>+SUM('Monthly Energy Data'!DL152:DL163)</f>
        <v>0</v>
      </c>
      <c r="CQ20" s="16">
        <f>+SUM('Monthly Energy Data'!DM152:DM163)</f>
        <v>0</v>
      </c>
      <c r="CR20" s="16">
        <f>+SUM('Monthly Energy Data'!DN152:DN163)</f>
        <v>410835.62271561963</v>
      </c>
      <c r="CS20" s="16">
        <f>+SUM('Monthly Energy Data'!DO152:DO163)</f>
        <v>-410835.62271561963</v>
      </c>
      <c r="CT20" s="16">
        <f>+SUM('Monthly Energy Data'!DP152:DP163)</f>
        <v>-410835.62271561963</v>
      </c>
      <c r="CU20" s="16">
        <f>+SUM('Monthly Energy Data'!DQ152:DQ163)</f>
        <v>-410835.62271561963</v>
      </c>
      <c r="CV20" s="16">
        <f>+SUM('Monthly Energy Data'!DR152:DR163)</f>
        <v>-410835.62271561963</v>
      </c>
      <c r="CW20" s="16">
        <f>+SUM('Monthly Energy Data'!DS152:DS163)</f>
        <v>-410835.62271561963</v>
      </c>
      <c r="CX20" s="16">
        <f>+SUM('Monthly Energy Data'!DT152:DT163)</f>
        <v>-410835.62271561963</v>
      </c>
      <c r="CY20" s="16">
        <f>+SUM('Monthly Energy Data'!DU152:DU163)</f>
        <v>-410835.62271561963</v>
      </c>
      <c r="CZ20" s="16">
        <f>+SUM('Monthly Energy Data'!DV152:DV163)</f>
        <v>-410835.62271561963</v>
      </c>
      <c r="DA20" s="16">
        <f>+SUM('Monthly Energy Data'!DW152:DW163)</f>
        <v>-410835.62271561963</v>
      </c>
      <c r="DB20" s="78"/>
      <c r="DC20" s="78"/>
      <c r="DD20" s="78"/>
      <c r="DE20" s="78"/>
      <c r="DF20" s="19" t="e">
        <f t="shared" si="4"/>
        <v>#DIV/0!</v>
      </c>
      <c r="DG20" s="78"/>
      <c r="DH20" s="78"/>
      <c r="DI20" s="78"/>
      <c r="DJ20" s="78"/>
      <c r="DK20" s="78"/>
      <c r="DL20" s="58"/>
      <c r="DM20" s="58"/>
      <c r="DN20" s="58"/>
      <c r="DO20" s="58"/>
      <c r="DP20" s="58"/>
      <c r="DQ20" s="58"/>
      <c r="DR20" s="58"/>
      <c r="DS20" s="58"/>
      <c r="DT20" s="58"/>
      <c r="DU20" s="58"/>
      <c r="DV20" s="58"/>
      <c r="DW20" s="58"/>
      <c r="DX20" s="68" t="e">
        <f t="shared" si="3"/>
        <v>#DIV/0!</v>
      </c>
      <c r="DZ20" s="68" t="e">
        <f t="shared" si="0"/>
        <v>#DIV/0!</v>
      </c>
      <c r="EA20" s="68" t="e">
        <f t="shared" si="1"/>
        <v>#DIV/0!</v>
      </c>
      <c r="EB20" s="68" t="e">
        <f t="shared" si="2"/>
        <v>#DIV/0!</v>
      </c>
      <c r="EN20" s="86" t="s">
        <v>64</v>
      </c>
      <c r="EO20" s="87">
        <v>42370</v>
      </c>
      <c r="EP20" s="89"/>
      <c r="EQ20" s="88">
        <v>13449</v>
      </c>
      <c r="ER20" s="86" t="s">
        <v>110</v>
      </c>
      <c r="FJ20" s="68"/>
    </row>
    <row r="21" spans="1:166" x14ac:dyDescent="0.2">
      <c r="A21" s="15">
        <f>+'Monthly Energy Data'!D164</f>
        <v>2021</v>
      </c>
      <c r="B21" s="16">
        <f>+SUM('Monthly Energy Data'!G164:G175)</f>
        <v>0</v>
      </c>
      <c r="C21" s="16">
        <f>+SUM('Monthly Energy Data'!H164:H175)</f>
        <v>0</v>
      </c>
      <c r="D21" s="16">
        <f>+SUM('Monthly Energy Data'!I164:I175)</f>
        <v>0</v>
      </c>
      <c r="E21" s="16">
        <f>+SUM('Monthly Energy Data'!J164:J175)</f>
        <v>0</v>
      </c>
      <c r="F21" s="16">
        <f>+SUM('Monthly Energy Data'!K164:K175)</f>
        <v>0</v>
      </c>
      <c r="G21" s="16">
        <f>+SUM('Monthly Energy Data'!L164:L175)</f>
        <v>0</v>
      </c>
      <c r="H21" s="16">
        <f>+SUM('Monthly Energy Data'!$M$164:$O$175)</f>
        <v>0</v>
      </c>
      <c r="I21" s="16">
        <f>+SUM('Monthly Energy Data'!P164:P175)</f>
        <v>0</v>
      </c>
      <c r="J21" s="16">
        <f>+SUM('Monthly Energy Data'!Q164:Q175)</f>
        <v>0</v>
      </c>
      <c r="K21" s="16">
        <f>+SUM('Monthly Energy Data'!R164:R175)</f>
        <v>0</v>
      </c>
      <c r="L21" s="16">
        <f>+SUM('Monthly Energy Data'!S164:S175)</f>
        <v>0</v>
      </c>
      <c r="M21" s="16">
        <f>+SUM('Monthly Energy Data'!T164:T175)</f>
        <v>0</v>
      </c>
      <c r="N21" s="16">
        <f>+SUM('Monthly Energy Data'!U164:U175)</f>
        <v>0</v>
      </c>
      <c r="O21" s="16">
        <f>+SUM('Monthly Energy Data'!V164:V175)</f>
        <v>0</v>
      </c>
      <c r="P21" s="16">
        <f>+SUM('Monthly Energy Data'!W164:W175)</f>
        <v>0</v>
      </c>
      <c r="Q21" s="16">
        <f>+SUM('Monthly Energy Data'!X164:X175)</f>
        <v>0</v>
      </c>
      <c r="R21" s="16">
        <f>+SUM('Monthly Energy Data'!Y164:Y175)</f>
        <v>0</v>
      </c>
      <c r="S21" s="16">
        <f>+SUM('Monthly Energy Data'!Z164:Z175)</f>
        <v>0</v>
      </c>
      <c r="T21" s="16">
        <f>+SUM('Monthly Energy Data'!AA164:AA175)</f>
        <v>0</v>
      </c>
      <c r="U21" s="16">
        <f>+'Tier 3 Data'!F16</f>
        <v>0</v>
      </c>
      <c r="V21" s="16">
        <f>+'Tier 3 Data'!G16</f>
        <v>0</v>
      </c>
      <c r="W21" s="16">
        <f>+'Tier 3 Data'!H16</f>
        <v>0</v>
      </c>
      <c r="X21" s="16">
        <f>+'Tier 3 Data'!I16</f>
        <v>4.6666666666666669E-2</v>
      </c>
      <c r="Y21" s="81"/>
      <c r="Z21" s="16">
        <f>+SUM('Monthly Energy Data'!AL164:AL175)</f>
        <v>0</v>
      </c>
      <c r="AA21" s="16">
        <f>+SUM('Monthly Energy Data'!AM164:AM175)</f>
        <v>0</v>
      </c>
      <c r="AB21" s="16">
        <f>+SUM('Monthly Energy Data'!AN164:AN175)</f>
        <v>0</v>
      </c>
      <c r="AC21" s="16">
        <f>+SUM('Monthly Energy Data'!AO164:AO175)</f>
        <v>0</v>
      </c>
      <c r="AD21" s="16">
        <f>+SUM('Monthly Energy Data'!AP164:AP175)</f>
        <v>0</v>
      </c>
      <c r="AE21" s="16">
        <f>+SUM('Monthly Energy Data'!AQ164:AQ175)</f>
        <v>0</v>
      </c>
      <c r="AF21" s="16">
        <f>+SUM('Monthly Energy Data'!AR164:AR175)</f>
        <v>116800</v>
      </c>
      <c r="AG21" s="16">
        <f>+SUM('Monthly Energy Data'!AS164:AS175)</f>
        <v>0</v>
      </c>
      <c r="AH21" s="16">
        <f>+SUM('Monthly Energy Data'!AT164:AT175)</f>
        <v>0</v>
      </c>
      <c r="AI21" s="16">
        <f>+SUM('Monthly Energy Data'!AU164:AU175)</f>
        <v>1050.2040000000002</v>
      </c>
      <c r="AJ21" s="16">
        <f>+SUM('Monthly Energy Data'!AV164:AV175)</f>
        <v>39981.139000000003</v>
      </c>
      <c r="AK21" s="16">
        <f>+SUM('Monthly Energy Data'!AW164:AW175)</f>
        <v>34.4202647280256</v>
      </c>
      <c r="AL21" s="16">
        <f>+SUM('Monthly Energy Data'!AX164:AX175)</f>
        <v>81.366883399209485</v>
      </c>
      <c r="AM21" s="16">
        <f>+SUM('Monthly Energy Data'!AY164:AY175)</f>
        <v>13621.04375112</v>
      </c>
      <c r="AN21" s="16">
        <f>+SUM('Monthly Energy Data'!AZ164:AZ175)</f>
        <v>0</v>
      </c>
      <c r="AO21" s="16">
        <f>+SUM('Monthly Energy Data'!BA164:BA175)</f>
        <v>21852.818120600001</v>
      </c>
      <c r="AP21" s="16">
        <f>+SUM('Monthly Energy Data'!BB164:BB175)</f>
        <v>17159.5815</v>
      </c>
      <c r="AQ21" s="16">
        <f>+SUM('Monthly Energy Data'!BC164:BC175)</f>
        <v>0</v>
      </c>
      <c r="AR21" s="16">
        <f>+SUM('Monthly Energy Data'!BD164:BD175)</f>
        <v>0</v>
      </c>
      <c r="AS21" s="16">
        <f>+SUM('Monthly Energy Data'!BE164:BE175)</f>
        <v>0</v>
      </c>
      <c r="AT21" s="16">
        <f>+SUM('Monthly Energy Data'!BF164:BF175)</f>
        <v>0</v>
      </c>
      <c r="AU21" s="16">
        <f>+SUM('Monthly Energy Data'!BG164:BG175)</f>
        <v>0</v>
      </c>
      <c r="AV21" s="16">
        <f>+SUM('Monthly Energy Data'!BH164:BH175)</f>
        <v>0</v>
      </c>
      <c r="AW21" s="16">
        <f>+SUM('Monthly Energy Data'!BI164:BI175)</f>
        <v>0</v>
      </c>
      <c r="AX21" s="16">
        <f>+SUM('Monthly Energy Data'!BJ164:BJ175)</f>
        <v>0</v>
      </c>
      <c r="AY21" s="16">
        <f>+SUM('Monthly Energy Data'!BK164:BK175)</f>
        <v>0</v>
      </c>
      <c r="AZ21" s="16">
        <f>+SUM('Monthly Energy Data'!BL164:BL175)</f>
        <v>0</v>
      </c>
      <c r="BA21" s="16">
        <f>+SUM('Monthly Energy Data'!BM164:BM175)</f>
        <v>0</v>
      </c>
      <c r="BB21" s="16">
        <f>+SUM('Monthly Energy Data'!BN164:BN175)</f>
        <v>0</v>
      </c>
      <c r="BC21" s="16">
        <f>+SUM('Monthly Energy Data'!BO164:BO175)</f>
        <v>0</v>
      </c>
      <c r="BD21" s="16">
        <f>+SUM('Monthly Energy Data'!BP164:BP175)</f>
        <v>23360</v>
      </c>
      <c r="BE21" s="16">
        <f>+SUM('Monthly Energy Data'!BQ164:BQ175)</f>
        <v>1540.2192766973164</v>
      </c>
      <c r="BF21" s="16">
        <f>+SUM('Monthly Energy Data'!BR164:BR175)</f>
        <v>2011.9625000213089</v>
      </c>
      <c r="BG21" s="16">
        <f>+SUM('Monthly Energy Data'!BS164:BS175)</f>
        <v>7281.5987970796941</v>
      </c>
      <c r="BH21" s="16">
        <f>+SUM('Monthly Energy Data'!BT164:BT175)</f>
        <v>2483.5830706460142</v>
      </c>
      <c r="BI21" s="16">
        <f>+SUM('Monthly Energy Data'!BU164:BU175)</f>
        <v>2716.5462976070689</v>
      </c>
      <c r="BJ21" s="16">
        <f>SUM('Monthly Energy Data'!BV$164:BX$175)</f>
        <v>0</v>
      </c>
      <c r="BK21" s="16">
        <f>+SUM('Monthly Energy Data'!BY164:BY175)</f>
        <v>0</v>
      </c>
      <c r="BL21" s="16">
        <f>+SUM('Monthly Energy Data'!BZ164:BZ175)</f>
        <v>78156</v>
      </c>
      <c r="BM21" s="16">
        <f>+SUM('Monthly Energy Data'!CA164:CA175)</f>
        <v>0</v>
      </c>
      <c r="BN21" s="16">
        <f>+SUM('Monthly Energy Data'!CB164:CB175)</f>
        <v>0</v>
      </c>
      <c r="BO21" s="34">
        <f>+SUM('Monthly Energy Data'!CC164:CC175)</f>
        <v>0</v>
      </c>
      <c r="BP21" s="16">
        <f>+SUM('Monthly Energy Data'!CD164:CD175)</f>
        <v>48.620000000000005</v>
      </c>
      <c r="BQ21" s="16">
        <f>+SUM('Monthly Energy Data'!CE164:CE175)</f>
        <v>0</v>
      </c>
      <c r="BR21" s="16">
        <f>+SUM('Monthly Energy Data'!CF164:CF175)</f>
        <v>8618</v>
      </c>
      <c r="BS21" s="16">
        <f>+SUM('Monthly Energy Data'!CG164:CG175)</f>
        <v>0</v>
      </c>
      <c r="BT21" s="16">
        <f>+SUM('Monthly Energy Data'!CH164:CH175)</f>
        <v>0</v>
      </c>
      <c r="BU21" s="16">
        <f>+SUM('Monthly Energy Data'!CI164:CI175)</f>
        <v>0</v>
      </c>
      <c r="BV21" s="26">
        <f>+SUM('Monthly Energy Data'!CJ164:CJ175)</f>
        <v>26397.336403462803</v>
      </c>
      <c r="BW21" s="34">
        <f>+SUM('Monthly Energy Data'!CK164:CK175)</f>
        <v>336797.10346189863</v>
      </c>
      <c r="BX21" s="34">
        <f>+SUM('Monthly Energy Data'!CL164:CL175)</f>
        <v>-336797.10346189863</v>
      </c>
      <c r="BY21" s="34">
        <f>+SUM('Monthly Energy Data'!CM164:CM175)</f>
        <v>-336797.10346189863</v>
      </c>
      <c r="BZ21" s="34">
        <f>+SUM('Monthly Energy Data'!CN164:CN175)</f>
        <v>-336797.10346189863</v>
      </c>
      <c r="CA21" s="34">
        <f>+SUM('Monthly Energy Data'!CO164:CO175)</f>
        <v>-336797.10346189863</v>
      </c>
      <c r="CB21" s="36">
        <f>+SUM('Monthly Energy Data'!CP164:CP175)</f>
        <v>-336797.10346189863</v>
      </c>
      <c r="CC21" s="34">
        <f>+SUM('Monthly Energy Data'!CQ164:CQ175)</f>
        <v>-336797.10346189863</v>
      </c>
      <c r="CD21" s="34">
        <f>+SUM('Monthly Energy Data'!CR164:CR175)</f>
        <v>-336797.10346189863</v>
      </c>
      <c r="CE21" s="34">
        <f>+SUM('Monthly Energy Data'!CS164:CS175)</f>
        <v>-336797.10346189863</v>
      </c>
      <c r="CF21" s="34">
        <f>+SUM('Monthly Energy Data'!CT164:CT175)</f>
        <v>-336797.10346189863</v>
      </c>
      <c r="CG21" s="81"/>
      <c r="CH21" s="16">
        <f>+SUM('Monthly Energy Data'!DD164:DD175)</f>
        <v>0</v>
      </c>
      <c r="CI21" s="16">
        <f>+SUM('Monthly Energy Data'!DE164:DE175)</f>
        <v>0</v>
      </c>
      <c r="CJ21" s="16">
        <f>+SUM('Monthly Energy Data'!DF164:DF175)</f>
        <v>0</v>
      </c>
      <c r="CK21" s="16">
        <f>+SUM('Monthly Energy Data'!DG164:DG175)</f>
        <v>0</v>
      </c>
      <c r="CL21" s="16">
        <f>+SUM('Monthly Energy Data'!DH164:DH175)</f>
        <v>0</v>
      </c>
      <c r="CM21" s="16">
        <f>+SUM('Monthly Energy Data'!DI164:DI175)</f>
        <v>0</v>
      </c>
      <c r="CN21" s="16">
        <f>+SUM('Monthly Energy Data'!DJ164:DJ175)</f>
        <v>0</v>
      </c>
      <c r="CO21" s="16">
        <f>+SUM('Monthly Energy Data'!DK164:DK175)</f>
        <v>0</v>
      </c>
      <c r="CP21" s="16">
        <f>+SUM('Monthly Energy Data'!DL164:DL175)</f>
        <v>0</v>
      </c>
      <c r="CQ21" s="16">
        <f>+SUM('Monthly Energy Data'!DM164:DM175)</f>
        <v>0</v>
      </c>
      <c r="CR21" s="16">
        <f>+SUM('Monthly Energy Data'!DN164:DN175)</f>
        <v>336797.10346189863</v>
      </c>
      <c r="CS21" s="16">
        <f>+SUM('Monthly Energy Data'!DO164:DO175)</f>
        <v>-336797.10346189863</v>
      </c>
      <c r="CT21" s="16">
        <f>+SUM('Monthly Energy Data'!DP164:DP175)</f>
        <v>-336797.10346189863</v>
      </c>
      <c r="CU21" s="16">
        <f>+SUM('Monthly Energy Data'!DQ164:DQ175)</f>
        <v>-336797.10346189863</v>
      </c>
      <c r="CV21" s="16">
        <f>+SUM('Monthly Energy Data'!DR164:DR175)</f>
        <v>-336797.10346189863</v>
      </c>
      <c r="CW21" s="16">
        <f>+SUM('Monthly Energy Data'!DS164:DS175)</f>
        <v>-336797.10346189863</v>
      </c>
      <c r="CX21" s="16">
        <f>+SUM('Monthly Energy Data'!DT164:DT175)</f>
        <v>-336797.10346189863</v>
      </c>
      <c r="CY21" s="16">
        <f>+SUM('Monthly Energy Data'!DU164:DU175)</f>
        <v>-336797.10346189863</v>
      </c>
      <c r="CZ21" s="16">
        <f>+SUM('Monthly Energy Data'!DV164:DV175)</f>
        <v>-336797.10346189863</v>
      </c>
      <c r="DA21" s="16">
        <f>+SUM('Monthly Energy Data'!DW164:DW175)</f>
        <v>-336797.10346189863</v>
      </c>
      <c r="DB21" s="78"/>
      <c r="DC21" s="78"/>
      <c r="DD21" s="78"/>
      <c r="DE21" s="78"/>
      <c r="DF21" s="19" t="e">
        <f t="shared" si="4"/>
        <v>#DIV/0!</v>
      </c>
      <c r="DG21" s="78"/>
      <c r="DH21" s="78"/>
      <c r="DI21" s="78"/>
      <c r="DJ21" s="78"/>
      <c r="DK21" s="78"/>
      <c r="DL21" s="58"/>
      <c r="DM21" s="58"/>
      <c r="DN21" s="58"/>
      <c r="DO21" s="58"/>
      <c r="DP21" s="58"/>
      <c r="DQ21" s="58"/>
      <c r="DR21" s="58"/>
      <c r="DS21" s="58"/>
      <c r="DT21" s="58"/>
      <c r="DU21" s="58"/>
      <c r="DV21" s="58"/>
      <c r="DW21" s="58"/>
      <c r="DX21" s="68" t="e">
        <f t="shared" si="3"/>
        <v>#DIV/0!</v>
      </c>
      <c r="DZ21" s="68" t="e">
        <f t="shared" si="0"/>
        <v>#DIV/0!</v>
      </c>
      <c r="EA21" s="68" t="e">
        <f t="shared" si="1"/>
        <v>#DIV/0!</v>
      </c>
      <c r="EB21" s="68" t="e">
        <f t="shared" si="2"/>
        <v>#DIV/0!</v>
      </c>
      <c r="EN21" s="86" t="s">
        <v>28</v>
      </c>
      <c r="EO21" s="87">
        <v>42370</v>
      </c>
      <c r="EP21" s="87">
        <v>50405</v>
      </c>
      <c r="EQ21" s="88">
        <v>23571</v>
      </c>
      <c r="ER21" s="86" t="s">
        <v>110</v>
      </c>
      <c r="FJ21" s="68"/>
    </row>
    <row r="22" spans="1:166" x14ac:dyDescent="0.2">
      <c r="A22" s="15">
        <f>+'Monthly Energy Data'!D176</f>
        <v>2022</v>
      </c>
      <c r="B22" s="16">
        <f>+SUM('Monthly Energy Data'!G176:G187)</f>
        <v>0</v>
      </c>
      <c r="C22" s="16">
        <f>+SUM('Monthly Energy Data'!H176:H187)</f>
        <v>0</v>
      </c>
      <c r="D22" s="16">
        <f>+SUM('Monthly Energy Data'!I176:I187)</f>
        <v>0</v>
      </c>
      <c r="E22" s="16">
        <f>+SUM('Monthly Energy Data'!J176:J187)</f>
        <v>0</v>
      </c>
      <c r="F22" s="16">
        <f>+SUM('Monthly Energy Data'!K176:K187)</f>
        <v>0</v>
      </c>
      <c r="G22" s="16">
        <f>+SUM('Monthly Energy Data'!L176:L187)</f>
        <v>0</v>
      </c>
      <c r="H22" s="16">
        <f>+SUM('Monthly Energy Data'!$M$176:$O$187)</f>
        <v>0</v>
      </c>
      <c r="I22" s="16">
        <f>+SUM('Monthly Energy Data'!P176:P187)</f>
        <v>0</v>
      </c>
      <c r="J22" s="16">
        <f>+SUM('Monthly Energy Data'!Q176:Q187)</f>
        <v>0</v>
      </c>
      <c r="K22" s="16">
        <f>+SUM('Monthly Energy Data'!R176:R187)</f>
        <v>0</v>
      </c>
      <c r="L22" s="16">
        <f>+SUM('Monthly Energy Data'!S176:S187)</f>
        <v>0</v>
      </c>
      <c r="M22" s="16">
        <f>+SUM('Monthly Energy Data'!T176:T187)</f>
        <v>0</v>
      </c>
      <c r="N22" s="16">
        <f>+SUM('Monthly Energy Data'!U176:U187)</f>
        <v>0</v>
      </c>
      <c r="O22" s="16">
        <f>+SUM('Monthly Energy Data'!V176:V187)</f>
        <v>0</v>
      </c>
      <c r="P22" s="16">
        <f>+SUM('Monthly Energy Data'!W176:W187)</f>
        <v>0</v>
      </c>
      <c r="Q22" s="16">
        <f>+SUM('Monthly Energy Data'!X176:X187)</f>
        <v>0</v>
      </c>
      <c r="R22" s="16">
        <f>+SUM('Monthly Energy Data'!Y176:Y187)</f>
        <v>0</v>
      </c>
      <c r="S22" s="16">
        <f>+SUM('Monthly Energy Data'!Z176:Z187)</f>
        <v>0</v>
      </c>
      <c r="T22" s="16">
        <f>+SUM('Monthly Energy Data'!AA176:AA187)</f>
        <v>0</v>
      </c>
      <c r="U22" s="16">
        <f>+'Tier 3 Data'!F17</f>
        <v>0</v>
      </c>
      <c r="V22" s="16">
        <f>+'Tier 3 Data'!G17</f>
        <v>0</v>
      </c>
      <c r="W22" s="16">
        <f>+'Tier 3 Data'!H17</f>
        <v>0</v>
      </c>
      <c r="X22" s="16">
        <f>+'Tier 3 Data'!I17</f>
        <v>0</v>
      </c>
      <c r="Y22" s="81"/>
      <c r="Z22" s="16">
        <f>+SUM('Monthly Energy Data'!AL176:AL187)</f>
        <v>0</v>
      </c>
      <c r="AA22" s="16">
        <f>+SUM('Monthly Energy Data'!AM176:AM187)</f>
        <v>0</v>
      </c>
      <c r="AB22" s="16">
        <f>+SUM('Monthly Energy Data'!AN176:AN187)</f>
        <v>0</v>
      </c>
      <c r="AC22" s="16">
        <f>+SUM('Monthly Energy Data'!AO176:AO187)</f>
        <v>0</v>
      </c>
      <c r="AD22" s="16">
        <f>+SUM('Monthly Energy Data'!AP176:AP187)</f>
        <v>39408</v>
      </c>
      <c r="AE22" s="16">
        <f>+SUM('Monthly Energy Data'!AQ176:AQ187)</f>
        <v>0</v>
      </c>
      <c r="AF22" s="16">
        <f>+SUM('Monthly Energy Data'!AR176:AR187)</f>
        <v>116800</v>
      </c>
      <c r="AG22" s="16">
        <f>+SUM('Monthly Energy Data'!AS176:AS187)</f>
        <v>0</v>
      </c>
      <c r="AH22" s="16">
        <f>+SUM('Monthly Energy Data'!AT176:AT187)</f>
        <v>0</v>
      </c>
      <c r="AI22" s="16">
        <f>+SUM('Monthly Energy Data'!AU176:AU187)</f>
        <v>844.50599999999997</v>
      </c>
      <c r="AJ22" s="16">
        <f>+SUM('Monthly Energy Data'!AV176:AV187)</f>
        <v>45143.097000000002</v>
      </c>
      <c r="AK22" s="16">
        <f>+SUM('Monthly Energy Data'!AW176:AW187)</f>
        <v>37.308737435897434</v>
      </c>
      <c r="AL22" s="16">
        <f>+SUM('Monthly Energy Data'!AX176:AX187)</f>
        <v>80.685667692307689</v>
      </c>
      <c r="AM22" s="16">
        <f>+SUM('Monthly Energy Data'!AY176:AY187)</f>
        <v>13626.101309630476</v>
      </c>
      <c r="AN22" s="16">
        <f>+SUM('Monthly Energy Data'!AZ176:AZ187)</f>
        <v>0</v>
      </c>
      <c r="AO22" s="16">
        <f>+SUM('Monthly Energy Data'!BA176:BA187)</f>
        <v>21326.281999999999</v>
      </c>
      <c r="AP22" s="16">
        <f>+SUM('Monthly Energy Data'!BB176:BB187)</f>
        <v>0</v>
      </c>
      <c r="AQ22" s="16">
        <f>+SUM('Monthly Energy Data'!BC176:BC187)</f>
        <v>5104.8328325197499</v>
      </c>
      <c r="AR22" s="16">
        <f>+SUM('Monthly Energy Data'!BD176:BD187)</f>
        <v>160.98142115760004</v>
      </c>
      <c r="AS22" s="16">
        <f>+SUM('Monthly Energy Data'!BE176:BE187)</f>
        <v>0</v>
      </c>
      <c r="AT22" s="16">
        <f>+SUM('Monthly Energy Data'!BF176:BF187)</f>
        <v>2222.048648019861</v>
      </c>
      <c r="AU22" s="16">
        <f>+SUM('Monthly Energy Data'!BG176:BG187)</f>
        <v>0</v>
      </c>
      <c r="AV22" s="16">
        <f>+SUM('Monthly Energy Data'!BH176:BH187)</f>
        <v>631.47033189025001</v>
      </c>
      <c r="AW22" s="16">
        <f>+SUM('Monthly Energy Data'!BI176:BI187)</f>
        <v>6117.6692617717326</v>
      </c>
      <c r="AX22" s="16">
        <f>+SUM('Monthly Energy Data'!BJ176:BJ187)</f>
        <v>0</v>
      </c>
      <c r="AY22" s="16">
        <f>+SUM('Monthly Energy Data'!BK176:BK187)</f>
        <v>9.9617625000000007</v>
      </c>
      <c r="AZ22" s="16">
        <f>+SUM('Monthly Energy Data'!BL176:BL187)</f>
        <v>0</v>
      </c>
      <c r="BA22" s="16">
        <f>+SUM('Monthly Energy Data'!BM176:BM187)</f>
        <v>0</v>
      </c>
      <c r="BB22" s="16">
        <f>+SUM('Monthly Energy Data'!BN176:BN187)</f>
        <v>475.59491100521359</v>
      </c>
      <c r="BC22" s="16">
        <f>+SUM('Monthly Energy Data'!BO176:BO187)</f>
        <v>1564.1923451399998</v>
      </c>
      <c r="BD22" s="16">
        <f>+SUM('Monthly Energy Data'!BP176:BP187)</f>
        <v>23360</v>
      </c>
      <c r="BE22" s="16">
        <f>+SUM('Monthly Energy Data'!BQ176:BQ187)</f>
        <v>1532.51818031383</v>
      </c>
      <c r="BF22" s="16">
        <f>+SUM('Monthly Energy Data'!BR176:BR187)</f>
        <v>2001.9026875212026</v>
      </c>
      <c r="BG22" s="16">
        <f>+SUM('Monthly Energy Data'!BS176:BS187)</f>
        <v>7245.1908030942959</v>
      </c>
      <c r="BH22" s="16">
        <f>+SUM('Monthly Energy Data'!BT176:BT187)</f>
        <v>2482.2026793876735</v>
      </c>
      <c r="BI22" s="16">
        <f>+SUM('Monthly Energy Data'!BU176:BU187)</f>
        <v>2723.0291845376846</v>
      </c>
      <c r="BJ22" s="16">
        <f>SUM('Monthly Energy Data'!BV$176:BX$187)</f>
        <v>0</v>
      </c>
      <c r="BK22" s="16">
        <f>+SUM('Monthly Energy Data'!BY176:BY187)</f>
        <v>0</v>
      </c>
      <c r="BL22" s="16">
        <f>+SUM('Monthly Energy Data'!BZ176:BZ187)</f>
        <v>85410</v>
      </c>
      <c r="BM22" s="16">
        <f>+SUM('Monthly Energy Data'!CA176:CA187)</f>
        <v>18282.3</v>
      </c>
      <c r="BN22" s="16">
        <f>+SUM('Monthly Energy Data'!CB176:CB187)</f>
        <v>0</v>
      </c>
      <c r="BO22" s="34">
        <f>+SUM('Monthly Energy Data'!CC176:CC187)</f>
        <v>0</v>
      </c>
      <c r="BP22" s="16">
        <f>+SUM('Monthly Energy Data'!CD176:CD187)</f>
        <v>52.536120000000011</v>
      </c>
      <c r="BQ22" s="16">
        <f>+SUM('Monthly Energy Data'!CE176:CE187)</f>
        <v>0</v>
      </c>
      <c r="BR22" s="16">
        <f>+SUM('Monthly Energy Data'!CF176:CF187)</f>
        <v>15293</v>
      </c>
      <c r="BS22" s="16">
        <f>+SUM('Monthly Energy Data'!CG176:CG187)</f>
        <v>0</v>
      </c>
      <c r="BT22" s="16">
        <f>+SUM('Monthly Energy Data'!CH176:CH187)</f>
        <v>0</v>
      </c>
      <c r="BU22" s="16">
        <f>+SUM('Monthly Energy Data'!CI176:CI187)</f>
        <v>0</v>
      </c>
      <c r="BV22" s="26">
        <f>+SUM('Monthly Energy Data'!CJ176:CJ187)</f>
        <v>31289.869999999995</v>
      </c>
      <c r="BW22" s="34">
        <f>+SUM('Monthly Energy Data'!CK176:CK187)</f>
        <v>411935.41188361781</v>
      </c>
      <c r="BX22" s="34">
        <f>+SUM('Monthly Energy Data'!CL176:CL187)</f>
        <v>-411935.41188361781</v>
      </c>
      <c r="BY22" s="34">
        <f>+SUM('Monthly Energy Data'!CM176:CM187)</f>
        <v>-411935.41188361781</v>
      </c>
      <c r="BZ22" s="34">
        <f>+SUM('Monthly Energy Data'!CN176:CN187)</f>
        <v>-411935.41188361781</v>
      </c>
      <c r="CA22" s="34">
        <f>+SUM('Monthly Energy Data'!CO176:CO187)</f>
        <v>-411935.41188361781</v>
      </c>
      <c r="CB22" s="36">
        <f>+SUM('Monthly Energy Data'!CP176:CP187)</f>
        <v>-411935.41188361781</v>
      </c>
      <c r="CC22" s="34">
        <f>+SUM('Monthly Energy Data'!CQ176:CQ187)</f>
        <v>-411935.41188361781</v>
      </c>
      <c r="CD22" s="34">
        <f>+SUM('Monthly Energy Data'!CR176:CR187)</f>
        <v>-411935.41188361781</v>
      </c>
      <c r="CE22" s="34">
        <f>+SUM('Monthly Energy Data'!CS176:CS187)</f>
        <v>-411935.41188361781</v>
      </c>
      <c r="CF22" s="34">
        <f>+SUM('Monthly Energy Data'!CT176:CT187)</f>
        <v>-411935.41188361781</v>
      </c>
      <c r="CG22" s="81"/>
      <c r="CH22" s="16">
        <f>+SUM('Monthly Energy Data'!DD176:DD187)</f>
        <v>0</v>
      </c>
      <c r="CI22" s="16">
        <f>+SUM('Monthly Energy Data'!DE176:DE187)</f>
        <v>0</v>
      </c>
      <c r="CJ22" s="16">
        <f>+SUM('Monthly Energy Data'!DF176:DF187)</f>
        <v>0</v>
      </c>
      <c r="CK22" s="16">
        <f>+SUM('Monthly Energy Data'!DG176:DG187)</f>
        <v>0</v>
      </c>
      <c r="CL22" s="16">
        <f>+SUM('Monthly Energy Data'!DH176:DH187)</f>
        <v>0</v>
      </c>
      <c r="CM22" s="16">
        <f>+SUM('Monthly Energy Data'!DI176:DI187)</f>
        <v>0</v>
      </c>
      <c r="CN22" s="16">
        <f>+SUM('Monthly Energy Data'!DJ176:DJ187)</f>
        <v>0</v>
      </c>
      <c r="CO22" s="16">
        <f>+SUM('Monthly Energy Data'!DK176:DK187)</f>
        <v>0</v>
      </c>
      <c r="CP22" s="16">
        <f>+SUM('Monthly Energy Data'!DL176:DL187)</f>
        <v>0</v>
      </c>
      <c r="CQ22" s="16">
        <f>+SUM('Monthly Energy Data'!DM176:DM187)</f>
        <v>0</v>
      </c>
      <c r="CR22" s="16">
        <f>+SUM('Monthly Energy Data'!DN176:DN187)</f>
        <v>411935.41188361781</v>
      </c>
      <c r="CS22" s="16">
        <f>+SUM('Monthly Energy Data'!DO176:DO187)</f>
        <v>-411935.41188361781</v>
      </c>
      <c r="CT22" s="16">
        <f>+SUM('Monthly Energy Data'!DP176:DP187)</f>
        <v>-411935.41188361781</v>
      </c>
      <c r="CU22" s="16">
        <f>+SUM('Monthly Energy Data'!DQ176:DQ187)</f>
        <v>-411935.41188361781</v>
      </c>
      <c r="CV22" s="16">
        <f>+SUM('Monthly Energy Data'!DR176:DR187)</f>
        <v>-411935.41188361781</v>
      </c>
      <c r="CW22" s="16">
        <f>+SUM('Monthly Energy Data'!DS176:DS187)</f>
        <v>-411935.41188361781</v>
      </c>
      <c r="CX22" s="16">
        <f>+SUM('Monthly Energy Data'!DT176:DT187)</f>
        <v>-411935.41188361781</v>
      </c>
      <c r="CY22" s="16">
        <f>+SUM('Monthly Energy Data'!DU176:DU187)</f>
        <v>-411935.41188361781</v>
      </c>
      <c r="CZ22" s="16">
        <f>+SUM('Monthly Energy Data'!DV176:DV187)</f>
        <v>-411935.41188361781</v>
      </c>
      <c r="DA22" s="16">
        <f>+SUM('Monthly Energy Data'!DW176:DW187)</f>
        <v>-411935.41188361781</v>
      </c>
      <c r="DB22" s="78"/>
      <c r="DC22" s="78"/>
      <c r="DD22" s="78"/>
      <c r="DE22" s="78"/>
      <c r="DF22" s="19" t="e">
        <f t="shared" si="4"/>
        <v>#DIV/0!</v>
      </c>
      <c r="DG22" s="78"/>
      <c r="DH22" s="78"/>
      <c r="DI22" s="78"/>
      <c r="DJ22" s="78"/>
      <c r="DK22" s="78"/>
      <c r="DL22" s="58"/>
      <c r="DM22" s="58"/>
      <c r="DN22" s="58"/>
      <c r="DO22" s="58"/>
      <c r="DP22" s="58"/>
      <c r="DQ22" s="58"/>
      <c r="DR22" s="58"/>
      <c r="DS22" s="58"/>
      <c r="DT22" s="58"/>
      <c r="DU22" s="58"/>
      <c r="DV22" s="58"/>
      <c r="DW22" s="58"/>
      <c r="DX22" s="68" t="e">
        <f t="shared" si="3"/>
        <v>#DIV/0!</v>
      </c>
      <c r="DZ22" s="68" t="e">
        <f t="shared" si="0"/>
        <v>#DIV/0!</v>
      </c>
      <c r="EA22" s="68" t="e">
        <f t="shared" si="1"/>
        <v>#DIV/0!</v>
      </c>
      <c r="EB22" s="68" t="e">
        <f t="shared" si="2"/>
        <v>#DIV/0!</v>
      </c>
      <c r="EN22" s="86" t="s">
        <v>112</v>
      </c>
      <c r="EO22" s="87">
        <v>42370</v>
      </c>
      <c r="EP22" s="87">
        <v>44489</v>
      </c>
      <c r="EQ22" s="88">
        <v>23652</v>
      </c>
      <c r="ER22" s="86" t="s">
        <v>110</v>
      </c>
      <c r="FJ22" s="68"/>
    </row>
    <row r="23" spans="1:166" x14ac:dyDescent="0.2">
      <c r="A23" s="15">
        <f>+'Monthly Energy Data'!D188</f>
        <v>2023</v>
      </c>
      <c r="B23" s="16">
        <f>+SUM('Monthly Energy Data'!G188:G199)</f>
        <v>0</v>
      </c>
      <c r="C23" s="16">
        <f>+SUM('Monthly Energy Data'!H188:H199)</f>
        <v>0</v>
      </c>
      <c r="D23" s="16">
        <f>+SUM('Monthly Energy Data'!I188:I199)</f>
        <v>0</v>
      </c>
      <c r="E23" s="16">
        <f>+SUM('Monthly Energy Data'!J188:J199)</f>
        <v>0</v>
      </c>
      <c r="F23" s="16">
        <f>+SUM('Monthly Energy Data'!K188:K199)</f>
        <v>0</v>
      </c>
      <c r="G23" s="16">
        <f>+SUM('Monthly Energy Data'!L188:L199)</f>
        <v>0</v>
      </c>
      <c r="H23" s="16">
        <f>+SUM('Monthly Energy Data'!$M$188:$O$199)</f>
        <v>0</v>
      </c>
      <c r="I23" s="16">
        <f>+SUM('Monthly Energy Data'!P188:P199)</f>
        <v>0</v>
      </c>
      <c r="J23" s="16">
        <f>+SUM('Monthly Energy Data'!Q188:Q199)</f>
        <v>0</v>
      </c>
      <c r="K23" s="16">
        <f>+SUM('Monthly Energy Data'!R188:R199)</f>
        <v>0</v>
      </c>
      <c r="L23" s="16">
        <f>+SUM('Monthly Energy Data'!S188:S199)</f>
        <v>0</v>
      </c>
      <c r="M23" s="16">
        <f>+SUM('Monthly Energy Data'!T188:T199)</f>
        <v>0</v>
      </c>
      <c r="N23" s="16">
        <f>+SUM('Monthly Energy Data'!U188:U199)</f>
        <v>0</v>
      </c>
      <c r="O23" s="16">
        <f>+SUM('Monthly Energy Data'!V188:V199)</f>
        <v>0</v>
      </c>
      <c r="P23" s="16">
        <f>+SUM('Monthly Energy Data'!W188:W199)</f>
        <v>0</v>
      </c>
      <c r="Q23" s="16">
        <f>+SUM('Monthly Energy Data'!X188:X199)</f>
        <v>0</v>
      </c>
      <c r="R23" s="16">
        <f>+SUM('Monthly Energy Data'!Y188:Y199)</f>
        <v>0</v>
      </c>
      <c r="S23" s="16">
        <f>+SUM('Monthly Energy Data'!Z188:Z199)</f>
        <v>0</v>
      </c>
      <c r="T23" s="16">
        <f>+SUM('Monthly Energy Data'!AA188:AA199)</f>
        <v>0</v>
      </c>
      <c r="U23" s="16">
        <f>+'Tier 3 Data'!F18</f>
        <v>0</v>
      </c>
      <c r="V23" s="16">
        <f>+'Tier 3 Data'!G18</f>
        <v>0</v>
      </c>
      <c r="W23" s="16">
        <f>+'Tier 3 Data'!H18</f>
        <v>0</v>
      </c>
      <c r="X23" s="16">
        <f>+'Tier 3 Data'!I18</f>
        <v>0</v>
      </c>
      <c r="Y23" s="81"/>
      <c r="Z23" s="16">
        <f>+SUM('Monthly Energy Data'!AL188:AL199)</f>
        <v>0</v>
      </c>
      <c r="AA23" s="16">
        <f>+SUM('Monthly Energy Data'!AM188:AM199)</f>
        <v>0</v>
      </c>
      <c r="AB23" s="16">
        <f>+SUM('Monthly Energy Data'!AN188:AN199)</f>
        <v>0</v>
      </c>
      <c r="AC23" s="16">
        <f>+SUM('Monthly Energy Data'!AO188:AO199)</f>
        <v>0</v>
      </c>
      <c r="AD23" s="16">
        <f>+SUM('Monthly Energy Data'!AP188:AP199)</f>
        <v>39408</v>
      </c>
      <c r="AE23" s="16">
        <f>+SUM('Monthly Energy Data'!AQ188:AQ199)</f>
        <v>0</v>
      </c>
      <c r="AF23" s="16">
        <f>+SUM('Monthly Energy Data'!AR188:AR199)</f>
        <v>116800</v>
      </c>
      <c r="AG23" s="16">
        <f>+SUM('Monthly Energy Data'!AS188:AS199)</f>
        <v>0</v>
      </c>
      <c r="AH23" s="16">
        <f>+SUM('Monthly Energy Data'!AT188:AT199)</f>
        <v>0</v>
      </c>
      <c r="AI23" s="16">
        <f>+SUM('Monthly Energy Data'!AU188:AU199)</f>
        <v>844.50599999999997</v>
      </c>
      <c r="AJ23" s="16">
        <f>+SUM('Monthly Energy Data'!AV188:AV199)</f>
        <v>45143.097000000002</v>
      </c>
      <c r="AK23" s="16">
        <f>+SUM('Monthly Energy Data'!AW188:AW199)</f>
        <v>37.308737435897434</v>
      </c>
      <c r="AL23" s="16">
        <f>+SUM('Monthly Energy Data'!AX188:AX199)</f>
        <v>80.685667692307689</v>
      </c>
      <c r="AM23" s="16">
        <f>+SUM('Monthly Energy Data'!AY188:AY199)</f>
        <v>13626.101309630476</v>
      </c>
      <c r="AN23" s="16">
        <f>+SUM('Monthly Energy Data'!AZ188:AZ199)</f>
        <v>0</v>
      </c>
      <c r="AO23" s="16">
        <f>+SUM('Monthly Energy Data'!BA188:BA199)</f>
        <v>21326.281999999999</v>
      </c>
      <c r="AP23" s="16">
        <f>+SUM('Monthly Energy Data'!BB188:BB199)</f>
        <v>7822.4674999999988</v>
      </c>
      <c r="AQ23" s="16">
        <f>+SUM('Monthly Energy Data'!BC188:BC199)</f>
        <v>5104.8328325197499</v>
      </c>
      <c r="AR23" s="16">
        <f>+SUM('Monthly Energy Data'!BD188:BD199)</f>
        <v>160.98142115760004</v>
      </c>
      <c r="AS23" s="16">
        <f>+SUM('Monthly Energy Data'!BE188:BE199)</f>
        <v>0</v>
      </c>
      <c r="AT23" s="16">
        <f>+SUM('Monthly Energy Data'!BF188:BF199)</f>
        <v>2222.048648019861</v>
      </c>
      <c r="AU23" s="16">
        <f>+SUM('Monthly Energy Data'!BG188:BG199)</f>
        <v>0</v>
      </c>
      <c r="AV23" s="16">
        <f>+SUM('Monthly Energy Data'!BH188:BH199)</f>
        <v>631.47033189025001</v>
      </c>
      <c r="AW23" s="16">
        <f>+SUM('Monthly Energy Data'!BI188:BI199)</f>
        <v>10172.133876164717</v>
      </c>
      <c r="AX23" s="16">
        <f>+SUM('Monthly Energy Data'!BJ188:BJ199)</f>
        <v>0</v>
      </c>
      <c r="AY23" s="16">
        <f>+SUM('Monthly Energy Data'!BK188:BK199)</f>
        <v>196.44595650000002</v>
      </c>
      <c r="AZ23" s="16">
        <f>+SUM('Monthly Energy Data'!BL188:BL199)</f>
        <v>0</v>
      </c>
      <c r="BA23" s="16">
        <f>+SUM('Monthly Energy Data'!BM188:BM199)</f>
        <v>0</v>
      </c>
      <c r="BB23" s="16">
        <f>+SUM('Monthly Energy Data'!BN188:BN199)</f>
        <v>475.59491100521359</v>
      </c>
      <c r="BC23" s="16">
        <f>+SUM('Monthly Energy Data'!BO188:BO199)</f>
        <v>2363.8842108000003</v>
      </c>
      <c r="BD23" s="16">
        <f>+SUM('Monthly Energy Data'!BP188:BP199)</f>
        <v>16512</v>
      </c>
      <c r="BE23" s="16">
        <f>+SUM('Monthly Energy Data'!BQ188:BQ199)</f>
        <v>1524.8555894122608</v>
      </c>
      <c r="BF23" s="16">
        <f>+SUM('Monthly Energy Data'!BR188:BR199)</f>
        <v>1991.8931740835963</v>
      </c>
      <c r="BG23" s="16">
        <f>+SUM('Monthly Energy Data'!BS188:BS199)</f>
        <v>7208.9648490788259</v>
      </c>
      <c r="BH23" s="16">
        <f>+SUM('Monthly Energy Data'!BT188:BT199)</f>
        <v>2469.7916659907355</v>
      </c>
      <c r="BI23" s="16">
        <f>+SUM('Monthly Energy Data'!BU188:BU199)</f>
        <v>2709.4140386149966</v>
      </c>
      <c r="BJ23" s="16">
        <f>SUM('Monthly Energy Data'!BV$188:BX$199)</f>
        <v>0</v>
      </c>
      <c r="BK23" s="16">
        <f>+SUM('Monthly Energy Data'!BY188:BY199)</f>
        <v>0</v>
      </c>
      <c r="BL23" s="16">
        <f>+SUM('Monthly Energy Data'!BZ188:BZ199)</f>
        <v>78390</v>
      </c>
      <c r="BM23" s="16">
        <f>+SUM('Monthly Energy Data'!CA188:CA199)</f>
        <v>41878.100000000006</v>
      </c>
      <c r="BN23" s="16">
        <f>+SUM('Monthly Energy Data'!CB188:CB199)</f>
        <v>0</v>
      </c>
      <c r="BO23" s="34">
        <f>+SUM('Monthly Energy Data'!CC188:CC199)</f>
        <v>0</v>
      </c>
      <c r="BP23" s="16">
        <f>+SUM('Monthly Energy Data'!CD188:CD199)</f>
        <v>52.536120000000011</v>
      </c>
      <c r="BQ23" s="16">
        <f>+SUM('Monthly Energy Data'!CE188:CE199)</f>
        <v>0</v>
      </c>
      <c r="BR23" s="16">
        <f>+SUM('Monthly Energy Data'!CF188:CF199)</f>
        <v>18843</v>
      </c>
      <c r="BS23" s="16">
        <f>+SUM('Monthly Energy Data'!CG188:CG199)</f>
        <v>39560</v>
      </c>
      <c r="BT23" s="16">
        <f>+SUM('Monthly Energy Data'!CH188:CH199)</f>
        <v>0</v>
      </c>
      <c r="BU23" s="16">
        <f>+SUM('Monthly Energy Data'!CI188:CI199)</f>
        <v>0</v>
      </c>
      <c r="BV23" s="26">
        <f>+SUM('Monthly Energy Data'!CJ188:CJ199)</f>
        <v>23467.4025</v>
      </c>
      <c r="BW23" s="34">
        <f>+SUM('Monthly Energy Data'!CK188:CK199)</f>
        <v>477556.39583999652</v>
      </c>
      <c r="BX23" s="34">
        <f>+SUM('Monthly Energy Data'!CL188:CL199)</f>
        <v>-477556.39583999652</v>
      </c>
      <c r="BY23" s="34">
        <f>+SUM('Monthly Energy Data'!CM188:CM199)</f>
        <v>-477556.39583999652</v>
      </c>
      <c r="BZ23" s="34">
        <f>+SUM('Monthly Energy Data'!CN188:CN199)</f>
        <v>-477556.39583999652</v>
      </c>
      <c r="CA23" s="34">
        <f>+SUM('Monthly Energy Data'!CO188:CO199)</f>
        <v>-477556.39583999652</v>
      </c>
      <c r="CB23" s="36">
        <f>+SUM('Monthly Energy Data'!CP188:CP199)</f>
        <v>-477556.39583999652</v>
      </c>
      <c r="CC23" s="34">
        <f>+SUM('Monthly Energy Data'!CQ188:CQ199)</f>
        <v>-477556.39583999652</v>
      </c>
      <c r="CD23" s="34">
        <f>+SUM('Monthly Energy Data'!CR188:CR199)</f>
        <v>-477556.39583999652</v>
      </c>
      <c r="CE23" s="34">
        <f>+SUM('Monthly Energy Data'!CS188:CS199)</f>
        <v>-477556.39583999652</v>
      </c>
      <c r="CF23" s="34">
        <f>+SUM('Monthly Energy Data'!CT188:CT199)</f>
        <v>-477556.39583999652</v>
      </c>
      <c r="CG23" s="81"/>
      <c r="CH23" s="16">
        <f>+SUM('Monthly Energy Data'!DD188:DD199)</f>
        <v>0</v>
      </c>
      <c r="CI23" s="16">
        <f>+SUM('Monthly Energy Data'!DE188:DE199)</f>
        <v>0</v>
      </c>
      <c r="CJ23" s="16">
        <f>+SUM('Monthly Energy Data'!DF188:DF199)</f>
        <v>0</v>
      </c>
      <c r="CK23" s="16">
        <f>+SUM('Monthly Energy Data'!DG188:DG199)</f>
        <v>0</v>
      </c>
      <c r="CL23" s="16">
        <f>+SUM('Monthly Energy Data'!DH188:DH199)</f>
        <v>0</v>
      </c>
      <c r="CM23" s="16">
        <f>+SUM('Monthly Energy Data'!DI188:DI199)</f>
        <v>0</v>
      </c>
      <c r="CN23" s="16">
        <f>+SUM('Monthly Energy Data'!DJ188:DJ199)</f>
        <v>0</v>
      </c>
      <c r="CO23" s="16">
        <f>+SUM('Monthly Energy Data'!DK188:DK199)</f>
        <v>0</v>
      </c>
      <c r="CP23" s="16">
        <f>+SUM('Monthly Energy Data'!DL188:DL199)</f>
        <v>0</v>
      </c>
      <c r="CQ23" s="16">
        <f>+SUM('Monthly Energy Data'!DM188:DM199)</f>
        <v>0</v>
      </c>
      <c r="CR23" s="16">
        <f>+SUM('Monthly Energy Data'!DN188:DN199)</f>
        <v>477556.39583999652</v>
      </c>
      <c r="CS23" s="16">
        <f>+SUM('Monthly Energy Data'!DO188:DO199)</f>
        <v>-477556.39583999652</v>
      </c>
      <c r="CT23" s="16">
        <f>+SUM('Monthly Energy Data'!DP188:DP199)</f>
        <v>-477556.39583999652</v>
      </c>
      <c r="CU23" s="16">
        <f>+SUM('Monthly Energy Data'!DQ188:DQ199)</f>
        <v>-477556.39583999652</v>
      </c>
      <c r="CV23" s="16">
        <f>+SUM('Monthly Energy Data'!DR188:DR199)</f>
        <v>-477556.39583999652</v>
      </c>
      <c r="CW23" s="16">
        <f>+SUM('Monthly Energy Data'!DS188:DS199)</f>
        <v>-477556.39583999652</v>
      </c>
      <c r="CX23" s="16">
        <f>+SUM('Monthly Energy Data'!DT188:DT199)</f>
        <v>-477556.39583999652</v>
      </c>
      <c r="CY23" s="16">
        <f>+SUM('Monthly Energy Data'!DU188:DU199)</f>
        <v>-477556.39583999652</v>
      </c>
      <c r="CZ23" s="16">
        <f>+SUM('Monthly Energy Data'!DV188:DV199)</f>
        <v>-477556.39583999652</v>
      </c>
      <c r="DA23" s="16">
        <f>+SUM('Monthly Energy Data'!DW188:DW199)</f>
        <v>-477556.39583999652</v>
      </c>
      <c r="DB23" s="78"/>
      <c r="DC23" s="78"/>
      <c r="DD23" s="78"/>
      <c r="DE23" s="78"/>
      <c r="DF23" s="19" t="e">
        <f t="shared" si="4"/>
        <v>#DIV/0!</v>
      </c>
      <c r="DG23" s="78"/>
      <c r="DH23" s="78"/>
      <c r="DI23" s="78"/>
      <c r="DJ23" s="78"/>
      <c r="DK23" s="78"/>
      <c r="DL23" s="58"/>
      <c r="DM23" s="58"/>
      <c r="DN23" s="58"/>
      <c r="DO23" s="58"/>
      <c r="DP23" s="58"/>
      <c r="DQ23" s="58"/>
      <c r="DR23" s="58"/>
      <c r="DS23" s="58"/>
      <c r="DT23" s="58"/>
      <c r="DU23" s="58"/>
      <c r="DV23" s="58"/>
      <c r="DW23" s="58"/>
      <c r="DX23" s="68" t="e">
        <f t="shared" si="3"/>
        <v>#DIV/0!</v>
      </c>
      <c r="DZ23" s="68" t="e">
        <f t="shared" si="0"/>
        <v>#DIV/0!</v>
      </c>
      <c r="EA23" s="68" t="e">
        <f t="shared" si="1"/>
        <v>#DIV/0!</v>
      </c>
      <c r="EB23" s="68" t="e">
        <f t="shared" si="2"/>
        <v>#DIV/0!</v>
      </c>
      <c r="EN23" s="86" t="s">
        <v>115</v>
      </c>
      <c r="EO23" s="90">
        <v>42185</v>
      </c>
      <c r="EP23" s="87">
        <v>49674</v>
      </c>
      <c r="EQ23" s="91">
        <v>12955</v>
      </c>
      <c r="ER23" s="86" t="s">
        <v>110</v>
      </c>
      <c r="FJ23" s="68"/>
    </row>
    <row r="24" spans="1:166" x14ac:dyDescent="0.2">
      <c r="A24" s="15">
        <f>+'Monthly Energy Data'!D200</f>
        <v>2024</v>
      </c>
      <c r="B24" s="16">
        <f>+SUM('Monthly Energy Data'!G200:G211)</f>
        <v>0</v>
      </c>
      <c r="C24" s="16">
        <f>+SUM('Monthly Energy Data'!H200:H211)</f>
        <v>0</v>
      </c>
      <c r="D24" s="16">
        <f>+SUM('Monthly Energy Data'!I200:I211)</f>
        <v>0</v>
      </c>
      <c r="E24" s="16">
        <f>+SUM('Monthly Energy Data'!J200:J211)</f>
        <v>0</v>
      </c>
      <c r="F24" s="16">
        <f>+SUM('Monthly Energy Data'!K200:K211)</f>
        <v>0</v>
      </c>
      <c r="G24" s="16">
        <f>+SUM('Monthly Energy Data'!L200:L211)</f>
        <v>0</v>
      </c>
      <c r="H24" s="16">
        <f>+SUM('Monthly Energy Data'!$M$200:$O$211)</f>
        <v>0</v>
      </c>
      <c r="I24" s="16">
        <f>+SUM('Monthly Energy Data'!P200:P211)</f>
        <v>0</v>
      </c>
      <c r="J24" s="16">
        <f>+SUM('Monthly Energy Data'!Q200:Q211)</f>
        <v>0</v>
      </c>
      <c r="K24" s="16">
        <f>+SUM('Monthly Energy Data'!R200:R211)</f>
        <v>0</v>
      </c>
      <c r="L24" s="16">
        <f>+SUM('Monthly Energy Data'!S200:S211)</f>
        <v>0</v>
      </c>
      <c r="M24" s="16">
        <f>+SUM('Monthly Energy Data'!T200:T211)</f>
        <v>0</v>
      </c>
      <c r="N24" s="16">
        <f>+SUM('Monthly Energy Data'!U200:U211)</f>
        <v>0</v>
      </c>
      <c r="O24" s="16">
        <f>+SUM('Monthly Energy Data'!V200:V211)</f>
        <v>0</v>
      </c>
      <c r="P24" s="16">
        <f>+SUM('Monthly Energy Data'!W200:W211)</f>
        <v>0</v>
      </c>
      <c r="Q24" s="16">
        <f>+SUM('Monthly Energy Data'!X200:X211)</f>
        <v>0</v>
      </c>
      <c r="R24" s="16">
        <f>+SUM('Monthly Energy Data'!Y200:Y211)</f>
        <v>0</v>
      </c>
      <c r="S24" s="16">
        <f>+SUM('Monthly Energy Data'!Z200:Z211)</f>
        <v>0</v>
      </c>
      <c r="T24" s="16">
        <f>+SUM('Monthly Energy Data'!AA200:AA211)</f>
        <v>0</v>
      </c>
      <c r="U24" s="16">
        <f>+'Tier 3 Data'!F19</f>
        <v>0</v>
      </c>
      <c r="V24" s="16">
        <f>+'Tier 3 Data'!G19</f>
        <v>0</v>
      </c>
      <c r="W24" s="16">
        <f>+'Tier 3 Data'!H19</f>
        <v>0</v>
      </c>
      <c r="X24" s="16">
        <f>+'Tier 3 Data'!I19</f>
        <v>0</v>
      </c>
      <c r="Y24" s="81"/>
      <c r="Z24" s="16">
        <f>+SUM('Monthly Energy Data'!AL200:AL211)</f>
        <v>0</v>
      </c>
      <c r="AA24" s="16">
        <f>+SUM('Monthly Energy Data'!AM200:AM211)</f>
        <v>0</v>
      </c>
      <c r="AB24" s="16">
        <f>+SUM('Monthly Energy Data'!AN200:AN211)</f>
        <v>0</v>
      </c>
      <c r="AC24" s="16">
        <f>+SUM('Monthly Energy Data'!AO200:AO211)</f>
        <v>0</v>
      </c>
      <c r="AD24" s="16">
        <f>+SUM('Monthly Energy Data'!AP200:AP211)</f>
        <v>0</v>
      </c>
      <c r="AE24" s="16">
        <f>+SUM('Monthly Energy Data'!AQ200:AQ211)</f>
        <v>0</v>
      </c>
      <c r="AF24" s="16">
        <f>+SUM('Monthly Energy Data'!AR200:AR211)</f>
        <v>117120</v>
      </c>
      <c r="AG24" s="16">
        <f>+SUM('Monthly Energy Data'!AS200:AS211)</f>
        <v>0</v>
      </c>
      <c r="AH24" s="16">
        <f>+SUM('Monthly Energy Data'!AT200:AT211)</f>
        <v>0</v>
      </c>
      <c r="AI24" s="16">
        <f>+SUM('Monthly Energy Data'!AU200:AU211)</f>
        <v>844.50599999999997</v>
      </c>
      <c r="AJ24" s="16">
        <f>+SUM('Monthly Energy Data'!AV200:AV211)</f>
        <v>45143.097000000002</v>
      </c>
      <c r="AK24" s="16">
        <f>+SUM('Monthly Energy Data'!AW200:AW211)</f>
        <v>24.170230769230766</v>
      </c>
      <c r="AL24" s="16">
        <f>+SUM('Monthly Energy Data'!AX200:AX211)</f>
        <v>50.377307692307696</v>
      </c>
      <c r="AM24" s="16">
        <f>+SUM('Monthly Energy Data'!AY200:AY211)</f>
        <v>13626.101309630476</v>
      </c>
      <c r="AN24" s="16">
        <f>+SUM('Monthly Energy Data'!AZ200:AZ211)</f>
        <v>0</v>
      </c>
      <c r="AO24" s="16">
        <f>+SUM('Monthly Energy Data'!BA200:BA211)</f>
        <v>21326.281999999999</v>
      </c>
      <c r="AP24" s="16">
        <f>+SUM('Monthly Energy Data'!BB200:BB211)</f>
        <v>7822.4674999999988</v>
      </c>
      <c r="AQ24" s="16">
        <f>+SUM('Monthly Energy Data'!BC200:BC211)</f>
        <v>5104.8328325197499</v>
      </c>
      <c r="AR24" s="16">
        <f>+SUM('Monthly Energy Data'!BD200:BD211)</f>
        <v>160.98142115760004</v>
      </c>
      <c r="AS24" s="16">
        <f>+SUM('Monthly Energy Data'!BE200:BE211)</f>
        <v>0</v>
      </c>
      <c r="AT24" s="16">
        <f>+SUM('Monthly Energy Data'!BF200:BF211)</f>
        <v>2222.048648019861</v>
      </c>
      <c r="AU24" s="16">
        <f>+SUM('Monthly Energy Data'!BG200:BG211)</f>
        <v>0</v>
      </c>
      <c r="AV24" s="16">
        <f>+SUM('Monthly Energy Data'!BH200:BH211)</f>
        <v>631.47033189025001</v>
      </c>
      <c r="AW24" s="16">
        <f>+SUM('Monthly Energy Data'!BI200:BI211)</f>
        <v>12113.650401100729</v>
      </c>
      <c r="AX24" s="16">
        <f>+SUM('Monthly Energy Data'!BJ200:BJ211)</f>
        <v>0</v>
      </c>
      <c r="AY24" s="16">
        <f>+SUM('Monthly Energy Data'!BK200:BK211)</f>
        <v>196.44595650000002</v>
      </c>
      <c r="AZ24" s="16">
        <f>+SUM('Monthly Energy Data'!BL200:BL211)</f>
        <v>0</v>
      </c>
      <c r="BA24" s="16">
        <f>+SUM('Monthly Energy Data'!BM200:BM211)</f>
        <v>0</v>
      </c>
      <c r="BB24" s="16">
        <f>+SUM('Monthly Energy Data'!BN200:BN211)</f>
        <v>475.59491100521359</v>
      </c>
      <c r="BC24" s="16">
        <f>+SUM('Monthly Energy Data'!BO200:BO211)</f>
        <v>2498.2506468000006</v>
      </c>
      <c r="BD24" s="16">
        <f>+SUM('Monthly Energy Data'!BP200:BP211)</f>
        <v>11712</v>
      </c>
      <c r="BE24" s="16">
        <f>+SUM('Monthly Energy Data'!BQ200:BQ211)</f>
        <v>1517.2313114651993</v>
      </c>
      <c r="BF24" s="16">
        <f>+SUM('Monthly Energy Data'!BR200:BR211)</f>
        <v>1981.9337082131788</v>
      </c>
      <c r="BG24" s="16">
        <f>+SUM('Monthly Energy Data'!BS200:BS211)</f>
        <v>7172.9200248334309</v>
      </c>
      <c r="BH24" s="16">
        <f>+SUM('Monthly Energy Data'!BT200:BT211)</f>
        <v>2457.4427076607813</v>
      </c>
      <c r="BI24" s="16">
        <f>+SUM('Monthly Energy Data'!BU200:BU211)</f>
        <v>2695.8669684219217</v>
      </c>
      <c r="BJ24" s="16">
        <f>SUM('Monthly Energy Data'!BV$200:BX$211)</f>
        <v>0</v>
      </c>
      <c r="BK24" s="16">
        <f>+SUM('Monthly Energy Data'!BY200:BY211)</f>
        <v>0</v>
      </c>
      <c r="BL24" s="16">
        <f>+SUM('Monthly Energy Data'!BZ200:BZ211)</f>
        <v>78390</v>
      </c>
      <c r="BM24" s="16">
        <f>+SUM('Monthly Energy Data'!CA200:CA211)</f>
        <v>61837.3</v>
      </c>
      <c r="BN24" s="16">
        <f>+SUM('Monthly Energy Data'!CB200:CB211)</f>
        <v>0</v>
      </c>
      <c r="BO24" s="34">
        <f>+SUM('Monthly Energy Data'!CC200:CC211)</f>
        <v>0</v>
      </c>
      <c r="BP24" s="16">
        <f>+SUM('Monthly Energy Data'!CD200:CD211)</f>
        <v>52.536120000000011</v>
      </c>
      <c r="BQ24" s="16">
        <f>+SUM('Monthly Energy Data'!CE200:CE211)</f>
        <v>0</v>
      </c>
      <c r="BR24" s="16">
        <f>+SUM('Monthly Energy Data'!CF200:CF211)</f>
        <v>14251.333333333338</v>
      </c>
      <c r="BS24" s="16">
        <f>+SUM('Monthly Energy Data'!CG200:CG211)</f>
        <v>39560</v>
      </c>
      <c r="BT24" s="16">
        <f>+SUM('Monthly Energy Data'!CH200:CH211)</f>
        <v>0</v>
      </c>
      <c r="BU24" s="16">
        <f>+SUM('Monthly Energy Data'!CI200:CI211)</f>
        <v>0</v>
      </c>
      <c r="BV24" s="26">
        <f>+SUM('Monthly Energy Data'!CJ200:CJ211)</f>
        <v>23467.4025</v>
      </c>
      <c r="BW24" s="34">
        <f>+SUM('Monthly Energy Data'!CK200:CK211)</f>
        <v>450988.84067101334</v>
      </c>
      <c r="BX24" s="34">
        <f>+SUM('Monthly Energy Data'!CL200:CL211)</f>
        <v>-450988.84067101334</v>
      </c>
      <c r="BY24" s="34">
        <f>+SUM('Monthly Energy Data'!CM200:CM211)</f>
        <v>-450988.84067101334</v>
      </c>
      <c r="BZ24" s="34">
        <f>+SUM('Monthly Energy Data'!CN200:CN211)</f>
        <v>-450988.84067101334</v>
      </c>
      <c r="CA24" s="34">
        <f>+SUM('Monthly Energy Data'!CO200:CO211)</f>
        <v>-450988.84067101334</v>
      </c>
      <c r="CB24" s="36">
        <f>+SUM('Monthly Energy Data'!CP200:CP211)</f>
        <v>-450988.84067101334</v>
      </c>
      <c r="CC24" s="34">
        <f>+SUM('Monthly Energy Data'!CQ200:CQ211)</f>
        <v>-450988.84067101334</v>
      </c>
      <c r="CD24" s="34">
        <f>+SUM('Monthly Energy Data'!CR200:CR211)</f>
        <v>-450988.84067101334</v>
      </c>
      <c r="CE24" s="34">
        <f>+SUM('Monthly Energy Data'!CS200:CS211)</f>
        <v>-450988.84067101334</v>
      </c>
      <c r="CF24" s="34">
        <f>+SUM('Monthly Energy Data'!CT200:CT211)</f>
        <v>-450988.84067101334</v>
      </c>
      <c r="CG24" s="81"/>
      <c r="CH24" s="16">
        <f>+SUM('Monthly Energy Data'!DD200:DD211)</f>
        <v>0</v>
      </c>
      <c r="CI24" s="16">
        <f>+SUM('Monthly Energy Data'!DE200:DE211)</f>
        <v>0</v>
      </c>
      <c r="CJ24" s="16">
        <f>+SUM('Monthly Energy Data'!DF200:DF211)</f>
        <v>0</v>
      </c>
      <c r="CK24" s="16">
        <f>+SUM('Monthly Energy Data'!DG200:DG211)</f>
        <v>0</v>
      </c>
      <c r="CL24" s="16">
        <f>+SUM('Monthly Energy Data'!DH200:DH211)</f>
        <v>0</v>
      </c>
      <c r="CM24" s="16">
        <f>+SUM('Monthly Energy Data'!DI200:DI211)</f>
        <v>0</v>
      </c>
      <c r="CN24" s="16">
        <f>+SUM('Monthly Energy Data'!DJ200:DJ211)</f>
        <v>0</v>
      </c>
      <c r="CO24" s="16">
        <f>+SUM('Monthly Energy Data'!DK200:DK211)</f>
        <v>0</v>
      </c>
      <c r="CP24" s="16">
        <f>+SUM('Monthly Energy Data'!DL200:DL211)</f>
        <v>0</v>
      </c>
      <c r="CQ24" s="16">
        <f>+SUM('Monthly Energy Data'!DM200:DM211)</f>
        <v>0</v>
      </c>
      <c r="CR24" s="16">
        <f>+SUM('Monthly Energy Data'!DN200:DN211)</f>
        <v>450988.84067101334</v>
      </c>
      <c r="CS24" s="16">
        <f>+SUM('Monthly Energy Data'!DO200:DO211)</f>
        <v>-450988.84067101334</v>
      </c>
      <c r="CT24" s="16">
        <f>+SUM('Monthly Energy Data'!DP200:DP211)</f>
        <v>-450988.84067101334</v>
      </c>
      <c r="CU24" s="16">
        <f>+SUM('Monthly Energy Data'!DQ200:DQ211)</f>
        <v>-450988.84067101334</v>
      </c>
      <c r="CV24" s="16">
        <f>+SUM('Monthly Energy Data'!DR200:DR211)</f>
        <v>-450988.84067101334</v>
      </c>
      <c r="CW24" s="16">
        <f>+SUM('Monthly Energy Data'!DS200:DS211)</f>
        <v>-450988.84067101334</v>
      </c>
      <c r="CX24" s="16">
        <f>+SUM('Monthly Energy Data'!DT200:DT211)</f>
        <v>-450988.84067101334</v>
      </c>
      <c r="CY24" s="16">
        <f>+SUM('Monthly Energy Data'!DU200:DU211)</f>
        <v>-450988.84067101334</v>
      </c>
      <c r="CZ24" s="16">
        <f>+SUM('Monthly Energy Data'!DV200:DV211)</f>
        <v>-450988.84067101334</v>
      </c>
      <c r="DA24" s="16">
        <f>+SUM('Monthly Energy Data'!DW200:DW211)</f>
        <v>-450988.84067101334</v>
      </c>
      <c r="DB24" s="78"/>
      <c r="DC24" s="78"/>
      <c r="DD24" s="78"/>
      <c r="DE24" s="78"/>
      <c r="DF24" s="19" t="e">
        <f t="shared" si="4"/>
        <v>#DIV/0!</v>
      </c>
      <c r="DG24" s="78"/>
      <c r="DH24" s="78"/>
      <c r="DI24" s="78"/>
      <c r="DJ24" s="78"/>
      <c r="DK24" s="78"/>
      <c r="DL24" s="135">
        <f>+V24-DN24</f>
        <v>-386802.40836453188</v>
      </c>
      <c r="DM24" s="135"/>
      <c r="DN24" s="58">
        <f t="shared" ref="DN24:DN53" si="5">+SUMIF($Z$1:$BU$1,1,Z24:BU24)</f>
        <v>386802.40836453188</v>
      </c>
      <c r="DO24" s="68" t="e">
        <f t="shared" ref="DO24:DO53" si="6">+$DN24/U24</f>
        <v>#DIV/0!</v>
      </c>
      <c r="DP24" s="68" t="e">
        <f t="shared" ref="DP24:DP53" si="7">+$DN24/V24</f>
        <v>#DIV/0!</v>
      </c>
      <c r="DQ24" s="68" t="e">
        <f t="shared" ref="DQ24:DQ53" si="8">+$DN24/W24</f>
        <v>#DIV/0!</v>
      </c>
      <c r="DR24" s="68"/>
      <c r="DS24" s="58">
        <f>+V24-DT24</f>
        <v>-308412.40836453188</v>
      </c>
      <c r="DT24" s="58">
        <f t="shared" ref="DT24:DT53" si="9">+SUMIF($Z$2:$BU$2,1,Z24:BU24)</f>
        <v>308412.40836453188</v>
      </c>
      <c r="DU24" s="68" t="e">
        <f t="shared" ref="DU24:DU53" si="10">+$DT24/U24</f>
        <v>#DIV/0!</v>
      </c>
      <c r="DV24" s="68" t="e">
        <f t="shared" ref="DV24:DV53" si="11">+$DT24/V24</f>
        <v>#DIV/0!</v>
      </c>
      <c r="DW24" s="68" t="e">
        <f t="shared" ref="DW24:DW53" si="12">+$DT24/W24</f>
        <v>#DIV/0!</v>
      </c>
      <c r="DX24" s="68" t="e">
        <f t="shared" si="3"/>
        <v>#DIV/0!</v>
      </c>
      <c r="DZ24" s="68" t="e">
        <f t="shared" si="0"/>
        <v>#DIV/0!</v>
      </c>
      <c r="EA24" s="68" t="e">
        <f t="shared" si="1"/>
        <v>#DIV/0!</v>
      </c>
      <c r="EB24" s="68" t="e">
        <f t="shared" si="2"/>
        <v>#DIV/0!</v>
      </c>
      <c r="ED24" s="58" t="e">
        <f>+SUMIF('[1]Monthly Energy Data'!$D$200:$D$595,'[1]Annual Energy Data'!$A22,'[1]Monthly Energy Data'!$EK$200:$EK$595)</f>
        <v>#VALUE!</v>
      </c>
      <c r="EE24" s="58" t="e">
        <f>+SUMIF('[1]Monthly Energy Data'!$D$200:$D$595,'[1]Annual Energy Data'!$A22,'[1]Monthly Energy Data'!$EL$200:$EL$595)</f>
        <v>#VALUE!</v>
      </c>
      <c r="EF24" s="68" t="e">
        <f t="shared" ref="EF24:EF53" si="13">+$EE24/U24</f>
        <v>#VALUE!</v>
      </c>
      <c r="EG24" s="68" t="e">
        <f t="shared" ref="EG24:EG53" si="14">+$EE24/V24</f>
        <v>#VALUE!</v>
      </c>
      <c r="EH24" s="68" t="e">
        <f t="shared" ref="EH24:EH53" si="15">+$EE24/W24</f>
        <v>#VALUE!</v>
      </c>
      <c r="EN24" s="86" t="s">
        <v>116</v>
      </c>
      <c r="EO24" s="90" t="s">
        <v>114</v>
      </c>
      <c r="EP24" s="90">
        <v>42369</v>
      </c>
      <c r="EQ24" s="91"/>
      <c r="ER24" s="86" t="s">
        <v>118</v>
      </c>
      <c r="FJ24" s="68"/>
    </row>
    <row r="25" spans="1:166" x14ac:dyDescent="0.2">
      <c r="A25" s="15">
        <f>+'Monthly Energy Data'!D212</f>
        <v>2025</v>
      </c>
      <c r="B25" s="16">
        <f>+SUM('Monthly Energy Data'!G212:G223)</f>
        <v>505584.26629679149</v>
      </c>
      <c r="C25" s="16">
        <f>+SUM('Monthly Energy Data'!H212:H223)</f>
        <v>505584.26629679149</v>
      </c>
      <c r="D25" s="16">
        <f>+SUM('Monthly Energy Data'!I212:I223)</f>
        <v>505584.26629679149</v>
      </c>
      <c r="E25" s="16">
        <f>+SUM('Monthly Energy Data'!J212:J223)</f>
        <v>2993.2012499999996</v>
      </c>
      <c r="F25" s="16">
        <f>+SUM('Monthly Energy Data'!K212:K223)</f>
        <v>2993.2012499999996</v>
      </c>
      <c r="G25" s="16">
        <f>+SUM('Monthly Energy Data'!L212:L223)</f>
        <v>2993.2012499999996</v>
      </c>
      <c r="H25" s="16">
        <f>+SUM('Monthly Energy Data'!$M$212:$O$223)</f>
        <v>41898.127884883412</v>
      </c>
      <c r="I25" s="16">
        <f>+SUM('Monthly Energy Data'!P212:P223)</f>
        <v>490021.62668132654</v>
      </c>
      <c r="J25" s="16">
        <f>+SUM('Monthly Energy Data'!Q212:Q223)</f>
        <v>490021.62668132654</v>
      </c>
      <c r="K25" s="16">
        <f>+SUM('Monthly Energy Data'!R212:R223)</f>
        <v>490021.62668132654</v>
      </c>
      <c r="L25" s="16">
        <f>+SUM('Monthly Energy Data'!S212:S223)</f>
        <v>502408.97670733777</v>
      </c>
      <c r="M25" s="16">
        <f>+SUM('Monthly Energy Data'!T212:T223)</f>
        <v>502408.97670733777</v>
      </c>
      <c r="N25" s="16">
        <f>+SUM('Monthly Energy Data'!U212:U223)</f>
        <v>502408.97670733777</v>
      </c>
      <c r="O25" s="16">
        <f>+SUM('Monthly Energy Data'!V212:V223)</f>
        <v>490021.62668132654</v>
      </c>
      <c r="P25" s="16">
        <f>+SUM('Monthly Energy Data'!W212:W223)</f>
        <v>490021.62668132654</v>
      </c>
      <c r="Q25" s="16">
        <f>+SUM('Monthly Energy Data'!X212:X223)</f>
        <v>490021.62668132654</v>
      </c>
      <c r="R25" s="16">
        <f>+SUM('Monthly Energy Data'!Y212:Y223)</f>
        <v>14450.581270434743</v>
      </c>
      <c r="S25" s="16">
        <f>+SUM('Monthly Energy Data'!Z212:Z223)</f>
        <v>23600.704486508053</v>
      </c>
      <c r="T25" s="16">
        <f>+SUM('Monthly Energy Data'!AA212:AA223)</f>
        <v>3384.6941076467283</v>
      </c>
      <c r="U25" s="16">
        <f>+'Tier 3 Data'!F20</f>
        <v>516859.55797777255</v>
      </c>
      <c r="V25" s="16">
        <f>+'Tier 3 Data'!G20</f>
        <v>526009.68119384581</v>
      </c>
      <c r="W25" s="16">
        <f>+'Tier 3 Data'!H20</f>
        <v>505793.67081498448</v>
      </c>
      <c r="X25" s="16">
        <f>+'Tier 3 Data'!I20</f>
        <v>515901.67600441509</v>
      </c>
      <c r="Y25" s="81"/>
      <c r="Z25" s="16">
        <f>+SUM('Monthly Energy Data'!AL212:AL223)</f>
        <v>0</v>
      </c>
      <c r="AA25" s="16">
        <f>+SUM('Monthly Energy Data'!AM212:AM223)</f>
        <v>0</v>
      </c>
      <c r="AB25" s="16">
        <f>+SUM('Monthly Energy Data'!AN212:AN223)</f>
        <v>0</v>
      </c>
      <c r="AC25" s="16">
        <f>+SUM('Monthly Energy Data'!AO212:AO223)</f>
        <v>0</v>
      </c>
      <c r="AD25" s="16">
        <f>+SUM('Monthly Energy Data'!AP212:AP223)</f>
        <v>0</v>
      </c>
      <c r="AE25" s="16">
        <f>+SUM('Monthly Energy Data'!AQ212:AQ223)</f>
        <v>0</v>
      </c>
      <c r="AF25" s="16">
        <f>+SUM('Monthly Energy Data'!AR212:AR223)</f>
        <v>116800</v>
      </c>
      <c r="AG25" s="16">
        <f>+SUM('Monthly Energy Data'!AS212:AS223)</f>
        <v>0</v>
      </c>
      <c r="AH25" s="16">
        <f>+SUM('Monthly Energy Data'!AT212:AT223)</f>
        <v>0</v>
      </c>
      <c r="AI25" s="16">
        <f>+SUM('Monthly Energy Data'!AU212:AU223)</f>
        <v>1269.2160000000001</v>
      </c>
      <c r="AJ25" s="16">
        <f>+SUM('Monthly Energy Data'!AV212:AV223)</f>
        <v>37813.129000000008</v>
      </c>
      <c r="AK25" s="16">
        <f>+SUM('Monthly Energy Data'!AW212:AW223)</f>
        <v>0</v>
      </c>
      <c r="AL25" s="16">
        <f>+SUM('Monthly Energy Data'!AX212:AX223)</f>
        <v>0</v>
      </c>
      <c r="AM25" s="16">
        <f>+SUM('Monthly Energy Data'!AY212:AY223)</f>
        <v>13626.101309630476</v>
      </c>
      <c r="AN25" s="16">
        <f>+SUM('Monthly Energy Data'!AZ212:AZ223)</f>
        <v>0</v>
      </c>
      <c r="AO25" s="16">
        <f>+SUM('Monthly Energy Data'!BA212:BA223)</f>
        <v>21326.281999999999</v>
      </c>
      <c r="AP25" s="16">
        <f>+SUM('Monthly Energy Data'!BB212:BB223)</f>
        <v>7822.4674999999988</v>
      </c>
      <c r="AQ25" s="16">
        <f>+SUM('Monthly Energy Data'!BC212:BC223)</f>
        <v>5104.8328325197499</v>
      </c>
      <c r="AR25" s="16">
        <f>+SUM('Monthly Energy Data'!BD212:BD223)</f>
        <v>160.98142115760004</v>
      </c>
      <c r="AS25" s="16">
        <f>+SUM('Monthly Energy Data'!BE212:BE223)</f>
        <v>0</v>
      </c>
      <c r="AT25" s="16">
        <f>+SUM('Monthly Energy Data'!BF212:BF223)</f>
        <v>2222.048648019861</v>
      </c>
      <c r="AU25" s="16">
        <f>+SUM('Monthly Energy Data'!BG212:BG223)</f>
        <v>0</v>
      </c>
      <c r="AV25" s="16">
        <f>+SUM('Monthly Energy Data'!BH212:BH223)</f>
        <v>631.47033189025001</v>
      </c>
      <c r="AW25" s="16">
        <f>+SUM('Monthly Energy Data'!BI212:BI223)</f>
        <v>12950.954451026641</v>
      </c>
      <c r="AX25" s="16">
        <f>+SUM('Monthly Energy Data'!BJ212:BJ223)</f>
        <v>0</v>
      </c>
      <c r="AY25" s="16">
        <f>+SUM('Monthly Energy Data'!BK212:BK223)</f>
        <v>196.44595650000002</v>
      </c>
      <c r="AZ25" s="16">
        <f>+SUM('Monthly Energy Data'!BL212:BL223)</f>
        <v>0</v>
      </c>
      <c r="BA25" s="16">
        <f>+SUM('Monthly Energy Data'!BM212:BM223)</f>
        <v>0</v>
      </c>
      <c r="BB25" s="16">
        <f>+SUM('Monthly Energy Data'!BN212:BN223)</f>
        <v>475.59491100521359</v>
      </c>
      <c r="BC25" s="16">
        <f>+SUM('Monthly Energy Data'!BO212:BO223)</f>
        <v>2498.2506468000006</v>
      </c>
      <c r="BD25" s="16">
        <f>+SUM('Monthly Energy Data'!BP212:BP223)</f>
        <v>11680</v>
      </c>
      <c r="BE25" s="16">
        <f>+SUM('Monthly Energy Data'!BQ212:BQ223)</f>
        <v>1509.6451549078736</v>
      </c>
      <c r="BF25" s="16">
        <f>+SUM('Monthly Energy Data'!BR212:BR223)</f>
        <v>1972.0240396721124</v>
      </c>
      <c r="BG25" s="16">
        <f>+SUM('Monthly Energy Data'!BS212:BS223)</f>
        <v>7137.0554247092632</v>
      </c>
      <c r="BH25" s="16">
        <f>+SUM('Monthly Energy Data'!BT212:BT223)</f>
        <v>2445.1554941224776</v>
      </c>
      <c r="BI25" s="16">
        <f>+SUM('Monthly Energy Data'!BU212:BU223)</f>
        <v>2682.3876335798118</v>
      </c>
      <c r="BJ25" s="16">
        <f>SUM('Monthly Energy Data'!BV$212:BX$223)</f>
        <v>29328.689519418396</v>
      </c>
      <c r="BK25" s="16">
        <f>+SUM('Monthly Energy Data'!BY212:BY223)</f>
        <v>0</v>
      </c>
      <c r="BL25" s="16">
        <f>+SUM('Monthly Energy Data'!BZ212:BZ223)</f>
        <v>85410</v>
      </c>
      <c r="BM25" s="16">
        <f>+SUM('Monthly Energy Data'!CA212:CA223)</f>
        <v>61570.900000000009</v>
      </c>
      <c r="BN25" s="16">
        <f>+SUM('Monthly Energy Data'!CB212:CB223)</f>
        <v>0</v>
      </c>
      <c r="BO25" s="34">
        <f>+SUM('Monthly Energy Data'!CC212:CC223)</f>
        <v>0</v>
      </c>
      <c r="BP25" s="16">
        <f>+SUM('Monthly Energy Data'!CD212:CD223)</f>
        <v>52.536120000000011</v>
      </c>
      <c r="BQ25" s="16">
        <f>+SUM('Monthly Energy Data'!CE212:CE223)</f>
        <v>0</v>
      </c>
      <c r="BR25" s="16">
        <f>+SUM('Monthly Energy Data'!CF212:CF223)</f>
        <v>14251.333333333338</v>
      </c>
      <c r="BS25" s="16">
        <f>+SUM('Monthly Energy Data'!CG212:CG223)</f>
        <v>39560</v>
      </c>
      <c r="BT25" s="16">
        <f>+SUM('Monthly Energy Data'!CH212:CH223)</f>
        <v>0</v>
      </c>
      <c r="BU25" s="16">
        <f>+SUM('Monthly Energy Data'!CI212:CI223)</f>
        <v>0</v>
      </c>
      <c r="BV25" s="26">
        <f>+SUM('Monthly Energy Data'!CJ212:CJ223)</f>
        <v>23467.4025</v>
      </c>
      <c r="BW25" s="34">
        <f>+SUM('Monthly Energy Data'!CK212:CK223)</f>
        <v>480497.50172829308</v>
      </c>
      <c r="BX25" s="34">
        <f>+SUM('Monthly Energy Data'!CL212:CL223)</f>
        <v>33124.829439541463</v>
      </c>
      <c r="BY25" s="34">
        <f>+SUM('Monthly Energy Data'!CM212:CM223)</f>
        <v>33124.829439541463</v>
      </c>
      <c r="BZ25" s="34">
        <f>+SUM('Monthly Energy Data'!CN212:CN223)</f>
        <v>33124.829439541463</v>
      </c>
      <c r="CA25" s="34">
        <f>+SUM('Monthly Energy Data'!CO212:CO223)</f>
        <v>36362.056249479436</v>
      </c>
      <c r="CB25" s="36">
        <f>+SUM('Monthly Energy Data'!CP212:CP223)</f>
        <v>45512.179465552741</v>
      </c>
      <c r="CC25" s="34">
        <f>+SUM('Monthly Energy Data'!CQ212:CQ223)</f>
        <v>25296.169086691407</v>
      </c>
      <c r="CD25" s="34">
        <f>+SUM('Monthly Energy Data'!CR212:CR223)</f>
        <v>33124.829439541463</v>
      </c>
      <c r="CE25" s="34">
        <f>+SUM('Monthly Energy Data'!CS212:CS223)</f>
        <v>33124.829439541463</v>
      </c>
      <c r="CF25" s="34">
        <f>+SUM('Monthly Energy Data'!CT212:CT223)</f>
        <v>33124.829439541463</v>
      </c>
      <c r="CG25" s="81"/>
      <c r="CH25" s="16">
        <f>+SUM('Monthly Energy Data'!DD212:DD223)</f>
        <v>0</v>
      </c>
      <c r="CI25" s="16">
        <f>+SUM('Monthly Energy Data'!DE212:DE223)</f>
        <v>0</v>
      </c>
      <c r="CJ25" s="16">
        <f>+SUM('Monthly Energy Data'!DF212:DF223)</f>
        <v>0</v>
      </c>
      <c r="CK25" s="16">
        <f>+SUM('Monthly Energy Data'!DG212:DG223)</f>
        <v>0</v>
      </c>
      <c r="CL25" s="16">
        <f>+SUM('Monthly Energy Data'!DH212:DH223)</f>
        <v>0</v>
      </c>
      <c r="CM25" s="16">
        <f>+SUM('Monthly Energy Data'!DI212:DI223)</f>
        <v>0</v>
      </c>
      <c r="CN25" s="16">
        <f>+SUM('Monthly Energy Data'!DJ212:DJ223)</f>
        <v>0</v>
      </c>
      <c r="CO25" s="16">
        <f>+SUM('Monthly Energy Data'!DK212:DK223)</f>
        <v>0</v>
      </c>
      <c r="CP25" s="16">
        <f>+SUM('Monthly Energy Data'!DL212:DL223)</f>
        <v>0</v>
      </c>
      <c r="CQ25" s="16">
        <f>+SUM('Monthly Energy Data'!DM212:DM223)</f>
        <v>0</v>
      </c>
      <c r="CR25" s="16">
        <f>+SUM('Monthly Energy Data'!DN212:DN223)</f>
        <v>480497.50172829308</v>
      </c>
      <c r="CS25" s="16">
        <f>+SUM('Monthly Energy Data'!DO212:DO223)</f>
        <v>33124.829439541463</v>
      </c>
      <c r="CT25" s="16">
        <f>+SUM('Monthly Energy Data'!DP212:DP223)</f>
        <v>33124.829439541463</v>
      </c>
      <c r="CU25" s="16">
        <f>+SUM('Monthly Energy Data'!DQ212:DQ223)</f>
        <v>33124.829439541463</v>
      </c>
      <c r="CV25" s="16">
        <f>+SUM('Monthly Energy Data'!DR212:DR223)</f>
        <v>36362.056249479436</v>
      </c>
      <c r="CW25" s="16">
        <f>+SUM('Monthly Energy Data'!DS212:DS223)</f>
        <v>45512.179465552741</v>
      </c>
      <c r="CX25" s="16">
        <f>+SUM('Monthly Energy Data'!DT212:DT223)</f>
        <v>25296.169086691407</v>
      </c>
      <c r="CY25" s="16">
        <f>+SUM('Monthly Energy Data'!DU212:DU223)</f>
        <v>33124.829439541463</v>
      </c>
      <c r="CZ25" s="16">
        <f>+SUM('Monthly Energy Data'!DV212:DV223)</f>
        <v>33124.829439541463</v>
      </c>
      <c r="DA25" s="16">
        <f>+SUM('Monthly Energy Data'!DW212:DW223)</f>
        <v>33124.829439541463</v>
      </c>
      <c r="DB25" s="78"/>
      <c r="DC25" s="78"/>
      <c r="DD25" s="78"/>
      <c r="DE25" s="78"/>
      <c r="DF25" s="19">
        <f t="shared" si="4"/>
        <v>8.6523463526863353E-2</v>
      </c>
      <c r="DG25" s="78"/>
      <c r="DH25" s="78"/>
      <c r="DI25" s="78"/>
      <c r="DJ25" s="78"/>
      <c r="DK25" s="78"/>
      <c r="DL25" s="135">
        <f>+W25-DN25</f>
        <v>89141.65385471133</v>
      </c>
      <c r="DM25" s="135"/>
      <c r="DN25" s="58">
        <f t="shared" si="5"/>
        <v>416652.01696027315</v>
      </c>
      <c r="DO25" s="68">
        <f t="shared" si="6"/>
        <v>0.80612230252727801</v>
      </c>
      <c r="DP25" s="68">
        <f t="shared" si="7"/>
        <v>0.79209952184649612</v>
      </c>
      <c r="DQ25" s="68">
        <f t="shared" si="8"/>
        <v>0.82375885860517484</v>
      </c>
      <c r="DR25" s="68"/>
      <c r="DS25" s="58">
        <f t="shared" ref="DS25:DS53" si="16">+W25-DT25</f>
        <v>174551.65385471133</v>
      </c>
      <c r="DT25" s="58">
        <f t="shared" si="9"/>
        <v>331242.01696027315</v>
      </c>
      <c r="DU25" s="68">
        <f t="shared" si="10"/>
        <v>0.64087431846334963</v>
      </c>
      <c r="DV25" s="68">
        <f t="shared" si="11"/>
        <v>0.62972608452467504</v>
      </c>
      <c r="DW25" s="68">
        <f t="shared" si="12"/>
        <v>0.65489553561740588</v>
      </c>
      <c r="DX25" s="68">
        <f t="shared" si="3"/>
        <v>0.95638717460295597</v>
      </c>
      <c r="DZ25" s="68">
        <f t="shared" si="0"/>
        <v>0.91347653647313665</v>
      </c>
      <c r="EA25" s="68">
        <f t="shared" si="1"/>
        <v>0.94998717748695483</v>
      </c>
      <c r="EB25" s="68">
        <f t="shared" si="2"/>
        <v>0.92964809165618023</v>
      </c>
      <c r="ED25" s="58" t="e">
        <f>+SUMIF('[1]Monthly Energy Data'!$D$200:$D$595,'[1]Annual Energy Data'!$A23,'[1]Monthly Energy Data'!$EK$200:$EK$595)</f>
        <v>#VALUE!</v>
      </c>
      <c r="EE25" s="58" t="e">
        <f>+SUMIF('[1]Monthly Energy Data'!$D$200:$D$595,'[1]Annual Energy Data'!$A23,'[1]Monthly Energy Data'!$EL$200:$EL$595)</f>
        <v>#VALUE!</v>
      </c>
      <c r="EF25" s="68" t="e">
        <f t="shared" si="13"/>
        <v>#VALUE!</v>
      </c>
      <c r="EG25" s="68" t="e">
        <f t="shared" si="14"/>
        <v>#VALUE!</v>
      </c>
      <c r="EH25" s="68" t="e">
        <f t="shared" si="15"/>
        <v>#VALUE!</v>
      </c>
      <c r="EN25" s="86" t="s">
        <v>77</v>
      </c>
      <c r="EO25" s="87"/>
      <c r="EP25" s="87"/>
      <c r="EQ25" s="88"/>
      <c r="ER25" s="86" t="s">
        <v>118</v>
      </c>
      <c r="FJ25" s="68"/>
    </row>
    <row r="26" spans="1:166" x14ac:dyDescent="0.2">
      <c r="A26" s="15">
        <f>+'Monthly Energy Data'!D224</f>
        <v>2026</v>
      </c>
      <c r="B26" s="16">
        <f>+SUM('Monthly Energy Data'!G224:G235)</f>
        <v>507953.46629679145</v>
      </c>
      <c r="C26" s="16">
        <f>+SUM('Monthly Energy Data'!H224:H235)</f>
        <v>507953.46629679145</v>
      </c>
      <c r="D26" s="16">
        <f>+SUM('Monthly Energy Data'!I224:I235)</f>
        <v>507953.46629679145</v>
      </c>
      <c r="E26" s="16">
        <f>+SUM('Monthly Energy Data'!J224:J235)</f>
        <v>8523.0112500000032</v>
      </c>
      <c r="F26" s="16">
        <f>+SUM('Monthly Energy Data'!K224:K235)</f>
        <v>8523.0112500000032</v>
      </c>
      <c r="G26" s="16">
        <f>+SUM('Monthly Energy Data'!L224:L235)</f>
        <v>8523.0112500000032</v>
      </c>
      <c r="H26" s="16">
        <f>+SUM('Monthly Energy Data'!$M$224:$O$235)</f>
        <v>43537.045738034147</v>
      </c>
      <c r="I26" s="16">
        <f>+SUM('Monthly Energy Data'!P224:P235)</f>
        <v>486369.34132538125</v>
      </c>
      <c r="J26" s="16">
        <f>+SUM('Monthly Energy Data'!Q224:Q235)</f>
        <v>486369.34132538125</v>
      </c>
      <c r="K26" s="16">
        <f>+SUM('Monthly Energy Data'!R224:R235)</f>
        <v>486369.34132538125</v>
      </c>
      <c r="L26" s="16">
        <f>+SUM('Monthly Energy Data'!S224:S235)</f>
        <v>498756.69135139242</v>
      </c>
      <c r="M26" s="16">
        <f>+SUM('Monthly Energy Data'!T224:T235)</f>
        <v>498756.69135139242</v>
      </c>
      <c r="N26" s="16">
        <f>+SUM('Monthly Energy Data'!U224:U235)</f>
        <v>498756.69135139242</v>
      </c>
      <c r="O26" s="16">
        <f>+SUM('Monthly Energy Data'!V224:V235)</f>
        <v>486369.34132538125</v>
      </c>
      <c r="P26" s="16">
        <f>+SUM('Monthly Energy Data'!W224:W235)</f>
        <v>486369.34132538125</v>
      </c>
      <c r="Q26" s="16">
        <f>+SUM('Monthly Energy Data'!X224:X235)</f>
        <v>486369.34132538125</v>
      </c>
      <c r="R26" s="16">
        <f>+SUM('Monthly Energy Data'!Y224:Y235)</f>
        <v>35647.395944124291</v>
      </c>
      <c r="S26" s="16">
        <f>+SUM('Monthly Energy Data'!Z224:Z235)</f>
        <v>52362.549133446366</v>
      </c>
      <c r="T26" s="16">
        <f>+SUM('Monthly Energy Data'!AA224:AA235)</f>
        <v>10290.672046365708</v>
      </c>
      <c r="U26" s="16">
        <f>+'Tier 3 Data'!F21</f>
        <v>534404.08729551674</v>
      </c>
      <c r="V26" s="16">
        <f>+'Tier 3 Data'!G21</f>
        <v>551119.24048483884</v>
      </c>
      <c r="W26" s="16">
        <f>+'Tier 3 Data'!H21</f>
        <v>509047.36339775816</v>
      </c>
      <c r="X26" s="16">
        <f>+'Tier 3 Data'!I21</f>
        <v>530083.30194129853</v>
      </c>
      <c r="Y26" s="81"/>
      <c r="Z26" s="16">
        <f>+SUM('Monthly Energy Data'!AL224:AL235)</f>
        <v>0</v>
      </c>
      <c r="AA26" s="16">
        <f>+SUM('Monthly Energy Data'!AM224:AM235)</f>
        <v>0</v>
      </c>
      <c r="AB26" s="16">
        <f>+SUM('Monthly Energy Data'!AN224:AN235)</f>
        <v>0</v>
      </c>
      <c r="AC26" s="16">
        <f>+SUM('Monthly Energy Data'!AO224:AO235)</f>
        <v>0</v>
      </c>
      <c r="AD26" s="16">
        <f>+SUM('Monthly Energy Data'!AP224:AP235)</f>
        <v>0</v>
      </c>
      <c r="AE26" s="16">
        <f>+SUM('Monthly Energy Data'!AQ224:AQ235)</f>
        <v>0</v>
      </c>
      <c r="AF26" s="16">
        <f>+SUM('Monthly Energy Data'!AR224:AR235)</f>
        <v>116800</v>
      </c>
      <c r="AG26" s="16">
        <f>+SUM('Monthly Energy Data'!AS224:AS235)</f>
        <v>0</v>
      </c>
      <c r="AH26" s="16">
        <f>+SUM('Monthly Energy Data'!AT224:AT235)</f>
        <v>0</v>
      </c>
      <c r="AI26" s="16">
        <f>+SUM('Monthly Energy Data'!AU224:AU235)</f>
        <v>1269.2160000000001</v>
      </c>
      <c r="AJ26" s="16">
        <f>+SUM('Monthly Energy Data'!AV224:AV235)</f>
        <v>37813.129000000008</v>
      </c>
      <c r="AK26" s="16">
        <f>+SUM('Monthly Energy Data'!AW224:AW235)</f>
        <v>0</v>
      </c>
      <c r="AL26" s="16">
        <f>+SUM('Monthly Energy Data'!AX224:AX235)</f>
        <v>0</v>
      </c>
      <c r="AM26" s="16">
        <f>+SUM('Monthly Energy Data'!AY224:AY235)</f>
        <v>13626.101309630476</v>
      </c>
      <c r="AN26" s="16">
        <f>+SUM('Monthly Energy Data'!AZ224:AZ235)</f>
        <v>0</v>
      </c>
      <c r="AO26" s="16">
        <f>+SUM('Monthly Energy Data'!BA224:BA235)</f>
        <v>21326.281999999999</v>
      </c>
      <c r="AP26" s="16">
        <f>+SUM('Monthly Energy Data'!BB224:BB235)</f>
        <v>15644.934999999998</v>
      </c>
      <c r="AQ26" s="16">
        <f>+SUM('Monthly Energy Data'!BC224:BC235)</f>
        <v>5104.8328325197499</v>
      </c>
      <c r="AR26" s="16">
        <f>+SUM('Monthly Energy Data'!BD224:BD235)</f>
        <v>160.98142115760004</v>
      </c>
      <c r="AS26" s="16">
        <f>+SUM('Monthly Energy Data'!BE224:BE235)</f>
        <v>0</v>
      </c>
      <c r="AT26" s="16">
        <f>+SUM('Monthly Energy Data'!BF224:BF235)</f>
        <v>2222.048648019861</v>
      </c>
      <c r="AU26" s="16">
        <f>+SUM('Monthly Energy Data'!BG224:BG235)</f>
        <v>0</v>
      </c>
      <c r="AV26" s="16">
        <f>+SUM('Monthly Energy Data'!BH224:BH235)</f>
        <v>631.47033189025001</v>
      </c>
      <c r="AW26" s="16">
        <f>+SUM('Monthly Energy Data'!BI224:BI235)</f>
        <v>12950.954451026641</v>
      </c>
      <c r="AX26" s="16">
        <f>+SUM('Monthly Energy Data'!BJ224:BJ235)</f>
        <v>0</v>
      </c>
      <c r="AY26" s="16">
        <f>+SUM('Monthly Energy Data'!BK224:BK235)</f>
        <v>196.44595650000002</v>
      </c>
      <c r="AZ26" s="16">
        <f>+SUM('Monthly Energy Data'!BL224:BL235)</f>
        <v>0</v>
      </c>
      <c r="BA26" s="16">
        <f>+SUM('Monthly Energy Data'!BM224:BM235)</f>
        <v>0</v>
      </c>
      <c r="BB26" s="16">
        <f>+SUM('Monthly Energy Data'!BN224:BN235)</f>
        <v>475.59491100521359</v>
      </c>
      <c r="BC26" s="16">
        <f>+SUM('Monthly Energy Data'!BO224:BO235)</f>
        <v>2498.2506468000006</v>
      </c>
      <c r="BD26" s="16">
        <f>+SUM('Monthly Energy Data'!BP224:BP235)</f>
        <v>11680</v>
      </c>
      <c r="BE26" s="16">
        <f>+SUM('Monthly Energy Data'!BQ224:BQ235)</f>
        <v>1502.096929133334</v>
      </c>
      <c r="BF26" s="16">
        <f>+SUM('Monthly Energy Data'!BR224:BR235)</f>
        <v>1962.163919473752</v>
      </c>
      <c r="BG26" s="16">
        <f>+SUM('Monthly Energy Data'!BS224:BS235)</f>
        <v>7101.3701475857169</v>
      </c>
      <c r="BH26" s="16">
        <f>+SUM('Monthly Energy Data'!BT224:BT235)</f>
        <v>2432.9297166518654</v>
      </c>
      <c r="BI26" s="16">
        <f>+SUM('Monthly Energy Data'!BU224:BU235)</f>
        <v>2668.9756954119125</v>
      </c>
      <c r="BJ26" s="16">
        <f>SUM('Monthly Energy Data'!BV$224:BX$235)</f>
        <v>30475.932016623898</v>
      </c>
      <c r="BK26" s="16">
        <f>+SUM('Monthly Energy Data'!BY224:BY235)</f>
        <v>0</v>
      </c>
      <c r="BL26" s="16">
        <f>+SUM('Monthly Energy Data'!BZ224:BZ235)</f>
        <v>78390</v>
      </c>
      <c r="BM26" s="16">
        <f>+SUM('Monthly Energy Data'!CA224:CA235)</f>
        <v>0</v>
      </c>
      <c r="BN26" s="16">
        <f>+SUM('Monthly Energy Data'!CB224:CB235)</f>
        <v>0</v>
      </c>
      <c r="BO26" s="34">
        <f>+SUM('Monthly Energy Data'!CC224:CC235)</f>
        <v>0</v>
      </c>
      <c r="BP26" s="16">
        <f>+SUM('Monthly Energy Data'!CD224:CD235)</f>
        <v>52.536120000000011</v>
      </c>
      <c r="BQ26" s="16">
        <f>+SUM('Monthly Energy Data'!CE224:CE235)</f>
        <v>0</v>
      </c>
      <c r="BR26" s="16">
        <f>+SUM('Monthly Energy Data'!CF224:CF235)</f>
        <v>14251.333333333338</v>
      </c>
      <c r="BS26" s="16">
        <f>+SUM('Monthly Energy Data'!CG224:CG235)</f>
        <v>39560</v>
      </c>
      <c r="BT26" s="16">
        <f>+SUM('Monthly Energy Data'!CH224:CH235)</f>
        <v>64928</v>
      </c>
      <c r="BU26" s="16">
        <f>+SUM('Monthly Energy Data'!CI224:CI235)</f>
        <v>0</v>
      </c>
      <c r="BV26" s="26">
        <f>+SUM('Monthly Energy Data'!CJ224:CJ235)</f>
        <v>15644.934999999998</v>
      </c>
      <c r="BW26" s="34">
        <f>+SUM('Monthly Energy Data'!CK224:CK235)</f>
        <v>485725.58038676355</v>
      </c>
      <c r="BX26" s="34">
        <f>+SUM('Monthly Energy Data'!CL224:CL235)</f>
        <v>53006.310072063956</v>
      </c>
      <c r="BY26" s="34">
        <f>+SUM('Monthly Energy Data'!CM224:CM235)</f>
        <v>53006.310072063956</v>
      </c>
      <c r="BZ26" s="34">
        <f>+SUM('Monthly Energy Data'!CN224:CN235)</f>
        <v>53006.310072063956</v>
      </c>
      <c r="CA26" s="34">
        <f>+SUM('Monthly Energy Data'!CO224:CO235)</f>
        <v>48678.506908753145</v>
      </c>
      <c r="CB26" s="36">
        <f>+SUM('Monthly Energy Data'!CP224:CP235)</f>
        <v>65393.660098075241</v>
      </c>
      <c r="CC26" s="34">
        <f>+SUM('Monthly Energy Data'!CQ224:CQ235)</f>
        <v>23321.783010994564</v>
      </c>
      <c r="CD26" s="34">
        <f>+SUM('Monthly Energy Data'!CR224:CR235)</f>
        <v>53006.310072063956</v>
      </c>
      <c r="CE26" s="34">
        <f>+SUM('Monthly Energy Data'!CS224:CS235)</f>
        <v>53006.310072063956</v>
      </c>
      <c r="CF26" s="34">
        <f>+SUM('Monthly Energy Data'!CT224:CT235)</f>
        <v>53006.310072063956</v>
      </c>
      <c r="CG26" s="81"/>
      <c r="CH26" s="16">
        <f>+SUM('Monthly Energy Data'!DD224:DD235)</f>
        <v>0</v>
      </c>
      <c r="CI26" s="16">
        <f>+SUM('Monthly Energy Data'!DE224:DE235)</f>
        <v>0</v>
      </c>
      <c r="CJ26" s="16">
        <f>+SUM('Monthly Energy Data'!DF224:DF235)</f>
        <v>0</v>
      </c>
      <c r="CK26" s="16">
        <f>+SUM('Monthly Energy Data'!DG224:DG235)</f>
        <v>0</v>
      </c>
      <c r="CL26" s="16">
        <f>+SUM('Monthly Energy Data'!DH224:DH235)</f>
        <v>0</v>
      </c>
      <c r="CM26" s="16">
        <f>+SUM('Monthly Energy Data'!DI224:DI235)</f>
        <v>0</v>
      </c>
      <c r="CN26" s="16">
        <f>+SUM('Monthly Energy Data'!DJ224:DJ235)</f>
        <v>0</v>
      </c>
      <c r="CO26" s="16">
        <f>+SUM('Monthly Energy Data'!DK224:DK235)</f>
        <v>0</v>
      </c>
      <c r="CP26" s="16">
        <f>+SUM('Monthly Energy Data'!DL224:DL235)</f>
        <v>0</v>
      </c>
      <c r="CQ26" s="16">
        <f>+SUM('Monthly Energy Data'!DM224:DM235)</f>
        <v>0</v>
      </c>
      <c r="CR26" s="16">
        <f>+SUM('Monthly Energy Data'!DN224:DN235)</f>
        <v>485725.58038676355</v>
      </c>
      <c r="CS26" s="16">
        <f>+SUM('Monthly Energy Data'!DO224:DO235)</f>
        <v>53006.310072063956</v>
      </c>
      <c r="CT26" s="16">
        <f>+SUM('Monthly Energy Data'!DP224:DP235)</f>
        <v>53006.310072063956</v>
      </c>
      <c r="CU26" s="16">
        <f>+SUM('Monthly Energy Data'!DQ224:DQ235)</f>
        <v>53006.310072063956</v>
      </c>
      <c r="CV26" s="16">
        <f>+SUM('Monthly Energy Data'!DR224:DR235)</f>
        <v>48678.506908753145</v>
      </c>
      <c r="CW26" s="16">
        <f>+SUM('Monthly Energy Data'!DS224:DS235)</f>
        <v>65393.660098075241</v>
      </c>
      <c r="CX26" s="16">
        <f>+SUM('Monthly Energy Data'!DT224:DT235)</f>
        <v>23321.783010994564</v>
      </c>
      <c r="CY26" s="16">
        <f>+SUM('Monthly Energy Data'!DU224:DU235)</f>
        <v>53006.310072063956</v>
      </c>
      <c r="CZ26" s="16">
        <f>+SUM('Monthly Energy Data'!DV224:DV235)</f>
        <v>53006.310072063956</v>
      </c>
      <c r="DA26" s="16">
        <f>+SUM('Monthly Energy Data'!DW224:DW235)</f>
        <v>53006.310072063956</v>
      </c>
      <c r="DB26" s="78"/>
      <c r="DC26" s="78"/>
      <c r="DD26" s="78"/>
      <c r="DE26" s="78"/>
      <c r="DF26" s="19">
        <f t="shared" si="4"/>
        <v>0.1186561007025379</v>
      </c>
      <c r="DG26" s="78"/>
      <c r="DH26" s="78"/>
      <c r="DI26" s="78"/>
      <c r="DJ26" s="78"/>
      <c r="DK26" s="135">
        <f>+V26-$DN26</f>
        <v>67668.244866095134</v>
      </c>
      <c r="DL26" s="135">
        <f>+W26-$DN26</f>
        <v>25596.367779014457</v>
      </c>
      <c r="DM26" s="135">
        <f>+U26-$DN26</f>
        <v>50953.091676773038</v>
      </c>
      <c r="DN26" s="58">
        <f t="shared" si="5"/>
        <v>483450.99561874371</v>
      </c>
      <c r="DO26" s="68">
        <f t="shared" si="6"/>
        <v>0.90465437505421475</v>
      </c>
      <c r="DP26" s="68">
        <f t="shared" si="7"/>
        <v>0.87721668942901532</v>
      </c>
      <c r="DQ26" s="68">
        <f t="shared" si="8"/>
        <v>0.94971711942840564</v>
      </c>
      <c r="DR26" s="68"/>
      <c r="DS26" s="58">
        <f t="shared" si="16"/>
        <v>103986.36777901446</v>
      </c>
      <c r="DT26" s="58">
        <f t="shared" si="9"/>
        <v>405060.99561874371</v>
      </c>
      <c r="DU26" s="68">
        <f t="shared" si="10"/>
        <v>0.75796762271908225</v>
      </c>
      <c r="DV26" s="68">
        <f t="shared" si="11"/>
        <v>0.73497886820717306</v>
      </c>
      <c r="DW26" s="68">
        <f t="shared" si="12"/>
        <v>0.79572359026686124</v>
      </c>
      <c r="DX26" s="68">
        <f t="shared" si="3"/>
        <v>0.97387280974753287</v>
      </c>
      <c r="DZ26" s="68">
        <f t="shared" si="0"/>
        <v>0.88134389929746204</v>
      </c>
      <c r="EA26" s="68">
        <f t="shared" si="1"/>
        <v>0.95418543599690253</v>
      </c>
      <c r="EB26" s="68">
        <f t="shared" si="2"/>
        <v>0.90891067627288791</v>
      </c>
      <c r="ED26" s="58" t="e">
        <f>+SUMIF('[1]Monthly Energy Data'!$D$200:$D$595,'[1]Annual Energy Data'!$A24,'[1]Monthly Energy Data'!$EK$200:$EK$595)</f>
        <v>#VALUE!</v>
      </c>
      <c r="EE26" s="58" t="e">
        <f>+SUMIF('[1]Monthly Energy Data'!$D$200:$D$595,'[1]Annual Energy Data'!$A24,'[1]Monthly Energy Data'!$EL$200:$EL$595)</f>
        <v>#VALUE!</v>
      </c>
      <c r="EF26" s="68" t="e">
        <f t="shared" si="13"/>
        <v>#VALUE!</v>
      </c>
      <c r="EG26" s="68" t="e">
        <f t="shared" si="14"/>
        <v>#VALUE!</v>
      </c>
      <c r="EH26" s="68" t="e">
        <f t="shared" si="15"/>
        <v>#VALUE!</v>
      </c>
      <c r="EN26" s="86" t="s">
        <v>117</v>
      </c>
      <c r="EO26" s="87"/>
      <c r="EP26" s="87"/>
      <c r="EQ26" s="88"/>
      <c r="ER26" s="86" t="s">
        <v>118</v>
      </c>
      <c r="FJ26" s="68"/>
    </row>
    <row r="27" spans="1:166" x14ac:dyDescent="0.2">
      <c r="A27" s="15">
        <f>+'Monthly Energy Data'!D236</f>
        <v>2027</v>
      </c>
      <c r="B27" s="16">
        <f>+SUM('Monthly Energy Data'!G236:G247)</f>
        <v>510322.66629679146</v>
      </c>
      <c r="C27" s="16">
        <f>+SUM('Monthly Energy Data'!H236:H247)</f>
        <v>510322.66629679146</v>
      </c>
      <c r="D27" s="16">
        <f>+SUM('Monthly Energy Data'!I236:I247)</f>
        <v>510322.66629679146</v>
      </c>
      <c r="E27" s="16">
        <f>+SUM('Monthly Energy Data'!J236:J247)</f>
        <v>14219.185125000013</v>
      </c>
      <c r="F27" s="16">
        <f>+SUM('Monthly Energy Data'!K236:K247)</f>
        <v>14219.185125000013</v>
      </c>
      <c r="G27" s="16">
        <f>+SUM('Monthly Energy Data'!L236:L247)</f>
        <v>14219.185125000013</v>
      </c>
      <c r="H27" s="16">
        <f>+SUM('Monthly Energy Data'!$M$236:$O$247)</f>
        <v>45007.780239194552</v>
      </c>
      <c r="I27" s="16">
        <f>+SUM('Monthly Energy Data'!P236:P247)</f>
        <v>482601.14710003301</v>
      </c>
      <c r="J27" s="16">
        <f>+SUM('Monthly Energy Data'!Q236:Q247)</f>
        <v>482601.14710003301</v>
      </c>
      <c r="K27" s="16">
        <f>+SUM('Monthly Energy Data'!R236:R247)</f>
        <v>482601.14710003301</v>
      </c>
      <c r="L27" s="16">
        <f>+SUM('Monthly Energy Data'!S236:S247)</f>
        <v>494988.49712604441</v>
      </c>
      <c r="M27" s="16">
        <f>+SUM('Monthly Energy Data'!T236:T247)</f>
        <v>494988.49712604441</v>
      </c>
      <c r="N27" s="16">
        <f>+SUM('Monthly Energy Data'!U236:U247)</f>
        <v>494988.49712604441</v>
      </c>
      <c r="O27" s="16">
        <f>+SUM('Monthly Energy Data'!V236:V247)</f>
        <v>482601.14710003301</v>
      </c>
      <c r="P27" s="16">
        <f>+SUM('Monthly Energy Data'!W236:W247)</f>
        <v>482601.14710003301</v>
      </c>
      <c r="Q27" s="16">
        <f>+SUM('Monthly Energy Data'!X236:X247)</f>
        <v>482601.14710003301</v>
      </c>
      <c r="R27" s="16">
        <f>+SUM('Monthly Energy Data'!Y236:Y247)</f>
        <v>52492.771895513535</v>
      </c>
      <c r="S27" s="16">
        <f>+SUM('Monthly Energy Data'!Z236:Z247)</f>
        <v>66812.702938927003</v>
      </c>
      <c r="T27" s="16">
        <f>+SUM('Monthly Energy Data'!AA236:AA247)</f>
        <v>18033.251264378479</v>
      </c>
      <c r="U27" s="16">
        <f>+'Tier 3 Data'!F22</f>
        <v>547481.26902155788</v>
      </c>
      <c r="V27" s="16">
        <f>+'Tier 3 Data'!G22</f>
        <v>561801.20006497123</v>
      </c>
      <c r="W27" s="16">
        <f>+'Tier 3 Data'!H22</f>
        <v>513021.74839042296</v>
      </c>
      <c r="X27" s="16">
        <f>+'Tier 3 Data'!I22</f>
        <v>537411.47422769712</v>
      </c>
      <c r="Y27" s="81"/>
      <c r="Z27" s="16">
        <f>+SUM('Monthly Energy Data'!AL236:AL247)</f>
        <v>0</v>
      </c>
      <c r="AA27" s="16">
        <f>+SUM('Monthly Energy Data'!AM236:AM247)</f>
        <v>0</v>
      </c>
      <c r="AB27" s="16">
        <f>+SUM('Monthly Energy Data'!AN236:AN247)</f>
        <v>0</v>
      </c>
      <c r="AC27" s="16">
        <f>+SUM('Monthly Energy Data'!AO236:AO247)</f>
        <v>0</v>
      </c>
      <c r="AD27" s="16">
        <f>+SUM('Monthly Energy Data'!AP236:AP247)</f>
        <v>0</v>
      </c>
      <c r="AE27" s="16">
        <f>+SUM('Monthly Energy Data'!AQ236:AQ247)</f>
        <v>0</v>
      </c>
      <c r="AF27" s="16">
        <f>+SUM('Monthly Energy Data'!AR236:AR247)</f>
        <v>116800</v>
      </c>
      <c r="AG27" s="16">
        <f>+SUM('Monthly Energy Data'!AS236:AS247)</f>
        <v>0</v>
      </c>
      <c r="AH27" s="16">
        <f>+SUM('Monthly Energy Data'!AT236:AT247)</f>
        <v>0</v>
      </c>
      <c r="AI27" s="16">
        <f>+SUM('Monthly Energy Data'!AU236:AU247)</f>
        <v>1269.2160000000001</v>
      </c>
      <c r="AJ27" s="16">
        <f>+SUM('Monthly Energy Data'!AV236:AV247)</f>
        <v>37813.129000000008</v>
      </c>
      <c r="AK27" s="16">
        <f>+SUM('Monthly Energy Data'!AW236:AW247)</f>
        <v>0</v>
      </c>
      <c r="AL27" s="16">
        <f>+SUM('Monthly Energy Data'!AX236:AX247)</f>
        <v>0</v>
      </c>
      <c r="AM27" s="16">
        <f>+SUM('Monthly Energy Data'!AY236:AY247)</f>
        <v>13626.101309630476</v>
      </c>
      <c r="AN27" s="16">
        <f>+SUM('Monthly Energy Data'!AZ236:AZ247)</f>
        <v>0</v>
      </c>
      <c r="AO27" s="16">
        <f>+SUM('Monthly Energy Data'!BA236:BA247)</f>
        <v>21326.281999999999</v>
      </c>
      <c r="AP27" s="16">
        <f>+SUM('Monthly Energy Data'!BB236:BB247)</f>
        <v>15644.934999999998</v>
      </c>
      <c r="AQ27" s="16">
        <f>+SUM('Monthly Energy Data'!BC236:BC247)</f>
        <v>5104.8328325197499</v>
      </c>
      <c r="AR27" s="16">
        <f>+SUM('Monthly Energy Data'!BD236:BD247)</f>
        <v>160.98142115760004</v>
      </c>
      <c r="AS27" s="16">
        <f>+SUM('Monthly Energy Data'!BE236:BE247)</f>
        <v>0</v>
      </c>
      <c r="AT27" s="16">
        <f>+SUM('Monthly Energy Data'!BF236:BF247)</f>
        <v>2222.048648019861</v>
      </c>
      <c r="AU27" s="16">
        <f>+SUM('Monthly Energy Data'!BG236:BG247)</f>
        <v>0</v>
      </c>
      <c r="AV27" s="16">
        <f>+SUM('Monthly Energy Data'!BH236:BH247)</f>
        <v>631.47033189025001</v>
      </c>
      <c r="AW27" s="16">
        <f>+SUM('Monthly Energy Data'!BI236:BI247)</f>
        <v>12950.954451026641</v>
      </c>
      <c r="AX27" s="16">
        <f>+SUM('Monthly Energy Data'!BJ236:BJ247)</f>
        <v>0</v>
      </c>
      <c r="AY27" s="16">
        <f>+SUM('Monthly Energy Data'!BK236:BK247)</f>
        <v>196.44595650000002</v>
      </c>
      <c r="AZ27" s="16">
        <f>+SUM('Monthly Energy Data'!BL236:BL247)</f>
        <v>0</v>
      </c>
      <c r="BA27" s="16">
        <f>+SUM('Monthly Energy Data'!BM236:BM247)</f>
        <v>0</v>
      </c>
      <c r="BB27" s="16">
        <f>+SUM('Monthly Energy Data'!BN236:BN247)</f>
        <v>475.59491100521359</v>
      </c>
      <c r="BC27" s="16">
        <f>+SUM('Monthly Energy Data'!BO236:BO247)</f>
        <v>2498.2506468000006</v>
      </c>
      <c r="BD27" s="16">
        <f>+SUM('Monthly Energy Data'!BP236:BP247)</f>
        <v>11680</v>
      </c>
      <c r="BE27" s="16">
        <f>+SUM('Monthly Energy Data'!BQ236:BQ247)</f>
        <v>1494.5864444876672</v>
      </c>
      <c r="BF27" s="16">
        <f>+SUM('Monthly Energy Data'!BR236:BR247)</f>
        <v>1952.3530998763833</v>
      </c>
      <c r="BG27" s="16">
        <f>+SUM('Monthly Energy Data'!BS236:BS247)</f>
        <v>7065.8632968477878</v>
      </c>
      <c r="BH27" s="16">
        <f>+SUM('Monthly Energy Data'!BT236:BT247)</f>
        <v>2420.7650680686056</v>
      </c>
      <c r="BI27" s="16">
        <f>+SUM('Monthly Energy Data'!BU236:BU247)</f>
        <v>2655.6308169348531</v>
      </c>
      <c r="BJ27" s="16">
        <f>SUM('Monthly Energy Data'!BV$236:BX$247)</f>
        <v>31505.446167436185</v>
      </c>
      <c r="BK27" s="16">
        <f>+SUM('Monthly Energy Data'!BY236:BY247)</f>
        <v>0</v>
      </c>
      <c r="BL27" s="16">
        <f>+SUM('Monthly Energy Data'!BZ236:BZ247)</f>
        <v>78156</v>
      </c>
      <c r="BM27" s="16">
        <f>+SUM('Monthly Energy Data'!CA236:CA247)</f>
        <v>0</v>
      </c>
      <c r="BN27" s="16">
        <f>+SUM('Monthly Energy Data'!CB236:CB247)</f>
        <v>0</v>
      </c>
      <c r="BO27" s="34">
        <f>+SUM('Monthly Energy Data'!CC236:CC247)</f>
        <v>0</v>
      </c>
      <c r="BP27" s="16">
        <f>+SUM('Monthly Energy Data'!CD236:CD247)</f>
        <v>52.536120000000011</v>
      </c>
      <c r="BQ27" s="16">
        <f>+SUM('Monthly Energy Data'!CE236:CE247)</f>
        <v>0</v>
      </c>
      <c r="BR27" s="16">
        <f>+SUM('Monthly Energy Data'!CF236:CF247)</f>
        <v>14251.333333333338</v>
      </c>
      <c r="BS27" s="16">
        <f>+SUM('Monthly Energy Data'!CG236:CG247)</f>
        <v>39560</v>
      </c>
      <c r="BT27" s="16">
        <f>+SUM('Monthly Energy Data'!CH236:CH247)</f>
        <v>64800</v>
      </c>
      <c r="BU27" s="16">
        <f>+SUM('Monthly Energy Data'!CI236:CI247)</f>
        <v>0</v>
      </c>
      <c r="BV27" s="26">
        <f>+SUM('Monthly Energy Data'!CJ236:CJ247)</f>
        <v>15644.934999999998</v>
      </c>
      <c r="BW27" s="34">
        <f>+SUM('Monthly Energy Data'!CK236:CK247)</f>
        <v>486314.75685553462</v>
      </c>
      <c r="BX27" s="34">
        <f>+SUM('Monthly Energy Data'!CL236:CL247)</f>
        <v>63099.093183425488</v>
      </c>
      <c r="BY27" s="34">
        <f>+SUM('Monthly Energy Data'!CM236:CM247)</f>
        <v>63099.093183425488</v>
      </c>
      <c r="BZ27" s="34">
        <f>+SUM('Monthly Energy Data'!CN236:CN247)</f>
        <v>63099.093183425488</v>
      </c>
      <c r="CA27" s="34">
        <f>+SUM('Monthly Energy Data'!CO236:CO247)</f>
        <v>61166.512166023298</v>
      </c>
      <c r="CB27" s="36">
        <f>+SUM('Monthly Energy Data'!CP236:CP247)</f>
        <v>75486.443209436766</v>
      </c>
      <c r="CC27" s="34">
        <f>+SUM('Monthly Energy Data'!CQ236:CQ247)</f>
        <v>26706.991534888246</v>
      </c>
      <c r="CD27" s="34">
        <f>+SUM('Monthly Energy Data'!CR236:CR247)</f>
        <v>63099.093183425488</v>
      </c>
      <c r="CE27" s="34">
        <f>+SUM('Monthly Energy Data'!CS236:CS247)</f>
        <v>63099.093183425488</v>
      </c>
      <c r="CF27" s="34">
        <f>+SUM('Monthly Energy Data'!CT236:CT247)</f>
        <v>63099.093183425488</v>
      </c>
      <c r="CG27" s="81"/>
      <c r="CH27" s="16">
        <f>+SUM('Monthly Energy Data'!DD236:DD247)</f>
        <v>0</v>
      </c>
      <c r="CI27" s="16">
        <f>+SUM('Monthly Energy Data'!DE236:DE247)</f>
        <v>0</v>
      </c>
      <c r="CJ27" s="16">
        <f>+SUM('Monthly Energy Data'!DF236:DF247)</f>
        <v>0</v>
      </c>
      <c r="CK27" s="16">
        <f>+SUM('Monthly Energy Data'!DG236:DG247)</f>
        <v>0</v>
      </c>
      <c r="CL27" s="16">
        <f>+SUM('Monthly Energy Data'!DH236:DH247)</f>
        <v>0</v>
      </c>
      <c r="CM27" s="16">
        <f>+SUM('Monthly Energy Data'!DI236:DI247)</f>
        <v>0</v>
      </c>
      <c r="CN27" s="16">
        <f>+SUM('Monthly Energy Data'!DJ236:DJ247)</f>
        <v>0</v>
      </c>
      <c r="CO27" s="16">
        <f>+SUM('Monthly Energy Data'!DK236:DK247)</f>
        <v>0</v>
      </c>
      <c r="CP27" s="16">
        <f>+SUM('Monthly Energy Data'!DL236:DL247)</f>
        <v>0</v>
      </c>
      <c r="CQ27" s="16">
        <f>+SUM('Monthly Energy Data'!DM236:DM247)</f>
        <v>0</v>
      </c>
      <c r="CR27" s="16">
        <f>+SUM('Monthly Energy Data'!DN236:DN247)</f>
        <v>486314.75685553462</v>
      </c>
      <c r="CS27" s="16">
        <f>+SUM('Monthly Energy Data'!DO236:DO247)</f>
        <v>63099.093183425488</v>
      </c>
      <c r="CT27" s="16">
        <f>+SUM('Monthly Energy Data'!DP236:DP247)</f>
        <v>63099.093183425488</v>
      </c>
      <c r="CU27" s="16">
        <f>+SUM('Monthly Energy Data'!DQ236:DQ247)</f>
        <v>63099.093183425488</v>
      </c>
      <c r="CV27" s="16">
        <f>+SUM('Monthly Energy Data'!DR236:DR247)</f>
        <v>61166.512166023298</v>
      </c>
      <c r="CW27" s="16">
        <f>+SUM('Monthly Energy Data'!DS236:DS247)</f>
        <v>75486.443209436766</v>
      </c>
      <c r="CX27" s="16">
        <f>+SUM('Monthly Energy Data'!DT236:DT247)</f>
        <v>26706.991534888246</v>
      </c>
      <c r="CY27" s="16">
        <f>+SUM('Monthly Energy Data'!DU236:DU247)</f>
        <v>63099.093183425488</v>
      </c>
      <c r="CZ27" s="16">
        <f>+SUM('Monthly Energy Data'!DV236:DV247)</f>
        <v>63099.093183425488</v>
      </c>
      <c r="DA27" s="16">
        <f>+SUM('Monthly Energy Data'!DW236:DW247)</f>
        <v>63099.093183425488</v>
      </c>
      <c r="DB27" s="78"/>
      <c r="DC27" s="78"/>
      <c r="DD27" s="78"/>
      <c r="DE27" s="78"/>
      <c r="DF27" s="19">
        <f t="shared" si="4"/>
        <v>0.13436504443334565</v>
      </c>
      <c r="DG27" s="78"/>
      <c r="DH27" s="78"/>
      <c r="DI27" s="78"/>
      <c r="DJ27" s="78"/>
      <c r="DK27" s="135">
        <f t="shared" ref="DK27:DK53" si="17">+V27-$DN27</f>
        <v>77761.027977456513</v>
      </c>
      <c r="DL27" s="135">
        <f t="shared" ref="DL27:DL53" si="18">+W27-DN27</f>
        <v>28981.576302908245</v>
      </c>
      <c r="DM27" s="135">
        <f t="shared" ref="DM27:DM53" si="19">+U27-$DN27</f>
        <v>63441.096934043162</v>
      </c>
      <c r="DN27" s="58">
        <f t="shared" si="5"/>
        <v>484040.17208751471</v>
      </c>
      <c r="DO27" s="68">
        <f t="shared" si="6"/>
        <v>0.88412188594611973</v>
      </c>
      <c r="DP27" s="68">
        <f t="shared" si="7"/>
        <v>0.86158621952309178</v>
      </c>
      <c r="DQ27" s="68">
        <f t="shared" si="8"/>
        <v>0.94350809416201886</v>
      </c>
      <c r="DR27" s="68"/>
      <c r="DS27" s="58">
        <f t="shared" si="16"/>
        <v>107137.57630290824</v>
      </c>
      <c r="DT27" s="58">
        <f t="shared" si="9"/>
        <v>405884.17208751471</v>
      </c>
      <c r="DU27" s="68">
        <f t="shared" si="10"/>
        <v>0.74136631708496392</v>
      </c>
      <c r="DV27" s="68">
        <f t="shared" si="11"/>
        <v>0.72246939316002701</v>
      </c>
      <c r="DW27" s="68">
        <f t="shared" si="12"/>
        <v>0.79116367553803246</v>
      </c>
      <c r="DX27" s="68">
        <f t="shared" si="3"/>
        <v>0.98247688517840226</v>
      </c>
      <c r="DZ27" s="68">
        <f t="shared" si="0"/>
        <v>0.8656349555666546</v>
      </c>
      <c r="EA27" s="68">
        <f t="shared" si="1"/>
        <v>0.94794179463408712</v>
      </c>
      <c r="EB27" s="68">
        <f t="shared" si="2"/>
        <v>0.88827652081077002</v>
      </c>
      <c r="ED27" s="58" t="e">
        <f>+SUMIF('[1]Monthly Energy Data'!$D$200:$D$595,'[1]Annual Energy Data'!$A25,'[1]Monthly Energy Data'!$EK$200:$EK$595)</f>
        <v>#VALUE!</v>
      </c>
      <c r="EE27" s="58" t="e">
        <f>+SUMIF('[1]Monthly Energy Data'!$D$200:$D$595,'[1]Annual Energy Data'!$A25,'[1]Monthly Energy Data'!$EL$200:$EL$595)</f>
        <v>#VALUE!</v>
      </c>
      <c r="EF27" s="68" t="e">
        <f t="shared" si="13"/>
        <v>#VALUE!</v>
      </c>
      <c r="EG27" s="68" t="e">
        <f t="shared" si="14"/>
        <v>#VALUE!</v>
      </c>
      <c r="EH27" s="68" t="e">
        <f t="shared" si="15"/>
        <v>#VALUE!</v>
      </c>
      <c r="EN27" s="86" t="s">
        <v>119</v>
      </c>
      <c r="EO27" s="87"/>
      <c r="EP27" s="87">
        <v>49309</v>
      </c>
      <c r="EQ27" s="88">
        <v>78500</v>
      </c>
      <c r="ER27" s="86" t="s">
        <v>120</v>
      </c>
    </row>
    <row r="28" spans="1:166" x14ac:dyDescent="0.2">
      <c r="A28" s="15">
        <f>+'Monthly Energy Data'!D248</f>
        <v>2028</v>
      </c>
      <c r="B28" s="16">
        <f>+SUM('Monthly Energy Data'!G248:G259)</f>
        <v>512691.86629679153</v>
      </c>
      <c r="C28" s="16">
        <f>+SUM('Monthly Energy Data'!H248:H259)</f>
        <v>512691.86629679153</v>
      </c>
      <c r="D28" s="16">
        <f>+SUM('Monthly Energy Data'!I248:I259)</f>
        <v>512691.86629679153</v>
      </c>
      <c r="E28" s="16">
        <f>+SUM('Monthly Energy Data'!J248:J259)</f>
        <v>20007.316125000012</v>
      </c>
      <c r="F28" s="16">
        <f>+SUM('Monthly Energy Data'!K248:K259)</f>
        <v>20007.316125000012</v>
      </c>
      <c r="G28" s="16">
        <f>+SUM('Monthly Energy Data'!L248:L259)</f>
        <v>20007.316125000012</v>
      </c>
      <c r="H28" s="16">
        <f>+SUM('Monthly Energy Data'!$M$248:$O$259)</f>
        <v>46028.052531351757</v>
      </c>
      <c r="I28" s="16">
        <f>+SUM('Monthly Energy Data'!P248:P259)</f>
        <v>478876.13441238593</v>
      </c>
      <c r="J28" s="16">
        <f>+SUM('Monthly Energy Data'!Q248:Q259)</f>
        <v>478876.13441238593</v>
      </c>
      <c r="K28" s="16">
        <f>+SUM('Monthly Energy Data'!R248:R259)</f>
        <v>478876.13441238593</v>
      </c>
      <c r="L28" s="16">
        <f>+SUM('Monthly Energy Data'!S248:S259)</f>
        <v>491289.09820659156</v>
      </c>
      <c r="M28" s="16">
        <f>+SUM('Monthly Energy Data'!T248:T259)</f>
        <v>491289.09820659156</v>
      </c>
      <c r="N28" s="16">
        <f>+SUM('Monthly Energy Data'!U248:U259)</f>
        <v>491289.09820659156</v>
      </c>
      <c r="O28" s="16">
        <f>+SUM('Monthly Energy Data'!V248:V259)</f>
        <v>478876.13441238593</v>
      </c>
      <c r="P28" s="16">
        <f>+SUM('Monthly Energy Data'!W248:W259)</f>
        <v>478876.13441238593</v>
      </c>
      <c r="Q28" s="16">
        <f>+SUM('Monthly Energy Data'!X248:X259)</f>
        <v>478876.13441238593</v>
      </c>
      <c r="R28" s="16">
        <f>+SUM('Monthly Energy Data'!Y248:Y259)</f>
        <v>71045.158239728553</v>
      </c>
      <c r="S28" s="16">
        <f>+SUM('Monthly Energy Data'!Z248:Z259)</f>
        <v>82948.996046388289</v>
      </c>
      <c r="T28" s="16">
        <f>+SUM('Monthly Energy Data'!AA248:AA259)</f>
        <v>27058.789360544033</v>
      </c>
      <c r="U28" s="16">
        <f>+'Tier 3 Data'!F23</f>
        <v>562334.2564463201</v>
      </c>
      <c r="V28" s="16">
        <f>+'Tier 3 Data'!G23</f>
        <v>574238.09425297996</v>
      </c>
      <c r="W28" s="16">
        <f>+'Tier 3 Data'!H23</f>
        <v>518347.88756713568</v>
      </c>
      <c r="X28" s="16">
        <f>+'Tier 3 Data'!I23</f>
        <v>546355.61978096631</v>
      </c>
      <c r="Y28" s="81"/>
      <c r="Z28" s="16">
        <f>+SUM('Monthly Energy Data'!AL248:AL259)</f>
        <v>0</v>
      </c>
      <c r="AA28" s="16">
        <f>+SUM('Monthly Energy Data'!AM248:AM259)</f>
        <v>0</v>
      </c>
      <c r="AB28" s="16">
        <f>+SUM('Monthly Energy Data'!AN248:AN259)</f>
        <v>0</v>
      </c>
      <c r="AC28" s="16">
        <f>+SUM('Monthly Energy Data'!AO248:AO259)</f>
        <v>0</v>
      </c>
      <c r="AD28" s="16">
        <f>+SUM('Monthly Energy Data'!AP248:AP259)</f>
        <v>0</v>
      </c>
      <c r="AE28" s="16">
        <f>+SUM('Monthly Energy Data'!AQ248:AQ259)</f>
        <v>0</v>
      </c>
      <c r="AF28" s="16">
        <f>+SUM('Monthly Energy Data'!AR248:AR259)</f>
        <v>117120</v>
      </c>
      <c r="AG28" s="16">
        <f>+SUM('Monthly Energy Data'!AS248:AS259)</f>
        <v>0</v>
      </c>
      <c r="AH28" s="16">
        <f>+SUM('Monthly Energy Data'!AT248:AT259)</f>
        <v>0</v>
      </c>
      <c r="AI28" s="16">
        <f>+SUM('Monthly Energy Data'!AU248:AU259)</f>
        <v>1269.2160000000001</v>
      </c>
      <c r="AJ28" s="16">
        <f>+SUM('Monthly Energy Data'!AV248:AV259)</f>
        <v>37813.129000000008</v>
      </c>
      <c r="AK28" s="16">
        <f>+SUM('Monthly Energy Data'!AW248:AW259)</f>
        <v>0</v>
      </c>
      <c r="AL28" s="16">
        <f>+SUM('Monthly Energy Data'!AX248:AX259)</f>
        <v>0</v>
      </c>
      <c r="AM28" s="16">
        <f>+SUM('Monthly Energy Data'!AY248:AY259)</f>
        <v>13626.101309630476</v>
      </c>
      <c r="AN28" s="16">
        <f>+SUM('Monthly Energy Data'!AZ248:AZ259)</f>
        <v>0</v>
      </c>
      <c r="AO28" s="16">
        <f>+SUM('Monthly Energy Data'!BA248:BA259)</f>
        <v>21326.281999999999</v>
      </c>
      <c r="AP28" s="16">
        <f>+SUM('Monthly Energy Data'!BB248:BB259)</f>
        <v>15644.934999999998</v>
      </c>
      <c r="AQ28" s="16">
        <f>+SUM('Monthly Energy Data'!BC248:BC259)</f>
        <v>5104.8328325197499</v>
      </c>
      <c r="AR28" s="16">
        <f>+SUM('Monthly Energy Data'!BD248:BD259)</f>
        <v>160.98142115760004</v>
      </c>
      <c r="AS28" s="16">
        <f>+SUM('Monthly Energy Data'!BE248:BE259)</f>
        <v>0</v>
      </c>
      <c r="AT28" s="16">
        <f>+SUM('Monthly Energy Data'!BF248:BF259)</f>
        <v>2222.048648019861</v>
      </c>
      <c r="AU28" s="16">
        <f>+SUM('Monthly Energy Data'!BG248:BG259)</f>
        <v>0</v>
      </c>
      <c r="AV28" s="16">
        <f>+SUM('Monthly Energy Data'!BH248:BH259)</f>
        <v>631.47033189025001</v>
      </c>
      <c r="AW28" s="16">
        <f>+SUM('Monthly Energy Data'!BI248:BI259)</f>
        <v>12950.954451026641</v>
      </c>
      <c r="AX28" s="16">
        <f>+SUM('Monthly Energy Data'!BJ248:BJ259)</f>
        <v>0</v>
      </c>
      <c r="AY28" s="16">
        <f>+SUM('Monthly Energy Data'!BK248:BK259)</f>
        <v>196.44595650000002</v>
      </c>
      <c r="AZ28" s="16">
        <f>+SUM('Monthly Energy Data'!BL248:BL259)</f>
        <v>0</v>
      </c>
      <c r="BA28" s="16">
        <f>+SUM('Monthly Energy Data'!BM248:BM259)</f>
        <v>0</v>
      </c>
      <c r="BB28" s="16">
        <f>+SUM('Monthly Energy Data'!BN248:BN259)</f>
        <v>475.59491100521359</v>
      </c>
      <c r="BC28" s="16">
        <f>+SUM('Monthly Energy Data'!BO248:BO259)</f>
        <v>2498.2506468000006</v>
      </c>
      <c r="BD28" s="16">
        <f>+SUM('Monthly Energy Data'!BP248:BP259)</f>
        <v>11712</v>
      </c>
      <c r="BE28" s="16">
        <f>+SUM('Monthly Energy Data'!BQ248:BQ259)</f>
        <v>1487.1135122652292</v>
      </c>
      <c r="BF28" s="16">
        <f>+SUM('Monthly Energy Data'!BR248:BR259)</f>
        <v>1942.5913343770012</v>
      </c>
      <c r="BG28" s="16">
        <f>+SUM('Monthly Energy Data'!BS248:BS259)</f>
        <v>7030.5339803635497</v>
      </c>
      <c r="BH28" s="16">
        <f>+SUM('Monthly Energy Data'!BT248:BT259)</f>
        <v>2408.6612427282626</v>
      </c>
      <c r="BI28" s="16">
        <f>+SUM('Monthly Energy Data'!BU248:BU259)</f>
        <v>2642.3526628501786</v>
      </c>
      <c r="BJ28" s="16">
        <f>SUM('Monthly Energy Data'!BV$248:BX$259)</f>
        <v>32219.636771946232</v>
      </c>
      <c r="BK28" s="16">
        <f>+SUM('Monthly Energy Data'!BY248:BY259)</f>
        <v>0</v>
      </c>
      <c r="BL28" s="16">
        <f>+SUM('Monthly Energy Data'!BZ248:BZ259)</f>
        <v>85644</v>
      </c>
      <c r="BM28" s="16">
        <f>+SUM('Monthly Energy Data'!CA248:CA259)</f>
        <v>0</v>
      </c>
      <c r="BN28" s="16">
        <f>+SUM('Monthly Energy Data'!CB248:CB259)</f>
        <v>0</v>
      </c>
      <c r="BO28" s="16">
        <f>+SUM('Monthly Energy Data'!CC248:CC259)</f>
        <v>0</v>
      </c>
      <c r="BP28" s="16">
        <f>+SUM('Monthly Energy Data'!CD248:CD259)</f>
        <v>52.536120000000011</v>
      </c>
      <c r="BQ28" s="16">
        <f>+SUM('Monthly Energy Data'!CE248:CE259)</f>
        <v>0</v>
      </c>
      <c r="BR28" s="16">
        <f>+SUM('Monthly Energy Data'!CF248:CF259)</f>
        <v>14251.333333333338</v>
      </c>
      <c r="BS28" s="16">
        <f>+SUM('Monthly Energy Data'!CG248:CG259)</f>
        <v>0</v>
      </c>
      <c r="BT28" s="16">
        <f>+SUM('Monthly Energy Data'!CH248:CH259)</f>
        <v>64864</v>
      </c>
      <c r="BU28" s="16">
        <f>+SUM('Monthly Energy Data'!CI248:CI259)</f>
        <v>0</v>
      </c>
      <c r="BV28" s="16">
        <f>+SUM('Monthly Energy Data'!CJ248:CJ259)</f>
        <v>15644.934999999998</v>
      </c>
      <c r="BW28" s="16">
        <f>+SUM('Monthly Energy Data'!CK248:CK259)</f>
        <v>455295.00146641361</v>
      </c>
      <c r="BX28" s="16">
        <f>+SUM('Monthly Energy Data'!CL248:CL259)</f>
        <v>106530.12899236067</v>
      </c>
      <c r="BY28" s="16">
        <f>+SUM('Monthly Energy Data'!CM248:CM259)</f>
        <v>106530.12899236067</v>
      </c>
      <c r="BZ28" s="16">
        <f>+SUM('Monthly Energy Data'!CN248:CN259)</f>
        <v>106530.12899236067</v>
      </c>
      <c r="CA28" s="16">
        <f>+SUM('Monthly Energy Data'!CO248:CO259)</f>
        <v>107039.25497990655</v>
      </c>
      <c r="CB28" s="41">
        <f>+SUM('Monthly Energy Data'!CP248:CP259)</f>
        <v>118943.0927865663</v>
      </c>
      <c r="CC28" s="16">
        <f>+SUM('Monthly Energy Data'!CQ248:CQ259)</f>
        <v>63052.88610072204</v>
      </c>
      <c r="CD28" s="16">
        <f>+SUM('Monthly Energy Data'!CR248:CR259)</f>
        <v>106530.12899236067</v>
      </c>
      <c r="CE28" s="16">
        <f>+SUM('Monthly Energy Data'!CS248:CS259)</f>
        <v>106530.12899236067</v>
      </c>
      <c r="CF28" s="16">
        <f>+SUM('Monthly Energy Data'!CT248:CT259)</f>
        <v>106530.12899236067</v>
      </c>
      <c r="CG28" s="81"/>
      <c r="CH28" s="16">
        <f>+SUM('Monthly Energy Data'!DD248:DD259)</f>
        <v>0</v>
      </c>
      <c r="CI28" s="16">
        <f>+SUM('Monthly Energy Data'!DE248:DE259)</f>
        <v>0</v>
      </c>
      <c r="CJ28" s="16">
        <f>+SUM('Monthly Energy Data'!DF248:DF259)</f>
        <v>0</v>
      </c>
      <c r="CK28" s="16">
        <f>+SUM('Monthly Energy Data'!DG248:DG259)</f>
        <v>0</v>
      </c>
      <c r="CL28" s="16">
        <f>+SUM('Monthly Energy Data'!DH248:DH259)</f>
        <v>0</v>
      </c>
      <c r="CM28" s="16">
        <f>+SUM('Monthly Energy Data'!DI248:DI259)</f>
        <v>0</v>
      </c>
      <c r="CN28" s="16">
        <f>+SUM('Monthly Energy Data'!DJ248:DJ259)</f>
        <v>0</v>
      </c>
      <c r="CO28" s="16">
        <f>+SUM('Monthly Energy Data'!DK248:DK259)</f>
        <v>0</v>
      </c>
      <c r="CP28" s="16">
        <f>+SUM('Monthly Energy Data'!DL248:DL259)</f>
        <v>0</v>
      </c>
      <c r="CQ28" s="16">
        <f>+SUM('Monthly Energy Data'!DM248:DM259)</f>
        <v>0</v>
      </c>
      <c r="CR28" s="16">
        <f>+SUM('Monthly Energy Data'!DN248:DN259)</f>
        <v>455295.00146641361</v>
      </c>
      <c r="CS28" s="16">
        <f>+SUM('Monthly Energy Data'!DO248:DO259)</f>
        <v>106530.12899236067</v>
      </c>
      <c r="CT28" s="16">
        <f>+SUM('Monthly Energy Data'!DP248:DP259)</f>
        <v>106530.12899236067</v>
      </c>
      <c r="CU28" s="16">
        <f>+SUM('Monthly Energy Data'!DQ248:DQ259)</f>
        <v>106530.12899236067</v>
      </c>
      <c r="CV28" s="16">
        <f>+SUM('Monthly Energy Data'!DR248:DR259)</f>
        <v>107039.25497990655</v>
      </c>
      <c r="CW28" s="16">
        <f>+SUM('Monthly Energy Data'!DS248:DS259)</f>
        <v>118943.0927865663</v>
      </c>
      <c r="CX28" s="16">
        <f>+SUM('Monthly Energy Data'!DT248:DT259)</f>
        <v>63052.88610072204</v>
      </c>
      <c r="CY28" s="16">
        <f>+SUM('Monthly Energy Data'!DU248:DU259)</f>
        <v>106530.12899236067</v>
      </c>
      <c r="CZ28" s="16">
        <f>+SUM('Monthly Energy Data'!DV248:DV259)</f>
        <v>106530.12899236067</v>
      </c>
      <c r="DA28" s="16">
        <f>+SUM('Monthly Energy Data'!DW248:DW259)</f>
        <v>106530.12899236067</v>
      </c>
      <c r="DB28" s="78"/>
      <c r="DC28" s="78"/>
      <c r="DD28" s="78"/>
      <c r="DE28" s="78"/>
      <c r="DF28" s="19">
        <f t="shared" si="4"/>
        <v>0.20713201366638356</v>
      </c>
      <c r="DG28" s="78"/>
      <c r="DH28" s="78"/>
      <c r="DI28" s="78"/>
      <c r="DJ28" s="78"/>
      <c r="DK28" s="135">
        <f t="shared" si="17"/>
        <v>121217.67755458626</v>
      </c>
      <c r="DL28" s="135">
        <f t="shared" si="18"/>
        <v>65327.470868741977</v>
      </c>
      <c r="DM28" s="135">
        <f t="shared" si="19"/>
        <v>109313.83974792639</v>
      </c>
      <c r="DN28" s="58">
        <f t="shared" si="5"/>
        <v>453020.4166983937</v>
      </c>
      <c r="DO28" s="68">
        <f t="shared" si="6"/>
        <v>0.80560700598477342</v>
      </c>
      <c r="DP28" s="68">
        <f t="shared" si="7"/>
        <v>0.78890693813638924</v>
      </c>
      <c r="DQ28" s="68">
        <f t="shared" si="8"/>
        <v>0.87396983293332919</v>
      </c>
      <c r="DR28" s="68"/>
      <c r="DS28" s="58">
        <f t="shared" si="16"/>
        <v>150971.47086874198</v>
      </c>
      <c r="DT28" s="58">
        <f t="shared" si="9"/>
        <v>367376.4166983937</v>
      </c>
      <c r="DU28" s="68">
        <f t="shared" si="10"/>
        <v>0.65330612973862656</v>
      </c>
      <c r="DV28" s="68">
        <f t="shared" si="11"/>
        <v>0.63976322778848316</v>
      </c>
      <c r="DW28" s="68">
        <f t="shared" si="12"/>
        <v>0.70874489027566767</v>
      </c>
      <c r="DX28" s="68">
        <f t="shared" si="3"/>
        <v>0.92673540513809227</v>
      </c>
      <c r="DZ28" s="68">
        <f t="shared" si="0"/>
        <v>0.79286798633361633</v>
      </c>
      <c r="EA28" s="68">
        <f t="shared" si="1"/>
        <v>0.87835797615253997</v>
      </c>
      <c r="EB28" s="68">
        <f t="shared" si="2"/>
        <v>0.80965190408931742</v>
      </c>
      <c r="ED28" s="58" t="e">
        <f>+SUMIF('[1]Monthly Energy Data'!$D$200:$D$595,'[1]Annual Energy Data'!$A26,'[1]Monthly Energy Data'!$EK$200:$EK$595)</f>
        <v>#VALUE!</v>
      </c>
      <c r="EE28" s="58" t="e">
        <f>+SUMIF('[1]Monthly Energy Data'!$D$200:$D$595,'[1]Annual Energy Data'!$A26,'[1]Monthly Energy Data'!$EL$200:$EL$595)</f>
        <v>#VALUE!</v>
      </c>
      <c r="EF28" s="68" t="e">
        <f t="shared" si="13"/>
        <v>#VALUE!</v>
      </c>
      <c r="EG28" s="68" t="e">
        <f t="shared" si="14"/>
        <v>#VALUE!</v>
      </c>
      <c r="EH28" s="68" t="e">
        <f t="shared" si="15"/>
        <v>#VALUE!</v>
      </c>
      <c r="EN28" s="86" t="s">
        <v>36</v>
      </c>
      <c r="EO28" s="87">
        <v>42370</v>
      </c>
      <c r="EP28" s="87">
        <v>42735</v>
      </c>
      <c r="EQ28" s="88">
        <v>47640</v>
      </c>
      <c r="ER28" s="86" t="s">
        <v>120</v>
      </c>
    </row>
    <row r="29" spans="1:166" x14ac:dyDescent="0.2">
      <c r="A29" s="15">
        <f>+'Monthly Energy Data'!D260</f>
        <v>2029</v>
      </c>
      <c r="B29" s="16">
        <f>+SUM('Monthly Energy Data'!G260:G271)</f>
        <v>515061.06629679142</v>
      </c>
      <c r="C29" s="16">
        <f>+SUM('Monthly Energy Data'!H260:H271)</f>
        <v>515061.06629679142</v>
      </c>
      <c r="D29" s="16">
        <f>+SUM('Monthly Energy Data'!I260:I271)</f>
        <v>515061.06629679142</v>
      </c>
      <c r="E29" s="16">
        <f>+SUM('Monthly Energy Data'!J260:J271)</f>
        <v>25785.367124999997</v>
      </c>
      <c r="F29" s="16">
        <f>+SUM('Monthly Energy Data'!K260:K271)</f>
        <v>25785.367124999997</v>
      </c>
      <c r="G29" s="16">
        <f>+SUM('Monthly Energy Data'!L260:L271)</f>
        <v>25785.367124999997</v>
      </c>
      <c r="H29" s="16">
        <f>+SUM('Monthly Energy Data'!$M$260:$O$271)</f>
        <v>46728.621373697941</v>
      </c>
      <c r="I29" s="16">
        <f>+SUM('Monthly Energy Data'!P260:P271)</f>
        <v>475257.112759682</v>
      </c>
      <c r="J29" s="16">
        <f>+SUM('Monthly Energy Data'!Q260:Q271)</f>
        <v>475257.112759682</v>
      </c>
      <c r="K29" s="16">
        <f>+SUM('Monthly Energy Data'!R260:R271)</f>
        <v>475257.112759682</v>
      </c>
      <c r="L29" s="16">
        <f>+SUM('Monthly Energy Data'!S260:S271)</f>
        <v>487644.46278569341</v>
      </c>
      <c r="M29" s="16">
        <f>+SUM('Monthly Energy Data'!T260:T271)</f>
        <v>487644.46278569341</v>
      </c>
      <c r="N29" s="16">
        <f>+SUM('Monthly Energy Data'!U260:U271)</f>
        <v>487644.46278569341</v>
      </c>
      <c r="O29" s="16">
        <f>+SUM('Monthly Energy Data'!V260:V271)</f>
        <v>475257.112759682</v>
      </c>
      <c r="P29" s="16">
        <f>+SUM('Monthly Energy Data'!W260:W271)</f>
        <v>475257.112759682</v>
      </c>
      <c r="Q29" s="16">
        <f>+SUM('Monthly Energy Data'!X260:X271)</f>
        <v>475257.112759682</v>
      </c>
      <c r="R29" s="16">
        <f>+SUM('Monthly Energy Data'!Y260:Y271)</f>
        <v>91495.395336517016</v>
      </c>
      <c r="S29" s="16">
        <f>+SUM('Monthly Energy Data'!Z260:Z271)</f>
        <v>101280.96013817951</v>
      </c>
      <c r="T29" s="16">
        <f>+SUM('Monthly Energy Data'!AA260:AA271)</f>
        <v>37433.337217659297</v>
      </c>
      <c r="U29" s="16">
        <f>+'Tier 3 Data'!F24</f>
        <v>579139.85812221037</v>
      </c>
      <c r="V29" s="16">
        <f>+'Tier 3 Data'!G24</f>
        <v>588925.42292387283</v>
      </c>
      <c r="W29" s="16">
        <f>+'Tier 3 Data'!H24</f>
        <v>525077.80000335269</v>
      </c>
      <c r="X29" s="16">
        <f>+'Tier 3 Data'!I24</f>
        <v>557418.58564397157</v>
      </c>
      <c r="Y29" s="81"/>
      <c r="Z29" s="16">
        <f>+SUM('Monthly Energy Data'!AL260:AL271)</f>
        <v>0</v>
      </c>
      <c r="AA29" s="16">
        <f>+SUM('Monthly Energy Data'!AM260:AM271)</f>
        <v>0</v>
      </c>
      <c r="AB29" s="16">
        <f>+SUM('Monthly Energy Data'!AN260:AN271)</f>
        <v>0</v>
      </c>
      <c r="AC29" s="16">
        <f>+SUM('Monthly Energy Data'!AO260:AO271)</f>
        <v>0</v>
      </c>
      <c r="AD29" s="16">
        <f>+SUM('Monthly Energy Data'!AP260:AP271)</f>
        <v>0</v>
      </c>
      <c r="AE29" s="16">
        <f>+SUM('Monthly Energy Data'!AQ260:AQ271)</f>
        <v>0</v>
      </c>
      <c r="AF29" s="16">
        <f>+SUM('Monthly Energy Data'!AR260:AR271)</f>
        <v>116800</v>
      </c>
      <c r="AG29" s="16">
        <f>+SUM('Monthly Energy Data'!AS260:AS271)</f>
        <v>0</v>
      </c>
      <c r="AH29" s="16">
        <f>+SUM('Monthly Energy Data'!AT260:AT271)</f>
        <v>0</v>
      </c>
      <c r="AI29" s="16">
        <f>+SUM('Monthly Energy Data'!AU260:AU271)</f>
        <v>1269.2160000000001</v>
      </c>
      <c r="AJ29" s="16">
        <f>+SUM('Monthly Energy Data'!AV260:AV271)</f>
        <v>37813.129000000008</v>
      </c>
      <c r="AK29" s="16">
        <f>+SUM('Monthly Energy Data'!AW260:AW271)</f>
        <v>0</v>
      </c>
      <c r="AL29" s="16">
        <f>+SUM('Monthly Energy Data'!AX260:AX271)</f>
        <v>0</v>
      </c>
      <c r="AM29" s="16">
        <f>+SUM('Monthly Energy Data'!AY260:AY271)</f>
        <v>13626.101309630476</v>
      </c>
      <c r="AN29" s="16">
        <f>+SUM('Monthly Energy Data'!AZ260:AZ271)</f>
        <v>0</v>
      </c>
      <c r="AO29" s="16">
        <f>+SUM('Monthly Energy Data'!BA260:BA271)</f>
        <v>21326.281999999999</v>
      </c>
      <c r="AP29" s="16">
        <f>+SUM('Monthly Energy Data'!BB260:BB271)</f>
        <v>15644.934999999998</v>
      </c>
      <c r="AQ29" s="16">
        <f>+SUM('Monthly Energy Data'!BC260:BC271)</f>
        <v>5104.8328325197499</v>
      </c>
      <c r="AR29" s="16">
        <f>+SUM('Monthly Energy Data'!BD260:BD271)</f>
        <v>160.98142115760004</v>
      </c>
      <c r="AS29" s="16">
        <f>+SUM('Monthly Energy Data'!BE260:BE271)</f>
        <v>0</v>
      </c>
      <c r="AT29" s="16">
        <f>+SUM('Monthly Energy Data'!BF260:BF271)</f>
        <v>2222.048648019861</v>
      </c>
      <c r="AU29" s="16">
        <f>+SUM('Monthly Energy Data'!BG260:BG271)</f>
        <v>0</v>
      </c>
      <c r="AV29" s="16">
        <f>+SUM('Monthly Energy Data'!BH260:BH271)</f>
        <v>631.47033189025001</v>
      </c>
      <c r="AW29" s="16">
        <f>+SUM('Monthly Energy Data'!BI260:BI271)</f>
        <v>12950.954451026641</v>
      </c>
      <c r="AX29" s="16">
        <f>+SUM('Monthly Energy Data'!BJ260:BJ271)</f>
        <v>0</v>
      </c>
      <c r="AY29" s="16">
        <f>+SUM('Monthly Energy Data'!BK260:BK271)</f>
        <v>196.44595650000002</v>
      </c>
      <c r="AZ29" s="16">
        <f>+SUM('Monthly Energy Data'!BL260:BL271)</f>
        <v>0</v>
      </c>
      <c r="BA29" s="16">
        <f>+SUM('Monthly Energy Data'!BM260:BM271)</f>
        <v>0</v>
      </c>
      <c r="BB29" s="16">
        <f>+SUM('Monthly Energy Data'!BN260:BN271)</f>
        <v>475.59491100521359</v>
      </c>
      <c r="BC29" s="16">
        <f>+SUM('Monthly Energy Data'!BO260:BO271)</f>
        <v>2498.2506468000006</v>
      </c>
      <c r="BD29" s="16">
        <f>+SUM('Monthly Energy Data'!BP260:BP271)</f>
        <v>11680</v>
      </c>
      <c r="BE29" s="16">
        <f>+SUM('Monthly Energy Data'!BQ260:BQ271)</f>
        <v>1479.6779447039028</v>
      </c>
      <c r="BF29" s="16">
        <f>+SUM('Monthly Energy Data'!BR260:BR271)</f>
        <v>1932.8783777051162</v>
      </c>
      <c r="BG29" s="16">
        <f>+SUM('Monthly Energy Data'!BS260:BS271)</f>
        <v>6995.3813104617311</v>
      </c>
      <c r="BH29" s="16">
        <f>+SUM('Monthly Energy Data'!BT260:BT271)</f>
        <v>2396.6179365146213</v>
      </c>
      <c r="BI29" s="16">
        <f>+SUM('Monthly Energy Data'!BU260:BU271)</f>
        <v>2629.1408995359275</v>
      </c>
      <c r="BJ29" s="16">
        <f>SUM('Monthly Energy Data'!BV$260:BX$271)</f>
        <v>32710.034961588553</v>
      </c>
      <c r="BK29" s="16">
        <f>+SUM('Monthly Energy Data'!BY260:BY271)</f>
        <v>0</v>
      </c>
      <c r="BL29" s="16">
        <f>+SUM('Monthly Energy Data'!BZ260:BZ271)</f>
        <v>78390</v>
      </c>
      <c r="BM29" s="16">
        <f>+SUM('Monthly Energy Data'!CA260:CA271)</f>
        <v>0</v>
      </c>
      <c r="BN29" s="16">
        <f>+SUM('Monthly Energy Data'!CB260:CB271)</f>
        <v>0</v>
      </c>
      <c r="BO29" s="16">
        <f>+SUM('Monthly Energy Data'!CC260:CC271)</f>
        <v>0</v>
      </c>
      <c r="BP29" s="16">
        <f>+SUM('Monthly Energy Data'!CD260:CD271)</f>
        <v>52.536120000000011</v>
      </c>
      <c r="BQ29" s="16">
        <f>+SUM('Monthly Energy Data'!CE260:CE271)</f>
        <v>0</v>
      </c>
      <c r="BR29" s="16">
        <f>+SUM('Monthly Energy Data'!CF260:CF271)</f>
        <v>14251.333333333338</v>
      </c>
      <c r="BS29" s="16">
        <f>+SUM('Monthly Energy Data'!CG260:CG271)</f>
        <v>0</v>
      </c>
      <c r="BT29" s="16">
        <f>+SUM('Monthly Energy Data'!CH260:CH271)</f>
        <v>64736</v>
      </c>
      <c r="BU29" s="16">
        <f>+SUM('Monthly Energy Data'!CI260:CI271)</f>
        <v>0</v>
      </c>
      <c r="BV29" s="16">
        <f>+SUM('Monthly Energy Data'!CJ260:CJ271)</f>
        <v>15644.934999999998</v>
      </c>
      <c r="BW29" s="16">
        <f>+SUM('Monthly Energy Data'!CK260:CK271)</f>
        <v>447973.84339239297</v>
      </c>
      <c r="BX29" s="16">
        <f>+SUM('Monthly Energy Data'!CL260:CL271)</f>
        <v>128564.22950546868</v>
      </c>
      <c r="BY29" s="16">
        <f>+SUM('Monthly Energy Data'!CM260:CM271)</f>
        <v>128564.22950546868</v>
      </c>
      <c r="BZ29" s="16">
        <f>+SUM('Monthly Energy Data'!CN260:CN271)</f>
        <v>128564.22950546868</v>
      </c>
      <c r="CA29" s="16">
        <f>+SUM('Monthly Energy Data'!CO260:CO271)</f>
        <v>131166.01472981743</v>
      </c>
      <c r="CB29" s="41">
        <f>+SUM('Monthly Energy Data'!CP260:CP271)</f>
        <v>140951.57953147998</v>
      </c>
      <c r="CC29" s="16">
        <f>+SUM('Monthly Energy Data'!CQ260:CQ271)</f>
        <v>77103.956610959736</v>
      </c>
      <c r="CD29" s="16">
        <f>+SUM('Monthly Energy Data'!CR260:CR271)</f>
        <v>128564.22950546868</v>
      </c>
      <c r="CE29" s="16">
        <f>+SUM('Monthly Energy Data'!CS260:CS271)</f>
        <v>128564.22950546868</v>
      </c>
      <c r="CF29" s="16">
        <f>+SUM('Monthly Energy Data'!CT260:CT271)</f>
        <v>128564.22950546868</v>
      </c>
      <c r="CG29" s="81"/>
      <c r="CH29" s="16">
        <f>+SUM('Monthly Energy Data'!DD260:DD271)</f>
        <v>0</v>
      </c>
      <c r="CI29" s="16">
        <f>+SUM('Monthly Energy Data'!DE260:DE271)</f>
        <v>0</v>
      </c>
      <c r="CJ29" s="16">
        <f>+SUM('Monthly Energy Data'!DF260:DF271)</f>
        <v>0</v>
      </c>
      <c r="CK29" s="16">
        <f>+SUM('Monthly Energy Data'!DG260:DG271)</f>
        <v>0</v>
      </c>
      <c r="CL29" s="16">
        <f>+SUM('Monthly Energy Data'!DH260:DH271)</f>
        <v>0</v>
      </c>
      <c r="CM29" s="16">
        <f>+SUM('Monthly Energy Data'!DI260:DI271)</f>
        <v>0</v>
      </c>
      <c r="CN29" s="16">
        <f>+SUM('Monthly Energy Data'!DJ260:DJ271)</f>
        <v>0</v>
      </c>
      <c r="CO29" s="16">
        <f>+SUM('Monthly Energy Data'!DK260:DK271)</f>
        <v>0</v>
      </c>
      <c r="CP29" s="16">
        <f>+SUM('Monthly Energy Data'!DL260:DL271)</f>
        <v>0</v>
      </c>
      <c r="CQ29" s="16">
        <f>+SUM('Monthly Energy Data'!DM260:DM271)</f>
        <v>0</v>
      </c>
      <c r="CR29" s="16">
        <f>+SUM('Monthly Energy Data'!DN260:DN271)</f>
        <v>447973.84339239297</v>
      </c>
      <c r="CS29" s="16">
        <f>+SUM('Monthly Energy Data'!DO260:DO271)</f>
        <v>128564.22950546868</v>
      </c>
      <c r="CT29" s="16">
        <f>+SUM('Monthly Energy Data'!DP260:DP271)</f>
        <v>128564.22950546868</v>
      </c>
      <c r="CU29" s="16">
        <f>+SUM('Monthly Energy Data'!DQ260:DQ271)</f>
        <v>128564.22950546868</v>
      </c>
      <c r="CV29" s="16">
        <f>+SUM('Monthly Energy Data'!DR260:DR271)</f>
        <v>131166.01472981743</v>
      </c>
      <c r="CW29" s="16">
        <f>+SUM('Monthly Energy Data'!DS260:DS271)</f>
        <v>140951.57953147998</v>
      </c>
      <c r="CX29" s="16">
        <f>+SUM('Monthly Energy Data'!DT260:DT271)</f>
        <v>77103.956610959736</v>
      </c>
      <c r="CY29" s="16">
        <f>+SUM('Monthly Energy Data'!DU260:DU271)</f>
        <v>128564.22950546868</v>
      </c>
      <c r="CZ29" s="16">
        <f>+SUM('Monthly Energy Data'!DV260:DV271)</f>
        <v>128564.22950546868</v>
      </c>
      <c r="DA29" s="16">
        <f>+SUM('Monthly Energy Data'!DW260:DW271)</f>
        <v>128564.22950546868</v>
      </c>
      <c r="DB29" s="78"/>
      <c r="DC29" s="78"/>
      <c r="DD29" s="78"/>
      <c r="DE29" s="78"/>
      <c r="DF29" s="19">
        <f t="shared" si="4"/>
        <v>0.23933689062307642</v>
      </c>
      <c r="DG29" s="78"/>
      <c r="DH29" s="78"/>
      <c r="DI29" s="78"/>
      <c r="DJ29" s="78"/>
      <c r="DK29" s="135">
        <f t="shared" si="17"/>
        <v>143226.16429949977</v>
      </c>
      <c r="DL29" s="135">
        <f t="shared" si="18"/>
        <v>79378.541378979629</v>
      </c>
      <c r="DM29" s="135">
        <f t="shared" si="19"/>
        <v>133440.59949783731</v>
      </c>
      <c r="DN29" s="58">
        <f t="shared" si="5"/>
        <v>445699.25862437306</v>
      </c>
      <c r="DO29" s="68">
        <f t="shared" si="6"/>
        <v>0.76958829956808361</v>
      </c>
      <c r="DP29" s="68">
        <f t="shared" si="7"/>
        <v>0.75680084655130631</v>
      </c>
      <c r="DQ29" s="68">
        <f t="shared" si="8"/>
        <v>0.84882518099513482</v>
      </c>
      <c r="DR29" s="68"/>
      <c r="DS29" s="58">
        <f t="shared" si="16"/>
        <v>157768.54137897963</v>
      </c>
      <c r="DT29" s="58">
        <f t="shared" si="9"/>
        <v>367309.25862437306</v>
      </c>
      <c r="DU29" s="68">
        <f t="shared" si="10"/>
        <v>0.63423239390797259</v>
      </c>
      <c r="DV29" s="68">
        <f t="shared" si="11"/>
        <v>0.62369401001704272</v>
      </c>
      <c r="DW29" s="68">
        <f t="shared" si="12"/>
        <v>0.69953301895838627</v>
      </c>
      <c r="DX29" s="68">
        <f t="shared" si="3"/>
        <v>0.91864847769073388</v>
      </c>
      <c r="DZ29" s="68">
        <f t="shared" si="0"/>
        <v>0.76066310937692372</v>
      </c>
      <c r="EA29" s="68">
        <f t="shared" si="1"/>
        <v>0.85315708146398994</v>
      </c>
      <c r="EB29" s="68">
        <f t="shared" si="2"/>
        <v>0.77351582197242119</v>
      </c>
      <c r="ED29" s="58" t="e">
        <f>+SUMIF('[1]Monthly Energy Data'!$D$200:$D$595,'[1]Annual Energy Data'!$A27,'[1]Monthly Energy Data'!$EK$200:$EK$595)</f>
        <v>#VALUE!</v>
      </c>
      <c r="EE29" s="58" t="e">
        <f>+SUMIF('[1]Monthly Energy Data'!$D$200:$D$595,'[1]Annual Energy Data'!$A27,'[1]Monthly Energy Data'!$EL$200:$EL$595)</f>
        <v>#VALUE!</v>
      </c>
      <c r="EF29" s="68" t="e">
        <f t="shared" si="13"/>
        <v>#VALUE!</v>
      </c>
      <c r="EG29" s="68" t="e">
        <f t="shared" si="14"/>
        <v>#VALUE!</v>
      </c>
      <c r="EH29" s="68" t="e">
        <f t="shared" si="15"/>
        <v>#VALUE!</v>
      </c>
      <c r="EN29" s="86" t="s">
        <v>88</v>
      </c>
      <c r="EO29" s="87">
        <v>42370</v>
      </c>
      <c r="EP29" s="87">
        <v>42595</v>
      </c>
      <c r="EQ29" s="88">
        <v>7440</v>
      </c>
      <c r="ER29" s="86" t="s">
        <v>120</v>
      </c>
    </row>
    <row r="30" spans="1:166" x14ac:dyDescent="0.2">
      <c r="A30" s="15">
        <f>+'Monthly Energy Data'!D272</f>
        <v>2030</v>
      </c>
      <c r="B30" s="16">
        <f>+SUM('Monthly Energy Data'!G272:G283)</f>
        <v>517430.26629679155</v>
      </c>
      <c r="C30" s="16">
        <f>+SUM('Monthly Energy Data'!H272:H283)</f>
        <v>517430.26629679155</v>
      </c>
      <c r="D30" s="16">
        <f>+SUM('Monthly Energy Data'!I272:I283)</f>
        <v>517430.26629679155</v>
      </c>
      <c r="E30" s="16">
        <f>+SUM('Monthly Energy Data'!J272:J283)</f>
        <v>31539.517124999998</v>
      </c>
      <c r="F30" s="16">
        <f>+SUM('Monthly Energy Data'!K272:K283)</f>
        <v>31539.517124999998</v>
      </c>
      <c r="G30" s="16">
        <f>+SUM('Monthly Energy Data'!L272:L283)</f>
        <v>31539.517124999998</v>
      </c>
      <c r="H30" s="16">
        <f>+SUM('Monthly Energy Data'!$M$272:$O$283)</f>
        <v>47315.054705025068</v>
      </c>
      <c r="I30" s="16">
        <f>+SUM('Monthly Energy Data'!P272:P283)</f>
        <v>471696.23276028398</v>
      </c>
      <c r="J30" s="16">
        <f>+SUM('Monthly Energy Data'!Q272:Q283)</f>
        <v>471696.23276028398</v>
      </c>
      <c r="K30" s="16">
        <f>+SUM('Monthly Energy Data'!R272:R283)</f>
        <v>471696.23276028398</v>
      </c>
      <c r="L30" s="16">
        <f>+SUM('Monthly Energy Data'!S272:S283)</f>
        <v>484083.58278629533</v>
      </c>
      <c r="M30" s="16">
        <f>+SUM('Monthly Energy Data'!T272:T283)</f>
        <v>484083.58278629533</v>
      </c>
      <c r="N30" s="16">
        <f>+SUM('Monthly Energy Data'!U272:U283)</f>
        <v>484083.58278629533</v>
      </c>
      <c r="O30" s="16">
        <f>+SUM('Monthly Energy Data'!V272:V283)</f>
        <v>471696.23276028398</v>
      </c>
      <c r="P30" s="16">
        <f>+SUM('Monthly Energy Data'!W272:W283)</f>
        <v>471696.23276028398</v>
      </c>
      <c r="Q30" s="16">
        <f>+SUM('Monthly Energy Data'!X272:X283)</f>
        <v>471696.23276028398</v>
      </c>
      <c r="R30" s="16">
        <f>+SUM('Monthly Energy Data'!Y272:Y283)</f>
        <v>113453.62612974789</v>
      </c>
      <c r="S30" s="16">
        <f>+SUM('Monthly Energy Data'!Z272:Z283)</f>
        <v>120287.68590367469</v>
      </c>
      <c r="T30" s="16">
        <f>+SUM('Monthly Energy Data'!AA272:AA283)</f>
        <v>49170.093558123648</v>
      </c>
      <c r="U30" s="16">
        <f>+'Tier 3 Data'!F25</f>
        <v>597537.20891604316</v>
      </c>
      <c r="V30" s="16">
        <f>+'Tier 3 Data'!G25</f>
        <v>604371.2686899699</v>
      </c>
      <c r="W30" s="16">
        <f>+'Tier 3 Data'!H25</f>
        <v>533253.6763444189</v>
      </c>
      <c r="X30" s="16">
        <f>+'Tier 3 Data'!I25</f>
        <v>569764.86950471113</v>
      </c>
      <c r="Y30" s="81"/>
      <c r="Z30" s="16">
        <f>+SUM('Monthly Energy Data'!AL272:AL283)</f>
        <v>0</v>
      </c>
      <c r="AA30" s="16">
        <f>+SUM('Monthly Energy Data'!AM272:AM283)</f>
        <v>0</v>
      </c>
      <c r="AB30" s="16">
        <f>+SUM('Monthly Energy Data'!AN272:AN283)</f>
        <v>0</v>
      </c>
      <c r="AC30" s="16">
        <f>+SUM('Monthly Energy Data'!AO272:AO283)</f>
        <v>0</v>
      </c>
      <c r="AD30" s="16">
        <f>+SUM('Monthly Energy Data'!AP272:AP283)</f>
        <v>0</v>
      </c>
      <c r="AE30" s="16">
        <f>+SUM('Monthly Energy Data'!AQ272:AQ283)</f>
        <v>0</v>
      </c>
      <c r="AF30" s="16">
        <f>+SUM('Monthly Energy Data'!AR272:AR283)</f>
        <v>97280</v>
      </c>
      <c r="AG30" s="16">
        <f>+SUM('Monthly Energy Data'!AS272:AS283)</f>
        <v>6680.7199999999993</v>
      </c>
      <c r="AH30" s="16">
        <f>+SUM('Monthly Energy Data'!AT272:AT283)</f>
        <v>0</v>
      </c>
      <c r="AI30" s="16">
        <f>+SUM('Monthly Energy Data'!AU272:AU283)</f>
        <v>1269.2160000000001</v>
      </c>
      <c r="AJ30" s="16">
        <f>+SUM('Monthly Energy Data'!AV272:AV283)</f>
        <v>37813.129000000008</v>
      </c>
      <c r="AK30" s="16">
        <f>+SUM('Monthly Energy Data'!AW272:AW283)</f>
        <v>0</v>
      </c>
      <c r="AL30" s="16">
        <f>+SUM('Monthly Energy Data'!AX272:AX283)</f>
        <v>0</v>
      </c>
      <c r="AM30" s="16">
        <f>+SUM('Monthly Energy Data'!AY272:AY283)</f>
        <v>13626.101309630476</v>
      </c>
      <c r="AN30" s="16">
        <f>+SUM('Monthly Energy Data'!AZ272:AZ283)</f>
        <v>0</v>
      </c>
      <c r="AO30" s="16">
        <f>+SUM('Monthly Energy Data'!BA272:BA283)</f>
        <v>21326.281999999999</v>
      </c>
      <c r="AP30" s="16">
        <f>+SUM('Monthly Energy Data'!BB272:BB283)</f>
        <v>15644.934999999998</v>
      </c>
      <c r="AQ30" s="16">
        <f>+SUM('Monthly Energy Data'!BC272:BC283)</f>
        <v>5104.8328325197499</v>
      </c>
      <c r="AR30" s="16">
        <f>+SUM('Monthly Energy Data'!BD272:BD283)</f>
        <v>160.98142115760004</v>
      </c>
      <c r="AS30" s="16">
        <f>+SUM('Monthly Energy Data'!BE272:BE283)</f>
        <v>0</v>
      </c>
      <c r="AT30" s="16">
        <f>+SUM('Monthly Energy Data'!BF272:BF283)</f>
        <v>1668.7790750021222</v>
      </c>
      <c r="AU30" s="16">
        <f>+SUM('Monthly Energy Data'!BG272:BG283)</f>
        <v>0</v>
      </c>
      <c r="AV30" s="16">
        <f>+SUM('Monthly Energy Data'!BH272:BH283)</f>
        <v>631.47033189025001</v>
      </c>
      <c r="AW30" s="16">
        <f>+SUM('Monthly Energy Data'!BI272:BI283)</f>
        <v>12950.954451026641</v>
      </c>
      <c r="AX30" s="16">
        <f>+SUM('Monthly Energy Data'!BJ272:BJ283)</f>
        <v>0</v>
      </c>
      <c r="AY30" s="16">
        <f>+SUM('Monthly Energy Data'!BK272:BK283)</f>
        <v>196.44595650000002</v>
      </c>
      <c r="AZ30" s="16">
        <f>+SUM('Monthly Energy Data'!BL272:BL283)</f>
        <v>0</v>
      </c>
      <c r="BA30" s="16">
        <f>+SUM('Monthly Energy Data'!BM272:BM283)</f>
        <v>0</v>
      </c>
      <c r="BB30" s="16">
        <f>+SUM('Monthly Energy Data'!BN272:BN283)</f>
        <v>475.59491100521359</v>
      </c>
      <c r="BC30" s="16">
        <f>+SUM('Monthly Energy Data'!BO272:BO283)</f>
        <v>2498.2506468000006</v>
      </c>
      <c r="BD30" s="16">
        <f>+SUM('Monthly Energy Data'!BP272:BP283)</f>
        <v>11680</v>
      </c>
      <c r="BE30" s="16">
        <f>+SUM('Monthly Energy Data'!BQ272:BQ283)</f>
        <v>1472.2795549803836</v>
      </c>
      <c r="BF30" s="16">
        <f>+SUM('Monthly Energy Data'!BR272:BR283)</f>
        <v>1923.2139858165906</v>
      </c>
      <c r="BG30" s="16">
        <f>+SUM('Monthly Energy Data'!BS272:BS283)</f>
        <v>6960.4044039094224</v>
      </c>
      <c r="BH30" s="16">
        <f>+SUM('Monthly Energy Data'!BT272:BT283)</f>
        <v>2384.6348468320489</v>
      </c>
      <c r="BI30" s="16">
        <f>+SUM('Monthly Energy Data'!BU272:BU283)</f>
        <v>2615.9951950382488</v>
      </c>
      <c r="BJ30" s="16">
        <f>SUM('Monthly Energy Data'!BV$272:BX$283)</f>
        <v>33120.538293517544</v>
      </c>
      <c r="BK30" s="16">
        <f>+SUM('Monthly Energy Data'!BY272:BY283)</f>
        <v>0</v>
      </c>
      <c r="BL30" s="16">
        <f>+SUM('Monthly Energy Data'!BZ272:BZ283)</f>
        <v>78156</v>
      </c>
      <c r="BM30" s="16">
        <f>+SUM('Monthly Energy Data'!CA272:CA283)</f>
        <v>0</v>
      </c>
      <c r="BN30" s="16">
        <f>+SUM('Monthly Energy Data'!CB272:CB283)</f>
        <v>0</v>
      </c>
      <c r="BO30" s="16">
        <f>+SUM('Monthly Energy Data'!CC272:CC283)</f>
        <v>0</v>
      </c>
      <c r="BP30" s="16">
        <f>+SUM('Monthly Energy Data'!CD272:CD283)</f>
        <v>52.536120000000011</v>
      </c>
      <c r="BQ30" s="16">
        <f>+SUM('Monthly Energy Data'!CE272:CE283)</f>
        <v>0</v>
      </c>
      <c r="BR30" s="16">
        <f>+SUM('Monthly Energy Data'!CF272:CF283)</f>
        <v>14251.333333333338</v>
      </c>
      <c r="BS30" s="16">
        <f>+SUM('Monthly Energy Data'!CG272:CG283)</f>
        <v>0</v>
      </c>
      <c r="BT30" s="16">
        <f>+SUM('Monthly Energy Data'!CH272:CH283)</f>
        <v>64784</v>
      </c>
      <c r="BU30" s="16">
        <f>+SUM('Monthly Energy Data'!CI272:CI283)</f>
        <v>0</v>
      </c>
      <c r="BV30" s="16">
        <f>+SUM('Monthly Energy Data'!CJ272:CJ283)</f>
        <v>15644.934999999998</v>
      </c>
      <c r="BW30" s="16">
        <f>+SUM('Monthly Energy Data'!CK272:CK283)</f>
        <v>434728.62866895966</v>
      </c>
      <c r="BX30" s="16">
        <f>+SUM('Monthly Energy Data'!CL272:CL283)</f>
        <v>157255.28999499901</v>
      </c>
      <c r="BY30" s="16">
        <f>+SUM('Monthly Energy Data'!CM272:CM283)</f>
        <v>157255.28999499901</v>
      </c>
      <c r="BZ30" s="16">
        <f>+SUM('Monthly Energy Data'!CN272:CN283)</f>
        <v>157255.28999499901</v>
      </c>
      <c r="CA30" s="16">
        <f>+SUM('Monthly Energy Data'!CO272:CO283)</f>
        <v>162808.5802470835</v>
      </c>
      <c r="CB30" s="41">
        <f>+SUM('Monthly Energy Data'!CP272:CP283)</f>
        <v>169642.6400210103</v>
      </c>
      <c r="CC30" s="16">
        <f>+SUM('Monthly Energy Data'!CQ272:CQ283)</f>
        <v>98525.047675459253</v>
      </c>
      <c r="CD30" s="16">
        <f>+SUM('Monthly Energy Data'!CR272:CR283)</f>
        <v>157255.28999499901</v>
      </c>
      <c r="CE30" s="16">
        <f>+SUM('Monthly Energy Data'!CS272:CS283)</f>
        <v>157255.28999499901</v>
      </c>
      <c r="CF30" s="16">
        <f>+SUM('Monthly Energy Data'!CT272:CT283)</f>
        <v>157255.28999499901</v>
      </c>
      <c r="CG30" s="81"/>
      <c r="CH30" s="16">
        <f>+SUM('Monthly Energy Data'!DD272:DD283)</f>
        <v>0</v>
      </c>
      <c r="CI30" s="16">
        <f>+SUM('Monthly Energy Data'!DE272:DE283)</f>
        <v>0</v>
      </c>
      <c r="CJ30" s="16">
        <f>+SUM('Monthly Energy Data'!DF272:DF283)</f>
        <v>0</v>
      </c>
      <c r="CK30" s="16">
        <f>+SUM('Monthly Energy Data'!DG272:DG283)</f>
        <v>0</v>
      </c>
      <c r="CL30" s="16">
        <f>+SUM('Monthly Energy Data'!DH272:DH283)</f>
        <v>0</v>
      </c>
      <c r="CM30" s="16">
        <f>+SUM('Monthly Energy Data'!DI272:DI283)</f>
        <v>0</v>
      </c>
      <c r="CN30" s="16">
        <f>+SUM('Monthly Energy Data'!DJ272:DJ283)</f>
        <v>0</v>
      </c>
      <c r="CO30" s="16">
        <f>+SUM('Monthly Energy Data'!DK272:DK283)</f>
        <v>0</v>
      </c>
      <c r="CP30" s="16">
        <f>+SUM('Monthly Energy Data'!DL272:DL283)</f>
        <v>0</v>
      </c>
      <c r="CQ30" s="16">
        <f>+SUM('Monthly Energy Data'!DM272:DM283)</f>
        <v>0</v>
      </c>
      <c r="CR30" s="16">
        <f>+SUM('Monthly Energy Data'!DN272:DN283)</f>
        <v>434728.62866895966</v>
      </c>
      <c r="CS30" s="16">
        <f>+SUM('Monthly Energy Data'!DO272:DO283)</f>
        <v>157255.28999499901</v>
      </c>
      <c r="CT30" s="16">
        <f>+SUM('Monthly Energy Data'!DP272:DP283)</f>
        <v>157255.28999499901</v>
      </c>
      <c r="CU30" s="16">
        <f>+SUM('Monthly Energy Data'!DQ272:DQ283)</f>
        <v>157255.28999499901</v>
      </c>
      <c r="CV30" s="16">
        <f>+SUM('Monthly Energy Data'!DR272:DR283)</f>
        <v>162808.5802470835</v>
      </c>
      <c r="CW30" s="16">
        <f>+SUM('Monthly Energy Data'!DS272:DS283)</f>
        <v>169642.6400210103</v>
      </c>
      <c r="CX30" s="16">
        <f>+SUM('Monthly Energy Data'!DT272:DT283)</f>
        <v>98525.047675459253</v>
      </c>
      <c r="CY30" s="16">
        <f>+SUM('Monthly Energy Data'!DU272:DU283)</f>
        <v>157255.28999499901</v>
      </c>
      <c r="CZ30" s="16">
        <f>+SUM('Monthly Energy Data'!DV272:DV283)</f>
        <v>157255.28999499901</v>
      </c>
      <c r="DA30" s="16">
        <f>+SUM('Monthly Energy Data'!DW272:DW283)</f>
        <v>157255.28999499901</v>
      </c>
      <c r="DB30" s="78"/>
      <c r="DC30" s="78"/>
      <c r="DD30" s="78"/>
      <c r="DE30" s="78"/>
      <c r="DF30" s="19">
        <f t="shared" si="4"/>
        <v>0.28069276090626588</v>
      </c>
      <c r="DG30" s="78"/>
      <c r="DH30" s="78"/>
      <c r="DI30" s="78"/>
      <c r="DJ30" s="78"/>
      <c r="DK30" s="135">
        <f t="shared" si="17"/>
        <v>171363.95521601243</v>
      </c>
      <c r="DL30" s="135">
        <f t="shared" si="18"/>
        <v>100246.36287046142</v>
      </c>
      <c r="DM30" s="135">
        <f t="shared" si="19"/>
        <v>164529.89544208569</v>
      </c>
      <c r="DN30" s="58">
        <f t="shared" si="5"/>
        <v>433007.31347395747</v>
      </c>
      <c r="DO30" s="68">
        <f t="shared" si="6"/>
        <v>0.72465330528863692</v>
      </c>
      <c r="DP30" s="68">
        <f t="shared" si="7"/>
        <v>0.71645913018423346</v>
      </c>
      <c r="DQ30" s="68">
        <f t="shared" si="8"/>
        <v>0.81200999202166946</v>
      </c>
      <c r="DR30" s="68"/>
      <c r="DS30" s="58">
        <f t="shared" si="16"/>
        <v>178402.36287046142</v>
      </c>
      <c r="DT30" s="58">
        <f t="shared" si="9"/>
        <v>354851.31347395747</v>
      </c>
      <c r="DU30" s="68">
        <f t="shared" si="10"/>
        <v>0.59385642965677776</v>
      </c>
      <c r="DV30" s="68">
        <f t="shared" si="11"/>
        <v>0.5871412687157187</v>
      </c>
      <c r="DW30" s="68">
        <f t="shared" si="12"/>
        <v>0.66544560162537991</v>
      </c>
      <c r="DX30" s="68">
        <f t="shared" si="3"/>
        <v>0.89804456116181897</v>
      </c>
      <c r="DZ30" s="68">
        <f t="shared" si="0"/>
        <v>0.71930723909373417</v>
      </c>
      <c r="EA30" s="68">
        <f t="shared" si="1"/>
        <v>0.81523794012847328</v>
      </c>
      <c r="EB30" s="68">
        <f t="shared" si="2"/>
        <v>0.72753398814707304</v>
      </c>
      <c r="ED30" s="58" t="e">
        <f>+SUMIF('[1]Monthly Energy Data'!$D$200:$D$595,'[1]Annual Energy Data'!$A28,'[1]Monthly Energy Data'!$EK$200:$EK$595)</f>
        <v>#VALUE!</v>
      </c>
      <c r="EE30" s="58" t="e">
        <f>+SUMIF('[1]Monthly Energy Data'!$D$200:$D$595,'[1]Annual Energy Data'!$A28,'[1]Monthly Energy Data'!$EL$200:$EL$595)</f>
        <v>#VALUE!</v>
      </c>
      <c r="EF30" s="68" t="e">
        <f t="shared" si="13"/>
        <v>#VALUE!</v>
      </c>
      <c r="EG30" s="68" t="e">
        <f t="shared" si="14"/>
        <v>#VALUE!</v>
      </c>
      <c r="EH30" s="68" t="e">
        <f t="shared" si="15"/>
        <v>#VALUE!</v>
      </c>
      <c r="EN30" s="86" t="s">
        <v>121</v>
      </c>
      <c r="EO30" s="87">
        <v>42370</v>
      </c>
      <c r="EP30" s="87">
        <v>43190</v>
      </c>
      <c r="EQ30" s="88"/>
      <c r="ER30" s="86" t="s">
        <v>120</v>
      </c>
    </row>
    <row r="31" spans="1:166" x14ac:dyDescent="0.2">
      <c r="A31" s="15">
        <f>+'Monthly Energy Data'!D284</f>
        <v>2031</v>
      </c>
      <c r="B31" s="16">
        <f>+SUM('Monthly Energy Data'!G284:G295)</f>
        <v>519799.46629679145</v>
      </c>
      <c r="C31" s="16">
        <f>+SUM('Monthly Energy Data'!H284:H295)</f>
        <v>519799.46629679145</v>
      </c>
      <c r="D31" s="16">
        <f>+SUM('Monthly Energy Data'!I284:I295)</f>
        <v>519799.46629679145</v>
      </c>
      <c r="E31" s="16">
        <f>+SUM('Monthly Energy Data'!J284:J295)</f>
        <v>37307.326499999988</v>
      </c>
      <c r="F31" s="16">
        <f>+SUM('Monthly Energy Data'!K284:K295)</f>
        <v>37307.326499999988</v>
      </c>
      <c r="G31" s="16">
        <f>+SUM('Monthly Energy Data'!L284:L295)</f>
        <v>37307.326499999988</v>
      </c>
      <c r="H31" s="16">
        <f>+SUM('Monthly Energy Data'!$M$284:$O$295)</f>
        <v>47845.526693623819</v>
      </c>
      <c r="I31" s="16">
        <f>+SUM('Monthly Energy Data'!P284:P295)</f>
        <v>468138.48178870423</v>
      </c>
      <c r="J31" s="16">
        <f>+SUM('Monthly Energy Data'!Q284:Q295)</f>
        <v>468138.48178870423</v>
      </c>
      <c r="K31" s="16">
        <f>+SUM('Monthly Energy Data'!R284:R295)</f>
        <v>468138.48178870423</v>
      </c>
      <c r="L31" s="16">
        <f>+SUM('Monthly Energy Data'!S284:S295)</f>
        <v>480525.83181471552</v>
      </c>
      <c r="M31" s="16">
        <f>+SUM('Monthly Energy Data'!T284:T295)</f>
        <v>480525.83181471552</v>
      </c>
      <c r="N31" s="16">
        <f>+SUM('Monthly Energy Data'!U284:U295)</f>
        <v>480525.83181471552</v>
      </c>
      <c r="O31" s="16">
        <f>+SUM('Monthly Energy Data'!V284:V295)</f>
        <v>468138.48178870423</v>
      </c>
      <c r="P31" s="16">
        <f>+SUM('Monthly Energy Data'!W284:W295)</f>
        <v>468138.48178870423</v>
      </c>
      <c r="Q31" s="16">
        <f>+SUM('Monthly Energy Data'!X284:X295)</f>
        <v>468138.48178870423</v>
      </c>
      <c r="R31" s="16">
        <f>+SUM('Monthly Energy Data'!Y284:Y295)</f>
        <v>135601.04858968264</v>
      </c>
      <c r="S31" s="16">
        <f>+SUM('Monthly Energy Data'!Z284:Z295)</f>
        <v>140347.64157652974</v>
      </c>
      <c r="T31" s="16">
        <f>+SUM('Monthly Energy Data'!AA284:AA295)</f>
        <v>62099.810784716065</v>
      </c>
      <c r="U31" s="16">
        <f>+'Tier 3 Data'!F26</f>
        <v>616126.88040439831</v>
      </c>
      <c r="V31" s="16">
        <f>+'Tier 3 Data'!G26</f>
        <v>620873.47339124524</v>
      </c>
      <c r="W31" s="16">
        <f>+'Tier 3 Data'!H26</f>
        <v>542625.64259943168</v>
      </c>
      <c r="X31" s="16">
        <f>+'Tier 3 Data'!I26</f>
        <v>583269.79633506981</v>
      </c>
      <c r="Y31" s="81"/>
      <c r="Z31" s="16">
        <f>+SUM('Monthly Energy Data'!AL284:AL295)</f>
        <v>0</v>
      </c>
      <c r="AA31" s="16">
        <f>+SUM('Monthly Energy Data'!AM284:AM295)</f>
        <v>0</v>
      </c>
      <c r="AB31" s="16">
        <f>+SUM('Monthly Energy Data'!AN284:AN295)</f>
        <v>0</v>
      </c>
      <c r="AC31" s="16">
        <f>+SUM('Monthly Energy Data'!AO284:AO295)</f>
        <v>0</v>
      </c>
      <c r="AD31" s="16">
        <f>+SUM('Monthly Energy Data'!AP284:AP295)</f>
        <v>0</v>
      </c>
      <c r="AE31" s="16">
        <f>+SUM('Monthly Energy Data'!AQ284:AQ295)</f>
        <v>0</v>
      </c>
      <c r="AF31" s="16">
        <f>+SUM('Monthly Energy Data'!AR284:AR295)</f>
        <v>0</v>
      </c>
      <c r="AG31" s="16">
        <f>+SUM('Monthly Energy Data'!AS284:AS295)</f>
        <v>39974.799999999996</v>
      </c>
      <c r="AH31" s="16">
        <f>+SUM('Monthly Energy Data'!AT284:AT295)</f>
        <v>0</v>
      </c>
      <c r="AI31" s="16">
        <f>+SUM('Monthly Energy Data'!AU284:AU295)</f>
        <v>1269.2160000000001</v>
      </c>
      <c r="AJ31" s="16">
        <f>+SUM('Monthly Energy Data'!AV284:AV295)</f>
        <v>37813.129000000008</v>
      </c>
      <c r="AK31" s="16">
        <f>+SUM('Monthly Energy Data'!AW284:AW295)</f>
        <v>0</v>
      </c>
      <c r="AL31" s="16">
        <f>+SUM('Monthly Energy Data'!AX284:AX295)</f>
        <v>0</v>
      </c>
      <c r="AM31" s="16">
        <f>+SUM('Monthly Energy Data'!AY284:AY295)</f>
        <v>13626.101309630476</v>
      </c>
      <c r="AN31" s="16">
        <f>+SUM('Monthly Energy Data'!AZ284:AZ295)</f>
        <v>0</v>
      </c>
      <c r="AO31" s="16">
        <f>+SUM('Monthly Energy Data'!BA284:BA295)</f>
        <v>21326.281999999999</v>
      </c>
      <c r="AP31" s="16">
        <f>+SUM('Monthly Energy Data'!BB284:BB295)</f>
        <v>10215.179999999998</v>
      </c>
      <c r="AQ31" s="16">
        <f>+SUM('Monthly Energy Data'!BC284:BC295)</f>
        <v>5104.8328325197499</v>
      </c>
      <c r="AR31" s="16">
        <f>+SUM('Monthly Energy Data'!BD284:BD295)</f>
        <v>160.98142115760004</v>
      </c>
      <c r="AS31" s="16">
        <f>+SUM('Monthly Energy Data'!BE284:BE295)</f>
        <v>0</v>
      </c>
      <c r="AT31" s="16">
        <f>+SUM('Monthly Energy Data'!BF284:BF295)</f>
        <v>592.92396042902317</v>
      </c>
      <c r="AU31" s="16">
        <f>+SUM('Monthly Energy Data'!BG284:BG295)</f>
        <v>0</v>
      </c>
      <c r="AV31" s="16">
        <f>+SUM('Monthly Energy Data'!BH284:BH295)</f>
        <v>500.29315188025004</v>
      </c>
      <c r="AW31" s="16">
        <f>+SUM('Monthly Energy Data'!BI284:BI295)</f>
        <v>12950.954451026641</v>
      </c>
      <c r="AX31" s="16">
        <f>+SUM('Monthly Energy Data'!BJ284:BJ295)</f>
        <v>0</v>
      </c>
      <c r="AY31" s="16">
        <f>+SUM('Monthly Energy Data'!BK284:BK295)</f>
        <v>196.44595650000002</v>
      </c>
      <c r="AZ31" s="16">
        <f>+SUM('Monthly Energy Data'!BL284:BL295)</f>
        <v>0</v>
      </c>
      <c r="BA31" s="16">
        <f>+SUM('Monthly Energy Data'!BM284:BM295)</f>
        <v>0</v>
      </c>
      <c r="BB31" s="16">
        <f>+SUM('Monthly Energy Data'!BN284:BN295)</f>
        <v>475.59491100521353</v>
      </c>
      <c r="BC31" s="16">
        <f>+SUM('Monthly Energy Data'!BO284:BO295)</f>
        <v>2498.2506468000006</v>
      </c>
      <c r="BD31" s="16">
        <f>+SUM('Monthly Energy Data'!BP284:BP295)</f>
        <v>11680</v>
      </c>
      <c r="BE31" s="16">
        <f>+SUM('Monthly Energy Data'!BQ284:BQ295)</f>
        <v>1464.9181572054813</v>
      </c>
      <c r="BF31" s="16">
        <f>+SUM('Monthly Energy Data'!BR284:BR295)</f>
        <v>1913.5979158875077</v>
      </c>
      <c r="BG31" s="16">
        <f>+SUM('Monthly Energy Data'!BS284:BS295)</f>
        <v>6925.6023818898757</v>
      </c>
      <c r="BH31" s="16">
        <f>+SUM('Monthly Energy Data'!BT284:BT295)</f>
        <v>2372.7116725978881</v>
      </c>
      <c r="BI31" s="16">
        <f>+SUM('Monthly Energy Data'!BU284:BU295)</f>
        <v>2602.9152190630575</v>
      </c>
      <c r="BJ31" s="16">
        <f>SUM('Monthly Energy Data'!BV$284:BX$295)</f>
        <v>33491.868685536669</v>
      </c>
      <c r="BK31" s="16">
        <f>+SUM('Monthly Energy Data'!BY284:BY295)</f>
        <v>0</v>
      </c>
      <c r="BL31" s="16">
        <f>+SUM('Monthly Energy Data'!BZ284:BZ295)</f>
        <v>85410</v>
      </c>
      <c r="BM31" s="16">
        <f>+SUM('Monthly Energy Data'!CA284:CA295)</f>
        <v>0</v>
      </c>
      <c r="BN31" s="16">
        <f>+SUM('Monthly Energy Data'!CB284:CB295)</f>
        <v>0</v>
      </c>
      <c r="BO31" s="16">
        <f>+SUM('Monthly Energy Data'!CC284:CC295)</f>
        <v>0</v>
      </c>
      <c r="BP31" s="16">
        <f>+SUM('Monthly Energy Data'!CD284:CD295)</f>
        <v>52.536120000000011</v>
      </c>
      <c r="BQ31" s="16">
        <f>+SUM('Monthly Energy Data'!CE284:CE295)</f>
        <v>0</v>
      </c>
      <c r="BR31" s="16">
        <f>+SUM('Monthly Energy Data'!CF284:CF295)</f>
        <v>14251.333333333338</v>
      </c>
      <c r="BS31" s="16">
        <f>+SUM('Monthly Energy Data'!CG284:CG295)</f>
        <v>0</v>
      </c>
      <c r="BT31" s="16">
        <f>+SUM('Monthly Energy Data'!CH284:CH295)</f>
        <v>64784</v>
      </c>
      <c r="BU31" s="16">
        <f>+SUM('Monthly Energy Data'!CI284:CI295)</f>
        <v>0</v>
      </c>
      <c r="BV31" s="16">
        <f>+SUM('Monthly Energy Data'!CJ284:CJ295)</f>
        <v>10215.179999999998</v>
      </c>
      <c r="BW31" s="16">
        <f>+SUM('Monthly Energy Data'!CK284:CK295)</f>
        <v>371654.46912646276</v>
      </c>
      <c r="BX31" s="16">
        <f>+SUM('Monthly Energy Data'!CL284:CL295)</f>
        <v>236831.65423877127</v>
      </c>
      <c r="BY31" s="16">
        <f>+SUM('Monthly Energy Data'!CM284:CM295)</f>
        <v>236831.65423877127</v>
      </c>
      <c r="BZ31" s="16">
        <f>+SUM('Monthly Energy Data'!CN284:CN295)</f>
        <v>236831.65423877127</v>
      </c>
      <c r="CA31" s="16">
        <f>+SUM('Monthly Energy Data'!CO284:CO295)</f>
        <v>244472.41127793543</v>
      </c>
      <c r="CB31" s="41">
        <f>+SUM('Monthly Energy Data'!CP284:CP295)</f>
        <v>249219.00426478253</v>
      </c>
      <c r="CC31" s="16">
        <f>+SUM('Monthly Energy Data'!CQ284:CQ295)</f>
        <v>170971.17347296886</v>
      </c>
      <c r="CD31" s="16">
        <f>+SUM('Monthly Energy Data'!CR284:CR295)</f>
        <v>236831.65423877127</v>
      </c>
      <c r="CE31" s="16">
        <f>+SUM('Monthly Energy Data'!CS284:CS295)</f>
        <v>236831.65423877127</v>
      </c>
      <c r="CF31" s="16">
        <f>+SUM('Monthly Energy Data'!CT284:CT295)</f>
        <v>236831.65423877127</v>
      </c>
      <c r="CG31" s="81"/>
      <c r="CH31" s="16">
        <f>+SUM('Monthly Energy Data'!DD284:DD295)</f>
        <v>0</v>
      </c>
      <c r="CI31" s="16">
        <f>+SUM('Monthly Energy Data'!DE284:DE295)</f>
        <v>0</v>
      </c>
      <c r="CJ31" s="16">
        <f>+SUM('Monthly Energy Data'!DF284:DF295)</f>
        <v>0</v>
      </c>
      <c r="CK31" s="16">
        <f>+SUM('Monthly Energy Data'!DG284:DG295)</f>
        <v>0</v>
      </c>
      <c r="CL31" s="16">
        <f>+SUM('Monthly Energy Data'!DH284:DH295)</f>
        <v>0</v>
      </c>
      <c r="CM31" s="16">
        <f>+SUM('Monthly Energy Data'!DI284:DI295)</f>
        <v>0</v>
      </c>
      <c r="CN31" s="16">
        <f>+SUM('Monthly Energy Data'!DJ284:DJ295)</f>
        <v>0</v>
      </c>
      <c r="CO31" s="16">
        <f>+SUM('Monthly Energy Data'!DK284:DK295)</f>
        <v>0</v>
      </c>
      <c r="CP31" s="16">
        <f>+SUM('Monthly Energy Data'!DL284:DL295)</f>
        <v>0</v>
      </c>
      <c r="CQ31" s="16">
        <f>+SUM('Monthly Energy Data'!DM284:DM295)</f>
        <v>0</v>
      </c>
      <c r="CR31" s="16">
        <f>+SUM('Monthly Energy Data'!DN284:DN295)</f>
        <v>371654.46912646276</v>
      </c>
      <c r="CS31" s="16">
        <f>+SUM('Monthly Energy Data'!DO284:DO295)</f>
        <v>236831.65423877127</v>
      </c>
      <c r="CT31" s="16">
        <f>+SUM('Monthly Energy Data'!DP284:DP295)</f>
        <v>236831.65423877127</v>
      </c>
      <c r="CU31" s="16">
        <f>+SUM('Monthly Energy Data'!DQ284:DQ295)</f>
        <v>236831.65423877127</v>
      </c>
      <c r="CV31" s="16">
        <f>+SUM('Monthly Energy Data'!DR284:DR295)</f>
        <v>244472.41127793543</v>
      </c>
      <c r="CW31" s="16">
        <f>+SUM('Monthly Energy Data'!DS284:DS295)</f>
        <v>249219.00426478253</v>
      </c>
      <c r="CX31" s="16">
        <f>+SUM('Monthly Energy Data'!DT284:DT295)</f>
        <v>170971.17347296886</v>
      </c>
      <c r="CY31" s="16">
        <f>+SUM('Monthly Energy Data'!DU284:DU295)</f>
        <v>236831.65423877127</v>
      </c>
      <c r="CZ31" s="16">
        <f>+SUM('Monthly Energy Data'!DV284:DV295)</f>
        <v>236831.65423877127</v>
      </c>
      <c r="DA31" s="16">
        <f>+SUM('Monthly Energy Data'!DW284:DW295)</f>
        <v>236831.65423877127</v>
      </c>
      <c r="DB31" s="78"/>
      <c r="DC31" s="78"/>
      <c r="DD31" s="78"/>
      <c r="DE31" s="78"/>
      <c r="DF31" s="19">
        <f t="shared" si="4"/>
        <v>0.40140063144191773</v>
      </c>
      <c r="DG31" s="78"/>
      <c r="DH31" s="78"/>
      <c r="DI31" s="78"/>
      <c r="DJ31" s="78"/>
      <c r="DK31" s="135">
        <f t="shared" si="17"/>
        <v>249864.46434521145</v>
      </c>
      <c r="DL31" s="135">
        <f t="shared" si="18"/>
        <v>171616.6335533979</v>
      </c>
      <c r="DM31" s="135">
        <f t="shared" si="19"/>
        <v>245117.87135836453</v>
      </c>
      <c r="DN31" s="58">
        <f t="shared" si="5"/>
        <v>371009.00904603378</v>
      </c>
      <c r="DO31" s="68">
        <f t="shared" si="6"/>
        <v>0.60216332194842714</v>
      </c>
      <c r="DP31" s="68">
        <f t="shared" si="7"/>
        <v>0.59755976852991011</v>
      </c>
      <c r="DQ31" s="68">
        <f t="shared" si="8"/>
        <v>0.6837292230951828</v>
      </c>
      <c r="DR31" s="68"/>
      <c r="DS31" s="58">
        <f t="shared" si="16"/>
        <v>257026.6335533979</v>
      </c>
      <c r="DT31" s="58">
        <f t="shared" si="9"/>
        <v>285599.00904603378</v>
      </c>
      <c r="DU31" s="68">
        <f t="shared" si="10"/>
        <v>0.4635392775893486</v>
      </c>
      <c r="DV31" s="68">
        <f t="shared" si="11"/>
        <v>0.4599955084021809</v>
      </c>
      <c r="DW31" s="68">
        <f t="shared" si="12"/>
        <v>0.52632788910947959</v>
      </c>
      <c r="DX31" s="68">
        <f t="shared" si="3"/>
        <v>0.77343286150278778</v>
      </c>
      <c r="DZ31" s="68">
        <f t="shared" si="0"/>
        <v>0.59859936855808238</v>
      </c>
      <c r="EA31" s="68">
        <f t="shared" si="1"/>
        <v>0.68491873577161466</v>
      </c>
      <c r="EB31" s="68">
        <f t="shared" si="2"/>
        <v>0.60321093097338208</v>
      </c>
      <c r="ED31" s="58" t="e">
        <f>+SUMIF('[1]Monthly Energy Data'!$D$200:$D$595,'[1]Annual Energy Data'!$A29,'[1]Monthly Energy Data'!$EK$200:$EK$595)</f>
        <v>#VALUE!</v>
      </c>
      <c r="EE31" s="58" t="e">
        <f>+SUMIF('[1]Monthly Energy Data'!$D$200:$D$595,'[1]Annual Energy Data'!$A29,'[1]Monthly Energy Data'!$EL$200:$EL$595)</f>
        <v>#VALUE!</v>
      </c>
      <c r="EF31" s="68" t="e">
        <f t="shared" si="13"/>
        <v>#VALUE!</v>
      </c>
      <c r="EG31" s="68" t="e">
        <f t="shared" si="14"/>
        <v>#VALUE!</v>
      </c>
      <c r="EH31" s="68" t="e">
        <f t="shared" si="15"/>
        <v>#VALUE!</v>
      </c>
      <c r="EN31" s="86" t="s">
        <v>122</v>
      </c>
      <c r="EO31" s="87">
        <v>42370</v>
      </c>
      <c r="EP31" s="87">
        <v>42735</v>
      </c>
      <c r="EQ31" s="88">
        <f>+BR16</f>
        <v>0</v>
      </c>
      <c r="ER31" s="86" t="s">
        <v>120</v>
      </c>
    </row>
    <row r="32" spans="1:166" x14ac:dyDescent="0.2">
      <c r="A32" s="15">
        <f>+'Monthly Energy Data'!D296</f>
        <v>2032</v>
      </c>
      <c r="B32" s="16">
        <f>+SUM('Monthly Energy Data'!G296:G307)</f>
        <v>522168.66629679152</v>
      </c>
      <c r="C32" s="16">
        <f>+SUM('Monthly Energy Data'!H296:H307)</f>
        <v>522168.66629679152</v>
      </c>
      <c r="D32" s="16">
        <f>+SUM('Monthly Energy Data'!I296:I307)</f>
        <v>522168.66629679152</v>
      </c>
      <c r="E32" s="16">
        <f>+SUM('Monthly Energy Data'!J296:J307)</f>
        <v>43109.692874999979</v>
      </c>
      <c r="F32" s="16">
        <f>+SUM('Monthly Energy Data'!K296:K307)</f>
        <v>43109.692874999979</v>
      </c>
      <c r="G32" s="16">
        <f>+SUM('Monthly Energy Data'!L296:L307)</f>
        <v>43109.692874999979</v>
      </c>
      <c r="H32" s="16">
        <f>+SUM('Monthly Energy Data'!$M$296:$O$307)</f>
        <v>48325.357867079532</v>
      </c>
      <c r="I32" s="16">
        <f>+SUM('Monthly Energy Data'!P296:P307)</f>
        <v>464561.36606166756</v>
      </c>
      <c r="J32" s="16">
        <f>+SUM('Monthly Energy Data'!Q296:Q307)</f>
        <v>464561.36606166756</v>
      </c>
      <c r="K32" s="16">
        <f>+SUM('Monthly Energy Data'!R296:R307)</f>
        <v>464561.36606166756</v>
      </c>
      <c r="L32" s="16">
        <f>+SUM('Monthly Energy Data'!S296:S307)</f>
        <v>476974.32985587325</v>
      </c>
      <c r="M32" s="16">
        <f>+SUM('Monthly Energy Data'!T296:T307)</f>
        <v>476974.32985587325</v>
      </c>
      <c r="N32" s="16">
        <f>+SUM('Monthly Energy Data'!U296:U307)</f>
        <v>476974.32985587325</v>
      </c>
      <c r="O32" s="16">
        <f>+SUM('Monthly Energy Data'!V296:V307)</f>
        <v>464561.36606166756</v>
      </c>
      <c r="P32" s="16">
        <f>+SUM('Monthly Energy Data'!W296:W307)</f>
        <v>464561.36606166756</v>
      </c>
      <c r="Q32" s="16">
        <f>+SUM('Monthly Energy Data'!X296:X307)</f>
        <v>464561.36606166756</v>
      </c>
      <c r="R32" s="16">
        <f>+SUM('Monthly Energy Data'!Y296:Y307)</f>
        <v>157700.696501392</v>
      </c>
      <c r="S32" s="16">
        <f>+SUM('Monthly Energy Data'!Z296:Z307)</f>
        <v>161713.91685017591</v>
      </c>
      <c r="T32" s="16">
        <f>+SUM('Monthly Energy Data'!AA296:AA307)</f>
        <v>76284.824575905834</v>
      </c>
      <c r="U32" s="16">
        <f>+'Tier 3 Data'!F27</f>
        <v>634675.02635726519</v>
      </c>
      <c r="V32" s="16">
        <f>+'Tier 3 Data'!G27</f>
        <v>638688.24670604919</v>
      </c>
      <c r="W32" s="16">
        <f>+'Tier 3 Data'!H27</f>
        <v>553259.15443177917</v>
      </c>
      <c r="X32" s="16">
        <f>+'Tier 3 Data'!I27</f>
        <v>597913.40558074613</v>
      </c>
      <c r="Y32" s="81"/>
      <c r="Z32" s="16">
        <f>+SUM('Monthly Energy Data'!AL296:AL307)</f>
        <v>0</v>
      </c>
      <c r="AA32" s="16">
        <f>+SUM('Monthly Energy Data'!AM296:AM307)</f>
        <v>0</v>
      </c>
      <c r="AB32" s="16">
        <f>+SUM('Monthly Energy Data'!AN296:AN307)</f>
        <v>0</v>
      </c>
      <c r="AC32" s="16">
        <f>+SUM('Monthly Energy Data'!AO296:AO307)</f>
        <v>0</v>
      </c>
      <c r="AD32" s="16">
        <f>+SUM('Monthly Energy Data'!AP296:AP307)</f>
        <v>0</v>
      </c>
      <c r="AE32" s="16">
        <f>+SUM('Monthly Energy Data'!AQ296:AQ307)</f>
        <v>0</v>
      </c>
      <c r="AF32" s="16">
        <f>+SUM('Monthly Energy Data'!AR296:AR307)</f>
        <v>0</v>
      </c>
      <c r="AG32" s="16">
        <f>+SUM('Monthly Energy Data'!AS296:AS307)</f>
        <v>40084.32</v>
      </c>
      <c r="AH32" s="16">
        <f>+SUM('Monthly Energy Data'!AT296:AT307)</f>
        <v>0</v>
      </c>
      <c r="AI32" s="16">
        <f>+SUM('Monthly Energy Data'!AU296:AU307)</f>
        <v>1269.2160000000001</v>
      </c>
      <c r="AJ32" s="16">
        <f>+SUM('Monthly Energy Data'!AV296:AV307)</f>
        <v>37813.129000000008</v>
      </c>
      <c r="AK32" s="16">
        <f>+SUM('Monthly Energy Data'!AW296:AW307)</f>
        <v>0</v>
      </c>
      <c r="AL32" s="16">
        <f>+SUM('Monthly Energy Data'!AX296:AX307)</f>
        <v>0</v>
      </c>
      <c r="AM32" s="16">
        <f>+SUM('Monthly Energy Data'!AY296:AY307)</f>
        <v>11347.727874750475</v>
      </c>
      <c r="AN32" s="16">
        <f>+SUM('Monthly Energy Data'!AZ296:AZ307)</f>
        <v>0</v>
      </c>
      <c r="AO32" s="16">
        <f>+SUM('Monthly Energy Data'!BA296:BA307)</f>
        <v>21326.281999999999</v>
      </c>
      <c r="AP32" s="16">
        <f>+SUM('Monthly Energy Data'!BB296:BB307)</f>
        <v>0</v>
      </c>
      <c r="AQ32" s="16">
        <f>+SUM('Monthly Energy Data'!BC296:BC307)</f>
        <v>5104.8328325197499</v>
      </c>
      <c r="AR32" s="16">
        <f>+SUM('Monthly Energy Data'!BD296:BD307)</f>
        <v>160.98142115760004</v>
      </c>
      <c r="AS32" s="16">
        <f>+SUM('Monthly Energy Data'!BE296:BE307)</f>
        <v>0</v>
      </c>
      <c r="AT32" s="16">
        <f>+SUM('Monthly Energy Data'!BF296:BF307)</f>
        <v>396.63989373797313</v>
      </c>
      <c r="AU32" s="16">
        <f>+SUM('Monthly Energy Data'!BG296:BG307)</f>
        <v>0</v>
      </c>
      <c r="AV32" s="16">
        <f>+SUM('Monthly Energy Data'!BH296:BH307)</f>
        <v>312.81891977293708</v>
      </c>
      <c r="AW32" s="16">
        <f>+SUM('Monthly Energy Data'!BI296:BI307)</f>
        <v>12950.954451026641</v>
      </c>
      <c r="AX32" s="16">
        <f>+SUM('Monthly Energy Data'!BJ296:BJ307)</f>
        <v>0</v>
      </c>
      <c r="AY32" s="16">
        <f>+SUM('Monthly Energy Data'!BK296:BK307)</f>
        <v>196.44595650000002</v>
      </c>
      <c r="AZ32" s="16">
        <f>+SUM('Monthly Energy Data'!BL296:BL307)</f>
        <v>0</v>
      </c>
      <c r="BA32" s="16">
        <f>+SUM('Monthly Energy Data'!BM296:BM307)</f>
        <v>0</v>
      </c>
      <c r="BB32" s="16">
        <f>+SUM('Monthly Energy Data'!BN296:BN307)</f>
        <v>475.59491100521353</v>
      </c>
      <c r="BC32" s="16">
        <f>+SUM('Monthly Energy Data'!BO296:BO307)</f>
        <v>2498.2506468000006</v>
      </c>
      <c r="BD32" s="16">
        <f>+SUM('Monthly Energy Data'!BP296:BP307)</f>
        <v>11712</v>
      </c>
      <c r="BE32" s="16">
        <f>+SUM('Monthly Energy Data'!BQ296:BQ307)</f>
        <v>1457.5935664194537</v>
      </c>
      <c r="BF32" s="16">
        <f>+SUM('Monthly Energy Data'!BR296:BR307)</f>
        <v>1904.0299263080701</v>
      </c>
      <c r="BG32" s="16">
        <f>+SUM('Monthly Energy Data'!BS296:BS307)</f>
        <v>6890.9743699804267</v>
      </c>
      <c r="BH32" s="16">
        <f>+SUM('Monthly Energy Data'!BT296:BT307)</f>
        <v>2360.8481142348987</v>
      </c>
      <c r="BI32" s="16">
        <f>+SUM('Monthly Energy Data'!BU296:BU307)</f>
        <v>2589.900642967742</v>
      </c>
      <c r="BJ32" s="16">
        <f>SUM('Monthly Energy Data'!BV$296:BX$307)</f>
        <v>33827.750506955665</v>
      </c>
      <c r="BK32" s="16">
        <f>+SUM('Monthly Energy Data'!BY296:BY307)</f>
        <v>0</v>
      </c>
      <c r="BL32" s="16">
        <f>+SUM('Monthly Energy Data'!BZ296:BZ307)</f>
        <v>78624</v>
      </c>
      <c r="BM32" s="16">
        <f>+SUM('Monthly Energy Data'!CA296:CA307)</f>
        <v>0</v>
      </c>
      <c r="BN32" s="16">
        <f>+SUM('Monthly Energy Data'!CB296:CB307)</f>
        <v>0</v>
      </c>
      <c r="BO32" s="16">
        <f>+SUM('Monthly Energy Data'!CC296:CC307)</f>
        <v>0</v>
      </c>
      <c r="BP32" s="16">
        <f>+SUM('Monthly Energy Data'!CD296:CD307)</f>
        <v>52.536120000000011</v>
      </c>
      <c r="BQ32" s="16">
        <f>+SUM('Monthly Energy Data'!CE296:CE307)</f>
        <v>0</v>
      </c>
      <c r="BR32" s="16">
        <f>+SUM('Monthly Energy Data'!CF296:CF307)</f>
        <v>14251.333333333338</v>
      </c>
      <c r="BS32" s="16">
        <f>+SUM('Monthly Energy Data'!CG296:CG307)</f>
        <v>0</v>
      </c>
      <c r="BT32" s="16">
        <f>+SUM('Monthly Energy Data'!CH296:CH307)</f>
        <v>65024</v>
      </c>
      <c r="BU32" s="16">
        <f>+SUM('Monthly Energy Data'!CI296:CI307)</f>
        <v>0</v>
      </c>
      <c r="BV32" s="16">
        <f>+SUM('Monthly Energy Data'!CJ296:CJ307)</f>
        <v>0</v>
      </c>
      <c r="BW32" s="16">
        <f>+SUM('Monthly Energy Data'!CK296:CK307)</f>
        <v>352632.16048747016</v>
      </c>
      <c r="BX32" s="16">
        <f>+SUM('Monthly Energy Data'!CL296:CL307)</f>
        <v>273643.12242437329</v>
      </c>
      <c r="BY32" s="16">
        <f>+SUM('Monthly Energy Data'!CM296:CM307)</f>
        <v>273643.12242437329</v>
      </c>
      <c r="BZ32" s="16">
        <f>+SUM('Monthly Energy Data'!CN296:CN307)</f>
        <v>273643.12242437329</v>
      </c>
      <c r="CA32" s="16">
        <f>+SUM('Monthly Energy Data'!CO296:CO307)</f>
        <v>282042.86586979509</v>
      </c>
      <c r="CB32" s="41">
        <f>+SUM('Monthly Energy Data'!CP296:CP307)</f>
        <v>286056.08621857897</v>
      </c>
      <c r="CC32" s="16">
        <f>+SUM('Monthly Energy Data'!CQ296:CQ307)</f>
        <v>200626.9939443089</v>
      </c>
      <c r="CD32" s="16">
        <f>+SUM('Monthly Energy Data'!CR296:CR307)</f>
        <v>273643.12242437329</v>
      </c>
      <c r="CE32" s="16">
        <f>+SUM('Monthly Energy Data'!CS296:CS307)</f>
        <v>273643.12242437329</v>
      </c>
      <c r="CF32" s="16">
        <f>+SUM('Monthly Energy Data'!CT296:CT307)</f>
        <v>273643.12242437329</v>
      </c>
      <c r="CG32" s="81"/>
      <c r="CH32" s="16">
        <f>+SUM('Monthly Energy Data'!DD296:DD307)</f>
        <v>0</v>
      </c>
      <c r="CI32" s="16">
        <f>+SUM('Monthly Energy Data'!DE296:DE307)</f>
        <v>0</v>
      </c>
      <c r="CJ32" s="16">
        <f>+SUM('Monthly Energy Data'!DF296:DF307)</f>
        <v>0</v>
      </c>
      <c r="CK32" s="16">
        <f>+SUM('Monthly Energy Data'!DG296:DG307)</f>
        <v>0</v>
      </c>
      <c r="CL32" s="16">
        <f>+SUM('Monthly Energy Data'!DH296:DH307)</f>
        <v>0</v>
      </c>
      <c r="CM32" s="16">
        <f>+SUM('Monthly Energy Data'!DI296:DI307)</f>
        <v>0</v>
      </c>
      <c r="CN32" s="16">
        <f>+SUM('Monthly Energy Data'!DJ296:DJ307)</f>
        <v>0</v>
      </c>
      <c r="CO32" s="16">
        <f>+SUM('Monthly Energy Data'!DK296:DK307)</f>
        <v>0</v>
      </c>
      <c r="CP32" s="16">
        <f>+SUM('Monthly Energy Data'!DL296:DL307)</f>
        <v>0</v>
      </c>
      <c r="CQ32" s="16">
        <f>+SUM('Monthly Energy Data'!DM296:DM307)</f>
        <v>0</v>
      </c>
      <c r="CR32" s="16">
        <f>+SUM('Monthly Energy Data'!DN296:DN307)</f>
        <v>352632.16048747016</v>
      </c>
      <c r="CS32" s="16">
        <f>+SUM('Monthly Energy Data'!DO296:DO307)</f>
        <v>273643.12242437329</v>
      </c>
      <c r="CT32" s="16">
        <f>+SUM('Monthly Energy Data'!DP296:DP307)</f>
        <v>273643.12242437329</v>
      </c>
      <c r="CU32" s="16">
        <f>+SUM('Monthly Energy Data'!DQ296:DQ307)</f>
        <v>273643.12242437329</v>
      </c>
      <c r="CV32" s="16">
        <f>+SUM('Monthly Energy Data'!DR296:DR307)</f>
        <v>282042.86586979509</v>
      </c>
      <c r="CW32" s="16">
        <f>+SUM('Monthly Energy Data'!DS296:DS307)</f>
        <v>286056.08621857897</v>
      </c>
      <c r="CX32" s="16">
        <f>+SUM('Monthly Energy Data'!DT296:DT307)</f>
        <v>200626.9939443089</v>
      </c>
      <c r="CY32" s="16">
        <f>+SUM('Monthly Energy Data'!DU296:DU307)</f>
        <v>273643.12242437329</v>
      </c>
      <c r="CZ32" s="16">
        <f>+SUM('Monthly Energy Data'!DV296:DV307)</f>
        <v>273643.12242437329</v>
      </c>
      <c r="DA32" s="16">
        <f>+SUM('Monthly Energy Data'!DW296:DW307)</f>
        <v>273643.12242437329</v>
      </c>
      <c r="DB32" s="78"/>
      <c r="DC32" s="78"/>
      <c r="DD32" s="78"/>
      <c r="DE32" s="78"/>
      <c r="DF32" s="19">
        <f t="shared" si="4"/>
        <v>0.44788061733384904</v>
      </c>
      <c r="DG32" s="78"/>
      <c r="DH32" s="78"/>
      <c r="DI32" s="78"/>
      <c r="DJ32" s="78"/>
      <c r="DK32" s="135">
        <f t="shared" si="17"/>
        <v>286505.26223231695</v>
      </c>
      <c r="DL32" s="135">
        <f t="shared" si="18"/>
        <v>201076.16995804693</v>
      </c>
      <c r="DM32" s="135">
        <f t="shared" si="19"/>
        <v>282492.04188353295</v>
      </c>
      <c r="DN32" s="58">
        <f t="shared" si="5"/>
        <v>352182.98447373224</v>
      </c>
      <c r="DO32" s="68">
        <f t="shared" si="6"/>
        <v>0.55490285555285856</v>
      </c>
      <c r="DP32" s="68">
        <f t="shared" si="7"/>
        <v>0.55141610369389094</v>
      </c>
      <c r="DQ32" s="68">
        <f t="shared" si="8"/>
        <v>0.636560609350313</v>
      </c>
      <c r="DR32" s="68"/>
      <c r="DS32" s="58">
        <f t="shared" si="16"/>
        <v>279700.16995804693</v>
      </c>
      <c r="DT32" s="58">
        <f t="shared" si="9"/>
        <v>273558.98447373224</v>
      </c>
      <c r="DU32" s="68">
        <f t="shared" si="10"/>
        <v>0.43102213434146225</v>
      </c>
      <c r="DV32" s="68">
        <f t="shared" si="11"/>
        <v>0.42831379140696074</v>
      </c>
      <c r="DW32" s="68">
        <f t="shared" si="12"/>
        <v>0.49444999198375494</v>
      </c>
      <c r="DX32" s="68">
        <f t="shared" si="3"/>
        <v>0.73931056330437028</v>
      </c>
      <c r="DZ32" s="68">
        <f t="shared" si="0"/>
        <v>0.5521193826661509</v>
      </c>
      <c r="EA32" s="68">
        <f t="shared" si="1"/>
        <v>0.63737248206880281</v>
      </c>
      <c r="EB32" s="68">
        <f t="shared" si="2"/>
        <v>0.55561058154661003</v>
      </c>
      <c r="ED32" s="58" t="e">
        <f>+SUMIF('[1]Monthly Energy Data'!$D$200:$D$595,'[1]Annual Energy Data'!$A30,'[1]Monthly Energy Data'!$EK$200:$EK$595)</f>
        <v>#VALUE!</v>
      </c>
      <c r="EE32" s="58" t="e">
        <f>+SUMIF('[1]Monthly Energy Data'!$D$200:$D$595,'[1]Annual Energy Data'!$A30,'[1]Monthly Energy Data'!$EL$200:$EL$595)</f>
        <v>#VALUE!</v>
      </c>
      <c r="EF32" s="68" t="e">
        <f t="shared" si="13"/>
        <v>#VALUE!</v>
      </c>
      <c r="EG32" s="68" t="e">
        <f t="shared" si="14"/>
        <v>#VALUE!</v>
      </c>
      <c r="EH32" s="68" t="e">
        <f t="shared" si="15"/>
        <v>#VALUE!</v>
      </c>
      <c r="EN32" s="86" t="s">
        <v>24</v>
      </c>
      <c r="EO32" s="87">
        <v>42370</v>
      </c>
      <c r="EP32" s="87">
        <v>42735</v>
      </c>
      <c r="EQ32" s="88">
        <v>20240</v>
      </c>
      <c r="ER32" s="86" t="s">
        <v>120</v>
      </c>
    </row>
    <row r="33" spans="1:148" x14ac:dyDescent="0.2">
      <c r="A33" s="15">
        <f>+'Monthly Energy Data'!D308</f>
        <v>2033</v>
      </c>
      <c r="B33" s="16">
        <f>+SUM('Monthly Energy Data'!G308:G319)</f>
        <v>524537.86629679147</v>
      </c>
      <c r="C33" s="16">
        <f>+SUM('Monthly Energy Data'!H308:H319)</f>
        <v>524537.86629679147</v>
      </c>
      <c r="D33" s="16">
        <f>+SUM('Monthly Energy Data'!I308:I319)</f>
        <v>524537.86629679147</v>
      </c>
      <c r="E33" s="16">
        <f>+SUM('Monthly Energy Data'!J308:J319)</f>
        <v>48874.117124999982</v>
      </c>
      <c r="F33" s="16">
        <f>+SUM('Monthly Energy Data'!K308:K319)</f>
        <v>48874.117124999982</v>
      </c>
      <c r="G33" s="16">
        <f>+SUM('Monthly Energy Data'!L308:L319)</f>
        <v>48874.117124999982</v>
      </c>
      <c r="H33" s="16">
        <f>+SUM('Monthly Energy Data'!$M$308:$O$319)</f>
        <v>48595.938999895683</v>
      </c>
      <c r="I33" s="16">
        <f>+SUM('Monthly Energy Data'!P308:P319)</f>
        <v>461084.96747182281</v>
      </c>
      <c r="J33" s="16">
        <f>+SUM('Monthly Energy Data'!Q308:Q319)</f>
        <v>461084.96747182281</v>
      </c>
      <c r="K33" s="16">
        <f>+SUM('Monthly Energy Data'!R308:R319)</f>
        <v>461084.96747182281</v>
      </c>
      <c r="L33" s="16">
        <f>+SUM('Monthly Energy Data'!S308:S319)</f>
        <v>473472.31749783404</v>
      </c>
      <c r="M33" s="16">
        <f>+SUM('Monthly Energy Data'!T308:T319)</f>
        <v>473472.31749783404</v>
      </c>
      <c r="N33" s="16">
        <f>+SUM('Monthly Energy Data'!U308:U319)</f>
        <v>473472.31749783404</v>
      </c>
      <c r="O33" s="16">
        <f>+SUM('Monthly Energy Data'!V308:V319)</f>
        <v>461084.96747182281</v>
      </c>
      <c r="P33" s="16">
        <f>+SUM('Monthly Energy Data'!W308:W319)</f>
        <v>461084.96747182281</v>
      </c>
      <c r="Q33" s="16">
        <f>+SUM('Monthly Energy Data'!X308:X319)</f>
        <v>461084.96747182281</v>
      </c>
      <c r="R33" s="16">
        <f>+SUM('Monthly Energy Data'!Y308:Y319)</f>
        <v>179157.86872937009</v>
      </c>
      <c r="S33" s="16">
        <f>+SUM('Monthly Energy Data'!Z308:Z319)</f>
        <v>183691.96577617087</v>
      </c>
      <c r="T33" s="16">
        <f>+SUM('Monthly Energy Data'!AA308:AA319)</f>
        <v>91759.203053423989</v>
      </c>
      <c r="U33" s="16">
        <f>+'Tier 3 Data'!F28</f>
        <v>652630.18622720416</v>
      </c>
      <c r="V33" s="16">
        <f>+'Tier 3 Data'!G28</f>
        <v>657164.28327400493</v>
      </c>
      <c r="W33" s="16">
        <f>+'Tier 3 Data'!H28</f>
        <v>565231.52055125812</v>
      </c>
      <c r="X33" s="16">
        <f>+'Tier 3 Data'!I28</f>
        <v>613245.56971877045</v>
      </c>
      <c r="Y33" s="81"/>
      <c r="Z33" s="16">
        <f>+SUM('Monthly Energy Data'!AL308:AL319)</f>
        <v>0</v>
      </c>
      <c r="AA33" s="16">
        <f>+SUM('Monthly Energy Data'!AM308:AM319)</f>
        <v>0</v>
      </c>
      <c r="AB33" s="16">
        <f>+SUM('Monthly Energy Data'!AN308:AN319)</f>
        <v>0</v>
      </c>
      <c r="AC33" s="16">
        <f>+SUM('Monthly Energy Data'!AO308:AO319)</f>
        <v>0</v>
      </c>
      <c r="AD33" s="16">
        <f>+SUM('Monthly Energy Data'!AP308:AP319)</f>
        <v>0</v>
      </c>
      <c r="AE33" s="16">
        <f>+SUM('Monthly Energy Data'!AQ308:AQ319)</f>
        <v>0</v>
      </c>
      <c r="AF33" s="16">
        <f>+SUM('Monthly Energy Data'!AR308:AR319)</f>
        <v>0</v>
      </c>
      <c r="AG33" s="16">
        <f>+SUM('Monthly Energy Data'!AS308:AS319)</f>
        <v>39974.799999999996</v>
      </c>
      <c r="AH33" s="16">
        <f>+SUM('Monthly Energy Data'!AT308:AT319)</f>
        <v>0</v>
      </c>
      <c r="AI33" s="16">
        <f>+SUM('Monthly Energy Data'!AU308:AU319)</f>
        <v>1269.2160000000001</v>
      </c>
      <c r="AJ33" s="16">
        <f>+SUM('Monthly Energy Data'!AV308:AV319)</f>
        <v>37813.129000000008</v>
      </c>
      <c r="AK33" s="16">
        <f>+SUM('Monthly Energy Data'!AW308:AW319)</f>
        <v>0</v>
      </c>
      <c r="AL33" s="16">
        <f>+SUM('Monthly Energy Data'!AX308:AX319)</f>
        <v>0</v>
      </c>
      <c r="AM33" s="16">
        <f>+SUM('Monthly Energy Data'!AY308:AY319)</f>
        <v>0</v>
      </c>
      <c r="AN33" s="16">
        <f>+SUM('Monthly Energy Data'!AZ308:AZ319)</f>
        <v>0</v>
      </c>
      <c r="AO33" s="16">
        <f>+SUM('Monthly Energy Data'!BA308:BA319)</f>
        <v>21326.281999999999</v>
      </c>
      <c r="AP33" s="16">
        <f>+SUM('Monthly Energy Data'!BB308:BB319)</f>
        <v>0</v>
      </c>
      <c r="AQ33" s="16">
        <f>+SUM('Monthly Energy Data'!BC308:BC319)</f>
        <v>5104.8328325197499</v>
      </c>
      <c r="AR33" s="16">
        <f>+SUM('Monthly Energy Data'!BD308:BD319)</f>
        <v>0</v>
      </c>
      <c r="AS33" s="16">
        <f>+SUM('Monthly Energy Data'!BE308:BE319)</f>
        <v>0</v>
      </c>
      <c r="AT33" s="16">
        <f>+SUM('Monthly Energy Data'!BF308:BF319)</f>
        <v>190.43881896535004</v>
      </c>
      <c r="AU33" s="16">
        <f>+SUM('Monthly Energy Data'!BG308:BG319)</f>
        <v>0</v>
      </c>
      <c r="AV33" s="16">
        <f>+SUM('Monthly Energy Data'!BH308:BH319)</f>
        <v>262.30137060020002</v>
      </c>
      <c r="AW33" s="16">
        <f>+SUM('Monthly Energy Data'!BI308:BI319)</f>
        <v>12950.954451026641</v>
      </c>
      <c r="AX33" s="16">
        <f>+SUM('Monthly Energy Data'!BJ308:BJ319)</f>
        <v>0</v>
      </c>
      <c r="AY33" s="16">
        <f>+SUM('Monthly Energy Data'!BK308:BK319)</f>
        <v>196.44595650000002</v>
      </c>
      <c r="AZ33" s="16">
        <f>+SUM('Monthly Energy Data'!BL308:BL319)</f>
        <v>0</v>
      </c>
      <c r="BA33" s="16">
        <f>+SUM('Monthly Energy Data'!BM308:BM319)</f>
        <v>0</v>
      </c>
      <c r="BB33" s="16">
        <f>+SUM('Monthly Energy Data'!BN308:BN319)</f>
        <v>475.59491100521353</v>
      </c>
      <c r="BC33" s="16">
        <f>+SUM('Monthly Energy Data'!BO308:BO319)</f>
        <v>2498.2506468000006</v>
      </c>
      <c r="BD33" s="16">
        <f>+SUM('Monthly Energy Data'!BP308:BP319)</f>
        <v>0</v>
      </c>
      <c r="BE33" s="16">
        <f>+SUM('Monthly Energy Data'!BQ308:BQ319)</f>
        <v>1450.3055985873568</v>
      </c>
      <c r="BF33" s="16">
        <f>+SUM('Monthly Energy Data'!BR308:BR319)</f>
        <v>1894.5097766765298</v>
      </c>
      <c r="BG33" s="16">
        <f>+SUM('Monthly Energy Data'!BS308:BS319)</f>
        <v>6856.519498130524</v>
      </c>
      <c r="BH33" s="16">
        <f>+SUM('Monthly Energy Data'!BT308:BT319)</f>
        <v>2349.0438736637238</v>
      </c>
      <c r="BI33" s="16">
        <f>+SUM('Monthly Energy Data'!BU308:BU319)</f>
        <v>2576.9511397529031</v>
      </c>
      <c r="BJ33" s="16">
        <f>SUM('Monthly Energy Data'!BV$308:BX$319)</f>
        <v>34017.15729992697</v>
      </c>
      <c r="BK33" s="16">
        <f>+SUM('Monthly Energy Data'!BY308:BY319)</f>
        <v>0</v>
      </c>
      <c r="BL33" s="16">
        <f>+SUM('Monthly Energy Data'!BZ308:BZ319)</f>
        <v>78156</v>
      </c>
      <c r="BM33" s="16">
        <f>+SUM('Monthly Energy Data'!CA308:CA319)</f>
        <v>0</v>
      </c>
      <c r="BN33" s="16">
        <f>+SUM('Monthly Energy Data'!CB308:CB319)</f>
        <v>0</v>
      </c>
      <c r="BO33" s="16">
        <f>+SUM('Monthly Energy Data'!CC308:CC319)</f>
        <v>0</v>
      </c>
      <c r="BP33" s="16">
        <f>+SUM('Monthly Energy Data'!CD308:CD319)</f>
        <v>52.536120000000011</v>
      </c>
      <c r="BQ33" s="16">
        <f>+SUM('Monthly Energy Data'!CE308:CE319)</f>
        <v>0</v>
      </c>
      <c r="BR33" s="16">
        <f>+SUM('Monthly Energy Data'!CF308:CF319)</f>
        <v>14251.333333333338</v>
      </c>
      <c r="BS33" s="16">
        <f>+SUM('Monthly Energy Data'!CG308:CG319)</f>
        <v>0</v>
      </c>
      <c r="BT33" s="16">
        <f>+SUM('Monthly Energy Data'!CH308:CH319)</f>
        <v>64672</v>
      </c>
      <c r="BU33" s="16">
        <f>+SUM('Monthly Energy Data'!CI308:CI319)</f>
        <v>0</v>
      </c>
      <c r="BV33" s="16">
        <f>+SUM('Monthly Energy Data'!CJ308:CJ319)</f>
        <v>0</v>
      </c>
      <c r="BW33" s="16">
        <f>+SUM('Monthly Energy Data'!CK308:CK319)</f>
        <v>328338.60262748844</v>
      </c>
      <c r="BX33" s="16">
        <f>+SUM('Monthly Energy Data'!CL308:CL319)</f>
        <v>316438.33062050515</v>
      </c>
      <c r="BY33" s="16">
        <f>+SUM('Monthly Energy Data'!CM308:CM319)</f>
        <v>316438.33062050515</v>
      </c>
      <c r="BZ33" s="16">
        <f>+SUM('Monthly Energy Data'!CN308:CN319)</f>
        <v>316438.33062050515</v>
      </c>
      <c r="CA33" s="16">
        <f>+SUM('Monthly Energy Data'!CO308:CO319)</f>
        <v>324291.58359971567</v>
      </c>
      <c r="CB33" s="41">
        <f>+SUM('Monthly Energy Data'!CP308:CP319)</f>
        <v>328825.68064651638</v>
      </c>
      <c r="CC33" s="16">
        <f>+SUM('Monthly Energy Data'!CQ308:CQ319)</f>
        <v>236892.91792376956</v>
      </c>
      <c r="CD33" s="16">
        <f>+SUM('Monthly Energy Data'!CR308:CR319)</f>
        <v>316438.33062050515</v>
      </c>
      <c r="CE33" s="16">
        <f>+SUM('Monthly Energy Data'!CS308:CS319)</f>
        <v>316438.33062050515</v>
      </c>
      <c r="CF33" s="16">
        <f>+SUM('Monthly Energy Data'!CT308:CT319)</f>
        <v>316438.33062050515</v>
      </c>
      <c r="CG33" s="81"/>
      <c r="CH33" s="16">
        <f>+SUM('Monthly Energy Data'!DD308:DD319)</f>
        <v>0</v>
      </c>
      <c r="CI33" s="16">
        <f>+SUM('Monthly Energy Data'!DE308:DE319)</f>
        <v>0</v>
      </c>
      <c r="CJ33" s="16">
        <f>+SUM('Monthly Energy Data'!DF308:DF319)</f>
        <v>0</v>
      </c>
      <c r="CK33" s="16">
        <f>+SUM('Monthly Energy Data'!DG308:DG319)</f>
        <v>0</v>
      </c>
      <c r="CL33" s="16">
        <f>+SUM('Monthly Energy Data'!DH308:DH319)</f>
        <v>0</v>
      </c>
      <c r="CM33" s="16">
        <f>+SUM('Monthly Energy Data'!DI308:DI319)</f>
        <v>0</v>
      </c>
      <c r="CN33" s="16">
        <f>+SUM('Monthly Energy Data'!DJ308:DJ319)</f>
        <v>0</v>
      </c>
      <c r="CO33" s="16">
        <f>+SUM('Monthly Energy Data'!DK308:DK319)</f>
        <v>0</v>
      </c>
      <c r="CP33" s="16">
        <f>+SUM('Monthly Energy Data'!DL308:DL319)</f>
        <v>0</v>
      </c>
      <c r="CQ33" s="16">
        <f>+SUM('Monthly Energy Data'!DM308:DM319)</f>
        <v>0</v>
      </c>
      <c r="CR33" s="16">
        <f>+SUM('Monthly Energy Data'!DN308:DN319)</f>
        <v>328338.60262748844</v>
      </c>
      <c r="CS33" s="16">
        <f>+SUM('Monthly Energy Data'!DO308:DO319)</f>
        <v>316438.33062050515</v>
      </c>
      <c r="CT33" s="16">
        <f>+SUM('Monthly Energy Data'!DP308:DP319)</f>
        <v>316438.33062050515</v>
      </c>
      <c r="CU33" s="16">
        <f>+SUM('Monthly Energy Data'!DQ308:DQ319)</f>
        <v>316438.33062050515</v>
      </c>
      <c r="CV33" s="16">
        <f>+SUM('Monthly Energy Data'!DR308:DR319)</f>
        <v>324291.58359971567</v>
      </c>
      <c r="CW33" s="16">
        <f>+SUM('Monthly Energy Data'!DS308:DS319)</f>
        <v>328825.68064651638</v>
      </c>
      <c r="CX33" s="16">
        <f>+SUM('Monthly Energy Data'!DT308:DT319)</f>
        <v>236892.91792376956</v>
      </c>
      <c r="CY33" s="16">
        <f>+SUM('Monthly Energy Data'!DU308:DU319)</f>
        <v>316438.33062050515</v>
      </c>
      <c r="CZ33" s="16">
        <f>+SUM('Monthly Energy Data'!DV308:DV319)</f>
        <v>316438.33062050515</v>
      </c>
      <c r="DA33" s="16">
        <f>+SUM('Monthly Energy Data'!DW308:DW319)</f>
        <v>316438.33062050515</v>
      </c>
      <c r="DB33" s="78"/>
      <c r="DC33" s="78"/>
      <c r="DD33" s="78"/>
      <c r="DE33" s="78"/>
      <c r="DF33" s="19">
        <f t="shared" si="4"/>
        <v>0.5003705907574596</v>
      </c>
      <c r="DG33" s="78"/>
      <c r="DH33" s="78"/>
      <c r="DI33" s="78"/>
      <c r="DJ33" s="78"/>
      <c r="DK33" s="135">
        <f t="shared" si="17"/>
        <v>329068.65558548179</v>
      </c>
      <c r="DL33" s="135">
        <f t="shared" si="18"/>
        <v>237135.89286273497</v>
      </c>
      <c r="DM33" s="135">
        <f t="shared" si="19"/>
        <v>324534.55853868101</v>
      </c>
      <c r="DN33" s="58">
        <f t="shared" si="5"/>
        <v>328095.62768852315</v>
      </c>
      <c r="DO33" s="68">
        <f t="shared" si="6"/>
        <v>0.50272824428366425</v>
      </c>
      <c r="DP33" s="68">
        <f t="shared" si="7"/>
        <v>0.49925967682532063</v>
      </c>
      <c r="DQ33" s="68">
        <f t="shared" si="8"/>
        <v>0.5804623694172939</v>
      </c>
      <c r="DR33" s="68"/>
      <c r="DS33" s="58">
        <f t="shared" si="16"/>
        <v>315291.89286273497</v>
      </c>
      <c r="DT33" s="58">
        <f t="shared" si="9"/>
        <v>249939.62768852315</v>
      </c>
      <c r="DU33" s="68">
        <f t="shared" si="10"/>
        <v>0.3829728274344793</v>
      </c>
      <c r="DV33" s="68">
        <f t="shared" si="11"/>
        <v>0.38033051103039134</v>
      </c>
      <c r="DW33" s="68">
        <f t="shared" si="12"/>
        <v>0.44218982594028444</v>
      </c>
      <c r="DX33" s="68">
        <f t="shared" si="3"/>
        <v>0.69346948172738831</v>
      </c>
      <c r="DZ33" s="68">
        <f t="shared" si="0"/>
        <v>0.49962940924254023</v>
      </c>
      <c r="EA33" s="68">
        <f t="shared" si="1"/>
        <v>0.58089223740966689</v>
      </c>
      <c r="EB33" s="68">
        <f t="shared" si="2"/>
        <v>0.50310054538786209</v>
      </c>
      <c r="ED33" s="58" t="e">
        <f>+SUMIF('[1]Monthly Energy Data'!$D$200:$D$595,'[1]Annual Energy Data'!$A31,'[1]Monthly Energy Data'!$EK$200:$EK$595)</f>
        <v>#VALUE!</v>
      </c>
      <c r="EE33" s="58" t="e">
        <f>+SUMIF('[1]Monthly Energy Data'!$D$200:$D$595,'[1]Annual Energy Data'!$A31,'[1]Monthly Energy Data'!$EL$200:$EL$595)</f>
        <v>#VALUE!</v>
      </c>
      <c r="EF33" s="68" t="e">
        <f t="shared" si="13"/>
        <v>#VALUE!</v>
      </c>
      <c r="EG33" s="68" t="e">
        <f t="shared" si="14"/>
        <v>#VALUE!</v>
      </c>
      <c r="EH33" s="68" t="e">
        <f t="shared" si="15"/>
        <v>#VALUE!</v>
      </c>
      <c r="EN33" s="86" t="s">
        <v>11</v>
      </c>
      <c r="EO33" s="87">
        <v>42370</v>
      </c>
      <c r="EP33" s="87">
        <v>49674</v>
      </c>
      <c r="EQ33" s="88">
        <v>84</v>
      </c>
      <c r="ER33" s="86" t="s">
        <v>120</v>
      </c>
    </row>
    <row r="34" spans="1:148" x14ac:dyDescent="0.2">
      <c r="A34" s="15">
        <f>+'Monthly Energy Data'!D320</f>
        <v>2034</v>
      </c>
      <c r="B34" s="16">
        <f>+SUM('Monthly Energy Data'!G320:G331)</f>
        <v>526907.06629679142</v>
      </c>
      <c r="C34" s="16">
        <f>+SUM('Monthly Energy Data'!H320:H331)</f>
        <v>526907.06629679142</v>
      </c>
      <c r="D34" s="16">
        <f>+SUM('Monthly Energy Data'!I320:I331)</f>
        <v>526907.06629679142</v>
      </c>
      <c r="E34" s="16">
        <f>+SUM('Monthly Energy Data'!J320:J331)</f>
        <v>54627.400499999989</v>
      </c>
      <c r="F34" s="16">
        <f>+SUM('Monthly Energy Data'!K320:K331)</f>
        <v>54627.400499999989</v>
      </c>
      <c r="G34" s="16">
        <f>+SUM('Monthly Energy Data'!L320:L331)</f>
        <v>54627.400499999989</v>
      </c>
      <c r="H34" s="16">
        <f>+SUM('Monthly Energy Data'!$M$320:$O$331)</f>
        <v>48851.345911575343</v>
      </c>
      <c r="I34" s="16">
        <f>+SUM('Monthly Energy Data'!P320:P331)</f>
        <v>457624.26202331885</v>
      </c>
      <c r="J34" s="16">
        <f>+SUM('Monthly Energy Data'!Q320:Q331)</f>
        <v>457624.26202331885</v>
      </c>
      <c r="K34" s="16">
        <f>+SUM('Monthly Energy Data'!R320:R331)</f>
        <v>457624.26202331885</v>
      </c>
      <c r="L34" s="16">
        <f>+SUM('Monthly Energy Data'!S320:S331)</f>
        <v>470011.61204933014</v>
      </c>
      <c r="M34" s="16">
        <f>+SUM('Monthly Energy Data'!T320:T331)</f>
        <v>470011.61204933014</v>
      </c>
      <c r="N34" s="16">
        <f>+SUM('Monthly Energy Data'!U320:U331)</f>
        <v>470011.61204933014</v>
      </c>
      <c r="O34" s="16">
        <f>+SUM('Monthly Energy Data'!V320:V331)</f>
        <v>457624.26202331885</v>
      </c>
      <c r="P34" s="16">
        <f>+SUM('Monthly Energy Data'!W320:W331)</f>
        <v>457624.26202331885</v>
      </c>
      <c r="Q34" s="16">
        <f>+SUM('Monthly Energy Data'!X320:X331)</f>
        <v>457624.26202331885</v>
      </c>
      <c r="R34" s="16">
        <f>+SUM('Monthly Energy Data'!Y320:Y331)</f>
        <v>199812.37412202396</v>
      </c>
      <c r="S34" s="16">
        <f>+SUM('Monthly Energy Data'!Z320:Z331)</f>
        <v>206239.3535152557</v>
      </c>
      <c r="T34" s="16">
        <f>+SUM('Monthly Energy Data'!AA320:AA331)</f>
        <v>108433.39030814158</v>
      </c>
      <c r="U34" s="16">
        <f>+'Tier 3 Data'!F29</f>
        <v>669823.98617135419</v>
      </c>
      <c r="V34" s="16">
        <f>+'Tier 3 Data'!G29</f>
        <v>676250.96556458564</v>
      </c>
      <c r="W34" s="16">
        <f>+'Tier 3 Data'!H29</f>
        <v>578445.00235747173</v>
      </c>
      <c r="X34" s="16">
        <f>+'Tier 3 Data'!I29</f>
        <v>629247.53521484334</v>
      </c>
      <c r="Y34" s="81"/>
      <c r="Z34" s="16">
        <f>+SUM('Monthly Energy Data'!AL320:AL331)</f>
        <v>0</v>
      </c>
      <c r="AA34" s="16">
        <f>+SUM('Monthly Energy Data'!AM320:AM331)</f>
        <v>0</v>
      </c>
      <c r="AB34" s="16">
        <f>+SUM('Monthly Energy Data'!AN320:AN331)</f>
        <v>0</v>
      </c>
      <c r="AC34" s="16">
        <f>+SUM('Monthly Energy Data'!AO320:AO331)</f>
        <v>0</v>
      </c>
      <c r="AD34" s="16">
        <f>+SUM('Monthly Energy Data'!AP320:AP331)</f>
        <v>0</v>
      </c>
      <c r="AE34" s="16">
        <f>+SUM('Monthly Energy Data'!AQ320:AQ331)</f>
        <v>0</v>
      </c>
      <c r="AF34" s="16">
        <f>+SUM('Monthly Energy Data'!AR320:AR331)</f>
        <v>0</v>
      </c>
      <c r="AG34" s="16">
        <f>+SUM('Monthly Energy Data'!AS320:AS331)</f>
        <v>39974.799999999996</v>
      </c>
      <c r="AH34" s="16">
        <f>+SUM('Monthly Energy Data'!AT320:AT331)</f>
        <v>0</v>
      </c>
      <c r="AI34" s="16">
        <f>+SUM('Monthly Energy Data'!AU320:AU331)</f>
        <v>1269.2160000000001</v>
      </c>
      <c r="AJ34" s="16">
        <f>+SUM('Monthly Energy Data'!AV320:AV331)</f>
        <v>37813.129000000008</v>
      </c>
      <c r="AK34" s="16">
        <f>+SUM('Monthly Energy Data'!AW320:AW331)</f>
        <v>0</v>
      </c>
      <c r="AL34" s="16">
        <f>+SUM('Monthly Energy Data'!AX320:AX331)</f>
        <v>0</v>
      </c>
      <c r="AM34" s="16">
        <f>+SUM('Monthly Energy Data'!AY320:AY331)</f>
        <v>0</v>
      </c>
      <c r="AN34" s="16">
        <f>+SUM('Monthly Energy Data'!AZ320:AZ331)</f>
        <v>0</v>
      </c>
      <c r="AO34" s="16">
        <f>+SUM('Monthly Energy Data'!BA320:BA331)</f>
        <v>21326.281999999999</v>
      </c>
      <c r="AP34" s="16">
        <f>+SUM('Monthly Energy Data'!BB320:BB331)</f>
        <v>0</v>
      </c>
      <c r="AQ34" s="16">
        <f>+SUM('Monthly Energy Data'!BC320:BC331)</f>
        <v>5104.8328325197499</v>
      </c>
      <c r="AR34" s="16">
        <f>+SUM('Monthly Energy Data'!BD320:BD331)</f>
        <v>0</v>
      </c>
      <c r="AS34" s="16">
        <f>+SUM('Monthly Energy Data'!BE320:BE331)</f>
        <v>0</v>
      </c>
      <c r="AT34" s="16">
        <f>+SUM('Monthly Energy Data'!BF320:BF331)</f>
        <v>52.052062528582283</v>
      </c>
      <c r="AU34" s="16">
        <f>+SUM('Monthly Energy Data'!BG320:BG331)</f>
        <v>0</v>
      </c>
      <c r="AV34" s="16">
        <f>+SUM('Monthly Energy Data'!BH320:BH331)</f>
        <v>0</v>
      </c>
      <c r="AW34" s="16">
        <f>+SUM('Monthly Energy Data'!BI320:BI331)</f>
        <v>12950.954451026641</v>
      </c>
      <c r="AX34" s="16">
        <f>+SUM('Monthly Energy Data'!BJ320:BJ331)</f>
        <v>0</v>
      </c>
      <c r="AY34" s="16">
        <f>+SUM('Monthly Energy Data'!BK320:BK331)</f>
        <v>196.44595650000002</v>
      </c>
      <c r="AZ34" s="16">
        <f>+SUM('Monthly Energy Data'!BL320:BL331)</f>
        <v>0</v>
      </c>
      <c r="BA34" s="16">
        <f>+SUM('Monthly Energy Data'!BM320:BM331)</f>
        <v>0</v>
      </c>
      <c r="BB34" s="16">
        <f>+SUM('Monthly Energy Data'!BN320:BN331)</f>
        <v>475.59491100521353</v>
      </c>
      <c r="BC34" s="16">
        <f>+SUM('Monthly Energy Data'!BO320:BO331)</f>
        <v>2498.2506468000006</v>
      </c>
      <c r="BD34" s="16">
        <f>+SUM('Monthly Energy Data'!BP320:BP331)</f>
        <v>0</v>
      </c>
      <c r="BE34" s="16">
        <f>+SUM('Monthly Energy Data'!BQ320:BQ331)</f>
        <v>1443.0540705944197</v>
      </c>
      <c r="BF34" s="16">
        <f>+SUM('Monthly Energy Data'!BR320:BR331)</f>
        <v>1885.0372277931469</v>
      </c>
      <c r="BG34" s="16">
        <f>+SUM('Monthly Energy Data'!BS320:BS331)</f>
        <v>6822.2369006398712</v>
      </c>
      <c r="BH34" s="16">
        <f>+SUM('Monthly Energy Data'!BT320:BT331)</f>
        <v>2337.2986542954059</v>
      </c>
      <c r="BI34" s="16">
        <f>+SUM('Monthly Energy Data'!BU320:BU331)</f>
        <v>2564.0663840541388</v>
      </c>
      <c r="BJ34" s="16">
        <f>SUM('Monthly Energy Data'!BV$320:BX$331)</f>
        <v>34195.942138102735</v>
      </c>
      <c r="BK34" s="16">
        <f>+SUM('Monthly Energy Data'!BY320:BY331)</f>
        <v>0</v>
      </c>
      <c r="BL34" s="16">
        <f>+SUM('Monthly Energy Data'!BZ320:BZ331)</f>
        <v>85410</v>
      </c>
      <c r="BM34" s="16">
        <f>+SUM('Monthly Energy Data'!CA320:CA331)</f>
        <v>0</v>
      </c>
      <c r="BN34" s="16">
        <f>+SUM('Monthly Energy Data'!CB320:CB331)</f>
        <v>0</v>
      </c>
      <c r="BO34" s="16">
        <f>+SUM('Monthly Energy Data'!CC320:CC331)</f>
        <v>0</v>
      </c>
      <c r="BP34" s="16">
        <f>+SUM('Monthly Energy Data'!CD320:CD331)</f>
        <v>52.536120000000011</v>
      </c>
      <c r="BQ34" s="16">
        <f>+SUM('Monthly Energy Data'!CE320:CE331)</f>
        <v>0</v>
      </c>
      <c r="BR34" s="16">
        <f>+SUM('Monthly Energy Data'!CF320:CF331)</f>
        <v>9807.0000000000018</v>
      </c>
      <c r="BS34" s="16">
        <f>+SUM('Monthly Energy Data'!CG320:CG331)</f>
        <v>0</v>
      </c>
      <c r="BT34" s="16">
        <f>+SUM('Monthly Energy Data'!CH320:CH331)</f>
        <v>64656</v>
      </c>
      <c r="BU34" s="16">
        <f>+SUM('Monthly Energy Data'!CI320:CI331)</f>
        <v>0</v>
      </c>
      <c r="BV34" s="16">
        <f>+SUM('Monthly Energy Data'!CJ320:CJ331)</f>
        <v>0</v>
      </c>
      <c r="BW34" s="16">
        <f>+SUM('Monthly Energy Data'!CK320:CK331)</f>
        <v>330834.72935585992</v>
      </c>
      <c r="BX34" s="16">
        <f>+SUM('Monthly Energy Data'!CL320:CL331)</f>
        <v>333028.8861827146</v>
      </c>
      <c r="BY34" s="16">
        <f>+SUM('Monthly Energy Data'!CM320:CM331)</f>
        <v>333028.8861827146</v>
      </c>
      <c r="BZ34" s="16">
        <f>+SUM('Monthly Energy Data'!CN320:CN331)</f>
        <v>333028.8861827146</v>
      </c>
      <c r="CA34" s="16">
        <f>+SUM('Monthly Energy Data'!CO320:CO331)</f>
        <v>338989.25681549427</v>
      </c>
      <c r="CB34" s="41">
        <f>+SUM('Monthly Energy Data'!CP320:CP331)</f>
        <v>345416.23620872595</v>
      </c>
      <c r="CC34" s="16">
        <f>+SUM('Monthly Energy Data'!CQ320:CQ331)</f>
        <v>247610.27300161181</v>
      </c>
      <c r="CD34" s="16">
        <f>+SUM('Monthly Energy Data'!CR320:CR331)</f>
        <v>333028.8861827146</v>
      </c>
      <c r="CE34" s="16">
        <f>+SUM('Monthly Energy Data'!CS320:CS331)</f>
        <v>333028.8861827146</v>
      </c>
      <c r="CF34" s="16">
        <f>+SUM('Monthly Energy Data'!CT320:CT331)</f>
        <v>333028.8861827146</v>
      </c>
      <c r="CG34" s="81"/>
      <c r="CH34" s="16">
        <f>+SUM('Monthly Energy Data'!DD320:DD331)</f>
        <v>0</v>
      </c>
      <c r="CI34" s="16">
        <f>+SUM('Monthly Energy Data'!DE320:DE331)</f>
        <v>0</v>
      </c>
      <c r="CJ34" s="16">
        <f>+SUM('Monthly Energy Data'!DF320:DF331)</f>
        <v>0</v>
      </c>
      <c r="CK34" s="16">
        <f>+SUM('Monthly Energy Data'!DG320:DG331)</f>
        <v>0</v>
      </c>
      <c r="CL34" s="16">
        <f>+SUM('Monthly Energy Data'!DH320:DH331)</f>
        <v>0</v>
      </c>
      <c r="CM34" s="16">
        <f>+SUM('Monthly Energy Data'!DI320:DI331)</f>
        <v>0</v>
      </c>
      <c r="CN34" s="16">
        <f>+SUM('Monthly Energy Data'!DJ320:DJ331)</f>
        <v>0</v>
      </c>
      <c r="CO34" s="16">
        <f>+SUM('Monthly Energy Data'!DK320:DK331)</f>
        <v>0</v>
      </c>
      <c r="CP34" s="16">
        <f>+SUM('Monthly Energy Data'!DL320:DL331)</f>
        <v>0</v>
      </c>
      <c r="CQ34" s="16">
        <f>+SUM('Monthly Energy Data'!DM320:DM331)</f>
        <v>0</v>
      </c>
      <c r="CR34" s="16">
        <f>+SUM('Monthly Energy Data'!DN320:DN331)</f>
        <v>330834.72935585992</v>
      </c>
      <c r="CS34" s="16">
        <f>+SUM('Monthly Energy Data'!DO320:DO331)</f>
        <v>333028.8861827146</v>
      </c>
      <c r="CT34" s="16">
        <f>+SUM('Monthly Energy Data'!DP320:DP331)</f>
        <v>333028.8861827146</v>
      </c>
      <c r="CU34" s="16">
        <f>+SUM('Monthly Energy Data'!DQ320:DQ331)</f>
        <v>333028.8861827146</v>
      </c>
      <c r="CV34" s="16">
        <f>+SUM('Monthly Energy Data'!DR320:DR331)</f>
        <v>338989.25681549427</v>
      </c>
      <c r="CW34" s="16">
        <f>+SUM('Monthly Energy Data'!DS320:DS331)</f>
        <v>345416.23620872595</v>
      </c>
      <c r="CX34" s="16">
        <f>+SUM('Monthly Energy Data'!DT320:DT331)</f>
        <v>247610.27300161181</v>
      </c>
      <c r="CY34" s="16">
        <f>+SUM('Monthly Energy Data'!DU320:DU331)</f>
        <v>333028.8861827146</v>
      </c>
      <c r="CZ34" s="16">
        <f>+SUM('Monthly Energy Data'!DV320:DV331)</f>
        <v>333028.8861827146</v>
      </c>
      <c r="DA34" s="16">
        <f>+SUM('Monthly Energy Data'!DW320:DW331)</f>
        <v>333028.8861827146</v>
      </c>
      <c r="DB34" s="78"/>
      <c r="DC34" s="78"/>
      <c r="DD34" s="78"/>
      <c r="DE34" s="78"/>
      <c r="DF34" s="19">
        <f t="shared" si="4"/>
        <v>0.51078113569915018</v>
      </c>
      <c r="DG34" s="78"/>
      <c r="DH34" s="78"/>
      <c r="DI34" s="78"/>
      <c r="DJ34" s="78"/>
      <c r="DK34" s="135">
        <f t="shared" si="17"/>
        <v>345520.82439125428</v>
      </c>
      <c r="DL34" s="135">
        <f t="shared" si="18"/>
        <v>247714.86118414038</v>
      </c>
      <c r="DM34" s="135">
        <f t="shared" si="19"/>
        <v>339093.84499802283</v>
      </c>
      <c r="DN34" s="58">
        <f t="shared" si="5"/>
        <v>330730.14117333136</v>
      </c>
      <c r="DO34" s="68">
        <f t="shared" si="6"/>
        <v>0.49375678984527149</v>
      </c>
      <c r="DP34" s="68">
        <f t="shared" si="7"/>
        <v>0.48906420547172563</v>
      </c>
      <c r="DQ34" s="68">
        <f t="shared" si="8"/>
        <v>0.57175727999279058</v>
      </c>
      <c r="DR34" s="68"/>
      <c r="DS34" s="58">
        <f t="shared" si="16"/>
        <v>333124.86118414038</v>
      </c>
      <c r="DT34" s="58">
        <f t="shared" si="9"/>
        <v>245320.14117333136</v>
      </c>
      <c r="DU34" s="68">
        <f t="shared" si="10"/>
        <v>0.36624567981740447</v>
      </c>
      <c r="DV34" s="68">
        <f t="shared" si="11"/>
        <v>0.36276494033323781</v>
      </c>
      <c r="DW34" s="68">
        <f t="shared" si="12"/>
        <v>0.42410279313248628</v>
      </c>
      <c r="DX34" s="68">
        <f t="shared" si="3"/>
        <v>0.70388628892244709</v>
      </c>
      <c r="DZ34" s="68">
        <f t="shared" si="0"/>
        <v>0.48921886430085015</v>
      </c>
      <c r="EA34" s="68">
        <f t="shared" si="1"/>
        <v>0.57193808920041156</v>
      </c>
      <c r="EB34" s="68">
        <f t="shared" si="2"/>
        <v>0.49391293263007435</v>
      </c>
      <c r="ED34" s="58" t="e">
        <f>+SUMIF('[1]Monthly Energy Data'!$D$200:$D$595,'[1]Annual Energy Data'!$A32,'[1]Monthly Energy Data'!$EK$200:$EK$595)</f>
        <v>#VALUE!</v>
      </c>
      <c r="EE34" s="58" t="e">
        <f>+SUMIF('[1]Monthly Energy Data'!$D$200:$D$595,'[1]Annual Energy Data'!$A32,'[1]Monthly Energy Data'!$EL$200:$EL$595)</f>
        <v>#VALUE!</v>
      </c>
      <c r="EF34" s="68" t="e">
        <f t="shared" si="13"/>
        <v>#VALUE!</v>
      </c>
      <c r="EG34" s="68" t="e">
        <f t="shared" si="14"/>
        <v>#VALUE!</v>
      </c>
      <c r="EH34" s="68" t="e">
        <f t="shared" si="15"/>
        <v>#VALUE!</v>
      </c>
      <c r="EN34" s="86" t="s">
        <v>123</v>
      </c>
      <c r="EO34" s="87">
        <v>42370</v>
      </c>
      <c r="EP34" s="87">
        <v>49674</v>
      </c>
      <c r="EQ34" s="88">
        <v>36</v>
      </c>
      <c r="ER34" s="86" t="s">
        <v>120</v>
      </c>
    </row>
    <row r="35" spans="1:148" x14ac:dyDescent="0.2">
      <c r="A35" s="15">
        <f>+'Monthly Energy Data'!D332</f>
        <v>2035</v>
      </c>
      <c r="B35" s="16">
        <f>+SUM('Monthly Energy Data'!G332:G343)</f>
        <v>529276.26629679138</v>
      </c>
      <c r="C35" s="16">
        <f>+SUM('Monthly Energy Data'!H332:H343)</f>
        <v>529276.26629679138</v>
      </c>
      <c r="D35" s="16">
        <f>+SUM('Monthly Energy Data'!I332:I343)</f>
        <v>529276.26629679138</v>
      </c>
      <c r="E35" s="16">
        <f>+SUM('Monthly Energy Data'!J332:J343)</f>
        <v>60370.926374999988</v>
      </c>
      <c r="F35" s="16">
        <f>+SUM('Monthly Energy Data'!K332:K343)</f>
        <v>60370.926374999988</v>
      </c>
      <c r="G35" s="16">
        <f>+SUM('Monthly Energy Data'!L332:L343)</f>
        <v>60370.926374999988</v>
      </c>
      <c r="H35" s="16">
        <f>+SUM('Monthly Energy Data'!$M$332:$O$343)</f>
        <v>49123.948319268718</v>
      </c>
      <c r="I35" s="16">
        <f>+SUM('Monthly Energy Data'!P332:P343)</f>
        <v>454168.1554260109</v>
      </c>
      <c r="J35" s="16">
        <f>+SUM('Monthly Energy Data'!Q332:Q343)</f>
        <v>454168.1554260109</v>
      </c>
      <c r="K35" s="16">
        <f>+SUM('Monthly Energy Data'!R332:R343)</f>
        <v>454168.1554260109</v>
      </c>
      <c r="L35" s="16">
        <f>+SUM('Monthly Energy Data'!S332:S343)</f>
        <v>466555.50545202213</v>
      </c>
      <c r="M35" s="16">
        <f>+SUM('Monthly Energy Data'!T332:T343)</f>
        <v>466555.50545202213</v>
      </c>
      <c r="N35" s="16">
        <f>+SUM('Monthly Energy Data'!U332:U343)</f>
        <v>466555.50545202213</v>
      </c>
      <c r="O35" s="16">
        <f>+SUM('Monthly Energy Data'!V332:V343)</f>
        <v>454168.1554260109</v>
      </c>
      <c r="P35" s="16">
        <f>+SUM('Monthly Energy Data'!W332:W343)</f>
        <v>454168.1554260109</v>
      </c>
      <c r="Q35" s="16">
        <f>+SUM('Monthly Energy Data'!X332:X343)</f>
        <v>454168.1554260109</v>
      </c>
      <c r="R35" s="16">
        <f>+SUM('Monthly Energy Data'!Y332:Y343)</f>
        <v>218079.41289232124</v>
      </c>
      <c r="S35" s="16">
        <f>+SUM('Monthly Energy Data'!Z332:Z343)</f>
        <v>228487.91396281114</v>
      </c>
      <c r="T35" s="16">
        <f>+SUM('Monthly Energy Data'!AA332:AA343)</f>
        <v>126056.944430818</v>
      </c>
      <c r="U35" s="16">
        <f>+'Tier 3 Data'!F30</f>
        <v>684634.91834434343</v>
      </c>
      <c r="V35" s="16">
        <f>+'Tier 3 Data'!G30</f>
        <v>695043.4194148333</v>
      </c>
      <c r="W35" s="16">
        <f>+'Tier 3 Data'!H30</f>
        <v>592612.44988284016</v>
      </c>
      <c r="X35" s="16">
        <f>+'Tier 3 Data'!I30</f>
        <v>645238.93182251533</v>
      </c>
      <c r="Y35" s="81"/>
      <c r="Z35" s="16">
        <f>+SUM('Monthly Energy Data'!AL332:AL343)</f>
        <v>0</v>
      </c>
      <c r="AA35" s="16">
        <f>+SUM('Monthly Energy Data'!AM332:AM343)</f>
        <v>0</v>
      </c>
      <c r="AB35" s="16">
        <f>+SUM('Monthly Energy Data'!AN332:AN343)</f>
        <v>0</v>
      </c>
      <c r="AC35" s="16">
        <f>+SUM('Monthly Energy Data'!AO332:AO343)</f>
        <v>0</v>
      </c>
      <c r="AD35" s="16">
        <f>+SUM('Monthly Energy Data'!AP332:AP343)</f>
        <v>0</v>
      </c>
      <c r="AE35" s="16">
        <f>+SUM('Monthly Energy Data'!AQ332:AQ343)</f>
        <v>0</v>
      </c>
      <c r="AF35" s="16">
        <f>+SUM('Monthly Energy Data'!AR332:AR343)</f>
        <v>0</v>
      </c>
      <c r="AG35" s="16">
        <f>+SUM('Monthly Energy Data'!AS332:AS343)</f>
        <v>33294.079999999994</v>
      </c>
      <c r="AH35" s="16">
        <f>+SUM('Monthly Energy Data'!AT332:AT343)</f>
        <v>6680.7199999999993</v>
      </c>
      <c r="AI35" s="16">
        <f>+SUM('Monthly Energy Data'!AU332:AU343)</f>
        <v>1269.2160000000001</v>
      </c>
      <c r="AJ35" s="16">
        <f>+SUM('Monthly Energy Data'!AV332:AV343)</f>
        <v>37813.129000000008</v>
      </c>
      <c r="AK35" s="16">
        <f>+SUM('Monthly Energy Data'!AW332:AW343)</f>
        <v>0</v>
      </c>
      <c r="AL35" s="16">
        <f>+SUM('Monthly Energy Data'!AX332:AX343)</f>
        <v>0</v>
      </c>
      <c r="AM35" s="16">
        <f>+SUM('Monthly Energy Data'!AY332:AY343)</f>
        <v>0</v>
      </c>
      <c r="AN35" s="16">
        <f>+SUM('Monthly Energy Data'!AZ332:AZ343)</f>
        <v>0</v>
      </c>
      <c r="AO35" s="16">
        <f>+SUM('Monthly Energy Data'!BA332:BA343)</f>
        <v>21326.281999999999</v>
      </c>
      <c r="AP35" s="16">
        <f>+SUM('Monthly Energy Data'!BB332:BB343)</f>
        <v>0</v>
      </c>
      <c r="AQ35" s="16">
        <f>+SUM('Monthly Energy Data'!BC332:BC343)</f>
        <v>5101.9056891832315</v>
      </c>
      <c r="AR35" s="16">
        <f>+SUM('Monthly Energy Data'!BD332:BD343)</f>
        <v>0</v>
      </c>
      <c r="AS35" s="16">
        <f>+SUM('Monthly Energy Data'!BE332:BE343)</f>
        <v>0</v>
      </c>
      <c r="AT35" s="16">
        <f>+SUM('Monthly Energy Data'!BF332:BF343)</f>
        <v>0</v>
      </c>
      <c r="AU35" s="16">
        <f>+SUM('Monthly Energy Data'!BG332:BG343)</f>
        <v>0</v>
      </c>
      <c r="AV35" s="16">
        <f>+SUM('Monthly Energy Data'!BH332:BH343)</f>
        <v>0</v>
      </c>
      <c r="AW35" s="16">
        <f>+SUM('Monthly Energy Data'!BI332:BI343)</f>
        <v>12950.954451026641</v>
      </c>
      <c r="AX35" s="16">
        <f>+SUM('Monthly Energy Data'!BJ332:BJ343)</f>
        <v>0</v>
      </c>
      <c r="AY35" s="16">
        <f>+SUM('Monthly Energy Data'!BK332:BK343)</f>
        <v>196.44595650000002</v>
      </c>
      <c r="AZ35" s="16">
        <f>+SUM('Monthly Energy Data'!BL332:BL343)</f>
        <v>0</v>
      </c>
      <c r="BA35" s="16">
        <f>+SUM('Monthly Energy Data'!BM332:BM343)</f>
        <v>0</v>
      </c>
      <c r="BB35" s="16">
        <f>+SUM('Monthly Energy Data'!BN332:BN343)</f>
        <v>475.59491100521353</v>
      </c>
      <c r="BC35" s="16">
        <f>+SUM('Monthly Energy Data'!BO332:BO343)</f>
        <v>2498.2506468000006</v>
      </c>
      <c r="BD35" s="16">
        <f>+SUM('Monthly Energy Data'!BP332:BP343)</f>
        <v>0</v>
      </c>
      <c r="BE35" s="16">
        <f>+SUM('Monthly Energy Data'!BQ332:BQ343)</f>
        <v>1435.8388002414474</v>
      </c>
      <c r="BF35" s="16">
        <f>+SUM('Monthly Energy Data'!BR332:BR343)</f>
        <v>1875.6120416541814</v>
      </c>
      <c r="BG35" s="16">
        <f>+SUM('Monthly Energy Data'!BS332:BS343)</f>
        <v>6788.1257161366721</v>
      </c>
      <c r="BH35" s="16">
        <f>+SUM('Monthly Energy Data'!BT332:BT343)</f>
        <v>2325.6121610239288</v>
      </c>
      <c r="BI35" s="16">
        <f>+SUM('Monthly Energy Data'!BU332:BU343)</f>
        <v>2551.246052133868</v>
      </c>
      <c r="BJ35" s="16">
        <f>SUM('Monthly Energy Data'!BV$332:BX$343)</f>
        <v>34386.763823488109</v>
      </c>
      <c r="BK35" s="16">
        <f>+SUM('Monthly Energy Data'!BY332:BY343)</f>
        <v>0</v>
      </c>
      <c r="BL35" s="16">
        <f>+SUM('Monthly Energy Data'!BZ332:BZ343)</f>
        <v>0</v>
      </c>
      <c r="BM35" s="16">
        <f>+SUM('Monthly Energy Data'!CA332:CA343)</f>
        <v>0</v>
      </c>
      <c r="BN35" s="16">
        <f>+SUM('Monthly Energy Data'!CB332:CB343)</f>
        <v>0</v>
      </c>
      <c r="BO35" s="16">
        <f>+SUM('Monthly Energy Data'!CC332:CC343)</f>
        <v>0</v>
      </c>
      <c r="BP35" s="16">
        <f>+SUM('Monthly Energy Data'!CD332:CD343)</f>
        <v>52.536120000000011</v>
      </c>
      <c r="BQ35" s="16">
        <f>+SUM('Monthly Energy Data'!CE332:CE343)</f>
        <v>0</v>
      </c>
      <c r="BR35" s="16">
        <f>+SUM('Monthly Energy Data'!CF332:CF343)</f>
        <v>0</v>
      </c>
      <c r="BS35" s="16">
        <f>+SUM('Monthly Energy Data'!CG332:CG343)</f>
        <v>0</v>
      </c>
      <c r="BT35" s="16">
        <f>+SUM('Monthly Energy Data'!CH332:CH343)</f>
        <v>64736</v>
      </c>
      <c r="BU35" s="16">
        <f>+SUM('Monthly Energy Data'!CI332:CI343)</f>
        <v>0</v>
      </c>
      <c r="BV35" s="16">
        <f>+SUM('Monthly Energy Data'!CJ332:CJ343)</f>
        <v>0</v>
      </c>
      <c r="BW35" s="16">
        <f>+SUM('Monthly Energy Data'!CK332:CK343)</f>
        <v>235758.31336919329</v>
      </c>
      <c r="BX35" s="16">
        <f>+SUM('Monthly Energy Data'!CL332:CL343)</f>
        <v>446897.75601962878</v>
      </c>
      <c r="BY35" s="16">
        <f>+SUM('Monthly Energy Data'!CM332:CM343)</f>
        <v>446897.75601962878</v>
      </c>
      <c r="BZ35" s="16">
        <f>+SUM('Monthly Energy Data'!CN332:CN343)</f>
        <v>446897.75601962878</v>
      </c>
      <c r="CA35" s="16">
        <f>+SUM('Monthly Energy Data'!CO332:CO343)</f>
        <v>448876.60497515008</v>
      </c>
      <c r="CB35" s="41">
        <f>+SUM('Monthly Energy Data'!CP332:CP343)</f>
        <v>459285.10604564002</v>
      </c>
      <c r="CC35" s="16">
        <f>+SUM('Monthly Energy Data'!CQ332:CQ343)</f>
        <v>356854.13651364681</v>
      </c>
      <c r="CD35" s="16">
        <f>+SUM('Monthly Energy Data'!CR332:CR343)</f>
        <v>446897.75601962878</v>
      </c>
      <c r="CE35" s="16">
        <f>+SUM('Monthly Energy Data'!CS332:CS343)</f>
        <v>446897.75601962878</v>
      </c>
      <c r="CF35" s="16">
        <f>+SUM('Monthly Energy Data'!CT332:CT343)</f>
        <v>446897.75601962878</v>
      </c>
      <c r="CG35" s="81"/>
      <c r="CH35" s="16">
        <f>+SUM('Monthly Energy Data'!DD332:DD343)</f>
        <v>0</v>
      </c>
      <c r="CI35" s="16">
        <f>+SUM('Monthly Energy Data'!DE332:DE343)</f>
        <v>0</v>
      </c>
      <c r="CJ35" s="16">
        <f>+SUM('Monthly Energy Data'!DF332:DF343)</f>
        <v>0</v>
      </c>
      <c r="CK35" s="16">
        <f>+SUM('Monthly Energy Data'!DG332:DG343)</f>
        <v>0</v>
      </c>
      <c r="CL35" s="16">
        <f>+SUM('Monthly Energy Data'!DH332:DH343)</f>
        <v>0</v>
      </c>
      <c r="CM35" s="16">
        <f>+SUM('Monthly Energy Data'!DI332:DI343)</f>
        <v>0</v>
      </c>
      <c r="CN35" s="16">
        <f>+SUM('Monthly Energy Data'!DJ332:DJ343)</f>
        <v>0</v>
      </c>
      <c r="CO35" s="16">
        <f>+SUM('Monthly Energy Data'!DK332:DK343)</f>
        <v>0</v>
      </c>
      <c r="CP35" s="16">
        <f>+SUM('Monthly Energy Data'!DL332:DL343)</f>
        <v>0</v>
      </c>
      <c r="CQ35" s="16">
        <f>+SUM('Monthly Energy Data'!DM332:DM343)</f>
        <v>0</v>
      </c>
      <c r="CR35" s="16">
        <f>+SUM('Monthly Energy Data'!DN332:DN343)</f>
        <v>235758.31336919329</v>
      </c>
      <c r="CS35" s="16">
        <f>+SUM('Monthly Energy Data'!DO332:DO343)</f>
        <v>446897.75601962878</v>
      </c>
      <c r="CT35" s="16">
        <f>+SUM('Monthly Energy Data'!DP332:DP343)</f>
        <v>446897.75601962878</v>
      </c>
      <c r="CU35" s="16">
        <f>+SUM('Monthly Energy Data'!DQ332:DQ343)</f>
        <v>446897.75601962878</v>
      </c>
      <c r="CV35" s="16">
        <f>+SUM('Monthly Energy Data'!DR332:DR343)</f>
        <v>448876.60497515008</v>
      </c>
      <c r="CW35" s="16">
        <f>+SUM('Monthly Energy Data'!DS332:DS343)</f>
        <v>459285.10604564002</v>
      </c>
      <c r="CX35" s="16">
        <f>+SUM('Monthly Energy Data'!DT332:DT343)</f>
        <v>356854.13651364681</v>
      </c>
      <c r="CY35" s="16">
        <f>+SUM('Monthly Energy Data'!DU332:DU343)</f>
        <v>446897.75601962878</v>
      </c>
      <c r="CZ35" s="16">
        <f>+SUM('Monthly Energy Data'!DV332:DV343)</f>
        <v>446897.75601962878</v>
      </c>
      <c r="DA35" s="16">
        <f>+SUM('Monthly Energy Data'!DW332:DW343)</f>
        <v>446897.75601962878</v>
      </c>
      <c r="DB35" s="78"/>
      <c r="DC35" s="78"/>
      <c r="DD35" s="78"/>
      <c r="DE35" s="78"/>
      <c r="DF35" s="19">
        <f t="shared" si="4"/>
        <v>0.66080059636032307</v>
      </c>
      <c r="DG35" s="78"/>
      <c r="DH35" s="78"/>
      <c r="DI35" s="78"/>
      <c r="DJ35" s="78"/>
      <c r="DK35" s="135">
        <f t="shared" si="17"/>
        <v>459337.64216564002</v>
      </c>
      <c r="DL35" s="135">
        <f t="shared" si="18"/>
        <v>356906.67263364687</v>
      </c>
      <c r="DM35" s="135">
        <f t="shared" si="19"/>
        <v>448929.14109515015</v>
      </c>
      <c r="DN35" s="58">
        <f t="shared" si="5"/>
        <v>235705.77724919331</v>
      </c>
      <c r="DO35" s="68">
        <f t="shared" si="6"/>
        <v>0.34427951442967875</v>
      </c>
      <c r="DP35" s="68">
        <f t="shared" si="7"/>
        <v>0.33912381682231779</v>
      </c>
      <c r="DQ35" s="68">
        <f t="shared" si="8"/>
        <v>0.39774017116210181</v>
      </c>
      <c r="DR35" s="68"/>
      <c r="DS35" s="58">
        <f t="shared" si="16"/>
        <v>356906.67263364687</v>
      </c>
      <c r="DT35" s="58">
        <f t="shared" si="9"/>
        <v>235705.77724919331</v>
      </c>
      <c r="DU35" s="68">
        <f t="shared" si="10"/>
        <v>0.34427951442967875</v>
      </c>
      <c r="DV35" s="68">
        <f t="shared" si="11"/>
        <v>0.33912381682231779</v>
      </c>
      <c r="DW35" s="68">
        <f t="shared" si="12"/>
        <v>0.39774017116210181</v>
      </c>
      <c r="DX35" s="68">
        <f t="shared" si="3"/>
        <v>0.50531675355706918</v>
      </c>
      <c r="DZ35" s="68">
        <f t="shared" si="0"/>
        <v>0.33919940363967688</v>
      </c>
      <c r="EA35" s="68">
        <f t="shared" si="1"/>
        <v>0.39782882289395516</v>
      </c>
      <c r="EB35" s="68">
        <f t="shared" si="2"/>
        <v>0.34435625039302548</v>
      </c>
      <c r="EC35">
        <f>+EB35/DX35</f>
        <v>0.68146612588837263</v>
      </c>
      <c r="ED35" s="58" t="e">
        <f>+SUMIF('[1]Monthly Energy Data'!$D$200:$D$595,'[1]Annual Energy Data'!$A33,'[1]Monthly Energy Data'!$EK$200:$EK$595)</f>
        <v>#VALUE!</v>
      </c>
      <c r="EE35" s="58" t="e">
        <f>+SUMIF('[1]Monthly Energy Data'!$D$200:$D$595,'[1]Annual Energy Data'!$A33,'[1]Monthly Energy Data'!$EL$200:$EL$595)</f>
        <v>#VALUE!</v>
      </c>
      <c r="EF35" s="68" t="e">
        <f t="shared" si="13"/>
        <v>#VALUE!</v>
      </c>
      <c r="EG35" s="68" t="e">
        <f t="shared" si="14"/>
        <v>#VALUE!</v>
      </c>
      <c r="EH35" s="68" t="e">
        <f t="shared" si="15"/>
        <v>#VALUE!</v>
      </c>
      <c r="EO35" s="84"/>
      <c r="EP35" s="84"/>
    </row>
    <row r="36" spans="1:148" x14ac:dyDescent="0.2">
      <c r="A36" s="15">
        <f>+'Monthly Energy Data'!D344</f>
        <v>2036</v>
      </c>
      <c r="B36" s="16">
        <f>+SUM('Monthly Energy Data'!G344:G355)</f>
        <v>531645.46629679145</v>
      </c>
      <c r="C36" s="16">
        <f>+SUM('Monthly Energy Data'!H344:H355)</f>
        <v>531645.46629679145</v>
      </c>
      <c r="D36" s="16">
        <f>+SUM('Monthly Energy Data'!I344:I355)</f>
        <v>531645.46629679145</v>
      </c>
      <c r="E36" s="16">
        <f>+SUM('Monthly Energy Data'!J344:J355)</f>
        <v>66071.293874999988</v>
      </c>
      <c r="F36" s="16">
        <f>+SUM('Monthly Energy Data'!K344:K355)</f>
        <v>66071.293874999988</v>
      </c>
      <c r="G36" s="16">
        <f>+SUM('Monthly Energy Data'!L344:L355)</f>
        <v>66071.293874999988</v>
      </c>
      <c r="H36" s="16">
        <f>+SUM('Monthly Energy Data'!$M$344:$O$355)</f>
        <v>49405.241427301982</v>
      </c>
      <c r="I36" s="16">
        <f>+SUM('Monthly Energy Data'!P344:P355)</f>
        <v>450752.59999360086</v>
      </c>
      <c r="J36" s="16">
        <f>+SUM('Monthly Energy Data'!Q344:Q355)</f>
        <v>450752.59999360086</v>
      </c>
      <c r="K36" s="16">
        <f>+SUM('Monthly Energy Data'!R344:R355)</f>
        <v>450752.59999360086</v>
      </c>
      <c r="L36" s="16">
        <f>+SUM('Monthly Energy Data'!S344:S355)</f>
        <v>463165.5637878066</v>
      </c>
      <c r="M36" s="16">
        <f>+SUM('Monthly Energy Data'!T344:T355)</f>
        <v>463165.5637878066</v>
      </c>
      <c r="N36" s="16">
        <f>+SUM('Monthly Energy Data'!U344:U355)</f>
        <v>463165.5637878066</v>
      </c>
      <c r="O36" s="16">
        <f>+SUM('Monthly Energy Data'!V344:V355)</f>
        <v>450752.59999360086</v>
      </c>
      <c r="P36" s="16">
        <f>+SUM('Monthly Energy Data'!W344:W355)</f>
        <v>450752.59999360086</v>
      </c>
      <c r="Q36" s="16">
        <f>+SUM('Monthly Energy Data'!X344:X355)</f>
        <v>450752.59999360086</v>
      </c>
      <c r="R36" s="16">
        <f>+SUM('Monthly Energy Data'!Y344:Y355)</f>
        <v>232987.01612585809</v>
      </c>
      <c r="S36" s="16">
        <f>+SUM('Monthly Energy Data'!Z344:Z355)</f>
        <v>250809.87446320464</v>
      </c>
      <c r="T36" s="16">
        <f>+SUM('Monthly Energy Data'!AA344:AA355)</f>
        <v>143777.4627002487</v>
      </c>
      <c r="U36" s="16">
        <f>+'Tier 3 Data'!F31</f>
        <v>696152.57991366449</v>
      </c>
      <c r="V36" s="16">
        <f>+'Tier 3 Data'!G31</f>
        <v>713975.43825101119</v>
      </c>
      <c r="W36" s="16">
        <f>+'Tier 3 Data'!H31</f>
        <v>606943.02648805513</v>
      </c>
      <c r="X36" s="16">
        <f>+'Tier 3 Data'!I31</f>
        <v>661055.20211911167</v>
      </c>
      <c r="Y36" s="81"/>
      <c r="Z36" s="16">
        <f>+SUM('Monthly Energy Data'!AL344:AL355)</f>
        <v>0</v>
      </c>
      <c r="AA36" s="16">
        <f>+SUM('Monthly Energy Data'!AM344:AM355)</f>
        <v>0</v>
      </c>
      <c r="AB36" s="16">
        <f>+SUM('Monthly Energy Data'!AN344:AN355)</f>
        <v>0</v>
      </c>
      <c r="AC36" s="16">
        <f>+SUM('Monthly Energy Data'!AO344:AO355)</f>
        <v>0</v>
      </c>
      <c r="AD36" s="16">
        <f>+SUM('Monthly Energy Data'!AP344:AP355)</f>
        <v>0</v>
      </c>
      <c r="AE36" s="16">
        <f>+SUM('Monthly Energy Data'!AQ344:AQ355)</f>
        <v>0</v>
      </c>
      <c r="AF36" s="16">
        <f>+SUM('Monthly Energy Data'!AR344:AR355)</f>
        <v>0</v>
      </c>
      <c r="AG36" s="16">
        <f>+SUM('Monthly Energy Data'!AS344:AS355)</f>
        <v>0</v>
      </c>
      <c r="AH36" s="16">
        <f>+SUM('Monthly Energy Data'!AT344:AT355)</f>
        <v>40084.32</v>
      </c>
      <c r="AI36" s="16">
        <f>+SUM('Monthly Energy Data'!AU344:AU355)</f>
        <v>1269.2160000000001</v>
      </c>
      <c r="AJ36" s="16">
        <f>+SUM('Monthly Energy Data'!AV344:AV355)</f>
        <v>37813.129000000008</v>
      </c>
      <c r="AK36" s="16">
        <f>+SUM('Monthly Energy Data'!AW344:AW355)</f>
        <v>0</v>
      </c>
      <c r="AL36" s="16">
        <f>+SUM('Monthly Energy Data'!AX344:AX355)</f>
        <v>0</v>
      </c>
      <c r="AM36" s="16">
        <f>+SUM('Monthly Energy Data'!AY344:AY355)</f>
        <v>0</v>
      </c>
      <c r="AN36" s="16">
        <f>+SUM('Monthly Energy Data'!AZ344:AZ355)</f>
        <v>0</v>
      </c>
      <c r="AO36" s="16">
        <f>+SUM('Monthly Energy Data'!BA344:BA355)</f>
        <v>21326.281999999999</v>
      </c>
      <c r="AP36" s="16">
        <f>+SUM('Monthly Energy Data'!BB344:BB355)</f>
        <v>0</v>
      </c>
      <c r="AQ36" s="16">
        <f>+SUM('Monthly Energy Data'!BC344:BC355)</f>
        <v>4849.2384922314968</v>
      </c>
      <c r="AR36" s="16">
        <f>+SUM('Monthly Energy Data'!BD344:BD355)</f>
        <v>0</v>
      </c>
      <c r="AS36" s="16">
        <f>+SUM('Monthly Energy Data'!BE344:BE355)</f>
        <v>0</v>
      </c>
      <c r="AT36" s="16">
        <f>+SUM('Monthly Energy Data'!BF344:BF355)</f>
        <v>0</v>
      </c>
      <c r="AU36" s="16">
        <f>+SUM('Monthly Energy Data'!BG344:BG355)</f>
        <v>0</v>
      </c>
      <c r="AV36" s="16">
        <f>+SUM('Monthly Energy Data'!BH344:BH355)</f>
        <v>0</v>
      </c>
      <c r="AW36" s="16">
        <f>+SUM('Monthly Energy Data'!BI344:BI355)</f>
        <v>12950.954451026641</v>
      </c>
      <c r="AX36" s="16">
        <f>+SUM('Monthly Energy Data'!BJ344:BJ355)</f>
        <v>0</v>
      </c>
      <c r="AY36" s="16">
        <f>+SUM('Monthly Energy Data'!BK344:BK355)</f>
        <v>196.44595650000002</v>
      </c>
      <c r="AZ36" s="16">
        <f>+SUM('Monthly Energy Data'!BL344:BL355)</f>
        <v>0</v>
      </c>
      <c r="BA36" s="16">
        <f>+SUM('Monthly Energy Data'!BM344:BM355)</f>
        <v>0</v>
      </c>
      <c r="BB36" s="16">
        <f>+SUM('Monthly Energy Data'!BN344:BN355)</f>
        <v>190.23796440208542</v>
      </c>
      <c r="BC36" s="16">
        <f>+SUM('Monthly Energy Data'!BO344:BO355)</f>
        <v>2498.2506468000006</v>
      </c>
      <c r="BD36" s="16">
        <f>+SUM('Monthly Energy Data'!BP344:BP355)</f>
        <v>0</v>
      </c>
      <c r="BE36" s="16">
        <f>+SUM('Monthly Energy Data'!BQ344:BQ355)</f>
        <v>1428.6596062402407</v>
      </c>
      <c r="BF36" s="16">
        <f>+SUM('Monthly Energy Data'!BR344:BR355)</f>
        <v>1866.2339814459106</v>
      </c>
      <c r="BG36" s="16">
        <f>+SUM('Monthly Energy Data'!BS344:BS355)</f>
        <v>6754.1850875559885</v>
      </c>
      <c r="BH36" s="16">
        <f>+SUM('Monthly Energy Data'!BT344:BT355)</f>
        <v>2313.9841002188086</v>
      </c>
      <c r="BI36" s="16">
        <f>+SUM('Monthly Energy Data'!BU344:BU355)</f>
        <v>2538.4898218731983</v>
      </c>
      <c r="BJ36" s="16">
        <f>SUM('Monthly Energy Data'!BV$344:BX$355)</f>
        <v>34583.668999111367</v>
      </c>
      <c r="BK36" s="16">
        <f>+SUM('Monthly Energy Data'!BY344:BY355)</f>
        <v>0</v>
      </c>
      <c r="BL36" s="16">
        <f>+SUM('Monthly Energy Data'!BZ344:BZ355)</f>
        <v>0</v>
      </c>
      <c r="BM36" s="16">
        <f>+SUM('Monthly Energy Data'!CA344:CA355)</f>
        <v>0</v>
      </c>
      <c r="BN36" s="16">
        <f>+SUM('Monthly Energy Data'!CB344:CB355)</f>
        <v>0</v>
      </c>
      <c r="BO36" s="16">
        <f>+SUM('Monthly Energy Data'!CC344:CC355)</f>
        <v>0</v>
      </c>
      <c r="BP36" s="16">
        <f>+SUM('Monthly Energy Data'!CD344:CD355)</f>
        <v>52.536120000000011</v>
      </c>
      <c r="BQ36" s="16">
        <f>+SUM('Monthly Energy Data'!CE344:CE355)</f>
        <v>0</v>
      </c>
      <c r="BR36" s="16">
        <f>+SUM('Monthly Energy Data'!CF344:CF355)</f>
        <v>0</v>
      </c>
      <c r="BS36" s="16">
        <f>+SUM('Monthly Energy Data'!CG344:CG355)</f>
        <v>0</v>
      </c>
      <c r="BT36" s="16">
        <f>+SUM('Monthly Energy Data'!CH344:CH355)</f>
        <v>0</v>
      </c>
      <c r="BU36" s="16">
        <f>+SUM('Monthly Energy Data'!CI344:CI355)</f>
        <v>0</v>
      </c>
      <c r="BV36" s="16">
        <f>+SUM('Monthly Energy Data'!CJ344:CJ355)</f>
        <v>0</v>
      </c>
      <c r="BW36" s="16">
        <f>+SUM('Monthly Energy Data'!CK344:CK355)</f>
        <v>170715.83222740574</v>
      </c>
      <c r="BX36" s="16">
        <f>+SUM('Monthly Energy Data'!CL344:CL355)</f>
        <v>530846.64222939976</v>
      </c>
      <c r="BY36" s="16">
        <f>+SUM('Monthly Energy Data'!CM344:CM355)</f>
        <v>530846.64222939976</v>
      </c>
      <c r="BZ36" s="16">
        <f>+SUM('Monthly Energy Data'!CN344:CN355)</f>
        <v>530846.64222939976</v>
      </c>
      <c r="CA36" s="16">
        <f>+SUM('Monthly Energy Data'!CO344:CO355)</f>
        <v>525436.74768625887</v>
      </c>
      <c r="CB36" s="41">
        <f>+SUM('Monthly Energy Data'!CP344:CP355)</f>
        <v>543259.60602360545</v>
      </c>
      <c r="CC36" s="16">
        <f>+SUM('Monthly Energy Data'!CQ344:CQ355)</f>
        <v>436227.1942606495</v>
      </c>
      <c r="CD36" s="16">
        <f>+SUM('Monthly Energy Data'!CR344:CR355)</f>
        <v>530846.64222939976</v>
      </c>
      <c r="CE36" s="16">
        <f>+SUM('Monthly Energy Data'!CS344:CS355)</f>
        <v>530846.64222939976</v>
      </c>
      <c r="CF36" s="16">
        <f>+SUM('Monthly Energy Data'!CT344:CT355)</f>
        <v>530846.64222939976</v>
      </c>
      <c r="CG36" s="81"/>
      <c r="CH36" s="16">
        <f>+SUM('Monthly Energy Data'!DD344:DD355)</f>
        <v>0</v>
      </c>
      <c r="CI36" s="16">
        <f>+SUM('Monthly Energy Data'!DE344:DE355)</f>
        <v>0</v>
      </c>
      <c r="CJ36" s="16">
        <f>+SUM('Monthly Energy Data'!DF344:DF355)</f>
        <v>0</v>
      </c>
      <c r="CK36" s="16">
        <f>+SUM('Monthly Energy Data'!DG344:DG355)</f>
        <v>0</v>
      </c>
      <c r="CL36" s="16">
        <f>+SUM('Monthly Energy Data'!DH344:DH355)</f>
        <v>0</v>
      </c>
      <c r="CM36" s="16">
        <f>+SUM('Monthly Energy Data'!DI344:DI355)</f>
        <v>0</v>
      </c>
      <c r="CN36" s="16">
        <f>+SUM('Monthly Energy Data'!DJ344:DJ355)</f>
        <v>0</v>
      </c>
      <c r="CO36" s="16">
        <f>+SUM('Monthly Energy Data'!DK344:DK355)</f>
        <v>0</v>
      </c>
      <c r="CP36" s="16">
        <f>+SUM('Monthly Energy Data'!DL344:DL355)</f>
        <v>0</v>
      </c>
      <c r="CQ36" s="16">
        <f>+SUM('Monthly Energy Data'!DM344:DM355)</f>
        <v>0</v>
      </c>
      <c r="CR36" s="16">
        <f>+SUM('Monthly Energy Data'!DN344:DN355)</f>
        <v>170715.83222740574</v>
      </c>
      <c r="CS36" s="16">
        <f>+SUM('Monthly Energy Data'!DO344:DO355)</f>
        <v>530846.64222939976</v>
      </c>
      <c r="CT36" s="16">
        <f>+SUM('Monthly Energy Data'!DP344:DP355)</f>
        <v>530846.64222939976</v>
      </c>
      <c r="CU36" s="16">
        <f>+SUM('Monthly Energy Data'!DQ344:DQ355)</f>
        <v>530846.64222939976</v>
      </c>
      <c r="CV36" s="16">
        <f>+SUM('Monthly Energy Data'!DR344:DR355)</f>
        <v>525436.74768625887</v>
      </c>
      <c r="CW36" s="16">
        <f>+SUM('Monthly Energy Data'!DS344:DS355)</f>
        <v>543259.60602360545</v>
      </c>
      <c r="CX36" s="16">
        <f>+SUM('Monthly Energy Data'!DT344:DT355)</f>
        <v>436227.1942606495</v>
      </c>
      <c r="CY36" s="16">
        <f>+SUM('Monthly Energy Data'!DU344:DU355)</f>
        <v>530846.64222939976</v>
      </c>
      <c r="CZ36" s="16">
        <f>+SUM('Monthly Energy Data'!DV344:DV355)</f>
        <v>530846.64222939976</v>
      </c>
      <c r="DA36" s="16">
        <f>+SUM('Monthly Energy Data'!DW344:DW355)</f>
        <v>530846.64222939976</v>
      </c>
      <c r="DB36" s="78"/>
      <c r="DC36" s="78"/>
      <c r="DD36" s="78"/>
      <c r="DE36" s="78"/>
      <c r="DF36" s="19">
        <f t="shared" si="4"/>
        <v>0.76089397046262608</v>
      </c>
      <c r="DG36" s="78"/>
      <c r="DH36" s="78"/>
      <c r="DI36" s="78"/>
      <c r="DJ36" s="78"/>
      <c r="DK36" s="135">
        <f t="shared" si="17"/>
        <v>543312.14214360551</v>
      </c>
      <c r="DL36" s="135">
        <f t="shared" si="18"/>
        <v>436279.73038064939</v>
      </c>
      <c r="DM36" s="135">
        <f t="shared" si="19"/>
        <v>525489.28380625881</v>
      </c>
      <c r="DN36" s="58">
        <f t="shared" si="5"/>
        <v>170663.29610740574</v>
      </c>
      <c r="DO36" s="68">
        <f t="shared" si="6"/>
        <v>0.24515214197521334</v>
      </c>
      <c r="DP36" s="68">
        <f t="shared" si="7"/>
        <v>0.23903244700611945</v>
      </c>
      <c r="DQ36" s="68">
        <f t="shared" si="8"/>
        <v>0.28118503493633018</v>
      </c>
      <c r="DR36" s="68"/>
      <c r="DS36" s="58">
        <f t="shared" si="16"/>
        <v>436279.73038064939</v>
      </c>
      <c r="DT36" s="58">
        <f t="shared" si="9"/>
        <v>170663.29610740574</v>
      </c>
      <c r="DU36" s="68">
        <f t="shared" si="10"/>
        <v>0.24515214197521334</v>
      </c>
      <c r="DV36" s="68">
        <f t="shared" si="11"/>
        <v>0.23903244700611945</v>
      </c>
      <c r="DW36" s="68">
        <f t="shared" si="12"/>
        <v>0.28118503493633018</v>
      </c>
      <c r="DX36" s="68">
        <f t="shared" si="3"/>
        <v>0.36858489830564567</v>
      </c>
      <c r="DZ36" s="68">
        <f t="shared" si="0"/>
        <v>0.23910602953737389</v>
      </c>
      <c r="EA36" s="68">
        <f t="shared" si="1"/>
        <v>0.28127159350559816</v>
      </c>
      <c r="EB36" s="68">
        <f t="shared" si="2"/>
        <v>0.24522760836220359</v>
      </c>
      <c r="ED36" s="58" t="e">
        <f>+SUMIF('[1]Monthly Energy Data'!$D$200:$D$595,'[1]Annual Energy Data'!$A34,'[1]Monthly Energy Data'!$EK$200:$EK$595)</f>
        <v>#VALUE!</v>
      </c>
      <c r="EE36" s="58" t="e">
        <f>+SUMIF('[1]Monthly Energy Data'!$D$200:$D$595,'[1]Annual Energy Data'!$A34,'[1]Monthly Energy Data'!$EL$200:$EL$595)</f>
        <v>#VALUE!</v>
      </c>
      <c r="EF36" s="68" t="e">
        <f t="shared" si="13"/>
        <v>#VALUE!</v>
      </c>
      <c r="EG36" s="68" t="e">
        <f t="shared" si="14"/>
        <v>#VALUE!</v>
      </c>
      <c r="EH36" s="68" t="e">
        <f t="shared" si="15"/>
        <v>#VALUE!</v>
      </c>
      <c r="EO36" s="84"/>
      <c r="EP36" s="84"/>
    </row>
    <row r="37" spans="1:148" x14ac:dyDescent="0.2">
      <c r="A37" s="15">
        <f>+'Monthly Energy Data'!D356</f>
        <v>2037</v>
      </c>
      <c r="B37" s="16">
        <f>+SUM('Monthly Energy Data'!G356:G367)</f>
        <v>534014.66629679152</v>
      </c>
      <c r="C37" s="16">
        <f>+SUM('Monthly Energy Data'!H356:H367)</f>
        <v>534014.66629679152</v>
      </c>
      <c r="D37" s="16">
        <f>+SUM('Monthly Energy Data'!I356:I367)</f>
        <v>534014.66629679152</v>
      </c>
      <c r="E37" s="16">
        <f>+SUM('Monthly Energy Data'!J356:J367)</f>
        <v>71771.829000000056</v>
      </c>
      <c r="F37" s="16">
        <f>+SUM('Monthly Energy Data'!K356:K367)</f>
        <v>71771.829000000056</v>
      </c>
      <c r="G37" s="16">
        <f>+SUM('Monthly Energy Data'!L356:L367)</f>
        <v>71771.829000000056</v>
      </c>
      <c r="H37" s="16">
        <f>+SUM('Monthly Energy Data'!$M$356:$O$367)</f>
        <v>49516.994387669089</v>
      </c>
      <c r="I37" s="16">
        <f>+SUM('Monthly Energy Data'!P356:P367)</f>
        <v>447387.73898049071</v>
      </c>
      <c r="J37" s="16">
        <f>+SUM('Monthly Energy Data'!Q356:Q367)</f>
        <v>447387.73898049071</v>
      </c>
      <c r="K37" s="16">
        <f>+SUM('Monthly Energy Data'!R356:R367)</f>
        <v>447387.73898049071</v>
      </c>
      <c r="L37" s="16">
        <f>+SUM('Monthly Energy Data'!S356:S367)</f>
        <v>459775.08900650206</v>
      </c>
      <c r="M37" s="16">
        <f>+SUM('Monthly Energy Data'!T356:T367)</f>
        <v>459775.08900650206</v>
      </c>
      <c r="N37" s="16">
        <f>+SUM('Monthly Energy Data'!U356:U367)</f>
        <v>459775.08900650206</v>
      </c>
      <c r="O37" s="16">
        <f>+SUM('Monthly Energy Data'!V356:V367)</f>
        <v>447387.73898049071</v>
      </c>
      <c r="P37" s="16">
        <f>+SUM('Monthly Energy Data'!W356:W367)</f>
        <v>447387.73898049071</v>
      </c>
      <c r="Q37" s="16">
        <f>+SUM('Monthly Energy Data'!X356:X367)</f>
        <v>447387.73898049071</v>
      </c>
      <c r="R37" s="16">
        <f>+SUM('Monthly Energy Data'!Y356:Y367)</f>
        <v>245106.00930214711</v>
      </c>
      <c r="S37" s="16">
        <f>+SUM('Monthly Energy Data'!Z356:Z367)</f>
        <v>273366.21211488836</v>
      </c>
      <c r="T37" s="16">
        <f>+SUM('Monthly Energy Data'!AA356:AA367)</f>
        <v>160909.41399719671</v>
      </c>
      <c r="U37" s="16">
        <f>+'Tier 3 Data'!F32</f>
        <v>704881.09830864915</v>
      </c>
      <c r="V37" s="16">
        <f>+'Tier 3 Data'!G32</f>
        <v>733141.30112139042</v>
      </c>
      <c r="W37" s="16">
        <f>+'Tier 3 Data'!H32</f>
        <v>620684.50300369866</v>
      </c>
      <c r="X37" s="16">
        <f>+'Tier 3 Data'!I32</f>
        <v>676969.75413824874</v>
      </c>
      <c r="Y37" s="81"/>
      <c r="Z37" s="16">
        <f>+SUM('Monthly Energy Data'!AL356:AL367)</f>
        <v>0</v>
      </c>
      <c r="AA37" s="16">
        <f>+SUM('Monthly Energy Data'!AM356:AM367)</f>
        <v>0</v>
      </c>
      <c r="AB37" s="16">
        <f>+SUM('Monthly Energy Data'!AN356:AN367)</f>
        <v>0</v>
      </c>
      <c r="AC37" s="16">
        <f>+SUM('Monthly Energy Data'!AO356:AO367)</f>
        <v>0</v>
      </c>
      <c r="AD37" s="16">
        <f>+SUM('Monthly Energy Data'!AP356:AP367)</f>
        <v>0</v>
      </c>
      <c r="AE37" s="16">
        <f>+SUM('Monthly Energy Data'!AQ356:AQ367)</f>
        <v>0</v>
      </c>
      <c r="AF37" s="16">
        <f>+SUM('Monthly Energy Data'!AR356:AR367)</f>
        <v>0</v>
      </c>
      <c r="AG37" s="16">
        <f>+SUM('Monthly Energy Data'!AS356:AS367)</f>
        <v>0</v>
      </c>
      <c r="AH37" s="16">
        <f>+SUM('Monthly Energy Data'!AT356:AT367)</f>
        <v>39974.799999999996</v>
      </c>
      <c r="AI37" s="16">
        <f>+SUM('Monthly Energy Data'!AU356:AU367)</f>
        <v>1269.2160000000001</v>
      </c>
      <c r="AJ37" s="16">
        <f>+SUM('Monthly Energy Data'!AV356:AV367)</f>
        <v>37813.129000000008</v>
      </c>
      <c r="AK37" s="16">
        <f>+SUM('Monthly Energy Data'!AW356:AW367)</f>
        <v>0</v>
      </c>
      <c r="AL37" s="16">
        <f>+SUM('Monthly Energy Data'!AX356:AX367)</f>
        <v>0</v>
      </c>
      <c r="AM37" s="16">
        <f>+SUM('Monthly Energy Data'!AY356:AY367)</f>
        <v>0</v>
      </c>
      <c r="AN37" s="16">
        <f>+SUM('Monthly Energy Data'!AZ356:AZ367)</f>
        <v>0</v>
      </c>
      <c r="AO37" s="16">
        <f>+SUM('Monthly Energy Data'!BA356:BA367)</f>
        <v>21188.506000000001</v>
      </c>
      <c r="AP37" s="16">
        <f>+SUM('Monthly Energy Data'!BB356:BB367)</f>
        <v>0</v>
      </c>
      <c r="AQ37" s="16">
        <f>+SUM('Monthly Energy Data'!BC356:BC367)</f>
        <v>4570.2453254214033</v>
      </c>
      <c r="AR37" s="16">
        <f>+SUM('Monthly Energy Data'!BD356:BD367)</f>
        <v>0</v>
      </c>
      <c r="AS37" s="16">
        <f>+SUM('Monthly Energy Data'!BE356:BE367)</f>
        <v>0</v>
      </c>
      <c r="AT37" s="16">
        <f>+SUM('Monthly Energy Data'!BF356:BF367)</f>
        <v>0</v>
      </c>
      <c r="AU37" s="16">
        <f>+SUM('Monthly Energy Data'!BG356:BG367)</f>
        <v>0</v>
      </c>
      <c r="AV37" s="16">
        <f>+SUM('Monthly Energy Data'!BH356:BH367)</f>
        <v>0</v>
      </c>
      <c r="AW37" s="16">
        <f>+SUM('Monthly Energy Data'!BI356:BI367)</f>
        <v>12950.954451026637</v>
      </c>
      <c r="AX37" s="16">
        <f>+SUM('Monthly Energy Data'!BJ356:BJ367)</f>
        <v>0</v>
      </c>
      <c r="AY37" s="16">
        <f>+SUM('Monthly Energy Data'!BK356:BK367)</f>
        <v>196.44595650000002</v>
      </c>
      <c r="AZ37" s="16">
        <f>+SUM('Monthly Energy Data'!BL356:BL367)</f>
        <v>0</v>
      </c>
      <c r="BA37" s="16">
        <f>+SUM('Monthly Energy Data'!BM356:BM367)</f>
        <v>0</v>
      </c>
      <c r="BB37" s="16">
        <f>+SUM('Monthly Energy Data'!BN356:BN367)</f>
        <v>0</v>
      </c>
      <c r="BC37" s="16">
        <f>+SUM('Monthly Energy Data'!BO356:BO367)</f>
        <v>2498.2506468000006</v>
      </c>
      <c r="BD37" s="16">
        <f>+SUM('Monthly Energy Data'!BP356:BP367)</f>
        <v>0</v>
      </c>
      <c r="BE37" s="16">
        <f>+SUM('Monthly Energy Data'!BQ356:BQ367)</f>
        <v>1421.5163082090392</v>
      </c>
      <c r="BF37" s="16">
        <f>+SUM('Monthly Energy Data'!BR356:BR367)</f>
        <v>1856.9028115386809</v>
      </c>
      <c r="BG37" s="16">
        <f>+SUM('Monthly Energy Data'!BS356:BS367)</f>
        <v>6720.4141621182089</v>
      </c>
      <c r="BH37" s="16">
        <f>+SUM('Monthly Energy Data'!BT356:BT367)</f>
        <v>2302.4141797177153</v>
      </c>
      <c r="BI37" s="16">
        <f>+SUM('Monthly Energy Data'!BU356:BU367)</f>
        <v>2525.7973727638328</v>
      </c>
      <c r="BJ37" s="16">
        <f>SUM('Monthly Energy Data'!BV$356:BX$367)</f>
        <v>34661.896071368363</v>
      </c>
      <c r="BK37" s="16">
        <f>+SUM('Monthly Energy Data'!BY356:BY367)</f>
        <v>0</v>
      </c>
      <c r="BL37" s="16">
        <f>+SUM('Monthly Energy Data'!BZ356:BZ367)</f>
        <v>0</v>
      </c>
      <c r="BM37" s="16">
        <f>+SUM('Monthly Energy Data'!CA356:CA367)</f>
        <v>0</v>
      </c>
      <c r="BN37" s="16">
        <f>+SUM('Monthly Energy Data'!CB356:CB367)</f>
        <v>0</v>
      </c>
      <c r="BO37" s="16">
        <f>+SUM('Monthly Energy Data'!CC356:CC367)</f>
        <v>0</v>
      </c>
      <c r="BP37" s="16">
        <f>+SUM('Monthly Energy Data'!CD356:CD367)</f>
        <v>52.536120000000011</v>
      </c>
      <c r="BQ37" s="16">
        <f>+SUM('Monthly Energy Data'!CE356:CE367)</f>
        <v>0</v>
      </c>
      <c r="BR37" s="16">
        <f>+SUM('Monthly Energy Data'!CF356:CF367)</f>
        <v>0</v>
      </c>
      <c r="BS37" s="16">
        <f>+SUM('Monthly Energy Data'!CG356:CG367)</f>
        <v>0</v>
      </c>
      <c r="BT37" s="16">
        <f>+SUM('Monthly Energy Data'!CH356:CH367)</f>
        <v>0</v>
      </c>
      <c r="BU37" s="16">
        <f>+SUM('Monthly Energy Data'!CI356:CI367)</f>
        <v>0</v>
      </c>
      <c r="BV37" s="16">
        <f>+SUM('Monthly Energy Data'!CJ356:CJ367)</f>
        <v>0</v>
      </c>
      <c r="BW37" s="16">
        <f>+SUM('Monthly Energy Data'!CK356:CK367)</f>
        <v>170003.02440546386</v>
      </c>
      <c r="BX37" s="16">
        <f>+SUM('Monthly Energy Data'!CL356:CL367)</f>
        <v>550750.92668991524</v>
      </c>
      <c r="BY37" s="16">
        <f>+SUM('Monthly Energy Data'!CM356:CM367)</f>
        <v>550750.92668991524</v>
      </c>
      <c r="BZ37" s="16">
        <f>+SUM('Monthly Energy Data'!CN356:CN367)</f>
        <v>550750.92668991524</v>
      </c>
      <c r="CA37" s="16">
        <f>+SUM('Monthly Energy Data'!CO356:CO367)</f>
        <v>534878.07390318532</v>
      </c>
      <c r="CB37" s="41">
        <f>+SUM('Monthly Energy Data'!CP356:CP367)</f>
        <v>563138.27671592659</v>
      </c>
      <c r="CC37" s="16">
        <f>+SUM('Monthly Energy Data'!CQ356:CQ367)</f>
        <v>450681.47859823494</v>
      </c>
      <c r="CD37" s="16">
        <f>+SUM('Monthly Energy Data'!CR356:CR367)</f>
        <v>550750.92668991524</v>
      </c>
      <c r="CE37" s="16">
        <f>+SUM('Monthly Energy Data'!CS356:CS367)</f>
        <v>550750.92668991524</v>
      </c>
      <c r="CF37" s="16">
        <f>+SUM('Monthly Energy Data'!CT356:CT367)</f>
        <v>550750.92668991524</v>
      </c>
      <c r="CG37" s="81"/>
      <c r="CH37" s="16">
        <f>+SUM('Monthly Energy Data'!DD356:DD367)</f>
        <v>0</v>
      </c>
      <c r="CI37" s="16">
        <f>+SUM('Monthly Energy Data'!DE356:DE367)</f>
        <v>0</v>
      </c>
      <c r="CJ37" s="16">
        <f>+SUM('Monthly Energy Data'!DF356:DF367)</f>
        <v>0</v>
      </c>
      <c r="CK37" s="16">
        <f>+SUM('Monthly Energy Data'!DG356:DG367)</f>
        <v>0</v>
      </c>
      <c r="CL37" s="16">
        <f>+SUM('Monthly Energy Data'!DH356:DH367)</f>
        <v>0</v>
      </c>
      <c r="CM37" s="16">
        <f>+SUM('Monthly Energy Data'!DI356:DI367)</f>
        <v>0</v>
      </c>
      <c r="CN37" s="16">
        <f>+SUM('Monthly Energy Data'!DJ356:DJ367)</f>
        <v>0</v>
      </c>
      <c r="CO37" s="16">
        <f>+SUM('Monthly Energy Data'!DK356:DK367)</f>
        <v>0</v>
      </c>
      <c r="CP37" s="16">
        <f>+SUM('Monthly Energy Data'!DL356:DL367)</f>
        <v>0</v>
      </c>
      <c r="CQ37" s="16">
        <f>+SUM('Monthly Energy Data'!DM356:DM367)</f>
        <v>0</v>
      </c>
      <c r="CR37" s="16">
        <f>+SUM('Monthly Energy Data'!DN356:DN367)</f>
        <v>170003.02440546386</v>
      </c>
      <c r="CS37" s="16">
        <f>+SUM('Monthly Energy Data'!DO356:DO367)</f>
        <v>550750.92668991524</v>
      </c>
      <c r="CT37" s="16">
        <f>+SUM('Monthly Energy Data'!DP356:DP367)</f>
        <v>550750.92668991524</v>
      </c>
      <c r="CU37" s="16">
        <f>+SUM('Monthly Energy Data'!DQ356:DQ367)</f>
        <v>550750.92668991524</v>
      </c>
      <c r="CV37" s="16">
        <f>+SUM('Monthly Energy Data'!DR356:DR367)</f>
        <v>534878.07390318532</v>
      </c>
      <c r="CW37" s="16">
        <f>+SUM('Monthly Energy Data'!DS356:DS367)</f>
        <v>563138.27671592659</v>
      </c>
      <c r="CX37" s="16">
        <f>+SUM('Monthly Energy Data'!DT356:DT367)</f>
        <v>450681.47859823494</v>
      </c>
      <c r="CY37" s="16">
        <f>+SUM('Monthly Energy Data'!DU356:DU367)</f>
        <v>550750.92668991524</v>
      </c>
      <c r="CZ37" s="16">
        <f>+SUM('Monthly Energy Data'!DV356:DV367)</f>
        <v>550750.92668991524</v>
      </c>
      <c r="DA37" s="16">
        <f>+SUM('Monthly Energy Data'!DW356:DW367)</f>
        <v>550750.92668991524</v>
      </c>
      <c r="DB37" s="78"/>
      <c r="DC37" s="78"/>
      <c r="DD37" s="78"/>
      <c r="DE37" s="78"/>
      <c r="DF37" s="19">
        <f t="shared" si="4"/>
        <v>0.76811697261437539</v>
      </c>
      <c r="DG37" s="78"/>
      <c r="DH37" s="78"/>
      <c r="DI37" s="78"/>
      <c r="DJ37" s="78"/>
      <c r="DK37" s="135">
        <f t="shared" si="17"/>
        <v>563190.81283592654</v>
      </c>
      <c r="DL37" s="135">
        <f t="shared" si="18"/>
        <v>450734.01471823477</v>
      </c>
      <c r="DM37" s="135">
        <f t="shared" si="19"/>
        <v>534930.61002318526</v>
      </c>
      <c r="DN37" s="58">
        <f t="shared" si="5"/>
        <v>169950.48828546391</v>
      </c>
      <c r="DO37" s="68">
        <f t="shared" si="6"/>
        <v>0.24110518595725913</v>
      </c>
      <c r="DP37" s="68">
        <f t="shared" si="7"/>
        <v>0.23181136845723035</v>
      </c>
      <c r="DQ37" s="68">
        <f t="shared" si="8"/>
        <v>0.2738113928461513</v>
      </c>
      <c r="DR37" s="68"/>
      <c r="DS37" s="58">
        <f t="shared" si="16"/>
        <v>450734.01471823477</v>
      </c>
      <c r="DT37" s="58">
        <f t="shared" si="9"/>
        <v>169950.48828546391</v>
      </c>
      <c r="DU37" s="68">
        <f t="shared" si="10"/>
        <v>0.24110518595725913</v>
      </c>
      <c r="DV37" s="68">
        <f t="shared" si="11"/>
        <v>0.23181136845723035</v>
      </c>
      <c r="DW37" s="68">
        <f t="shared" si="12"/>
        <v>0.2738113928461513</v>
      </c>
      <c r="DX37" s="68">
        <f t="shared" si="3"/>
        <v>0.36975257788065963</v>
      </c>
      <c r="DZ37" s="68">
        <f t="shared" si="0"/>
        <v>0.23188302738562463</v>
      </c>
      <c r="EA37" s="68">
        <f t="shared" si="1"/>
        <v>0.27389603507540899</v>
      </c>
      <c r="EB37" s="68">
        <f t="shared" si="2"/>
        <v>0.24117971784657494</v>
      </c>
      <c r="ED37" s="58" t="e">
        <f>+SUMIF('[1]Monthly Energy Data'!$D$200:$D$595,'[1]Annual Energy Data'!$A35,'[1]Monthly Energy Data'!$EK$200:$EK$595)</f>
        <v>#VALUE!</v>
      </c>
      <c r="EE37" s="58" t="e">
        <f>+SUMIF('[1]Monthly Energy Data'!$D$200:$D$595,'[1]Annual Energy Data'!$A35,'[1]Monthly Energy Data'!$EL$200:$EL$595)</f>
        <v>#VALUE!</v>
      </c>
      <c r="EF37" s="68" t="e">
        <f t="shared" si="13"/>
        <v>#VALUE!</v>
      </c>
      <c r="EG37" s="68" t="e">
        <f t="shared" si="14"/>
        <v>#VALUE!</v>
      </c>
      <c r="EH37" s="68" t="e">
        <f t="shared" si="15"/>
        <v>#VALUE!</v>
      </c>
      <c r="EO37" s="84"/>
      <c r="EP37" s="84"/>
    </row>
    <row r="38" spans="1:148" x14ac:dyDescent="0.2">
      <c r="A38" s="15">
        <f>+'Monthly Energy Data'!D368</f>
        <v>2038</v>
      </c>
      <c r="B38" s="17">
        <f>+SUM('Monthly Energy Data'!G368:G379)</f>
        <v>536383.86629679147</v>
      </c>
      <c r="C38" s="17">
        <f>+SUM('Monthly Energy Data'!H368:H379)</f>
        <v>536383.86629679147</v>
      </c>
      <c r="D38" s="17">
        <f>+SUM('Monthly Energy Data'!I368:I379)</f>
        <v>536383.86629679147</v>
      </c>
      <c r="E38" s="17">
        <f>+SUM('Monthly Energy Data'!J368:J379)</f>
        <v>77483.307375000077</v>
      </c>
      <c r="F38" s="17">
        <f>+SUM('Monthly Energy Data'!K368:K379)</f>
        <v>77483.307375000077</v>
      </c>
      <c r="G38" s="17">
        <f>+SUM('Monthly Energy Data'!L368:L379)</f>
        <v>77483.307375000077</v>
      </c>
      <c r="H38" s="17">
        <f>+SUM('Monthly Energy Data'!$M$368:$O$379)</f>
        <v>49650.498834393067</v>
      </c>
      <c r="I38" s="17">
        <f>+SUM('Monthly Energy Data'!P368:P379)</f>
        <v>444005.40927147336</v>
      </c>
      <c r="J38" s="17">
        <f>+SUM('Monthly Energy Data'!Q368:Q379)</f>
        <v>444005.40927147336</v>
      </c>
      <c r="K38" s="17">
        <f>+SUM('Monthly Energy Data'!R368:R379)</f>
        <v>444005.40927147336</v>
      </c>
      <c r="L38" s="17">
        <f>+SUM('Monthly Energy Data'!S368:S379)</f>
        <v>456392.75929748471</v>
      </c>
      <c r="M38" s="17">
        <f>+SUM('Monthly Energy Data'!T368:T379)</f>
        <v>456392.75929748471</v>
      </c>
      <c r="N38" s="17">
        <f>+SUM('Monthly Energy Data'!U368:U379)</f>
        <v>456392.75929748471</v>
      </c>
      <c r="O38" s="17">
        <f>+SUM('Monthly Energy Data'!V368:V379)</f>
        <v>444005.40927147336</v>
      </c>
      <c r="P38" s="17">
        <f>+SUM('Monthly Energy Data'!W368:W379)</f>
        <v>444005.40927147336</v>
      </c>
      <c r="Q38" s="8">
        <f>+SUMIF('Monthly Energy Data'!$D31:$D594,'Annual Energy Data'!$A38,'Monthly Energy Data'!X31:X594)</f>
        <v>444005.40927147336</v>
      </c>
      <c r="R38" s="8">
        <f>+SUMIF('Monthly Energy Data'!$D31:$D594,'Annual Energy Data'!$A38,'Monthly Energy Data'!Y31:Y594)</f>
        <v>254937.91598406478</v>
      </c>
      <c r="S38" s="8">
        <f>+SUMIF('Monthly Energy Data'!$D31:$D594,'Annual Energy Data'!$A38,'Monthly Energy Data'!Z31:Z594)</f>
        <v>295135.43783505721</v>
      </c>
      <c r="T38" s="8">
        <f>+SUMIF('Monthly Energy Data'!$D31:$D594,'Annual Energy Data'!$A38,'Monthly Energy Data'!AA31:AA594)</f>
        <v>176857.17627612088</v>
      </c>
      <c r="U38" s="16">
        <f>+'Tier 3 Data'!F33</f>
        <v>711330.67528154957</v>
      </c>
      <c r="V38" s="16">
        <f>+'Tier 3 Data'!G33</f>
        <v>751528.19713254215</v>
      </c>
      <c r="W38" s="16">
        <f>+'Tier 3 Data'!H33</f>
        <v>633249.93557360559</v>
      </c>
      <c r="X38" s="16">
        <f>+'Tier 3 Data'!I33</f>
        <v>692389.06635307381</v>
      </c>
      <c r="Y38" s="82"/>
      <c r="Z38" s="17">
        <f>+SUM('Monthly Energy Data'!AL368:AL379)</f>
        <v>0</v>
      </c>
      <c r="AA38" s="17">
        <f>+SUM('Monthly Energy Data'!AM368:AM379)</f>
        <v>0</v>
      </c>
      <c r="AB38" s="17">
        <f>+SUM('Monthly Energy Data'!AN368:AN379)</f>
        <v>0</v>
      </c>
      <c r="AC38" s="17">
        <f>+SUM('Monthly Energy Data'!AO368:AO379)</f>
        <v>0</v>
      </c>
      <c r="AD38" s="17">
        <f>+SUM('Monthly Energy Data'!AP368:AP379)</f>
        <v>0</v>
      </c>
      <c r="AE38" s="17">
        <f>+SUM('Monthly Energy Data'!AQ368:AQ379)</f>
        <v>0</v>
      </c>
      <c r="AF38" s="17">
        <f>+SUM('Monthly Energy Data'!AR368:AR379)</f>
        <v>0</v>
      </c>
      <c r="AG38" s="17">
        <f>+SUM('Monthly Energy Data'!AS368:AS379)</f>
        <v>0</v>
      </c>
      <c r="AH38" s="17">
        <f>+SUM('Monthly Energy Data'!AT368:AT379)</f>
        <v>33294.079999999994</v>
      </c>
      <c r="AI38" s="17">
        <f>+SUM('Monthly Energy Data'!AU368:AU379)</f>
        <v>1269.2160000000001</v>
      </c>
      <c r="AJ38" s="17">
        <f>+SUM('Monthly Energy Data'!AV368:AV379)</f>
        <v>37813.129000000008</v>
      </c>
      <c r="AK38" s="17">
        <f>+SUM('Monthly Energy Data'!AW368:AW379)</f>
        <v>0</v>
      </c>
      <c r="AL38" s="17">
        <f>+SUM('Monthly Energy Data'!AX368:AX379)</f>
        <v>0</v>
      </c>
      <c r="AM38" s="17">
        <f>+SUM('Monthly Energy Data'!AY368:AY379)</f>
        <v>0</v>
      </c>
      <c r="AN38" s="17">
        <f>+SUM('Monthly Energy Data'!AZ368:AZ379)</f>
        <v>0</v>
      </c>
      <c r="AO38" s="17">
        <f>+SUM('Monthly Energy Data'!BA368:BA379)</f>
        <v>0</v>
      </c>
      <c r="AP38" s="17">
        <f>+SUM('Monthly Energy Data'!BB368:BB379)</f>
        <v>0</v>
      </c>
      <c r="AQ38" s="17">
        <f>+SUM('Monthly Energy Data'!BC368:BC379)</f>
        <v>3585.8310469468584</v>
      </c>
      <c r="AR38" s="17">
        <f>+SUM('Monthly Energy Data'!BD368:BD379)</f>
        <v>0</v>
      </c>
      <c r="AS38" s="17">
        <f>+SUM('Monthly Energy Data'!BE368:BE379)</f>
        <v>0</v>
      </c>
      <c r="AT38" s="17">
        <f>+SUM('Monthly Energy Data'!BF368:BF379)</f>
        <v>0</v>
      </c>
      <c r="AU38" s="17">
        <f>+SUM('Monthly Energy Data'!BG368:BG379)</f>
        <v>0</v>
      </c>
      <c r="AV38" s="17">
        <f>+SUM('Monthly Energy Data'!BH368:BH379)</f>
        <v>0</v>
      </c>
      <c r="AW38" s="17">
        <f>+SUM('Monthly Energy Data'!BI368:BI379)</f>
        <v>12842.399054065587</v>
      </c>
      <c r="AX38" s="17">
        <f>+SUM('Monthly Energy Data'!BJ368:BJ379)</f>
        <v>0</v>
      </c>
      <c r="AY38" s="17">
        <f>+SUM('Monthly Energy Data'!BK368:BK379)</f>
        <v>196.44595650000002</v>
      </c>
      <c r="AZ38" s="17">
        <f>+SUM('Monthly Energy Data'!BL368:BL379)</f>
        <v>0</v>
      </c>
      <c r="BA38" s="17">
        <f>+SUM('Monthly Energy Data'!BM368:BM379)</f>
        <v>0</v>
      </c>
      <c r="BB38" s="17">
        <f>+SUM('Monthly Energy Data'!BN368:BN379)</f>
        <v>0</v>
      </c>
      <c r="BC38" s="17">
        <f>+SUM('Monthly Energy Data'!BO368:BO379)</f>
        <v>2498.2506468000006</v>
      </c>
      <c r="BD38" s="17">
        <f>+SUM('Monthly Energy Data'!BP368:BP379)</f>
        <v>0</v>
      </c>
      <c r="BE38" s="17">
        <f>+SUM('Monthly Energy Data'!BQ368:BQ379)</f>
        <v>1414.408726667994</v>
      </c>
      <c r="BF38" s="17">
        <f>+SUM('Monthly Energy Data'!BR368:BR379)</f>
        <v>1847.6182974809872</v>
      </c>
      <c r="BG38" s="17">
        <f>+SUM('Monthly Energy Data'!BS368:BS379)</f>
        <v>6686.8120913076173</v>
      </c>
      <c r="BH38" s="17">
        <f>+SUM('Monthly Energy Data'!BT368:BT379)</f>
        <v>2290.9021088191262</v>
      </c>
      <c r="BI38" s="17">
        <f>+SUM('Monthly Energy Data'!BU368:BU379)</f>
        <v>2513.1683859000136</v>
      </c>
      <c r="BJ38" s="16">
        <f>SUM('Monthly Energy Data'!BV$368:BX$379)</f>
        <v>34755.34918407513</v>
      </c>
      <c r="BK38" s="17">
        <f>+SUM('Monthly Energy Data'!BY368:BY379)</f>
        <v>0</v>
      </c>
      <c r="BL38" s="17">
        <f>+SUM('Monthly Energy Data'!BZ368:BZ379)</f>
        <v>0</v>
      </c>
      <c r="BM38" s="17">
        <f>+SUM('Monthly Energy Data'!CA368:CA379)</f>
        <v>0</v>
      </c>
      <c r="BN38" s="17">
        <f>+SUM('Monthly Energy Data'!CB368:CB379)</f>
        <v>0</v>
      </c>
      <c r="BO38" s="17">
        <f>+SUM('Monthly Energy Data'!CC368:CC379)</f>
        <v>0</v>
      </c>
      <c r="BP38" s="17">
        <f>+SUM('Monthly Energy Data'!CD368:CD379)</f>
        <v>52.536120000000011</v>
      </c>
      <c r="BQ38" s="17">
        <f>+SUM('Monthly Energy Data'!CE368:CE379)</f>
        <v>0</v>
      </c>
      <c r="BR38" s="17">
        <f>+SUM('Monthly Energy Data'!CF368:CF379)</f>
        <v>0</v>
      </c>
      <c r="BS38" s="17">
        <f>+SUM('Monthly Energy Data'!CG368:CG379)</f>
        <v>0</v>
      </c>
      <c r="BT38" s="17">
        <f>+SUM('Monthly Energy Data'!CH368:CH379)</f>
        <v>0</v>
      </c>
      <c r="BU38" s="17">
        <f>+SUM('Monthly Energy Data'!CI368:CI379)</f>
        <v>0</v>
      </c>
      <c r="BV38" s="17">
        <f>+SUM('Monthly Energy Data'!CJ368:CJ379)</f>
        <v>0</v>
      </c>
      <c r="BW38" s="17">
        <f>+SUM('Monthly Energy Data'!CK368:CK379)</f>
        <v>141060.1466185633</v>
      </c>
      <c r="BX38" s="17">
        <f>+SUM('Monthly Energy Data'!CL368:CL379)</f>
        <v>557883.17863697489</v>
      </c>
      <c r="BY38" s="17">
        <f>+SUM('Monthly Energy Data'!CM368:CM379)</f>
        <v>598080.70048796746</v>
      </c>
      <c r="BZ38" s="17">
        <f>+SUM('Monthly Energy Data'!CN368:CN379)</f>
        <v>598080.70048796746</v>
      </c>
      <c r="CA38" s="17">
        <f>+SUM('Monthly Energy Data'!CO368:CO379)</f>
        <v>570270.52866298624</v>
      </c>
      <c r="CB38" s="42">
        <f>+SUM('Monthly Energy Data'!CP368:CP379)</f>
        <v>610468.0505139787</v>
      </c>
      <c r="CC38" s="17">
        <f>+SUM('Monthly Energy Data'!CQ368:CQ379)</f>
        <v>492189.78895504237</v>
      </c>
      <c r="CD38" s="17">
        <f>+SUM('Monthly Energy Data'!CR368:CR379)</f>
        <v>598080.70048796746</v>
      </c>
      <c r="CE38" s="17">
        <f>+SUM('Monthly Energy Data'!CS368:CS379)</f>
        <v>598080.70048796746</v>
      </c>
      <c r="CF38" s="17">
        <f>+SUM('Monthly Energy Data'!CT368:CT379)</f>
        <v>598080.70048796746</v>
      </c>
      <c r="CG38" s="82"/>
      <c r="CH38" s="17">
        <f>+SUM('Monthly Energy Data'!DD368:DD379)</f>
        <v>0</v>
      </c>
      <c r="CI38" s="17">
        <f>+SUM('Monthly Energy Data'!DE368:DE379)</f>
        <v>0</v>
      </c>
      <c r="CJ38" s="17">
        <f>+SUM('Monthly Energy Data'!DF368:DF379)</f>
        <v>0</v>
      </c>
      <c r="CK38" s="17">
        <f>+SUM('Monthly Energy Data'!DG368:DG379)</f>
        <v>0</v>
      </c>
      <c r="CL38" s="17">
        <f>+SUM('Monthly Energy Data'!DH368:DH379)</f>
        <v>0</v>
      </c>
      <c r="CM38" s="17">
        <f>+SUM('Monthly Energy Data'!DI368:DI379)</f>
        <v>0</v>
      </c>
      <c r="CN38" s="17">
        <f>+SUM('Monthly Energy Data'!DJ368:DJ379)</f>
        <v>0</v>
      </c>
      <c r="CO38" s="17">
        <f>+SUM('Monthly Energy Data'!DK368:DK379)</f>
        <v>0</v>
      </c>
      <c r="CP38" s="17">
        <f>+SUM('Monthly Energy Data'!DL368:DL379)</f>
        <v>0</v>
      </c>
      <c r="CQ38" s="17">
        <f>+SUM('Monthly Energy Data'!DM368:DM379)</f>
        <v>0</v>
      </c>
      <c r="CR38" s="17">
        <f>+SUM('Monthly Energy Data'!DN368:DN379)</f>
        <v>141060.1466185633</v>
      </c>
      <c r="CS38" s="17">
        <f>+SUM('Monthly Energy Data'!DO368:DO379)</f>
        <v>557883.17863697489</v>
      </c>
      <c r="CT38" s="17">
        <f>+SUM('Monthly Energy Data'!DP368:DP379)</f>
        <v>598080.70048796746</v>
      </c>
      <c r="CU38" s="17">
        <f>+SUM('Monthly Energy Data'!DQ368:DQ379)</f>
        <v>598080.70048796746</v>
      </c>
      <c r="CV38" s="17">
        <f>+SUM('Monthly Energy Data'!DR368:DR379)</f>
        <v>570270.52866298624</v>
      </c>
      <c r="CW38" s="17">
        <f>+SUM('Monthly Energy Data'!DS368:DS379)</f>
        <v>610468.0505139787</v>
      </c>
      <c r="CX38" s="17">
        <f>+SUM('Monthly Energy Data'!DT368:DT379)</f>
        <v>492189.78895504237</v>
      </c>
      <c r="CY38" s="17">
        <f>+SUM('Monthly Energy Data'!DU368:DU379)</f>
        <v>598080.70048796746</v>
      </c>
      <c r="CZ38" s="17">
        <f>+SUM('Monthly Energy Data'!DV368:DV379)</f>
        <v>598080.70048796746</v>
      </c>
      <c r="DA38" s="17">
        <f>+SUM('Monthly Energy Data'!DW368:DW379)</f>
        <v>598080.70048796746</v>
      </c>
      <c r="DB38" s="78"/>
      <c r="DC38" s="78"/>
      <c r="DD38" s="78"/>
      <c r="DE38" s="78"/>
      <c r="DF38" s="19">
        <f t="shared" si="4"/>
        <v>0.81230225671268386</v>
      </c>
      <c r="DG38" s="78"/>
      <c r="DH38" s="78"/>
      <c r="DI38" s="78"/>
      <c r="DJ38" s="78"/>
      <c r="DK38" s="135">
        <f t="shared" si="17"/>
        <v>610520.58663397888</v>
      </c>
      <c r="DL38" s="135">
        <f t="shared" si="18"/>
        <v>492242.32507504226</v>
      </c>
      <c r="DM38" s="135">
        <f t="shared" si="19"/>
        <v>570323.06478298618</v>
      </c>
      <c r="DN38" s="58">
        <f t="shared" si="5"/>
        <v>141007.61049856333</v>
      </c>
      <c r="DO38" s="68">
        <f t="shared" si="6"/>
        <v>0.19823074611923849</v>
      </c>
      <c r="DP38" s="68">
        <f t="shared" si="7"/>
        <v>0.18762783756694459</v>
      </c>
      <c r="DQ38" s="68">
        <f t="shared" si="8"/>
        <v>0.22267291724370553</v>
      </c>
      <c r="DR38" s="68"/>
      <c r="DS38" s="58">
        <f t="shared" si="16"/>
        <v>492242.32507504226</v>
      </c>
      <c r="DT38" s="58">
        <f t="shared" si="9"/>
        <v>141007.61049856333</v>
      </c>
      <c r="DU38" s="68">
        <f t="shared" si="10"/>
        <v>0.19823074611923849</v>
      </c>
      <c r="DV38" s="68">
        <f t="shared" si="11"/>
        <v>0.18762783756694459</v>
      </c>
      <c r="DW38" s="68">
        <f t="shared" si="12"/>
        <v>0.22267291724370553</v>
      </c>
      <c r="DX38" s="68">
        <f t="shared" si="3"/>
        <v>0.3090762150470881</v>
      </c>
      <c r="DZ38" s="68">
        <f t="shared" si="0"/>
        <v>0.187697743287316</v>
      </c>
      <c r="EA38" s="68">
        <f t="shared" si="1"/>
        <v>0.22275587993670981</v>
      </c>
      <c r="EB38" s="68">
        <f t="shared" si="2"/>
        <v>0.19830460223401827</v>
      </c>
      <c r="ED38" s="58" t="e">
        <f>+SUMIF('[1]Monthly Energy Data'!$D$200:$D$595,'[1]Annual Energy Data'!$A36,'[1]Monthly Energy Data'!$EK$200:$EK$595)</f>
        <v>#VALUE!</v>
      </c>
      <c r="EE38" s="58" t="e">
        <f>+SUMIF('[1]Monthly Energy Data'!$D$200:$D$595,'[1]Annual Energy Data'!$A36,'[1]Monthly Energy Data'!$EL$200:$EL$595)</f>
        <v>#VALUE!</v>
      </c>
      <c r="EF38" s="68" t="e">
        <f t="shared" si="13"/>
        <v>#VALUE!</v>
      </c>
      <c r="EG38" s="68" t="e">
        <f t="shared" si="14"/>
        <v>#VALUE!</v>
      </c>
      <c r="EH38" s="68" t="e">
        <f t="shared" si="15"/>
        <v>#VALUE!</v>
      </c>
      <c r="EO38" s="84"/>
      <c r="EP38" s="84"/>
    </row>
    <row r="39" spans="1:148" x14ac:dyDescent="0.2">
      <c r="A39" s="15">
        <f>+'Monthly Energy Data'!D380</f>
        <v>2039</v>
      </c>
      <c r="B39" s="8">
        <f>+SUMIF('Monthly Energy Data'!$D32:$D595,'Annual Energy Data'!$A39,'Monthly Energy Data'!G32:G595)</f>
        <v>538753.06629679142</v>
      </c>
      <c r="C39" s="8">
        <f>+SUMIF('Monthly Energy Data'!$D32:$D595,'Annual Energy Data'!$A39,'Monthly Energy Data'!H32:H595)</f>
        <v>538753.06629679142</v>
      </c>
      <c r="D39" s="8">
        <f>+SUMIF('Monthly Energy Data'!$D32:$D595,'Annual Energy Data'!$A39,'Monthly Energy Data'!I32:I595)</f>
        <v>538753.06629679142</v>
      </c>
      <c r="E39" s="8">
        <f>+SUMIF('Monthly Energy Data'!$D32:$D595,'Annual Energy Data'!$A39,'Monthly Energy Data'!J32:J595)</f>
        <v>83169.308625000005</v>
      </c>
      <c r="F39" s="8">
        <f>+SUMIF('Monthly Energy Data'!$D32:$D595,'Annual Energy Data'!$A39,'Monthly Energy Data'!K32:K595)</f>
        <v>83169.308625000005</v>
      </c>
      <c r="G39" s="8">
        <f>+SUMIF('Monthly Energy Data'!$D32:$D595,'Annual Energy Data'!$A39,'Monthly Energy Data'!L32:L595)</f>
        <v>83169.308625000005</v>
      </c>
      <c r="H39" s="8">
        <f>+SUMIF('Monthly Energy Data'!$D32:$D595,'Annual Energy Data'!$A39,'Monthly Energy Data'!M32:O595)</f>
        <v>13094.50855222805</v>
      </c>
      <c r="I39" s="8">
        <f>+SUMIF('Monthly Energy Data'!$D32:$D595,'Annual Energy Data'!$A39,'Monthly Energy Data'!P32:P595)</f>
        <v>440635.31590522564</v>
      </c>
      <c r="J39" s="8">
        <f>+SUMIF('Monthly Energy Data'!$D32:$D595,'Annual Energy Data'!$A39,'Monthly Energy Data'!Q32:Q595)</f>
        <v>440635.31590522564</v>
      </c>
      <c r="K39" s="8">
        <f>+SUMIF('Monthly Energy Data'!$D32:$D595,'Annual Energy Data'!$A39,'Monthly Energy Data'!R32:R595)</f>
        <v>440635.31590522564</v>
      </c>
      <c r="L39" s="8">
        <f>+SUMIF('Monthly Energy Data'!$D32:$D595,'Annual Energy Data'!$A39,'Monthly Energy Data'!S32:S595)</f>
        <v>453022.66593123681</v>
      </c>
      <c r="M39" s="8">
        <f>+SUMIF('Monthly Energy Data'!$D32:$D595,'Annual Energy Data'!$A39,'Monthly Energy Data'!T32:T595)</f>
        <v>453022.66593123681</v>
      </c>
      <c r="N39" s="8">
        <f>+SUMIF('Monthly Energy Data'!$D32:$D595,'Annual Energy Data'!$A39,'Monthly Energy Data'!U32:U595)</f>
        <v>453022.66593123681</v>
      </c>
      <c r="O39" s="8">
        <f>+SUMIF('Monthly Energy Data'!$D32:$D595,'Annual Energy Data'!$A39,'Monthly Energy Data'!V32:V595)</f>
        <v>440635.31590522564</v>
      </c>
      <c r="P39" s="8">
        <f>+SUMIF('Monthly Energy Data'!$D32:$D595,'Annual Energy Data'!$A39,'Monthly Energy Data'!W32:W595)</f>
        <v>440635.31590522564</v>
      </c>
      <c r="Q39" s="8">
        <f>+SUMIF('Monthly Energy Data'!$D32:$D595,'Annual Energy Data'!$A39,'Monthly Energy Data'!X32:X595)</f>
        <v>440635.31590522564</v>
      </c>
      <c r="R39" s="8">
        <f>+SUMIF('Monthly Energy Data'!$D32:$D595,'Annual Energy Data'!$A39,'Monthly Energy Data'!Y32:Y595)</f>
        <v>263098.20002285502</v>
      </c>
      <c r="S39" s="8">
        <f>+SUMIF('Monthly Energy Data'!$D32:$D595,'Annual Energy Data'!$A39,'Monthly Energy Data'!Z32:Z595)</f>
        <v>315529.62265163829</v>
      </c>
      <c r="T39" s="8">
        <f>+SUMIF('Monthly Energy Data'!$D32:$D595,'Annual Energy Data'!$A39,'Monthly Energy Data'!AA32:AA595)</f>
        <v>191190.82502683406</v>
      </c>
      <c r="U39" s="16">
        <f>+'Tier 3 Data'!F34</f>
        <v>716120.86595409201</v>
      </c>
      <c r="V39" s="16">
        <f>+'Tier 3 Data'!G34</f>
        <v>768552.28858287516</v>
      </c>
      <c r="W39" s="16">
        <f>+'Tier 3 Data'!H34</f>
        <v>644213.49095807108</v>
      </c>
      <c r="X39" s="16">
        <f>+'Tier 3 Data'!I34</f>
        <v>706382.88977047312</v>
      </c>
      <c r="Y39" s="63"/>
      <c r="Z39" s="8">
        <f>+SUMIF('Monthly Energy Data'!$D32:$D595,'Annual Energy Data'!$A39,'Monthly Energy Data'!AL32:AL595)</f>
        <v>0</v>
      </c>
      <c r="AA39" s="8">
        <f>+SUMIF('Monthly Energy Data'!$D32:$D595,'Annual Energy Data'!$A39,'Monthly Energy Data'!AM32:AM595)</f>
        <v>0</v>
      </c>
      <c r="AB39" s="8">
        <f>+SUMIF('Monthly Energy Data'!$D32:$D595,'Annual Energy Data'!$A39,'Monthly Energy Data'!AN32:AN595)</f>
        <v>0</v>
      </c>
      <c r="AC39" s="8">
        <f>+SUMIF('Monthly Energy Data'!$D32:$D595,'Annual Energy Data'!$A39,'Monthly Energy Data'!AO32:AO595)</f>
        <v>0</v>
      </c>
      <c r="AD39" s="8">
        <f>+SUMIF('Monthly Energy Data'!$D32:$D595,'Annual Energy Data'!$A39,'Monthly Energy Data'!AP32:AP595)</f>
        <v>0</v>
      </c>
      <c r="AE39" s="8">
        <f>+SUMIF('Monthly Energy Data'!$D32:$D595,'Annual Energy Data'!$A39,'Monthly Energy Data'!AQ32:AQ595)</f>
        <v>0</v>
      </c>
      <c r="AF39" s="8">
        <f>+SUMIF('Monthly Energy Data'!$D32:$D595,'Annual Energy Data'!$A39,'Monthly Energy Data'!AR32:AR595)</f>
        <v>0</v>
      </c>
      <c r="AG39" s="8">
        <f>+SUMIF('Monthly Energy Data'!$D32:$D595,'Annual Energy Data'!$A39,'Monthly Energy Data'!AS32:AS595)</f>
        <v>0</v>
      </c>
      <c r="AH39" s="8">
        <f>+SUMIF('Monthly Energy Data'!$D32:$D595,'Annual Energy Data'!$A39,'Monthly Energy Data'!AT32:AT595)</f>
        <v>0</v>
      </c>
      <c r="AI39" s="8">
        <f>+SUMIF('Monthly Energy Data'!$D32:$D595,'Annual Energy Data'!$A39,'Monthly Energy Data'!AU32:AU595)</f>
        <v>1269.2160000000001</v>
      </c>
      <c r="AJ39" s="8">
        <f>+SUMIF('Monthly Energy Data'!$D32:$D595,'Annual Energy Data'!$A39,'Monthly Energy Data'!AV32:AV595)</f>
        <v>37813.129000000008</v>
      </c>
      <c r="AK39" s="8">
        <f>+SUMIF('Monthly Energy Data'!$D32:$D595,'Annual Energy Data'!$A39,'Monthly Energy Data'!AW32:AW595)</f>
        <v>0</v>
      </c>
      <c r="AL39" s="8">
        <f>+SUMIF('Monthly Energy Data'!$D32:$D595,'Annual Energy Data'!$A39,'Monthly Energy Data'!AX32:AX595)</f>
        <v>0</v>
      </c>
      <c r="AM39" s="8">
        <f>+SUMIF('Monthly Energy Data'!$D32:$D595,'Annual Energy Data'!$A39,'Monthly Energy Data'!AY32:AY595)</f>
        <v>0</v>
      </c>
      <c r="AN39" s="8">
        <f>+SUMIF('Monthly Energy Data'!$D32:$D595,'Annual Energy Data'!$A39,'Monthly Energy Data'!AZ32:AZ595)</f>
        <v>0</v>
      </c>
      <c r="AO39" s="8">
        <f>+SUMIF('Monthly Energy Data'!$D32:$D595,'Annual Energy Data'!$A39,'Monthly Energy Data'!BA32:BA595)</f>
        <v>0</v>
      </c>
      <c r="AP39" s="8">
        <f>+SUMIF('Monthly Energy Data'!$D32:$D595,'Annual Energy Data'!$A39,'Monthly Energy Data'!BB32:BB595)</f>
        <v>0</v>
      </c>
      <c r="AQ39" s="8">
        <f>+SUMIF('Monthly Energy Data'!$D32:$D595,'Annual Energy Data'!$A39,'Monthly Energy Data'!BC32:BC595)</f>
        <v>2181.3702860579301</v>
      </c>
      <c r="AR39" s="8">
        <f>+SUMIF('Monthly Energy Data'!$D32:$D595,'Annual Energy Data'!$A39,'Monthly Energy Data'!BD32:BD595)</f>
        <v>0</v>
      </c>
      <c r="AS39" s="8">
        <f>+SUMIF('Monthly Energy Data'!$D32:$D595,'Annual Energy Data'!$A39,'Monthly Energy Data'!BE32:BE595)</f>
        <v>0</v>
      </c>
      <c r="AT39" s="8">
        <f>+SUMIF('Monthly Energy Data'!$D32:$D595,'Annual Energy Data'!$A39,'Monthly Energy Data'!BF32:BF595)</f>
        <v>0</v>
      </c>
      <c r="AU39" s="8">
        <f>+SUMIF('Monthly Energy Data'!$D32:$D595,'Annual Energy Data'!$A39,'Monthly Energy Data'!BG32:BG595)</f>
        <v>0</v>
      </c>
      <c r="AV39" s="8">
        <f>+SUMIF('Monthly Energy Data'!$D32:$D595,'Annual Energy Data'!$A39,'Monthly Energy Data'!BH32:BH595)</f>
        <v>0</v>
      </c>
      <c r="AW39" s="8">
        <f>+SUMIF('Monthly Energy Data'!$D32:$D595,'Annual Energy Data'!$A39,'Monthly Energy Data'!BI32:BI595)</f>
        <v>12707.031188701087</v>
      </c>
      <c r="AX39" s="8">
        <f>+SUMIF('Monthly Energy Data'!$D32:$D595,'Annual Energy Data'!$A39,'Monthly Energy Data'!BJ32:BJ595)</f>
        <v>0</v>
      </c>
      <c r="AY39" s="8">
        <f>+SUMIF('Monthly Energy Data'!$D32:$D595,'Annual Energy Data'!$A39,'Monthly Energy Data'!BK32:BK595)</f>
        <v>196.44595650000002</v>
      </c>
      <c r="AZ39" s="8">
        <f>+SUMIF('Monthly Energy Data'!$D32:$D595,'Annual Energy Data'!$A39,'Monthly Energy Data'!BL32:BL595)</f>
        <v>0</v>
      </c>
      <c r="BA39" s="8">
        <f>+SUMIF('Monthly Energy Data'!$D32:$D595,'Annual Energy Data'!$A39,'Monthly Energy Data'!BM32:BM595)</f>
        <v>0</v>
      </c>
      <c r="BB39" s="8">
        <f>+SUMIF('Monthly Energy Data'!$D32:$D595,'Annual Energy Data'!$A39,'Monthly Energy Data'!BN32:BN595)</f>
        <v>0</v>
      </c>
      <c r="BC39" s="8">
        <f>+SUMIF('Monthly Energy Data'!$D32:$D595,'Annual Energy Data'!$A39,'Monthly Energy Data'!BO32:BO595)</f>
        <v>2498.2506468000006</v>
      </c>
      <c r="BD39" s="8">
        <f>+SUMIF('Monthly Energy Data'!$D32:$D595,'Annual Energy Data'!$A39,'Monthly Energy Data'!BP32:BP595)</f>
        <v>0</v>
      </c>
      <c r="BE39" s="8">
        <f>+SUMIF('Monthly Energy Data'!$D32:$D595,'Annual Energy Data'!$A39,'Monthly Energy Data'!BQ32:BQ595)</f>
        <v>1407.336683034654</v>
      </c>
      <c r="BF39" s="8">
        <f>+SUMIF('Monthly Energy Data'!$D32:$D595,'Annual Energy Data'!$A39,'Monthly Energy Data'!BR32:BR595)</f>
        <v>1838.3802059935824</v>
      </c>
      <c r="BG39" s="8">
        <f>+SUMIF('Monthly Energy Data'!$D32:$D595,'Annual Energy Data'!$A39,'Monthly Energy Data'!BS32:BS595)</f>
        <v>6653.3780308510795</v>
      </c>
      <c r="BH39" s="8">
        <f>+SUMIF('Monthly Energy Data'!$D32:$D595,'Annual Energy Data'!$A39,'Monthly Energy Data'!BT32:BT595)</f>
        <v>2279.4475982750305</v>
      </c>
      <c r="BI39" s="8">
        <f>+SUMIF('Monthly Energy Data'!$D32:$D595,'Annual Energy Data'!$A39,'Monthly Energy Data'!BU32:BU595)</f>
        <v>2500.6025439705131</v>
      </c>
      <c r="BJ39" s="16">
        <f>SUM('Monthly Energy Data'!BV$380:BX$391)</f>
        <v>34879.697455320158</v>
      </c>
      <c r="BK39" s="8">
        <f>+SUMIF('Monthly Energy Data'!$D32:$D595,'Annual Energy Data'!$A39,'Monthly Energy Data'!BY32:BY595)</f>
        <v>0</v>
      </c>
      <c r="BL39" s="8">
        <f>+SUMIF('Monthly Energy Data'!$D32:$D595,'Annual Energy Data'!$A39,'Monthly Energy Data'!BZ32:BZ595)</f>
        <v>0</v>
      </c>
      <c r="BM39" s="8">
        <f>+SUMIF('Monthly Energy Data'!$D32:$D595,'Annual Energy Data'!$A39,'Monthly Energy Data'!CA32:CA595)</f>
        <v>0</v>
      </c>
      <c r="BN39" s="8">
        <f>+SUMIF('Monthly Energy Data'!$D32:$D595,'Annual Energy Data'!$A39,'Monthly Energy Data'!CB32:CB595)</f>
        <v>0</v>
      </c>
      <c r="BO39" s="8">
        <f>+SUMIF('Monthly Energy Data'!$D32:$D595,'Annual Energy Data'!$A39,'Monthly Energy Data'!CC32:CC595)</f>
        <v>0</v>
      </c>
      <c r="BP39" s="8">
        <f>+SUMIF('Monthly Energy Data'!$D32:$D595,'Annual Energy Data'!$A39,'Monthly Energy Data'!CD32:CD595)</f>
        <v>0</v>
      </c>
      <c r="BQ39" s="8">
        <f>+SUMIF('Monthly Energy Data'!$D32:$D595,'Annual Energy Data'!$A39,'Monthly Energy Data'!CE32:CE595)</f>
        <v>0</v>
      </c>
      <c r="BR39" s="8">
        <f>+SUMIF('Monthly Energy Data'!$D32:$D595,'Annual Energy Data'!$A39,'Monthly Energy Data'!CF32:CF595)</f>
        <v>0</v>
      </c>
      <c r="BS39" s="8">
        <f>+SUMIF('Monthly Energy Data'!$D32:$D595,'Annual Energy Data'!$A39,'Monthly Energy Data'!CG32:CG595)</f>
        <v>0</v>
      </c>
      <c r="BT39" s="8">
        <f>+SUMIF('Monthly Energy Data'!$D32:$D595,'Annual Energy Data'!$A39,'Monthly Energy Data'!CH32:CH595)</f>
        <v>0</v>
      </c>
      <c r="BU39" s="8">
        <f>+SUMIF('Monthly Energy Data'!$D32:$D595,'Annual Energy Data'!$A39,'Monthly Energy Data'!CI32:CI595)</f>
        <v>0</v>
      </c>
      <c r="BV39" s="8">
        <f>+SUMIF('Monthly Energy Data'!$D32:$D595,'Annual Energy Data'!$A39,'Monthly Energy Data'!CJ32:CJ595)</f>
        <v>0</v>
      </c>
      <c r="BW39" s="8">
        <f>+SUMIF('Monthly Energy Data'!$D32:$D595,'Annual Energy Data'!$A39,'Monthly Energy Data'!CK32:CK595)</f>
        <v>106224.28559550403</v>
      </c>
      <c r="BX39" s="8">
        <f>+SUMIF('Monthly Energy Data'!$D32:$D595,'Annual Energy Data'!$A39,'Monthly Energy Data'!CL32:CL595)</f>
        <v>649940.65296135982</v>
      </c>
      <c r="BY39" s="8">
        <f>+SUMIF('Monthly Energy Data'!$D32:$D595,'Annual Energy Data'!$A39,'Monthly Energy Data'!CM32:CM595)</f>
        <v>649940.65296135982</v>
      </c>
      <c r="BZ39" s="8">
        <f>+SUMIF('Monthly Energy Data'!$D32:$D595,'Annual Energy Data'!$A39,'Monthly Energy Data'!CN32:CN595)</f>
        <v>649940.65296135982</v>
      </c>
      <c r="CA39" s="8">
        <f>+SUMIF('Monthly Energy Data'!$D32:$D595,'Annual Energy Data'!$A39,'Monthly Energy Data'!CO32:CO595)</f>
        <v>609896.5803585879</v>
      </c>
      <c r="CB39" s="8">
        <f>+SUMIF('Monthly Energy Data'!$D32:$D595,'Annual Energy Data'!$A39,'Monthly Energy Data'!CP32:CP595)</f>
        <v>662328.00298737118</v>
      </c>
      <c r="CC39" s="8">
        <f>+SUMIF('Monthly Energy Data'!$D32:$D595,'Annual Energy Data'!$A39,'Monthly Energy Data'!CQ32:CQ595)</f>
        <v>537989.2053625671</v>
      </c>
      <c r="CD39" s="8">
        <f>+SUMIF('Monthly Energy Data'!$D32:$D595,'Annual Energy Data'!$A39,'Monthly Energy Data'!CR32:CR595)</f>
        <v>649940.65296135982</v>
      </c>
      <c r="CE39" s="8">
        <f>+SUMIF('Monthly Energy Data'!$D32:$D595,'Annual Energy Data'!$A39,'Monthly Energy Data'!CS32:CS595)</f>
        <v>649940.65296135982</v>
      </c>
      <c r="CF39" s="8">
        <f>+SUMIF('Monthly Energy Data'!$D32:$D595,'Annual Energy Data'!$A39,'Monthly Energy Data'!CT32:CT595)</f>
        <v>649940.65296135982</v>
      </c>
      <c r="CG39" s="8"/>
      <c r="CH39" s="8">
        <f>+SUMIF('Monthly Energy Data'!$D32:$D595,'Annual Energy Data'!$A39,'Monthly Energy Data'!DD32:DD595)</f>
        <v>0</v>
      </c>
      <c r="CI39" s="8">
        <f>+SUMIF('Monthly Energy Data'!$D32:$D595,'Annual Energy Data'!$A39,'Monthly Energy Data'!DE32:DE595)</f>
        <v>0</v>
      </c>
      <c r="CJ39" s="8">
        <f>+SUMIF('Monthly Energy Data'!$D32:$D595,'Annual Energy Data'!$A39,'Monthly Energy Data'!DF32:DF595)</f>
        <v>0</v>
      </c>
      <c r="CK39" s="8">
        <f>+SUMIF('Monthly Energy Data'!$D32:$D595,'Annual Energy Data'!$A39,'Monthly Energy Data'!DG32:DG595)</f>
        <v>0</v>
      </c>
      <c r="CL39" s="8">
        <f>+SUMIF('Monthly Energy Data'!$D32:$D595,'Annual Energy Data'!$A39,'Monthly Energy Data'!DH32:DH595)</f>
        <v>0</v>
      </c>
      <c r="CM39" s="8">
        <f>+SUMIF('Monthly Energy Data'!$D32:$D595,'Annual Energy Data'!$A39,'Monthly Energy Data'!DI32:DI595)</f>
        <v>0</v>
      </c>
      <c r="CN39" s="8">
        <f>+SUMIF('Monthly Energy Data'!$D32:$D595,'Annual Energy Data'!$A39,'Monthly Energy Data'!DJ32:DJ595)</f>
        <v>0</v>
      </c>
      <c r="CO39" s="8">
        <f>+SUMIF('Monthly Energy Data'!$D32:$D595,'Annual Energy Data'!$A39,'Monthly Energy Data'!DK32:DK595)</f>
        <v>0</v>
      </c>
      <c r="CP39" s="8">
        <f>+SUMIF('Monthly Energy Data'!$D32:$D595,'Annual Energy Data'!$A39,'Monthly Energy Data'!DL32:DL595)</f>
        <v>0</v>
      </c>
      <c r="CQ39" s="8">
        <f>+SUMIF('Monthly Energy Data'!$D32:$D595,'Annual Energy Data'!$A39,'Monthly Energy Data'!DM32:DM595)</f>
        <v>0</v>
      </c>
      <c r="CR39" s="8">
        <f>+SUMIF('Monthly Energy Data'!$D32:$D595,'Annual Energy Data'!$A39,'Monthly Energy Data'!DN32:DN595)</f>
        <v>106224.28559550403</v>
      </c>
      <c r="CS39" s="8">
        <f>+SUMIF('Monthly Energy Data'!$D32:$D595,'Annual Energy Data'!$A39,'Monthly Energy Data'!DO32:DO595)</f>
        <v>649940.65296135982</v>
      </c>
      <c r="CT39" s="8">
        <f>+SUMIF('Monthly Energy Data'!$D32:$D595,'Annual Energy Data'!$A39,'Monthly Energy Data'!DP32:DP595)</f>
        <v>649940.65296135982</v>
      </c>
      <c r="CU39" s="8">
        <f>+SUMIF('Monthly Energy Data'!$D32:$D595,'Annual Energy Data'!$A39,'Monthly Energy Data'!DQ32:DQ595)</f>
        <v>649940.65296135982</v>
      </c>
      <c r="CV39" s="8">
        <f>+SUMIF('Monthly Energy Data'!$D32:$D595,'Annual Energy Data'!$A39,'Monthly Energy Data'!DR32:DR595)</f>
        <v>609896.5803585879</v>
      </c>
      <c r="CW39" s="8">
        <f>+SUMIF('Monthly Energy Data'!$D32:$D595,'Annual Energy Data'!$A39,'Monthly Energy Data'!DS32:DS595)</f>
        <v>662328.00298737118</v>
      </c>
      <c r="CX39" s="8">
        <f>+SUMIF('Monthly Energy Data'!$D32:$D595,'Annual Energy Data'!$A39,'Monthly Energy Data'!DT32:DT595)</f>
        <v>537989.2053625671</v>
      </c>
      <c r="CY39" s="8">
        <f>+SUMIF('Monthly Energy Data'!$D32:$D595,'Annual Energy Data'!$A39,'Monthly Energy Data'!DU32:DU595)</f>
        <v>649940.65296135982</v>
      </c>
      <c r="CZ39" s="8">
        <f>+SUMIF('Monthly Energy Data'!$D32:$D595,'Annual Energy Data'!$A39,'Monthly Energy Data'!DV32:DV595)</f>
        <v>649940.65296135982</v>
      </c>
      <c r="DA39" s="8">
        <f>+SUMIF('Monthly Energy Data'!$D32:$D595,'Annual Energy Data'!$A39,'Monthly Energy Data'!DW32:DW595)</f>
        <v>649940.65296135982</v>
      </c>
      <c r="DB39" s="78"/>
      <c r="DC39" s="78"/>
      <c r="DD39" s="78"/>
      <c r="DE39" s="78"/>
      <c r="DF39" s="19">
        <f t="shared" si="4"/>
        <v>0.86178652100383468</v>
      </c>
      <c r="DG39" s="78"/>
      <c r="DH39" s="78"/>
      <c r="DI39" s="78"/>
      <c r="DJ39" s="78"/>
      <c r="DK39" s="135">
        <f t="shared" si="17"/>
        <v>662328.00298737106</v>
      </c>
      <c r="DL39" s="135">
        <f t="shared" si="18"/>
        <v>537989.20536256698</v>
      </c>
      <c r="DM39" s="135">
        <f t="shared" si="19"/>
        <v>609896.5803585879</v>
      </c>
      <c r="DN39" s="58">
        <f t="shared" si="5"/>
        <v>106224.28559550404</v>
      </c>
      <c r="DO39" s="68">
        <f t="shared" si="6"/>
        <v>0.14833290111436817</v>
      </c>
      <c r="DP39" s="68">
        <f t="shared" si="7"/>
        <v>0.13821347899616537</v>
      </c>
      <c r="DQ39" s="68">
        <f t="shared" si="8"/>
        <v>0.16488988058528209</v>
      </c>
      <c r="DR39" s="68"/>
      <c r="DS39" s="58">
        <f t="shared" si="16"/>
        <v>537989.20536256698</v>
      </c>
      <c r="DT39" s="58">
        <f t="shared" si="9"/>
        <v>106224.28559550404</v>
      </c>
      <c r="DU39" s="68">
        <f t="shared" si="10"/>
        <v>0.14833290111436817</v>
      </c>
      <c r="DV39" s="68">
        <f t="shared" si="11"/>
        <v>0.13821347899616537</v>
      </c>
      <c r="DW39" s="68">
        <f t="shared" si="12"/>
        <v>0.16488988058528209</v>
      </c>
      <c r="DX39" s="68">
        <f t="shared" si="3"/>
        <v>0.23447896448436764</v>
      </c>
      <c r="DZ39" s="68">
        <f t="shared" si="0"/>
        <v>0.13821347899616535</v>
      </c>
      <c r="EA39" s="68">
        <f t="shared" si="1"/>
        <v>0.16488988058528206</v>
      </c>
      <c r="EB39" s="68">
        <f t="shared" si="2"/>
        <v>0.14833290111436817</v>
      </c>
      <c r="ED39" s="58" t="e">
        <f>+SUMIF('[1]Monthly Energy Data'!$D$200:$D$595,'[1]Annual Energy Data'!$A37,'[1]Monthly Energy Data'!$EK$200:$EK$595)</f>
        <v>#VALUE!</v>
      </c>
      <c r="EE39" s="58" t="e">
        <f>+SUMIF('[1]Monthly Energy Data'!$D$200:$D$595,'[1]Annual Energy Data'!$A37,'[1]Monthly Energy Data'!$EL$200:$EL$595)</f>
        <v>#VALUE!</v>
      </c>
      <c r="EF39" s="68" t="e">
        <f t="shared" si="13"/>
        <v>#VALUE!</v>
      </c>
      <c r="EG39" s="68" t="e">
        <f t="shared" si="14"/>
        <v>#VALUE!</v>
      </c>
      <c r="EH39" s="68" t="e">
        <f t="shared" si="15"/>
        <v>#VALUE!</v>
      </c>
      <c r="EO39" s="84"/>
      <c r="EP39" s="84"/>
    </row>
    <row r="40" spans="1:148" x14ac:dyDescent="0.2">
      <c r="A40" s="15">
        <f>+'Monthly Energy Data'!D392</f>
        <v>2040</v>
      </c>
      <c r="B40" s="8">
        <f>+SUMIF('Monthly Energy Data'!$D33:$D596,'Annual Energy Data'!$A40,'Monthly Energy Data'!G33:G596)</f>
        <v>541122.26629679149</v>
      </c>
      <c r="C40" s="8">
        <f>+SUMIF('Monthly Energy Data'!$D33:$D596,'Annual Energy Data'!$A40,'Monthly Energy Data'!H33:H596)</f>
        <v>541122.26629679149</v>
      </c>
      <c r="D40" s="8">
        <f>+SUMIF('Monthly Energy Data'!$D33:$D596,'Annual Energy Data'!$A40,'Monthly Energy Data'!I33:I596)</f>
        <v>541122.26629679149</v>
      </c>
      <c r="E40" s="8">
        <f>+SUMIF('Monthly Energy Data'!$D33:$D596,'Annual Energy Data'!$A40,'Monthly Energy Data'!J33:J596)</f>
        <v>88876.113750000019</v>
      </c>
      <c r="F40" s="8">
        <f>+SUMIF('Monthly Energy Data'!$D33:$D596,'Annual Energy Data'!$A40,'Monthly Energy Data'!K33:K596)</f>
        <v>88876.113750000019</v>
      </c>
      <c r="G40" s="8">
        <f>+SUMIF('Monthly Energy Data'!$D33:$D596,'Annual Energy Data'!$A40,'Monthly Energy Data'!L33:L596)</f>
        <v>88876.113750000019</v>
      </c>
      <c r="H40" s="8">
        <f>+SUMIF('Monthly Energy Data'!$D33:$D596,'Annual Energy Data'!$A40,'Monthly Energy Data'!M33:O596)</f>
        <v>13121.584537484916</v>
      </c>
      <c r="I40" s="8">
        <f>+SUMIF('Monthly Energy Data'!$D33:$D596,'Annual Energy Data'!$A40,'Monthly Energy Data'!P33:P596)</f>
        <v>437235.1119122798</v>
      </c>
      <c r="J40" s="8">
        <f>+SUMIF('Monthly Energy Data'!$D33:$D596,'Annual Energy Data'!$A40,'Monthly Energy Data'!Q33:Q596)</f>
        <v>437235.1119122798</v>
      </c>
      <c r="K40" s="8">
        <f>+SUMIF('Monthly Energy Data'!$D33:$D596,'Annual Energy Data'!$A40,'Monthly Energy Data'!R33:R596)</f>
        <v>437235.1119122798</v>
      </c>
      <c r="L40" s="8">
        <f>+SUMIF('Monthly Energy Data'!$D33:$D596,'Annual Energy Data'!$A40,'Monthly Energy Data'!S33:S596)</f>
        <v>449648.07570648537</v>
      </c>
      <c r="M40" s="8">
        <f>+SUMIF('Monthly Energy Data'!$D33:$D596,'Annual Energy Data'!$A40,'Monthly Energy Data'!T33:T596)</f>
        <v>449648.07570648537</v>
      </c>
      <c r="N40" s="8">
        <f>+SUMIF('Monthly Energy Data'!$D33:$D596,'Annual Energy Data'!$A40,'Monthly Energy Data'!U33:U596)</f>
        <v>449648.07570648537</v>
      </c>
      <c r="O40" s="8">
        <f>+SUMIF('Monthly Energy Data'!$D33:$D596,'Annual Energy Data'!$A40,'Monthly Energy Data'!V33:V596)</f>
        <v>437235.1119122798</v>
      </c>
      <c r="P40" s="8">
        <f>+SUMIF('Monthly Energy Data'!$D33:$D596,'Annual Energy Data'!$A40,'Monthly Energy Data'!W33:W596)</f>
        <v>437235.1119122798</v>
      </c>
      <c r="Q40" s="8">
        <f>+SUMIF('Monthly Energy Data'!$D33:$D596,'Annual Energy Data'!$A40,'Monthly Energy Data'!X33:X596)</f>
        <v>437235.1119122798</v>
      </c>
      <c r="R40" s="8">
        <f>+SUMIF('Monthly Energy Data'!$D33:$D596,'Annual Energy Data'!$A40,'Monthly Energy Data'!Y33:Y596)</f>
        <v>269972.56117795431</v>
      </c>
      <c r="S40" s="8">
        <f>+SUMIF('Monthly Energy Data'!$D33:$D596,'Annual Energy Data'!$A40,'Monthly Energy Data'!Z33:Z596)</f>
        <v>332939.57496099995</v>
      </c>
      <c r="T40" s="8">
        <f>+SUMIF('Monthly Energy Data'!$D33:$D596,'Annual Energy Data'!$A40,'Monthly Energy Data'!AA33:AA596)</f>
        <v>203689.64913111585</v>
      </c>
      <c r="U40" s="16">
        <f>+'Tier 3 Data'!F35</f>
        <v>719620.63688443974</v>
      </c>
      <c r="V40" s="16">
        <f>+'Tier 3 Data'!G35</f>
        <v>782587.65066748532</v>
      </c>
      <c r="W40" s="16">
        <f>+'Tier 3 Data'!H35</f>
        <v>653337.7248376013</v>
      </c>
      <c r="X40" s="16">
        <f>+'Tier 3 Data'!I35</f>
        <v>717962.68775254325</v>
      </c>
      <c r="Y40" s="63"/>
      <c r="Z40" s="8">
        <f>+SUMIF('Monthly Energy Data'!$D33:$D596,'Annual Energy Data'!$A40,'Monthly Energy Data'!AL33:AL596)</f>
        <v>0</v>
      </c>
      <c r="AA40" s="8">
        <f>+SUMIF('Monthly Energy Data'!$D33:$D596,'Annual Energy Data'!$A40,'Monthly Energy Data'!AM33:AM596)</f>
        <v>0</v>
      </c>
      <c r="AB40" s="8">
        <f>+SUMIF('Monthly Energy Data'!$D33:$D596,'Annual Energy Data'!$A40,'Monthly Energy Data'!AN33:AN596)</f>
        <v>0</v>
      </c>
      <c r="AC40" s="8">
        <f>+SUMIF('Monthly Energy Data'!$D33:$D596,'Annual Energy Data'!$A40,'Monthly Energy Data'!AO33:AO596)</f>
        <v>0</v>
      </c>
      <c r="AD40" s="8">
        <f>+SUMIF('Monthly Energy Data'!$D33:$D596,'Annual Energy Data'!$A40,'Monthly Energy Data'!AP33:AP596)</f>
        <v>0</v>
      </c>
      <c r="AE40" s="8">
        <f>+SUMIF('Monthly Energy Data'!$D33:$D596,'Annual Energy Data'!$A40,'Monthly Energy Data'!AQ33:AQ596)</f>
        <v>0</v>
      </c>
      <c r="AF40" s="8">
        <f>+SUMIF('Monthly Energy Data'!$D33:$D596,'Annual Energy Data'!$A40,'Monthly Energy Data'!AR33:AR596)</f>
        <v>0</v>
      </c>
      <c r="AG40" s="8">
        <f>+SUMIF('Monthly Energy Data'!$D33:$D596,'Annual Energy Data'!$A40,'Monthly Energy Data'!AS33:AS596)</f>
        <v>0</v>
      </c>
      <c r="AH40" s="8">
        <f>+SUMIF('Monthly Energy Data'!$D33:$D596,'Annual Energy Data'!$A40,'Monthly Energy Data'!AT33:AT596)</f>
        <v>0</v>
      </c>
      <c r="AI40" s="8">
        <f>+SUMIF('Monthly Energy Data'!$D33:$D596,'Annual Energy Data'!$A40,'Monthly Energy Data'!AU33:AU596)</f>
        <v>1269.2160000000001</v>
      </c>
      <c r="AJ40" s="8">
        <f>+SUMIF('Monthly Energy Data'!$D33:$D596,'Annual Energy Data'!$A40,'Monthly Energy Data'!AV33:AV596)</f>
        <v>37813.129000000008</v>
      </c>
      <c r="AK40" s="8">
        <f>+SUMIF('Monthly Energy Data'!$D33:$D596,'Annual Energy Data'!$A40,'Monthly Energy Data'!AW33:AW596)</f>
        <v>0</v>
      </c>
      <c r="AL40" s="8">
        <f>+SUMIF('Monthly Energy Data'!$D33:$D596,'Annual Energy Data'!$A40,'Monthly Energy Data'!AX33:AX596)</f>
        <v>0</v>
      </c>
      <c r="AM40" s="8">
        <f>+SUMIF('Monthly Energy Data'!$D33:$D596,'Annual Energy Data'!$A40,'Monthly Energy Data'!AY33:AY596)</f>
        <v>0</v>
      </c>
      <c r="AN40" s="8">
        <f>+SUMIF('Monthly Energy Data'!$D33:$D596,'Annual Energy Data'!$A40,'Monthly Energy Data'!AZ33:AZ596)</f>
        <v>0</v>
      </c>
      <c r="AO40" s="8">
        <f>+SUMIF('Monthly Energy Data'!$D33:$D596,'Annual Energy Data'!$A40,'Monthly Energy Data'!BA33:BA596)</f>
        <v>0</v>
      </c>
      <c r="AP40" s="8">
        <f>+SUMIF('Monthly Energy Data'!$D33:$D596,'Annual Energy Data'!$A40,'Monthly Energy Data'!BB33:BB596)</f>
        <v>0</v>
      </c>
      <c r="AQ40" s="8">
        <f>+SUMIF('Monthly Energy Data'!$D33:$D596,'Annual Energy Data'!$A40,'Monthly Energy Data'!BC33:BC596)</f>
        <v>172.54101843915163</v>
      </c>
      <c r="AR40" s="8">
        <f>+SUMIF('Monthly Energy Data'!$D33:$D596,'Annual Energy Data'!$A40,'Monthly Energy Data'!BD33:BD596)</f>
        <v>0</v>
      </c>
      <c r="AS40" s="8">
        <f>+SUMIF('Monthly Energy Data'!$D33:$D596,'Annual Energy Data'!$A40,'Monthly Energy Data'!BE33:BE596)</f>
        <v>0</v>
      </c>
      <c r="AT40" s="8">
        <f>+SUMIF('Monthly Energy Data'!$D33:$D596,'Annual Energy Data'!$A40,'Monthly Energy Data'!BF33:BF596)</f>
        <v>0</v>
      </c>
      <c r="AU40" s="8">
        <f>+SUMIF('Monthly Energy Data'!$D33:$D596,'Annual Energy Data'!$A40,'Monthly Energy Data'!BG33:BG596)</f>
        <v>0</v>
      </c>
      <c r="AV40" s="8">
        <f>+SUMIF('Monthly Energy Data'!$D33:$D596,'Annual Energy Data'!$A40,'Monthly Energy Data'!BH33:BH596)</f>
        <v>0</v>
      </c>
      <c r="AW40" s="8">
        <f>+SUMIF('Monthly Energy Data'!$D33:$D596,'Annual Energy Data'!$A40,'Monthly Energy Data'!BI33:BI596)</f>
        <v>12575.309133778064</v>
      </c>
      <c r="AX40" s="8">
        <f>+SUMIF('Monthly Energy Data'!$D33:$D596,'Annual Energy Data'!$A40,'Monthly Energy Data'!BJ33:BJ596)</f>
        <v>0</v>
      </c>
      <c r="AY40" s="8">
        <f>+SUMIF('Monthly Energy Data'!$D33:$D596,'Annual Energy Data'!$A40,'Monthly Energy Data'!BK33:BK596)</f>
        <v>196.44595650000002</v>
      </c>
      <c r="AZ40" s="8">
        <f>+SUMIF('Monthly Energy Data'!$D33:$D596,'Annual Energy Data'!$A40,'Monthly Energy Data'!BL33:BL596)</f>
        <v>0</v>
      </c>
      <c r="BA40" s="8">
        <f>+SUMIF('Monthly Energy Data'!$D33:$D596,'Annual Energy Data'!$A40,'Monthly Energy Data'!BM33:BM596)</f>
        <v>0</v>
      </c>
      <c r="BB40" s="8">
        <f>+SUMIF('Monthly Energy Data'!$D33:$D596,'Annual Energy Data'!$A40,'Monthly Energy Data'!BN33:BN596)</f>
        <v>0</v>
      </c>
      <c r="BC40" s="8">
        <f>+SUMIF('Monthly Energy Data'!$D33:$D596,'Annual Energy Data'!$A40,'Monthly Energy Data'!BO33:BO596)</f>
        <v>2395.8055187999998</v>
      </c>
      <c r="BD40" s="8">
        <f>+SUMIF('Monthly Energy Data'!$D33:$D596,'Annual Energy Data'!$A40,'Monthly Energy Data'!BP33:BP596)</f>
        <v>0</v>
      </c>
      <c r="BE40" s="8">
        <f>+SUMIF('Monthly Energy Data'!$D33:$D596,'Annual Energy Data'!$A40,'Monthly Energy Data'!BQ33:BQ596)</f>
        <v>1400.2999996194808</v>
      </c>
      <c r="BF40" s="8">
        <f>+SUMIF('Monthly Energy Data'!$D33:$D596,'Annual Energy Data'!$A40,'Monthly Energy Data'!BR33:BR596)</f>
        <v>1829.1883049636144</v>
      </c>
      <c r="BG40" s="8">
        <f>+SUMIF('Monthly Energy Data'!$D33:$D596,'Annual Energy Data'!$A40,'Monthly Energy Data'!BS33:BS596)</f>
        <v>6620.1111406968239</v>
      </c>
      <c r="BH40" s="8">
        <f>+SUMIF('Monthly Energy Data'!$D33:$D596,'Annual Energy Data'!$A40,'Monthly Energy Data'!BT33:BT596)</f>
        <v>2268.0503602836548</v>
      </c>
      <c r="BI40" s="8">
        <f>+SUMIF('Monthly Energy Data'!$D33:$D596,'Annual Energy Data'!$A40,'Monthly Energy Data'!BU33:BU596)</f>
        <v>2488.0995312506611</v>
      </c>
      <c r="BJ40" s="16">
        <f>SUM('Monthly Energy Data'!BV$392:BX$403)</f>
        <v>35025.761480527464</v>
      </c>
      <c r="BK40" s="8">
        <f>+SUMIF('Monthly Energy Data'!$D33:$D596,'Annual Energy Data'!$A40,'Monthly Energy Data'!BY33:BY596)</f>
        <v>0</v>
      </c>
      <c r="BL40" s="8">
        <f>+SUMIF('Monthly Energy Data'!$D33:$D596,'Annual Energy Data'!$A40,'Monthly Energy Data'!BZ33:BZ596)</f>
        <v>0</v>
      </c>
      <c r="BM40" s="8">
        <f>+SUMIF('Monthly Energy Data'!$D33:$D596,'Annual Energy Data'!$A40,'Monthly Energy Data'!CA33:CA596)</f>
        <v>0</v>
      </c>
      <c r="BN40" s="8">
        <f>+SUMIF('Monthly Energy Data'!$D33:$D596,'Annual Energy Data'!$A40,'Monthly Energy Data'!CB33:CB596)</f>
        <v>0</v>
      </c>
      <c r="BO40" s="8">
        <f>+SUMIF('Monthly Energy Data'!$D33:$D596,'Annual Energy Data'!$A40,'Monthly Energy Data'!CC33:CC596)</f>
        <v>0</v>
      </c>
      <c r="BP40" s="8">
        <f>+SUMIF('Monthly Energy Data'!$D33:$D596,'Annual Energy Data'!$A40,'Monthly Energy Data'!CD33:CD596)</f>
        <v>0</v>
      </c>
      <c r="BQ40" s="8">
        <f>+SUMIF('Monthly Energy Data'!$D33:$D596,'Annual Energy Data'!$A40,'Monthly Energy Data'!CE33:CE596)</f>
        <v>0</v>
      </c>
      <c r="BR40" s="8">
        <f>+SUMIF('Monthly Energy Data'!$D33:$D596,'Annual Energy Data'!$A40,'Monthly Energy Data'!CF33:CF596)</f>
        <v>0</v>
      </c>
      <c r="BS40" s="8">
        <f>+SUMIF('Monthly Energy Data'!$D33:$D596,'Annual Energy Data'!$A40,'Monthly Energy Data'!CG33:CG596)</f>
        <v>0</v>
      </c>
      <c r="BT40" s="8">
        <f>+SUMIF('Monthly Energy Data'!$D33:$D596,'Annual Energy Data'!$A40,'Monthly Energy Data'!CH33:CH596)</f>
        <v>0</v>
      </c>
      <c r="BU40" s="8">
        <f>+SUMIF('Monthly Energy Data'!$D33:$D596,'Annual Energy Data'!$A40,'Monthly Energy Data'!CI33:CI596)</f>
        <v>0</v>
      </c>
      <c r="BV40" s="8">
        <f>+SUMIF('Monthly Energy Data'!$D33:$D596,'Annual Energy Data'!$A40,'Monthly Energy Data'!CJ33:CJ596)</f>
        <v>0</v>
      </c>
      <c r="BW40" s="8">
        <f>+SUMIF('Monthly Energy Data'!$D33:$D596,'Annual Energy Data'!$A40,'Monthly Energy Data'!CK33:CK596)</f>
        <v>104053.95744485894</v>
      </c>
      <c r="BX40" s="8">
        <f>+SUMIF('Monthly Energy Data'!$D33:$D596,'Annual Energy Data'!$A40,'Monthly Energy Data'!CL33:CL596)</f>
        <v>666120.72942842077</v>
      </c>
      <c r="BY40" s="8">
        <f>+SUMIF('Monthly Energy Data'!$D33:$D596,'Annual Energy Data'!$A40,'Monthly Energy Data'!CM33:CM596)</f>
        <v>666120.72942842077</v>
      </c>
      <c r="BZ40" s="8">
        <f>+SUMIF('Monthly Energy Data'!$D33:$D596,'Annual Energy Data'!$A40,'Monthly Energy Data'!CN33:CN596)</f>
        <v>666120.72942842077</v>
      </c>
      <c r="CA40" s="8">
        <f>+SUMIF('Monthly Energy Data'!$D33:$D596,'Annual Energy Data'!$A40,'Monthly Energy Data'!CO33:CO596)</f>
        <v>615566.67943958077</v>
      </c>
      <c r="CB40" s="8">
        <f>+SUMIF('Monthly Energy Data'!$D33:$D596,'Annual Energy Data'!$A40,'Monthly Energy Data'!CP33:CP596)</f>
        <v>678533.69322262646</v>
      </c>
      <c r="CC40" s="8">
        <f>+SUMIF('Monthly Energy Data'!$D33:$D596,'Annual Energy Data'!$A40,'Monthly Energy Data'!CQ33:CQ596)</f>
        <v>549283.76739274233</v>
      </c>
      <c r="CD40" s="8">
        <f>+SUMIF('Monthly Energy Data'!$D33:$D596,'Annual Energy Data'!$A40,'Monthly Energy Data'!CR33:CR596)</f>
        <v>666120.72942842077</v>
      </c>
      <c r="CE40" s="8">
        <f>+SUMIF('Monthly Energy Data'!$D33:$D596,'Annual Energy Data'!$A40,'Monthly Energy Data'!CS33:CS596)</f>
        <v>666120.72942842077</v>
      </c>
      <c r="CF40" s="8">
        <f>+SUMIF('Monthly Energy Data'!$D33:$D596,'Annual Energy Data'!$A40,'Monthly Energy Data'!CT33:CT596)</f>
        <v>666120.72942842077</v>
      </c>
      <c r="CG40" s="8"/>
      <c r="CH40" s="8">
        <f>+SUMIF('Monthly Energy Data'!$D33:$D596,'Annual Energy Data'!$A40,'Monthly Energy Data'!DD33:DD596)</f>
        <v>0</v>
      </c>
      <c r="CI40" s="8">
        <f>+SUMIF('Monthly Energy Data'!$D33:$D596,'Annual Energy Data'!$A40,'Monthly Energy Data'!DE33:DE596)</f>
        <v>0</v>
      </c>
      <c r="CJ40" s="8">
        <f>+SUMIF('Monthly Energy Data'!$D33:$D596,'Annual Energy Data'!$A40,'Monthly Energy Data'!DF33:DF596)</f>
        <v>0</v>
      </c>
      <c r="CK40" s="8">
        <f>+SUMIF('Monthly Energy Data'!$D33:$D596,'Annual Energy Data'!$A40,'Monthly Energy Data'!DG33:DG596)</f>
        <v>0</v>
      </c>
      <c r="CL40" s="8">
        <f>+SUMIF('Monthly Energy Data'!$D33:$D596,'Annual Energy Data'!$A40,'Monthly Energy Data'!DH33:DH596)</f>
        <v>0</v>
      </c>
      <c r="CM40" s="8">
        <f>+SUMIF('Monthly Energy Data'!$D33:$D596,'Annual Energy Data'!$A40,'Monthly Energy Data'!DI33:DI596)</f>
        <v>0</v>
      </c>
      <c r="CN40" s="8">
        <f>+SUMIF('Monthly Energy Data'!$D33:$D596,'Annual Energy Data'!$A40,'Monthly Energy Data'!DJ33:DJ596)</f>
        <v>0</v>
      </c>
      <c r="CO40" s="8">
        <f>+SUMIF('Monthly Energy Data'!$D33:$D596,'Annual Energy Data'!$A40,'Monthly Energy Data'!DK33:DK596)</f>
        <v>0</v>
      </c>
      <c r="CP40" s="8">
        <f>+SUMIF('Monthly Energy Data'!$D33:$D596,'Annual Energy Data'!$A40,'Monthly Energy Data'!DL33:DL596)</f>
        <v>0</v>
      </c>
      <c r="CQ40" s="8">
        <f>+SUMIF('Monthly Energy Data'!$D33:$D596,'Annual Energy Data'!$A40,'Monthly Energy Data'!DM33:DM596)</f>
        <v>0</v>
      </c>
      <c r="CR40" s="8">
        <f>+SUMIF('Monthly Energy Data'!$D33:$D596,'Annual Energy Data'!$A40,'Monthly Energy Data'!DN33:DN596)</f>
        <v>104053.95744485894</v>
      </c>
      <c r="CS40" s="8">
        <f>+SUMIF('Monthly Energy Data'!$D33:$D596,'Annual Energy Data'!$A40,'Monthly Energy Data'!DO33:DO596)</f>
        <v>666120.72942842077</v>
      </c>
      <c r="CT40" s="8">
        <f>+SUMIF('Monthly Energy Data'!$D33:$D596,'Annual Energy Data'!$A40,'Monthly Energy Data'!DP33:DP596)</f>
        <v>666120.72942842077</v>
      </c>
      <c r="CU40" s="8">
        <f>+SUMIF('Monthly Energy Data'!$D33:$D596,'Annual Energy Data'!$A40,'Monthly Energy Data'!DQ33:DQ596)</f>
        <v>666120.72942842077</v>
      </c>
      <c r="CV40" s="8">
        <f>+SUMIF('Monthly Energy Data'!$D33:$D596,'Annual Energy Data'!$A40,'Monthly Energy Data'!DR33:DR596)</f>
        <v>615566.67943958077</v>
      </c>
      <c r="CW40" s="8">
        <f>+SUMIF('Monthly Energy Data'!$D33:$D596,'Annual Energy Data'!$A40,'Monthly Energy Data'!DS33:DS596)</f>
        <v>678533.69322262646</v>
      </c>
      <c r="CX40" s="8">
        <f>+SUMIF('Monthly Energy Data'!$D33:$D596,'Annual Energy Data'!$A40,'Monthly Energy Data'!DT33:DT596)</f>
        <v>549283.76739274233</v>
      </c>
      <c r="CY40" s="8">
        <f>+SUMIF('Monthly Energy Data'!$D33:$D596,'Annual Energy Data'!$A40,'Monthly Energy Data'!DU33:DU596)</f>
        <v>666120.72942842077</v>
      </c>
      <c r="CZ40" s="8">
        <f>+SUMIF('Monthly Energy Data'!$D33:$D596,'Annual Energy Data'!$A40,'Monthly Energy Data'!DV33:DV596)</f>
        <v>666120.72942842077</v>
      </c>
      <c r="DA40" s="8">
        <f>+SUMIF('Monthly Energy Data'!$D33:$D596,'Annual Energy Data'!$A40,'Monthly Energy Data'!DW33:DW596)</f>
        <v>666120.72942842077</v>
      </c>
      <c r="DB40" s="78"/>
      <c r="DC40" s="78"/>
      <c r="DD40" s="78"/>
      <c r="DE40" s="78"/>
      <c r="DF40" s="19">
        <f t="shared" si="4"/>
        <v>0.86703859004661132</v>
      </c>
      <c r="DG40" s="78"/>
      <c r="DH40" s="78"/>
      <c r="DI40" s="78"/>
      <c r="DJ40" s="78"/>
      <c r="DK40" s="135">
        <f t="shared" si="17"/>
        <v>678533.69322262635</v>
      </c>
      <c r="DL40" s="135">
        <f t="shared" si="18"/>
        <v>549283.76739274233</v>
      </c>
      <c r="DM40" s="135">
        <f t="shared" si="19"/>
        <v>615566.67943958077</v>
      </c>
      <c r="DN40" s="58">
        <f t="shared" si="5"/>
        <v>104053.95744485893</v>
      </c>
      <c r="DO40" s="68">
        <f t="shared" si="6"/>
        <v>0.14459557176591703</v>
      </c>
      <c r="DP40" s="68">
        <f t="shared" si="7"/>
        <v>0.13296140995338879</v>
      </c>
      <c r="DQ40" s="68">
        <f t="shared" si="8"/>
        <v>0.15926519086391863</v>
      </c>
      <c r="DR40" s="68"/>
      <c r="DS40" s="58">
        <f t="shared" si="16"/>
        <v>549283.76739274233</v>
      </c>
      <c r="DT40" s="58">
        <f t="shared" si="9"/>
        <v>104053.95744485893</v>
      </c>
      <c r="DU40" s="68">
        <f t="shared" si="10"/>
        <v>0.14459557176591703</v>
      </c>
      <c r="DV40" s="68">
        <f t="shared" si="11"/>
        <v>0.13296140995338879</v>
      </c>
      <c r="DW40" s="68">
        <f t="shared" si="12"/>
        <v>0.15926519086391863</v>
      </c>
      <c r="DX40" s="68">
        <f t="shared" si="3"/>
        <v>0.23141199321573822</v>
      </c>
      <c r="DZ40" s="68">
        <f t="shared" si="0"/>
        <v>0.13296140995338881</v>
      </c>
      <c r="EA40" s="68">
        <f t="shared" si="1"/>
        <v>0.15926519086391866</v>
      </c>
      <c r="EB40" s="68">
        <f t="shared" si="2"/>
        <v>0.14459557176591706</v>
      </c>
      <c r="ED40" s="58" t="e">
        <f>+SUMIF('[1]Monthly Energy Data'!$D$200:$D$595,'[1]Annual Energy Data'!$A38,'[1]Monthly Energy Data'!$EK$200:$EK$595)</f>
        <v>#VALUE!</v>
      </c>
      <c r="EE40" s="58" t="e">
        <f>+SUMIF('[1]Monthly Energy Data'!$D$200:$D$595,'[1]Annual Energy Data'!$A38,'[1]Monthly Energy Data'!$EL$200:$EL$595)</f>
        <v>#VALUE!</v>
      </c>
      <c r="EF40" s="68" t="e">
        <f t="shared" si="13"/>
        <v>#VALUE!</v>
      </c>
      <c r="EG40" s="68" t="e">
        <f t="shared" si="14"/>
        <v>#VALUE!</v>
      </c>
      <c r="EH40" s="68" t="e">
        <f t="shared" si="15"/>
        <v>#VALUE!</v>
      </c>
      <c r="EO40" s="84"/>
      <c r="EP40" s="84"/>
    </row>
    <row r="41" spans="1:148" x14ac:dyDescent="0.2">
      <c r="A41" s="15">
        <f>+'Monthly Energy Data'!D404</f>
        <v>2041</v>
      </c>
      <c r="B41" s="8">
        <f>+SUMIF('Monthly Energy Data'!$D34:$D597,'Annual Energy Data'!$A41,'Monthly Energy Data'!G34:G597)</f>
        <v>543491.46629679145</v>
      </c>
      <c r="C41" s="8">
        <f>+SUMIF('Monthly Energy Data'!$D34:$D597,'Annual Energy Data'!$A41,'Monthly Energy Data'!H34:H597)</f>
        <v>543491.46629679145</v>
      </c>
      <c r="D41" s="8">
        <f>+SUMIF('Monthly Energy Data'!$D34:$D597,'Annual Energy Data'!$A41,'Monthly Energy Data'!I34:I597)</f>
        <v>543491.46629679145</v>
      </c>
      <c r="E41" s="8">
        <f>+SUMIF('Monthly Energy Data'!$D34:$D597,'Annual Energy Data'!$A41,'Monthly Energy Data'!J34:J597)</f>
        <v>94610.838375000007</v>
      </c>
      <c r="F41" s="8">
        <f>+SUMIF('Monthly Energy Data'!$D34:$D597,'Annual Energy Data'!$A41,'Monthly Energy Data'!K34:K597)</f>
        <v>94610.838375000007</v>
      </c>
      <c r="G41" s="8">
        <f>+SUMIF('Monthly Energy Data'!$D34:$D597,'Annual Energy Data'!$A41,'Monthly Energy Data'!L34:L597)</f>
        <v>94610.838375000007</v>
      </c>
      <c r="H41" s="8">
        <f>+SUMIF('Monthly Energy Data'!$D34:$D597,'Annual Energy Data'!$A41,'Monthly Energy Data'!M34:O597)</f>
        <v>13094.50855222805</v>
      </c>
      <c r="I41" s="8">
        <f>+SUMIF('Monthly Energy Data'!$D34:$D597,'Annual Energy Data'!$A41,'Monthly Energy Data'!P34:P597)</f>
        <v>433853.75301301666</v>
      </c>
      <c r="J41" s="8">
        <f>+SUMIF('Monthly Energy Data'!$D34:$D597,'Annual Energy Data'!$A41,'Monthly Energy Data'!Q34:Q597)</f>
        <v>433853.75301301666</v>
      </c>
      <c r="K41" s="8">
        <f>+SUMIF('Monthly Energy Data'!$D34:$D597,'Annual Energy Data'!$A41,'Monthly Energy Data'!R34:R597)</f>
        <v>433853.75301301666</v>
      </c>
      <c r="L41" s="8">
        <f>+SUMIF('Monthly Energy Data'!$D34:$D597,'Annual Energy Data'!$A41,'Monthly Energy Data'!S34:S597)</f>
        <v>446241.10303902789</v>
      </c>
      <c r="M41" s="8">
        <f>+SUMIF('Monthly Energy Data'!$D34:$D597,'Annual Energy Data'!$A41,'Monthly Energy Data'!T34:T597)</f>
        <v>446241.10303902789</v>
      </c>
      <c r="N41" s="8">
        <f>+SUMIF('Monthly Energy Data'!$D34:$D597,'Annual Energy Data'!$A41,'Monthly Energy Data'!U34:U597)</f>
        <v>446241.10303902789</v>
      </c>
      <c r="O41" s="8">
        <f>+SUMIF('Monthly Energy Data'!$D34:$D597,'Annual Energy Data'!$A41,'Monthly Energy Data'!V34:V597)</f>
        <v>433853.75301301666</v>
      </c>
      <c r="P41" s="8">
        <f>+SUMIF('Monthly Energy Data'!$D34:$D597,'Annual Energy Data'!$A41,'Monthly Energy Data'!W34:W597)</f>
        <v>433853.75301301666</v>
      </c>
      <c r="Q41" s="8">
        <f>+SUMIF('Monthly Energy Data'!$D34:$D597,'Annual Energy Data'!$A41,'Monthly Energy Data'!X34:X597)</f>
        <v>433853.75301301666</v>
      </c>
      <c r="R41" s="8">
        <f>+SUMIF('Monthly Energy Data'!$D34:$D597,'Annual Energy Data'!$A41,'Monthly Energy Data'!Y34:Y597)</f>
        <v>275982.70000523265</v>
      </c>
      <c r="S41" s="8">
        <f>+SUMIF('Monthly Energy Data'!$D34:$D597,'Annual Energy Data'!$A41,'Monthly Energy Data'!Z34:Z597)</f>
        <v>347291.17595995328</v>
      </c>
      <c r="T41" s="8">
        <f>+SUMIF('Monthly Energy Data'!$D34:$D597,'Annual Energy Data'!$A41,'Monthly Energy Data'!AA34:AA597)</f>
        <v>214379.96274432936</v>
      </c>
      <c r="U41" s="16">
        <f>+'Tier 3 Data'!F36</f>
        <v>722223.80304426048</v>
      </c>
      <c r="V41" s="16">
        <f>+'Tier 3 Data'!G36</f>
        <v>793532.27899898123</v>
      </c>
      <c r="W41" s="16">
        <f>+'Tier 3 Data'!H36</f>
        <v>660621.06578335713</v>
      </c>
      <c r="X41" s="16">
        <f>+'Tier 3 Data'!I36</f>
        <v>727076.67239116912</v>
      </c>
      <c r="Y41" s="63"/>
      <c r="Z41" s="8">
        <f>+SUMIF('Monthly Energy Data'!$D34:$D597,'Annual Energy Data'!$A41,'Monthly Energy Data'!AL34:AL597)</f>
        <v>0</v>
      </c>
      <c r="AA41" s="8">
        <f>+SUMIF('Monthly Energy Data'!$D34:$D597,'Annual Energy Data'!$A41,'Monthly Energy Data'!AM34:AM597)</f>
        <v>0</v>
      </c>
      <c r="AB41" s="8">
        <f>+SUMIF('Monthly Energy Data'!$D34:$D597,'Annual Energy Data'!$A41,'Monthly Energy Data'!AN34:AN597)</f>
        <v>0</v>
      </c>
      <c r="AC41" s="8">
        <f>+SUMIF('Monthly Energy Data'!$D34:$D597,'Annual Energy Data'!$A41,'Monthly Energy Data'!AO34:AO597)</f>
        <v>0</v>
      </c>
      <c r="AD41" s="8">
        <f>+SUMIF('Monthly Energy Data'!$D34:$D597,'Annual Energy Data'!$A41,'Monthly Energy Data'!AP34:AP597)</f>
        <v>0</v>
      </c>
      <c r="AE41" s="8">
        <f>+SUMIF('Monthly Energy Data'!$D34:$D597,'Annual Energy Data'!$A41,'Monthly Energy Data'!AQ34:AQ597)</f>
        <v>0</v>
      </c>
      <c r="AF41" s="8">
        <f>+SUMIF('Monthly Energy Data'!$D34:$D597,'Annual Energy Data'!$A41,'Monthly Energy Data'!AR34:AR597)</f>
        <v>0</v>
      </c>
      <c r="AG41" s="8">
        <f>+SUMIF('Monthly Energy Data'!$D34:$D597,'Annual Energy Data'!$A41,'Monthly Energy Data'!AS34:AS597)</f>
        <v>0</v>
      </c>
      <c r="AH41" s="8">
        <f>+SUMIF('Monthly Energy Data'!$D34:$D597,'Annual Energy Data'!$A41,'Monthly Energy Data'!AT34:AT597)</f>
        <v>0</v>
      </c>
      <c r="AI41" s="8">
        <f>+SUMIF('Monthly Energy Data'!$D34:$D597,'Annual Energy Data'!$A41,'Monthly Energy Data'!AU34:AU597)</f>
        <v>1269.2160000000001</v>
      </c>
      <c r="AJ41" s="8">
        <f>+SUMIF('Monthly Energy Data'!$D34:$D597,'Annual Energy Data'!$A41,'Monthly Energy Data'!AV34:AV597)</f>
        <v>37813.129000000008</v>
      </c>
      <c r="AK41" s="8">
        <f>+SUMIF('Monthly Energy Data'!$D34:$D597,'Annual Energy Data'!$A41,'Monthly Energy Data'!AW34:AW597)</f>
        <v>0</v>
      </c>
      <c r="AL41" s="8">
        <f>+SUMIF('Monthly Energy Data'!$D34:$D597,'Annual Energy Data'!$A41,'Monthly Energy Data'!AX34:AX597)</f>
        <v>0</v>
      </c>
      <c r="AM41" s="8">
        <f>+SUMIF('Monthly Energy Data'!$D34:$D597,'Annual Energy Data'!$A41,'Monthly Energy Data'!AY34:AY597)</f>
        <v>0</v>
      </c>
      <c r="AN41" s="8">
        <f>+SUMIF('Monthly Energy Data'!$D34:$D597,'Annual Energy Data'!$A41,'Monthly Energy Data'!AZ34:AZ597)</f>
        <v>0</v>
      </c>
      <c r="AO41" s="8">
        <f>+SUMIF('Monthly Energy Data'!$D34:$D597,'Annual Energy Data'!$A41,'Monthly Energy Data'!BA34:BA597)</f>
        <v>0</v>
      </c>
      <c r="AP41" s="8">
        <f>+SUMIF('Monthly Energy Data'!$D34:$D597,'Annual Energy Data'!$A41,'Monthly Energy Data'!BB34:BB597)</f>
        <v>0</v>
      </c>
      <c r="AQ41" s="8">
        <f>+SUMIF('Monthly Energy Data'!$D34:$D597,'Annual Energy Data'!$A41,'Monthly Energy Data'!BC34:BC597)</f>
        <v>0</v>
      </c>
      <c r="AR41" s="8">
        <f>+SUMIF('Monthly Energy Data'!$D34:$D597,'Annual Energy Data'!$A41,'Monthly Energy Data'!BD34:BD597)</f>
        <v>0</v>
      </c>
      <c r="AS41" s="8">
        <f>+SUMIF('Monthly Energy Data'!$D34:$D597,'Annual Energy Data'!$A41,'Monthly Energy Data'!BE34:BE597)</f>
        <v>0</v>
      </c>
      <c r="AT41" s="8">
        <f>+SUMIF('Monthly Energy Data'!$D34:$D597,'Annual Energy Data'!$A41,'Monthly Energy Data'!BF34:BF597)</f>
        <v>0</v>
      </c>
      <c r="AU41" s="8">
        <f>+SUMIF('Monthly Energy Data'!$D34:$D597,'Annual Energy Data'!$A41,'Monthly Energy Data'!BG34:BG597)</f>
        <v>0</v>
      </c>
      <c r="AV41" s="8">
        <f>+SUMIF('Monthly Energy Data'!$D34:$D597,'Annual Energy Data'!$A41,'Monthly Energy Data'!BH34:BH597)</f>
        <v>0</v>
      </c>
      <c r="AW41" s="8">
        <f>+SUMIF('Monthly Energy Data'!$D34:$D597,'Annual Energy Data'!$A41,'Monthly Energy Data'!BI34:BI597)</f>
        <v>12166.500225994021</v>
      </c>
      <c r="AX41" s="8">
        <f>+SUMIF('Monthly Energy Data'!$D34:$D597,'Annual Energy Data'!$A41,'Monthly Energy Data'!BJ34:BJ597)</f>
        <v>0</v>
      </c>
      <c r="AY41" s="8">
        <f>+SUMIF('Monthly Energy Data'!$D34:$D597,'Annual Energy Data'!$A41,'Monthly Energy Data'!BK34:BK597)</f>
        <v>187.62606384805787</v>
      </c>
      <c r="AZ41" s="8">
        <f>+SUMIF('Monthly Energy Data'!$D34:$D597,'Annual Energy Data'!$A41,'Monthly Energy Data'!BL34:BL597)</f>
        <v>0</v>
      </c>
      <c r="BA41" s="8">
        <f>+SUMIF('Monthly Energy Data'!$D34:$D597,'Annual Energy Data'!$A41,'Monthly Energy Data'!BM34:BM597)</f>
        <v>0</v>
      </c>
      <c r="BB41" s="8">
        <f>+SUMIF('Monthly Energy Data'!$D34:$D597,'Annual Energy Data'!$A41,'Monthly Energy Data'!BN34:BN597)</f>
        <v>0</v>
      </c>
      <c r="BC41" s="8">
        <f>+SUMIF('Monthly Energy Data'!$D34:$D597,'Annual Energy Data'!$A41,'Monthly Energy Data'!BO34:BO597)</f>
        <v>1777.5157652999997</v>
      </c>
      <c r="BD41" s="8">
        <f>+SUMIF('Monthly Energy Data'!$D34:$D597,'Annual Energy Data'!$A41,'Monthly Energy Data'!BP34:BP597)</f>
        <v>0</v>
      </c>
      <c r="BE41" s="8">
        <f>+SUMIF('Monthly Energy Data'!$D34:$D597,'Annual Energy Data'!$A41,'Monthly Energy Data'!BQ34:BQ597)</f>
        <v>1393.2984996213834</v>
      </c>
      <c r="BF41" s="8">
        <f>+SUMIF('Monthly Energy Data'!$D34:$D597,'Annual Energy Data'!$A41,'Monthly Energy Data'!BR34:BR597)</f>
        <v>1820.0423634387967</v>
      </c>
      <c r="BG41" s="8">
        <f>+SUMIF('Monthly Energy Data'!$D34:$D597,'Annual Energy Data'!$A41,'Monthly Energy Data'!BS34:BS597)</f>
        <v>6587.0105849933398</v>
      </c>
      <c r="BH41" s="8">
        <f>+SUMIF('Monthly Energy Data'!$D34:$D597,'Annual Energy Data'!$A41,'Monthly Energy Data'!BT34:BT597)</f>
        <v>2256.7101084822366</v>
      </c>
      <c r="BI41" s="8">
        <f>+SUMIF('Monthly Energy Data'!$D34:$D597,'Annual Energy Data'!$A41,'Monthly Energy Data'!BU34:BU597)</f>
        <v>2475.6590335944074</v>
      </c>
      <c r="BJ41" s="16">
        <f>SUM('Monthly Energy Data'!BV$404:BX$415)</f>
        <v>35062.708120474766</v>
      </c>
      <c r="BK41" s="8">
        <f>+SUMIF('Monthly Energy Data'!$D34:$D597,'Annual Energy Data'!$A41,'Monthly Energy Data'!BY34:BY597)</f>
        <v>0</v>
      </c>
      <c r="BL41" s="8">
        <f>+SUMIF('Monthly Energy Data'!$D34:$D597,'Annual Energy Data'!$A41,'Monthly Energy Data'!BZ34:BZ597)</f>
        <v>0</v>
      </c>
      <c r="BM41" s="8">
        <f>+SUMIF('Monthly Energy Data'!$D34:$D597,'Annual Energy Data'!$A41,'Monthly Energy Data'!CA34:CA597)</f>
        <v>0</v>
      </c>
      <c r="BN41" s="8">
        <f>+SUMIF('Monthly Energy Data'!$D34:$D597,'Annual Energy Data'!$A41,'Monthly Energy Data'!CB34:CB597)</f>
        <v>0</v>
      </c>
      <c r="BO41" s="8">
        <f>+SUMIF('Monthly Energy Data'!$D34:$D597,'Annual Energy Data'!$A41,'Monthly Energy Data'!CC34:CC597)</f>
        <v>0</v>
      </c>
      <c r="BP41" s="8">
        <f>+SUMIF('Monthly Energy Data'!$D34:$D597,'Annual Energy Data'!$A41,'Monthly Energy Data'!CD34:CD597)</f>
        <v>0</v>
      </c>
      <c r="BQ41" s="8">
        <f>+SUMIF('Monthly Energy Data'!$D34:$D597,'Annual Energy Data'!$A41,'Monthly Energy Data'!CE34:CE597)</f>
        <v>0</v>
      </c>
      <c r="BR41" s="8">
        <f>+SUMIF('Monthly Energy Data'!$D34:$D597,'Annual Energy Data'!$A41,'Monthly Energy Data'!CF34:CF597)</f>
        <v>0</v>
      </c>
      <c r="BS41" s="8">
        <f>+SUMIF('Monthly Energy Data'!$D34:$D597,'Annual Energy Data'!$A41,'Monthly Energy Data'!CG34:CG597)</f>
        <v>0</v>
      </c>
      <c r="BT41" s="8">
        <f>+SUMIF('Monthly Energy Data'!$D34:$D597,'Annual Energy Data'!$A41,'Monthly Energy Data'!CH34:CH597)</f>
        <v>0</v>
      </c>
      <c r="BU41" s="8">
        <f>+SUMIF('Monthly Energy Data'!$D34:$D597,'Annual Energy Data'!$A41,'Monthly Energy Data'!CI34:CI597)</f>
        <v>0</v>
      </c>
      <c r="BV41" s="8">
        <f>+SUMIF('Monthly Energy Data'!$D34:$D597,'Annual Energy Data'!$A41,'Monthly Energy Data'!CJ34:CJ597)</f>
        <v>0</v>
      </c>
      <c r="BW41" s="8">
        <f>+SUMIF('Monthly Energy Data'!$D34:$D597,'Annual Energy Data'!$A41,'Monthly Energy Data'!CK34:CK597)</f>
        <v>102809.41576574699</v>
      </c>
      <c r="BX41" s="8">
        <f>+SUMIF('Monthly Energy Data'!$D34:$D597,'Annual Energy Data'!$A41,'Monthly Energy Data'!CL34:CL597)</f>
        <v>678335.51320722292</v>
      </c>
      <c r="BY41" s="8">
        <f>+SUMIF('Monthly Energy Data'!$D34:$D597,'Annual Energy Data'!$A41,'Monthly Energy Data'!CM34:CM597)</f>
        <v>678335.51320722292</v>
      </c>
      <c r="BZ41" s="8">
        <f>+SUMIF('Monthly Energy Data'!$D34:$D597,'Annual Energy Data'!$A41,'Monthly Energy Data'!CN34:CN597)</f>
        <v>678335.51320722292</v>
      </c>
      <c r="CA41" s="8">
        <f>+SUMIF('Monthly Energy Data'!$D34:$D597,'Annual Energy Data'!$A41,'Monthly Energy Data'!CO34:CO597)</f>
        <v>619414.38727851352</v>
      </c>
      <c r="CB41" s="8">
        <f>+SUMIF('Monthly Energy Data'!$D34:$D597,'Annual Energy Data'!$A41,'Monthly Energy Data'!CP34:CP597)</f>
        <v>690722.86323323427</v>
      </c>
      <c r="CC41" s="8">
        <f>+SUMIF('Monthly Energy Data'!$D34:$D597,'Annual Energy Data'!$A41,'Monthly Energy Data'!CQ34:CQ597)</f>
        <v>557811.65001761017</v>
      </c>
      <c r="CD41" s="8">
        <f>+SUMIF('Monthly Energy Data'!$D34:$D597,'Annual Energy Data'!$A41,'Monthly Energy Data'!CR34:CR597)</f>
        <v>678335.51320722292</v>
      </c>
      <c r="CE41" s="8">
        <f>+SUMIF('Monthly Energy Data'!$D34:$D597,'Annual Energy Data'!$A41,'Monthly Energy Data'!CS34:CS597)</f>
        <v>678335.51320722292</v>
      </c>
      <c r="CF41" s="8">
        <f>+SUMIF('Monthly Energy Data'!$D34:$D597,'Annual Energy Data'!$A41,'Monthly Energy Data'!CT34:CT597)</f>
        <v>678335.51320722292</v>
      </c>
      <c r="CG41" s="8"/>
      <c r="CH41" s="8">
        <f>+SUMIF('Monthly Energy Data'!$D34:$D597,'Annual Energy Data'!$A41,'Monthly Energy Data'!DD34:DD597)</f>
        <v>0</v>
      </c>
      <c r="CI41" s="8">
        <f>+SUMIF('Monthly Energy Data'!$D34:$D597,'Annual Energy Data'!$A41,'Monthly Energy Data'!DE34:DE597)</f>
        <v>0</v>
      </c>
      <c r="CJ41" s="8">
        <f>+SUMIF('Monthly Energy Data'!$D34:$D597,'Annual Energy Data'!$A41,'Monthly Energy Data'!DF34:DF597)</f>
        <v>0</v>
      </c>
      <c r="CK41" s="8">
        <f>+SUMIF('Monthly Energy Data'!$D34:$D597,'Annual Energy Data'!$A41,'Monthly Energy Data'!DG34:DG597)</f>
        <v>0</v>
      </c>
      <c r="CL41" s="8">
        <f>+SUMIF('Monthly Energy Data'!$D34:$D597,'Annual Energy Data'!$A41,'Monthly Energy Data'!DH34:DH597)</f>
        <v>0</v>
      </c>
      <c r="CM41" s="8">
        <f>+SUMIF('Monthly Energy Data'!$D34:$D597,'Annual Energy Data'!$A41,'Monthly Energy Data'!DI34:DI597)</f>
        <v>0</v>
      </c>
      <c r="CN41" s="8">
        <f>+SUMIF('Monthly Energy Data'!$D34:$D597,'Annual Energy Data'!$A41,'Monthly Energy Data'!DJ34:DJ597)</f>
        <v>0</v>
      </c>
      <c r="CO41" s="8">
        <f>+SUMIF('Monthly Energy Data'!$D34:$D597,'Annual Energy Data'!$A41,'Monthly Energy Data'!DK34:DK597)</f>
        <v>0</v>
      </c>
      <c r="CP41" s="8">
        <f>+SUMIF('Monthly Energy Data'!$D34:$D597,'Annual Energy Data'!$A41,'Monthly Energy Data'!DL34:DL597)</f>
        <v>0</v>
      </c>
      <c r="CQ41" s="8">
        <f>+SUMIF('Monthly Energy Data'!$D34:$D597,'Annual Energy Data'!$A41,'Monthly Energy Data'!DM34:DM597)</f>
        <v>0</v>
      </c>
      <c r="CR41" s="8">
        <f>+SUMIF('Monthly Energy Data'!$D34:$D597,'Annual Energy Data'!$A41,'Monthly Energy Data'!DN34:DN597)</f>
        <v>102809.41576574699</v>
      </c>
      <c r="CS41" s="8">
        <f>+SUMIF('Monthly Energy Data'!$D34:$D597,'Annual Energy Data'!$A41,'Monthly Energy Data'!DO34:DO597)</f>
        <v>678335.51320722292</v>
      </c>
      <c r="CT41" s="8">
        <f>+SUMIF('Monthly Energy Data'!$D34:$D597,'Annual Energy Data'!$A41,'Monthly Energy Data'!DP34:DP597)</f>
        <v>678335.51320722292</v>
      </c>
      <c r="CU41" s="8">
        <f>+SUMIF('Monthly Energy Data'!$D34:$D597,'Annual Energy Data'!$A41,'Monthly Energy Data'!DQ34:DQ597)</f>
        <v>678335.51320722292</v>
      </c>
      <c r="CV41" s="8">
        <f>+SUMIF('Monthly Energy Data'!$D34:$D597,'Annual Energy Data'!$A41,'Monthly Energy Data'!DR34:DR597)</f>
        <v>619414.38727851352</v>
      </c>
      <c r="CW41" s="8">
        <f>+SUMIF('Monthly Energy Data'!$D34:$D597,'Annual Energy Data'!$A41,'Monthly Energy Data'!DS34:DS597)</f>
        <v>690722.86323323427</v>
      </c>
      <c r="CX41" s="8">
        <f>+SUMIF('Monthly Energy Data'!$D34:$D597,'Annual Energy Data'!$A41,'Monthly Energy Data'!DT34:DT597)</f>
        <v>557811.65001761017</v>
      </c>
      <c r="CY41" s="8">
        <f>+SUMIF('Monthly Energy Data'!$D34:$D597,'Annual Energy Data'!$A41,'Monthly Energy Data'!DU34:DU597)</f>
        <v>678335.51320722292</v>
      </c>
      <c r="CZ41" s="8">
        <f>+SUMIF('Monthly Energy Data'!$D34:$D597,'Annual Energy Data'!$A41,'Monthly Energy Data'!DV34:DV597)</f>
        <v>678335.51320722292</v>
      </c>
      <c r="DA41" s="8">
        <f>+SUMIF('Monthly Energy Data'!$D34:$D597,'Annual Energy Data'!$A41,'Monthly Energy Data'!DW34:DW597)</f>
        <v>678335.51320722292</v>
      </c>
      <c r="DB41" s="78"/>
      <c r="DC41" s="78"/>
      <c r="DD41" s="78"/>
      <c r="DE41" s="78"/>
      <c r="DF41" s="19">
        <f t="shared" si="4"/>
        <v>0.87044078925757351</v>
      </c>
      <c r="DG41" s="78"/>
      <c r="DH41" s="78"/>
      <c r="DI41" s="78"/>
      <c r="DJ41" s="78"/>
      <c r="DK41" s="135">
        <f t="shared" si="17"/>
        <v>690722.86323323427</v>
      </c>
      <c r="DL41" s="135">
        <f t="shared" si="18"/>
        <v>557811.65001761005</v>
      </c>
      <c r="DM41" s="135">
        <f t="shared" si="19"/>
        <v>619414.38727851352</v>
      </c>
      <c r="DN41" s="58">
        <f t="shared" si="5"/>
        <v>102809.41576574702</v>
      </c>
      <c r="DO41" s="68">
        <f t="shared" si="6"/>
        <v>0.14235118716995054</v>
      </c>
      <c r="DP41" s="68">
        <f t="shared" si="7"/>
        <v>0.12955921074242654</v>
      </c>
      <c r="DQ41" s="68">
        <f t="shared" si="8"/>
        <v>0.15562539720684923</v>
      </c>
      <c r="DR41" s="68"/>
      <c r="DS41" s="58">
        <f t="shared" si="16"/>
        <v>557811.65001761005</v>
      </c>
      <c r="DT41" s="58">
        <f t="shared" si="9"/>
        <v>102809.41576574702</v>
      </c>
      <c r="DU41" s="68">
        <f t="shared" si="10"/>
        <v>0.14235118716995054</v>
      </c>
      <c r="DV41" s="68">
        <f t="shared" si="11"/>
        <v>0.12955921074242654</v>
      </c>
      <c r="DW41" s="68">
        <f t="shared" si="12"/>
        <v>0.15562539720684923</v>
      </c>
      <c r="DX41" s="68">
        <f t="shared" si="3"/>
        <v>0.230389838734231</v>
      </c>
      <c r="DZ41" s="68">
        <f t="shared" si="0"/>
        <v>0.12955921074242649</v>
      </c>
      <c r="EA41" s="68">
        <f t="shared" si="1"/>
        <v>0.15562539720684918</v>
      </c>
      <c r="EB41" s="68">
        <f t="shared" si="2"/>
        <v>0.14235118716995052</v>
      </c>
      <c r="ED41" s="58" t="e">
        <f>+SUMIF('[1]Monthly Energy Data'!$D$200:$D$595,'[1]Annual Energy Data'!$A39,'[1]Monthly Energy Data'!$EK$200:$EK$595)</f>
        <v>#VALUE!</v>
      </c>
      <c r="EE41" s="58" t="e">
        <f>+SUMIF('[1]Monthly Energy Data'!$D$200:$D$595,'[1]Annual Energy Data'!$A39,'[1]Monthly Energy Data'!$EL$200:$EL$595)</f>
        <v>#VALUE!</v>
      </c>
      <c r="EF41" s="68" t="e">
        <f t="shared" si="13"/>
        <v>#VALUE!</v>
      </c>
      <c r="EG41" s="68" t="e">
        <f t="shared" si="14"/>
        <v>#VALUE!</v>
      </c>
      <c r="EH41" s="68" t="e">
        <f t="shared" si="15"/>
        <v>#VALUE!</v>
      </c>
      <c r="EO41" s="84"/>
      <c r="EP41" s="84"/>
    </row>
    <row r="42" spans="1:148" x14ac:dyDescent="0.2">
      <c r="A42" s="15">
        <f>+'Monthly Energy Data'!D416</f>
        <v>2042</v>
      </c>
      <c r="B42" s="8">
        <f>+SUMIF('Monthly Energy Data'!$D35:$D598,'Annual Energy Data'!$A42,'Monthly Energy Data'!G35:G598)</f>
        <v>545860.66629679152</v>
      </c>
      <c r="C42" s="8">
        <f>+SUMIF('Monthly Energy Data'!$D35:$D598,'Annual Energy Data'!$A42,'Monthly Energy Data'!H35:H598)</f>
        <v>545860.66629679152</v>
      </c>
      <c r="D42" s="8">
        <f>+SUMIF('Monthly Energy Data'!$D35:$D598,'Annual Energy Data'!$A42,'Monthly Energy Data'!I35:I598)</f>
        <v>545860.66629679152</v>
      </c>
      <c r="E42" s="8">
        <f>+SUMIF('Monthly Energy Data'!$D35:$D598,'Annual Energy Data'!$A42,'Monthly Energy Data'!J35:J598)</f>
        <v>100316.13712500001</v>
      </c>
      <c r="F42" s="8">
        <f>+SUMIF('Monthly Energy Data'!$D35:$D598,'Annual Energy Data'!$A42,'Monthly Energy Data'!K35:K598)</f>
        <v>100316.13712500001</v>
      </c>
      <c r="G42" s="8">
        <f>+SUMIF('Monthly Energy Data'!$D35:$D598,'Annual Energy Data'!$A42,'Monthly Energy Data'!L35:L598)</f>
        <v>100316.13712500001</v>
      </c>
      <c r="H42" s="8">
        <f>+SUMIF('Monthly Energy Data'!$D35:$D598,'Annual Energy Data'!$A42,'Monthly Energy Data'!M35:O598)</f>
        <v>13094.50855222805</v>
      </c>
      <c r="I42" s="8">
        <f>+SUMIF('Monthly Energy Data'!$D35:$D598,'Annual Energy Data'!$A42,'Monthly Energy Data'!P35:P598)</f>
        <v>430491.07032321359</v>
      </c>
      <c r="J42" s="8">
        <f>+SUMIF('Monthly Energy Data'!$D35:$D598,'Annual Energy Data'!$A42,'Monthly Energy Data'!Q35:Q598)</f>
        <v>430491.07032321359</v>
      </c>
      <c r="K42" s="8">
        <f>+SUMIF('Monthly Energy Data'!$D35:$D598,'Annual Energy Data'!$A42,'Monthly Energy Data'!R35:R598)</f>
        <v>430491.07032321359</v>
      </c>
      <c r="L42" s="8">
        <f>+SUMIF('Monthly Energy Data'!$D35:$D598,'Annual Energy Data'!$A42,'Monthly Energy Data'!S35:S598)</f>
        <v>442878.42034922482</v>
      </c>
      <c r="M42" s="8">
        <f>+SUMIF('Monthly Energy Data'!$D35:$D598,'Annual Energy Data'!$A42,'Monthly Energy Data'!T35:T598)</f>
        <v>442878.42034922482</v>
      </c>
      <c r="N42" s="8">
        <f>+SUMIF('Monthly Energy Data'!$D35:$D598,'Annual Energy Data'!$A42,'Monthly Energy Data'!U35:U598)</f>
        <v>442878.42034922482</v>
      </c>
      <c r="O42" s="8">
        <f>+SUMIF('Monthly Energy Data'!$D35:$D598,'Annual Energy Data'!$A42,'Monthly Energy Data'!V35:V598)</f>
        <v>430491.07032321359</v>
      </c>
      <c r="P42" s="8">
        <f>+SUMIF('Monthly Energy Data'!$D35:$D598,'Annual Energy Data'!$A42,'Monthly Energy Data'!W35:W598)</f>
        <v>430491.07032321359</v>
      </c>
      <c r="Q42" s="8">
        <f>+SUMIF('Monthly Energy Data'!$D35:$D598,'Annual Energy Data'!$A42,'Monthly Energy Data'!X35:X598)</f>
        <v>430491.07032321359</v>
      </c>
      <c r="R42" s="8">
        <f>+SUMIF('Monthly Energy Data'!$D35:$D598,'Annual Energy Data'!$A42,'Monthly Energy Data'!Y35:Y598)</f>
        <v>280208.32477197412</v>
      </c>
      <c r="S42" s="8">
        <f>+SUMIF('Monthly Energy Data'!$D35:$D598,'Annual Energy Data'!$A42,'Monthly Energy Data'!Z35:Z598)</f>
        <v>360298.46248159104</v>
      </c>
      <c r="T42" s="8">
        <f>+SUMIF('Monthly Energy Data'!$D35:$D598,'Annual Energy Data'!$A42,'Monthly Energy Data'!AA35:AA598)</f>
        <v>223668.38807948469</v>
      </c>
      <c r="U42" s="16">
        <f>+'Tier 3 Data'!F37</f>
        <v>723086.74512119894</v>
      </c>
      <c r="V42" s="16">
        <f>+'Tier 3 Data'!G37</f>
        <v>803176.88283081586</v>
      </c>
      <c r="W42" s="16">
        <f>+'Tier 3 Data'!H37</f>
        <v>666546.80842870963</v>
      </c>
      <c r="X42" s="16">
        <f>+'Tier 3 Data'!I37</f>
        <v>734861.84562976263</v>
      </c>
      <c r="Y42" s="63"/>
      <c r="Z42" s="8">
        <f>+SUMIF('Monthly Energy Data'!$D35:$D598,'Annual Energy Data'!$A42,'Monthly Energy Data'!AL35:AL598)</f>
        <v>0</v>
      </c>
      <c r="AA42" s="8">
        <f>+SUMIF('Monthly Energy Data'!$D35:$D598,'Annual Energy Data'!$A42,'Monthly Energy Data'!AM35:AM598)</f>
        <v>0</v>
      </c>
      <c r="AB42" s="8">
        <f>+SUMIF('Monthly Energy Data'!$D35:$D598,'Annual Energy Data'!$A42,'Monthly Energy Data'!AN35:AN598)</f>
        <v>0</v>
      </c>
      <c r="AC42" s="8">
        <f>+SUMIF('Monthly Energy Data'!$D35:$D598,'Annual Energy Data'!$A42,'Monthly Energy Data'!AO35:AO598)</f>
        <v>0</v>
      </c>
      <c r="AD42" s="8">
        <f>+SUMIF('Monthly Energy Data'!$D35:$D598,'Annual Energy Data'!$A42,'Monthly Energy Data'!AP35:AP598)</f>
        <v>0</v>
      </c>
      <c r="AE42" s="8">
        <f>+SUMIF('Monthly Energy Data'!$D35:$D598,'Annual Energy Data'!$A42,'Monthly Energy Data'!AQ35:AQ598)</f>
        <v>0</v>
      </c>
      <c r="AF42" s="8">
        <f>+SUMIF('Monthly Energy Data'!$D35:$D598,'Annual Energy Data'!$A42,'Monthly Energy Data'!AR35:AR598)</f>
        <v>0</v>
      </c>
      <c r="AG42" s="8">
        <f>+SUMIF('Monthly Energy Data'!$D35:$D598,'Annual Energy Data'!$A42,'Monthly Energy Data'!AS35:AS598)</f>
        <v>0</v>
      </c>
      <c r="AH42" s="8">
        <f>+SUMIF('Monthly Energy Data'!$D35:$D598,'Annual Energy Data'!$A42,'Monthly Energy Data'!AT35:AT598)</f>
        <v>0</v>
      </c>
      <c r="AI42" s="8">
        <f>+SUMIF('Monthly Energy Data'!$D35:$D598,'Annual Energy Data'!$A42,'Monthly Energy Data'!AU35:AU598)</f>
        <v>1269.2160000000001</v>
      </c>
      <c r="AJ42" s="8">
        <f>+SUMIF('Monthly Energy Data'!$D35:$D598,'Annual Energy Data'!$A42,'Monthly Energy Data'!AV35:AV598)</f>
        <v>37813.129000000008</v>
      </c>
      <c r="AK42" s="8">
        <f>+SUMIF('Monthly Energy Data'!$D35:$D598,'Annual Energy Data'!$A42,'Monthly Energy Data'!AW35:AW598)</f>
        <v>0</v>
      </c>
      <c r="AL42" s="8">
        <f>+SUMIF('Monthly Energy Data'!$D35:$D598,'Annual Energy Data'!$A42,'Monthly Energy Data'!AX35:AX598)</f>
        <v>0</v>
      </c>
      <c r="AM42" s="8">
        <f>+SUMIF('Monthly Energy Data'!$D35:$D598,'Annual Energy Data'!$A42,'Monthly Energy Data'!AY35:AY598)</f>
        <v>0</v>
      </c>
      <c r="AN42" s="8">
        <f>+SUMIF('Monthly Energy Data'!$D35:$D598,'Annual Energy Data'!$A42,'Monthly Energy Data'!AZ35:AZ598)</f>
        <v>0</v>
      </c>
      <c r="AO42" s="8">
        <f>+SUMIF('Monthly Energy Data'!$D35:$D598,'Annual Energy Data'!$A42,'Monthly Energy Data'!BA35:BA598)</f>
        <v>0</v>
      </c>
      <c r="AP42" s="8">
        <f>+SUMIF('Monthly Energy Data'!$D35:$D598,'Annual Energy Data'!$A42,'Monthly Energy Data'!BB35:BB598)</f>
        <v>0</v>
      </c>
      <c r="AQ42" s="8">
        <f>+SUMIF('Monthly Energy Data'!$D35:$D598,'Annual Energy Data'!$A42,'Monthly Energy Data'!BC35:BC598)</f>
        <v>0</v>
      </c>
      <c r="AR42" s="8">
        <f>+SUMIF('Monthly Energy Data'!$D35:$D598,'Annual Energy Data'!$A42,'Monthly Energy Data'!BD35:BD598)</f>
        <v>0</v>
      </c>
      <c r="AS42" s="8">
        <f>+SUMIF('Monthly Energy Data'!$D35:$D598,'Annual Energy Data'!$A42,'Monthly Energy Data'!BE35:BE598)</f>
        <v>0</v>
      </c>
      <c r="AT42" s="8">
        <f>+SUMIF('Monthly Energy Data'!$D35:$D598,'Annual Energy Data'!$A42,'Monthly Energy Data'!BF35:BF598)</f>
        <v>0</v>
      </c>
      <c r="AU42" s="8">
        <f>+SUMIF('Monthly Energy Data'!$D35:$D598,'Annual Energy Data'!$A42,'Monthly Energy Data'!BG35:BG598)</f>
        <v>0</v>
      </c>
      <c r="AV42" s="8">
        <f>+SUMIF('Monthly Energy Data'!$D35:$D598,'Annual Energy Data'!$A42,'Monthly Energy Data'!BH35:BH598)</f>
        <v>0</v>
      </c>
      <c r="AW42" s="8">
        <f>+SUMIF('Monthly Energy Data'!$D35:$D598,'Annual Energy Data'!$A42,'Monthly Energy Data'!BI35:BI598)</f>
        <v>11403.26032853064</v>
      </c>
      <c r="AX42" s="8">
        <f>+SUMIF('Monthly Energy Data'!$D35:$D598,'Annual Energy Data'!$A42,'Monthly Energy Data'!BJ35:BJ598)</f>
        <v>0</v>
      </c>
      <c r="AY42" s="8">
        <f>+SUMIF('Monthly Energy Data'!$D35:$D598,'Annual Energy Data'!$A42,'Monthly Energy Data'!BK35:BK598)</f>
        <v>186.484194</v>
      </c>
      <c r="AZ42" s="8">
        <f>+SUMIF('Monthly Energy Data'!$D35:$D598,'Annual Energy Data'!$A42,'Monthly Energy Data'!BL35:BL598)</f>
        <v>0</v>
      </c>
      <c r="BA42" s="8">
        <f>+SUMIF('Monthly Energy Data'!$D35:$D598,'Annual Energy Data'!$A42,'Monthly Energy Data'!BM35:BM598)</f>
        <v>0</v>
      </c>
      <c r="BB42" s="8">
        <f>+SUMIF('Monthly Energy Data'!$D35:$D598,'Annual Energy Data'!$A42,'Monthly Energy Data'!BN35:BN598)</f>
        <v>0</v>
      </c>
      <c r="BC42" s="8">
        <f>+SUMIF('Monthly Energy Data'!$D35:$D598,'Annual Energy Data'!$A42,'Monthly Energy Data'!BO35:BO598)</f>
        <v>934.05830165999987</v>
      </c>
      <c r="BD42" s="8">
        <f>+SUMIF('Monthly Energy Data'!$D35:$D598,'Annual Energy Data'!$A42,'Monthly Energy Data'!BP35:BP598)</f>
        <v>0</v>
      </c>
      <c r="BE42" s="8">
        <f>+SUMIF('Monthly Energy Data'!$D35:$D598,'Annual Energy Data'!$A42,'Monthly Energy Data'!BQ35:BQ598)</f>
        <v>0</v>
      </c>
      <c r="BF42" s="8">
        <f>+SUMIF('Monthly Energy Data'!$D35:$D598,'Annual Energy Data'!$A42,'Monthly Energy Data'!BR35:BR598)</f>
        <v>1742.1417516018198</v>
      </c>
      <c r="BG42" s="8">
        <f>+SUMIF('Monthly Energy Data'!$D35:$D598,'Annual Energy Data'!$A42,'Monthly Energy Data'!BS35:BS598)</f>
        <v>6554.0755320683729</v>
      </c>
      <c r="BH42" s="8">
        <f>+SUMIF('Monthly Energy Data'!$D35:$D598,'Annual Energy Data'!$A42,'Monthly Energy Data'!BT35:BT598)</f>
        <v>2245.4265579398257</v>
      </c>
      <c r="BI42" s="8">
        <f>+SUMIF('Monthly Energy Data'!$D35:$D598,'Annual Energy Data'!$A42,'Monthly Energy Data'!BU35:BU598)</f>
        <v>2463.2807384264352</v>
      </c>
      <c r="BJ42" s="16">
        <f>SUM('Monthly Energy Data'!BV$416:BX$427)</f>
        <v>35124.737313348589</v>
      </c>
      <c r="BK42" s="8">
        <f>+SUMIF('Monthly Energy Data'!$D35:$D598,'Annual Energy Data'!$A42,'Monthly Energy Data'!BY35:BY598)</f>
        <v>0</v>
      </c>
      <c r="BL42" s="8">
        <f>+SUMIF('Monthly Energy Data'!$D35:$D598,'Annual Energy Data'!$A42,'Monthly Energy Data'!BZ35:BZ598)</f>
        <v>0</v>
      </c>
      <c r="BM42" s="8">
        <f>+SUMIF('Monthly Energy Data'!$D35:$D598,'Annual Energy Data'!$A42,'Monthly Energy Data'!CA35:CA598)</f>
        <v>0</v>
      </c>
      <c r="BN42" s="8">
        <f>+SUMIF('Monthly Energy Data'!$D35:$D598,'Annual Energy Data'!$A42,'Monthly Energy Data'!CB35:CB598)</f>
        <v>0</v>
      </c>
      <c r="BO42" s="8">
        <f>+SUMIF('Monthly Energy Data'!$D35:$D598,'Annual Energy Data'!$A42,'Monthly Energy Data'!CC35:CC598)</f>
        <v>0</v>
      </c>
      <c r="BP42" s="8">
        <f>+SUMIF('Monthly Energy Data'!$D35:$D598,'Annual Energy Data'!$A42,'Monthly Energy Data'!CD35:CD598)</f>
        <v>0</v>
      </c>
      <c r="BQ42" s="8">
        <f>+SUMIF('Monthly Energy Data'!$D35:$D598,'Annual Energy Data'!$A42,'Monthly Energy Data'!CE35:CE598)</f>
        <v>0</v>
      </c>
      <c r="BR42" s="8">
        <f>+SUMIF('Monthly Energy Data'!$D35:$D598,'Annual Energy Data'!$A42,'Monthly Energy Data'!CF35:CF598)</f>
        <v>0</v>
      </c>
      <c r="BS42" s="8">
        <f>+SUMIF('Monthly Energy Data'!$D35:$D598,'Annual Energy Data'!$A42,'Monthly Energy Data'!CG35:CG598)</f>
        <v>0</v>
      </c>
      <c r="BT42" s="8">
        <f>+SUMIF('Monthly Energy Data'!$D35:$D598,'Annual Energy Data'!$A42,'Monthly Energy Data'!CH35:CH598)</f>
        <v>0</v>
      </c>
      <c r="BU42" s="8">
        <f>+SUMIF('Monthly Energy Data'!$D35:$D598,'Annual Energy Data'!$A42,'Monthly Energy Data'!CI35:CI598)</f>
        <v>0</v>
      </c>
      <c r="BV42" s="8">
        <f>+SUMIF('Monthly Energy Data'!$D35:$D598,'Annual Energy Data'!$A42,'Monthly Energy Data'!CJ35:CJ598)</f>
        <v>0</v>
      </c>
      <c r="BW42" s="8">
        <f>+SUMIF('Monthly Energy Data'!$D35:$D598,'Annual Energy Data'!$A42,'Monthly Energy Data'!CK35:CK598)</f>
        <v>99735.809717575685</v>
      </c>
      <c r="BX42" s="8">
        <f>+SUMIF('Monthly Energy Data'!$D35:$D598,'Annual Energy Data'!$A42,'Monthly Energy Data'!CL35:CL598)</f>
        <v>691053.72308722895</v>
      </c>
      <c r="BY42" s="8">
        <f>+SUMIF('Monthly Energy Data'!$D35:$D598,'Annual Energy Data'!$A42,'Monthly Energy Data'!CM35:CM598)</f>
        <v>691053.72308722895</v>
      </c>
      <c r="BZ42" s="8">
        <f>+SUMIF('Monthly Energy Data'!$D35:$D598,'Annual Energy Data'!$A42,'Monthly Energy Data'!CN35:CN598)</f>
        <v>691053.72308722895</v>
      </c>
      <c r="CA42" s="8">
        <f>+SUMIF('Monthly Energy Data'!$D35:$D598,'Annual Energy Data'!$A42,'Monthly Energy Data'!CO35:CO598)</f>
        <v>623350.93540362327</v>
      </c>
      <c r="CB42" s="8">
        <f>+SUMIF('Monthly Energy Data'!$D35:$D598,'Annual Energy Data'!$A42,'Monthly Energy Data'!CP35:CP598)</f>
        <v>703441.07311324007</v>
      </c>
      <c r="CC42" s="8">
        <f>+SUMIF('Monthly Energy Data'!$D35:$D598,'Annual Energy Data'!$A42,'Monthly Energy Data'!CQ35:CQ598)</f>
        <v>566810.99871113384</v>
      </c>
      <c r="CD42" s="8">
        <f>+SUMIF('Monthly Energy Data'!$D35:$D598,'Annual Energy Data'!$A42,'Monthly Energy Data'!CR35:CR598)</f>
        <v>691053.72308722895</v>
      </c>
      <c r="CE42" s="8">
        <f>+SUMIF('Monthly Energy Data'!$D35:$D598,'Annual Energy Data'!$A42,'Monthly Energy Data'!CS35:CS598)</f>
        <v>691053.72308722895</v>
      </c>
      <c r="CF42" s="8">
        <f>+SUMIF('Monthly Energy Data'!$D35:$D598,'Annual Energy Data'!$A42,'Monthly Energy Data'!CT35:CT598)</f>
        <v>691053.72308722895</v>
      </c>
      <c r="CG42" s="8"/>
      <c r="CH42" s="8">
        <f>+SUMIF('Monthly Energy Data'!$D35:$D598,'Annual Energy Data'!$A42,'Monthly Energy Data'!DD35:DD598)</f>
        <v>0</v>
      </c>
      <c r="CI42" s="8">
        <f>+SUMIF('Monthly Energy Data'!$D35:$D598,'Annual Energy Data'!$A42,'Monthly Energy Data'!DE35:DE598)</f>
        <v>0</v>
      </c>
      <c r="CJ42" s="8">
        <f>+SUMIF('Monthly Energy Data'!$D35:$D598,'Annual Energy Data'!$A42,'Monthly Energy Data'!DF35:DF598)</f>
        <v>0</v>
      </c>
      <c r="CK42" s="8">
        <f>+SUMIF('Monthly Energy Data'!$D35:$D598,'Annual Energy Data'!$A42,'Monthly Energy Data'!DG35:DG598)</f>
        <v>0</v>
      </c>
      <c r="CL42" s="8">
        <f>+SUMIF('Monthly Energy Data'!$D35:$D598,'Annual Energy Data'!$A42,'Monthly Energy Data'!DH35:DH598)</f>
        <v>0</v>
      </c>
      <c r="CM42" s="8">
        <f>+SUMIF('Monthly Energy Data'!$D35:$D598,'Annual Energy Data'!$A42,'Monthly Energy Data'!DI35:DI598)</f>
        <v>0</v>
      </c>
      <c r="CN42" s="8">
        <f>+SUMIF('Monthly Energy Data'!$D35:$D598,'Annual Energy Data'!$A42,'Monthly Energy Data'!DJ35:DJ598)</f>
        <v>0</v>
      </c>
      <c r="CO42" s="8">
        <f>+SUMIF('Monthly Energy Data'!$D35:$D598,'Annual Energy Data'!$A42,'Monthly Energy Data'!DK35:DK598)</f>
        <v>0</v>
      </c>
      <c r="CP42" s="8">
        <f>+SUMIF('Monthly Energy Data'!$D35:$D598,'Annual Energy Data'!$A42,'Monthly Energy Data'!DL35:DL598)</f>
        <v>0</v>
      </c>
      <c r="CQ42" s="8">
        <f>+SUMIF('Monthly Energy Data'!$D35:$D598,'Annual Energy Data'!$A42,'Monthly Energy Data'!DM35:DM598)</f>
        <v>0</v>
      </c>
      <c r="CR42" s="8">
        <f>+SUMIF('Monthly Energy Data'!$D35:$D598,'Annual Energy Data'!$A42,'Monthly Energy Data'!DN35:DN598)</f>
        <v>99735.809717575685</v>
      </c>
      <c r="CS42" s="8">
        <f>+SUMIF('Monthly Energy Data'!$D35:$D598,'Annual Energy Data'!$A42,'Monthly Energy Data'!DO35:DO598)</f>
        <v>691053.72308722895</v>
      </c>
      <c r="CT42" s="8">
        <f>+SUMIF('Monthly Energy Data'!$D35:$D598,'Annual Energy Data'!$A42,'Monthly Energy Data'!DP35:DP598)</f>
        <v>691053.72308722895</v>
      </c>
      <c r="CU42" s="8">
        <f>+SUMIF('Monthly Energy Data'!$D35:$D598,'Annual Energy Data'!$A42,'Monthly Energy Data'!DQ35:DQ598)</f>
        <v>691053.72308722895</v>
      </c>
      <c r="CV42" s="8">
        <f>+SUMIF('Monthly Energy Data'!$D35:$D598,'Annual Energy Data'!$A42,'Monthly Energy Data'!DR35:DR598)</f>
        <v>623350.93540362327</v>
      </c>
      <c r="CW42" s="8">
        <f>+SUMIF('Monthly Energy Data'!$D35:$D598,'Annual Energy Data'!$A42,'Monthly Energy Data'!DS35:DS598)</f>
        <v>703441.07311324007</v>
      </c>
      <c r="CX42" s="8">
        <f>+SUMIF('Monthly Energy Data'!$D35:$D598,'Annual Energy Data'!$A42,'Monthly Energy Data'!DT35:DT598)</f>
        <v>566810.99871113384</v>
      </c>
      <c r="CY42" s="8">
        <f>+SUMIF('Monthly Energy Data'!$D35:$D598,'Annual Energy Data'!$A42,'Monthly Energy Data'!DU35:DU598)</f>
        <v>691053.72308722895</v>
      </c>
      <c r="CZ42" s="8">
        <f>+SUMIF('Monthly Energy Data'!$D35:$D598,'Annual Energy Data'!$A42,'Monthly Energy Data'!DV35:DV598)</f>
        <v>691053.72308722895</v>
      </c>
      <c r="DA42" s="8">
        <f>+SUMIF('Monthly Energy Data'!$D35:$D598,'Annual Energy Data'!$A42,'Monthly Energy Data'!DW35:DW598)</f>
        <v>691053.72308722895</v>
      </c>
      <c r="DB42" s="78"/>
      <c r="DC42" s="78"/>
      <c r="DD42" s="78"/>
      <c r="DE42" s="78"/>
      <c r="DF42" s="19">
        <f t="shared" si="4"/>
        <v>0.87582335616277374</v>
      </c>
      <c r="DG42" s="78"/>
      <c r="DH42" s="78"/>
      <c r="DI42" s="78"/>
      <c r="DJ42" s="78"/>
      <c r="DK42" s="135">
        <f t="shared" si="17"/>
        <v>703441.07311324019</v>
      </c>
      <c r="DL42" s="135">
        <f t="shared" si="18"/>
        <v>566810.99871113396</v>
      </c>
      <c r="DM42" s="135">
        <f t="shared" si="19"/>
        <v>623350.93540362327</v>
      </c>
      <c r="DN42" s="58">
        <f t="shared" si="5"/>
        <v>99735.809717575699</v>
      </c>
      <c r="DO42" s="68">
        <f t="shared" si="6"/>
        <v>0.13793062919561422</v>
      </c>
      <c r="DP42" s="68">
        <f t="shared" si="7"/>
        <v>0.1241766438372261</v>
      </c>
      <c r="DQ42" s="68">
        <f t="shared" si="8"/>
        <v>0.14963061626937926</v>
      </c>
      <c r="DR42" s="68"/>
      <c r="DS42" s="58">
        <f t="shared" si="16"/>
        <v>566810.99871113396</v>
      </c>
      <c r="DT42" s="58">
        <f t="shared" si="9"/>
        <v>99735.809717575699</v>
      </c>
      <c r="DU42" s="68">
        <f t="shared" si="10"/>
        <v>0.13793062919561422</v>
      </c>
      <c r="DV42" s="68">
        <f t="shared" si="11"/>
        <v>0.1241766438372261</v>
      </c>
      <c r="DW42" s="68">
        <f t="shared" si="12"/>
        <v>0.14963061626937926</v>
      </c>
      <c r="DX42" s="68">
        <f t="shared" si="3"/>
        <v>0.22519907300728398</v>
      </c>
      <c r="DZ42" s="68">
        <f t="shared" si="0"/>
        <v>0.12417664383722608</v>
      </c>
      <c r="EA42" s="68">
        <f t="shared" si="1"/>
        <v>0.14963061626937924</v>
      </c>
      <c r="EB42" s="68">
        <f t="shared" si="2"/>
        <v>0.13793062919561419</v>
      </c>
      <c r="ED42" s="58" t="e">
        <f>+SUMIF('[1]Monthly Energy Data'!$D$200:$D$595,'[1]Annual Energy Data'!$A40,'[1]Monthly Energy Data'!$EK$200:$EK$595)</f>
        <v>#VALUE!</v>
      </c>
      <c r="EE42" s="58" t="e">
        <f>+SUMIF('[1]Monthly Energy Data'!$D$200:$D$595,'[1]Annual Energy Data'!$A40,'[1]Monthly Energy Data'!$EL$200:$EL$595)</f>
        <v>#VALUE!</v>
      </c>
      <c r="EF42" s="68" t="e">
        <f t="shared" si="13"/>
        <v>#VALUE!</v>
      </c>
      <c r="EG42" s="68" t="e">
        <f t="shared" si="14"/>
        <v>#VALUE!</v>
      </c>
      <c r="EH42" s="68" t="e">
        <f t="shared" si="15"/>
        <v>#VALUE!</v>
      </c>
      <c r="EO42" s="84"/>
      <c r="EP42" s="84"/>
    </row>
    <row r="43" spans="1:148" x14ac:dyDescent="0.2">
      <c r="A43" s="15">
        <f>+'Monthly Energy Data'!D428</f>
        <v>2043</v>
      </c>
      <c r="B43" s="8">
        <f>+SUMIF('Monthly Energy Data'!$D36:$D599,'Annual Energy Data'!$A43,'Monthly Energy Data'!G36:G599)</f>
        <v>548229.86629679147</v>
      </c>
      <c r="C43" s="8">
        <f>+SUMIF('Monthly Energy Data'!$D36:$D599,'Annual Energy Data'!$A43,'Monthly Energy Data'!H36:H599)</f>
        <v>548229.86629679147</v>
      </c>
      <c r="D43" s="8">
        <f>+SUMIF('Monthly Energy Data'!$D36:$D599,'Annual Energy Data'!$A43,'Monthly Energy Data'!I36:I599)</f>
        <v>548229.86629679147</v>
      </c>
      <c r="E43" s="8">
        <f>+SUMIF('Monthly Energy Data'!$D36:$D599,'Annual Energy Data'!$A43,'Monthly Energy Data'!J36:J599)</f>
        <v>106025.82599999999</v>
      </c>
      <c r="F43" s="8">
        <f>+SUMIF('Monthly Energy Data'!$D36:$D599,'Annual Energy Data'!$A43,'Monthly Energy Data'!K36:K599)</f>
        <v>106025.82599999999</v>
      </c>
      <c r="G43" s="8">
        <f>+SUMIF('Monthly Energy Data'!$D36:$D599,'Annual Energy Data'!$A43,'Monthly Energy Data'!L36:L599)</f>
        <v>106025.82599999999</v>
      </c>
      <c r="H43" s="8">
        <f>+SUMIF('Monthly Energy Data'!$D36:$D599,'Annual Energy Data'!$A43,'Monthly Energy Data'!M36:O599)</f>
        <v>13334.781801736155</v>
      </c>
      <c r="I43" s="8">
        <f>+SUMIF('Monthly Energy Data'!$D36:$D599,'Annual Energy Data'!$A43,'Monthly Energy Data'!P36:P599)</f>
        <v>426830.78577182064</v>
      </c>
      <c r="J43" s="8">
        <f>+SUMIF('Monthly Energy Data'!$D36:$D599,'Annual Energy Data'!$A43,'Monthly Energy Data'!Q36:Q599)</f>
        <v>426830.78577182064</v>
      </c>
      <c r="K43" s="8">
        <f>+SUMIF('Monthly Energy Data'!$D36:$D599,'Annual Energy Data'!$A43,'Monthly Energy Data'!R36:R599)</f>
        <v>426830.78577182064</v>
      </c>
      <c r="L43" s="8">
        <f>+SUMIF('Monthly Energy Data'!$D36:$D599,'Annual Energy Data'!$A43,'Monthly Energy Data'!S36:S599)</f>
        <v>439445.43328148097</v>
      </c>
      <c r="M43" s="8">
        <f>+SUMIF('Monthly Energy Data'!$D36:$D599,'Annual Energy Data'!$A43,'Monthly Energy Data'!T36:T599)</f>
        <v>439445.43328148097</v>
      </c>
      <c r="N43" s="8">
        <f>+SUMIF('Monthly Energy Data'!$D36:$D599,'Annual Energy Data'!$A43,'Monthly Energy Data'!U36:U599)</f>
        <v>439445.43328148097</v>
      </c>
      <c r="O43" s="8">
        <f>+SUMIF('Monthly Energy Data'!$D36:$D599,'Annual Energy Data'!$A43,'Monthly Energy Data'!V36:V599)</f>
        <v>426830.78577182064</v>
      </c>
      <c r="P43" s="8">
        <f>+SUMIF('Monthly Energy Data'!$D36:$D599,'Annual Energy Data'!$A43,'Monthly Energy Data'!W36:W599)</f>
        <v>426830.78577182064</v>
      </c>
      <c r="Q43" s="8">
        <f>+SUMIF('Monthly Energy Data'!$D36:$D599,'Annual Energy Data'!$A43,'Monthly Energy Data'!X36:X599)</f>
        <v>426830.78577182064</v>
      </c>
      <c r="R43" s="8">
        <f>+SUMIF('Monthly Energy Data'!$D36:$D599,'Annual Energy Data'!$A43,'Monthly Energy Data'!Y36:Y599)</f>
        <v>282789.45029934793</v>
      </c>
      <c r="S43" s="8">
        <f>+SUMIF('Monthly Energy Data'!$D36:$D599,'Annual Energy Data'!$A43,'Monthly Energy Data'!Z36:Z599)</f>
        <v>372988.81304911023</v>
      </c>
      <c r="T43" s="8">
        <f>+SUMIF('Monthly Energy Data'!$D36:$D599,'Annual Energy Data'!$A43,'Monthly Energy Data'!AA36:AA599)</f>
        <v>231761.30889452461</v>
      </c>
      <c r="U43" s="16">
        <f>+'Tier 3 Data'!F38</f>
        <v>722234.8835808289</v>
      </c>
      <c r="V43" s="16">
        <f>+'Tier 3 Data'!G38</f>
        <v>812434.2463305915</v>
      </c>
      <c r="W43" s="16">
        <f>+'Tier 3 Data'!H38</f>
        <v>671206.74217600585</v>
      </c>
      <c r="X43" s="16">
        <f>+'Tier 3 Data'!I38</f>
        <v>741820.4942532985</v>
      </c>
      <c r="Y43" s="63"/>
      <c r="Z43" s="8">
        <f>+SUMIF('Monthly Energy Data'!$D36:$D599,'Annual Energy Data'!$A43,'Monthly Energy Data'!AL36:AL599)</f>
        <v>0</v>
      </c>
      <c r="AA43" s="8">
        <f>+SUMIF('Monthly Energy Data'!$D36:$D599,'Annual Energy Data'!$A43,'Monthly Energy Data'!AM36:AM599)</f>
        <v>0</v>
      </c>
      <c r="AB43" s="8">
        <f>+SUMIF('Monthly Energy Data'!$D36:$D599,'Annual Energy Data'!$A43,'Monthly Energy Data'!AN36:AN599)</f>
        <v>0</v>
      </c>
      <c r="AC43" s="8">
        <f>+SUMIF('Monthly Energy Data'!$D36:$D599,'Annual Energy Data'!$A43,'Monthly Energy Data'!AO36:AO599)</f>
        <v>0</v>
      </c>
      <c r="AD43" s="8">
        <f>+SUMIF('Monthly Energy Data'!$D36:$D599,'Annual Energy Data'!$A43,'Monthly Energy Data'!AP36:AP599)</f>
        <v>0</v>
      </c>
      <c r="AE43" s="8">
        <f>+SUMIF('Monthly Energy Data'!$D36:$D599,'Annual Energy Data'!$A43,'Monthly Energy Data'!AQ36:AQ599)</f>
        <v>0</v>
      </c>
      <c r="AF43" s="8">
        <f>+SUMIF('Monthly Energy Data'!$D36:$D599,'Annual Energy Data'!$A43,'Monthly Energy Data'!AR36:AR599)</f>
        <v>0</v>
      </c>
      <c r="AG43" s="8">
        <f>+SUMIF('Monthly Energy Data'!$D36:$D599,'Annual Energy Data'!$A43,'Monthly Energy Data'!AS36:AS599)</f>
        <v>0</v>
      </c>
      <c r="AH43" s="8">
        <f>+SUMIF('Monthly Energy Data'!$D36:$D599,'Annual Energy Data'!$A43,'Monthly Energy Data'!AT36:AT599)</f>
        <v>0</v>
      </c>
      <c r="AI43" s="8">
        <f>+SUMIF('Monthly Energy Data'!$D36:$D599,'Annual Energy Data'!$A43,'Monthly Energy Data'!AU36:AU599)</f>
        <v>1269.2160000000001</v>
      </c>
      <c r="AJ43" s="8">
        <f>+SUMIF('Monthly Energy Data'!$D36:$D599,'Annual Energy Data'!$A43,'Monthly Energy Data'!AV36:AV599)</f>
        <v>37813.129000000008</v>
      </c>
      <c r="AK43" s="8">
        <f>+SUMIF('Monthly Energy Data'!$D36:$D599,'Annual Energy Data'!$A43,'Monthly Energy Data'!AW36:AW599)</f>
        <v>0</v>
      </c>
      <c r="AL43" s="8">
        <f>+SUMIF('Monthly Energy Data'!$D36:$D599,'Annual Energy Data'!$A43,'Monthly Energy Data'!AX36:AX599)</f>
        <v>0</v>
      </c>
      <c r="AM43" s="8">
        <f>+SUMIF('Monthly Energy Data'!$D36:$D599,'Annual Energy Data'!$A43,'Monthly Energy Data'!AY36:AY599)</f>
        <v>0</v>
      </c>
      <c r="AN43" s="8">
        <f>+SUMIF('Monthly Energy Data'!$D36:$D599,'Annual Energy Data'!$A43,'Monthly Energy Data'!AZ36:AZ599)</f>
        <v>0</v>
      </c>
      <c r="AO43" s="8">
        <f>+SUMIF('Monthly Energy Data'!$D36:$D599,'Annual Energy Data'!$A43,'Monthly Energy Data'!BA36:BA599)</f>
        <v>0</v>
      </c>
      <c r="AP43" s="8">
        <f>+SUMIF('Monthly Energy Data'!$D36:$D599,'Annual Energy Data'!$A43,'Monthly Energy Data'!BB36:BB599)</f>
        <v>0</v>
      </c>
      <c r="AQ43" s="8">
        <f>+SUMIF('Monthly Energy Data'!$D36:$D599,'Annual Energy Data'!$A43,'Monthly Energy Data'!BC36:BC599)</f>
        <v>0</v>
      </c>
      <c r="AR43" s="8">
        <f>+SUMIF('Monthly Energy Data'!$D36:$D599,'Annual Energy Data'!$A43,'Monthly Energy Data'!BD36:BD599)</f>
        <v>0</v>
      </c>
      <c r="AS43" s="8">
        <f>+SUMIF('Monthly Energy Data'!$D36:$D599,'Annual Energy Data'!$A43,'Monthly Energy Data'!BE36:BE599)</f>
        <v>0</v>
      </c>
      <c r="AT43" s="8">
        <f>+SUMIF('Monthly Energy Data'!$D36:$D599,'Annual Energy Data'!$A43,'Monthly Energy Data'!BF36:BF599)</f>
        <v>0</v>
      </c>
      <c r="AU43" s="8">
        <f>+SUMIF('Monthly Energy Data'!$D36:$D599,'Annual Energy Data'!$A43,'Monthly Energy Data'!BG36:BG599)</f>
        <v>0</v>
      </c>
      <c r="AV43" s="8">
        <f>+SUMIF('Monthly Energy Data'!$D36:$D599,'Annual Energy Data'!$A43,'Monthly Energy Data'!BH36:BH599)</f>
        <v>0</v>
      </c>
      <c r="AW43" s="8">
        <f>+SUMIF('Monthly Energy Data'!$D36:$D599,'Annual Energy Data'!$A43,'Monthly Energy Data'!BI36:BI599)</f>
        <v>10894.067195574658</v>
      </c>
      <c r="AX43" s="8">
        <f>+SUMIF('Monthly Energy Data'!$D36:$D599,'Annual Energy Data'!$A43,'Monthly Energy Data'!BJ36:BJ599)</f>
        <v>0</v>
      </c>
      <c r="AY43" s="8">
        <f>+SUMIF('Monthly Energy Data'!$D36:$D599,'Annual Energy Data'!$A43,'Monthly Energy Data'!BK36:BK599)</f>
        <v>0</v>
      </c>
      <c r="AZ43" s="8">
        <f>+SUMIF('Monthly Energy Data'!$D36:$D599,'Annual Energy Data'!$A43,'Monthly Energy Data'!BL36:BL599)</f>
        <v>0</v>
      </c>
      <c r="BA43" s="8">
        <f>+SUMIF('Monthly Energy Data'!$D36:$D599,'Annual Energy Data'!$A43,'Monthly Energy Data'!BM36:BM599)</f>
        <v>0</v>
      </c>
      <c r="BB43" s="8">
        <f>+SUMIF('Monthly Energy Data'!$D36:$D599,'Annual Energy Data'!$A43,'Monthly Energy Data'!BN36:BN599)</f>
        <v>0</v>
      </c>
      <c r="BC43" s="8">
        <f>+SUMIF('Monthly Energy Data'!$D36:$D599,'Annual Energy Data'!$A43,'Monthly Energy Data'!BO36:BO599)</f>
        <v>134.36643599999999</v>
      </c>
      <c r="BD43" s="8">
        <f>+SUMIF('Monthly Energy Data'!$D36:$D599,'Annual Energy Data'!$A43,'Monthly Energy Data'!BP36:BP599)</f>
        <v>0</v>
      </c>
      <c r="BE43" s="8">
        <f>+SUMIF('Monthly Energy Data'!$D36:$D599,'Annual Energy Data'!$A43,'Monthly Energy Data'!BQ36:BQ599)</f>
        <v>0</v>
      </c>
      <c r="BF43" s="8">
        <f>+SUMIF('Monthly Energy Data'!$D36:$D599,'Annual Energy Data'!$A43,'Monthly Energy Data'!BR36:BR599)</f>
        <v>0</v>
      </c>
      <c r="BG43" s="8">
        <f>+SUMIF('Monthly Energy Data'!$D36:$D599,'Annual Energy Data'!$A43,'Monthly Energy Data'!BS36:BS599)</f>
        <v>0</v>
      </c>
      <c r="BH43" s="8">
        <f>+SUMIF('Monthly Energy Data'!$D36:$D599,'Annual Energy Data'!$A43,'Monthly Energy Data'!BT36:BT599)</f>
        <v>2234.1994251501269</v>
      </c>
      <c r="BI43" s="8">
        <f>+SUMIF('Monthly Energy Data'!$D36:$D599,'Annual Energy Data'!$A43,'Monthly Energy Data'!BU36:BU599)</f>
        <v>2450.9643347343031</v>
      </c>
      <c r="BJ43" s="8">
        <f>+SUMIF('Monthly Energy Data'!$D36:$D599,'Annual Energy Data'!$A43,'Monthly Energy Data'!BV36:BX599)</f>
        <v>9334.3472612153091</v>
      </c>
      <c r="BK43" s="8">
        <f>+SUMIF('Monthly Energy Data'!$D36:$D599,'Annual Energy Data'!$A43,'Monthly Energy Data'!BY36:BY599)</f>
        <v>0</v>
      </c>
      <c r="BL43" s="8">
        <f>+SUMIF('Monthly Energy Data'!$D36:$D599,'Annual Energy Data'!$A43,'Monthly Energy Data'!BZ36:BZ599)</f>
        <v>0</v>
      </c>
      <c r="BM43" s="8">
        <f>+SUMIF('Monthly Energy Data'!$D36:$D599,'Annual Energy Data'!$A43,'Monthly Energy Data'!CA36:CA599)</f>
        <v>0</v>
      </c>
      <c r="BN43" s="8">
        <f>+SUMIF('Monthly Energy Data'!$D36:$D599,'Annual Energy Data'!$A43,'Monthly Energy Data'!CB36:CB599)</f>
        <v>0</v>
      </c>
      <c r="BO43" s="8">
        <f>+SUMIF('Monthly Energy Data'!$D36:$D599,'Annual Energy Data'!$A43,'Monthly Energy Data'!CC36:CC599)</f>
        <v>0</v>
      </c>
      <c r="BP43" s="8">
        <f>+SUMIF('Monthly Energy Data'!$D36:$D599,'Annual Energy Data'!$A43,'Monthly Energy Data'!CD36:CD599)</f>
        <v>0</v>
      </c>
      <c r="BQ43" s="8">
        <f>+SUMIF('Monthly Energy Data'!$D36:$D599,'Annual Energy Data'!$A43,'Monthly Energy Data'!CE36:CE599)</f>
        <v>0</v>
      </c>
      <c r="BR43" s="8">
        <f>+SUMIF('Monthly Energy Data'!$D36:$D599,'Annual Energy Data'!$A43,'Monthly Energy Data'!CF36:CF599)</f>
        <v>0</v>
      </c>
      <c r="BS43" s="8">
        <f>+SUMIF('Monthly Energy Data'!$D36:$D599,'Annual Energy Data'!$A43,'Monthly Energy Data'!CG36:CG599)</f>
        <v>0</v>
      </c>
      <c r="BT43" s="8">
        <f>+SUMIF('Monthly Energy Data'!$D36:$D599,'Annual Energy Data'!$A43,'Monthly Energy Data'!CH36:CH599)</f>
        <v>0</v>
      </c>
      <c r="BU43" s="8">
        <f>+SUMIF('Monthly Energy Data'!$D36:$D599,'Annual Energy Data'!$A43,'Monthly Energy Data'!CI36:CI599)</f>
        <v>0</v>
      </c>
      <c r="BV43" s="8">
        <f>+SUMIF('Monthly Energy Data'!$D36:$D599,'Annual Energy Data'!$A43,'Monthly Energy Data'!CJ36:CJ599)</f>
        <v>0</v>
      </c>
      <c r="BW43" s="8">
        <f>+SUMIF('Monthly Energy Data'!$D36:$D599,'Annual Energy Data'!$A43,'Monthly Energy Data'!CK36:CK599)</f>
        <v>90666.869616391079</v>
      </c>
      <c r="BX43" s="8">
        <f>+SUMIF('Monthly Energy Data'!$D36:$D599,'Annual Energy Data'!$A43,'Monthly Energy Data'!CL36:CL599)</f>
        <v>709152.72920453991</v>
      </c>
      <c r="BY43" s="8">
        <f>+SUMIF('Monthly Energy Data'!$D36:$D599,'Annual Energy Data'!$A43,'Monthly Energy Data'!CM36:CM599)</f>
        <v>709152.72920453991</v>
      </c>
      <c r="BZ43" s="8">
        <f>+SUMIF('Monthly Energy Data'!$D36:$D599,'Annual Energy Data'!$A43,'Monthly Energy Data'!CN36:CN599)</f>
        <v>709152.72920453991</v>
      </c>
      <c r="CA43" s="8">
        <f>+SUMIF('Monthly Energy Data'!$D36:$D599,'Annual Energy Data'!$A43,'Monthly Energy Data'!CO36:CO599)</f>
        <v>631568.013964438</v>
      </c>
      <c r="CB43" s="8">
        <f>+SUMIF('Monthly Energy Data'!$D36:$D599,'Annual Energy Data'!$A43,'Monthly Energy Data'!CP36:CP599)</f>
        <v>721767.37671420013</v>
      </c>
      <c r="CC43" s="8">
        <f>+SUMIF('Monthly Energy Data'!$D36:$D599,'Annual Energy Data'!$A43,'Monthly Energy Data'!CQ36:CQ599)</f>
        <v>580539.87255961471</v>
      </c>
      <c r="CD43" s="8">
        <f>+SUMIF('Monthly Energy Data'!$D36:$D599,'Annual Energy Data'!$A43,'Monthly Energy Data'!CR36:CR599)</f>
        <v>709152.72920453991</v>
      </c>
      <c r="CE43" s="8">
        <f>+SUMIF('Monthly Energy Data'!$D36:$D599,'Annual Energy Data'!$A43,'Monthly Energy Data'!CS36:CS599)</f>
        <v>709152.72920453991</v>
      </c>
      <c r="CF43" s="8">
        <f>+SUMIF('Monthly Energy Data'!$D36:$D599,'Annual Energy Data'!$A43,'Monthly Energy Data'!CT36:CT599)</f>
        <v>709152.72920453991</v>
      </c>
      <c r="CG43" s="8"/>
      <c r="CH43" s="8">
        <f>+SUMIF('Monthly Energy Data'!$D36:$D599,'Annual Energy Data'!$A43,'Monthly Energy Data'!DD36:DD599)</f>
        <v>0</v>
      </c>
      <c r="CI43" s="8">
        <f>+SUMIF('Monthly Energy Data'!$D36:$D599,'Annual Energy Data'!$A43,'Monthly Energy Data'!DE36:DE599)</f>
        <v>0</v>
      </c>
      <c r="CJ43" s="8">
        <f>+SUMIF('Monthly Energy Data'!$D36:$D599,'Annual Energy Data'!$A43,'Monthly Energy Data'!DF36:DF599)</f>
        <v>0</v>
      </c>
      <c r="CK43" s="8">
        <f>+SUMIF('Monthly Energy Data'!$D36:$D599,'Annual Energy Data'!$A43,'Monthly Energy Data'!DG36:DG599)</f>
        <v>0</v>
      </c>
      <c r="CL43" s="8">
        <f>+SUMIF('Monthly Energy Data'!$D36:$D599,'Annual Energy Data'!$A43,'Monthly Energy Data'!DH36:DH599)</f>
        <v>0</v>
      </c>
      <c r="CM43" s="8">
        <f>+SUMIF('Monthly Energy Data'!$D36:$D599,'Annual Energy Data'!$A43,'Monthly Energy Data'!DI36:DI599)</f>
        <v>0</v>
      </c>
      <c r="CN43" s="8">
        <f>+SUMIF('Monthly Energy Data'!$D36:$D599,'Annual Energy Data'!$A43,'Monthly Energy Data'!DJ36:DJ599)</f>
        <v>0</v>
      </c>
      <c r="CO43" s="8">
        <f>+SUMIF('Monthly Energy Data'!$D36:$D599,'Annual Energy Data'!$A43,'Monthly Energy Data'!DK36:DK599)</f>
        <v>0</v>
      </c>
      <c r="CP43" s="8">
        <f>+SUMIF('Monthly Energy Data'!$D36:$D599,'Annual Energy Data'!$A43,'Monthly Energy Data'!DL36:DL599)</f>
        <v>0</v>
      </c>
      <c r="CQ43" s="8">
        <f>+SUMIF('Monthly Energy Data'!$D36:$D599,'Annual Energy Data'!$A43,'Monthly Energy Data'!DM36:DM599)</f>
        <v>0</v>
      </c>
      <c r="CR43" s="8">
        <f>+SUMIF('Monthly Energy Data'!$D36:$D599,'Annual Energy Data'!$A43,'Monthly Energy Data'!DN36:DN599)</f>
        <v>90666.869616391079</v>
      </c>
      <c r="CS43" s="8">
        <f>+SUMIF('Monthly Energy Data'!$D36:$D599,'Annual Energy Data'!$A43,'Monthly Energy Data'!DO36:DO599)</f>
        <v>709152.72920453991</v>
      </c>
      <c r="CT43" s="8">
        <f>+SUMIF('Monthly Energy Data'!$D36:$D599,'Annual Energy Data'!$A43,'Monthly Energy Data'!DP36:DP599)</f>
        <v>709152.72920453991</v>
      </c>
      <c r="CU43" s="8">
        <f>+SUMIF('Monthly Energy Data'!$D36:$D599,'Annual Energy Data'!$A43,'Monthly Energy Data'!DQ36:DQ599)</f>
        <v>709152.72920453991</v>
      </c>
      <c r="CV43" s="8">
        <f>+SUMIF('Monthly Energy Data'!$D36:$D599,'Annual Energy Data'!$A43,'Monthly Energy Data'!DR36:DR599)</f>
        <v>631568.013964438</v>
      </c>
      <c r="CW43" s="8">
        <f>+SUMIF('Monthly Energy Data'!$D36:$D599,'Annual Energy Data'!$A43,'Monthly Energy Data'!DS36:DS599)</f>
        <v>721767.37671420013</v>
      </c>
      <c r="CX43" s="8">
        <f>+SUMIF('Monthly Energy Data'!$D36:$D599,'Annual Energy Data'!$A43,'Monthly Energy Data'!DT36:DT599)</f>
        <v>580539.87255961471</v>
      </c>
      <c r="CY43" s="8">
        <f>+SUMIF('Monthly Energy Data'!$D36:$D599,'Annual Energy Data'!$A43,'Monthly Energy Data'!DU36:DU599)</f>
        <v>709152.72920453991</v>
      </c>
      <c r="CZ43" s="8">
        <f>+SUMIF('Monthly Energy Data'!$D36:$D599,'Annual Energy Data'!$A43,'Monthly Energy Data'!DV36:DV599)</f>
        <v>709152.72920453991</v>
      </c>
      <c r="DA43" s="8">
        <f>+SUMIF('Monthly Energy Data'!$D36:$D599,'Annual Energy Data'!$A43,'Monthly Energy Data'!DW36:DW599)</f>
        <v>709152.72920453991</v>
      </c>
      <c r="DB43" s="78"/>
      <c r="DC43" s="78"/>
      <c r="DD43" s="78"/>
      <c r="DE43" s="78"/>
      <c r="DF43" s="19">
        <f t="shared" si="4"/>
        <v>0.88840097518550731</v>
      </c>
      <c r="DG43" s="78"/>
      <c r="DH43" s="78"/>
      <c r="DI43" s="78"/>
      <c r="DJ43" s="78"/>
      <c r="DK43" s="135">
        <f t="shared" si="17"/>
        <v>748303.95667791716</v>
      </c>
      <c r="DL43" s="135">
        <f t="shared" si="18"/>
        <v>607076.45252333139</v>
      </c>
      <c r="DM43" s="135">
        <f t="shared" si="19"/>
        <v>658104.59392815456</v>
      </c>
      <c r="DN43" s="58">
        <f t="shared" si="5"/>
        <v>64130.289652674401</v>
      </c>
      <c r="DO43" s="68">
        <f t="shared" si="6"/>
        <v>8.8794229011367409E-2</v>
      </c>
      <c r="DP43" s="68">
        <f t="shared" si="7"/>
        <v>7.8935975363326624E-2</v>
      </c>
      <c r="DQ43" s="68">
        <f t="shared" si="8"/>
        <v>9.5544763815644099E-2</v>
      </c>
      <c r="DR43" s="68"/>
      <c r="DS43" s="58">
        <f t="shared" si="16"/>
        <v>607076.45252333139</v>
      </c>
      <c r="DT43" s="58">
        <f t="shared" si="9"/>
        <v>64130.289652674401</v>
      </c>
      <c r="DU43" s="68">
        <f t="shared" si="10"/>
        <v>8.8794229011367409E-2</v>
      </c>
      <c r="DV43" s="68">
        <f t="shared" si="11"/>
        <v>7.8935975363326624E-2</v>
      </c>
      <c r="DW43" s="68">
        <f t="shared" si="12"/>
        <v>9.5544763815644099E-2</v>
      </c>
      <c r="DX43" s="68">
        <f t="shared" si="3"/>
        <v>0.20632111008493656</v>
      </c>
      <c r="DZ43" s="68">
        <f t="shared" si="0"/>
        <v>0.11159902481449235</v>
      </c>
      <c r="EA43" s="68">
        <f t="shared" si="1"/>
        <v>0.13508039165765134</v>
      </c>
      <c r="EB43" s="68">
        <f t="shared" si="2"/>
        <v>0.12553654175060916</v>
      </c>
      <c r="ED43" s="58" t="e">
        <f>+SUMIF('[1]Monthly Energy Data'!$D$200:$D$595,'[1]Annual Energy Data'!$A41,'[1]Monthly Energy Data'!$EK$200:$EK$595)</f>
        <v>#VALUE!</v>
      </c>
      <c r="EE43" s="58" t="e">
        <f>+SUMIF('[1]Monthly Energy Data'!$D$200:$D$595,'[1]Annual Energy Data'!$A41,'[1]Monthly Energy Data'!$EL$200:$EL$595)</f>
        <v>#VALUE!</v>
      </c>
      <c r="EF43" s="68" t="e">
        <f t="shared" si="13"/>
        <v>#VALUE!</v>
      </c>
      <c r="EG43" s="68" t="e">
        <f t="shared" si="14"/>
        <v>#VALUE!</v>
      </c>
      <c r="EH43" s="68" t="e">
        <f t="shared" si="15"/>
        <v>#VALUE!</v>
      </c>
      <c r="EO43" s="84"/>
      <c r="EP43" s="84"/>
    </row>
    <row r="44" spans="1:148" x14ac:dyDescent="0.2">
      <c r="A44" s="15">
        <f>+'Monthly Energy Data'!D440</f>
        <v>2044</v>
      </c>
      <c r="B44" s="8">
        <f>+SUMIF('Monthly Energy Data'!$D37:$D600,'Annual Energy Data'!$A44,'Monthly Energy Data'!G37:G600)</f>
        <v>550599.06629679142</v>
      </c>
      <c r="C44" s="8">
        <f>+SUMIF('Monthly Energy Data'!$D37:$D600,'Annual Energy Data'!$A44,'Monthly Energy Data'!H37:H600)</f>
        <v>550599.06629679142</v>
      </c>
      <c r="D44" s="8">
        <f>+SUMIF('Monthly Energy Data'!$D37:$D600,'Annual Energy Data'!$A44,'Monthly Energy Data'!I37:I600)</f>
        <v>550599.06629679142</v>
      </c>
      <c r="E44" s="8">
        <f>+SUMIF('Monthly Energy Data'!$D37:$D600,'Annual Energy Data'!$A44,'Monthly Energy Data'!J37:J600)</f>
        <v>111758.32199999988</v>
      </c>
      <c r="F44" s="8">
        <f>+SUMIF('Monthly Energy Data'!$D37:$D600,'Annual Energy Data'!$A44,'Monthly Energy Data'!K37:K600)</f>
        <v>111758.32199999988</v>
      </c>
      <c r="G44" s="8">
        <f>+SUMIF('Monthly Energy Data'!$D37:$D600,'Annual Energy Data'!$A44,'Monthly Energy Data'!L37:L600)</f>
        <v>111758.32199999988</v>
      </c>
      <c r="H44" s="8">
        <f>+SUMIF('Monthly Energy Data'!$D37:$D600,'Annual Energy Data'!$A44,'Monthly Energy Data'!M37:O600)</f>
        <v>13334.781801736155</v>
      </c>
      <c r="I44" s="8">
        <f>+SUMIF('Monthly Energy Data'!$D37:$D600,'Annual Energy Data'!$A44,'Monthly Energy Data'!P37:P600)</f>
        <v>423443.66587594297</v>
      </c>
      <c r="J44" s="8">
        <f>+SUMIF('Monthly Energy Data'!$D37:$D600,'Annual Energy Data'!$A44,'Monthly Energy Data'!Q37:Q600)</f>
        <v>423443.66587594297</v>
      </c>
      <c r="K44" s="8">
        <f>+SUMIF('Monthly Energy Data'!$D37:$D600,'Annual Energy Data'!$A44,'Monthly Energy Data'!R37:R600)</f>
        <v>423443.66587594297</v>
      </c>
      <c r="L44" s="8">
        <f>+SUMIF('Monthly Energy Data'!$D37:$D600,'Annual Energy Data'!$A44,'Monthly Energy Data'!S37:S600)</f>
        <v>436058.31338560343</v>
      </c>
      <c r="M44" s="8">
        <f>+SUMIF('Monthly Energy Data'!$D37:$D600,'Annual Energy Data'!$A44,'Monthly Energy Data'!T37:T600)</f>
        <v>436058.31338560343</v>
      </c>
      <c r="N44" s="8">
        <f>+SUMIF('Monthly Energy Data'!$D37:$D600,'Annual Energy Data'!$A44,'Monthly Energy Data'!U37:U600)</f>
        <v>436058.31338560343</v>
      </c>
      <c r="O44" s="8">
        <f>+SUMIF('Monthly Energy Data'!$D37:$D600,'Annual Energy Data'!$A44,'Monthly Energy Data'!V37:V600)</f>
        <v>423443.66587594297</v>
      </c>
      <c r="P44" s="8">
        <f>+SUMIF('Monthly Energy Data'!$D37:$D600,'Annual Energy Data'!$A44,'Monthly Energy Data'!W37:W600)</f>
        <v>423443.66587594297</v>
      </c>
      <c r="Q44" s="8">
        <f>+SUMIF('Monthly Energy Data'!$D37:$D600,'Annual Energy Data'!$A44,'Monthly Energy Data'!X37:X600)</f>
        <v>423443.66587594297</v>
      </c>
      <c r="R44" s="8">
        <f>+SUMIF('Monthly Energy Data'!$D37:$D600,'Annual Energy Data'!$A44,'Monthly Energy Data'!Y37:Y600)</f>
        <v>285049.04018667038</v>
      </c>
      <c r="S44" s="8">
        <f>+SUMIF('Monthly Energy Data'!$D37:$D600,'Annual Energy Data'!$A44,'Monthly Energy Data'!Z37:Z600)</f>
        <v>385679.16361662943</v>
      </c>
      <c r="T44" s="8">
        <f>+SUMIF('Monthly Energy Data'!$D37:$D600,'Annual Energy Data'!$A44,'Monthly Energy Data'!AA37:AA600)</f>
        <v>238915.92225712806</v>
      </c>
      <c r="U44" s="16">
        <f>+'Tier 3 Data'!F39</f>
        <v>721107.35357227386</v>
      </c>
      <c r="V44" s="16">
        <f>+'Tier 3 Data'!G39</f>
        <v>821737.4770022328</v>
      </c>
      <c r="W44" s="16">
        <f>+'Tier 3 Data'!H39</f>
        <v>674974.23564273154</v>
      </c>
      <c r="X44" s="16">
        <f>+'Tier 3 Data'!I39</f>
        <v>748355.85632248223</v>
      </c>
      <c r="Y44" s="63"/>
      <c r="Z44" s="8">
        <f>+SUMIF('Monthly Energy Data'!$D37:$D600,'Annual Energy Data'!$A44,'Monthly Energy Data'!AL37:AL600)</f>
        <v>0</v>
      </c>
      <c r="AA44" s="8">
        <f>+SUMIF('Monthly Energy Data'!$D37:$D600,'Annual Energy Data'!$A44,'Monthly Energy Data'!AM37:AM600)</f>
        <v>0</v>
      </c>
      <c r="AB44" s="8">
        <f>+SUMIF('Monthly Energy Data'!$D37:$D600,'Annual Energy Data'!$A44,'Monthly Energy Data'!AN37:AN600)</f>
        <v>0</v>
      </c>
      <c r="AC44" s="8">
        <f>+SUMIF('Monthly Energy Data'!$D37:$D600,'Annual Energy Data'!$A44,'Monthly Energy Data'!AO37:AO600)</f>
        <v>0</v>
      </c>
      <c r="AD44" s="8">
        <f>+SUMIF('Monthly Energy Data'!$D37:$D600,'Annual Energy Data'!$A44,'Monthly Energy Data'!AP37:AP600)</f>
        <v>0</v>
      </c>
      <c r="AE44" s="8">
        <f>+SUMIF('Monthly Energy Data'!$D37:$D600,'Annual Energy Data'!$A44,'Monthly Energy Data'!AQ37:AQ600)</f>
        <v>0</v>
      </c>
      <c r="AF44" s="8">
        <f>+SUMIF('Monthly Energy Data'!$D37:$D600,'Annual Energy Data'!$A44,'Monthly Energy Data'!AR37:AR600)</f>
        <v>0</v>
      </c>
      <c r="AG44" s="8">
        <f>+SUMIF('Monthly Energy Data'!$D37:$D600,'Annual Energy Data'!$A44,'Monthly Energy Data'!AS37:AS600)</f>
        <v>0</v>
      </c>
      <c r="AH44" s="8">
        <f>+SUMIF('Monthly Energy Data'!$D37:$D600,'Annual Energy Data'!$A44,'Monthly Energy Data'!AT37:AT600)</f>
        <v>0</v>
      </c>
      <c r="AI44" s="8">
        <f>+SUMIF('Monthly Energy Data'!$D37:$D600,'Annual Energy Data'!$A44,'Monthly Energy Data'!AU37:AU600)</f>
        <v>1269.2160000000001</v>
      </c>
      <c r="AJ44" s="8">
        <f>+SUMIF('Monthly Energy Data'!$D37:$D600,'Annual Energy Data'!$A44,'Monthly Energy Data'!AV37:AV600)</f>
        <v>37813.129000000008</v>
      </c>
      <c r="AK44" s="8">
        <f>+SUMIF('Monthly Energy Data'!$D37:$D600,'Annual Energy Data'!$A44,'Monthly Energy Data'!AW37:AW600)</f>
        <v>0</v>
      </c>
      <c r="AL44" s="8">
        <f>+SUMIF('Monthly Energy Data'!$D37:$D600,'Annual Energy Data'!$A44,'Monthly Energy Data'!AX37:AX600)</f>
        <v>0</v>
      </c>
      <c r="AM44" s="8">
        <f>+SUMIF('Monthly Energy Data'!$D37:$D600,'Annual Energy Data'!$A44,'Monthly Energy Data'!AY37:AY600)</f>
        <v>0</v>
      </c>
      <c r="AN44" s="8">
        <f>+SUMIF('Monthly Energy Data'!$D37:$D600,'Annual Energy Data'!$A44,'Monthly Energy Data'!AZ37:AZ600)</f>
        <v>0</v>
      </c>
      <c r="AO44" s="8">
        <f>+SUMIF('Monthly Energy Data'!$D37:$D600,'Annual Energy Data'!$A44,'Monthly Energy Data'!BA37:BA600)</f>
        <v>0</v>
      </c>
      <c r="AP44" s="8">
        <f>+SUMIF('Monthly Energy Data'!$D37:$D600,'Annual Energy Data'!$A44,'Monthly Energy Data'!BB37:BB600)</f>
        <v>0</v>
      </c>
      <c r="AQ44" s="8">
        <f>+SUMIF('Monthly Energy Data'!$D37:$D600,'Annual Energy Data'!$A44,'Monthly Energy Data'!BC37:BC600)</f>
        <v>0</v>
      </c>
      <c r="AR44" s="8">
        <f>+SUMIF('Monthly Energy Data'!$D37:$D600,'Annual Energy Data'!$A44,'Monthly Energy Data'!BD37:BD600)</f>
        <v>0</v>
      </c>
      <c r="AS44" s="8">
        <f>+SUMIF('Monthly Energy Data'!$D37:$D600,'Annual Energy Data'!$A44,'Monthly Energy Data'!BE37:BE600)</f>
        <v>0</v>
      </c>
      <c r="AT44" s="8">
        <f>+SUMIF('Monthly Energy Data'!$D37:$D600,'Annual Energy Data'!$A44,'Monthly Energy Data'!BF37:BF600)</f>
        <v>0</v>
      </c>
      <c r="AU44" s="8">
        <f>+SUMIF('Monthly Energy Data'!$D37:$D600,'Annual Energy Data'!$A44,'Monthly Energy Data'!BG37:BG600)</f>
        <v>0</v>
      </c>
      <c r="AV44" s="8">
        <f>+SUMIF('Monthly Energy Data'!$D37:$D600,'Annual Energy Data'!$A44,'Monthly Energy Data'!BH37:BH600)</f>
        <v>0</v>
      </c>
      <c r="AW44" s="8">
        <f>+SUMIF('Monthly Energy Data'!$D37:$D600,'Annual Energy Data'!$A44,'Monthly Energy Data'!BI37:BI600)</f>
        <v>10565.73237757724</v>
      </c>
      <c r="AX44" s="8">
        <f>+SUMIF('Monthly Energy Data'!$D37:$D600,'Annual Energy Data'!$A44,'Monthly Energy Data'!BJ37:BJ600)</f>
        <v>0</v>
      </c>
      <c r="AY44" s="8">
        <f>+SUMIF('Monthly Energy Data'!$D37:$D600,'Annual Energy Data'!$A44,'Monthly Energy Data'!BK37:BK600)</f>
        <v>0</v>
      </c>
      <c r="AZ44" s="8">
        <f>+SUMIF('Monthly Energy Data'!$D37:$D600,'Annual Energy Data'!$A44,'Monthly Energy Data'!BL37:BL600)</f>
        <v>0</v>
      </c>
      <c r="BA44" s="8">
        <f>+SUMIF('Monthly Energy Data'!$D37:$D600,'Annual Energy Data'!$A44,'Monthly Energy Data'!BM37:BM600)</f>
        <v>0</v>
      </c>
      <c r="BB44" s="8">
        <f>+SUMIF('Monthly Energy Data'!$D37:$D600,'Annual Energy Data'!$A44,'Monthly Energy Data'!BN37:BN600)</f>
        <v>0</v>
      </c>
      <c r="BC44" s="8">
        <f>+SUMIF('Monthly Energy Data'!$D37:$D600,'Annual Energy Data'!$A44,'Monthly Energy Data'!BO37:BO600)</f>
        <v>0</v>
      </c>
      <c r="BD44" s="8">
        <f>+SUMIF('Monthly Energy Data'!$D37:$D600,'Annual Energy Data'!$A44,'Monthly Energy Data'!BP37:BP600)</f>
        <v>0</v>
      </c>
      <c r="BE44" s="8">
        <f>+SUMIF('Monthly Energy Data'!$D37:$D600,'Annual Energy Data'!$A44,'Monthly Energy Data'!BQ37:BQ600)</f>
        <v>0</v>
      </c>
      <c r="BF44" s="8">
        <f>+SUMIF('Monthly Energy Data'!$D37:$D600,'Annual Energy Data'!$A44,'Monthly Energy Data'!BR37:BR600)</f>
        <v>0</v>
      </c>
      <c r="BG44" s="8">
        <f>+SUMIF('Monthly Energy Data'!$D37:$D600,'Annual Energy Data'!$A44,'Monthly Energy Data'!BS37:BS600)</f>
        <v>0</v>
      </c>
      <c r="BH44" s="8">
        <f>+SUMIF('Monthly Energy Data'!$D37:$D600,'Annual Energy Data'!$A44,'Monthly Energy Data'!BT37:BT600)</f>
        <v>2223.0284280243759</v>
      </c>
      <c r="BI44" s="8">
        <f>+SUMIF('Monthly Energy Data'!$D37:$D600,'Annual Energy Data'!$A44,'Monthly Energy Data'!BU37:BU600)</f>
        <v>2438.7095130606317</v>
      </c>
      <c r="BJ44" s="8">
        <f>+SUMIF('Monthly Energy Data'!$D37:$D600,'Annual Energy Data'!$A44,'Monthly Energy Data'!BV37:BX600)</f>
        <v>9334.3472612153091</v>
      </c>
      <c r="BK44" s="8">
        <f>+SUMIF('Monthly Energy Data'!$D37:$D600,'Annual Energy Data'!$A44,'Monthly Energy Data'!BY37:BY600)</f>
        <v>0</v>
      </c>
      <c r="BL44" s="8">
        <f>+SUMIF('Monthly Energy Data'!$D37:$D600,'Annual Energy Data'!$A44,'Monthly Energy Data'!BZ37:BZ600)</f>
        <v>0</v>
      </c>
      <c r="BM44" s="8">
        <f>+SUMIF('Monthly Energy Data'!$D37:$D600,'Annual Energy Data'!$A44,'Monthly Energy Data'!CA37:CA600)</f>
        <v>0</v>
      </c>
      <c r="BN44" s="8">
        <f>+SUMIF('Monthly Energy Data'!$D37:$D600,'Annual Energy Data'!$A44,'Monthly Energy Data'!CB37:CB600)</f>
        <v>0</v>
      </c>
      <c r="BO44" s="8">
        <f>+SUMIF('Monthly Energy Data'!$D37:$D600,'Annual Energy Data'!$A44,'Monthly Energy Data'!CC37:CC600)</f>
        <v>0</v>
      </c>
      <c r="BP44" s="8">
        <f>+SUMIF('Monthly Energy Data'!$D37:$D600,'Annual Energy Data'!$A44,'Monthly Energy Data'!CD37:CD600)</f>
        <v>0</v>
      </c>
      <c r="BQ44" s="8">
        <f>+SUMIF('Monthly Energy Data'!$D37:$D600,'Annual Energy Data'!$A44,'Monthly Energy Data'!CE37:CE600)</f>
        <v>0</v>
      </c>
      <c r="BR44" s="8">
        <f>+SUMIF('Monthly Energy Data'!$D37:$D600,'Annual Energy Data'!$A44,'Monthly Energy Data'!CF37:CF600)</f>
        <v>0</v>
      </c>
      <c r="BS44" s="8">
        <f>+SUMIF('Monthly Energy Data'!$D37:$D600,'Annual Energy Data'!$A44,'Monthly Energy Data'!CG37:CG600)</f>
        <v>0</v>
      </c>
      <c r="BT44" s="8">
        <f>+SUMIF('Monthly Energy Data'!$D37:$D600,'Annual Energy Data'!$A44,'Monthly Energy Data'!CH37:CH600)</f>
        <v>0</v>
      </c>
      <c r="BU44" s="8">
        <f>+SUMIF('Monthly Energy Data'!$D37:$D600,'Annual Energy Data'!$A44,'Monthly Energy Data'!CI37:CI600)</f>
        <v>0</v>
      </c>
      <c r="BV44" s="8">
        <f>+SUMIF('Monthly Energy Data'!$D37:$D600,'Annual Energy Data'!$A44,'Monthly Energy Data'!CJ37:CJ600)</f>
        <v>0</v>
      </c>
      <c r="BW44" s="8">
        <f>+SUMIF('Monthly Energy Data'!$D37:$D600,'Annual Energy Data'!$A44,'Monthly Energy Data'!CK37:CK600)</f>
        <v>90236.33163397554</v>
      </c>
      <c r="BX44" s="8">
        <f>+SUMIF('Monthly Energy Data'!$D37:$D600,'Annual Energy Data'!$A44,'Monthly Energy Data'!CL37:CL600)</f>
        <v>718886.49785859673</v>
      </c>
      <c r="BY44" s="8">
        <f>+SUMIF('Monthly Energy Data'!$D37:$D600,'Annual Energy Data'!$A44,'Monthly Energy Data'!CM37:CM600)</f>
        <v>718886.49785859673</v>
      </c>
      <c r="BZ44" s="8">
        <f>+SUMIF('Monthly Energy Data'!$D37:$D600,'Annual Energy Data'!$A44,'Monthly Energy Data'!CN37:CN600)</f>
        <v>718886.49785859673</v>
      </c>
      <c r="CA44" s="8">
        <f>+SUMIF('Monthly Energy Data'!$D37:$D600,'Annual Energy Data'!$A44,'Monthly Energy Data'!CO37:CO600)</f>
        <v>630871.02193829836</v>
      </c>
      <c r="CB44" s="8">
        <f>+SUMIF('Monthly Energy Data'!$D37:$D600,'Annual Energy Data'!$A44,'Monthly Energy Data'!CP37:CP600)</f>
        <v>731501.1453682573</v>
      </c>
      <c r="CC44" s="8">
        <f>+SUMIF('Monthly Energy Data'!$D37:$D600,'Annual Energy Data'!$A44,'Monthly Energy Data'!CQ37:CQ600)</f>
        <v>584737.90400875593</v>
      </c>
      <c r="CD44" s="8">
        <f>+SUMIF('Monthly Energy Data'!$D37:$D600,'Annual Energy Data'!$A44,'Monthly Energy Data'!CR37:CR600)</f>
        <v>718886.49785859673</v>
      </c>
      <c r="CE44" s="8">
        <f>+SUMIF('Monthly Energy Data'!$D37:$D600,'Annual Energy Data'!$A44,'Monthly Energy Data'!CS37:CS600)</f>
        <v>718886.49785859673</v>
      </c>
      <c r="CF44" s="8">
        <f>+SUMIF('Monthly Energy Data'!$D37:$D600,'Annual Energy Data'!$A44,'Monthly Energy Data'!CT37:CT600)</f>
        <v>718886.49785859673</v>
      </c>
      <c r="CG44" s="8"/>
      <c r="CH44" s="8">
        <f>+SUMIF('Monthly Energy Data'!$D37:$D600,'Annual Energy Data'!$A44,'Monthly Energy Data'!DD37:DD600)</f>
        <v>0</v>
      </c>
      <c r="CI44" s="8">
        <f>+SUMIF('Monthly Energy Data'!$D37:$D600,'Annual Energy Data'!$A44,'Monthly Energy Data'!DE37:DE600)</f>
        <v>0</v>
      </c>
      <c r="CJ44" s="8">
        <f>+SUMIF('Monthly Energy Data'!$D37:$D600,'Annual Energy Data'!$A44,'Monthly Energy Data'!DF37:DF600)</f>
        <v>0</v>
      </c>
      <c r="CK44" s="8">
        <f>+SUMIF('Monthly Energy Data'!$D37:$D600,'Annual Energy Data'!$A44,'Monthly Energy Data'!DG37:DG600)</f>
        <v>0</v>
      </c>
      <c r="CL44" s="8">
        <f>+SUMIF('Monthly Energy Data'!$D37:$D600,'Annual Energy Data'!$A44,'Monthly Energy Data'!DH37:DH600)</f>
        <v>0</v>
      </c>
      <c r="CM44" s="8">
        <f>+SUMIF('Monthly Energy Data'!$D37:$D600,'Annual Energy Data'!$A44,'Monthly Energy Data'!DI37:DI600)</f>
        <v>0</v>
      </c>
      <c r="CN44" s="8">
        <f>+SUMIF('Monthly Energy Data'!$D37:$D600,'Annual Energy Data'!$A44,'Monthly Energy Data'!DJ37:DJ600)</f>
        <v>0</v>
      </c>
      <c r="CO44" s="8">
        <f>+SUMIF('Monthly Energy Data'!$D37:$D600,'Annual Energy Data'!$A44,'Monthly Energy Data'!DK37:DK600)</f>
        <v>0</v>
      </c>
      <c r="CP44" s="8">
        <f>+SUMIF('Monthly Energy Data'!$D37:$D600,'Annual Energy Data'!$A44,'Monthly Energy Data'!DL37:DL600)</f>
        <v>0</v>
      </c>
      <c r="CQ44" s="8">
        <f>+SUMIF('Monthly Energy Data'!$D37:$D600,'Annual Energy Data'!$A44,'Monthly Energy Data'!DM37:DM600)</f>
        <v>0</v>
      </c>
      <c r="CR44" s="8">
        <f>+SUMIF('Monthly Energy Data'!$D37:$D600,'Annual Energy Data'!$A44,'Monthly Energy Data'!DN37:DN600)</f>
        <v>90236.33163397554</v>
      </c>
      <c r="CS44" s="8">
        <f>+SUMIF('Monthly Energy Data'!$D37:$D600,'Annual Energy Data'!$A44,'Monthly Energy Data'!DO37:DO600)</f>
        <v>718886.49785859673</v>
      </c>
      <c r="CT44" s="8">
        <f>+SUMIF('Monthly Energy Data'!$D37:$D600,'Annual Energy Data'!$A44,'Monthly Energy Data'!DP37:DP600)</f>
        <v>718886.49785859673</v>
      </c>
      <c r="CU44" s="8">
        <f>+SUMIF('Monthly Energy Data'!$D37:$D600,'Annual Energy Data'!$A44,'Monthly Energy Data'!DQ37:DQ600)</f>
        <v>718886.49785859673</v>
      </c>
      <c r="CV44" s="8">
        <f>+SUMIF('Monthly Energy Data'!$D37:$D600,'Annual Energy Data'!$A44,'Monthly Energy Data'!DR37:DR600)</f>
        <v>630871.02193829836</v>
      </c>
      <c r="CW44" s="8">
        <f>+SUMIF('Monthly Energy Data'!$D37:$D600,'Annual Energy Data'!$A44,'Monthly Energy Data'!DS37:DS600)</f>
        <v>731501.1453682573</v>
      </c>
      <c r="CX44" s="8">
        <f>+SUMIF('Monthly Energy Data'!$D37:$D600,'Annual Energy Data'!$A44,'Monthly Energy Data'!DT37:DT600)</f>
        <v>584737.90400875593</v>
      </c>
      <c r="CY44" s="8">
        <f>+SUMIF('Monthly Energy Data'!$D37:$D600,'Annual Energy Data'!$A44,'Monthly Energy Data'!DU37:DU600)</f>
        <v>718886.49785859673</v>
      </c>
      <c r="CZ44" s="8">
        <f>+SUMIF('Monthly Energy Data'!$D37:$D600,'Annual Energy Data'!$A44,'Monthly Energy Data'!DV37:DV600)</f>
        <v>718886.49785859673</v>
      </c>
      <c r="DA44" s="8">
        <f>+SUMIF('Monthly Energy Data'!$D37:$D600,'Annual Energy Data'!$A44,'Monthly Energy Data'!DW37:DW600)</f>
        <v>718886.49785859673</v>
      </c>
      <c r="DB44" s="78"/>
      <c r="DC44" s="78"/>
      <c r="DD44" s="78"/>
      <c r="DE44" s="78"/>
      <c r="DF44" s="19">
        <f t="shared" si="4"/>
        <v>0.89018837017977426</v>
      </c>
      <c r="DG44" s="78"/>
      <c r="DH44" s="78"/>
      <c r="DI44" s="78"/>
      <c r="DJ44" s="78"/>
      <c r="DK44" s="135">
        <f t="shared" si="17"/>
        <v>758093.31442235527</v>
      </c>
      <c r="DL44" s="135">
        <f t="shared" si="18"/>
        <v>611330.073062854</v>
      </c>
      <c r="DM44" s="135">
        <f t="shared" si="19"/>
        <v>657463.19099239632</v>
      </c>
      <c r="DN44" s="58">
        <f t="shared" si="5"/>
        <v>63644.162579877564</v>
      </c>
      <c r="DO44" s="68">
        <f t="shared" si="6"/>
        <v>8.8258928805250006E-2</v>
      </c>
      <c r="DP44" s="68">
        <f t="shared" si="7"/>
        <v>7.7450724058560405E-2</v>
      </c>
      <c r="DQ44" s="68">
        <f t="shared" si="8"/>
        <v>9.4291247308534082E-2</v>
      </c>
      <c r="DR44" s="68"/>
      <c r="DS44" s="58">
        <f t="shared" si="16"/>
        <v>611330.073062854</v>
      </c>
      <c r="DT44" s="58">
        <f t="shared" si="9"/>
        <v>63644.162579877564</v>
      </c>
      <c r="DU44" s="68">
        <f t="shared" si="10"/>
        <v>8.8258928805250006E-2</v>
      </c>
      <c r="DV44" s="68">
        <f t="shared" si="11"/>
        <v>7.7450724058560405E-2</v>
      </c>
      <c r="DW44" s="68">
        <f t="shared" si="12"/>
        <v>9.4291247308534082E-2</v>
      </c>
      <c r="DX44" s="68">
        <f t="shared" si="3"/>
        <v>0.20693638640522871</v>
      </c>
      <c r="DZ44" s="68">
        <f t="shared" si="0"/>
        <v>0.10981162982022585</v>
      </c>
      <c r="EA44" s="68">
        <f t="shared" si="1"/>
        <v>0.13368855708699709</v>
      </c>
      <c r="EB44" s="68">
        <f t="shared" si="2"/>
        <v>0.1251357806669926</v>
      </c>
      <c r="ED44" s="58" t="e">
        <f>+SUMIF('[1]Monthly Energy Data'!$D$200:$D$595,'[1]Annual Energy Data'!$A42,'[1]Monthly Energy Data'!$EK$200:$EK$595)</f>
        <v>#VALUE!</v>
      </c>
      <c r="EE44" s="58" t="e">
        <f>+SUMIF('[1]Monthly Energy Data'!$D$200:$D$595,'[1]Annual Energy Data'!$A42,'[1]Monthly Energy Data'!$EL$200:$EL$595)</f>
        <v>#VALUE!</v>
      </c>
      <c r="EF44" s="68" t="e">
        <f t="shared" si="13"/>
        <v>#VALUE!</v>
      </c>
      <c r="EG44" s="68" t="e">
        <f t="shared" si="14"/>
        <v>#VALUE!</v>
      </c>
      <c r="EH44" s="68" t="e">
        <f t="shared" si="15"/>
        <v>#VALUE!</v>
      </c>
      <c r="EO44" s="84"/>
      <c r="EP44" s="84"/>
    </row>
    <row r="45" spans="1:148" x14ac:dyDescent="0.2">
      <c r="A45" s="15">
        <f>+'Monthly Energy Data'!D452</f>
        <v>2045</v>
      </c>
      <c r="B45" s="8">
        <f>+SUMIF('Monthly Energy Data'!$D38:$D601,'Annual Energy Data'!$A45,'Monthly Energy Data'!G38:G601)</f>
        <v>552968.26629679149</v>
      </c>
      <c r="C45" s="8">
        <f>+SUMIF('Monthly Energy Data'!$D38:$D601,'Annual Energy Data'!$A45,'Monthly Energy Data'!H38:H601)</f>
        <v>552968.26629679149</v>
      </c>
      <c r="D45" s="8">
        <f>+SUMIF('Monthly Energy Data'!$D38:$D601,'Annual Energy Data'!$A45,'Monthly Energy Data'!I38:I601)</f>
        <v>552968.26629679149</v>
      </c>
      <c r="E45" s="8">
        <f>+SUMIF('Monthly Energy Data'!$D38:$D601,'Annual Energy Data'!$A45,'Monthly Energy Data'!J38:J601)</f>
        <v>117490.81799999977</v>
      </c>
      <c r="F45" s="8">
        <f>+SUMIF('Monthly Energy Data'!$D38:$D601,'Annual Energy Data'!$A45,'Monthly Energy Data'!K38:K601)</f>
        <v>117490.81799999977</v>
      </c>
      <c r="G45" s="8">
        <f>+SUMIF('Monthly Energy Data'!$D38:$D601,'Annual Energy Data'!$A45,'Monthly Energy Data'!L38:L601)</f>
        <v>117490.81799999977</v>
      </c>
      <c r="H45" s="8">
        <f>+SUMIF('Monthly Energy Data'!$D38:$D601,'Annual Energy Data'!$A45,'Monthly Energy Data'!M38:O601)</f>
        <v>13334.781801736155</v>
      </c>
      <c r="I45" s="8">
        <f>+SUMIF('Monthly Energy Data'!$D38:$D601,'Annual Energy Data'!$A45,'Monthly Energy Data'!P38:P601)</f>
        <v>420039.12366537243</v>
      </c>
      <c r="J45" s="8">
        <f>+SUMIF('Monthly Energy Data'!$D38:$D601,'Annual Energy Data'!$A45,'Monthly Energy Data'!Q38:Q601)</f>
        <v>420039.12366537243</v>
      </c>
      <c r="K45" s="8">
        <f>+SUMIF('Monthly Energy Data'!$D38:$D601,'Annual Energy Data'!$A45,'Monthly Energy Data'!R38:R601)</f>
        <v>420039.12366537243</v>
      </c>
      <c r="L45" s="8">
        <f>+SUMIF('Monthly Energy Data'!$D38:$D601,'Annual Energy Data'!$A45,'Monthly Energy Data'!S38:S601)</f>
        <v>432653.77117503283</v>
      </c>
      <c r="M45" s="8">
        <f>+SUMIF('Monthly Energy Data'!$D38:$D601,'Annual Energy Data'!$A45,'Monthly Energy Data'!T38:T601)</f>
        <v>432653.77117503283</v>
      </c>
      <c r="N45" s="8">
        <f>+SUMIF('Monthly Energy Data'!$D38:$D601,'Annual Energy Data'!$A45,'Monthly Energy Data'!U38:U601)</f>
        <v>432653.77117503283</v>
      </c>
      <c r="O45" s="8">
        <f>+SUMIF('Monthly Energy Data'!$D38:$D601,'Annual Energy Data'!$A45,'Monthly Energy Data'!V38:V601)</f>
        <v>420039.12366537243</v>
      </c>
      <c r="P45" s="8">
        <f>+SUMIF('Monthly Energy Data'!$D38:$D601,'Annual Energy Data'!$A45,'Monthly Energy Data'!W38:W601)</f>
        <v>420039.12366537243</v>
      </c>
      <c r="Q45" s="8">
        <f>+SUMIF('Monthly Energy Data'!$D38:$D601,'Annual Energy Data'!$A45,'Monthly Energy Data'!X38:X601)</f>
        <v>420039.12366537243</v>
      </c>
      <c r="R45" s="8">
        <f>+SUMIF('Monthly Energy Data'!$D38:$D601,'Annual Energy Data'!$A45,'Monthly Energy Data'!Y38:Y601)</f>
        <v>287307.744704907</v>
      </c>
      <c r="S45" s="8">
        <f>+SUMIF('Monthly Energy Data'!$D38:$D601,'Annual Energy Data'!$A45,'Monthly Energy Data'!Z38:Z601)</f>
        <v>398369.51418414863</v>
      </c>
      <c r="T45" s="8">
        <f>+SUMIF('Monthly Energy Data'!$D38:$D601,'Annual Energy Data'!$A45,'Monthly Energy Data'!AA38:AA601)</f>
        <v>245463.74956302595</v>
      </c>
      <c r="U45" s="16">
        <f>+'Tier 3 Data'!F40</f>
        <v>719961.51587993989</v>
      </c>
      <c r="V45" s="16">
        <f>+'Tier 3 Data'!G40</f>
        <v>831023.28535918146</v>
      </c>
      <c r="W45" s="16">
        <f>+'Tier 3 Data'!H40</f>
        <v>678117.52073805872</v>
      </c>
      <c r="X45" s="16">
        <f>+'Tier 3 Data'!I40</f>
        <v>754570.40304862009</v>
      </c>
      <c r="Y45" s="63"/>
      <c r="Z45" s="8">
        <f>+SUMIF('Monthly Energy Data'!$D38:$D601,'Annual Energy Data'!$A45,'Monthly Energy Data'!AL38:AL601)</f>
        <v>0</v>
      </c>
      <c r="AA45" s="8">
        <f>+SUMIF('Monthly Energy Data'!$D38:$D601,'Annual Energy Data'!$A45,'Monthly Energy Data'!AM38:AM601)</f>
        <v>0</v>
      </c>
      <c r="AB45" s="8">
        <f>+SUMIF('Monthly Energy Data'!$D38:$D601,'Annual Energy Data'!$A45,'Monthly Energy Data'!AN38:AN601)</f>
        <v>0</v>
      </c>
      <c r="AC45" s="8">
        <f>+SUMIF('Monthly Energy Data'!$D38:$D601,'Annual Energy Data'!$A45,'Monthly Energy Data'!AO38:AO601)</f>
        <v>0</v>
      </c>
      <c r="AD45" s="8">
        <f>+SUMIF('Monthly Energy Data'!$D38:$D601,'Annual Energy Data'!$A45,'Monthly Energy Data'!AP38:AP601)</f>
        <v>0</v>
      </c>
      <c r="AE45" s="8">
        <f>+SUMIF('Monthly Energy Data'!$D38:$D601,'Annual Energy Data'!$A45,'Monthly Energy Data'!AQ38:AQ601)</f>
        <v>0</v>
      </c>
      <c r="AF45" s="8">
        <f>+SUMIF('Monthly Energy Data'!$D38:$D601,'Annual Energy Data'!$A45,'Monthly Energy Data'!AR38:AR601)</f>
        <v>0</v>
      </c>
      <c r="AG45" s="8">
        <f>+SUMIF('Monthly Energy Data'!$D38:$D601,'Annual Energy Data'!$A45,'Monthly Energy Data'!AS38:AS601)</f>
        <v>0</v>
      </c>
      <c r="AH45" s="8">
        <f>+SUMIF('Monthly Energy Data'!$D38:$D601,'Annual Energy Data'!$A45,'Monthly Energy Data'!AT38:AT601)</f>
        <v>0</v>
      </c>
      <c r="AI45" s="8">
        <f>+SUMIF('Monthly Energy Data'!$D38:$D601,'Annual Energy Data'!$A45,'Monthly Energy Data'!AU38:AU601)</f>
        <v>1269.2160000000001</v>
      </c>
      <c r="AJ45" s="8">
        <f>+SUMIF('Monthly Energy Data'!$D38:$D601,'Annual Energy Data'!$A45,'Monthly Energy Data'!AV38:AV601)</f>
        <v>37813.129000000008</v>
      </c>
      <c r="AK45" s="8">
        <f>+SUMIF('Monthly Energy Data'!$D38:$D601,'Annual Energy Data'!$A45,'Monthly Energy Data'!AW38:AW601)</f>
        <v>0</v>
      </c>
      <c r="AL45" s="8">
        <f>+SUMIF('Monthly Energy Data'!$D38:$D601,'Annual Energy Data'!$A45,'Monthly Energy Data'!AX38:AX601)</f>
        <v>0</v>
      </c>
      <c r="AM45" s="8">
        <f>+SUMIF('Monthly Energy Data'!$D38:$D601,'Annual Energy Data'!$A45,'Monthly Energy Data'!AY38:AY601)</f>
        <v>0</v>
      </c>
      <c r="AN45" s="8">
        <f>+SUMIF('Monthly Energy Data'!$D38:$D601,'Annual Energy Data'!$A45,'Monthly Energy Data'!AZ38:AZ601)</f>
        <v>0</v>
      </c>
      <c r="AO45" s="8">
        <f>+SUMIF('Monthly Energy Data'!$D38:$D601,'Annual Energy Data'!$A45,'Monthly Energy Data'!BA38:BA601)</f>
        <v>0</v>
      </c>
      <c r="AP45" s="8">
        <f>+SUMIF('Monthly Energy Data'!$D38:$D601,'Annual Energy Data'!$A45,'Monthly Energy Data'!BB38:BB601)</f>
        <v>0</v>
      </c>
      <c r="AQ45" s="8">
        <f>+SUMIF('Monthly Energy Data'!$D38:$D601,'Annual Energy Data'!$A45,'Monthly Energy Data'!BC38:BC601)</f>
        <v>0</v>
      </c>
      <c r="AR45" s="8">
        <f>+SUMIF('Monthly Energy Data'!$D38:$D601,'Annual Energy Data'!$A45,'Monthly Energy Data'!BD38:BD601)</f>
        <v>0</v>
      </c>
      <c r="AS45" s="8">
        <f>+SUMIF('Monthly Energy Data'!$D38:$D601,'Annual Energy Data'!$A45,'Monthly Energy Data'!BE38:BE601)</f>
        <v>0</v>
      </c>
      <c r="AT45" s="8">
        <f>+SUMIF('Monthly Energy Data'!$D38:$D601,'Annual Energy Data'!$A45,'Monthly Energy Data'!BF38:BF601)</f>
        <v>0</v>
      </c>
      <c r="AU45" s="8">
        <f>+SUMIF('Monthly Energy Data'!$D38:$D601,'Annual Energy Data'!$A45,'Monthly Energy Data'!BG38:BG601)</f>
        <v>0</v>
      </c>
      <c r="AV45" s="8">
        <f>+SUMIF('Monthly Energy Data'!$D38:$D601,'Annual Energy Data'!$A45,'Monthly Energy Data'!BH38:BH601)</f>
        <v>0</v>
      </c>
      <c r="AW45" s="8">
        <f>+SUMIF('Monthly Energy Data'!$D38:$D601,'Annual Energy Data'!$A45,'Monthly Energy Data'!BI38:BI601)</f>
        <v>9903.1627649343609</v>
      </c>
      <c r="AX45" s="8">
        <f>+SUMIF('Monthly Energy Data'!$D38:$D601,'Annual Energy Data'!$A45,'Monthly Energy Data'!BJ38:BJ601)</f>
        <v>0</v>
      </c>
      <c r="AY45" s="8">
        <f>+SUMIF('Monthly Energy Data'!$D38:$D601,'Annual Energy Data'!$A45,'Monthly Energy Data'!BK38:BK601)</f>
        <v>0</v>
      </c>
      <c r="AZ45" s="8">
        <f>+SUMIF('Monthly Energy Data'!$D38:$D601,'Annual Energy Data'!$A45,'Monthly Energy Data'!BL38:BL601)</f>
        <v>0</v>
      </c>
      <c r="BA45" s="8">
        <f>+SUMIF('Monthly Energy Data'!$D38:$D601,'Annual Energy Data'!$A45,'Monthly Energy Data'!BM38:BM601)</f>
        <v>0</v>
      </c>
      <c r="BB45" s="8">
        <f>+SUMIF('Monthly Energy Data'!$D38:$D601,'Annual Energy Data'!$A45,'Monthly Energy Data'!BN38:BN601)</f>
        <v>0</v>
      </c>
      <c r="BC45" s="8">
        <f>+SUMIF('Monthly Energy Data'!$D38:$D601,'Annual Energy Data'!$A45,'Monthly Energy Data'!BO38:BO601)</f>
        <v>0</v>
      </c>
      <c r="BD45" s="8">
        <f>+SUMIF('Monthly Energy Data'!$D38:$D601,'Annual Energy Data'!$A45,'Monthly Energy Data'!BP38:BP601)</f>
        <v>0</v>
      </c>
      <c r="BE45" s="8">
        <f>+SUMIF('Monthly Energy Data'!$D38:$D601,'Annual Energy Data'!$A45,'Monthly Energy Data'!BQ38:BQ601)</f>
        <v>0</v>
      </c>
      <c r="BF45" s="8">
        <f>+SUMIF('Monthly Energy Data'!$D38:$D601,'Annual Energy Data'!$A45,'Monthly Energy Data'!BR38:BR601)</f>
        <v>0</v>
      </c>
      <c r="BG45" s="8">
        <f>+SUMIF('Monthly Energy Data'!$D38:$D601,'Annual Energy Data'!$A45,'Monthly Energy Data'!BS38:BS601)</f>
        <v>0</v>
      </c>
      <c r="BH45" s="8">
        <f>+SUMIF('Monthly Energy Data'!$D38:$D601,'Annual Energy Data'!$A45,'Monthly Energy Data'!BT38:BT601)</f>
        <v>702.17573329252434</v>
      </c>
      <c r="BI45" s="8">
        <f>+SUMIF('Monthly Energy Data'!$D38:$D601,'Annual Energy Data'!$A45,'Monthly Energy Data'!BU38:BU601)</f>
        <v>2426.5159654953281</v>
      </c>
      <c r="BJ45" s="8">
        <f>+SUMIF('Monthly Energy Data'!$D38:$D601,'Annual Energy Data'!$A45,'Monthly Energy Data'!BV38:BX601)</f>
        <v>9334.3472612153091</v>
      </c>
      <c r="BK45" s="8">
        <f>+SUMIF('Monthly Energy Data'!$D38:$D601,'Annual Energy Data'!$A45,'Monthly Energy Data'!BY38:BY601)</f>
        <v>0</v>
      </c>
      <c r="BL45" s="8">
        <f>+SUMIF('Monthly Energy Data'!$D38:$D601,'Annual Energy Data'!$A45,'Monthly Energy Data'!BZ38:BZ601)</f>
        <v>0</v>
      </c>
      <c r="BM45" s="8">
        <f>+SUMIF('Monthly Energy Data'!$D38:$D601,'Annual Energy Data'!$A45,'Monthly Energy Data'!CA38:CA601)</f>
        <v>0</v>
      </c>
      <c r="BN45" s="8">
        <f>+SUMIF('Monthly Energy Data'!$D38:$D601,'Annual Energy Data'!$A45,'Monthly Energy Data'!CB38:CB601)</f>
        <v>0</v>
      </c>
      <c r="BO45" s="8">
        <f>+SUMIF('Monthly Energy Data'!$D38:$D601,'Annual Energy Data'!$A45,'Monthly Energy Data'!CC38:CC601)</f>
        <v>0</v>
      </c>
      <c r="BP45" s="8">
        <f>+SUMIF('Monthly Energy Data'!$D38:$D601,'Annual Energy Data'!$A45,'Monthly Energy Data'!CD38:CD601)</f>
        <v>0</v>
      </c>
      <c r="BQ45" s="8">
        <f>+SUMIF('Monthly Energy Data'!$D38:$D601,'Annual Energy Data'!$A45,'Monthly Energy Data'!CE38:CE601)</f>
        <v>0</v>
      </c>
      <c r="BR45" s="8">
        <f>+SUMIF('Monthly Energy Data'!$D38:$D601,'Annual Energy Data'!$A45,'Monthly Energy Data'!CF38:CF601)</f>
        <v>0</v>
      </c>
      <c r="BS45" s="8">
        <f>+SUMIF('Monthly Energy Data'!$D38:$D601,'Annual Energy Data'!$A45,'Monthly Energy Data'!CG38:CG601)</f>
        <v>0</v>
      </c>
      <c r="BT45" s="8">
        <f>+SUMIF('Monthly Energy Data'!$D38:$D601,'Annual Energy Data'!$A45,'Monthly Energy Data'!CH38:CH601)</f>
        <v>0</v>
      </c>
      <c r="BU45" s="8">
        <f>+SUMIF('Monthly Energy Data'!$D38:$D601,'Annual Energy Data'!$A45,'Monthly Energy Data'!CI38:CI601)</f>
        <v>0</v>
      </c>
      <c r="BV45" s="8">
        <f>+SUMIF('Monthly Energy Data'!$D38:$D601,'Annual Energy Data'!$A45,'Monthly Energy Data'!CJ38:CJ601)</f>
        <v>0</v>
      </c>
      <c r="BW45" s="8">
        <f>+SUMIF('Monthly Energy Data'!$D38:$D601,'Annual Energy Data'!$A45,'Monthly Energy Data'!CK38:CK601)</f>
        <v>88136.956937034018</v>
      </c>
      <c r="BX45" s="8">
        <f>+SUMIF('Monthly Energy Data'!$D38:$D601,'Annual Energy Data'!$A45,'Monthly Energy Data'!CL38:CL601)</f>
        <v>730271.68091248686</v>
      </c>
      <c r="BY45" s="8">
        <f>+SUMIF('Monthly Energy Data'!$D38:$D601,'Annual Energy Data'!$A45,'Monthly Energy Data'!CM38:CM601)</f>
        <v>730271.68091248686</v>
      </c>
      <c r="BZ45" s="8">
        <f>+SUMIF('Monthly Energy Data'!$D38:$D601,'Annual Energy Data'!$A45,'Monthly Energy Data'!CN38:CN601)</f>
        <v>730271.68091248686</v>
      </c>
      <c r="CA45" s="8">
        <f>+SUMIF('Monthly Energy Data'!$D38:$D601,'Annual Energy Data'!$A45,'Monthly Energy Data'!CO38:CO601)</f>
        <v>631824.55894290574</v>
      </c>
      <c r="CB45" s="8">
        <f>+SUMIF('Monthly Energy Data'!$D38:$D601,'Annual Energy Data'!$A45,'Monthly Energy Data'!CP38:CP601)</f>
        <v>742886.32842214743</v>
      </c>
      <c r="CC45" s="8">
        <f>+SUMIF('Monthly Energy Data'!$D38:$D601,'Annual Energy Data'!$A45,'Monthly Energy Data'!CQ38:CQ601)</f>
        <v>589980.56380102469</v>
      </c>
      <c r="CD45" s="8">
        <f>+SUMIF('Monthly Energy Data'!$D38:$D601,'Annual Energy Data'!$A45,'Monthly Energy Data'!CR38:CR601)</f>
        <v>730271.68091248686</v>
      </c>
      <c r="CE45" s="8">
        <f>+SUMIF('Monthly Energy Data'!$D38:$D601,'Annual Energy Data'!$A45,'Monthly Energy Data'!CS38:CS601)</f>
        <v>730271.68091248686</v>
      </c>
      <c r="CF45" s="8">
        <f>+SUMIF('Monthly Energy Data'!$D38:$D601,'Annual Energy Data'!$A45,'Monthly Energy Data'!CT38:CT601)</f>
        <v>730271.68091248686</v>
      </c>
      <c r="CG45" s="8"/>
      <c r="CH45" s="8">
        <f>+SUMIF('Monthly Energy Data'!$D38:$D601,'Annual Energy Data'!$A45,'Monthly Energy Data'!DD38:DD601)</f>
        <v>0</v>
      </c>
      <c r="CI45" s="8">
        <f>+SUMIF('Monthly Energy Data'!$D38:$D601,'Annual Energy Data'!$A45,'Monthly Energy Data'!DE38:DE601)</f>
        <v>0</v>
      </c>
      <c r="CJ45" s="8">
        <f>+SUMIF('Monthly Energy Data'!$D38:$D601,'Annual Energy Data'!$A45,'Monthly Energy Data'!DF38:DF601)</f>
        <v>0</v>
      </c>
      <c r="CK45" s="8">
        <f>+SUMIF('Monthly Energy Data'!$D38:$D601,'Annual Energy Data'!$A45,'Monthly Energy Data'!DG38:DG601)</f>
        <v>0</v>
      </c>
      <c r="CL45" s="8">
        <f>+SUMIF('Monthly Energy Data'!$D38:$D601,'Annual Energy Data'!$A45,'Monthly Energy Data'!DH38:DH601)</f>
        <v>0</v>
      </c>
      <c r="CM45" s="8">
        <f>+SUMIF('Monthly Energy Data'!$D38:$D601,'Annual Energy Data'!$A45,'Monthly Energy Data'!DI38:DI601)</f>
        <v>0</v>
      </c>
      <c r="CN45" s="8">
        <f>+SUMIF('Monthly Energy Data'!$D38:$D601,'Annual Energy Data'!$A45,'Monthly Energy Data'!DJ38:DJ601)</f>
        <v>0</v>
      </c>
      <c r="CO45" s="8">
        <f>+SUMIF('Monthly Energy Data'!$D38:$D601,'Annual Energy Data'!$A45,'Monthly Energy Data'!DK38:DK601)</f>
        <v>0</v>
      </c>
      <c r="CP45" s="8">
        <f>+SUMIF('Monthly Energy Data'!$D38:$D601,'Annual Energy Data'!$A45,'Monthly Energy Data'!DL38:DL601)</f>
        <v>0</v>
      </c>
      <c r="CQ45" s="8">
        <f>+SUMIF('Monthly Energy Data'!$D38:$D601,'Annual Energy Data'!$A45,'Monthly Energy Data'!DM38:DM601)</f>
        <v>0</v>
      </c>
      <c r="CR45" s="8">
        <f>+SUMIF('Monthly Energy Data'!$D38:$D601,'Annual Energy Data'!$A45,'Monthly Energy Data'!DN38:DN601)</f>
        <v>88136.956937034018</v>
      </c>
      <c r="CS45" s="8">
        <f>+SUMIF('Monthly Energy Data'!$D38:$D601,'Annual Energy Data'!$A45,'Monthly Energy Data'!DO38:DO601)</f>
        <v>730271.68091248686</v>
      </c>
      <c r="CT45" s="8">
        <f>+SUMIF('Monthly Energy Data'!$D38:$D601,'Annual Energy Data'!$A45,'Monthly Energy Data'!DP38:DP601)</f>
        <v>730271.68091248686</v>
      </c>
      <c r="CU45" s="8">
        <f>+SUMIF('Monthly Energy Data'!$D38:$D601,'Annual Energy Data'!$A45,'Monthly Energy Data'!DQ38:DQ601)</f>
        <v>730271.68091248686</v>
      </c>
      <c r="CV45" s="8">
        <f>+SUMIF('Monthly Energy Data'!$D38:$D601,'Annual Energy Data'!$A45,'Monthly Energy Data'!DR38:DR601)</f>
        <v>631824.55894290574</v>
      </c>
      <c r="CW45" s="8">
        <f>+SUMIF('Monthly Energy Data'!$D38:$D601,'Annual Energy Data'!$A45,'Monthly Energy Data'!DS38:DS601)</f>
        <v>742886.32842214743</v>
      </c>
      <c r="CX45" s="8">
        <f>+SUMIF('Monthly Energy Data'!$D38:$D601,'Annual Energy Data'!$A45,'Monthly Energy Data'!DT38:DT601)</f>
        <v>589980.56380102469</v>
      </c>
      <c r="CY45" s="8">
        <f>+SUMIF('Monthly Energy Data'!$D38:$D601,'Annual Energy Data'!$A45,'Monthly Energy Data'!DU38:DU601)</f>
        <v>730271.68091248686</v>
      </c>
      <c r="CZ45" s="8">
        <f>+SUMIF('Monthly Energy Data'!$D38:$D601,'Annual Energy Data'!$A45,'Monthly Energy Data'!DV38:DV601)</f>
        <v>730271.68091248686</v>
      </c>
      <c r="DA45" s="8">
        <f>+SUMIF('Monthly Energy Data'!$D38:$D601,'Annual Energy Data'!$A45,'Monthly Energy Data'!DW38:DW601)</f>
        <v>730271.68091248686</v>
      </c>
      <c r="DB45" s="78"/>
      <c r="DC45" s="78"/>
      <c r="DD45" s="78"/>
      <c r="DE45" s="78"/>
      <c r="DF45" s="19">
        <f t="shared" si="4"/>
        <v>0.89394165182875729</v>
      </c>
      <c r="DG45" s="78"/>
      <c r="DH45" s="78"/>
      <c r="DI45" s="78"/>
      <c r="DJ45" s="78"/>
      <c r="DK45" s="135">
        <f t="shared" si="17"/>
        <v>769574.73863424396</v>
      </c>
      <c r="DL45" s="135">
        <f t="shared" si="18"/>
        <v>616668.97401312122</v>
      </c>
      <c r="DM45" s="135">
        <f t="shared" si="19"/>
        <v>658512.96915500239</v>
      </c>
      <c r="DN45" s="58">
        <f t="shared" si="5"/>
        <v>61448.546724937536</v>
      </c>
      <c r="DO45" s="68">
        <f t="shared" si="6"/>
        <v>8.5349765743846562E-2</v>
      </c>
      <c r="DP45" s="68">
        <f t="shared" si="7"/>
        <v>7.3943230962991005E-2</v>
      </c>
      <c r="DQ45" s="68">
        <f t="shared" si="8"/>
        <v>9.0616367879799556E-2</v>
      </c>
      <c r="DR45" s="68"/>
      <c r="DS45" s="58">
        <f t="shared" si="16"/>
        <v>616668.97401312122</v>
      </c>
      <c r="DT45" s="58">
        <f t="shared" si="9"/>
        <v>61448.546724937536</v>
      </c>
      <c r="DU45" s="68">
        <f t="shared" si="10"/>
        <v>8.5349765743846562E-2</v>
      </c>
      <c r="DV45" s="68">
        <f t="shared" si="11"/>
        <v>7.3943230962991005E-2</v>
      </c>
      <c r="DW45" s="68">
        <f t="shared" si="12"/>
        <v>9.0616367879799556E-2</v>
      </c>
      <c r="DX45" s="68">
        <f t="shared" si="3"/>
        <v>0.20371244354964296</v>
      </c>
      <c r="DZ45" s="68">
        <f t="shared" si="0"/>
        <v>0.10605834817124267</v>
      </c>
      <c r="EA45" s="68">
        <f t="shared" si="1"/>
        <v>0.12997298291468171</v>
      </c>
      <c r="EB45" s="68">
        <f t="shared" si="2"/>
        <v>0.12241898350540677</v>
      </c>
      <c r="ED45" s="58" t="e">
        <f>+SUMIF('[1]Monthly Energy Data'!$D$200:$D$595,'[1]Annual Energy Data'!$A43,'[1]Monthly Energy Data'!$EK$200:$EK$595)</f>
        <v>#VALUE!</v>
      </c>
      <c r="EE45" s="58" t="e">
        <f>+SUMIF('[1]Monthly Energy Data'!$D$200:$D$595,'[1]Annual Energy Data'!$A43,'[1]Monthly Energy Data'!$EL$200:$EL$595)</f>
        <v>#VALUE!</v>
      </c>
      <c r="EF45" s="68" t="e">
        <f t="shared" si="13"/>
        <v>#VALUE!</v>
      </c>
      <c r="EG45" s="68" t="e">
        <f t="shared" si="14"/>
        <v>#VALUE!</v>
      </c>
      <c r="EH45" s="68" t="e">
        <f t="shared" si="15"/>
        <v>#VALUE!</v>
      </c>
      <c r="EO45" s="84"/>
      <c r="EP45" s="84"/>
    </row>
    <row r="46" spans="1:148" x14ac:dyDescent="0.2">
      <c r="A46" s="15">
        <f>+'Monthly Energy Data'!D464</f>
        <v>2046</v>
      </c>
      <c r="B46" s="8">
        <f>+SUMIF('Monthly Energy Data'!$D39:$D602,'Annual Energy Data'!$A46,'Monthly Energy Data'!G39:G602)</f>
        <v>0</v>
      </c>
      <c r="C46" s="8">
        <f>+SUMIF('Monthly Energy Data'!$D39:$D602,'Annual Energy Data'!$A46,'Monthly Energy Data'!H39:H602)</f>
        <v>0</v>
      </c>
      <c r="D46" s="8">
        <f>+SUMIF('Monthly Energy Data'!$D39:$D602,'Annual Energy Data'!$A46,'Monthly Energy Data'!I39:I602)</f>
        <v>0</v>
      </c>
      <c r="E46" s="8">
        <f>+SUMIF('Monthly Energy Data'!$D39:$D602,'Annual Energy Data'!$A46,'Monthly Energy Data'!J39:J602)</f>
        <v>0</v>
      </c>
      <c r="F46" s="8">
        <f>+SUMIF('Monthly Energy Data'!$D39:$D602,'Annual Energy Data'!$A46,'Monthly Energy Data'!K39:K602)</f>
        <v>0</v>
      </c>
      <c r="G46" s="8">
        <f>+SUMIF('Monthly Energy Data'!$D39:$D602,'Annual Energy Data'!$A46,'Monthly Energy Data'!L39:L602)</f>
        <v>0</v>
      </c>
      <c r="H46" s="8">
        <f>+SUMIF('Monthly Energy Data'!$D39:$D602,'Annual Energy Data'!$A46,'Monthly Energy Data'!M39:O602)</f>
        <v>13334.781801736155</v>
      </c>
      <c r="I46" s="8">
        <f>+SUMIF('Monthly Energy Data'!$D39:$D602,'Annual Energy Data'!$A46,'Monthly Energy Data'!P39:P602)</f>
        <v>-15460.240383621356</v>
      </c>
      <c r="J46" s="8">
        <f>+SUMIF('Monthly Energy Data'!$D39:$D602,'Annual Energy Data'!$A46,'Monthly Energy Data'!Q39:Q602)</f>
        <v>-15460.240383621356</v>
      </c>
      <c r="K46" s="8">
        <f>+SUMIF('Monthly Energy Data'!$D39:$D602,'Annual Energy Data'!$A46,'Monthly Energy Data'!R39:R602)</f>
        <v>-15460.240383621356</v>
      </c>
      <c r="L46" s="8">
        <f>+SUMIF('Monthly Energy Data'!$D39:$D602,'Annual Energy Data'!$A46,'Monthly Energy Data'!S39:S602)</f>
        <v>-2845.5928739609021</v>
      </c>
      <c r="M46" s="8">
        <f>+SUMIF('Monthly Energy Data'!$D39:$D602,'Annual Energy Data'!$A46,'Monthly Energy Data'!T39:T602)</f>
        <v>-2845.5928739609021</v>
      </c>
      <c r="N46" s="8">
        <f>+SUMIF('Monthly Energy Data'!$D39:$D602,'Annual Energy Data'!$A46,'Monthly Energy Data'!U39:U602)</f>
        <v>-2845.5928739609021</v>
      </c>
      <c r="O46" s="8">
        <f>+SUMIF('Monthly Energy Data'!$D39:$D602,'Annual Energy Data'!$A46,'Monthly Energy Data'!V39:V602)</f>
        <v>-15460.240383621356</v>
      </c>
      <c r="P46" s="8">
        <f>+SUMIF('Monthly Energy Data'!$D39:$D602,'Annual Energy Data'!$A46,'Monthly Energy Data'!W39:W602)</f>
        <v>-15460.240383621356</v>
      </c>
      <c r="Q46" s="8">
        <f>+SUMIF('Monthly Energy Data'!$D39:$D602,'Annual Energy Data'!$A46,'Monthly Energy Data'!X39:X602)</f>
        <v>-15460.240383621356</v>
      </c>
      <c r="R46" s="8">
        <f>+SUMIF('Monthly Energy Data'!$D39:$D602,'Annual Energy Data'!$A46,'Monthly Energy Data'!Y39:Y602)</f>
        <v>0</v>
      </c>
      <c r="S46" s="8">
        <f>+SUMIF('Monthly Energy Data'!$D39:$D602,'Annual Energy Data'!$A46,'Monthly Energy Data'!Z39:Z602)</f>
        <v>0</v>
      </c>
      <c r="T46" s="8">
        <f>+SUMIF('Monthly Energy Data'!$D39:$D602,'Annual Energy Data'!$A46,'Monthly Energy Data'!AA39:AA602)</f>
        <v>0</v>
      </c>
      <c r="U46" s="16">
        <f>+'Tier 3 Data'!F41</f>
        <v>-2845.5928739609021</v>
      </c>
      <c r="V46" s="16">
        <f>+'Tier 3 Data'!G41</f>
        <v>-2845.5928739609021</v>
      </c>
      <c r="W46" s="16">
        <f>+'Tier 3 Data'!H41</f>
        <v>-2845.5928739609021</v>
      </c>
      <c r="X46" s="16">
        <f>+'Tier 3 Data'!I41</f>
        <v>-2845.5928739609021</v>
      </c>
      <c r="Y46" s="63"/>
      <c r="Z46" s="8">
        <f>+SUMIF('Monthly Energy Data'!$D39:$D602,'Annual Energy Data'!$A46,'Monthly Energy Data'!AL39:AL602)</f>
        <v>0</v>
      </c>
      <c r="AA46" s="8">
        <f>+SUMIF('Monthly Energy Data'!$D39:$D602,'Annual Energy Data'!$A46,'Monthly Energy Data'!AM39:AM602)</f>
        <v>0</v>
      </c>
      <c r="AB46" s="8">
        <f>+SUMIF('Monthly Energy Data'!$D39:$D602,'Annual Energy Data'!$A46,'Monthly Energy Data'!AN39:AN602)</f>
        <v>0</v>
      </c>
      <c r="AC46" s="8">
        <f>+SUMIF('Monthly Energy Data'!$D39:$D602,'Annual Energy Data'!$A46,'Monthly Energy Data'!AO39:AO602)</f>
        <v>0</v>
      </c>
      <c r="AD46" s="8">
        <f>+SUMIF('Monthly Energy Data'!$D39:$D602,'Annual Energy Data'!$A46,'Monthly Energy Data'!AP39:AP602)</f>
        <v>0</v>
      </c>
      <c r="AE46" s="8">
        <f>+SUMIF('Monthly Energy Data'!$D39:$D602,'Annual Energy Data'!$A46,'Monthly Energy Data'!AQ39:AQ602)</f>
        <v>0</v>
      </c>
      <c r="AF46" s="8">
        <f>+SUMIF('Monthly Energy Data'!$D39:$D602,'Annual Energy Data'!$A46,'Monthly Energy Data'!AR39:AR602)</f>
        <v>0</v>
      </c>
      <c r="AG46" s="8">
        <f>+SUMIF('Monthly Energy Data'!$D39:$D602,'Annual Energy Data'!$A46,'Monthly Energy Data'!AS39:AS602)</f>
        <v>0</v>
      </c>
      <c r="AH46" s="8">
        <f>+SUMIF('Monthly Energy Data'!$D39:$D602,'Annual Energy Data'!$A46,'Monthly Energy Data'!AT39:AT602)</f>
        <v>0</v>
      </c>
      <c r="AI46" s="8">
        <f>+SUMIF('Monthly Energy Data'!$D39:$D602,'Annual Energy Data'!$A46,'Monthly Energy Data'!AU39:AU602)</f>
        <v>1269.2160000000001</v>
      </c>
      <c r="AJ46" s="8">
        <f>+SUMIF('Monthly Energy Data'!$D39:$D602,'Annual Energy Data'!$A46,'Monthly Energy Data'!AV39:AV602)</f>
        <v>37813.129000000008</v>
      </c>
      <c r="AK46" s="8">
        <f>+SUMIF('Monthly Energy Data'!$D39:$D602,'Annual Energy Data'!$A46,'Monthly Energy Data'!AW39:AW602)</f>
        <v>0</v>
      </c>
      <c r="AL46" s="8">
        <f>+SUMIF('Monthly Energy Data'!$D39:$D602,'Annual Energy Data'!$A46,'Monthly Energy Data'!AX39:AX602)</f>
        <v>0</v>
      </c>
      <c r="AM46" s="8">
        <f>+SUMIF('Monthly Energy Data'!$D39:$D602,'Annual Energy Data'!$A46,'Monthly Energy Data'!AY39:AY602)</f>
        <v>0</v>
      </c>
      <c r="AN46" s="8">
        <f>+SUMIF('Monthly Energy Data'!$D39:$D602,'Annual Energy Data'!$A46,'Monthly Energy Data'!AZ39:AZ602)</f>
        <v>0</v>
      </c>
      <c r="AO46" s="8">
        <f>+SUMIF('Monthly Energy Data'!$D39:$D602,'Annual Energy Data'!$A46,'Monthly Energy Data'!BA39:BA602)</f>
        <v>0</v>
      </c>
      <c r="AP46" s="8">
        <f>+SUMIF('Monthly Energy Data'!$D39:$D602,'Annual Energy Data'!$A46,'Monthly Energy Data'!BB39:BB602)</f>
        <v>0</v>
      </c>
      <c r="AQ46" s="8">
        <f>+SUMIF('Monthly Energy Data'!$D39:$D602,'Annual Energy Data'!$A46,'Monthly Energy Data'!BC39:BC602)</f>
        <v>0</v>
      </c>
      <c r="AR46" s="8">
        <f>+SUMIF('Monthly Energy Data'!$D39:$D602,'Annual Energy Data'!$A46,'Monthly Energy Data'!BD39:BD602)</f>
        <v>0</v>
      </c>
      <c r="AS46" s="8">
        <f>+SUMIF('Monthly Energy Data'!$D39:$D602,'Annual Energy Data'!$A46,'Monthly Energy Data'!BE39:BE602)</f>
        <v>0</v>
      </c>
      <c r="AT46" s="8">
        <f>+SUMIF('Monthly Energy Data'!$D39:$D602,'Annual Energy Data'!$A46,'Monthly Energy Data'!BF39:BF602)</f>
        <v>0</v>
      </c>
      <c r="AU46" s="8">
        <f>+SUMIF('Monthly Energy Data'!$D39:$D602,'Annual Energy Data'!$A46,'Monthly Energy Data'!BG39:BG602)</f>
        <v>0</v>
      </c>
      <c r="AV46" s="8">
        <f>+SUMIF('Monthly Energy Data'!$D39:$D602,'Annual Energy Data'!$A46,'Monthly Energy Data'!BH39:BH602)</f>
        <v>0</v>
      </c>
      <c r="AW46" s="8">
        <f>+SUMIF('Monthly Energy Data'!$D39:$D602,'Annual Energy Data'!$A46,'Monthly Energy Data'!BI39:BI602)</f>
        <v>9576.336683280706</v>
      </c>
      <c r="AX46" s="8">
        <f>+SUMIF('Monthly Energy Data'!$D39:$D602,'Annual Energy Data'!$A46,'Monthly Energy Data'!BJ39:BJ602)</f>
        <v>0</v>
      </c>
      <c r="AY46" s="8">
        <f>+SUMIF('Monthly Energy Data'!$D39:$D602,'Annual Energy Data'!$A46,'Monthly Energy Data'!BK39:BK602)</f>
        <v>0</v>
      </c>
      <c r="AZ46" s="8">
        <f>+SUMIF('Monthly Energy Data'!$D39:$D602,'Annual Energy Data'!$A46,'Monthly Energy Data'!BL39:BL602)</f>
        <v>0</v>
      </c>
      <c r="BA46" s="8">
        <f>+SUMIF('Monthly Energy Data'!$D39:$D602,'Annual Energy Data'!$A46,'Monthly Energy Data'!BM39:BM602)</f>
        <v>0</v>
      </c>
      <c r="BB46" s="8">
        <f>+SUMIF('Monthly Energy Data'!$D39:$D602,'Annual Energy Data'!$A46,'Monthly Energy Data'!BN39:BN602)</f>
        <v>0</v>
      </c>
      <c r="BC46" s="8">
        <f>+SUMIF('Monthly Energy Data'!$D39:$D602,'Annual Energy Data'!$A46,'Monthly Energy Data'!BO39:BO602)</f>
        <v>0</v>
      </c>
      <c r="BD46" s="8">
        <f>+SUMIF('Monthly Energy Data'!$D39:$D602,'Annual Energy Data'!$A46,'Monthly Energy Data'!BP39:BP602)</f>
        <v>0</v>
      </c>
      <c r="BE46" s="8">
        <f>+SUMIF('Monthly Energy Data'!$D39:$D602,'Annual Energy Data'!$A46,'Monthly Energy Data'!BQ39:BQ602)</f>
        <v>0</v>
      </c>
      <c r="BF46" s="8">
        <f>+SUMIF('Monthly Energy Data'!$D39:$D602,'Annual Energy Data'!$A46,'Monthly Energy Data'!BR39:BR602)</f>
        <v>0</v>
      </c>
      <c r="BG46" s="8">
        <f>+SUMIF('Monthly Energy Data'!$D39:$D602,'Annual Energy Data'!$A46,'Monthly Energy Data'!BS39:BS602)</f>
        <v>0</v>
      </c>
      <c r="BH46" s="8">
        <f>+SUMIF('Monthly Energy Data'!$D39:$D602,'Annual Energy Data'!$A46,'Monthly Energy Data'!BT39:BT602)</f>
        <v>0</v>
      </c>
      <c r="BI46" s="8">
        <f>+SUMIF('Monthly Energy Data'!$D39:$D602,'Annual Energy Data'!$A46,'Monthly Energy Data'!BU39:BU602)</f>
        <v>2206.4957152249667</v>
      </c>
      <c r="BJ46" s="8">
        <f>+SUMIF('Monthly Energy Data'!$D39:$D602,'Annual Energy Data'!$A46,'Monthly Energy Data'!BV39:BX602)</f>
        <v>9334.3472612153091</v>
      </c>
      <c r="BK46" s="8">
        <f>+SUMIF('Monthly Energy Data'!$D39:$D602,'Annual Energy Data'!$A46,'Monthly Energy Data'!BY39:BY602)</f>
        <v>0</v>
      </c>
      <c r="BL46" s="8">
        <f>+SUMIF('Monthly Energy Data'!$D39:$D602,'Annual Energy Data'!$A46,'Monthly Energy Data'!BZ39:BZ602)</f>
        <v>0</v>
      </c>
      <c r="BM46" s="8">
        <f>+SUMIF('Monthly Energy Data'!$D39:$D602,'Annual Energy Data'!$A46,'Monthly Energy Data'!CA39:CA602)</f>
        <v>0</v>
      </c>
      <c r="BN46" s="8">
        <f>+SUMIF('Monthly Energy Data'!$D39:$D602,'Annual Energy Data'!$A46,'Monthly Energy Data'!CB39:CB602)</f>
        <v>0</v>
      </c>
      <c r="BO46" s="8">
        <f>+SUMIF('Monthly Energy Data'!$D39:$D602,'Annual Energy Data'!$A46,'Monthly Energy Data'!CC39:CC602)</f>
        <v>0</v>
      </c>
      <c r="BP46" s="8">
        <f>+SUMIF('Monthly Energy Data'!$D39:$D602,'Annual Energy Data'!$A46,'Monthly Energy Data'!CD39:CD602)</f>
        <v>0</v>
      </c>
      <c r="BQ46" s="8">
        <f>+SUMIF('Monthly Energy Data'!$D39:$D602,'Annual Energy Data'!$A46,'Monthly Energy Data'!CE39:CE602)</f>
        <v>0</v>
      </c>
      <c r="BR46" s="8">
        <f>+SUMIF('Monthly Energy Data'!$D39:$D602,'Annual Energy Data'!$A46,'Monthly Energy Data'!CF39:CF602)</f>
        <v>0</v>
      </c>
      <c r="BS46" s="8">
        <f>+SUMIF('Monthly Energy Data'!$D39:$D602,'Annual Energy Data'!$A46,'Monthly Energy Data'!CG39:CG602)</f>
        <v>0</v>
      </c>
      <c r="BT46" s="8">
        <f>+SUMIF('Monthly Energy Data'!$D39:$D602,'Annual Energy Data'!$A46,'Monthly Energy Data'!CH39:CH602)</f>
        <v>0</v>
      </c>
      <c r="BU46" s="8">
        <f>+SUMIF('Monthly Energy Data'!$D39:$D602,'Annual Energy Data'!$A46,'Monthly Energy Data'!CI39:CI602)</f>
        <v>0</v>
      </c>
      <c r="BV46" s="8">
        <f>+SUMIF('Monthly Energy Data'!$D39:$D602,'Annual Energy Data'!$A46,'Monthly Energy Data'!CJ39:CJ602)</f>
        <v>0</v>
      </c>
      <c r="BW46" s="8">
        <f>+SUMIF('Monthly Energy Data'!$D39:$D602,'Annual Energy Data'!$A46,'Monthly Energy Data'!CK39:CK602)</f>
        <v>86939.071626955512</v>
      </c>
      <c r="BX46" s="8">
        <f>+SUMIF('Monthly Energy Data'!$D39:$D602,'Annual Energy Data'!$A46,'Monthly Energy Data'!CL39:CL602)</f>
        <v>-102399.31201057686</v>
      </c>
      <c r="BY46" s="8">
        <f>+SUMIF('Monthly Energy Data'!$D39:$D602,'Annual Energy Data'!$A46,'Monthly Energy Data'!CM39:CM602)</f>
        <v>-102399.31201057686</v>
      </c>
      <c r="BZ46" s="8">
        <f>+SUMIF('Monthly Energy Data'!$D39:$D602,'Annual Energy Data'!$A46,'Monthly Energy Data'!CN39:CN602)</f>
        <v>-102399.31201057686</v>
      </c>
      <c r="CA46" s="8">
        <f>+SUMIF('Monthly Energy Data'!$D39:$D602,'Annual Energy Data'!$A46,'Monthly Energy Data'!CO39:CO602)</f>
        <v>-89784.664500916406</v>
      </c>
      <c r="CB46" s="8">
        <f>+SUMIF('Monthly Energy Data'!$D39:$D602,'Annual Energy Data'!$A46,'Monthly Energy Data'!CP39:CP602)</f>
        <v>-89784.664500916406</v>
      </c>
      <c r="CC46" s="8">
        <f>+SUMIF('Monthly Energy Data'!$D39:$D602,'Annual Energy Data'!$A46,'Monthly Energy Data'!CQ39:CQ602)</f>
        <v>-89784.664500916406</v>
      </c>
      <c r="CD46" s="8">
        <f>+SUMIF('Monthly Energy Data'!$D39:$D602,'Annual Energy Data'!$A46,'Monthly Energy Data'!CR39:CR602)</f>
        <v>-102399.31201057686</v>
      </c>
      <c r="CE46" s="8">
        <f>+SUMIF('Monthly Energy Data'!$D39:$D602,'Annual Energy Data'!$A46,'Monthly Energy Data'!CS39:CS602)</f>
        <v>-102399.31201057686</v>
      </c>
      <c r="CF46" s="8">
        <f>+SUMIF('Monthly Energy Data'!$D39:$D602,'Annual Energy Data'!$A46,'Monthly Energy Data'!CT39:CT602)</f>
        <v>-102399.31201057686</v>
      </c>
      <c r="CG46" s="8"/>
      <c r="CH46" s="8">
        <f>+SUMIF('Monthly Energy Data'!$D39:$D602,'Annual Energy Data'!$A46,'Monthly Energy Data'!DD39:DD602)</f>
        <v>0</v>
      </c>
      <c r="CI46" s="8">
        <f>+SUMIF('Monthly Energy Data'!$D39:$D602,'Annual Energy Data'!$A46,'Monthly Energy Data'!DE39:DE602)</f>
        <v>0</v>
      </c>
      <c r="CJ46" s="8">
        <f>+SUMIF('Monthly Energy Data'!$D39:$D602,'Annual Energy Data'!$A46,'Monthly Energy Data'!DF39:DF602)</f>
        <v>0</v>
      </c>
      <c r="CK46" s="8">
        <f>+SUMIF('Monthly Energy Data'!$D39:$D602,'Annual Energy Data'!$A46,'Monthly Energy Data'!DG39:DG602)</f>
        <v>0</v>
      </c>
      <c r="CL46" s="8">
        <f>+SUMIF('Monthly Energy Data'!$D39:$D602,'Annual Energy Data'!$A46,'Monthly Energy Data'!DH39:DH602)</f>
        <v>0</v>
      </c>
      <c r="CM46" s="8">
        <f>+SUMIF('Monthly Energy Data'!$D39:$D602,'Annual Energy Data'!$A46,'Monthly Energy Data'!DI39:DI602)</f>
        <v>0</v>
      </c>
      <c r="CN46" s="8">
        <f>+SUMIF('Monthly Energy Data'!$D39:$D602,'Annual Energy Data'!$A46,'Monthly Energy Data'!DJ39:DJ602)</f>
        <v>0</v>
      </c>
      <c r="CO46" s="8">
        <f>+SUMIF('Monthly Energy Data'!$D39:$D602,'Annual Energy Data'!$A46,'Monthly Energy Data'!DK39:DK602)</f>
        <v>0</v>
      </c>
      <c r="CP46" s="8">
        <f>+SUMIF('Monthly Energy Data'!$D39:$D602,'Annual Energy Data'!$A46,'Monthly Energy Data'!DL39:DL602)</f>
        <v>0</v>
      </c>
      <c r="CQ46" s="8">
        <f>+SUMIF('Monthly Energy Data'!$D39:$D602,'Annual Energy Data'!$A46,'Monthly Energy Data'!DM39:DM602)</f>
        <v>0</v>
      </c>
      <c r="CR46" s="8">
        <f>+SUMIF('Monthly Energy Data'!$D39:$D602,'Annual Energy Data'!$A46,'Monthly Energy Data'!DN39:DN602)</f>
        <v>86939.071626955512</v>
      </c>
      <c r="CS46" s="8">
        <f>+SUMIF('Monthly Energy Data'!$D39:$D602,'Annual Energy Data'!$A46,'Monthly Energy Data'!DO39:DO602)</f>
        <v>-102399.31201057686</v>
      </c>
      <c r="CT46" s="8">
        <f>+SUMIF('Monthly Energy Data'!$D39:$D602,'Annual Energy Data'!$A46,'Monthly Energy Data'!DP39:DP602)</f>
        <v>-102399.31201057686</v>
      </c>
      <c r="CU46" s="8">
        <f>+SUMIF('Monthly Energy Data'!$D39:$D602,'Annual Energy Data'!$A46,'Monthly Energy Data'!DQ39:DQ602)</f>
        <v>-102399.31201057686</v>
      </c>
      <c r="CV46" s="8">
        <f>+SUMIF('Monthly Energy Data'!$D39:$D602,'Annual Energy Data'!$A46,'Monthly Energy Data'!DR39:DR602)</f>
        <v>-89784.664500916406</v>
      </c>
      <c r="CW46" s="8">
        <f>+SUMIF('Monthly Energy Data'!$D39:$D602,'Annual Energy Data'!$A46,'Monthly Energy Data'!DS39:DS602)</f>
        <v>-89784.664500916406</v>
      </c>
      <c r="CX46" s="8">
        <f>+SUMIF('Monthly Energy Data'!$D39:$D602,'Annual Energy Data'!$A46,'Monthly Energy Data'!DT39:DT602)</f>
        <v>-89784.664500916406</v>
      </c>
      <c r="CY46" s="8">
        <f>+SUMIF('Monthly Energy Data'!$D39:$D602,'Annual Energy Data'!$A46,'Monthly Energy Data'!DU39:DU602)</f>
        <v>-102399.31201057686</v>
      </c>
      <c r="CZ46" s="8">
        <f>+SUMIF('Monthly Energy Data'!$D39:$D602,'Annual Energy Data'!$A46,'Monthly Energy Data'!DV39:DV602)</f>
        <v>-102399.31201057686</v>
      </c>
      <c r="DA46" s="8">
        <f>+SUMIF('Monthly Energy Data'!$D39:$D602,'Annual Energy Data'!$A46,'Monthly Energy Data'!DW39:DW602)</f>
        <v>-102399.31201057686</v>
      </c>
      <c r="DB46" s="78"/>
      <c r="DC46" s="78"/>
      <c r="DD46" s="78"/>
      <c r="DE46" s="78"/>
      <c r="DF46" s="19">
        <f t="shared" si="4"/>
        <v>31.55218208567598</v>
      </c>
      <c r="DG46" s="78"/>
      <c r="DH46" s="78"/>
      <c r="DI46" s="78"/>
      <c r="DJ46" s="78"/>
      <c r="DK46" s="135">
        <f t="shared" si="17"/>
        <v>-63045.117533681892</v>
      </c>
      <c r="DL46" s="135">
        <f t="shared" si="18"/>
        <v>-63045.117533681892</v>
      </c>
      <c r="DM46" s="135">
        <f t="shared" si="19"/>
        <v>-63045.117533681892</v>
      </c>
      <c r="DN46" s="58">
        <f t="shared" si="5"/>
        <v>60199.524659720992</v>
      </c>
      <c r="DO46" s="68">
        <f t="shared" si="6"/>
        <v>-21.155354025021403</v>
      </c>
      <c r="DP46" s="68">
        <f t="shared" si="7"/>
        <v>-21.155354025021403</v>
      </c>
      <c r="DQ46" s="68">
        <f t="shared" si="8"/>
        <v>-21.155354025021403</v>
      </c>
      <c r="DR46" s="68"/>
      <c r="DS46" s="58">
        <f t="shared" si="16"/>
        <v>-63045.117533681892</v>
      </c>
      <c r="DT46" s="58">
        <f t="shared" si="9"/>
        <v>60199.524659720992</v>
      </c>
      <c r="DU46" s="68">
        <f t="shared" si="10"/>
        <v>-21.155354025021403</v>
      </c>
      <c r="DV46" s="68">
        <f t="shared" si="11"/>
        <v>-21.155354025021403</v>
      </c>
      <c r="DW46" s="68">
        <f t="shared" si="12"/>
        <v>-21.155354025021403</v>
      </c>
      <c r="DX46" s="68">
        <f t="shared" si="3"/>
        <v>-30.552182085675984</v>
      </c>
      <c r="DZ46" s="68">
        <f t="shared" si="0"/>
        <v>-30.552182085675984</v>
      </c>
      <c r="EA46" s="68">
        <f t="shared" si="1"/>
        <v>-30.552182085675984</v>
      </c>
      <c r="EB46" s="68">
        <f t="shared" si="2"/>
        <v>-30.552182085675984</v>
      </c>
      <c r="ED46" s="58" t="e">
        <f>+SUMIF('[1]Monthly Energy Data'!$D$200:$D$595,'[1]Annual Energy Data'!$A44,'[1]Monthly Energy Data'!$EK$200:$EK$595)</f>
        <v>#VALUE!</v>
      </c>
      <c r="EE46" s="58" t="e">
        <f>+SUMIF('[1]Monthly Energy Data'!$D$200:$D$595,'[1]Annual Energy Data'!$A44,'[1]Monthly Energy Data'!$EL$200:$EL$595)</f>
        <v>#VALUE!</v>
      </c>
      <c r="EF46" s="68" t="e">
        <f t="shared" si="13"/>
        <v>#VALUE!</v>
      </c>
      <c r="EG46" s="68" t="e">
        <f t="shared" si="14"/>
        <v>#VALUE!</v>
      </c>
      <c r="EH46" s="68" t="e">
        <f t="shared" si="15"/>
        <v>#VALUE!</v>
      </c>
      <c r="EO46" s="84"/>
      <c r="EP46" s="84"/>
    </row>
    <row r="47" spans="1:148" x14ac:dyDescent="0.2">
      <c r="A47" s="15">
        <f>+'Monthly Energy Data'!D476</f>
        <v>2047</v>
      </c>
      <c r="B47" s="8">
        <f>+SUMIF('Monthly Energy Data'!$D40:$D603,'Annual Energy Data'!$A47,'Monthly Energy Data'!G40:G603)</f>
        <v>0</v>
      </c>
      <c r="C47" s="8">
        <f>+SUMIF('Monthly Energy Data'!$D40:$D603,'Annual Energy Data'!$A47,'Monthly Energy Data'!H40:H603)</f>
        <v>0</v>
      </c>
      <c r="D47" s="8">
        <f>+SUMIF('Monthly Energy Data'!$D40:$D603,'Annual Energy Data'!$A47,'Monthly Energy Data'!I40:I603)</f>
        <v>0</v>
      </c>
      <c r="E47" s="8">
        <f>+SUMIF('Monthly Energy Data'!$D40:$D603,'Annual Energy Data'!$A47,'Monthly Energy Data'!J40:J603)</f>
        <v>0</v>
      </c>
      <c r="F47" s="8">
        <f>+SUMIF('Monthly Energy Data'!$D40:$D603,'Annual Energy Data'!$A47,'Monthly Energy Data'!K40:K603)</f>
        <v>0</v>
      </c>
      <c r="G47" s="8">
        <f>+SUMIF('Monthly Energy Data'!$D40:$D603,'Annual Energy Data'!$A47,'Monthly Energy Data'!L40:L603)</f>
        <v>0</v>
      </c>
      <c r="H47" s="8">
        <f>+SUMIF('Monthly Energy Data'!$D40:$D603,'Annual Energy Data'!$A47,'Monthly Energy Data'!M40:O603)</f>
        <v>0</v>
      </c>
      <c r="I47" s="8">
        <f>+SUMIF('Monthly Energy Data'!$D40:$D603,'Annual Energy Data'!$A47,'Monthly Energy Data'!P40:P603)</f>
        <v>0</v>
      </c>
      <c r="J47" s="8">
        <f>+SUMIF('Monthly Energy Data'!$D40:$D603,'Annual Energy Data'!$A47,'Monthly Energy Data'!Q40:Q603)</f>
        <v>0</v>
      </c>
      <c r="K47" s="8">
        <f>+SUMIF('Monthly Energy Data'!$D40:$D603,'Annual Energy Data'!$A47,'Monthly Energy Data'!R40:R603)</f>
        <v>0</v>
      </c>
      <c r="L47" s="8">
        <f>+SUMIF('Monthly Energy Data'!$D40:$D603,'Annual Energy Data'!$A47,'Monthly Energy Data'!S40:S603)</f>
        <v>0</v>
      </c>
      <c r="M47" s="8">
        <f>+SUMIF('Monthly Energy Data'!$D40:$D603,'Annual Energy Data'!$A47,'Monthly Energy Data'!T40:T603)</f>
        <v>0</v>
      </c>
      <c r="N47" s="8">
        <f>+SUMIF('Monthly Energy Data'!$D40:$D603,'Annual Energy Data'!$A47,'Monthly Energy Data'!U40:U603)</f>
        <v>0</v>
      </c>
      <c r="O47" s="8">
        <f>+SUMIF('Monthly Energy Data'!$D40:$D603,'Annual Energy Data'!$A47,'Monthly Energy Data'!V40:V603)</f>
        <v>0</v>
      </c>
      <c r="P47" s="8">
        <f>+SUMIF('Monthly Energy Data'!$D40:$D603,'Annual Energy Data'!$A47,'Monthly Energy Data'!W40:W603)</f>
        <v>0</v>
      </c>
      <c r="Q47" s="8">
        <f>+SUMIF('Monthly Energy Data'!$D40:$D603,'Annual Energy Data'!$A47,'Monthly Energy Data'!X40:X603)</f>
        <v>0</v>
      </c>
      <c r="R47" s="8">
        <f>+SUMIF('Monthly Energy Data'!$D40:$D603,'Annual Energy Data'!$A47,'Monthly Energy Data'!Y40:Y603)</f>
        <v>0</v>
      </c>
      <c r="S47" s="8">
        <f>+SUMIF('Monthly Energy Data'!$D40:$D603,'Annual Energy Data'!$A47,'Monthly Energy Data'!Z40:Z603)</f>
        <v>0</v>
      </c>
      <c r="T47" s="8">
        <f>+SUMIF('Monthly Energy Data'!$D40:$D603,'Annual Energy Data'!$A47,'Monthly Energy Data'!AA40:AA603)</f>
        <v>0</v>
      </c>
      <c r="U47" s="16">
        <f>+'Tier 3 Data'!F42</f>
        <v>0</v>
      </c>
      <c r="V47" s="16">
        <f>+'Tier 3 Data'!G42</f>
        <v>0</v>
      </c>
      <c r="W47" s="16">
        <f>+'Tier 3 Data'!H42</f>
        <v>0</v>
      </c>
      <c r="X47" s="16">
        <f>+'Tier 3 Data'!I42</f>
        <v>0</v>
      </c>
      <c r="Y47" s="63"/>
      <c r="Z47" s="8">
        <f>+SUMIF('Monthly Energy Data'!$D40:$D603,'Annual Energy Data'!$A47,'Monthly Energy Data'!AL40:AL603)</f>
        <v>0</v>
      </c>
      <c r="AA47" s="8">
        <f>+SUMIF('Monthly Energy Data'!$D40:$D603,'Annual Energy Data'!$A47,'Monthly Energy Data'!AM40:AM603)</f>
        <v>0</v>
      </c>
      <c r="AB47" s="8">
        <f>+SUMIF('Monthly Energy Data'!$D40:$D603,'Annual Energy Data'!$A47,'Monthly Energy Data'!AN40:AN603)</f>
        <v>0</v>
      </c>
      <c r="AC47" s="8">
        <f>+SUMIF('Monthly Energy Data'!$D40:$D603,'Annual Energy Data'!$A47,'Monthly Energy Data'!AO40:AO603)</f>
        <v>0</v>
      </c>
      <c r="AD47" s="8">
        <f>+SUMIF('Monthly Energy Data'!$D40:$D603,'Annual Energy Data'!$A47,'Monthly Energy Data'!AP40:AP603)</f>
        <v>0</v>
      </c>
      <c r="AE47" s="8">
        <f>+SUMIF('Monthly Energy Data'!$D40:$D603,'Annual Energy Data'!$A47,'Monthly Energy Data'!AQ40:AQ603)</f>
        <v>0</v>
      </c>
      <c r="AF47" s="8">
        <f>+SUMIF('Monthly Energy Data'!$D40:$D603,'Annual Energy Data'!$A47,'Monthly Energy Data'!AR40:AR603)</f>
        <v>0</v>
      </c>
      <c r="AG47" s="8">
        <f>+SUMIF('Monthly Energy Data'!$D40:$D603,'Annual Energy Data'!$A47,'Monthly Energy Data'!AS40:AS603)</f>
        <v>0</v>
      </c>
      <c r="AH47" s="8">
        <f>+SUMIF('Monthly Energy Data'!$D40:$D603,'Annual Energy Data'!$A47,'Monthly Energy Data'!AT40:AT603)</f>
        <v>0</v>
      </c>
      <c r="AI47" s="8">
        <f>+SUMIF('Monthly Energy Data'!$D40:$D603,'Annual Energy Data'!$A47,'Monthly Energy Data'!AU40:AU603)</f>
        <v>1269.2160000000001</v>
      </c>
      <c r="AJ47" s="8">
        <f>+SUMIF('Monthly Energy Data'!$D40:$D603,'Annual Energy Data'!$A47,'Monthly Energy Data'!AV40:AV603)</f>
        <v>37813.129000000008</v>
      </c>
      <c r="AK47" s="8">
        <f>+SUMIF('Monthly Energy Data'!$D40:$D603,'Annual Energy Data'!$A47,'Monthly Energy Data'!AW40:AW603)</f>
        <v>0</v>
      </c>
      <c r="AL47" s="8">
        <f>+SUMIF('Monthly Energy Data'!$D40:$D603,'Annual Energy Data'!$A47,'Monthly Energy Data'!AX40:AX603)</f>
        <v>0</v>
      </c>
      <c r="AM47" s="8">
        <f>+SUMIF('Monthly Energy Data'!$D40:$D603,'Annual Energy Data'!$A47,'Monthly Energy Data'!AY40:AY603)</f>
        <v>0</v>
      </c>
      <c r="AN47" s="8">
        <f>+SUMIF('Monthly Energy Data'!$D40:$D603,'Annual Energy Data'!$A47,'Monthly Energy Data'!AZ40:AZ603)</f>
        <v>0</v>
      </c>
      <c r="AO47" s="8">
        <f>+SUMIF('Monthly Energy Data'!$D40:$D603,'Annual Energy Data'!$A47,'Monthly Energy Data'!BA40:BA603)</f>
        <v>0</v>
      </c>
      <c r="AP47" s="8">
        <f>+SUMIF('Monthly Energy Data'!$D40:$D603,'Annual Energy Data'!$A47,'Monthly Energy Data'!BB40:BB603)</f>
        <v>0</v>
      </c>
      <c r="AQ47" s="8">
        <f>+SUMIF('Monthly Energy Data'!$D40:$D603,'Annual Energy Data'!$A47,'Monthly Energy Data'!BC40:BC603)</f>
        <v>0</v>
      </c>
      <c r="AR47" s="8">
        <f>+SUMIF('Monthly Energy Data'!$D40:$D603,'Annual Energy Data'!$A47,'Monthly Energy Data'!BD40:BD603)</f>
        <v>0</v>
      </c>
      <c r="AS47" s="8">
        <f>+SUMIF('Monthly Energy Data'!$D40:$D603,'Annual Energy Data'!$A47,'Monthly Energy Data'!BE40:BE603)</f>
        <v>0</v>
      </c>
      <c r="AT47" s="8">
        <f>+SUMIF('Monthly Energy Data'!$D40:$D603,'Annual Energy Data'!$A47,'Monthly Energy Data'!BF40:BF603)</f>
        <v>0</v>
      </c>
      <c r="AU47" s="8">
        <f>+SUMIF('Monthly Energy Data'!$D40:$D603,'Annual Energy Data'!$A47,'Monthly Energy Data'!BG40:BG603)</f>
        <v>0</v>
      </c>
      <c r="AV47" s="8">
        <f>+SUMIF('Monthly Energy Data'!$D40:$D603,'Annual Energy Data'!$A47,'Monthly Energy Data'!BH40:BH603)</f>
        <v>0</v>
      </c>
      <c r="AW47" s="8">
        <f>+SUMIF('Monthly Energy Data'!$D40:$D603,'Annual Energy Data'!$A47,'Monthly Energy Data'!BI40:BI603)</f>
        <v>6833.2851892549088</v>
      </c>
      <c r="AX47" s="8">
        <f>+SUMIF('Monthly Energy Data'!$D40:$D603,'Annual Energy Data'!$A47,'Monthly Energy Data'!BJ40:BJ603)</f>
        <v>0</v>
      </c>
      <c r="AY47" s="8">
        <f>+SUMIF('Monthly Energy Data'!$D40:$D603,'Annual Energy Data'!$A47,'Monthly Energy Data'!BK40:BK603)</f>
        <v>0</v>
      </c>
      <c r="AZ47" s="8">
        <f>+SUMIF('Monthly Energy Data'!$D40:$D603,'Annual Energy Data'!$A47,'Monthly Energy Data'!BL40:BL603)</f>
        <v>0</v>
      </c>
      <c r="BA47" s="8">
        <f>+SUMIF('Monthly Energy Data'!$D40:$D603,'Annual Energy Data'!$A47,'Monthly Energy Data'!BM40:BM603)</f>
        <v>0</v>
      </c>
      <c r="BB47" s="8">
        <f>+SUMIF('Monthly Energy Data'!$D40:$D603,'Annual Energy Data'!$A47,'Monthly Energy Data'!BN40:BN603)</f>
        <v>0</v>
      </c>
      <c r="BC47" s="8">
        <f>+SUMIF('Monthly Energy Data'!$D40:$D603,'Annual Energy Data'!$A47,'Monthly Energy Data'!BO40:BO603)</f>
        <v>0</v>
      </c>
      <c r="BD47" s="8">
        <f>+SUMIF('Monthly Energy Data'!$D40:$D603,'Annual Energy Data'!$A47,'Monthly Energy Data'!BP40:BP603)</f>
        <v>0</v>
      </c>
      <c r="BE47" s="8">
        <f>+SUMIF('Monthly Energy Data'!$D40:$D603,'Annual Energy Data'!$A47,'Monthly Energy Data'!BQ40:BQ603)</f>
        <v>0</v>
      </c>
      <c r="BF47" s="8">
        <f>+SUMIF('Monthly Energy Data'!$D40:$D603,'Annual Energy Data'!$A47,'Monthly Energy Data'!BR40:BR603)</f>
        <v>0</v>
      </c>
      <c r="BG47" s="8">
        <f>+SUMIF('Monthly Energy Data'!$D40:$D603,'Annual Energy Data'!$A47,'Monthly Energy Data'!BS40:BS603)</f>
        <v>0</v>
      </c>
      <c r="BH47" s="8">
        <f>+SUMIF('Monthly Energy Data'!$D40:$D603,'Annual Energy Data'!$A47,'Monthly Energy Data'!BT40:BT603)</f>
        <v>0</v>
      </c>
      <c r="BI47" s="8">
        <f>+SUMIF('Monthly Energy Data'!$D40:$D603,'Annual Energy Data'!$A47,'Monthly Energy Data'!BU40:BU603)</f>
        <v>0</v>
      </c>
      <c r="BJ47" s="8">
        <f>+SUMIF('Monthly Energy Data'!$D40:$D603,'Annual Energy Data'!$A47,'Monthly Energy Data'!BV40:BX603)</f>
        <v>0</v>
      </c>
      <c r="BK47" s="8">
        <f>+SUMIF('Monthly Energy Data'!$D40:$D603,'Annual Energy Data'!$A47,'Monthly Energy Data'!BY40:BY603)</f>
        <v>0</v>
      </c>
      <c r="BL47" s="8">
        <f>+SUMIF('Monthly Energy Data'!$D40:$D603,'Annual Energy Data'!$A47,'Monthly Energy Data'!BZ40:BZ603)</f>
        <v>0</v>
      </c>
      <c r="BM47" s="8">
        <f>+SUMIF('Monthly Energy Data'!$D40:$D603,'Annual Energy Data'!$A47,'Monthly Energy Data'!CA40:CA603)</f>
        <v>0</v>
      </c>
      <c r="BN47" s="8">
        <f>+SUMIF('Monthly Energy Data'!$D40:$D603,'Annual Energy Data'!$A47,'Monthly Energy Data'!CB40:CB603)</f>
        <v>0</v>
      </c>
      <c r="BO47" s="8">
        <f>+SUMIF('Monthly Energy Data'!$D40:$D603,'Annual Energy Data'!$A47,'Monthly Energy Data'!CC40:CC603)</f>
        <v>0</v>
      </c>
      <c r="BP47" s="8">
        <f>+SUMIF('Monthly Energy Data'!$D40:$D603,'Annual Energy Data'!$A47,'Monthly Energy Data'!CD40:CD603)</f>
        <v>0</v>
      </c>
      <c r="BQ47" s="8">
        <f>+SUMIF('Monthly Energy Data'!$D40:$D603,'Annual Energy Data'!$A47,'Monthly Energy Data'!CE40:CE603)</f>
        <v>0</v>
      </c>
      <c r="BR47" s="8">
        <f>+SUMIF('Monthly Energy Data'!$D40:$D603,'Annual Energy Data'!$A47,'Monthly Energy Data'!CF40:CF603)</f>
        <v>0</v>
      </c>
      <c r="BS47" s="8">
        <f>+SUMIF('Monthly Energy Data'!$D40:$D603,'Annual Energy Data'!$A47,'Monthly Energy Data'!CG40:CG603)</f>
        <v>0</v>
      </c>
      <c r="BT47" s="8">
        <f>+SUMIF('Monthly Energy Data'!$D40:$D603,'Annual Energy Data'!$A47,'Monthly Energy Data'!CH40:CH603)</f>
        <v>0</v>
      </c>
      <c r="BU47" s="8">
        <f>+SUMIF('Monthly Energy Data'!$D40:$D603,'Annual Energy Data'!$A47,'Monthly Energy Data'!CI40:CI603)</f>
        <v>0</v>
      </c>
      <c r="BV47" s="8">
        <f>+SUMIF('Monthly Energy Data'!$D40:$D603,'Annual Energy Data'!$A47,'Monthly Energy Data'!CJ40:CJ603)</f>
        <v>0</v>
      </c>
      <c r="BW47" s="8">
        <f>+SUMIF('Monthly Energy Data'!$D40:$D603,'Annual Energy Data'!$A47,'Monthly Energy Data'!CK40:CK603)</f>
        <v>45915.630189254902</v>
      </c>
      <c r="BX47" s="8">
        <f>+SUMIF('Monthly Energy Data'!$D40:$D603,'Annual Energy Data'!$A47,'Monthly Energy Data'!CL40:CL603)</f>
        <v>-45915.630189254902</v>
      </c>
      <c r="BY47" s="8">
        <f>+SUMIF('Monthly Energy Data'!$D40:$D603,'Annual Energy Data'!$A47,'Monthly Energy Data'!CM40:CM603)</f>
        <v>-45915.630189254902</v>
      </c>
      <c r="BZ47" s="8">
        <f>+SUMIF('Monthly Energy Data'!$D40:$D603,'Annual Energy Data'!$A47,'Monthly Energy Data'!CN40:CN603)</f>
        <v>-45915.630189254902</v>
      </c>
      <c r="CA47" s="8">
        <f>+SUMIF('Monthly Energy Data'!$D40:$D603,'Annual Energy Data'!$A47,'Monthly Energy Data'!CO40:CO603)</f>
        <v>-45915.630189254902</v>
      </c>
      <c r="CB47" s="8">
        <f>+SUMIF('Monthly Energy Data'!$D40:$D603,'Annual Energy Data'!$A47,'Monthly Energy Data'!CP40:CP603)</f>
        <v>-45915.630189254902</v>
      </c>
      <c r="CC47" s="8">
        <f>+SUMIF('Monthly Energy Data'!$D40:$D603,'Annual Energy Data'!$A47,'Monthly Energy Data'!CQ40:CQ603)</f>
        <v>-45915.630189254902</v>
      </c>
      <c r="CD47" s="8">
        <f>+SUMIF('Monthly Energy Data'!$D40:$D603,'Annual Energy Data'!$A47,'Monthly Energy Data'!CR40:CR603)</f>
        <v>-45915.630189254902</v>
      </c>
      <c r="CE47" s="8">
        <f>+SUMIF('Monthly Energy Data'!$D40:$D603,'Annual Energy Data'!$A47,'Monthly Energy Data'!CS40:CS603)</f>
        <v>-45915.630189254902</v>
      </c>
      <c r="CF47" s="8">
        <f>+SUMIF('Monthly Energy Data'!$D40:$D603,'Annual Energy Data'!$A47,'Monthly Energy Data'!CT40:CT603)</f>
        <v>-45915.630189254902</v>
      </c>
      <c r="CG47" s="8"/>
      <c r="CH47" s="8">
        <f>+SUMIF('Monthly Energy Data'!$D40:$D603,'Annual Energy Data'!$A47,'Monthly Energy Data'!DD40:DD603)</f>
        <v>0</v>
      </c>
      <c r="CI47" s="8">
        <f>+SUMIF('Monthly Energy Data'!$D40:$D603,'Annual Energy Data'!$A47,'Monthly Energy Data'!DE40:DE603)</f>
        <v>0</v>
      </c>
      <c r="CJ47" s="8">
        <f>+SUMIF('Monthly Energy Data'!$D40:$D603,'Annual Energy Data'!$A47,'Monthly Energy Data'!DF40:DF603)</f>
        <v>0</v>
      </c>
      <c r="CK47" s="8">
        <f>+SUMIF('Monthly Energy Data'!$D40:$D603,'Annual Energy Data'!$A47,'Monthly Energy Data'!DG40:DG603)</f>
        <v>0</v>
      </c>
      <c r="CL47" s="8">
        <f>+SUMIF('Monthly Energy Data'!$D40:$D603,'Annual Energy Data'!$A47,'Monthly Energy Data'!DH40:DH603)</f>
        <v>0</v>
      </c>
      <c r="CM47" s="8">
        <f>+SUMIF('Monthly Energy Data'!$D40:$D603,'Annual Energy Data'!$A47,'Monthly Energy Data'!DI40:DI603)</f>
        <v>0</v>
      </c>
      <c r="CN47" s="8">
        <f>+SUMIF('Monthly Energy Data'!$D40:$D603,'Annual Energy Data'!$A47,'Monthly Energy Data'!DJ40:DJ603)</f>
        <v>0</v>
      </c>
      <c r="CO47" s="8">
        <f>+SUMIF('Monthly Energy Data'!$D40:$D603,'Annual Energy Data'!$A47,'Monthly Energy Data'!DK40:DK603)</f>
        <v>0</v>
      </c>
      <c r="CP47" s="8">
        <f>+SUMIF('Monthly Energy Data'!$D40:$D603,'Annual Energy Data'!$A47,'Monthly Energy Data'!DL40:DL603)</f>
        <v>0</v>
      </c>
      <c r="CQ47" s="8">
        <f>+SUMIF('Monthly Energy Data'!$D40:$D603,'Annual Energy Data'!$A47,'Monthly Energy Data'!DM40:DM603)</f>
        <v>0</v>
      </c>
      <c r="CR47" s="8">
        <f>+SUMIF('Monthly Energy Data'!$D40:$D603,'Annual Energy Data'!$A47,'Monthly Energy Data'!DN40:DN603)</f>
        <v>45915.630189254902</v>
      </c>
      <c r="CS47" s="8">
        <f>+SUMIF('Monthly Energy Data'!$D40:$D603,'Annual Energy Data'!$A47,'Monthly Energy Data'!DO40:DO603)</f>
        <v>-45915.630189254902</v>
      </c>
      <c r="CT47" s="8">
        <f>+SUMIF('Monthly Energy Data'!$D40:$D603,'Annual Energy Data'!$A47,'Monthly Energy Data'!DP40:DP603)</f>
        <v>-45915.630189254902</v>
      </c>
      <c r="CU47" s="8">
        <f>+SUMIF('Monthly Energy Data'!$D40:$D603,'Annual Energy Data'!$A47,'Monthly Energy Data'!DQ40:DQ603)</f>
        <v>-45915.630189254902</v>
      </c>
      <c r="CV47" s="8">
        <f>+SUMIF('Monthly Energy Data'!$D40:$D603,'Annual Energy Data'!$A47,'Monthly Energy Data'!DR40:DR603)</f>
        <v>-45915.630189254902</v>
      </c>
      <c r="CW47" s="8">
        <f>+SUMIF('Monthly Energy Data'!$D40:$D603,'Annual Energy Data'!$A47,'Monthly Energy Data'!DS40:DS603)</f>
        <v>-45915.630189254902</v>
      </c>
      <c r="CX47" s="8">
        <f>+SUMIF('Monthly Energy Data'!$D40:$D603,'Annual Energy Data'!$A47,'Monthly Energy Data'!DT40:DT603)</f>
        <v>-45915.630189254902</v>
      </c>
      <c r="CY47" s="8">
        <f>+SUMIF('Monthly Energy Data'!$D40:$D603,'Annual Energy Data'!$A47,'Monthly Energy Data'!DU40:DU603)</f>
        <v>-45915.630189254902</v>
      </c>
      <c r="CZ47" s="8">
        <f>+SUMIF('Monthly Energy Data'!$D40:$D603,'Annual Energy Data'!$A47,'Monthly Energy Data'!DV40:DV603)</f>
        <v>-45915.630189254902</v>
      </c>
      <c r="DA47" s="8">
        <f>+SUMIF('Monthly Energy Data'!$D40:$D603,'Annual Energy Data'!$A47,'Monthly Energy Data'!DW40:DW603)</f>
        <v>-45915.630189254902</v>
      </c>
      <c r="DB47" s="78"/>
      <c r="DC47" s="78"/>
      <c r="DD47" s="78"/>
      <c r="DE47" s="78"/>
      <c r="DF47" s="19" t="e">
        <f t="shared" si="4"/>
        <v>#DIV/0!</v>
      </c>
      <c r="DG47" s="78"/>
      <c r="DH47" s="78"/>
      <c r="DI47" s="78"/>
      <c r="DJ47" s="78"/>
      <c r="DK47" s="135">
        <f t="shared" si="17"/>
        <v>-45915.630189254916</v>
      </c>
      <c r="DL47" s="135">
        <f t="shared" si="18"/>
        <v>-45915.630189254916</v>
      </c>
      <c r="DM47" s="135">
        <f t="shared" si="19"/>
        <v>-45915.630189254916</v>
      </c>
      <c r="DN47" s="58">
        <f t="shared" si="5"/>
        <v>45915.630189254916</v>
      </c>
      <c r="DO47" s="68" t="e">
        <f t="shared" si="6"/>
        <v>#DIV/0!</v>
      </c>
      <c r="DP47" s="68" t="e">
        <f t="shared" si="7"/>
        <v>#DIV/0!</v>
      </c>
      <c r="DQ47" s="68" t="e">
        <f t="shared" si="8"/>
        <v>#DIV/0!</v>
      </c>
      <c r="DR47" s="68"/>
      <c r="DS47" s="58">
        <f t="shared" si="16"/>
        <v>-45915.630189254916</v>
      </c>
      <c r="DT47" s="58">
        <f t="shared" si="9"/>
        <v>45915.630189254916</v>
      </c>
      <c r="DU47" s="68" t="e">
        <f t="shared" si="10"/>
        <v>#DIV/0!</v>
      </c>
      <c r="DV47" s="68" t="e">
        <f t="shared" si="11"/>
        <v>#DIV/0!</v>
      </c>
      <c r="DW47" s="68" t="e">
        <f t="shared" si="12"/>
        <v>#DIV/0!</v>
      </c>
      <c r="DX47" s="68" t="e">
        <f t="shared" si="3"/>
        <v>#DIV/0!</v>
      </c>
      <c r="DZ47" s="68" t="e">
        <f t="shared" si="0"/>
        <v>#DIV/0!</v>
      </c>
      <c r="EA47" s="68" t="e">
        <f t="shared" si="1"/>
        <v>#DIV/0!</v>
      </c>
      <c r="EB47" s="68" t="e">
        <f t="shared" si="2"/>
        <v>#DIV/0!</v>
      </c>
      <c r="ED47" s="58" t="e">
        <f>+SUMIF('[1]Monthly Energy Data'!$D$200:$D$595,'[1]Annual Energy Data'!$A45,'[1]Monthly Energy Data'!$EK$200:$EK$595)</f>
        <v>#VALUE!</v>
      </c>
      <c r="EE47" s="58" t="e">
        <f>+SUMIF('[1]Monthly Energy Data'!$D$200:$D$595,'[1]Annual Energy Data'!$A45,'[1]Monthly Energy Data'!$EL$200:$EL$595)</f>
        <v>#VALUE!</v>
      </c>
      <c r="EF47" s="68" t="e">
        <f t="shared" si="13"/>
        <v>#VALUE!</v>
      </c>
      <c r="EG47" s="68" t="e">
        <f t="shared" si="14"/>
        <v>#VALUE!</v>
      </c>
      <c r="EH47" s="68" t="e">
        <f t="shared" si="15"/>
        <v>#VALUE!</v>
      </c>
      <c r="EO47" s="84"/>
      <c r="EP47" s="84"/>
    </row>
    <row r="48" spans="1:148" x14ac:dyDescent="0.2">
      <c r="A48" s="15">
        <f>+'Monthly Energy Data'!D488</f>
        <v>2048</v>
      </c>
      <c r="B48" s="8">
        <f>+SUMIF('Monthly Energy Data'!$D41:$D604,'Annual Energy Data'!$A48,'Monthly Energy Data'!G41:G604)</f>
        <v>0</v>
      </c>
      <c r="C48" s="8">
        <f>+SUMIF('Monthly Energy Data'!$D41:$D604,'Annual Energy Data'!$A48,'Monthly Energy Data'!H41:H604)</f>
        <v>0</v>
      </c>
      <c r="D48" s="8">
        <f>+SUMIF('Monthly Energy Data'!$D41:$D604,'Annual Energy Data'!$A48,'Monthly Energy Data'!I41:I604)</f>
        <v>0</v>
      </c>
      <c r="E48" s="8">
        <f>+SUMIF('Monthly Energy Data'!$D41:$D604,'Annual Energy Data'!$A48,'Monthly Energy Data'!J41:J604)</f>
        <v>0</v>
      </c>
      <c r="F48" s="8">
        <f>+SUMIF('Monthly Energy Data'!$D41:$D604,'Annual Energy Data'!$A48,'Monthly Energy Data'!K41:K604)</f>
        <v>0</v>
      </c>
      <c r="G48" s="8">
        <f>+SUMIF('Monthly Energy Data'!$D41:$D604,'Annual Energy Data'!$A48,'Monthly Energy Data'!L41:L604)</f>
        <v>0</v>
      </c>
      <c r="H48" s="8">
        <f>+SUMIF('Monthly Energy Data'!$D41:$D604,'Annual Energy Data'!$A48,'Monthly Energy Data'!M41:O604)</f>
        <v>0</v>
      </c>
      <c r="I48" s="8">
        <f>+SUMIF('Monthly Energy Data'!$D41:$D604,'Annual Energy Data'!$A48,'Monthly Energy Data'!P41:P604)</f>
        <v>0</v>
      </c>
      <c r="J48" s="8">
        <f>+SUMIF('Monthly Energy Data'!$D41:$D604,'Annual Energy Data'!$A48,'Monthly Energy Data'!Q41:Q604)</f>
        <v>0</v>
      </c>
      <c r="K48" s="8">
        <f>+SUMIF('Monthly Energy Data'!$D41:$D604,'Annual Energy Data'!$A48,'Monthly Energy Data'!R41:R604)</f>
        <v>0</v>
      </c>
      <c r="L48" s="8">
        <f>+SUMIF('Monthly Energy Data'!$D41:$D604,'Annual Energy Data'!$A48,'Monthly Energy Data'!S41:S604)</f>
        <v>0</v>
      </c>
      <c r="M48" s="8">
        <f>+SUMIF('Monthly Energy Data'!$D41:$D604,'Annual Energy Data'!$A48,'Monthly Energy Data'!T41:T604)</f>
        <v>0</v>
      </c>
      <c r="N48" s="8">
        <f>+SUMIF('Monthly Energy Data'!$D41:$D604,'Annual Energy Data'!$A48,'Monthly Energy Data'!U41:U604)</f>
        <v>0</v>
      </c>
      <c r="O48" s="8">
        <f>+SUMIF('Monthly Energy Data'!$D41:$D604,'Annual Energy Data'!$A48,'Monthly Energy Data'!V41:V604)</f>
        <v>0</v>
      </c>
      <c r="P48" s="8">
        <f>+SUMIF('Monthly Energy Data'!$D41:$D604,'Annual Energy Data'!$A48,'Monthly Energy Data'!W41:W604)</f>
        <v>0</v>
      </c>
      <c r="Q48" s="8">
        <f>+SUMIF('Monthly Energy Data'!$D41:$D604,'Annual Energy Data'!$A48,'Monthly Energy Data'!X41:X604)</f>
        <v>0</v>
      </c>
      <c r="R48" s="8">
        <f>+SUMIF('Monthly Energy Data'!$D41:$D604,'Annual Energy Data'!$A48,'Monthly Energy Data'!Y41:Y604)</f>
        <v>0</v>
      </c>
      <c r="S48" s="8">
        <f>+SUMIF('Monthly Energy Data'!$D41:$D604,'Annual Energy Data'!$A48,'Monthly Energy Data'!Z41:Z604)</f>
        <v>0</v>
      </c>
      <c r="T48" s="8">
        <f>+SUMIF('Monthly Energy Data'!$D41:$D604,'Annual Energy Data'!$A48,'Monthly Energy Data'!AA41:AA604)</f>
        <v>0</v>
      </c>
      <c r="U48" s="16">
        <f>+'Tier 3 Data'!F43</f>
        <v>0</v>
      </c>
      <c r="V48" s="16">
        <f>+'Tier 3 Data'!G43</f>
        <v>0</v>
      </c>
      <c r="W48" s="16">
        <f>+'Tier 3 Data'!H43</f>
        <v>0</v>
      </c>
      <c r="X48" s="16">
        <f>+'Tier 3 Data'!I43</f>
        <v>0</v>
      </c>
      <c r="Y48" s="63"/>
      <c r="Z48" s="8">
        <f>+SUMIF('Monthly Energy Data'!$D41:$D604,'Annual Energy Data'!$A48,'Monthly Energy Data'!AL41:AL604)</f>
        <v>0</v>
      </c>
      <c r="AA48" s="8">
        <f>+SUMIF('Monthly Energy Data'!$D41:$D604,'Annual Energy Data'!$A48,'Monthly Energy Data'!AM41:AM604)</f>
        <v>0</v>
      </c>
      <c r="AB48" s="8">
        <f>+SUMIF('Monthly Energy Data'!$D41:$D604,'Annual Energy Data'!$A48,'Monthly Energy Data'!AN41:AN604)</f>
        <v>0</v>
      </c>
      <c r="AC48" s="8">
        <f>+SUMIF('Monthly Energy Data'!$D41:$D604,'Annual Energy Data'!$A48,'Monthly Energy Data'!AO41:AO604)</f>
        <v>0</v>
      </c>
      <c r="AD48" s="8">
        <f>+SUMIF('Monthly Energy Data'!$D41:$D604,'Annual Energy Data'!$A48,'Monthly Energy Data'!AP41:AP604)</f>
        <v>0</v>
      </c>
      <c r="AE48" s="8">
        <f>+SUMIF('Monthly Energy Data'!$D41:$D604,'Annual Energy Data'!$A48,'Monthly Energy Data'!AQ41:AQ604)</f>
        <v>0</v>
      </c>
      <c r="AF48" s="8">
        <f>+SUMIF('Monthly Energy Data'!$D41:$D604,'Annual Energy Data'!$A48,'Monthly Energy Data'!AR41:AR604)</f>
        <v>0</v>
      </c>
      <c r="AG48" s="8">
        <f>+SUMIF('Monthly Energy Data'!$D41:$D604,'Annual Energy Data'!$A48,'Monthly Energy Data'!AS41:AS604)</f>
        <v>0</v>
      </c>
      <c r="AH48" s="8">
        <f>+SUMIF('Monthly Energy Data'!$D41:$D604,'Annual Energy Data'!$A48,'Monthly Energy Data'!AT41:AT604)</f>
        <v>0</v>
      </c>
      <c r="AI48" s="8">
        <f>+SUMIF('Monthly Energy Data'!$D41:$D604,'Annual Energy Data'!$A48,'Monthly Energy Data'!AU41:AU604)</f>
        <v>1269.2160000000001</v>
      </c>
      <c r="AJ48" s="8">
        <f>+SUMIF('Monthly Energy Data'!$D41:$D604,'Annual Energy Data'!$A48,'Monthly Energy Data'!AV41:AV604)</f>
        <v>37813.129000000008</v>
      </c>
      <c r="AK48" s="8">
        <f>+SUMIF('Monthly Energy Data'!$D41:$D604,'Annual Energy Data'!$A48,'Monthly Energy Data'!AW41:AW604)</f>
        <v>0</v>
      </c>
      <c r="AL48" s="8">
        <f>+SUMIF('Monthly Energy Data'!$D41:$D604,'Annual Energy Data'!$A48,'Monthly Energy Data'!AX41:AX604)</f>
        <v>0</v>
      </c>
      <c r="AM48" s="8">
        <f>+SUMIF('Monthly Energy Data'!$D41:$D604,'Annual Energy Data'!$A48,'Monthly Energy Data'!AY41:AY604)</f>
        <v>0</v>
      </c>
      <c r="AN48" s="8">
        <f>+SUMIF('Monthly Energy Data'!$D41:$D604,'Annual Energy Data'!$A48,'Monthly Energy Data'!AZ41:AZ604)</f>
        <v>0</v>
      </c>
      <c r="AO48" s="8">
        <f>+SUMIF('Monthly Energy Data'!$D41:$D604,'Annual Energy Data'!$A48,'Monthly Energy Data'!BA41:BA604)</f>
        <v>0</v>
      </c>
      <c r="AP48" s="8">
        <f>+SUMIF('Monthly Energy Data'!$D41:$D604,'Annual Energy Data'!$A48,'Monthly Energy Data'!BB41:BB604)</f>
        <v>0</v>
      </c>
      <c r="AQ48" s="8">
        <f>+SUMIF('Monthly Energy Data'!$D41:$D604,'Annual Energy Data'!$A48,'Monthly Energy Data'!BC41:BC604)</f>
        <v>0</v>
      </c>
      <c r="AR48" s="8">
        <f>+SUMIF('Monthly Energy Data'!$D41:$D604,'Annual Energy Data'!$A48,'Monthly Energy Data'!BD41:BD604)</f>
        <v>0</v>
      </c>
      <c r="AS48" s="8">
        <f>+SUMIF('Monthly Energy Data'!$D41:$D604,'Annual Energy Data'!$A48,'Monthly Energy Data'!BE41:BE604)</f>
        <v>0</v>
      </c>
      <c r="AT48" s="8">
        <f>+SUMIF('Monthly Energy Data'!$D41:$D604,'Annual Energy Data'!$A48,'Monthly Energy Data'!BF41:BF604)</f>
        <v>0</v>
      </c>
      <c r="AU48" s="8">
        <f>+SUMIF('Monthly Energy Data'!$D41:$D604,'Annual Energy Data'!$A48,'Monthly Energy Data'!BG41:BG604)</f>
        <v>0</v>
      </c>
      <c r="AV48" s="8">
        <f>+SUMIF('Monthly Energy Data'!$D41:$D604,'Annual Energy Data'!$A48,'Monthly Energy Data'!BH41:BH604)</f>
        <v>0</v>
      </c>
      <c r="AW48" s="8">
        <f>+SUMIF('Monthly Energy Data'!$D41:$D604,'Annual Energy Data'!$A48,'Monthly Energy Data'!BI41:BI604)</f>
        <v>2778.8205748619234</v>
      </c>
      <c r="AX48" s="8">
        <f>+SUMIF('Monthly Energy Data'!$D41:$D604,'Annual Energy Data'!$A48,'Monthly Energy Data'!BJ41:BJ604)</f>
        <v>0</v>
      </c>
      <c r="AY48" s="8">
        <f>+SUMIF('Monthly Energy Data'!$D41:$D604,'Annual Energy Data'!$A48,'Monthly Energy Data'!BK41:BK604)</f>
        <v>0</v>
      </c>
      <c r="AZ48" s="8">
        <f>+SUMIF('Monthly Energy Data'!$D41:$D604,'Annual Energy Data'!$A48,'Monthly Energy Data'!BL41:BL604)</f>
        <v>0</v>
      </c>
      <c r="BA48" s="8">
        <f>+SUMIF('Monthly Energy Data'!$D41:$D604,'Annual Energy Data'!$A48,'Monthly Energy Data'!BM41:BM604)</f>
        <v>0</v>
      </c>
      <c r="BB48" s="8">
        <f>+SUMIF('Monthly Energy Data'!$D41:$D604,'Annual Energy Data'!$A48,'Monthly Energy Data'!BN41:BN604)</f>
        <v>0</v>
      </c>
      <c r="BC48" s="8">
        <f>+SUMIF('Monthly Energy Data'!$D41:$D604,'Annual Energy Data'!$A48,'Monthly Energy Data'!BO41:BO604)</f>
        <v>0</v>
      </c>
      <c r="BD48" s="8">
        <f>+SUMIF('Monthly Energy Data'!$D41:$D604,'Annual Energy Data'!$A48,'Monthly Energy Data'!BP41:BP604)</f>
        <v>0</v>
      </c>
      <c r="BE48" s="8">
        <f>+SUMIF('Monthly Energy Data'!$D41:$D604,'Annual Energy Data'!$A48,'Monthly Energy Data'!BQ41:BQ604)</f>
        <v>0</v>
      </c>
      <c r="BF48" s="8">
        <f>+SUMIF('Monthly Energy Data'!$D41:$D604,'Annual Energy Data'!$A48,'Monthly Energy Data'!BR41:BR604)</f>
        <v>0</v>
      </c>
      <c r="BG48" s="8">
        <f>+SUMIF('Monthly Energy Data'!$D41:$D604,'Annual Energy Data'!$A48,'Monthly Energy Data'!BS41:BS604)</f>
        <v>0</v>
      </c>
      <c r="BH48" s="8">
        <f>+SUMIF('Monthly Energy Data'!$D41:$D604,'Annual Energy Data'!$A48,'Monthly Energy Data'!BT41:BT604)</f>
        <v>0</v>
      </c>
      <c r="BI48" s="8">
        <f>+SUMIF('Monthly Energy Data'!$D41:$D604,'Annual Energy Data'!$A48,'Monthly Energy Data'!BU41:BU604)</f>
        <v>0</v>
      </c>
      <c r="BJ48" s="8">
        <f>+SUMIF('Monthly Energy Data'!$D41:$D604,'Annual Energy Data'!$A48,'Monthly Energy Data'!BV41:BX604)</f>
        <v>0</v>
      </c>
      <c r="BK48" s="8">
        <f>+SUMIF('Monthly Energy Data'!$D41:$D604,'Annual Energy Data'!$A48,'Monthly Energy Data'!BY41:BY604)</f>
        <v>0</v>
      </c>
      <c r="BL48" s="8">
        <f>+SUMIF('Monthly Energy Data'!$D41:$D604,'Annual Energy Data'!$A48,'Monthly Energy Data'!BZ41:BZ604)</f>
        <v>0</v>
      </c>
      <c r="BM48" s="8">
        <f>+SUMIF('Monthly Energy Data'!$D41:$D604,'Annual Energy Data'!$A48,'Monthly Energy Data'!CA41:CA604)</f>
        <v>0</v>
      </c>
      <c r="BN48" s="8">
        <f>+SUMIF('Monthly Energy Data'!$D41:$D604,'Annual Energy Data'!$A48,'Monthly Energy Data'!CB41:CB604)</f>
        <v>0</v>
      </c>
      <c r="BO48" s="8">
        <f>+SUMIF('Monthly Energy Data'!$D41:$D604,'Annual Energy Data'!$A48,'Monthly Energy Data'!CC41:CC604)</f>
        <v>0</v>
      </c>
      <c r="BP48" s="8">
        <f>+SUMIF('Monthly Energy Data'!$D41:$D604,'Annual Energy Data'!$A48,'Monthly Energy Data'!CD41:CD604)</f>
        <v>0</v>
      </c>
      <c r="BQ48" s="8">
        <f>+SUMIF('Monthly Energy Data'!$D41:$D604,'Annual Energy Data'!$A48,'Monthly Energy Data'!CE41:CE604)</f>
        <v>0</v>
      </c>
      <c r="BR48" s="8">
        <f>+SUMIF('Monthly Energy Data'!$D41:$D604,'Annual Energy Data'!$A48,'Monthly Energy Data'!CF41:CF604)</f>
        <v>0</v>
      </c>
      <c r="BS48" s="8">
        <f>+SUMIF('Monthly Energy Data'!$D41:$D604,'Annual Energy Data'!$A48,'Monthly Energy Data'!CG41:CG604)</f>
        <v>0</v>
      </c>
      <c r="BT48" s="8">
        <f>+SUMIF('Monthly Energy Data'!$D41:$D604,'Annual Energy Data'!$A48,'Monthly Energy Data'!CH41:CH604)</f>
        <v>0</v>
      </c>
      <c r="BU48" s="8">
        <f>+SUMIF('Monthly Energy Data'!$D41:$D604,'Annual Energy Data'!$A48,'Monthly Energy Data'!CI41:CI604)</f>
        <v>0</v>
      </c>
      <c r="BV48" s="8">
        <f>+SUMIF('Monthly Energy Data'!$D41:$D604,'Annual Energy Data'!$A48,'Monthly Energy Data'!CJ41:CJ604)</f>
        <v>0</v>
      </c>
      <c r="BW48" s="8">
        <f>+SUMIF('Monthly Energy Data'!$D41:$D604,'Annual Energy Data'!$A48,'Monthly Energy Data'!CK41:CK604)</f>
        <v>41861.165574861931</v>
      </c>
      <c r="BX48" s="8">
        <f>+SUMIF('Monthly Energy Data'!$D41:$D604,'Annual Energy Data'!$A48,'Monthly Energy Data'!CL41:CL604)</f>
        <v>-41861.165574861931</v>
      </c>
      <c r="BY48" s="8">
        <f>+SUMIF('Monthly Energy Data'!$D41:$D604,'Annual Energy Data'!$A48,'Monthly Energy Data'!CM41:CM604)</f>
        <v>-41861.165574861931</v>
      </c>
      <c r="BZ48" s="8">
        <f>+SUMIF('Monthly Energy Data'!$D41:$D604,'Annual Energy Data'!$A48,'Monthly Energy Data'!CN41:CN604)</f>
        <v>-41861.165574861931</v>
      </c>
      <c r="CA48" s="8">
        <f>+SUMIF('Monthly Energy Data'!$D41:$D604,'Annual Energy Data'!$A48,'Monthly Energy Data'!CO41:CO604)</f>
        <v>-41861.165574861931</v>
      </c>
      <c r="CB48" s="8">
        <f>+SUMIF('Monthly Energy Data'!$D41:$D604,'Annual Energy Data'!$A48,'Monthly Energy Data'!CP41:CP604)</f>
        <v>-41861.165574861931</v>
      </c>
      <c r="CC48" s="8">
        <f>+SUMIF('Monthly Energy Data'!$D41:$D604,'Annual Energy Data'!$A48,'Monthly Energy Data'!CQ41:CQ604)</f>
        <v>-41861.165574861931</v>
      </c>
      <c r="CD48" s="8">
        <f>+SUMIF('Monthly Energy Data'!$D41:$D604,'Annual Energy Data'!$A48,'Monthly Energy Data'!CR41:CR604)</f>
        <v>-41861.165574861931</v>
      </c>
      <c r="CE48" s="8">
        <f>+SUMIF('Monthly Energy Data'!$D41:$D604,'Annual Energy Data'!$A48,'Monthly Energy Data'!CS41:CS604)</f>
        <v>-41861.165574861931</v>
      </c>
      <c r="CF48" s="8">
        <f>+SUMIF('Monthly Energy Data'!$D41:$D604,'Annual Energy Data'!$A48,'Monthly Energy Data'!CT41:CT604)</f>
        <v>-41861.165574861931</v>
      </c>
      <c r="CG48" s="8"/>
      <c r="CH48" s="8">
        <f>+SUMIF('Monthly Energy Data'!$D41:$D604,'Annual Energy Data'!$A48,'Monthly Energy Data'!DD41:DD604)</f>
        <v>0</v>
      </c>
      <c r="CI48" s="8">
        <f>+SUMIF('Monthly Energy Data'!$D41:$D604,'Annual Energy Data'!$A48,'Monthly Energy Data'!DE41:DE604)</f>
        <v>0</v>
      </c>
      <c r="CJ48" s="8">
        <f>+SUMIF('Monthly Energy Data'!$D41:$D604,'Annual Energy Data'!$A48,'Monthly Energy Data'!DF41:DF604)</f>
        <v>0</v>
      </c>
      <c r="CK48" s="8">
        <f>+SUMIF('Monthly Energy Data'!$D41:$D604,'Annual Energy Data'!$A48,'Monthly Energy Data'!DG41:DG604)</f>
        <v>0</v>
      </c>
      <c r="CL48" s="8">
        <f>+SUMIF('Monthly Energy Data'!$D41:$D604,'Annual Energy Data'!$A48,'Monthly Energy Data'!DH41:DH604)</f>
        <v>0</v>
      </c>
      <c r="CM48" s="8">
        <f>+SUMIF('Monthly Energy Data'!$D41:$D604,'Annual Energy Data'!$A48,'Monthly Energy Data'!DI41:DI604)</f>
        <v>0</v>
      </c>
      <c r="CN48" s="8">
        <f>+SUMIF('Monthly Energy Data'!$D41:$D604,'Annual Energy Data'!$A48,'Monthly Energy Data'!DJ41:DJ604)</f>
        <v>0</v>
      </c>
      <c r="CO48" s="8">
        <f>+SUMIF('Monthly Energy Data'!$D41:$D604,'Annual Energy Data'!$A48,'Monthly Energy Data'!DK41:DK604)</f>
        <v>0</v>
      </c>
      <c r="CP48" s="8">
        <f>+SUMIF('Monthly Energy Data'!$D41:$D604,'Annual Energy Data'!$A48,'Monthly Energy Data'!DL41:DL604)</f>
        <v>0</v>
      </c>
      <c r="CQ48" s="8">
        <f>+SUMIF('Monthly Energy Data'!$D41:$D604,'Annual Energy Data'!$A48,'Monthly Energy Data'!DM41:DM604)</f>
        <v>0</v>
      </c>
      <c r="CR48" s="8">
        <f>+SUMIF('Monthly Energy Data'!$D41:$D604,'Annual Energy Data'!$A48,'Monthly Energy Data'!DN41:DN604)</f>
        <v>41861.165574861931</v>
      </c>
      <c r="CS48" s="8">
        <f>+SUMIF('Monthly Energy Data'!$D41:$D604,'Annual Energy Data'!$A48,'Monthly Energy Data'!DO41:DO604)</f>
        <v>-41861.165574861931</v>
      </c>
      <c r="CT48" s="8">
        <f>+SUMIF('Monthly Energy Data'!$D41:$D604,'Annual Energy Data'!$A48,'Monthly Energy Data'!DP41:DP604)</f>
        <v>-41861.165574861931</v>
      </c>
      <c r="CU48" s="8">
        <f>+SUMIF('Monthly Energy Data'!$D41:$D604,'Annual Energy Data'!$A48,'Monthly Energy Data'!DQ41:DQ604)</f>
        <v>-41861.165574861931</v>
      </c>
      <c r="CV48" s="8">
        <f>+SUMIF('Monthly Energy Data'!$D41:$D604,'Annual Energy Data'!$A48,'Monthly Energy Data'!DR41:DR604)</f>
        <v>-41861.165574861931</v>
      </c>
      <c r="CW48" s="8">
        <f>+SUMIF('Monthly Energy Data'!$D41:$D604,'Annual Energy Data'!$A48,'Monthly Energy Data'!DS41:DS604)</f>
        <v>-41861.165574861931</v>
      </c>
      <c r="CX48" s="8">
        <f>+SUMIF('Monthly Energy Data'!$D41:$D604,'Annual Energy Data'!$A48,'Monthly Energy Data'!DT41:DT604)</f>
        <v>-41861.165574861931</v>
      </c>
      <c r="CY48" s="8">
        <f>+SUMIF('Monthly Energy Data'!$D41:$D604,'Annual Energy Data'!$A48,'Monthly Energy Data'!DU41:DU604)</f>
        <v>-41861.165574861931</v>
      </c>
      <c r="CZ48" s="8">
        <f>+SUMIF('Monthly Energy Data'!$D41:$D604,'Annual Energy Data'!$A48,'Monthly Energy Data'!DV41:DV604)</f>
        <v>-41861.165574861931</v>
      </c>
      <c r="DA48" s="8">
        <f>+SUMIF('Monthly Energy Data'!$D41:$D604,'Annual Energy Data'!$A48,'Monthly Energy Data'!DW41:DW604)</f>
        <v>-41861.165574861931</v>
      </c>
      <c r="DB48" s="78"/>
      <c r="DC48" s="78"/>
      <c r="DD48" s="78"/>
      <c r="DE48" s="78"/>
      <c r="DF48" s="19" t="e">
        <f t="shared" si="4"/>
        <v>#DIV/0!</v>
      </c>
      <c r="DG48" s="78"/>
      <c r="DH48" s="78"/>
      <c r="DI48" s="78"/>
      <c r="DJ48" s="78"/>
      <c r="DK48" s="135">
        <f t="shared" si="17"/>
        <v>-41861.165574861931</v>
      </c>
      <c r="DL48" s="135">
        <f t="shared" si="18"/>
        <v>-41861.165574861931</v>
      </c>
      <c r="DM48" s="135">
        <f t="shared" si="19"/>
        <v>-41861.165574861931</v>
      </c>
      <c r="DN48" s="58">
        <f t="shared" si="5"/>
        <v>41861.165574861931</v>
      </c>
      <c r="DO48" s="68" t="e">
        <f t="shared" si="6"/>
        <v>#DIV/0!</v>
      </c>
      <c r="DP48" s="68" t="e">
        <f t="shared" si="7"/>
        <v>#DIV/0!</v>
      </c>
      <c r="DQ48" s="68" t="e">
        <f t="shared" si="8"/>
        <v>#DIV/0!</v>
      </c>
      <c r="DR48" s="68"/>
      <c r="DS48" s="58">
        <f t="shared" si="16"/>
        <v>-41861.165574861931</v>
      </c>
      <c r="DT48" s="58">
        <f t="shared" si="9"/>
        <v>41861.165574861931</v>
      </c>
      <c r="DU48" s="68" t="e">
        <f t="shared" si="10"/>
        <v>#DIV/0!</v>
      </c>
      <c r="DV48" s="68" t="e">
        <f t="shared" si="11"/>
        <v>#DIV/0!</v>
      </c>
      <c r="DW48" s="68" t="e">
        <f t="shared" si="12"/>
        <v>#DIV/0!</v>
      </c>
      <c r="DX48" s="68" t="e">
        <f t="shared" si="3"/>
        <v>#DIV/0!</v>
      </c>
      <c r="DZ48" s="68" t="e">
        <f t="shared" si="0"/>
        <v>#DIV/0!</v>
      </c>
      <c r="EA48" s="68" t="e">
        <f t="shared" si="1"/>
        <v>#DIV/0!</v>
      </c>
      <c r="EB48" s="68" t="e">
        <f t="shared" si="2"/>
        <v>#DIV/0!</v>
      </c>
      <c r="ED48" s="58" t="e">
        <f>+SUMIF('[1]Monthly Energy Data'!$D$200:$D$595,'[1]Annual Energy Data'!$A46,'[1]Monthly Energy Data'!$EK$200:$EK$595)</f>
        <v>#VALUE!</v>
      </c>
      <c r="EE48" s="58" t="e">
        <f>+SUMIF('[1]Monthly Energy Data'!$D$200:$D$595,'[1]Annual Energy Data'!$A46,'[1]Monthly Energy Data'!$EL$200:$EL$595)</f>
        <v>#VALUE!</v>
      </c>
      <c r="EF48" s="68" t="e">
        <f t="shared" si="13"/>
        <v>#VALUE!</v>
      </c>
      <c r="EG48" s="68" t="e">
        <f t="shared" si="14"/>
        <v>#VALUE!</v>
      </c>
      <c r="EH48" s="68" t="e">
        <f t="shared" si="15"/>
        <v>#VALUE!</v>
      </c>
      <c r="EO48" s="84"/>
      <c r="EP48" s="84"/>
    </row>
    <row r="49" spans="1:146" x14ac:dyDescent="0.2">
      <c r="A49" s="15">
        <f>+'Monthly Energy Data'!D500</f>
        <v>2049</v>
      </c>
      <c r="B49" s="8">
        <f>+SUMIF('Monthly Energy Data'!$D42:$D605,'Annual Energy Data'!$A49,'Monthly Energy Data'!G42:G605)</f>
        <v>0</v>
      </c>
      <c r="C49" s="8">
        <f>+SUMIF('Monthly Energy Data'!$D42:$D605,'Annual Energy Data'!$A49,'Monthly Energy Data'!H42:H605)</f>
        <v>0</v>
      </c>
      <c r="D49" s="8">
        <f>+SUMIF('Monthly Energy Data'!$D42:$D605,'Annual Energy Data'!$A49,'Monthly Energy Data'!I42:I605)</f>
        <v>0</v>
      </c>
      <c r="E49" s="8">
        <f>+SUMIF('Monthly Energy Data'!$D42:$D605,'Annual Energy Data'!$A49,'Monthly Energy Data'!J42:J605)</f>
        <v>0</v>
      </c>
      <c r="F49" s="8">
        <f>+SUMIF('Monthly Energy Data'!$D42:$D605,'Annual Energy Data'!$A49,'Monthly Energy Data'!K42:K605)</f>
        <v>0</v>
      </c>
      <c r="G49" s="8">
        <f>+SUMIF('Monthly Energy Data'!$D42:$D605,'Annual Energy Data'!$A49,'Monthly Energy Data'!L42:L605)</f>
        <v>0</v>
      </c>
      <c r="H49" s="8">
        <f>+SUMIF('Monthly Energy Data'!$D42:$D605,'Annual Energy Data'!$A49,'Monthly Energy Data'!M42:O605)</f>
        <v>0</v>
      </c>
      <c r="I49" s="8">
        <f>+SUMIF('Monthly Energy Data'!$D42:$D605,'Annual Energy Data'!$A49,'Monthly Energy Data'!P42:P605)</f>
        <v>0</v>
      </c>
      <c r="J49" s="8">
        <f>+SUMIF('Monthly Energy Data'!$D42:$D605,'Annual Energy Data'!$A49,'Monthly Energy Data'!Q42:Q605)</f>
        <v>0</v>
      </c>
      <c r="K49" s="8">
        <f>+SUMIF('Monthly Energy Data'!$D42:$D605,'Annual Energy Data'!$A49,'Monthly Energy Data'!R42:R605)</f>
        <v>0</v>
      </c>
      <c r="L49" s="8">
        <f>+SUMIF('Monthly Energy Data'!$D42:$D605,'Annual Energy Data'!$A49,'Monthly Energy Data'!S42:S605)</f>
        <v>0</v>
      </c>
      <c r="M49" s="8">
        <f>+SUMIF('Monthly Energy Data'!$D42:$D605,'Annual Energy Data'!$A49,'Monthly Energy Data'!T42:T605)</f>
        <v>0</v>
      </c>
      <c r="N49" s="8">
        <f>+SUMIF('Monthly Energy Data'!$D42:$D605,'Annual Energy Data'!$A49,'Monthly Energy Data'!U42:U605)</f>
        <v>0</v>
      </c>
      <c r="O49" s="8">
        <f>+SUMIF('Monthly Energy Data'!$D42:$D605,'Annual Energy Data'!$A49,'Monthly Energy Data'!V42:V605)</f>
        <v>0</v>
      </c>
      <c r="P49" s="8">
        <f>+SUMIF('Monthly Energy Data'!$D42:$D605,'Annual Energy Data'!$A49,'Monthly Energy Data'!W42:W605)</f>
        <v>0</v>
      </c>
      <c r="Q49" s="8">
        <f>+SUMIF('Monthly Energy Data'!$D42:$D605,'Annual Energy Data'!$A49,'Monthly Energy Data'!X42:X605)</f>
        <v>0</v>
      </c>
      <c r="R49" s="8">
        <f>+SUMIF('Monthly Energy Data'!$D42:$D605,'Annual Energy Data'!$A49,'Monthly Energy Data'!Y42:Y605)</f>
        <v>0</v>
      </c>
      <c r="S49" s="8">
        <f>+SUMIF('Monthly Energy Data'!$D42:$D605,'Annual Energy Data'!$A49,'Monthly Energy Data'!Z42:Z605)</f>
        <v>0</v>
      </c>
      <c r="T49" s="8">
        <f>+SUMIF('Monthly Energy Data'!$D42:$D605,'Annual Energy Data'!$A49,'Monthly Energy Data'!AA42:AA605)</f>
        <v>0</v>
      </c>
      <c r="U49" s="16">
        <f>+'Tier 3 Data'!F44</f>
        <v>0</v>
      </c>
      <c r="V49" s="16">
        <f>+'Tier 3 Data'!G44</f>
        <v>0</v>
      </c>
      <c r="W49" s="16">
        <f>+'Tier 3 Data'!H44</f>
        <v>0</v>
      </c>
      <c r="X49" s="16">
        <f>+'Tier 3 Data'!I44</f>
        <v>0</v>
      </c>
      <c r="Y49" s="63"/>
      <c r="Z49" s="8">
        <f>+SUMIF('Monthly Energy Data'!$D42:$D605,'Annual Energy Data'!$A49,'Monthly Energy Data'!AL42:AL605)</f>
        <v>0</v>
      </c>
      <c r="AA49" s="8">
        <f>+SUMIF('Monthly Energy Data'!$D42:$D605,'Annual Energy Data'!$A49,'Monthly Energy Data'!AM42:AM605)</f>
        <v>0</v>
      </c>
      <c r="AB49" s="8">
        <f>+SUMIF('Monthly Energy Data'!$D42:$D605,'Annual Energy Data'!$A49,'Monthly Energy Data'!AN42:AN605)</f>
        <v>0</v>
      </c>
      <c r="AC49" s="8">
        <f>+SUMIF('Monthly Energy Data'!$D42:$D605,'Annual Energy Data'!$A49,'Monthly Energy Data'!AO42:AO605)</f>
        <v>0</v>
      </c>
      <c r="AD49" s="8">
        <f>+SUMIF('Monthly Energy Data'!$D42:$D605,'Annual Energy Data'!$A49,'Monthly Energy Data'!AP42:AP605)</f>
        <v>0</v>
      </c>
      <c r="AE49" s="8">
        <f>+SUMIF('Monthly Energy Data'!$D42:$D605,'Annual Energy Data'!$A49,'Monthly Energy Data'!AQ42:AQ605)</f>
        <v>0</v>
      </c>
      <c r="AF49" s="8">
        <f>+SUMIF('Monthly Energy Data'!$D42:$D605,'Annual Energy Data'!$A49,'Monthly Energy Data'!AR42:AR605)</f>
        <v>0</v>
      </c>
      <c r="AG49" s="8">
        <f>+SUMIF('Monthly Energy Data'!$D42:$D605,'Annual Energy Data'!$A49,'Monthly Energy Data'!AS42:AS605)</f>
        <v>0</v>
      </c>
      <c r="AH49" s="8">
        <f>+SUMIF('Monthly Energy Data'!$D42:$D605,'Annual Energy Data'!$A49,'Monthly Energy Data'!AT42:AT605)</f>
        <v>0</v>
      </c>
      <c r="AI49" s="8">
        <f>+SUMIF('Monthly Energy Data'!$D42:$D605,'Annual Energy Data'!$A49,'Monthly Energy Data'!AU42:AU605)</f>
        <v>1269.2160000000001</v>
      </c>
      <c r="AJ49" s="8">
        <f>+SUMIF('Monthly Energy Data'!$D42:$D605,'Annual Energy Data'!$A49,'Monthly Energy Data'!AV42:AV605)</f>
        <v>37813.129000000008</v>
      </c>
      <c r="AK49" s="8">
        <f>+SUMIF('Monthly Energy Data'!$D42:$D605,'Annual Energy Data'!$A49,'Monthly Energy Data'!AW42:AW605)</f>
        <v>0</v>
      </c>
      <c r="AL49" s="8">
        <f>+SUMIF('Monthly Energy Data'!$D42:$D605,'Annual Energy Data'!$A49,'Monthly Energy Data'!AX42:AX605)</f>
        <v>0</v>
      </c>
      <c r="AM49" s="8">
        <f>+SUMIF('Monthly Energy Data'!$D42:$D605,'Annual Energy Data'!$A49,'Monthly Energy Data'!AY42:AY605)</f>
        <v>0</v>
      </c>
      <c r="AN49" s="8">
        <f>+SUMIF('Monthly Energy Data'!$D42:$D605,'Annual Energy Data'!$A49,'Monthly Energy Data'!AZ42:AZ605)</f>
        <v>0</v>
      </c>
      <c r="AO49" s="8">
        <f>+SUMIF('Monthly Energy Data'!$D42:$D605,'Annual Energy Data'!$A49,'Monthly Energy Data'!BA42:BA605)</f>
        <v>0</v>
      </c>
      <c r="AP49" s="8">
        <f>+SUMIF('Monthly Energy Data'!$D42:$D605,'Annual Energy Data'!$A49,'Monthly Energy Data'!BB42:BB605)</f>
        <v>0</v>
      </c>
      <c r="AQ49" s="8">
        <f>+SUMIF('Monthly Energy Data'!$D42:$D605,'Annual Energy Data'!$A49,'Monthly Energy Data'!BC42:BC605)</f>
        <v>0</v>
      </c>
      <c r="AR49" s="8">
        <f>+SUMIF('Monthly Energy Data'!$D42:$D605,'Annual Energy Data'!$A49,'Monthly Energy Data'!BD42:BD605)</f>
        <v>0</v>
      </c>
      <c r="AS49" s="8">
        <f>+SUMIF('Monthly Energy Data'!$D42:$D605,'Annual Energy Data'!$A49,'Monthly Energy Data'!BE42:BE605)</f>
        <v>0</v>
      </c>
      <c r="AT49" s="8">
        <f>+SUMIF('Monthly Energy Data'!$D42:$D605,'Annual Energy Data'!$A49,'Monthly Energy Data'!BF42:BF605)</f>
        <v>0</v>
      </c>
      <c r="AU49" s="8">
        <f>+SUMIF('Monthly Energy Data'!$D42:$D605,'Annual Energy Data'!$A49,'Monthly Energy Data'!BG42:BG605)</f>
        <v>0</v>
      </c>
      <c r="AV49" s="8">
        <f>+SUMIF('Monthly Energy Data'!$D42:$D605,'Annual Energy Data'!$A49,'Monthly Energy Data'!BH42:BH605)</f>
        <v>0</v>
      </c>
      <c r="AW49" s="8">
        <f>+SUMIF('Monthly Energy Data'!$D42:$D605,'Annual Energy Data'!$A49,'Monthly Energy Data'!BI42:BI605)</f>
        <v>837.30404992591207</v>
      </c>
      <c r="AX49" s="8">
        <f>+SUMIF('Monthly Energy Data'!$D42:$D605,'Annual Energy Data'!$A49,'Monthly Energy Data'!BJ42:BJ605)</f>
        <v>0</v>
      </c>
      <c r="AY49" s="8">
        <f>+SUMIF('Monthly Energy Data'!$D42:$D605,'Annual Energy Data'!$A49,'Monthly Energy Data'!BK42:BK605)</f>
        <v>0</v>
      </c>
      <c r="AZ49" s="8">
        <f>+SUMIF('Monthly Energy Data'!$D42:$D605,'Annual Energy Data'!$A49,'Monthly Energy Data'!BL42:BL605)</f>
        <v>0</v>
      </c>
      <c r="BA49" s="8">
        <f>+SUMIF('Monthly Energy Data'!$D42:$D605,'Annual Energy Data'!$A49,'Monthly Energy Data'!BM42:BM605)</f>
        <v>0</v>
      </c>
      <c r="BB49" s="8">
        <f>+SUMIF('Monthly Energy Data'!$D42:$D605,'Annual Energy Data'!$A49,'Monthly Energy Data'!BN42:BN605)</f>
        <v>0</v>
      </c>
      <c r="BC49" s="8">
        <f>+SUMIF('Monthly Energy Data'!$D42:$D605,'Annual Energy Data'!$A49,'Monthly Energy Data'!BO42:BO605)</f>
        <v>0</v>
      </c>
      <c r="BD49" s="8">
        <f>+SUMIF('Monthly Energy Data'!$D42:$D605,'Annual Energy Data'!$A49,'Monthly Energy Data'!BP42:BP605)</f>
        <v>0</v>
      </c>
      <c r="BE49" s="8">
        <f>+SUMIF('Monthly Energy Data'!$D42:$D605,'Annual Energy Data'!$A49,'Monthly Energy Data'!BQ42:BQ605)</f>
        <v>0</v>
      </c>
      <c r="BF49" s="8">
        <f>+SUMIF('Monthly Energy Data'!$D42:$D605,'Annual Energy Data'!$A49,'Monthly Energy Data'!BR42:BR605)</f>
        <v>0</v>
      </c>
      <c r="BG49" s="8">
        <f>+SUMIF('Monthly Energy Data'!$D42:$D605,'Annual Energy Data'!$A49,'Monthly Energy Data'!BS42:BS605)</f>
        <v>0</v>
      </c>
      <c r="BH49" s="8">
        <f>+SUMIF('Monthly Energy Data'!$D42:$D605,'Annual Energy Data'!$A49,'Monthly Energy Data'!BT42:BT605)</f>
        <v>0</v>
      </c>
      <c r="BI49" s="8">
        <f>+SUMIF('Monthly Energy Data'!$D42:$D605,'Annual Energy Data'!$A49,'Monthly Energy Data'!BU42:BU605)</f>
        <v>0</v>
      </c>
      <c r="BJ49" s="8">
        <f>+SUMIF('Monthly Energy Data'!$D42:$D605,'Annual Energy Data'!$A49,'Monthly Energy Data'!BV42:BX605)</f>
        <v>0</v>
      </c>
      <c r="BK49" s="8">
        <f>+SUMIF('Monthly Energy Data'!$D42:$D605,'Annual Energy Data'!$A49,'Monthly Energy Data'!BY42:BY605)</f>
        <v>0</v>
      </c>
      <c r="BL49" s="8">
        <f>+SUMIF('Monthly Energy Data'!$D42:$D605,'Annual Energy Data'!$A49,'Monthly Energy Data'!BZ42:BZ605)</f>
        <v>0</v>
      </c>
      <c r="BM49" s="8">
        <f>+SUMIF('Monthly Energy Data'!$D42:$D605,'Annual Energy Data'!$A49,'Monthly Energy Data'!CA42:CA605)</f>
        <v>0</v>
      </c>
      <c r="BN49" s="8">
        <f>+SUMIF('Monthly Energy Data'!$D42:$D605,'Annual Energy Data'!$A49,'Monthly Energy Data'!CB42:CB605)</f>
        <v>0</v>
      </c>
      <c r="BO49" s="8">
        <f>+SUMIF('Monthly Energy Data'!$D42:$D605,'Annual Energy Data'!$A49,'Monthly Energy Data'!CC42:CC605)</f>
        <v>0</v>
      </c>
      <c r="BP49" s="8">
        <f>+SUMIF('Monthly Energy Data'!$D42:$D605,'Annual Energy Data'!$A49,'Monthly Energy Data'!CD42:CD605)</f>
        <v>0</v>
      </c>
      <c r="BQ49" s="8">
        <f>+SUMIF('Monthly Energy Data'!$D42:$D605,'Annual Energy Data'!$A49,'Monthly Energy Data'!CE42:CE605)</f>
        <v>0</v>
      </c>
      <c r="BR49" s="8">
        <f>+SUMIF('Monthly Energy Data'!$D42:$D605,'Annual Energy Data'!$A49,'Monthly Energy Data'!CF42:CF605)</f>
        <v>0</v>
      </c>
      <c r="BS49" s="8">
        <f>+SUMIF('Monthly Energy Data'!$D42:$D605,'Annual Energy Data'!$A49,'Monthly Energy Data'!CG42:CG605)</f>
        <v>0</v>
      </c>
      <c r="BT49" s="8">
        <f>+SUMIF('Monthly Energy Data'!$D42:$D605,'Annual Energy Data'!$A49,'Monthly Energy Data'!CH42:CH605)</f>
        <v>0</v>
      </c>
      <c r="BU49" s="8">
        <f>+SUMIF('Monthly Energy Data'!$D42:$D605,'Annual Energy Data'!$A49,'Monthly Energy Data'!CI42:CI605)</f>
        <v>0</v>
      </c>
      <c r="BV49" s="8">
        <f>+SUMIF('Monthly Energy Data'!$D42:$D605,'Annual Energy Data'!$A49,'Monthly Energy Data'!CJ42:CJ605)</f>
        <v>0</v>
      </c>
      <c r="BW49" s="8">
        <f>+SUMIF('Monthly Energy Data'!$D42:$D605,'Annual Energy Data'!$A49,'Monthly Energy Data'!CK42:CK605)</f>
        <v>39919.649049925909</v>
      </c>
      <c r="BX49" s="8">
        <f>+SUMIF('Monthly Energy Data'!$D42:$D605,'Annual Energy Data'!$A49,'Monthly Energy Data'!CL42:CL605)</f>
        <v>-39919.649049925909</v>
      </c>
      <c r="BY49" s="8">
        <f>+SUMIF('Monthly Energy Data'!$D42:$D605,'Annual Energy Data'!$A49,'Monthly Energy Data'!CM42:CM605)</f>
        <v>-39919.649049925909</v>
      </c>
      <c r="BZ49" s="8">
        <f>+SUMIF('Monthly Energy Data'!$D42:$D605,'Annual Energy Data'!$A49,'Monthly Energy Data'!CN42:CN605)</f>
        <v>-39919.649049925909</v>
      </c>
      <c r="CA49" s="8">
        <f>+SUMIF('Monthly Energy Data'!$D42:$D605,'Annual Energy Data'!$A49,'Monthly Energy Data'!CO42:CO605)</f>
        <v>-39919.649049925909</v>
      </c>
      <c r="CB49" s="8">
        <f>+SUMIF('Monthly Energy Data'!$D42:$D605,'Annual Energy Data'!$A49,'Monthly Energy Data'!CP42:CP605)</f>
        <v>-39919.649049925909</v>
      </c>
      <c r="CC49" s="8">
        <f>+SUMIF('Monthly Energy Data'!$D42:$D605,'Annual Energy Data'!$A49,'Monthly Energy Data'!CQ42:CQ605)</f>
        <v>-39919.649049925909</v>
      </c>
      <c r="CD49" s="8">
        <f>+SUMIF('Monthly Energy Data'!$D42:$D605,'Annual Energy Data'!$A49,'Monthly Energy Data'!CR42:CR605)</f>
        <v>-39919.649049925909</v>
      </c>
      <c r="CE49" s="8">
        <f>+SUMIF('Monthly Energy Data'!$D42:$D605,'Annual Energy Data'!$A49,'Monthly Energy Data'!CS42:CS605)</f>
        <v>-39919.649049925909</v>
      </c>
      <c r="CF49" s="8">
        <f>+SUMIF('Monthly Energy Data'!$D42:$D605,'Annual Energy Data'!$A49,'Monthly Energy Data'!CT42:CT605)</f>
        <v>-39919.649049925909</v>
      </c>
      <c r="CG49" s="8"/>
      <c r="CH49" s="8">
        <f>+SUMIF('Monthly Energy Data'!$D42:$D605,'Annual Energy Data'!$A49,'Monthly Energy Data'!DD42:DD605)</f>
        <v>0</v>
      </c>
      <c r="CI49" s="8">
        <f>+SUMIF('Monthly Energy Data'!$D42:$D605,'Annual Energy Data'!$A49,'Monthly Energy Data'!DE42:DE605)</f>
        <v>0</v>
      </c>
      <c r="CJ49" s="8">
        <f>+SUMIF('Monthly Energy Data'!$D42:$D605,'Annual Energy Data'!$A49,'Monthly Energy Data'!DF42:DF605)</f>
        <v>0</v>
      </c>
      <c r="CK49" s="8">
        <f>+SUMIF('Monthly Energy Data'!$D42:$D605,'Annual Energy Data'!$A49,'Monthly Energy Data'!DG42:DG605)</f>
        <v>0</v>
      </c>
      <c r="CL49" s="8">
        <f>+SUMIF('Monthly Energy Data'!$D42:$D605,'Annual Energy Data'!$A49,'Monthly Energy Data'!DH42:DH605)</f>
        <v>0</v>
      </c>
      <c r="CM49" s="8">
        <f>+SUMIF('Monthly Energy Data'!$D42:$D605,'Annual Energy Data'!$A49,'Monthly Energy Data'!DI42:DI605)</f>
        <v>0</v>
      </c>
      <c r="CN49" s="8">
        <f>+SUMIF('Monthly Energy Data'!$D42:$D605,'Annual Energy Data'!$A49,'Monthly Energy Data'!DJ42:DJ605)</f>
        <v>0</v>
      </c>
      <c r="CO49" s="8">
        <f>+SUMIF('Monthly Energy Data'!$D42:$D605,'Annual Energy Data'!$A49,'Monthly Energy Data'!DK42:DK605)</f>
        <v>0</v>
      </c>
      <c r="CP49" s="8">
        <f>+SUMIF('Monthly Energy Data'!$D42:$D605,'Annual Energy Data'!$A49,'Monthly Energy Data'!DL42:DL605)</f>
        <v>0</v>
      </c>
      <c r="CQ49" s="8">
        <f>+SUMIF('Monthly Energy Data'!$D42:$D605,'Annual Energy Data'!$A49,'Monthly Energy Data'!DM42:DM605)</f>
        <v>0</v>
      </c>
      <c r="CR49" s="8">
        <f>+SUMIF('Monthly Energy Data'!$D42:$D605,'Annual Energy Data'!$A49,'Monthly Energy Data'!DN42:DN605)</f>
        <v>39919.649049925909</v>
      </c>
      <c r="CS49" s="8">
        <f>+SUMIF('Monthly Energy Data'!$D42:$D605,'Annual Energy Data'!$A49,'Monthly Energy Data'!DO42:DO605)</f>
        <v>-39919.649049925909</v>
      </c>
      <c r="CT49" s="8">
        <f>+SUMIF('Monthly Energy Data'!$D42:$D605,'Annual Energy Data'!$A49,'Monthly Energy Data'!DP42:DP605)</f>
        <v>-39919.649049925909</v>
      </c>
      <c r="CU49" s="8">
        <f>+SUMIF('Monthly Energy Data'!$D42:$D605,'Annual Energy Data'!$A49,'Monthly Energy Data'!DQ42:DQ605)</f>
        <v>-39919.649049925909</v>
      </c>
      <c r="CV49" s="8">
        <f>+SUMIF('Monthly Energy Data'!$D42:$D605,'Annual Energy Data'!$A49,'Monthly Energy Data'!DR42:DR605)</f>
        <v>-39919.649049925909</v>
      </c>
      <c r="CW49" s="8">
        <f>+SUMIF('Monthly Energy Data'!$D42:$D605,'Annual Energy Data'!$A49,'Monthly Energy Data'!DS42:DS605)</f>
        <v>-39919.649049925909</v>
      </c>
      <c r="CX49" s="8">
        <f>+SUMIF('Monthly Energy Data'!$D42:$D605,'Annual Energy Data'!$A49,'Monthly Energy Data'!DT42:DT605)</f>
        <v>-39919.649049925909</v>
      </c>
      <c r="CY49" s="8">
        <f>+SUMIF('Monthly Energy Data'!$D42:$D605,'Annual Energy Data'!$A49,'Monthly Energy Data'!DU42:DU605)</f>
        <v>-39919.649049925909</v>
      </c>
      <c r="CZ49" s="8">
        <f>+SUMIF('Monthly Energy Data'!$D42:$D605,'Annual Energy Data'!$A49,'Monthly Energy Data'!DV42:DV605)</f>
        <v>-39919.649049925909</v>
      </c>
      <c r="DA49" s="8">
        <f>+SUMIF('Monthly Energy Data'!$D42:$D605,'Annual Energy Data'!$A49,'Monthly Energy Data'!DW42:DW605)</f>
        <v>-39919.649049925909</v>
      </c>
      <c r="DB49" s="78"/>
      <c r="DC49" s="78"/>
      <c r="DD49" s="78"/>
      <c r="DE49" s="78"/>
      <c r="DF49" s="19" t="e">
        <f t="shared" si="4"/>
        <v>#DIV/0!</v>
      </c>
      <c r="DG49" s="78"/>
      <c r="DH49" s="78"/>
      <c r="DI49" s="78"/>
      <c r="DJ49" s="78"/>
      <c r="DK49" s="135">
        <f t="shared" si="17"/>
        <v>-39919.649049925923</v>
      </c>
      <c r="DL49" s="135">
        <f t="shared" si="18"/>
        <v>-39919.649049925923</v>
      </c>
      <c r="DM49" s="135">
        <f t="shared" si="19"/>
        <v>-39919.649049925923</v>
      </c>
      <c r="DN49" s="58">
        <f t="shared" si="5"/>
        <v>39919.649049925923</v>
      </c>
      <c r="DO49" s="68" t="e">
        <f t="shared" si="6"/>
        <v>#DIV/0!</v>
      </c>
      <c r="DP49" s="68" t="e">
        <f t="shared" si="7"/>
        <v>#DIV/0!</v>
      </c>
      <c r="DQ49" s="68" t="e">
        <f t="shared" si="8"/>
        <v>#DIV/0!</v>
      </c>
      <c r="DR49" s="68"/>
      <c r="DS49" s="58">
        <f t="shared" si="16"/>
        <v>-39919.649049925923</v>
      </c>
      <c r="DT49" s="58">
        <f t="shared" si="9"/>
        <v>39919.649049925923</v>
      </c>
      <c r="DU49" s="68" t="e">
        <f t="shared" si="10"/>
        <v>#DIV/0!</v>
      </c>
      <c r="DV49" s="68" t="e">
        <f t="shared" si="11"/>
        <v>#DIV/0!</v>
      </c>
      <c r="DW49" s="68" t="e">
        <f t="shared" si="12"/>
        <v>#DIV/0!</v>
      </c>
      <c r="DX49" s="68" t="e">
        <f t="shared" si="3"/>
        <v>#DIV/0!</v>
      </c>
      <c r="DZ49" s="68" t="e">
        <f t="shared" si="0"/>
        <v>#DIV/0!</v>
      </c>
      <c r="EA49" s="68" t="e">
        <f t="shared" si="1"/>
        <v>#DIV/0!</v>
      </c>
      <c r="EB49" s="68" t="e">
        <f t="shared" si="2"/>
        <v>#DIV/0!</v>
      </c>
      <c r="ED49" s="58" t="e">
        <f>+SUMIF('[1]Monthly Energy Data'!$D$200:$D$595,'[1]Annual Energy Data'!$A47,'[1]Monthly Energy Data'!$EK$200:$EK$595)</f>
        <v>#VALUE!</v>
      </c>
      <c r="EE49" s="58" t="e">
        <f>+SUMIF('[1]Monthly Energy Data'!$D$200:$D$595,'[1]Annual Energy Data'!$A47,'[1]Monthly Energy Data'!$EL$200:$EL$595)</f>
        <v>#VALUE!</v>
      </c>
      <c r="EF49" s="68" t="e">
        <f t="shared" si="13"/>
        <v>#VALUE!</v>
      </c>
      <c r="EG49" s="68" t="e">
        <f t="shared" si="14"/>
        <v>#VALUE!</v>
      </c>
      <c r="EH49" s="68" t="e">
        <f t="shared" si="15"/>
        <v>#VALUE!</v>
      </c>
      <c r="EO49" s="84"/>
      <c r="EP49" s="84"/>
    </row>
    <row r="50" spans="1:146" x14ac:dyDescent="0.2">
      <c r="A50" s="15">
        <f>+'Monthly Energy Data'!D512</f>
        <v>2050</v>
      </c>
      <c r="B50" s="8">
        <f>+SUMIF('Monthly Energy Data'!$D43:$D606,'Annual Energy Data'!$A50,'Monthly Energy Data'!G43:G606)</f>
        <v>0</v>
      </c>
      <c r="C50" s="8">
        <f>+SUMIF('Monthly Energy Data'!$D43:$D606,'Annual Energy Data'!$A50,'Monthly Energy Data'!H43:H606)</f>
        <v>0</v>
      </c>
      <c r="D50" s="8">
        <f>+SUMIF('Monthly Energy Data'!$D43:$D606,'Annual Energy Data'!$A50,'Monthly Energy Data'!I43:I606)</f>
        <v>0</v>
      </c>
      <c r="E50" s="8">
        <f>+SUMIF('Monthly Energy Data'!$D43:$D606,'Annual Energy Data'!$A50,'Monthly Energy Data'!J43:J606)</f>
        <v>0</v>
      </c>
      <c r="F50" s="8">
        <f>+SUMIF('Monthly Energy Data'!$D43:$D606,'Annual Energy Data'!$A50,'Monthly Energy Data'!K43:K606)</f>
        <v>0</v>
      </c>
      <c r="G50" s="8">
        <f>+SUMIF('Monthly Energy Data'!$D43:$D606,'Annual Energy Data'!$A50,'Monthly Energy Data'!L43:L606)</f>
        <v>0</v>
      </c>
      <c r="H50" s="8">
        <f>+SUMIF('Monthly Energy Data'!$D43:$D606,'Annual Energy Data'!$A50,'Monthly Energy Data'!M43:O606)</f>
        <v>0</v>
      </c>
      <c r="I50" s="8">
        <f>+SUMIF('Monthly Energy Data'!$D43:$D606,'Annual Energy Data'!$A50,'Monthly Energy Data'!P43:P606)</f>
        <v>0</v>
      </c>
      <c r="J50" s="8">
        <f>+SUMIF('Monthly Energy Data'!$D43:$D606,'Annual Energy Data'!$A50,'Monthly Energy Data'!Q43:Q606)</f>
        <v>0</v>
      </c>
      <c r="K50" s="8">
        <f>+SUMIF('Monthly Energy Data'!$D43:$D606,'Annual Energy Data'!$A50,'Monthly Energy Data'!R43:R606)</f>
        <v>0</v>
      </c>
      <c r="L50" s="8">
        <f>+SUMIF('Monthly Energy Data'!$D43:$D606,'Annual Energy Data'!$A50,'Monthly Energy Data'!S43:S606)</f>
        <v>0</v>
      </c>
      <c r="M50" s="8">
        <f>+SUMIF('Monthly Energy Data'!$D43:$D606,'Annual Energy Data'!$A50,'Monthly Energy Data'!T43:T606)</f>
        <v>0</v>
      </c>
      <c r="N50" s="8">
        <f>+SUMIF('Monthly Energy Data'!$D43:$D606,'Annual Energy Data'!$A50,'Monthly Energy Data'!U43:U606)</f>
        <v>0</v>
      </c>
      <c r="O50" s="8">
        <f>+SUMIF('Monthly Energy Data'!$D43:$D606,'Annual Energy Data'!$A50,'Monthly Energy Data'!V43:V606)</f>
        <v>0</v>
      </c>
      <c r="P50" s="8">
        <f>+SUMIF('Monthly Energy Data'!$D43:$D606,'Annual Energy Data'!$A50,'Monthly Energy Data'!W43:W606)</f>
        <v>0</v>
      </c>
      <c r="Q50" s="8">
        <f>+SUMIF('Monthly Energy Data'!$D43:$D606,'Annual Energy Data'!$A50,'Monthly Energy Data'!X43:X606)</f>
        <v>0</v>
      </c>
      <c r="R50" s="8">
        <f>+SUMIF('Monthly Energy Data'!$D43:$D606,'Annual Energy Data'!$A50,'Monthly Energy Data'!Y43:Y606)</f>
        <v>0</v>
      </c>
      <c r="S50" s="8">
        <f>+SUMIF('Monthly Energy Data'!$D43:$D606,'Annual Energy Data'!$A50,'Monthly Energy Data'!Z43:Z606)</f>
        <v>0</v>
      </c>
      <c r="T50" s="8">
        <f>+SUMIF('Monthly Energy Data'!$D43:$D606,'Annual Energy Data'!$A50,'Monthly Energy Data'!AA43:AA606)</f>
        <v>0</v>
      </c>
      <c r="U50" s="16">
        <f>+'Tier 3 Data'!F45</f>
        <v>0</v>
      </c>
      <c r="V50" s="16">
        <f>+'Tier 3 Data'!G45</f>
        <v>0</v>
      </c>
      <c r="W50" s="16">
        <f>+'Tier 3 Data'!H45</f>
        <v>0</v>
      </c>
      <c r="X50" s="16">
        <f>+'Tier 3 Data'!I45</f>
        <v>0</v>
      </c>
      <c r="Y50" s="63"/>
      <c r="Z50" s="8">
        <f>+SUMIF('Monthly Energy Data'!$D43:$D606,'Annual Energy Data'!$A50,'Monthly Energy Data'!AL43:AL606)</f>
        <v>0</v>
      </c>
      <c r="AA50" s="8">
        <f>+SUMIF('Monthly Energy Data'!$D43:$D606,'Annual Energy Data'!$A50,'Monthly Energy Data'!AM43:AM606)</f>
        <v>0</v>
      </c>
      <c r="AB50" s="8">
        <f>+SUMIF('Monthly Energy Data'!$D43:$D606,'Annual Energy Data'!$A50,'Monthly Energy Data'!AN43:AN606)</f>
        <v>0</v>
      </c>
      <c r="AC50" s="8">
        <f>+SUMIF('Monthly Energy Data'!$D43:$D606,'Annual Energy Data'!$A50,'Monthly Energy Data'!AO43:AO606)</f>
        <v>0</v>
      </c>
      <c r="AD50" s="8">
        <f>+SUMIF('Monthly Energy Data'!$D43:$D606,'Annual Energy Data'!$A50,'Monthly Energy Data'!AP43:AP606)</f>
        <v>0</v>
      </c>
      <c r="AE50" s="8">
        <f>+SUMIF('Monthly Energy Data'!$D43:$D606,'Annual Energy Data'!$A50,'Monthly Energy Data'!AQ43:AQ606)</f>
        <v>0</v>
      </c>
      <c r="AF50" s="8">
        <f>+SUMIF('Monthly Energy Data'!$D43:$D606,'Annual Energy Data'!$A50,'Monthly Energy Data'!AR43:AR606)</f>
        <v>0</v>
      </c>
      <c r="AG50" s="8">
        <f>+SUMIF('Monthly Energy Data'!$D43:$D606,'Annual Energy Data'!$A50,'Monthly Energy Data'!AS43:AS606)</f>
        <v>0</v>
      </c>
      <c r="AH50" s="8">
        <f>+SUMIF('Monthly Energy Data'!$D43:$D606,'Annual Energy Data'!$A50,'Monthly Energy Data'!AT43:AT606)</f>
        <v>0</v>
      </c>
      <c r="AI50" s="8">
        <f>+SUMIF('Monthly Energy Data'!$D43:$D606,'Annual Energy Data'!$A50,'Monthly Energy Data'!AU43:AU606)</f>
        <v>1269.2160000000001</v>
      </c>
      <c r="AJ50" s="8">
        <f>+SUMIF('Monthly Energy Data'!$D43:$D606,'Annual Energy Data'!$A50,'Monthly Energy Data'!AV43:AV606)</f>
        <v>37813.129000000008</v>
      </c>
      <c r="AK50" s="8">
        <f>+SUMIF('Monthly Energy Data'!$D43:$D606,'Annual Energy Data'!$A50,'Monthly Energy Data'!AW43:AW606)</f>
        <v>0</v>
      </c>
      <c r="AL50" s="8">
        <f>+SUMIF('Monthly Energy Data'!$D43:$D606,'Annual Energy Data'!$A50,'Monthly Energy Data'!AX43:AX606)</f>
        <v>0</v>
      </c>
      <c r="AM50" s="8">
        <f>+SUMIF('Monthly Energy Data'!$D43:$D606,'Annual Energy Data'!$A50,'Monthly Energy Data'!AY43:AY606)</f>
        <v>0</v>
      </c>
      <c r="AN50" s="8">
        <f>+SUMIF('Monthly Energy Data'!$D43:$D606,'Annual Energy Data'!$A50,'Monthly Energy Data'!AZ43:AZ606)</f>
        <v>0</v>
      </c>
      <c r="AO50" s="8">
        <f>+SUMIF('Monthly Energy Data'!$D43:$D606,'Annual Energy Data'!$A50,'Monthly Energy Data'!BA43:BA606)</f>
        <v>0</v>
      </c>
      <c r="AP50" s="8">
        <f>+SUMIF('Monthly Energy Data'!$D43:$D606,'Annual Energy Data'!$A50,'Monthly Energy Data'!BB43:BB606)</f>
        <v>0</v>
      </c>
      <c r="AQ50" s="8">
        <f>+SUMIF('Monthly Energy Data'!$D43:$D606,'Annual Energy Data'!$A50,'Monthly Energy Data'!BC43:BC606)</f>
        <v>0</v>
      </c>
      <c r="AR50" s="8">
        <f>+SUMIF('Monthly Energy Data'!$D43:$D606,'Annual Energy Data'!$A50,'Monthly Energy Data'!BD43:BD606)</f>
        <v>0</v>
      </c>
      <c r="AS50" s="8">
        <f>+SUMIF('Monthly Energy Data'!$D43:$D606,'Annual Energy Data'!$A50,'Monthly Energy Data'!BE43:BE606)</f>
        <v>0</v>
      </c>
      <c r="AT50" s="8">
        <f>+SUMIF('Monthly Energy Data'!$D43:$D606,'Annual Energy Data'!$A50,'Monthly Energy Data'!BF43:BF606)</f>
        <v>0</v>
      </c>
      <c r="AU50" s="8">
        <f>+SUMIF('Monthly Energy Data'!$D43:$D606,'Annual Energy Data'!$A50,'Monthly Energy Data'!BG43:BG606)</f>
        <v>0</v>
      </c>
      <c r="AV50" s="8">
        <f>+SUMIF('Monthly Energy Data'!$D43:$D606,'Annual Energy Data'!$A50,'Monthly Energy Data'!BH43:BH606)</f>
        <v>0</v>
      </c>
      <c r="AW50" s="8">
        <f>+SUMIF('Monthly Energy Data'!$D43:$D606,'Annual Energy Data'!$A50,'Monthly Energy Data'!BI43:BI606)</f>
        <v>0</v>
      </c>
      <c r="AX50" s="8">
        <f>+SUMIF('Monthly Energy Data'!$D43:$D606,'Annual Energy Data'!$A50,'Monthly Energy Data'!BJ43:BJ606)</f>
        <v>0</v>
      </c>
      <c r="AY50" s="8">
        <f>+SUMIF('Monthly Energy Data'!$D43:$D606,'Annual Energy Data'!$A50,'Monthly Energy Data'!BK43:BK606)</f>
        <v>0</v>
      </c>
      <c r="AZ50" s="8">
        <f>+SUMIF('Monthly Energy Data'!$D43:$D606,'Annual Energy Data'!$A50,'Monthly Energy Data'!BL43:BL606)</f>
        <v>0</v>
      </c>
      <c r="BA50" s="8">
        <f>+SUMIF('Monthly Energy Data'!$D43:$D606,'Annual Energy Data'!$A50,'Monthly Energy Data'!BM43:BM606)</f>
        <v>0</v>
      </c>
      <c r="BB50" s="8">
        <f>+SUMIF('Monthly Energy Data'!$D43:$D606,'Annual Energy Data'!$A50,'Monthly Energy Data'!BN43:BN606)</f>
        <v>0</v>
      </c>
      <c r="BC50" s="8">
        <f>+SUMIF('Monthly Energy Data'!$D43:$D606,'Annual Energy Data'!$A50,'Monthly Energy Data'!BO43:BO606)</f>
        <v>0</v>
      </c>
      <c r="BD50" s="8">
        <f>+SUMIF('Monthly Energy Data'!$D43:$D606,'Annual Energy Data'!$A50,'Monthly Energy Data'!BP43:BP606)</f>
        <v>0</v>
      </c>
      <c r="BE50" s="8">
        <f>+SUMIF('Monthly Energy Data'!$D43:$D606,'Annual Energy Data'!$A50,'Monthly Energy Data'!BQ43:BQ606)</f>
        <v>0</v>
      </c>
      <c r="BF50" s="8">
        <f>+SUMIF('Monthly Energy Data'!$D43:$D606,'Annual Energy Data'!$A50,'Monthly Energy Data'!BR43:BR606)</f>
        <v>0</v>
      </c>
      <c r="BG50" s="8">
        <f>+SUMIF('Monthly Energy Data'!$D43:$D606,'Annual Energy Data'!$A50,'Monthly Energy Data'!BS43:BS606)</f>
        <v>0</v>
      </c>
      <c r="BH50" s="8">
        <f>+SUMIF('Monthly Energy Data'!$D43:$D606,'Annual Energy Data'!$A50,'Monthly Energy Data'!BT43:BT606)</f>
        <v>0</v>
      </c>
      <c r="BI50" s="8">
        <f>+SUMIF('Monthly Energy Data'!$D43:$D606,'Annual Energy Data'!$A50,'Monthly Energy Data'!BU43:BU606)</f>
        <v>0</v>
      </c>
      <c r="BJ50" s="8">
        <f>+SUMIF('Monthly Energy Data'!$D43:$D606,'Annual Energy Data'!$A50,'Monthly Energy Data'!BV43:BX606)</f>
        <v>0</v>
      </c>
      <c r="BK50" s="8">
        <f>+SUMIF('Monthly Energy Data'!$D43:$D606,'Annual Energy Data'!$A50,'Monthly Energy Data'!BY43:BY606)</f>
        <v>0</v>
      </c>
      <c r="BL50" s="8">
        <f>+SUMIF('Monthly Energy Data'!$D43:$D606,'Annual Energy Data'!$A50,'Monthly Energy Data'!BZ43:BZ606)</f>
        <v>0</v>
      </c>
      <c r="BM50" s="8">
        <f>+SUMIF('Monthly Energy Data'!$D43:$D606,'Annual Energy Data'!$A50,'Monthly Energy Data'!CA43:CA606)</f>
        <v>0</v>
      </c>
      <c r="BN50" s="8">
        <f>+SUMIF('Monthly Energy Data'!$D43:$D606,'Annual Energy Data'!$A50,'Monthly Energy Data'!CB43:CB606)</f>
        <v>0</v>
      </c>
      <c r="BO50" s="8">
        <f>+SUMIF('Monthly Energy Data'!$D43:$D606,'Annual Energy Data'!$A50,'Monthly Energy Data'!CC43:CC606)</f>
        <v>0</v>
      </c>
      <c r="BP50" s="8">
        <f>+SUMIF('Monthly Energy Data'!$D43:$D606,'Annual Energy Data'!$A50,'Monthly Energy Data'!CD43:CD606)</f>
        <v>0</v>
      </c>
      <c r="BQ50" s="8">
        <f>+SUMIF('Monthly Energy Data'!$D43:$D606,'Annual Energy Data'!$A50,'Monthly Energy Data'!CE43:CE606)</f>
        <v>0</v>
      </c>
      <c r="BR50" s="8">
        <f>+SUMIF('Monthly Energy Data'!$D43:$D606,'Annual Energy Data'!$A50,'Monthly Energy Data'!CF43:CF606)</f>
        <v>0</v>
      </c>
      <c r="BS50" s="8">
        <f>+SUMIF('Monthly Energy Data'!$D43:$D606,'Annual Energy Data'!$A50,'Monthly Energy Data'!CG43:CG606)</f>
        <v>0</v>
      </c>
      <c r="BT50" s="8">
        <f>+SUMIF('Monthly Energy Data'!$D43:$D606,'Annual Energy Data'!$A50,'Monthly Energy Data'!CH43:CH606)</f>
        <v>0</v>
      </c>
      <c r="BU50" s="8">
        <f>+SUMIF('Monthly Energy Data'!$D43:$D606,'Annual Energy Data'!$A50,'Monthly Energy Data'!CI43:CI606)</f>
        <v>0</v>
      </c>
      <c r="BV50" s="8">
        <f>+SUMIF('Monthly Energy Data'!$D43:$D606,'Annual Energy Data'!$A50,'Monthly Energy Data'!CJ43:CJ606)</f>
        <v>0</v>
      </c>
      <c r="BW50" s="8">
        <f>+SUMIF('Monthly Energy Data'!$D43:$D606,'Annual Energy Data'!$A50,'Monthly Energy Data'!CK43:CK606)</f>
        <v>39082.345000000001</v>
      </c>
      <c r="BX50" s="8">
        <f>+SUMIF('Monthly Energy Data'!$D43:$D606,'Annual Energy Data'!$A50,'Monthly Energy Data'!CL43:CL606)</f>
        <v>-39082.345000000001</v>
      </c>
      <c r="BY50" s="8">
        <f>+SUMIF('Monthly Energy Data'!$D43:$D606,'Annual Energy Data'!$A50,'Monthly Energy Data'!CM43:CM606)</f>
        <v>-39082.345000000001</v>
      </c>
      <c r="BZ50" s="8">
        <f>+SUMIF('Monthly Energy Data'!$D43:$D606,'Annual Energy Data'!$A50,'Monthly Energy Data'!CN43:CN606)</f>
        <v>-39082.345000000001</v>
      </c>
      <c r="CA50" s="8">
        <f>+SUMIF('Monthly Energy Data'!$D43:$D606,'Annual Energy Data'!$A50,'Monthly Energy Data'!CO43:CO606)</f>
        <v>-39082.345000000001</v>
      </c>
      <c r="CB50" s="8">
        <f>+SUMIF('Monthly Energy Data'!$D43:$D606,'Annual Energy Data'!$A50,'Monthly Energy Data'!CP43:CP606)</f>
        <v>-39082.345000000001</v>
      </c>
      <c r="CC50" s="8">
        <f>+SUMIF('Monthly Energy Data'!$D43:$D606,'Annual Energy Data'!$A50,'Monthly Energy Data'!CQ43:CQ606)</f>
        <v>-39082.345000000001</v>
      </c>
      <c r="CD50" s="8">
        <f>+SUMIF('Monthly Energy Data'!$D43:$D606,'Annual Energy Data'!$A50,'Monthly Energy Data'!CR43:CR606)</f>
        <v>-39082.345000000001</v>
      </c>
      <c r="CE50" s="8">
        <f>+SUMIF('Monthly Energy Data'!$D43:$D606,'Annual Energy Data'!$A50,'Monthly Energy Data'!CS43:CS606)</f>
        <v>-39082.345000000001</v>
      </c>
      <c r="CF50" s="8">
        <f>+SUMIF('Monthly Energy Data'!$D43:$D606,'Annual Energy Data'!$A50,'Monthly Energy Data'!CT43:CT606)</f>
        <v>-39082.345000000001</v>
      </c>
      <c r="CG50" s="8"/>
      <c r="CH50" s="8">
        <f>+SUMIF('Monthly Energy Data'!$D43:$D606,'Annual Energy Data'!$A50,'Monthly Energy Data'!DD43:DD606)</f>
        <v>0</v>
      </c>
      <c r="CI50" s="8">
        <f>+SUMIF('Monthly Energy Data'!$D43:$D606,'Annual Energy Data'!$A50,'Monthly Energy Data'!DE43:DE606)</f>
        <v>0</v>
      </c>
      <c r="CJ50" s="8">
        <f>+SUMIF('Monthly Energy Data'!$D43:$D606,'Annual Energy Data'!$A50,'Monthly Energy Data'!DF43:DF606)</f>
        <v>0</v>
      </c>
      <c r="CK50" s="8">
        <f>+SUMIF('Monthly Energy Data'!$D43:$D606,'Annual Energy Data'!$A50,'Monthly Energy Data'!DG43:DG606)</f>
        <v>0</v>
      </c>
      <c r="CL50" s="8">
        <f>+SUMIF('Monthly Energy Data'!$D43:$D606,'Annual Energy Data'!$A50,'Monthly Energy Data'!DH43:DH606)</f>
        <v>0</v>
      </c>
      <c r="CM50" s="8">
        <f>+SUMIF('Monthly Energy Data'!$D43:$D606,'Annual Energy Data'!$A50,'Monthly Energy Data'!DI43:DI606)</f>
        <v>0</v>
      </c>
      <c r="CN50" s="8">
        <f>+SUMIF('Monthly Energy Data'!$D43:$D606,'Annual Energy Data'!$A50,'Monthly Energy Data'!DJ43:DJ606)</f>
        <v>0</v>
      </c>
      <c r="CO50" s="8">
        <f>+SUMIF('Monthly Energy Data'!$D43:$D606,'Annual Energy Data'!$A50,'Monthly Energy Data'!DK43:DK606)</f>
        <v>0</v>
      </c>
      <c r="CP50" s="8">
        <f>+SUMIF('Monthly Energy Data'!$D43:$D606,'Annual Energy Data'!$A50,'Monthly Energy Data'!DL43:DL606)</f>
        <v>0</v>
      </c>
      <c r="CQ50" s="8">
        <f>+SUMIF('Monthly Energy Data'!$D43:$D606,'Annual Energy Data'!$A50,'Monthly Energy Data'!DM43:DM606)</f>
        <v>0</v>
      </c>
      <c r="CR50" s="8">
        <f>+SUMIF('Monthly Energy Data'!$D43:$D606,'Annual Energy Data'!$A50,'Monthly Energy Data'!DN43:DN606)</f>
        <v>39082.345000000001</v>
      </c>
      <c r="CS50" s="8">
        <f>+SUMIF('Monthly Energy Data'!$D43:$D606,'Annual Energy Data'!$A50,'Monthly Energy Data'!DO43:DO606)</f>
        <v>-39082.345000000001</v>
      </c>
      <c r="CT50" s="8">
        <f>+SUMIF('Monthly Energy Data'!$D43:$D606,'Annual Energy Data'!$A50,'Monthly Energy Data'!DP43:DP606)</f>
        <v>-39082.345000000001</v>
      </c>
      <c r="CU50" s="8">
        <f>+SUMIF('Monthly Energy Data'!$D43:$D606,'Annual Energy Data'!$A50,'Monthly Energy Data'!DQ43:DQ606)</f>
        <v>-39082.345000000001</v>
      </c>
      <c r="CV50" s="8">
        <f>+SUMIF('Monthly Energy Data'!$D43:$D606,'Annual Energy Data'!$A50,'Monthly Energy Data'!DR43:DR606)</f>
        <v>-39082.345000000001</v>
      </c>
      <c r="CW50" s="8">
        <f>+SUMIF('Monthly Energy Data'!$D43:$D606,'Annual Energy Data'!$A50,'Monthly Energy Data'!DS43:DS606)</f>
        <v>-39082.345000000001</v>
      </c>
      <c r="CX50" s="8">
        <f>+SUMIF('Monthly Energy Data'!$D43:$D606,'Annual Energy Data'!$A50,'Monthly Energy Data'!DT43:DT606)</f>
        <v>-39082.345000000001</v>
      </c>
      <c r="CY50" s="8">
        <f>+SUMIF('Monthly Energy Data'!$D43:$D606,'Annual Energy Data'!$A50,'Monthly Energy Data'!DU43:DU606)</f>
        <v>-39082.345000000001</v>
      </c>
      <c r="CZ50" s="8">
        <f>+SUMIF('Monthly Energy Data'!$D43:$D606,'Annual Energy Data'!$A50,'Monthly Energy Data'!DV43:DV606)</f>
        <v>-39082.345000000001</v>
      </c>
      <c r="DA50" s="8">
        <f>+SUMIF('Monthly Energy Data'!$D43:$D606,'Annual Energy Data'!$A50,'Monthly Energy Data'!DW43:DW606)</f>
        <v>-39082.345000000001</v>
      </c>
      <c r="DB50" s="78"/>
      <c r="DC50" s="78"/>
      <c r="DD50" s="78"/>
      <c r="DE50" s="78"/>
      <c r="DF50" s="19" t="e">
        <f t="shared" si="4"/>
        <v>#DIV/0!</v>
      </c>
      <c r="DG50" s="78"/>
      <c r="DH50" s="78"/>
      <c r="DI50" s="78"/>
      <c r="DJ50" s="78"/>
      <c r="DK50" s="135">
        <f t="shared" si="17"/>
        <v>-39082.345000000008</v>
      </c>
      <c r="DL50" s="135">
        <f t="shared" si="18"/>
        <v>-39082.345000000008</v>
      </c>
      <c r="DM50" s="135">
        <f t="shared" si="19"/>
        <v>-39082.345000000008</v>
      </c>
      <c r="DN50" s="58">
        <f t="shared" si="5"/>
        <v>39082.345000000008</v>
      </c>
      <c r="DO50" s="68" t="e">
        <f t="shared" si="6"/>
        <v>#DIV/0!</v>
      </c>
      <c r="DP50" s="68" t="e">
        <f t="shared" si="7"/>
        <v>#DIV/0!</v>
      </c>
      <c r="DQ50" s="68" t="e">
        <f t="shared" si="8"/>
        <v>#DIV/0!</v>
      </c>
      <c r="DR50" s="68"/>
      <c r="DS50" s="58">
        <f t="shared" si="16"/>
        <v>-39082.345000000008</v>
      </c>
      <c r="DT50" s="58">
        <f t="shared" si="9"/>
        <v>39082.345000000008</v>
      </c>
      <c r="DU50" s="68" t="e">
        <f t="shared" si="10"/>
        <v>#DIV/0!</v>
      </c>
      <c r="DV50" s="68" t="e">
        <f t="shared" si="11"/>
        <v>#DIV/0!</v>
      </c>
      <c r="DW50" s="68" t="e">
        <f t="shared" si="12"/>
        <v>#DIV/0!</v>
      </c>
      <c r="DX50" s="68" t="e">
        <f t="shared" si="3"/>
        <v>#DIV/0!</v>
      </c>
      <c r="DZ50" s="68" t="e">
        <f t="shared" si="0"/>
        <v>#DIV/0!</v>
      </c>
      <c r="EA50" s="68" t="e">
        <f t="shared" si="1"/>
        <v>#DIV/0!</v>
      </c>
      <c r="EB50" s="68" t="e">
        <f t="shared" si="2"/>
        <v>#DIV/0!</v>
      </c>
      <c r="ED50" s="58" t="e">
        <f>+SUMIF('[1]Monthly Energy Data'!$D$200:$D$595,'[1]Annual Energy Data'!$A48,'[1]Monthly Energy Data'!$EK$200:$EK$595)</f>
        <v>#VALUE!</v>
      </c>
      <c r="EE50" s="58" t="e">
        <f>+SUMIF('[1]Monthly Energy Data'!$D$200:$D$595,'[1]Annual Energy Data'!$A48,'[1]Monthly Energy Data'!$EL$200:$EL$595)</f>
        <v>#VALUE!</v>
      </c>
      <c r="EF50" s="68" t="e">
        <f t="shared" si="13"/>
        <v>#VALUE!</v>
      </c>
      <c r="EG50" s="68" t="e">
        <f t="shared" si="14"/>
        <v>#VALUE!</v>
      </c>
      <c r="EH50" s="68" t="e">
        <f t="shared" si="15"/>
        <v>#VALUE!</v>
      </c>
      <c r="EO50" s="84"/>
      <c r="EP50" s="84"/>
    </row>
    <row r="51" spans="1:146" x14ac:dyDescent="0.2">
      <c r="A51" s="15">
        <f>+'Monthly Energy Data'!D524</f>
        <v>2051</v>
      </c>
      <c r="B51" s="8">
        <f>+SUMIF('Monthly Energy Data'!$D44:$D607,'Annual Energy Data'!$A51,'Monthly Energy Data'!G44:G607)</f>
        <v>0</v>
      </c>
      <c r="C51" s="8">
        <f>+SUMIF('Monthly Energy Data'!$D44:$D607,'Annual Energy Data'!$A51,'Monthly Energy Data'!H44:H607)</f>
        <v>0</v>
      </c>
      <c r="D51" s="8">
        <f>+SUMIF('Monthly Energy Data'!$D44:$D607,'Annual Energy Data'!$A51,'Monthly Energy Data'!I44:I607)</f>
        <v>0</v>
      </c>
      <c r="E51" s="8">
        <f>+SUMIF('Monthly Energy Data'!$D44:$D607,'Annual Energy Data'!$A51,'Monthly Energy Data'!J44:J607)</f>
        <v>0</v>
      </c>
      <c r="F51" s="8">
        <f>+SUMIF('Monthly Energy Data'!$D44:$D607,'Annual Energy Data'!$A51,'Monthly Energy Data'!K44:K607)</f>
        <v>0</v>
      </c>
      <c r="G51" s="8">
        <f>+SUMIF('Monthly Energy Data'!$D44:$D607,'Annual Energy Data'!$A51,'Monthly Energy Data'!L44:L607)</f>
        <v>0</v>
      </c>
      <c r="H51" s="8">
        <f>+SUMIF('Monthly Energy Data'!$D44:$D607,'Annual Energy Data'!$A51,'Monthly Energy Data'!M44:O607)</f>
        <v>0</v>
      </c>
      <c r="I51" s="8">
        <f>+SUMIF('Monthly Energy Data'!$D44:$D607,'Annual Energy Data'!$A51,'Monthly Energy Data'!P44:P607)</f>
        <v>0</v>
      </c>
      <c r="J51" s="8">
        <f>+SUMIF('Monthly Energy Data'!$D44:$D607,'Annual Energy Data'!$A51,'Monthly Energy Data'!Q44:Q607)</f>
        <v>0</v>
      </c>
      <c r="K51" s="8">
        <f>+SUMIF('Monthly Energy Data'!$D44:$D607,'Annual Energy Data'!$A51,'Monthly Energy Data'!R44:R607)</f>
        <v>0</v>
      </c>
      <c r="L51" s="8">
        <f>+SUMIF('Monthly Energy Data'!$D44:$D607,'Annual Energy Data'!$A51,'Monthly Energy Data'!S44:S607)</f>
        <v>0</v>
      </c>
      <c r="M51" s="8">
        <f>+SUMIF('Monthly Energy Data'!$D44:$D607,'Annual Energy Data'!$A51,'Monthly Energy Data'!T44:T607)</f>
        <v>0</v>
      </c>
      <c r="N51" s="8">
        <f>+SUMIF('Monthly Energy Data'!$D44:$D607,'Annual Energy Data'!$A51,'Monthly Energy Data'!U44:U607)</f>
        <v>0</v>
      </c>
      <c r="O51" s="8">
        <f>+SUMIF('Monthly Energy Data'!$D44:$D607,'Annual Energy Data'!$A51,'Monthly Energy Data'!V44:V607)</f>
        <v>0</v>
      </c>
      <c r="P51" s="8">
        <f>+SUMIF('Monthly Energy Data'!$D44:$D607,'Annual Energy Data'!$A51,'Monthly Energy Data'!W44:W607)</f>
        <v>0</v>
      </c>
      <c r="Q51" s="8">
        <f>+SUMIF('Monthly Energy Data'!$D44:$D607,'Annual Energy Data'!$A51,'Monthly Energy Data'!X44:X607)</f>
        <v>0</v>
      </c>
      <c r="R51" s="8">
        <f>+SUMIF('Monthly Energy Data'!$D44:$D607,'Annual Energy Data'!$A51,'Monthly Energy Data'!Y44:Y607)</f>
        <v>0</v>
      </c>
      <c r="S51" s="8">
        <f>+SUMIF('Monthly Energy Data'!$D44:$D607,'Annual Energy Data'!$A51,'Monthly Energy Data'!Z44:Z607)</f>
        <v>0</v>
      </c>
      <c r="T51" s="8">
        <f>+SUMIF('Monthly Energy Data'!$D44:$D607,'Annual Energy Data'!$A51,'Monthly Energy Data'!AA44:AA607)</f>
        <v>0</v>
      </c>
      <c r="U51" s="16">
        <f>+'Tier 3 Data'!F46</f>
        <v>0</v>
      </c>
      <c r="V51" s="16">
        <f>+'Tier 3 Data'!G46</f>
        <v>0</v>
      </c>
      <c r="W51" s="16">
        <f>+'Tier 3 Data'!H46</f>
        <v>0</v>
      </c>
      <c r="X51" s="16">
        <f>+'Tier 3 Data'!I46</f>
        <v>0</v>
      </c>
      <c r="Y51" s="63"/>
      <c r="Z51" s="8">
        <f>+SUMIF('Monthly Energy Data'!$D44:$D607,'Annual Energy Data'!$A51,'Monthly Energy Data'!AL44:AL607)</f>
        <v>0</v>
      </c>
      <c r="AA51" s="8">
        <f>+SUMIF('Monthly Energy Data'!$D44:$D607,'Annual Energy Data'!$A51,'Monthly Energy Data'!AM44:AM607)</f>
        <v>0</v>
      </c>
      <c r="AB51" s="8">
        <f>+SUMIF('Monthly Energy Data'!$D44:$D607,'Annual Energy Data'!$A51,'Monthly Energy Data'!AN44:AN607)</f>
        <v>0</v>
      </c>
      <c r="AC51" s="8">
        <f>+SUMIF('Monthly Energy Data'!$D44:$D607,'Annual Energy Data'!$A51,'Monthly Energy Data'!AO44:AO607)</f>
        <v>0</v>
      </c>
      <c r="AD51" s="8">
        <f>+SUMIF('Monthly Energy Data'!$D44:$D607,'Annual Energy Data'!$A51,'Monthly Energy Data'!AP44:AP607)</f>
        <v>0</v>
      </c>
      <c r="AE51" s="8">
        <f>+SUMIF('Monthly Energy Data'!$D44:$D607,'Annual Energy Data'!$A51,'Monthly Energy Data'!AQ44:AQ607)</f>
        <v>0</v>
      </c>
      <c r="AF51" s="8">
        <f>+SUMIF('Monthly Energy Data'!$D44:$D607,'Annual Energy Data'!$A51,'Monthly Energy Data'!AR44:AR607)</f>
        <v>0</v>
      </c>
      <c r="AG51" s="8">
        <f>+SUMIF('Monthly Energy Data'!$D44:$D607,'Annual Energy Data'!$A51,'Monthly Energy Data'!AS44:AS607)</f>
        <v>0</v>
      </c>
      <c r="AH51" s="8">
        <f>+SUMIF('Monthly Energy Data'!$D44:$D607,'Annual Energy Data'!$A51,'Monthly Energy Data'!AT44:AT607)</f>
        <v>0</v>
      </c>
      <c r="AI51" s="8">
        <f>+SUMIF('Monthly Energy Data'!$D44:$D607,'Annual Energy Data'!$A51,'Monthly Energy Data'!AU44:AU607)</f>
        <v>1269.2160000000001</v>
      </c>
      <c r="AJ51" s="8">
        <f>+SUMIF('Monthly Energy Data'!$D44:$D607,'Annual Energy Data'!$A51,'Monthly Energy Data'!AV44:AV607)</f>
        <v>37813.129000000008</v>
      </c>
      <c r="AK51" s="8">
        <f>+SUMIF('Monthly Energy Data'!$D44:$D607,'Annual Energy Data'!$A51,'Monthly Energy Data'!AW44:AW607)</f>
        <v>0</v>
      </c>
      <c r="AL51" s="8">
        <f>+SUMIF('Monthly Energy Data'!$D44:$D607,'Annual Energy Data'!$A51,'Monthly Energy Data'!AX44:AX607)</f>
        <v>0</v>
      </c>
      <c r="AM51" s="8">
        <f>+SUMIF('Monthly Energy Data'!$D44:$D607,'Annual Energy Data'!$A51,'Monthly Energy Data'!AY44:AY607)</f>
        <v>0</v>
      </c>
      <c r="AN51" s="8">
        <f>+SUMIF('Monthly Energy Data'!$D44:$D607,'Annual Energy Data'!$A51,'Monthly Energy Data'!AZ44:AZ607)</f>
        <v>0</v>
      </c>
      <c r="AO51" s="8">
        <f>+SUMIF('Monthly Energy Data'!$D44:$D607,'Annual Energy Data'!$A51,'Monthly Energy Data'!BA44:BA607)</f>
        <v>0</v>
      </c>
      <c r="AP51" s="8">
        <f>+SUMIF('Monthly Energy Data'!$D44:$D607,'Annual Energy Data'!$A51,'Monthly Energy Data'!BB44:BB607)</f>
        <v>0</v>
      </c>
      <c r="AQ51" s="8">
        <f>+SUMIF('Monthly Energy Data'!$D44:$D607,'Annual Energy Data'!$A51,'Monthly Energy Data'!BC44:BC607)</f>
        <v>0</v>
      </c>
      <c r="AR51" s="8">
        <f>+SUMIF('Monthly Energy Data'!$D44:$D607,'Annual Energy Data'!$A51,'Monthly Energy Data'!BD44:BD607)</f>
        <v>0</v>
      </c>
      <c r="AS51" s="8">
        <f>+SUMIF('Monthly Energy Data'!$D44:$D607,'Annual Energy Data'!$A51,'Monthly Energy Data'!BE44:BE607)</f>
        <v>0</v>
      </c>
      <c r="AT51" s="8">
        <f>+SUMIF('Monthly Energy Data'!$D44:$D607,'Annual Energy Data'!$A51,'Monthly Energy Data'!BF44:BF607)</f>
        <v>0</v>
      </c>
      <c r="AU51" s="8">
        <f>+SUMIF('Monthly Energy Data'!$D44:$D607,'Annual Energy Data'!$A51,'Monthly Energy Data'!BG44:BG607)</f>
        <v>0</v>
      </c>
      <c r="AV51" s="8">
        <f>+SUMIF('Monthly Energy Data'!$D44:$D607,'Annual Energy Data'!$A51,'Monthly Energy Data'!BH44:BH607)</f>
        <v>0</v>
      </c>
      <c r="AW51" s="8">
        <f>+SUMIF('Monthly Energy Data'!$D44:$D607,'Annual Energy Data'!$A51,'Monthly Energy Data'!BI44:BI607)</f>
        <v>0</v>
      </c>
      <c r="AX51" s="8">
        <f>+SUMIF('Monthly Energy Data'!$D44:$D607,'Annual Energy Data'!$A51,'Monthly Energy Data'!BJ44:BJ607)</f>
        <v>0</v>
      </c>
      <c r="AY51" s="8">
        <f>+SUMIF('Monthly Energy Data'!$D44:$D607,'Annual Energy Data'!$A51,'Monthly Energy Data'!BK44:BK607)</f>
        <v>0</v>
      </c>
      <c r="AZ51" s="8">
        <f>+SUMIF('Monthly Energy Data'!$D44:$D607,'Annual Energy Data'!$A51,'Monthly Energy Data'!BL44:BL607)</f>
        <v>0</v>
      </c>
      <c r="BA51" s="8">
        <f>+SUMIF('Monthly Energy Data'!$D44:$D607,'Annual Energy Data'!$A51,'Monthly Energy Data'!BM44:BM607)</f>
        <v>0</v>
      </c>
      <c r="BB51" s="8">
        <f>+SUMIF('Monthly Energy Data'!$D44:$D607,'Annual Energy Data'!$A51,'Monthly Energy Data'!BN44:BN607)</f>
        <v>0</v>
      </c>
      <c r="BC51" s="8">
        <f>+SUMIF('Monthly Energy Data'!$D44:$D607,'Annual Energy Data'!$A51,'Monthly Energy Data'!BO44:BO607)</f>
        <v>0</v>
      </c>
      <c r="BD51" s="8">
        <f>+SUMIF('Monthly Energy Data'!$D44:$D607,'Annual Energy Data'!$A51,'Monthly Energy Data'!BP44:BP607)</f>
        <v>0</v>
      </c>
      <c r="BE51" s="8">
        <f>+SUMIF('Monthly Energy Data'!$D44:$D607,'Annual Energy Data'!$A51,'Monthly Energy Data'!BQ44:BQ607)</f>
        <v>0</v>
      </c>
      <c r="BF51" s="8">
        <f>+SUMIF('Monthly Energy Data'!$D44:$D607,'Annual Energy Data'!$A51,'Monthly Energy Data'!BR44:BR607)</f>
        <v>0</v>
      </c>
      <c r="BG51" s="8">
        <f>+SUMIF('Monthly Energy Data'!$D44:$D607,'Annual Energy Data'!$A51,'Monthly Energy Data'!BS44:BS607)</f>
        <v>0</v>
      </c>
      <c r="BH51" s="8">
        <f>+SUMIF('Monthly Energy Data'!$D44:$D607,'Annual Energy Data'!$A51,'Monthly Energy Data'!BT44:BT607)</f>
        <v>0</v>
      </c>
      <c r="BI51" s="8">
        <f>+SUMIF('Monthly Energy Data'!$D44:$D607,'Annual Energy Data'!$A51,'Monthly Energy Data'!BU44:BU607)</f>
        <v>0</v>
      </c>
      <c r="BJ51" s="8">
        <f>+SUMIF('Monthly Energy Data'!$D44:$D607,'Annual Energy Data'!$A51,'Monthly Energy Data'!BV44:BX607)</f>
        <v>0</v>
      </c>
      <c r="BK51" s="8">
        <f>+SUMIF('Monthly Energy Data'!$D44:$D607,'Annual Energy Data'!$A51,'Monthly Energy Data'!BY44:BY607)</f>
        <v>0</v>
      </c>
      <c r="BL51" s="8">
        <f>+SUMIF('Monthly Energy Data'!$D44:$D607,'Annual Energy Data'!$A51,'Monthly Energy Data'!BZ44:BZ607)</f>
        <v>0</v>
      </c>
      <c r="BM51" s="8">
        <f>+SUMIF('Monthly Energy Data'!$D44:$D607,'Annual Energy Data'!$A51,'Monthly Energy Data'!CA44:CA607)</f>
        <v>0</v>
      </c>
      <c r="BN51" s="8">
        <f>+SUMIF('Monthly Energy Data'!$D44:$D607,'Annual Energy Data'!$A51,'Monthly Energy Data'!CB44:CB607)</f>
        <v>0</v>
      </c>
      <c r="BO51" s="8">
        <f>+SUMIF('Monthly Energy Data'!$D44:$D607,'Annual Energy Data'!$A51,'Monthly Energy Data'!CC44:CC607)</f>
        <v>0</v>
      </c>
      <c r="BP51" s="8">
        <f>+SUMIF('Monthly Energy Data'!$D44:$D607,'Annual Energy Data'!$A51,'Monthly Energy Data'!CD44:CD607)</f>
        <v>0</v>
      </c>
      <c r="BQ51" s="8">
        <f>+SUMIF('Monthly Energy Data'!$D44:$D607,'Annual Energy Data'!$A51,'Monthly Energy Data'!CE44:CE607)</f>
        <v>0</v>
      </c>
      <c r="BR51" s="8">
        <f>+SUMIF('Monthly Energy Data'!$D44:$D607,'Annual Energy Data'!$A51,'Monthly Energy Data'!CF44:CF607)</f>
        <v>0</v>
      </c>
      <c r="BS51" s="8">
        <f>+SUMIF('Monthly Energy Data'!$D44:$D607,'Annual Energy Data'!$A51,'Monthly Energy Data'!CG44:CG607)</f>
        <v>0</v>
      </c>
      <c r="BT51" s="8">
        <f>+SUMIF('Monthly Energy Data'!$D44:$D607,'Annual Energy Data'!$A51,'Monthly Energy Data'!CH44:CH607)</f>
        <v>0</v>
      </c>
      <c r="BU51" s="8">
        <f>+SUMIF('Monthly Energy Data'!$D44:$D607,'Annual Energy Data'!$A51,'Monthly Energy Data'!CI44:CI607)</f>
        <v>0</v>
      </c>
      <c r="BV51" s="8">
        <f>+SUMIF('Monthly Energy Data'!$D44:$D607,'Annual Energy Data'!$A51,'Monthly Energy Data'!CJ44:CJ607)</f>
        <v>0</v>
      </c>
      <c r="BW51" s="8">
        <f>+SUMIF('Monthly Energy Data'!$D44:$D607,'Annual Energy Data'!$A51,'Monthly Energy Data'!CK44:CK607)</f>
        <v>39082.345000000001</v>
      </c>
      <c r="BX51" s="8">
        <f>+SUMIF('Monthly Energy Data'!$D44:$D607,'Annual Energy Data'!$A51,'Monthly Energy Data'!CL44:CL607)</f>
        <v>-39082.345000000001</v>
      </c>
      <c r="BY51" s="8">
        <f>+SUMIF('Monthly Energy Data'!$D44:$D607,'Annual Energy Data'!$A51,'Monthly Energy Data'!CM44:CM607)</f>
        <v>-39082.345000000001</v>
      </c>
      <c r="BZ51" s="8">
        <f>+SUMIF('Monthly Energy Data'!$D44:$D607,'Annual Energy Data'!$A51,'Monthly Energy Data'!CN44:CN607)</f>
        <v>-39082.345000000001</v>
      </c>
      <c r="CA51" s="8">
        <f>+SUMIF('Monthly Energy Data'!$D44:$D607,'Annual Energy Data'!$A51,'Monthly Energy Data'!CO44:CO607)</f>
        <v>-39082.345000000001</v>
      </c>
      <c r="CB51" s="8">
        <f>+SUMIF('Monthly Energy Data'!$D44:$D607,'Annual Energy Data'!$A51,'Monthly Energy Data'!CP44:CP607)</f>
        <v>-39082.345000000001</v>
      </c>
      <c r="CC51" s="8">
        <f>+SUMIF('Monthly Energy Data'!$D44:$D607,'Annual Energy Data'!$A51,'Monthly Energy Data'!CQ44:CQ607)</f>
        <v>-39082.345000000001</v>
      </c>
      <c r="CD51" s="8">
        <f>+SUMIF('Monthly Energy Data'!$D44:$D607,'Annual Energy Data'!$A51,'Monthly Energy Data'!CR44:CR607)</f>
        <v>-39082.345000000001</v>
      </c>
      <c r="CE51" s="8">
        <f>+SUMIF('Monthly Energy Data'!$D44:$D607,'Annual Energy Data'!$A51,'Monthly Energy Data'!CS44:CS607)</f>
        <v>-39082.345000000001</v>
      </c>
      <c r="CF51" s="8">
        <f>+SUMIF('Monthly Energy Data'!$D44:$D607,'Annual Energy Data'!$A51,'Monthly Energy Data'!CT44:CT607)</f>
        <v>-39082.345000000001</v>
      </c>
      <c r="CG51" s="8"/>
      <c r="CH51" s="8">
        <f>+SUMIF('Monthly Energy Data'!$D44:$D607,'Annual Energy Data'!$A51,'Monthly Energy Data'!DD44:DD607)</f>
        <v>0</v>
      </c>
      <c r="CI51" s="8">
        <f>+SUMIF('Monthly Energy Data'!$D44:$D607,'Annual Energy Data'!$A51,'Monthly Energy Data'!DE44:DE607)</f>
        <v>0</v>
      </c>
      <c r="CJ51" s="8">
        <f>+SUMIF('Monthly Energy Data'!$D44:$D607,'Annual Energy Data'!$A51,'Monthly Energy Data'!DF44:DF607)</f>
        <v>0</v>
      </c>
      <c r="CK51" s="8">
        <f>+SUMIF('Monthly Energy Data'!$D44:$D607,'Annual Energy Data'!$A51,'Monthly Energy Data'!DG44:DG607)</f>
        <v>0</v>
      </c>
      <c r="CL51" s="8">
        <f>+SUMIF('Monthly Energy Data'!$D44:$D607,'Annual Energy Data'!$A51,'Monthly Energy Data'!DH44:DH607)</f>
        <v>0</v>
      </c>
      <c r="CM51" s="8">
        <f>+SUMIF('Monthly Energy Data'!$D44:$D607,'Annual Energy Data'!$A51,'Monthly Energy Data'!DI44:DI607)</f>
        <v>0</v>
      </c>
      <c r="CN51" s="8">
        <f>+SUMIF('Monthly Energy Data'!$D44:$D607,'Annual Energy Data'!$A51,'Monthly Energy Data'!DJ44:DJ607)</f>
        <v>0</v>
      </c>
      <c r="CO51" s="8">
        <f>+SUMIF('Monthly Energy Data'!$D44:$D607,'Annual Energy Data'!$A51,'Monthly Energy Data'!DK44:DK607)</f>
        <v>0</v>
      </c>
      <c r="CP51" s="8">
        <f>+SUMIF('Monthly Energy Data'!$D44:$D607,'Annual Energy Data'!$A51,'Monthly Energy Data'!DL44:DL607)</f>
        <v>0</v>
      </c>
      <c r="CQ51" s="8">
        <f>+SUMIF('Monthly Energy Data'!$D44:$D607,'Annual Energy Data'!$A51,'Monthly Energy Data'!DM44:DM607)</f>
        <v>0</v>
      </c>
      <c r="CR51" s="8">
        <f>+SUMIF('Monthly Energy Data'!$D44:$D607,'Annual Energy Data'!$A51,'Monthly Energy Data'!DN44:DN607)</f>
        <v>39082.345000000001</v>
      </c>
      <c r="CS51" s="8">
        <f>+SUMIF('Monthly Energy Data'!$D44:$D607,'Annual Energy Data'!$A51,'Monthly Energy Data'!DO44:DO607)</f>
        <v>-39082.345000000001</v>
      </c>
      <c r="CT51" s="8">
        <f>+SUMIF('Monthly Energy Data'!$D44:$D607,'Annual Energy Data'!$A51,'Monthly Energy Data'!DP44:DP607)</f>
        <v>-39082.345000000001</v>
      </c>
      <c r="CU51" s="8">
        <f>+SUMIF('Monthly Energy Data'!$D44:$D607,'Annual Energy Data'!$A51,'Monthly Energy Data'!DQ44:DQ607)</f>
        <v>-39082.345000000001</v>
      </c>
      <c r="CV51" s="8">
        <f>+SUMIF('Monthly Energy Data'!$D44:$D607,'Annual Energy Data'!$A51,'Monthly Energy Data'!DR44:DR607)</f>
        <v>-39082.345000000001</v>
      </c>
      <c r="CW51" s="8">
        <f>+SUMIF('Monthly Energy Data'!$D44:$D607,'Annual Energy Data'!$A51,'Monthly Energy Data'!DS44:DS607)</f>
        <v>-39082.345000000001</v>
      </c>
      <c r="CX51" s="8">
        <f>+SUMIF('Monthly Energy Data'!$D44:$D607,'Annual Energy Data'!$A51,'Monthly Energy Data'!DT44:DT607)</f>
        <v>-39082.345000000001</v>
      </c>
      <c r="CY51" s="8">
        <f>+SUMIF('Monthly Energy Data'!$D44:$D607,'Annual Energy Data'!$A51,'Monthly Energy Data'!DU44:DU607)</f>
        <v>-39082.345000000001</v>
      </c>
      <c r="CZ51" s="8">
        <f>+SUMIF('Monthly Energy Data'!$D44:$D607,'Annual Energy Data'!$A51,'Monthly Energy Data'!DV44:DV607)</f>
        <v>-39082.345000000001</v>
      </c>
      <c r="DA51" s="8">
        <f>+SUMIF('Monthly Energy Data'!$D44:$D607,'Annual Energy Data'!$A51,'Monthly Energy Data'!DW44:DW607)</f>
        <v>-39082.345000000001</v>
      </c>
      <c r="DB51" s="78"/>
      <c r="DC51" s="78"/>
      <c r="DD51" s="78"/>
      <c r="DE51" s="78"/>
      <c r="DF51" s="19" t="e">
        <f t="shared" si="4"/>
        <v>#DIV/0!</v>
      </c>
      <c r="DG51" s="78"/>
      <c r="DH51" s="78"/>
      <c r="DI51" s="78"/>
      <c r="DJ51" s="78"/>
      <c r="DK51" s="135">
        <f t="shared" si="17"/>
        <v>-39082.345000000008</v>
      </c>
      <c r="DL51" s="135">
        <f t="shared" si="18"/>
        <v>-39082.345000000008</v>
      </c>
      <c r="DM51" s="135">
        <f t="shared" si="19"/>
        <v>-39082.345000000008</v>
      </c>
      <c r="DN51" s="58">
        <f t="shared" si="5"/>
        <v>39082.345000000008</v>
      </c>
      <c r="DO51" s="68" t="e">
        <f t="shared" si="6"/>
        <v>#DIV/0!</v>
      </c>
      <c r="DP51" s="68" t="e">
        <f t="shared" si="7"/>
        <v>#DIV/0!</v>
      </c>
      <c r="DQ51" s="68" t="e">
        <f t="shared" si="8"/>
        <v>#DIV/0!</v>
      </c>
      <c r="DR51" s="68"/>
      <c r="DS51" s="58">
        <f t="shared" si="16"/>
        <v>-39082.345000000008</v>
      </c>
      <c r="DT51" s="58">
        <f t="shared" si="9"/>
        <v>39082.345000000008</v>
      </c>
      <c r="DU51" s="68" t="e">
        <f t="shared" si="10"/>
        <v>#DIV/0!</v>
      </c>
      <c r="DV51" s="68" t="e">
        <f t="shared" si="11"/>
        <v>#DIV/0!</v>
      </c>
      <c r="DW51" s="68" t="e">
        <f t="shared" si="12"/>
        <v>#DIV/0!</v>
      </c>
      <c r="DX51" s="68" t="e">
        <f t="shared" si="3"/>
        <v>#DIV/0!</v>
      </c>
      <c r="DZ51" s="68" t="e">
        <f t="shared" si="0"/>
        <v>#DIV/0!</v>
      </c>
      <c r="EA51" s="68" t="e">
        <f t="shared" si="1"/>
        <v>#DIV/0!</v>
      </c>
      <c r="EB51" s="68" t="e">
        <f t="shared" si="2"/>
        <v>#DIV/0!</v>
      </c>
      <c r="ED51" s="58" t="e">
        <f>+SUMIF('[1]Monthly Energy Data'!$D$200:$D$595,'[1]Annual Energy Data'!$A49,'[1]Monthly Energy Data'!$EK$200:$EK$595)</f>
        <v>#VALUE!</v>
      </c>
      <c r="EE51" s="58" t="e">
        <f>+SUMIF('[1]Monthly Energy Data'!$D$200:$D$595,'[1]Annual Energy Data'!$A49,'[1]Monthly Energy Data'!$EL$200:$EL$595)</f>
        <v>#VALUE!</v>
      </c>
      <c r="EF51" s="68" t="e">
        <f t="shared" si="13"/>
        <v>#VALUE!</v>
      </c>
      <c r="EG51" s="68" t="e">
        <f t="shared" si="14"/>
        <v>#VALUE!</v>
      </c>
      <c r="EH51" s="68" t="e">
        <f t="shared" si="15"/>
        <v>#VALUE!</v>
      </c>
      <c r="EO51" s="84"/>
      <c r="EP51" s="84"/>
    </row>
    <row r="52" spans="1:146" x14ac:dyDescent="0.2">
      <c r="A52" s="15">
        <f>+'Monthly Energy Data'!D536</f>
        <v>2052</v>
      </c>
      <c r="B52" s="8">
        <f>+SUMIF('Monthly Energy Data'!$D45:$D608,'Annual Energy Data'!$A52,'Monthly Energy Data'!G45:G608)</f>
        <v>0</v>
      </c>
      <c r="C52" s="8">
        <f>+SUMIF('Monthly Energy Data'!$D45:$D608,'Annual Energy Data'!$A52,'Monthly Energy Data'!H45:H608)</f>
        <v>0</v>
      </c>
      <c r="D52" s="8">
        <f>+SUMIF('Monthly Energy Data'!$D45:$D608,'Annual Energy Data'!$A52,'Monthly Energy Data'!I45:I608)</f>
        <v>0</v>
      </c>
      <c r="E52" s="8">
        <f>+SUMIF('Monthly Energy Data'!$D45:$D608,'Annual Energy Data'!$A52,'Monthly Energy Data'!J45:J608)</f>
        <v>0</v>
      </c>
      <c r="F52" s="8">
        <f>+SUMIF('Monthly Energy Data'!$D45:$D608,'Annual Energy Data'!$A52,'Monthly Energy Data'!K45:K608)</f>
        <v>0</v>
      </c>
      <c r="G52" s="8">
        <f>+SUMIF('Monthly Energy Data'!$D45:$D608,'Annual Energy Data'!$A52,'Monthly Energy Data'!L45:L608)</f>
        <v>0</v>
      </c>
      <c r="H52" s="8">
        <f>+SUMIF('Monthly Energy Data'!$D45:$D608,'Annual Energy Data'!$A52,'Monthly Energy Data'!M45:O608)</f>
        <v>0</v>
      </c>
      <c r="I52" s="8">
        <f>+SUMIF('Monthly Energy Data'!$D45:$D608,'Annual Energy Data'!$A52,'Monthly Energy Data'!P45:P608)</f>
        <v>0</v>
      </c>
      <c r="J52" s="8">
        <f>+SUMIF('Monthly Energy Data'!$D45:$D608,'Annual Energy Data'!$A52,'Monthly Energy Data'!Q45:Q608)</f>
        <v>0</v>
      </c>
      <c r="K52" s="8">
        <f>+SUMIF('Monthly Energy Data'!$D45:$D608,'Annual Energy Data'!$A52,'Monthly Energy Data'!R45:R608)</f>
        <v>0</v>
      </c>
      <c r="L52" s="8">
        <f>+SUMIF('Monthly Energy Data'!$D45:$D608,'Annual Energy Data'!$A52,'Monthly Energy Data'!S45:S608)</f>
        <v>0</v>
      </c>
      <c r="M52" s="8">
        <f>+SUMIF('Monthly Energy Data'!$D45:$D608,'Annual Energy Data'!$A52,'Monthly Energy Data'!T45:T608)</f>
        <v>0</v>
      </c>
      <c r="N52" s="8">
        <f>+SUMIF('Monthly Energy Data'!$D45:$D608,'Annual Energy Data'!$A52,'Monthly Energy Data'!U45:U608)</f>
        <v>0</v>
      </c>
      <c r="O52" s="8">
        <f>+SUMIF('Monthly Energy Data'!$D45:$D608,'Annual Energy Data'!$A52,'Monthly Energy Data'!V45:V608)</f>
        <v>0</v>
      </c>
      <c r="P52" s="8">
        <f>+SUMIF('Monthly Energy Data'!$D45:$D608,'Annual Energy Data'!$A52,'Monthly Energy Data'!W45:W608)</f>
        <v>0</v>
      </c>
      <c r="Q52" s="8">
        <f>+SUMIF('Monthly Energy Data'!$D45:$D608,'Annual Energy Data'!$A52,'Monthly Energy Data'!X45:X608)</f>
        <v>0</v>
      </c>
      <c r="R52" s="8">
        <f>+SUMIF('Monthly Energy Data'!$D45:$D608,'Annual Energy Data'!$A52,'Monthly Energy Data'!Y45:Y608)</f>
        <v>0</v>
      </c>
      <c r="S52" s="8">
        <f>+SUMIF('Monthly Energy Data'!$D45:$D608,'Annual Energy Data'!$A52,'Monthly Energy Data'!Z45:Z608)</f>
        <v>0</v>
      </c>
      <c r="T52" s="8">
        <f>+SUMIF('Monthly Energy Data'!$D45:$D608,'Annual Energy Data'!$A52,'Monthly Energy Data'!AA45:AA608)</f>
        <v>0</v>
      </c>
      <c r="U52" s="16">
        <f>+'Tier 3 Data'!F47</f>
        <v>0</v>
      </c>
      <c r="V52" s="16">
        <f>+'Tier 3 Data'!G47</f>
        <v>0</v>
      </c>
      <c r="W52" s="16">
        <f>+'Tier 3 Data'!H47</f>
        <v>0</v>
      </c>
      <c r="X52" s="16">
        <f>+'Tier 3 Data'!I47</f>
        <v>0</v>
      </c>
      <c r="Y52" s="63"/>
      <c r="Z52" s="8">
        <f>+SUMIF('Monthly Energy Data'!$D45:$D608,'Annual Energy Data'!$A52,'Monthly Energy Data'!AL45:AL608)</f>
        <v>0</v>
      </c>
      <c r="AA52" s="8">
        <f>+SUMIF('Monthly Energy Data'!$D45:$D608,'Annual Energy Data'!$A52,'Monthly Energy Data'!AM45:AM608)</f>
        <v>0</v>
      </c>
      <c r="AB52" s="8">
        <f>+SUMIF('Monthly Energy Data'!$D45:$D608,'Annual Energy Data'!$A52,'Monthly Energy Data'!AN45:AN608)</f>
        <v>0</v>
      </c>
      <c r="AC52" s="8">
        <f>+SUMIF('Monthly Energy Data'!$D45:$D608,'Annual Energy Data'!$A52,'Monthly Energy Data'!AO45:AO608)</f>
        <v>0</v>
      </c>
      <c r="AD52" s="8">
        <f>+SUMIF('Monthly Energy Data'!$D45:$D608,'Annual Energy Data'!$A52,'Monthly Energy Data'!AP45:AP608)</f>
        <v>0</v>
      </c>
      <c r="AE52" s="8">
        <f>+SUMIF('Monthly Energy Data'!$D45:$D608,'Annual Energy Data'!$A52,'Monthly Energy Data'!AQ45:AQ608)</f>
        <v>0</v>
      </c>
      <c r="AF52" s="8">
        <f>+SUMIF('Monthly Energy Data'!$D45:$D608,'Annual Energy Data'!$A52,'Monthly Energy Data'!AR45:AR608)</f>
        <v>0</v>
      </c>
      <c r="AG52" s="8">
        <f>+SUMIF('Monthly Energy Data'!$D45:$D608,'Annual Energy Data'!$A52,'Monthly Energy Data'!AS45:AS608)</f>
        <v>0</v>
      </c>
      <c r="AH52" s="8">
        <f>+SUMIF('Monthly Energy Data'!$D45:$D608,'Annual Energy Data'!$A52,'Monthly Energy Data'!AT45:AT608)</f>
        <v>0</v>
      </c>
      <c r="AI52" s="8">
        <f>+SUMIF('Monthly Energy Data'!$D45:$D608,'Annual Energy Data'!$A52,'Monthly Energy Data'!AU45:AU608)</f>
        <v>1269.2160000000001</v>
      </c>
      <c r="AJ52" s="8">
        <f>+SUMIF('Monthly Energy Data'!$D45:$D608,'Annual Energy Data'!$A52,'Monthly Energy Data'!AV45:AV608)</f>
        <v>37813.129000000008</v>
      </c>
      <c r="AK52" s="8">
        <f>+SUMIF('Monthly Energy Data'!$D45:$D608,'Annual Energy Data'!$A52,'Monthly Energy Data'!AW45:AW608)</f>
        <v>0</v>
      </c>
      <c r="AL52" s="8">
        <f>+SUMIF('Monthly Energy Data'!$D45:$D608,'Annual Energy Data'!$A52,'Monthly Energy Data'!AX45:AX608)</f>
        <v>0</v>
      </c>
      <c r="AM52" s="8">
        <f>+SUMIF('Monthly Energy Data'!$D45:$D608,'Annual Energy Data'!$A52,'Monthly Energy Data'!AY45:AY608)</f>
        <v>0</v>
      </c>
      <c r="AN52" s="8">
        <f>+SUMIF('Monthly Energy Data'!$D45:$D608,'Annual Energy Data'!$A52,'Monthly Energy Data'!AZ45:AZ608)</f>
        <v>0</v>
      </c>
      <c r="AO52" s="8">
        <f>+SUMIF('Monthly Energy Data'!$D45:$D608,'Annual Energy Data'!$A52,'Monthly Energy Data'!BA45:BA608)</f>
        <v>0</v>
      </c>
      <c r="AP52" s="8">
        <f>+SUMIF('Monthly Energy Data'!$D45:$D608,'Annual Energy Data'!$A52,'Monthly Energy Data'!BB45:BB608)</f>
        <v>0</v>
      </c>
      <c r="AQ52" s="8">
        <f>+SUMIF('Monthly Energy Data'!$D45:$D608,'Annual Energy Data'!$A52,'Monthly Energy Data'!BC45:BC608)</f>
        <v>0</v>
      </c>
      <c r="AR52" s="8">
        <f>+SUMIF('Monthly Energy Data'!$D45:$D608,'Annual Energy Data'!$A52,'Monthly Energy Data'!BD45:BD608)</f>
        <v>0</v>
      </c>
      <c r="AS52" s="8">
        <f>+SUMIF('Monthly Energy Data'!$D45:$D608,'Annual Energy Data'!$A52,'Monthly Energy Data'!BE45:BE608)</f>
        <v>0</v>
      </c>
      <c r="AT52" s="8">
        <f>+SUMIF('Monthly Energy Data'!$D45:$D608,'Annual Energy Data'!$A52,'Monthly Energy Data'!BF45:BF608)</f>
        <v>0</v>
      </c>
      <c r="AU52" s="8">
        <f>+SUMIF('Monthly Energy Data'!$D45:$D608,'Annual Energy Data'!$A52,'Monthly Energy Data'!BG45:BG608)</f>
        <v>0</v>
      </c>
      <c r="AV52" s="8">
        <f>+SUMIF('Monthly Energy Data'!$D45:$D608,'Annual Energy Data'!$A52,'Monthly Energy Data'!BH45:BH608)</f>
        <v>0</v>
      </c>
      <c r="AW52" s="8">
        <f>+SUMIF('Monthly Energy Data'!$D45:$D608,'Annual Energy Data'!$A52,'Monthly Energy Data'!BI45:BI608)</f>
        <v>0</v>
      </c>
      <c r="AX52" s="8">
        <f>+SUMIF('Monthly Energy Data'!$D45:$D608,'Annual Energy Data'!$A52,'Monthly Energy Data'!BJ45:BJ608)</f>
        <v>0</v>
      </c>
      <c r="AY52" s="8">
        <f>+SUMIF('Monthly Energy Data'!$D45:$D608,'Annual Energy Data'!$A52,'Monthly Energy Data'!BK45:BK608)</f>
        <v>0</v>
      </c>
      <c r="AZ52" s="8">
        <f>+SUMIF('Monthly Energy Data'!$D45:$D608,'Annual Energy Data'!$A52,'Monthly Energy Data'!BL45:BL608)</f>
        <v>0</v>
      </c>
      <c r="BA52" s="8">
        <f>+SUMIF('Monthly Energy Data'!$D45:$D608,'Annual Energy Data'!$A52,'Monthly Energy Data'!BM45:BM608)</f>
        <v>0</v>
      </c>
      <c r="BB52" s="8">
        <f>+SUMIF('Monthly Energy Data'!$D45:$D608,'Annual Energy Data'!$A52,'Monthly Energy Data'!BN45:BN608)</f>
        <v>0</v>
      </c>
      <c r="BC52" s="8">
        <f>+SUMIF('Monthly Energy Data'!$D45:$D608,'Annual Energy Data'!$A52,'Monthly Energy Data'!BO45:BO608)</f>
        <v>0</v>
      </c>
      <c r="BD52" s="8">
        <f>+SUMIF('Monthly Energy Data'!$D45:$D608,'Annual Energy Data'!$A52,'Monthly Energy Data'!BP45:BP608)</f>
        <v>0</v>
      </c>
      <c r="BE52" s="8">
        <f>+SUMIF('Monthly Energy Data'!$D45:$D608,'Annual Energy Data'!$A52,'Monthly Energy Data'!BQ45:BQ608)</f>
        <v>0</v>
      </c>
      <c r="BF52" s="8">
        <f>+SUMIF('Monthly Energy Data'!$D45:$D608,'Annual Energy Data'!$A52,'Monthly Energy Data'!BR45:BR608)</f>
        <v>0</v>
      </c>
      <c r="BG52" s="8">
        <f>+SUMIF('Monthly Energy Data'!$D45:$D608,'Annual Energy Data'!$A52,'Monthly Energy Data'!BS45:BS608)</f>
        <v>0</v>
      </c>
      <c r="BH52" s="8">
        <f>+SUMIF('Monthly Energy Data'!$D45:$D608,'Annual Energy Data'!$A52,'Monthly Energy Data'!BT45:BT608)</f>
        <v>0</v>
      </c>
      <c r="BI52" s="8">
        <f>+SUMIF('Monthly Energy Data'!$D45:$D608,'Annual Energy Data'!$A52,'Monthly Energy Data'!BU45:BU608)</f>
        <v>0</v>
      </c>
      <c r="BJ52" s="8">
        <f>+SUMIF('Monthly Energy Data'!$D45:$D608,'Annual Energy Data'!$A52,'Monthly Energy Data'!BV45:BX608)</f>
        <v>0</v>
      </c>
      <c r="BK52" s="8">
        <f>+SUMIF('Monthly Energy Data'!$D45:$D608,'Annual Energy Data'!$A52,'Monthly Energy Data'!BY45:BY608)</f>
        <v>0</v>
      </c>
      <c r="BL52" s="8">
        <f>+SUMIF('Monthly Energy Data'!$D45:$D608,'Annual Energy Data'!$A52,'Monthly Energy Data'!BZ45:BZ608)</f>
        <v>0</v>
      </c>
      <c r="BM52" s="8">
        <f>+SUMIF('Monthly Energy Data'!$D45:$D608,'Annual Energy Data'!$A52,'Monthly Energy Data'!CA45:CA608)</f>
        <v>0</v>
      </c>
      <c r="BN52" s="8">
        <f>+SUMIF('Monthly Energy Data'!$D45:$D608,'Annual Energy Data'!$A52,'Monthly Energy Data'!CB45:CB608)</f>
        <v>0</v>
      </c>
      <c r="BO52" s="8">
        <f>+SUMIF('Monthly Energy Data'!$D45:$D608,'Annual Energy Data'!$A52,'Monthly Energy Data'!CC45:CC608)</f>
        <v>0</v>
      </c>
      <c r="BP52" s="8">
        <f>+SUMIF('Monthly Energy Data'!$D45:$D608,'Annual Energy Data'!$A52,'Monthly Energy Data'!CD45:CD608)</f>
        <v>0</v>
      </c>
      <c r="BQ52" s="8">
        <f>+SUMIF('Monthly Energy Data'!$D45:$D608,'Annual Energy Data'!$A52,'Monthly Energy Data'!CE45:CE608)</f>
        <v>0</v>
      </c>
      <c r="BR52" s="8">
        <f>+SUMIF('Monthly Energy Data'!$D45:$D608,'Annual Energy Data'!$A52,'Monthly Energy Data'!CF45:CF608)</f>
        <v>0</v>
      </c>
      <c r="BS52" s="8">
        <f>+SUMIF('Monthly Energy Data'!$D45:$D608,'Annual Energy Data'!$A52,'Monthly Energy Data'!CG45:CG608)</f>
        <v>0</v>
      </c>
      <c r="BT52" s="8">
        <f>+SUMIF('Monthly Energy Data'!$D45:$D608,'Annual Energy Data'!$A52,'Monthly Energy Data'!CH45:CH608)</f>
        <v>0</v>
      </c>
      <c r="BU52" s="8">
        <f>+SUMIF('Monthly Energy Data'!$D45:$D608,'Annual Energy Data'!$A52,'Monthly Energy Data'!CI45:CI608)</f>
        <v>0</v>
      </c>
      <c r="BV52" s="8">
        <f>+SUMIF('Monthly Energy Data'!$D45:$D608,'Annual Energy Data'!$A52,'Monthly Energy Data'!CJ45:CJ608)</f>
        <v>0</v>
      </c>
      <c r="BW52" s="8">
        <f>+SUMIF('Monthly Energy Data'!$D45:$D608,'Annual Energy Data'!$A52,'Monthly Energy Data'!CK45:CK608)</f>
        <v>39082.345000000001</v>
      </c>
      <c r="BX52" s="8">
        <f>+SUMIF('Monthly Energy Data'!$D45:$D608,'Annual Energy Data'!$A52,'Monthly Energy Data'!CL45:CL608)</f>
        <v>-39082.345000000001</v>
      </c>
      <c r="BY52" s="8">
        <f>+SUMIF('Monthly Energy Data'!$D45:$D608,'Annual Energy Data'!$A52,'Monthly Energy Data'!CM45:CM608)</f>
        <v>-39082.345000000001</v>
      </c>
      <c r="BZ52" s="8">
        <f>+SUMIF('Monthly Energy Data'!$D45:$D608,'Annual Energy Data'!$A52,'Monthly Energy Data'!CN45:CN608)</f>
        <v>-39082.345000000001</v>
      </c>
      <c r="CA52" s="8">
        <f>+SUMIF('Monthly Energy Data'!$D45:$D608,'Annual Energy Data'!$A52,'Monthly Energy Data'!CO45:CO608)</f>
        <v>-39082.345000000001</v>
      </c>
      <c r="CB52" s="8">
        <f>+SUMIF('Monthly Energy Data'!$D45:$D608,'Annual Energy Data'!$A52,'Monthly Energy Data'!CP45:CP608)</f>
        <v>-39082.345000000001</v>
      </c>
      <c r="CC52" s="8">
        <f>+SUMIF('Monthly Energy Data'!$D45:$D608,'Annual Energy Data'!$A52,'Monthly Energy Data'!CQ45:CQ608)</f>
        <v>-39082.345000000001</v>
      </c>
      <c r="CD52" s="8">
        <f>+SUMIF('Monthly Energy Data'!$D45:$D608,'Annual Energy Data'!$A52,'Monthly Energy Data'!CR45:CR608)</f>
        <v>-39082.345000000001</v>
      </c>
      <c r="CE52" s="8">
        <f>+SUMIF('Monthly Energy Data'!$D45:$D608,'Annual Energy Data'!$A52,'Monthly Energy Data'!CS45:CS608)</f>
        <v>-39082.345000000001</v>
      </c>
      <c r="CF52" s="8">
        <f>+SUMIF('Monthly Energy Data'!$D45:$D608,'Annual Energy Data'!$A52,'Monthly Energy Data'!CT45:CT608)</f>
        <v>-39082.345000000001</v>
      </c>
      <c r="CG52" s="8"/>
      <c r="CH52" s="8">
        <f>+SUMIF('Monthly Energy Data'!$D45:$D608,'Annual Energy Data'!$A52,'Monthly Energy Data'!DD45:DD608)</f>
        <v>0</v>
      </c>
      <c r="CI52" s="8">
        <f>+SUMIF('Monthly Energy Data'!$D45:$D608,'Annual Energy Data'!$A52,'Monthly Energy Data'!DE45:DE608)</f>
        <v>0</v>
      </c>
      <c r="CJ52" s="8">
        <f>+SUMIF('Monthly Energy Data'!$D45:$D608,'Annual Energy Data'!$A52,'Monthly Energy Data'!DF45:DF608)</f>
        <v>0</v>
      </c>
      <c r="CK52" s="8">
        <f>+SUMIF('Monthly Energy Data'!$D45:$D608,'Annual Energy Data'!$A52,'Monthly Energy Data'!DG45:DG608)</f>
        <v>0</v>
      </c>
      <c r="CL52" s="8">
        <f>+SUMIF('Monthly Energy Data'!$D45:$D608,'Annual Energy Data'!$A52,'Monthly Energy Data'!DH45:DH608)</f>
        <v>0</v>
      </c>
      <c r="CM52" s="8">
        <f>+SUMIF('Monthly Energy Data'!$D45:$D608,'Annual Energy Data'!$A52,'Monthly Energy Data'!DI45:DI608)</f>
        <v>0</v>
      </c>
      <c r="CN52" s="8">
        <f>+SUMIF('Monthly Energy Data'!$D45:$D608,'Annual Energy Data'!$A52,'Monthly Energy Data'!DJ45:DJ608)</f>
        <v>0</v>
      </c>
      <c r="CO52" s="8">
        <f>+SUMIF('Monthly Energy Data'!$D45:$D608,'Annual Energy Data'!$A52,'Monthly Energy Data'!DK45:DK608)</f>
        <v>0</v>
      </c>
      <c r="CP52" s="8">
        <f>+SUMIF('Monthly Energy Data'!$D45:$D608,'Annual Energy Data'!$A52,'Monthly Energy Data'!DL45:DL608)</f>
        <v>0</v>
      </c>
      <c r="CQ52" s="8">
        <f>+SUMIF('Monthly Energy Data'!$D45:$D608,'Annual Energy Data'!$A52,'Monthly Energy Data'!DM45:DM608)</f>
        <v>0</v>
      </c>
      <c r="CR52" s="8">
        <f>+SUMIF('Monthly Energy Data'!$D45:$D608,'Annual Energy Data'!$A52,'Monthly Energy Data'!DN45:DN608)</f>
        <v>39082.345000000001</v>
      </c>
      <c r="CS52" s="8">
        <f>+SUMIF('Monthly Energy Data'!$D45:$D608,'Annual Energy Data'!$A52,'Monthly Energy Data'!DO45:DO608)</f>
        <v>-39082.345000000001</v>
      </c>
      <c r="CT52" s="8">
        <f>+SUMIF('Monthly Energy Data'!$D45:$D608,'Annual Energy Data'!$A52,'Monthly Energy Data'!DP45:DP608)</f>
        <v>-39082.345000000001</v>
      </c>
      <c r="CU52" s="8">
        <f>+SUMIF('Monthly Energy Data'!$D45:$D608,'Annual Energy Data'!$A52,'Monthly Energy Data'!DQ45:DQ608)</f>
        <v>-39082.345000000001</v>
      </c>
      <c r="CV52" s="8">
        <f>+SUMIF('Monthly Energy Data'!$D45:$D608,'Annual Energy Data'!$A52,'Monthly Energy Data'!DR45:DR608)</f>
        <v>-39082.345000000001</v>
      </c>
      <c r="CW52" s="8">
        <f>+SUMIF('Monthly Energy Data'!$D45:$D608,'Annual Energy Data'!$A52,'Monthly Energy Data'!DS45:DS608)</f>
        <v>-39082.345000000001</v>
      </c>
      <c r="CX52" s="8">
        <f>+SUMIF('Monthly Energy Data'!$D45:$D608,'Annual Energy Data'!$A52,'Monthly Energy Data'!DT45:DT608)</f>
        <v>-39082.345000000001</v>
      </c>
      <c r="CY52" s="8">
        <f>+SUMIF('Monthly Energy Data'!$D45:$D608,'Annual Energy Data'!$A52,'Monthly Energy Data'!DU45:DU608)</f>
        <v>-39082.345000000001</v>
      </c>
      <c r="CZ52" s="8">
        <f>+SUMIF('Monthly Energy Data'!$D45:$D608,'Annual Energy Data'!$A52,'Monthly Energy Data'!DV45:DV608)</f>
        <v>-39082.345000000001</v>
      </c>
      <c r="DA52" s="8">
        <f>+SUMIF('Monthly Energy Data'!$D45:$D608,'Annual Energy Data'!$A52,'Monthly Energy Data'!DW45:DW608)</f>
        <v>-39082.345000000001</v>
      </c>
      <c r="DB52" s="78"/>
      <c r="DC52" s="78"/>
      <c r="DD52" s="78"/>
      <c r="DE52" s="78"/>
      <c r="DF52" s="19" t="e">
        <f t="shared" si="4"/>
        <v>#DIV/0!</v>
      </c>
      <c r="DG52" s="78"/>
      <c r="DH52" s="78"/>
      <c r="DI52" s="78"/>
      <c r="DJ52" s="78"/>
      <c r="DK52" s="135">
        <f t="shared" si="17"/>
        <v>-39082.345000000008</v>
      </c>
      <c r="DL52" s="135">
        <f t="shared" si="18"/>
        <v>-39082.345000000008</v>
      </c>
      <c r="DM52" s="135">
        <f t="shared" si="19"/>
        <v>-39082.345000000008</v>
      </c>
      <c r="DN52" s="58">
        <f t="shared" si="5"/>
        <v>39082.345000000008</v>
      </c>
      <c r="DO52" s="68" t="e">
        <f t="shared" si="6"/>
        <v>#DIV/0!</v>
      </c>
      <c r="DP52" s="68" t="e">
        <f t="shared" si="7"/>
        <v>#DIV/0!</v>
      </c>
      <c r="DQ52" s="68" t="e">
        <f t="shared" si="8"/>
        <v>#DIV/0!</v>
      </c>
      <c r="DR52" s="68"/>
      <c r="DS52" s="58">
        <f t="shared" si="16"/>
        <v>-39082.345000000008</v>
      </c>
      <c r="DT52" s="58">
        <f t="shared" si="9"/>
        <v>39082.345000000008</v>
      </c>
      <c r="DU52" s="68" t="e">
        <f t="shared" si="10"/>
        <v>#DIV/0!</v>
      </c>
      <c r="DV52" s="68" t="e">
        <f t="shared" si="11"/>
        <v>#DIV/0!</v>
      </c>
      <c r="DW52" s="68" t="e">
        <f t="shared" si="12"/>
        <v>#DIV/0!</v>
      </c>
      <c r="DX52" s="68" t="e">
        <f t="shared" si="3"/>
        <v>#DIV/0!</v>
      </c>
      <c r="DZ52" s="68" t="e">
        <f t="shared" si="0"/>
        <v>#DIV/0!</v>
      </c>
      <c r="EA52" s="68" t="e">
        <f t="shared" si="1"/>
        <v>#DIV/0!</v>
      </c>
      <c r="EB52" s="68" t="e">
        <f t="shared" si="2"/>
        <v>#DIV/0!</v>
      </c>
      <c r="ED52" s="58" t="e">
        <f>+SUMIF('[1]Monthly Energy Data'!$D$200:$D$595,'[1]Annual Energy Data'!$A50,'[1]Monthly Energy Data'!$EK$200:$EK$595)</f>
        <v>#VALUE!</v>
      </c>
      <c r="EE52" s="58" t="e">
        <f>+SUMIF('[1]Monthly Energy Data'!$D$200:$D$595,'[1]Annual Energy Data'!$A50,'[1]Monthly Energy Data'!$EL$200:$EL$595)</f>
        <v>#VALUE!</v>
      </c>
      <c r="EF52" s="68" t="e">
        <f t="shared" si="13"/>
        <v>#VALUE!</v>
      </c>
      <c r="EG52" s="68" t="e">
        <f t="shared" si="14"/>
        <v>#VALUE!</v>
      </c>
      <c r="EH52" s="68" t="e">
        <f t="shared" si="15"/>
        <v>#VALUE!</v>
      </c>
      <c r="EO52" s="84"/>
      <c r="EP52" s="84"/>
    </row>
    <row r="53" spans="1:146" x14ac:dyDescent="0.2">
      <c r="A53" s="15">
        <f>+'Monthly Energy Data'!D548</f>
        <v>2053</v>
      </c>
      <c r="B53" s="8">
        <f>+SUMIF('Monthly Energy Data'!$D46:$D609,'Annual Energy Data'!$A53,'Monthly Energy Data'!G46:G609)</f>
        <v>0</v>
      </c>
      <c r="C53" s="8">
        <f>+SUMIF('Monthly Energy Data'!$D46:$D609,'Annual Energy Data'!$A53,'Monthly Energy Data'!H46:H609)</f>
        <v>0</v>
      </c>
      <c r="D53" s="8">
        <f>+SUMIF('Monthly Energy Data'!$D46:$D609,'Annual Energy Data'!$A53,'Monthly Energy Data'!I46:I609)</f>
        <v>0</v>
      </c>
      <c r="E53" s="8">
        <f>+SUMIF('Monthly Energy Data'!$D46:$D609,'Annual Energy Data'!$A53,'Monthly Energy Data'!J46:J609)</f>
        <v>0</v>
      </c>
      <c r="F53" s="8">
        <f>+SUMIF('Monthly Energy Data'!$D46:$D609,'Annual Energy Data'!$A53,'Monthly Energy Data'!K46:K609)</f>
        <v>0</v>
      </c>
      <c r="G53" s="8">
        <f>+SUMIF('Monthly Energy Data'!$D46:$D609,'Annual Energy Data'!$A53,'Monthly Energy Data'!L46:L609)</f>
        <v>0</v>
      </c>
      <c r="H53" s="8">
        <f>+SUMIF('Monthly Energy Data'!$D46:$D609,'Annual Energy Data'!$A53,'Monthly Energy Data'!M46:O609)</f>
        <v>0</v>
      </c>
      <c r="I53" s="8">
        <f>+SUMIF('Monthly Energy Data'!$D46:$D609,'Annual Energy Data'!$A53,'Monthly Energy Data'!P46:P609)</f>
        <v>0</v>
      </c>
      <c r="J53" s="8">
        <f>+SUMIF('Monthly Energy Data'!$D46:$D609,'Annual Energy Data'!$A53,'Monthly Energy Data'!Q46:Q609)</f>
        <v>0</v>
      </c>
      <c r="K53" s="8">
        <f>+SUMIF('Monthly Energy Data'!$D46:$D609,'Annual Energy Data'!$A53,'Monthly Energy Data'!R46:R609)</f>
        <v>0</v>
      </c>
      <c r="L53" s="8">
        <f>+SUMIF('Monthly Energy Data'!$D46:$D609,'Annual Energy Data'!$A53,'Monthly Energy Data'!S46:S609)</f>
        <v>0</v>
      </c>
      <c r="M53" s="8">
        <f>+SUMIF('Monthly Energy Data'!$D46:$D609,'Annual Energy Data'!$A53,'Monthly Energy Data'!T46:T609)</f>
        <v>0</v>
      </c>
      <c r="N53" s="8">
        <f>+SUMIF('Monthly Energy Data'!$D46:$D609,'Annual Energy Data'!$A53,'Monthly Energy Data'!U46:U609)</f>
        <v>0</v>
      </c>
      <c r="O53" s="8">
        <f>+SUMIF('Monthly Energy Data'!$D46:$D609,'Annual Energy Data'!$A53,'Monthly Energy Data'!V46:V609)</f>
        <v>0</v>
      </c>
      <c r="P53" s="8">
        <f>+SUMIF('Monthly Energy Data'!$D46:$D609,'Annual Energy Data'!$A53,'Monthly Energy Data'!W46:W609)</f>
        <v>0</v>
      </c>
      <c r="Q53" s="8">
        <f>+SUMIF('Monthly Energy Data'!$D46:$D609,'Annual Energy Data'!$A53,'Monthly Energy Data'!X46:X609)</f>
        <v>0</v>
      </c>
      <c r="R53" s="8">
        <f>+SUMIF('Monthly Energy Data'!$D46:$D609,'Annual Energy Data'!$A53,'Monthly Energy Data'!Y46:Y609)</f>
        <v>0</v>
      </c>
      <c r="S53" s="8">
        <f>+SUMIF('Monthly Energy Data'!$D46:$D609,'Annual Energy Data'!$A53,'Monthly Energy Data'!Z46:Z609)</f>
        <v>0</v>
      </c>
      <c r="T53" s="8">
        <f>+SUMIF('Monthly Energy Data'!$D46:$D609,'Annual Energy Data'!$A53,'Monthly Energy Data'!AA46:AA609)</f>
        <v>0</v>
      </c>
      <c r="U53" s="16">
        <f>+'Tier 3 Data'!F48</f>
        <v>0</v>
      </c>
      <c r="V53" s="16">
        <f>+'Tier 3 Data'!G48</f>
        <v>0</v>
      </c>
      <c r="W53" s="16">
        <f>+'Tier 3 Data'!H48</f>
        <v>0</v>
      </c>
      <c r="X53" s="16">
        <f>+'Tier 3 Data'!I48</f>
        <v>0</v>
      </c>
      <c r="Y53" s="63"/>
      <c r="Z53" s="8">
        <f>+SUMIF('Monthly Energy Data'!$D46:$D609,'Annual Energy Data'!$A53,'Monthly Energy Data'!AL46:AL609)</f>
        <v>0</v>
      </c>
      <c r="AA53" s="8">
        <f>+SUMIF('Monthly Energy Data'!$D46:$D609,'Annual Energy Data'!$A53,'Monthly Energy Data'!AM46:AM609)</f>
        <v>0</v>
      </c>
      <c r="AB53" s="8">
        <f>+SUMIF('Monthly Energy Data'!$D46:$D609,'Annual Energy Data'!$A53,'Monthly Energy Data'!AN46:AN609)</f>
        <v>0</v>
      </c>
      <c r="AC53" s="8">
        <f>+SUMIF('Monthly Energy Data'!$D46:$D609,'Annual Energy Data'!$A53,'Monthly Energy Data'!AO46:AO609)</f>
        <v>0</v>
      </c>
      <c r="AD53" s="8">
        <f>+SUMIF('Monthly Energy Data'!$D46:$D609,'Annual Energy Data'!$A53,'Monthly Energy Data'!AP46:AP609)</f>
        <v>0</v>
      </c>
      <c r="AE53" s="8">
        <f>+SUMIF('Monthly Energy Data'!$D46:$D609,'Annual Energy Data'!$A53,'Monthly Energy Data'!AQ46:AQ609)</f>
        <v>0</v>
      </c>
      <c r="AF53" s="8">
        <f>+SUMIF('Monthly Energy Data'!$D46:$D609,'Annual Energy Data'!$A53,'Monthly Energy Data'!AR46:AR609)</f>
        <v>0</v>
      </c>
      <c r="AG53" s="8">
        <f>+SUMIF('Monthly Energy Data'!$D46:$D609,'Annual Energy Data'!$A53,'Monthly Energy Data'!AS46:AS609)</f>
        <v>0</v>
      </c>
      <c r="AH53" s="8">
        <f>+SUMIF('Monthly Energy Data'!$D46:$D609,'Annual Energy Data'!$A53,'Monthly Energy Data'!AT46:AT609)</f>
        <v>0</v>
      </c>
      <c r="AI53" s="8">
        <f>+SUMIF('Monthly Energy Data'!$D46:$D609,'Annual Energy Data'!$A53,'Monthly Energy Data'!AU46:AU609)</f>
        <v>1269.2160000000001</v>
      </c>
      <c r="AJ53" s="8">
        <f>+SUMIF('Monthly Energy Data'!$D46:$D609,'Annual Energy Data'!$A53,'Monthly Energy Data'!AV46:AV609)</f>
        <v>37813.129000000008</v>
      </c>
      <c r="AK53" s="8">
        <f>+SUMIF('Monthly Energy Data'!$D46:$D609,'Annual Energy Data'!$A53,'Monthly Energy Data'!AW46:AW609)</f>
        <v>0</v>
      </c>
      <c r="AL53" s="8">
        <f>+SUMIF('Monthly Energy Data'!$D46:$D609,'Annual Energy Data'!$A53,'Monthly Energy Data'!AX46:AX609)</f>
        <v>0</v>
      </c>
      <c r="AM53" s="8">
        <f>+SUMIF('Monthly Energy Data'!$D46:$D609,'Annual Energy Data'!$A53,'Monthly Energy Data'!AY46:AY609)</f>
        <v>0</v>
      </c>
      <c r="AN53" s="8">
        <f>+SUMIF('Monthly Energy Data'!$D46:$D609,'Annual Energy Data'!$A53,'Monthly Energy Data'!AZ46:AZ609)</f>
        <v>0</v>
      </c>
      <c r="AO53" s="8">
        <f>+SUMIF('Monthly Energy Data'!$D46:$D609,'Annual Energy Data'!$A53,'Monthly Energy Data'!BA46:BA609)</f>
        <v>0</v>
      </c>
      <c r="AP53" s="8">
        <f>+SUMIF('Monthly Energy Data'!$D46:$D609,'Annual Energy Data'!$A53,'Monthly Energy Data'!BB46:BB609)</f>
        <v>0</v>
      </c>
      <c r="AQ53" s="8">
        <f>+SUMIF('Monthly Energy Data'!$D46:$D609,'Annual Energy Data'!$A53,'Monthly Energy Data'!BC46:BC609)</f>
        <v>0</v>
      </c>
      <c r="AR53" s="8">
        <f>+SUMIF('Monthly Energy Data'!$D46:$D609,'Annual Energy Data'!$A53,'Monthly Energy Data'!BD46:BD609)</f>
        <v>0</v>
      </c>
      <c r="AS53" s="8">
        <f>+SUMIF('Monthly Energy Data'!$D46:$D609,'Annual Energy Data'!$A53,'Monthly Energy Data'!BE46:BE609)</f>
        <v>0</v>
      </c>
      <c r="AT53" s="8">
        <f>+SUMIF('Monthly Energy Data'!$D46:$D609,'Annual Energy Data'!$A53,'Monthly Energy Data'!BF46:BF609)</f>
        <v>0</v>
      </c>
      <c r="AU53" s="8">
        <f>+SUMIF('Monthly Energy Data'!$D46:$D609,'Annual Energy Data'!$A53,'Monthly Energy Data'!BG46:BG609)</f>
        <v>0</v>
      </c>
      <c r="AV53" s="8">
        <f>+SUMIF('Monthly Energy Data'!$D46:$D609,'Annual Energy Data'!$A53,'Monthly Energy Data'!BH46:BH609)</f>
        <v>0</v>
      </c>
      <c r="AW53" s="8">
        <f>+SUMIF('Monthly Energy Data'!$D46:$D609,'Annual Energy Data'!$A53,'Monthly Energy Data'!BI46:BI609)</f>
        <v>0</v>
      </c>
      <c r="AX53" s="8">
        <f>+SUMIF('Monthly Energy Data'!$D46:$D609,'Annual Energy Data'!$A53,'Monthly Energy Data'!BJ46:BJ609)</f>
        <v>0</v>
      </c>
      <c r="AY53" s="8">
        <f>+SUMIF('Monthly Energy Data'!$D46:$D609,'Annual Energy Data'!$A53,'Monthly Energy Data'!BK46:BK609)</f>
        <v>0</v>
      </c>
      <c r="AZ53" s="8">
        <f>+SUMIF('Monthly Energy Data'!$D46:$D609,'Annual Energy Data'!$A53,'Monthly Energy Data'!BL46:BL609)</f>
        <v>0</v>
      </c>
      <c r="BA53" s="8">
        <f>+SUMIF('Monthly Energy Data'!$D46:$D609,'Annual Energy Data'!$A53,'Monthly Energy Data'!BM46:BM609)</f>
        <v>0</v>
      </c>
      <c r="BB53" s="8">
        <f>+SUMIF('Monthly Energy Data'!$D46:$D609,'Annual Energy Data'!$A53,'Monthly Energy Data'!BN46:BN609)</f>
        <v>0</v>
      </c>
      <c r="BC53" s="8">
        <f>+SUMIF('Monthly Energy Data'!$D46:$D609,'Annual Energy Data'!$A53,'Monthly Energy Data'!BO46:BO609)</f>
        <v>0</v>
      </c>
      <c r="BD53" s="8">
        <f>+SUMIF('Monthly Energy Data'!$D46:$D609,'Annual Energy Data'!$A53,'Monthly Energy Data'!BP46:BP609)</f>
        <v>0</v>
      </c>
      <c r="BE53" s="8">
        <f>+SUMIF('Monthly Energy Data'!$D46:$D609,'Annual Energy Data'!$A53,'Monthly Energy Data'!BQ46:BQ609)</f>
        <v>0</v>
      </c>
      <c r="BF53" s="8">
        <f>+SUMIF('Monthly Energy Data'!$D46:$D609,'Annual Energy Data'!$A53,'Monthly Energy Data'!BR46:BR609)</f>
        <v>0</v>
      </c>
      <c r="BG53" s="8">
        <f>+SUMIF('Monthly Energy Data'!$D46:$D609,'Annual Energy Data'!$A53,'Monthly Energy Data'!BS46:BS609)</f>
        <v>0</v>
      </c>
      <c r="BH53" s="8">
        <f>+SUMIF('Monthly Energy Data'!$D46:$D609,'Annual Energy Data'!$A53,'Monthly Energy Data'!BT46:BT609)</f>
        <v>0</v>
      </c>
      <c r="BI53" s="8">
        <f>+SUMIF('Monthly Energy Data'!$D46:$D609,'Annual Energy Data'!$A53,'Monthly Energy Data'!BU46:BU609)</f>
        <v>0</v>
      </c>
      <c r="BJ53" s="8">
        <f>+SUMIF('Monthly Energy Data'!$D46:$D609,'Annual Energy Data'!$A53,'Monthly Energy Data'!BV46:BX609)</f>
        <v>0</v>
      </c>
      <c r="BK53" s="8">
        <f>+SUMIF('Monthly Energy Data'!$D46:$D609,'Annual Energy Data'!$A53,'Monthly Energy Data'!BY46:BY609)</f>
        <v>0</v>
      </c>
      <c r="BL53" s="8">
        <f>+SUMIF('Monthly Energy Data'!$D46:$D609,'Annual Energy Data'!$A53,'Monthly Energy Data'!BZ46:BZ609)</f>
        <v>0</v>
      </c>
      <c r="BM53" s="8">
        <f>+SUMIF('Monthly Energy Data'!$D46:$D609,'Annual Energy Data'!$A53,'Monthly Energy Data'!CA46:CA609)</f>
        <v>0</v>
      </c>
      <c r="BN53" s="8">
        <f>+SUMIF('Monthly Energy Data'!$D46:$D609,'Annual Energy Data'!$A53,'Monthly Energy Data'!CB46:CB609)</f>
        <v>0</v>
      </c>
      <c r="BO53" s="8">
        <f>+SUMIF('Monthly Energy Data'!$D46:$D609,'Annual Energy Data'!$A53,'Monthly Energy Data'!CC46:CC609)</f>
        <v>0</v>
      </c>
      <c r="BP53" s="8">
        <f>+SUMIF('Monthly Energy Data'!$D46:$D609,'Annual Energy Data'!$A53,'Monthly Energy Data'!CD46:CD609)</f>
        <v>0</v>
      </c>
      <c r="BQ53" s="8">
        <f>+SUMIF('Monthly Energy Data'!$D46:$D609,'Annual Energy Data'!$A53,'Monthly Energy Data'!CE46:CE609)</f>
        <v>0</v>
      </c>
      <c r="BR53" s="8">
        <f>+SUMIF('Monthly Energy Data'!$D46:$D609,'Annual Energy Data'!$A53,'Monthly Energy Data'!CF46:CF609)</f>
        <v>0</v>
      </c>
      <c r="BS53" s="8">
        <f>+SUMIF('Monthly Energy Data'!$D46:$D609,'Annual Energy Data'!$A53,'Monthly Energy Data'!CG46:CG609)</f>
        <v>0</v>
      </c>
      <c r="BT53" s="8">
        <f>+SUMIF('Monthly Energy Data'!$D46:$D609,'Annual Energy Data'!$A53,'Monthly Energy Data'!CH46:CH609)</f>
        <v>0</v>
      </c>
      <c r="BU53" s="8">
        <f>+SUMIF('Monthly Energy Data'!$D46:$D609,'Annual Energy Data'!$A53,'Monthly Energy Data'!CI46:CI609)</f>
        <v>0</v>
      </c>
      <c r="BV53" s="8">
        <f>+SUMIF('Monthly Energy Data'!$D46:$D609,'Annual Energy Data'!$A53,'Monthly Energy Data'!CJ46:CJ609)</f>
        <v>0</v>
      </c>
      <c r="BW53" s="8">
        <f>+SUMIF('Monthly Energy Data'!$D46:$D609,'Annual Energy Data'!$A53,'Monthly Energy Data'!CK46:CK609)</f>
        <v>39082.345000000001</v>
      </c>
      <c r="BX53" s="8">
        <f>+SUMIF('Monthly Energy Data'!$D46:$D609,'Annual Energy Data'!$A53,'Monthly Energy Data'!CL46:CL609)</f>
        <v>-39082.345000000001</v>
      </c>
      <c r="BY53" s="8">
        <f>+SUMIF('Monthly Energy Data'!$D46:$D609,'Annual Energy Data'!$A53,'Monthly Energy Data'!CM46:CM609)</f>
        <v>-39082.345000000001</v>
      </c>
      <c r="BZ53" s="8">
        <f>+SUMIF('Monthly Energy Data'!$D46:$D609,'Annual Energy Data'!$A53,'Monthly Energy Data'!CN46:CN609)</f>
        <v>-39082.345000000001</v>
      </c>
      <c r="CA53" s="8">
        <f>+SUMIF('Monthly Energy Data'!$D46:$D609,'Annual Energy Data'!$A53,'Monthly Energy Data'!CO46:CO609)</f>
        <v>-39082.345000000001</v>
      </c>
      <c r="CB53" s="8">
        <f>+SUMIF('Monthly Energy Data'!$D46:$D609,'Annual Energy Data'!$A53,'Monthly Energy Data'!CP46:CP609)</f>
        <v>-39082.345000000001</v>
      </c>
      <c r="CC53" s="8">
        <f>+SUMIF('Monthly Energy Data'!$D46:$D609,'Annual Energy Data'!$A53,'Monthly Energy Data'!CQ46:CQ609)</f>
        <v>-39082.345000000001</v>
      </c>
      <c r="CD53" s="8">
        <f>+SUMIF('Monthly Energy Data'!$D46:$D609,'Annual Energy Data'!$A53,'Monthly Energy Data'!CR46:CR609)</f>
        <v>-39082.345000000001</v>
      </c>
      <c r="CE53" s="8">
        <f>+SUMIF('Monthly Energy Data'!$D46:$D609,'Annual Energy Data'!$A53,'Monthly Energy Data'!CS46:CS609)</f>
        <v>-39082.345000000001</v>
      </c>
      <c r="CF53" s="8">
        <f>+SUMIF('Monthly Energy Data'!$D46:$D609,'Annual Energy Data'!$A53,'Monthly Energy Data'!CT46:CT609)</f>
        <v>-39082.345000000001</v>
      </c>
      <c r="CG53" s="8"/>
      <c r="CH53" s="8">
        <f>+SUMIF('Monthly Energy Data'!$D46:$D609,'Annual Energy Data'!$A53,'Monthly Energy Data'!DD46:DD609)</f>
        <v>0</v>
      </c>
      <c r="CI53" s="8">
        <f>+SUMIF('Monthly Energy Data'!$D46:$D609,'Annual Energy Data'!$A53,'Monthly Energy Data'!DE46:DE609)</f>
        <v>0</v>
      </c>
      <c r="CJ53" s="8">
        <f>+SUMIF('Monthly Energy Data'!$D46:$D609,'Annual Energy Data'!$A53,'Monthly Energy Data'!DF46:DF609)</f>
        <v>0</v>
      </c>
      <c r="CK53" s="8">
        <f>+SUMIF('Monthly Energy Data'!$D46:$D609,'Annual Energy Data'!$A53,'Monthly Energy Data'!DG46:DG609)</f>
        <v>0</v>
      </c>
      <c r="CL53" s="8">
        <f>+SUMIF('Monthly Energy Data'!$D46:$D609,'Annual Energy Data'!$A53,'Monthly Energy Data'!DH46:DH609)</f>
        <v>0</v>
      </c>
      <c r="CM53" s="8">
        <f>+SUMIF('Monthly Energy Data'!$D46:$D609,'Annual Energy Data'!$A53,'Monthly Energy Data'!DI46:DI609)</f>
        <v>0</v>
      </c>
      <c r="CN53" s="8">
        <f>+SUMIF('Monthly Energy Data'!$D46:$D609,'Annual Energy Data'!$A53,'Monthly Energy Data'!DJ46:DJ609)</f>
        <v>0</v>
      </c>
      <c r="CO53" s="8">
        <f>+SUMIF('Monthly Energy Data'!$D46:$D609,'Annual Energy Data'!$A53,'Monthly Energy Data'!DK46:DK609)</f>
        <v>0</v>
      </c>
      <c r="CP53" s="8">
        <f>+SUMIF('Monthly Energy Data'!$D46:$D609,'Annual Energy Data'!$A53,'Monthly Energy Data'!DL46:DL609)</f>
        <v>0</v>
      </c>
      <c r="CQ53" s="8">
        <f>+SUMIF('Monthly Energy Data'!$D46:$D609,'Annual Energy Data'!$A53,'Monthly Energy Data'!DM46:DM609)</f>
        <v>0</v>
      </c>
      <c r="CR53" s="8">
        <f>+SUMIF('Monthly Energy Data'!$D46:$D609,'Annual Energy Data'!$A53,'Monthly Energy Data'!DN46:DN609)</f>
        <v>39082.345000000001</v>
      </c>
      <c r="CS53" s="8">
        <f>+SUMIF('Monthly Energy Data'!$D46:$D609,'Annual Energy Data'!$A53,'Monthly Energy Data'!DO46:DO609)</f>
        <v>-39082.345000000001</v>
      </c>
      <c r="CT53" s="8">
        <f>+SUMIF('Monthly Energy Data'!$D46:$D609,'Annual Energy Data'!$A53,'Monthly Energy Data'!DP46:DP609)</f>
        <v>-39082.345000000001</v>
      </c>
      <c r="CU53" s="8">
        <f>+SUMIF('Monthly Energy Data'!$D46:$D609,'Annual Energy Data'!$A53,'Monthly Energy Data'!DQ46:DQ609)</f>
        <v>-39082.345000000001</v>
      </c>
      <c r="CV53" s="8">
        <f>+SUMIF('Monthly Energy Data'!$D46:$D609,'Annual Energy Data'!$A53,'Monthly Energy Data'!DR46:DR609)</f>
        <v>-39082.345000000001</v>
      </c>
      <c r="CW53" s="8">
        <f>+SUMIF('Monthly Energy Data'!$D46:$D609,'Annual Energy Data'!$A53,'Monthly Energy Data'!DS46:DS609)</f>
        <v>-39082.345000000001</v>
      </c>
      <c r="CX53" s="8">
        <f>+SUMIF('Monthly Energy Data'!$D46:$D609,'Annual Energy Data'!$A53,'Monthly Energy Data'!DT46:DT609)</f>
        <v>-39082.345000000001</v>
      </c>
      <c r="CY53" s="8">
        <f>+SUMIF('Monthly Energy Data'!$D46:$D609,'Annual Energy Data'!$A53,'Monthly Energy Data'!DU46:DU609)</f>
        <v>-39082.345000000001</v>
      </c>
      <c r="CZ53" s="8">
        <f>+SUMIF('Monthly Energy Data'!$D46:$D609,'Annual Energy Data'!$A53,'Monthly Energy Data'!DV46:DV609)</f>
        <v>-39082.345000000001</v>
      </c>
      <c r="DA53" s="8">
        <f>+SUMIF('Monthly Energy Data'!$D46:$D609,'Annual Energy Data'!$A53,'Monthly Energy Data'!DW46:DW609)</f>
        <v>-39082.345000000001</v>
      </c>
      <c r="DB53" s="78"/>
      <c r="DC53" s="78"/>
      <c r="DD53" s="78"/>
      <c r="DE53" s="78"/>
      <c r="DF53" s="19" t="e">
        <f t="shared" si="4"/>
        <v>#DIV/0!</v>
      </c>
      <c r="DG53" s="78"/>
      <c r="DH53" s="78"/>
      <c r="DI53" s="78"/>
      <c r="DJ53" s="78"/>
      <c r="DK53" s="135">
        <f t="shared" si="17"/>
        <v>-39082.345000000008</v>
      </c>
      <c r="DL53" s="135">
        <f t="shared" si="18"/>
        <v>-39082.345000000008</v>
      </c>
      <c r="DM53" s="135">
        <f t="shared" si="19"/>
        <v>-39082.345000000008</v>
      </c>
      <c r="DN53" s="58">
        <f t="shared" si="5"/>
        <v>39082.345000000008</v>
      </c>
      <c r="DO53" s="68" t="e">
        <f t="shared" si="6"/>
        <v>#DIV/0!</v>
      </c>
      <c r="DP53" s="68" t="e">
        <f t="shared" si="7"/>
        <v>#DIV/0!</v>
      </c>
      <c r="DQ53" s="68" t="e">
        <f t="shared" si="8"/>
        <v>#DIV/0!</v>
      </c>
      <c r="DR53" s="68"/>
      <c r="DS53" s="58">
        <f t="shared" si="16"/>
        <v>-39082.345000000008</v>
      </c>
      <c r="DT53" s="58">
        <f t="shared" si="9"/>
        <v>39082.345000000008</v>
      </c>
      <c r="DU53" s="68" t="e">
        <f t="shared" si="10"/>
        <v>#DIV/0!</v>
      </c>
      <c r="DV53" s="68" t="e">
        <f t="shared" si="11"/>
        <v>#DIV/0!</v>
      </c>
      <c r="DW53" s="68" t="e">
        <f t="shared" si="12"/>
        <v>#DIV/0!</v>
      </c>
      <c r="DX53" s="68" t="e">
        <f t="shared" si="3"/>
        <v>#DIV/0!</v>
      </c>
      <c r="DZ53" s="68" t="e">
        <f t="shared" si="0"/>
        <v>#DIV/0!</v>
      </c>
      <c r="EA53" s="68" t="e">
        <f t="shared" si="1"/>
        <v>#DIV/0!</v>
      </c>
      <c r="EB53" s="68" t="e">
        <f t="shared" si="2"/>
        <v>#DIV/0!</v>
      </c>
      <c r="ED53" s="58" t="e">
        <f>+SUMIF('[1]Monthly Energy Data'!$D$200:$D$595,'[1]Annual Energy Data'!$A51,'[1]Monthly Energy Data'!$EK$200:$EK$595)</f>
        <v>#VALUE!</v>
      </c>
      <c r="EE53" s="58" t="e">
        <f>+SUMIF('[1]Monthly Energy Data'!$D$200:$D$595,'[1]Annual Energy Data'!$A51,'[1]Monthly Energy Data'!$EL$200:$EL$595)</f>
        <v>#VALUE!</v>
      </c>
      <c r="EF53" s="68" t="e">
        <f t="shared" si="13"/>
        <v>#VALUE!</v>
      </c>
      <c r="EG53" s="68" t="e">
        <f t="shared" si="14"/>
        <v>#VALUE!</v>
      </c>
      <c r="EH53" s="68" t="e">
        <f t="shared" si="15"/>
        <v>#VALUE!</v>
      </c>
      <c r="EO53" s="84"/>
      <c r="EP53" s="84"/>
    </row>
    <row r="54" spans="1:146" x14ac:dyDescent="0.2">
      <c r="DX54" s="68"/>
      <c r="EB54" s="68"/>
      <c r="EO54" s="84"/>
      <c r="EP54" s="84"/>
    </row>
    <row r="55" spans="1:146" x14ac:dyDescent="0.2">
      <c r="DX55" s="68"/>
      <c r="EB55" s="68"/>
    </row>
    <row r="56" spans="1:146" x14ac:dyDescent="0.2">
      <c r="DX56" s="68"/>
      <c r="EB56" s="68"/>
    </row>
    <row r="57" spans="1:146" ht="102" x14ac:dyDescent="0.2">
      <c r="Z57" s="5"/>
      <c r="AA57" s="5"/>
      <c r="AB57" s="5"/>
      <c r="AC57" s="5"/>
      <c r="AD57" s="5"/>
      <c r="AE57" s="5"/>
      <c r="AF57" s="5"/>
      <c r="AG57" s="5"/>
      <c r="AH57" s="5"/>
      <c r="AI57" s="5"/>
      <c r="AJ57" s="5"/>
      <c r="AK57" s="5"/>
      <c r="AL57" s="5"/>
      <c r="AM57" s="5"/>
      <c r="AN57" s="5"/>
      <c r="BD57" s="5"/>
      <c r="BE57" s="5"/>
      <c r="BF57" s="5"/>
      <c r="BG57" s="5"/>
      <c r="BH57" s="5"/>
      <c r="BI57" s="5"/>
      <c r="BJ57" s="5"/>
      <c r="BK57" s="5"/>
      <c r="BL57" s="5"/>
      <c r="BM57" s="5"/>
      <c r="BN57" s="5"/>
      <c r="BO57" s="5"/>
      <c r="BP57" s="5"/>
      <c r="BQ57" s="5"/>
      <c r="BR57" s="5"/>
      <c r="BS57" s="5"/>
      <c r="BT57" s="5"/>
      <c r="BU57" s="5"/>
      <c r="BW57" s="5"/>
      <c r="BX57" s="64"/>
      <c r="BY57" s="64"/>
      <c r="BZ57" s="64"/>
      <c r="CA57" s="64"/>
      <c r="CB57" s="64"/>
      <c r="CC57" s="64"/>
      <c r="CD57" s="64"/>
      <c r="CE57" s="64"/>
      <c r="CF57" s="64"/>
      <c r="CS57" s="12" t="str">
        <f>+'Monthly Energy Data'!DO7</f>
        <v>High Forecast - High DSM    Net Load Forecast Shortfall (Excess)</v>
      </c>
      <c r="CT57" s="12" t="str">
        <f>+'Monthly Energy Data'!DP7</f>
        <v>High Forecast - Base DSM     Net Load Forecast Shortfall (Excess)</v>
      </c>
      <c r="CU57" s="12" t="str">
        <f>+'Monthly Energy Data'!DQ7</f>
        <v>High Forecast - Low DSM     Net Load Forecast Shortfall (Excess)</v>
      </c>
      <c r="CV57" s="123" t="s">
        <v>213</v>
      </c>
      <c r="CW57" s="123" t="s">
        <v>212</v>
      </c>
      <c r="CX57" s="12" t="str">
        <f>+'Monthly Energy Data'!DT7</f>
        <v>Base Forecast - Low DSM     Net Load Forecast Shortfall (Excess)</v>
      </c>
      <c r="CY57" s="12" t="str">
        <f>+'Monthly Energy Data'!DU7</f>
        <v>Low Forecast - High DSM    Net Load Forecast Shortfall (Excess)</v>
      </c>
      <c r="CZ57" s="12" t="str">
        <f>+'Monthly Energy Data'!DV7</f>
        <v>Low Forecast - Base DSM    Net Load Forecast Shortfall (Excess)</v>
      </c>
      <c r="DA57" s="12" t="str">
        <f>+'Monthly Energy Data'!DW7</f>
        <v>Low Forecast - Low DSM    Net Load Forecast Shortfall (Excess)</v>
      </c>
      <c r="DB57" s="205"/>
      <c r="DC57" s="205"/>
      <c r="DD57" s="205"/>
      <c r="DE57" s="205"/>
      <c r="DF57" s="205"/>
      <c r="DG57" s="205"/>
      <c r="DH57" s="205"/>
      <c r="DI57" s="205"/>
      <c r="DJ57" s="205"/>
      <c r="DK57" s="205"/>
      <c r="DX57" s="68" t="e">
        <f t="shared" ref="DX57:DX84" si="20">+CR57/M57</f>
        <v>#DIV/0!</v>
      </c>
      <c r="EB57" s="68" t="e">
        <f t="shared" ref="EB57:EB84" si="21">+CR57/V57</f>
        <v>#DIV/0!</v>
      </c>
    </row>
    <row r="58" spans="1:146" x14ac:dyDescent="0.2">
      <c r="A58" s="61" t="s">
        <v>444</v>
      </c>
      <c r="U58" s="23">
        <f>+(U45/U26)^(1/($A45-$A26))-1</f>
        <v>1.5810285375874589E-2</v>
      </c>
      <c r="V58" s="68">
        <f t="shared" ref="V58:W58" si="22">+(V45/V26)^(1/($A45-$A26))-1</f>
        <v>2.1851459241721605E-2</v>
      </c>
      <c r="W58" s="23">
        <f t="shared" si="22"/>
        <v>1.5208144731965634E-2</v>
      </c>
      <c r="Z58" s="5"/>
      <c r="AA58" s="5"/>
      <c r="AB58" s="5"/>
      <c r="AC58" s="5"/>
      <c r="AD58" s="5"/>
      <c r="AE58" s="5"/>
      <c r="AF58" s="5"/>
      <c r="AG58" s="5"/>
      <c r="AH58" s="5"/>
      <c r="AI58" s="5"/>
      <c r="AJ58" s="5"/>
      <c r="AK58" s="5"/>
      <c r="AL58" s="5"/>
      <c r="AM58" s="5"/>
      <c r="AN58" s="5"/>
      <c r="BD58" s="5"/>
      <c r="BE58" s="5"/>
      <c r="BF58" s="5"/>
      <c r="BG58" s="5"/>
      <c r="BH58" s="5"/>
      <c r="BI58" s="5"/>
      <c r="BJ58" s="5"/>
      <c r="BK58" s="5"/>
      <c r="BL58" s="5"/>
      <c r="BM58" s="5"/>
      <c r="BN58" s="5"/>
      <c r="BO58" s="5"/>
      <c r="BP58" s="5"/>
      <c r="BQ58" s="5"/>
      <c r="BR58" s="5"/>
      <c r="BS58" s="5"/>
      <c r="BT58" s="5"/>
      <c r="BU58" s="5"/>
      <c r="BW58" s="5"/>
      <c r="BX58" s="64"/>
      <c r="BY58" s="64"/>
      <c r="BZ58" s="64"/>
      <c r="CA58" s="64"/>
      <c r="CB58" s="64"/>
      <c r="CC58" s="64"/>
      <c r="CD58" s="64"/>
      <c r="CE58" s="64"/>
      <c r="CF58" s="64"/>
      <c r="CS58" s="20"/>
      <c r="CT58" s="20"/>
      <c r="CU58" s="20"/>
      <c r="CV58" s="20"/>
      <c r="CW58" s="31" t="e">
        <f t="shared" ref="CW58:CW83" si="23">+CW17/V17</f>
        <v>#DIV/0!</v>
      </c>
      <c r="CX58" s="20"/>
      <c r="CY58" s="20"/>
      <c r="CZ58" s="20"/>
      <c r="DA58" s="20"/>
      <c r="DB58" s="19"/>
      <c r="DC58" s="19"/>
      <c r="DD58" s="19"/>
      <c r="DE58" s="19"/>
      <c r="DF58" s="19"/>
      <c r="DG58" s="19"/>
      <c r="DH58" s="19"/>
      <c r="DI58" s="19"/>
      <c r="DJ58" s="19"/>
      <c r="DK58" s="19"/>
      <c r="DX58" s="68" t="e">
        <f t="shared" si="20"/>
        <v>#DIV/0!</v>
      </c>
      <c r="EB58" s="68">
        <f t="shared" si="21"/>
        <v>0</v>
      </c>
    </row>
    <row r="59" spans="1:146" x14ac:dyDescent="0.2">
      <c r="A59" s="61" t="s">
        <v>445</v>
      </c>
      <c r="U59" s="68">
        <f>+(U30/U26)^(1/($A30-$A26))-1</f>
        <v>2.8309376240408968E-2</v>
      </c>
      <c r="V59" s="68">
        <f t="shared" ref="V59:W59" si="24">+(V30/V26)^(1/($A30-$A26))-1</f>
        <v>2.33272975976615E-2</v>
      </c>
      <c r="W59" s="68">
        <f t="shared" si="24"/>
        <v>1.1681751764530901E-2</v>
      </c>
      <c r="Z59" s="5"/>
      <c r="AA59" s="5"/>
      <c r="AB59" s="5"/>
      <c r="AC59" s="5"/>
      <c r="AD59" s="5"/>
      <c r="AE59" s="5"/>
      <c r="AF59" s="5"/>
      <c r="AG59" s="5"/>
      <c r="AH59" s="5"/>
      <c r="AI59" s="5"/>
      <c r="AJ59" s="5"/>
      <c r="AK59" s="5"/>
      <c r="AL59" s="5"/>
      <c r="AM59" s="5"/>
      <c r="AN59" s="5"/>
      <c r="BD59" s="5"/>
      <c r="BE59" s="5"/>
      <c r="BF59" s="5"/>
      <c r="BG59" s="5"/>
      <c r="BH59" s="5"/>
      <c r="BI59" s="5"/>
      <c r="BJ59" s="5"/>
      <c r="BK59" s="5"/>
      <c r="BL59" s="5"/>
      <c r="BM59" s="5"/>
      <c r="BN59" s="5"/>
      <c r="BO59" s="5"/>
      <c r="BP59" s="5"/>
      <c r="BQ59" s="5"/>
      <c r="BR59" s="5"/>
      <c r="BS59" s="5"/>
      <c r="BT59" s="5"/>
      <c r="BU59" s="5"/>
      <c r="BW59" s="5"/>
      <c r="BX59" s="64"/>
      <c r="BY59" s="64"/>
      <c r="BZ59" s="64"/>
      <c r="CA59" s="64"/>
      <c r="CB59" s="64"/>
      <c r="CC59" s="64"/>
      <c r="CD59" s="64"/>
      <c r="CE59" s="64"/>
      <c r="CF59" s="64"/>
      <c r="CS59" s="21"/>
      <c r="CT59" s="21"/>
      <c r="CU59" s="21"/>
      <c r="CV59" s="20"/>
      <c r="CW59" s="31" t="e">
        <f t="shared" si="23"/>
        <v>#DIV/0!</v>
      </c>
      <c r="CX59" s="21"/>
      <c r="CY59" s="21"/>
      <c r="CZ59" s="21"/>
      <c r="DA59" s="21"/>
      <c r="DB59" s="19"/>
      <c r="DC59" s="19"/>
      <c r="DD59" s="19"/>
      <c r="DE59" s="19"/>
      <c r="DF59" s="19"/>
      <c r="DG59" s="19"/>
      <c r="DH59" s="19"/>
      <c r="DI59" s="19"/>
      <c r="DJ59" s="19"/>
      <c r="DK59" s="19"/>
      <c r="DX59" s="68" t="e">
        <f t="shared" si="20"/>
        <v>#DIV/0!</v>
      </c>
      <c r="EB59" s="68">
        <f t="shared" si="21"/>
        <v>0</v>
      </c>
    </row>
    <row r="60" spans="1:146" x14ac:dyDescent="0.2">
      <c r="A60" s="61" t="s">
        <v>447</v>
      </c>
      <c r="U60" s="68">
        <f>+(U35/U30)^(1/($A35-$A30))-1</f>
        <v>2.758751325480846E-2</v>
      </c>
      <c r="V60" s="68">
        <f t="shared" ref="V60:W60" si="25">+(V35/V30)^(1/($A35-$A30))-1</f>
        <v>2.8351592950124571E-2</v>
      </c>
      <c r="W60" s="68">
        <f t="shared" si="25"/>
        <v>2.1333042504946276E-2</v>
      </c>
      <c r="Z60" s="5"/>
      <c r="AA60" s="5"/>
      <c r="AB60" s="5"/>
      <c r="AC60" s="5"/>
      <c r="AD60" s="5"/>
      <c r="AE60" s="5"/>
      <c r="AF60" s="5"/>
      <c r="AG60" s="5"/>
      <c r="AH60" s="5"/>
      <c r="AI60" s="5"/>
      <c r="AJ60" s="5"/>
      <c r="AK60" s="5"/>
      <c r="AL60" s="5"/>
      <c r="AM60" s="5"/>
      <c r="AN60" s="5"/>
      <c r="BD60" s="5"/>
      <c r="BE60" s="5"/>
      <c r="BF60" s="5"/>
      <c r="BG60" s="5"/>
      <c r="BH60" s="5"/>
      <c r="BI60" s="5"/>
      <c r="BJ60" s="5"/>
      <c r="BK60" s="5"/>
      <c r="BL60" s="5"/>
      <c r="BM60" s="5"/>
      <c r="BN60" s="5"/>
      <c r="BO60" s="5"/>
      <c r="BP60" s="5"/>
      <c r="BQ60" s="5"/>
      <c r="BR60" s="5"/>
      <c r="BS60" s="5"/>
      <c r="BT60" s="5"/>
      <c r="BU60" s="5"/>
      <c r="BW60" s="5"/>
      <c r="BX60" s="64"/>
      <c r="BY60" s="64"/>
      <c r="BZ60" s="64"/>
      <c r="CA60" s="64"/>
      <c r="CB60" s="64"/>
      <c r="CC60" s="64"/>
      <c r="CD60" s="64"/>
      <c r="CE60" s="64"/>
      <c r="CF60" s="64"/>
      <c r="CS60" s="21"/>
      <c r="CT60" s="21"/>
      <c r="CU60" s="21"/>
      <c r="CV60" s="20"/>
      <c r="CW60" s="31" t="e">
        <f t="shared" si="23"/>
        <v>#DIV/0!</v>
      </c>
      <c r="CX60" s="21"/>
      <c r="CY60" s="21"/>
      <c r="CZ60" s="21"/>
      <c r="DA60" s="21"/>
      <c r="DB60" s="19"/>
      <c r="DC60" s="19"/>
      <c r="DD60" s="19"/>
      <c r="DE60" s="19"/>
      <c r="DF60" s="19"/>
      <c r="DG60" s="19"/>
      <c r="DH60" s="19"/>
      <c r="DI60" s="19"/>
      <c r="DJ60" s="19"/>
      <c r="DK60" s="19"/>
      <c r="DX60" s="68" t="e">
        <f t="shared" si="20"/>
        <v>#DIV/0!</v>
      </c>
      <c r="EB60" s="68">
        <f t="shared" si="21"/>
        <v>0</v>
      </c>
    </row>
    <row r="61" spans="1:146" x14ac:dyDescent="0.2">
      <c r="A61" s="61" t="s">
        <v>446</v>
      </c>
      <c r="U61" s="68">
        <f>+(U40/U35)^(1/($A40-$A35))-1</f>
        <v>1.0017532824280861E-2</v>
      </c>
      <c r="V61" s="68">
        <f t="shared" ref="V61:W61" si="26">+(V40/V35)^(1/($A40-$A35))-1</f>
        <v>2.401003096792742E-2</v>
      </c>
      <c r="W61" s="68">
        <f t="shared" si="26"/>
        <v>1.9702286057875495E-2</v>
      </c>
      <c r="Z61" s="5"/>
      <c r="AA61" s="5"/>
      <c r="AB61" s="5"/>
      <c r="AC61" s="5"/>
      <c r="AD61" s="5"/>
      <c r="AE61" s="5"/>
      <c r="AF61" s="5"/>
      <c r="AG61" s="5"/>
      <c r="AH61" s="5"/>
      <c r="AI61" s="5"/>
      <c r="AJ61" s="5"/>
      <c r="AK61" s="5"/>
      <c r="AL61" s="5"/>
      <c r="AM61" s="5"/>
      <c r="AN61" s="5"/>
      <c r="BD61" s="5"/>
      <c r="BE61" s="5"/>
      <c r="BF61" s="5"/>
      <c r="BG61" s="5"/>
      <c r="BH61" s="5"/>
      <c r="BI61" s="5"/>
      <c r="BJ61" s="5"/>
      <c r="BK61" s="5"/>
      <c r="BL61" s="5"/>
      <c r="BM61" s="5"/>
      <c r="BN61" s="5"/>
      <c r="BO61" s="5"/>
      <c r="BP61" s="5"/>
      <c r="BQ61" s="5"/>
      <c r="BR61" s="5"/>
      <c r="BS61" s="5"/>
      <c r="BT61" s="5"/>
      <c r="BU61" s="5"/>
      <c r="BW61" s="5"/>
      <c r="BX61" s="64"/>
      <c r="BY61" s="64"/>
      <c r="BZ61" s="64"/>
      <c r="CA61" s="64"/>
      <c r="CB61" s="64"/>
      <c r="CC61" s="64"/>
      <c r="CD61" s="64"/>
      <c r="CE61" s="64"/>
      <c r="CF61" s="64"/>
      <c r="CS61" s="21"/>
      <c r="CT61" s="21"/>
      <c r="CU61" s="21"/>
      <c r="CV61" s="20"/>
      <c r="CW61" s="31" t="e">
        <f t="shared" si="23"/>
        <v>#DIV/0!</v>
      </c>
      <c r="CX61" s="21"/>
      <c r="CY61" s="21"/>
      <c r="CZ61" s="21"/>
      <c r="DA61" s="21"/>
      <c r="DB61" s="19"/>
      <c r="DC61" s="19"/>
      <c r="DD61" s="19"/>
      <c r="DE61" s="19"/>
      <c r="DF61" s="19"/>
      <c r="DG61" s="19"/>
      <c r="DH61" s="19"/>
      <c r="DI61" s="19"/>
      <c r="DJ61" s="19"/>
      <c r="DK61" s="19"/>
      <c r="DX61" s="68" t="e">
        <f t="shared" si="20"/>
        <v>#DIV/0!</v>
      </c>
      <c r="EB61" s="68">
        <f t="shared" si="21"/>
        <v>0</v>
      </c>
    </row>
    <row r="62" spans="1:146" x14ac:dyDescent="0.2">
      <c r="A62" s="61" t="s">
        <v>448</v>
      </c>
      <c r="U62" s="68">
        <f>+(U45/U40)^(1/($A45-$A40))-1</f>
        <v>9.4720581271579007E-5</v>
      </c>
      <c r="V62" s="68">
        <f t="shared" ref="V62:W62" si="27">+(V45/V40)^(1/($A45-$A40))-1</f>
        <v>1.2082791311820662E-2</v>
      </c>
      <c r="W62" s="68">
        <f t="shared" si="27"/>
        <v>7.4730694666322872E-3</v>
      </c>
      <c r="Z62" s="5"/>
      <c r="AA62" s="5"/>
      <c r="AB62" s="5"/>
      <c r="AC62" s="5"/>
      <c r="AD62" s="5"/>
      <c r="AE62" s="5"/>
      <c r="AF62" s="5"/>
      <c r="AG62" s="5"/>
      <c r="AH62" s="5"/>
      <c r="AI62" s="5"/>
      <c r="AJ62" s="5"/>
      <c r="AK62" s="5"/>
      <c r="AL62" s="5"/>
      <c r="AM62" s="5"/>
      <c r="AN62" s="5"/>
      <c r="BD62" s="5"/>
      <c r="BE62" s="5"/>
      <c r="BF62" s="5"/>
      <c r="BG62" s="5"/>
      <c r="BH62" s="5"/>
      <c r="BI62" s="5"/>
      <c r="BJ62" s="5"/>
      <c r="BK62" s="5"/>
      <c r="BL62" s="5"/>
      <c r="BM62" s="5"/>
      <c r="BN62" s="5"/>
      <c r="BO62" s="5"/>
      <c r="BP62" s="5"/>
      <c r="BQ62" s="5"/>
      <c r="BR62" s="5"/>
      <c r="BS62" s="5"/>
      <c r="BT62" s="5"/>
      <c r="BU62" s="5"/>
      <c r="BW62" s="5"/>
      <c r="BX62" s="64"/>
      <c r="BY62" s="64"/>
      <c r="BZ62" s="64"/>
      <c r="CA62" s="64"/>
      <c r="CB62" s="64"/>
      <c r="CC62" s="64"/>
      <c r="CD62" s="64"/>
      <c r="CE62" s="64"/>
      <c r="CF62" s="64"/>
      <c r="CS62" s="21"/>
      <c r="CT62" s="21"/>
      <c r="CU62" s="21"/>
      <c r="CV62" s="20"/>
      <c r="CW62" s="31" t="e">
        <f t="shared" si="23"/>
        <v>#DIV/0!</v>
      </c>
      <c r="CX62" s="21"/>
      <c r="CY62" s="21"/>
      <c r="CZ62" s="21"/>
      <c r="DA62" s="21"/>
      <c r="DB62" s="19"/>
      <c r="DC62" s="19"/>
      <c r="DD62" s="19"/>
      <c r="DE62" s="19"/>
      <c r="DF62" s="19"/>
      <c r="DG62" s="19"/>
      <c r="DH62" s="19"/>
      <c r="DI62" s="19"/>
      <c r="DJ62" s="19"/>
      <c r="DK62" s="19"/>
      <c r="DX62" s="68" t="e">
        <f t="shared" si="20"/>
        <v>#DIV/0!</v>
      </c>
      <c r="EB62" s="68">
        <f t="shared" si="21"/>
        <v>0</v>
      </c>
    </row>
    <row r="63" spans="1:146" x14ac:dyDescent="0.2">
      <c r="A63" s="61" t="s">
        <v>465</v>
      </c>
      <c r="U63" s="68">
        <f>+(U35/U26)^(1/($A35-$A26))-1</f>
        <v>2.7908278666679331E-2</v>
      </c>
      <c r="V63" s="68">
        <f t="shared" ref="V63:W63" si="28">+(V35/V26)^(1/($A35-$A26))-1</f>
        <v>2.6115534526368833E-2</v>
      </c>
      <c r="W63" s="68">
        <f t="shared" si="28"/>
        <v>1.7032264966999833E-2</v>
      </c>
      <c r="Z63" s="5"/>
      <c r="AA63" s="5"/>
      <c r="AB63" s="5"/>
      <c r="AC63" s="5"/>
      <c r="AD63" s="5"/>
      <c r="AE63" s="5"/>
      <c r="AF63" s="5"/>
      <c r="AG63" s="5"/>
      <c r="AH63" s="5"/>
      <c r="AI63" s="5"/>
      <c r="AJ63" s="5"/>
      <c r="AK63" s="5"/>
      <c r="AL63" s="5"/>
      <c r="AM63" s="5"/>
      <c r="AN63" s="5"/>
      <c r="BD63" s="5"/>
      <c r="BE63" s="5"/>
      <c r="BF63" s="5"/>
      <c r="BG63" s="5"/>
      <c r="BH63" s="5"/>
      <c r="BI63" s="5"/>
      <c r="BJ63" s="5"/>
      <c r="BK63" s="5"/>
      <c r="BL63" s="5"/>
      <c r="BM63" s="5"/>
      <c r="BN63" s="5"/>
      <c r="BO63" s="5"/>
      <c r="BP63" s="5"/>
      <c r="BQ63" s="5"/>
      <c r="BR63" s="5"/>
      <c r="BS63" s="5"/>
      <c r="BT63" s="5"/>
      <c r="BU63" s="5"/>
      <c r="BW63" s="5"/>
      <c r="BX63" s="64"/>
      <c r="BY63" s="64"/>
      <c r="BZ63" s="64"/>
      <c r="CA63" s="64"/>
      <c r="CB63" s="64"/>
      <c r="CC63" s="64"/>
      <c r="CD63" s="64"/>
      <c r="CE63" s="64"/>
      <c r="CF63" s="64"/>
      <c r="CS63" s="21"/>
      <c r="CT63" s="21"/>
      <c r="CU63" s="21"/>
      <c r="CV63" s="20"/>
      <c r="CW63" s="31" t="e">
        <f t="shared" si="23"/>
        <v>#DIV/0!</v>
      </c>
      <c r="CX63" s="21"/>
      <c r="CY63" s="21"/>
      <c r="CZ63" s="21"/>
      <c r="DA63" s="21"/>
      <c r="DB63" s="19"/>
      <c r="DC63" s="19"/>
      <c r="DD63" s="19"/>
      <c r="DE63" s="19"/>
      <c r="DF63" s="19"/>
      <c r="DG63" s="19"/>
      <c r="DH63" s="19"/>
      <c r="DI63" s="19"/>
      <c r="DJ63" s="19"/>
      <c r="DK63" s="19"/>
      <c r="DX63" s="68" t="e">
        <f t="shared" si="20"/>
        <v>#DIV/0!</v>
      </c>
      <c r="EB63" s="68">
        <f t="shared" si="21"/>
        <v>0</v>
      </c>
    </row>
    <row r="64" spans="1:146" x14ac:dyDescent="0.2">
      <c r="Z64" s="5"/>
      <c r="AA64" s="5"/>
      <c r="AB64" s="5"/>
      <c r="AC64" s="5"/>
      <c r="AD64" s="5"/>
      <c r="AE64" s="5"/>
      <c r="AF64" s="5"/>
      <c r="AG64" s="5"/>
      <c r="AH64" s="5"/>
      <c r="AI64" s="5"/>
      <c r="AJ64" s="5"/>
      <c r="AK64" s="5"/>
      <c r="AL64" s="5"/>
      <c r="AM64" s="5"/>
      <c r="AN64" s="5"/>
      <c r="BD64" s="5"/>
      <c r="BE64" s="5"/>
      <c r="BF64" s="5"/>
      <c r="BG64" s="5"/>
      <c r="BH64" s="5"/>
      <c r="BI64" s="5"/>
      <c r="BJ64" s="5"/>
      <c r="BK64" s="5"/>
      <c r="BL64" s="5"/>
      <c r="BM64" s="5"/>
      <c r="BN64" s="5"/>
      <c r="BO64" s="5"/>
      <c r="BP64" s="5"/>
      <c r="BQ64" s="5"/>
      <c r="BR64" s="5"/>
      <c r="BS64" s="5"/>
      <c r="BT64" s="5"/>
      <c r="BU64" s="5"/>
      <c r="BW64" s="5"/>
      <c r="BX64" s="64"/>
      <c r="BY64" s="64"/>
      <c r="BZ64" s="64"/>
      <c r="CA64" s="64"/>
      <c r="CB64" s="64"/>
      <c r="CC64" s="64"/>
      <c r="CD64" s="64"/>
      <c r="CE64" s="64"/>
      <c r="CF64" s="64"/>
      <c r="CS64" s="21"/>
      <c r="CT64" s="21"/>
      <c r="CU64" s="21"/>
      <c r="CV64" s="20"/>
      <c r="CW64" s="31" t="e">
        <f t="shared" si="23"/>
        <v>#DIV/0!</v>
      </c>
      <c r="CX64" s="21"/>
      <c r="CY64" s="21"/>
      <c r="CZ64" s="21"/>
      <c r="DA64" s="21"/>
      <c r="DB64" s="19"/>
      <c r="DC64" s="19"/>
      <c r="DD64" s="19"/>
      <c r="DE64" s="19"/>
      <c r="DF64" s="19"/>
      <c r="DG64" s="19"/>
      <c r="DH64" s="19"/>
      <c r="DI64" s="19"/>
      <c r="DJ64" s="19"/>
      <c r="DK64" s="19"/>
      <c r="DX64" s="68" t="e">
        <f t="shared" si="20"/>
        <v>#DIV/0!</v>
      </c>
      <c r="EB64" s="68" t="e">
        <f t="shared" si="21"/>
        <v>#DIV/0!</v>
      </c>
    </row>
    <row r="65" spans="26:132" x14ac:dyDescent="0.2">
      <c r="Z65" s="5"/>
      <c r="AA65" s="5"/>
      <c r="AB65" s="5"/>
      <c r="AC65" s="5"/>
      <c r="AD65" s="5"/>
      <c r="AE65" s="5"/>
      <c r="AF65" s="5"/>
      <c r="AG65" s="5"/>
      <c r="AH65" s="5"/>
      <c r="AI65" s="5"/>
      <c r="AJ65" s="5"/>
      <c r="AK65" s="5"/>
      <c r="AL65" s="5"/>
      <c r="AM65" s="5"/>
      <c r="AN65" s="5"/>
      <c r="BD65" s="5"/>
      <c r="BE65" s="5"/>
      <c r="BF65" s="5"/>
      <c r="BG65" s="5"/>
      <c r="BH65" s="5"/>
      <c r="BI65" s="5"/>
      <c r="BJ65" s="5"/>
      <c r="BK65" s="5"/>
      <c r="BL65" s="5"/>
      <c r="BM65" s="5"/>
      <c r="BN65" s="5"/>
      <c r="BO65" s="5"/>
      <c r="BP65" s="5"/>
      <c r="BQ65" s="5"/>
      <c r="BR65" s="5"/>
      <c r="BS65" s="5"/>
      <c r="BT65" s="5"/>
      <c r="BU65" s="5"/>
      <c r="BW65" s="5"/>
      <c r="BX65" s="64"/>
      <c r="BY65" s="64"/>
      <c r="BZ65" s="64"/>
      <c r="CA65" s="64"/>
      <c r="CB65" s="64"/>
      <c r="CC65" s="64"/>
      <c r="CD65" s="64"/>
      <c r="CE65" s="64"/>
      <c r="CF65" s="64"/>
      <c r="CS65" s="21"/>
      <c r="CT65" s="21"/>
      <c r="CU65" s="21"/>
      <c r="CV65" s="20"/>
      <c r="CW65" s="31" t="e">
        <f t="shared" si="23"/>
        <v>#DIV/0!</v>
      </c>
      <c r="CX65" s="21"/>
      <c r="CY65" s="21"/>
      <c r="CZ65" s="21"/>
      <c r="DA65" s="21"/>
      <c r="DB65" s="19"/>
      <c r="DC65" s="19"/>
      <c r="DD65" s="19"/>
      <c r="DE65" s="19"/>
      <c r="DF65" s="19"/>
      <c r="DG65" s="19"/>
      <c r="DH65" s="19"/>
      <c r="DI65" s="19"/>
      <c r="DJ65" s="19"/>
      <c r="DK65" s="19"/>
      <c r="DX65" s="68" t="e">
        <f t="shared" si="20"/>
        <v>#DIV/0!</v>
      </c>
      <c r="EB65" s="68" t="e">
        <f t="shared" si="21"/>
        <v>#DIV/0!</v>
      </c>
    </row>
    <row r="66" spans="26:132" x14ac:dyDescent="0.2">
      <c r="Z66" s="5"/>
      <c r="AA66" s="5"/>
      <c r="AB66" s="5"/>
      <c r="AC66" s="5"/>
      <c r="AD66" s="5"/>
      <c r="AE66" s="5"/>
      <c r="AF66" s="5"/>
      <c r="AG66" s="5"/>
      <c r="AH66" s="5"/>
      <c r="AI66" s="5"/>
      <c r="AJ66" s="5"/>
      <c r="AK66" s="5"/>
      <c r="AL66" s="5"/>
      <c r="AM66" s="5"/>
      <c r="AN66" s="5"/>
      <c r="BD66" s="5"/>
      <c r="BE66" s="5"/>
      <c r="BF66" s="5"/>
      <c r="BG66" s="5"/>
      <c r="BH66" s="5"/>
      <c r="BI66" s="5"/>
      <c r="BJ66" s="5"/>
      <c r="BK66" s="5"/>
      <c r="BL66" s="5"/>
      <c r="BM66" s="5"/>
      <c r="BN66" s="5"/>
      <c r="BO66" s="5"/>
      <c r="BP66" s="5"/>
      <c r="BQ66" s="5"/>
      <c r="BR66" s="5"/>
      <c r="BS66" s="5"/>
      <c r="BT66" s="5"/>
      <c r="BU66" s="5"/>
      <c r="BW66" s="5"/>
      <c r="BX66" s="64"/>
      <c r="BY66" s="64"/>
      <c r="BZ66" s="64"/>
      <c r="CA66" s="64"/>
      <c r="CB66" s="64"/>
      <c r="CC66" s="64"/>
      <c r="CD66" s="64"/>
      <c r="CE66" s="64"/>
      <c r="CF66" s="64"/>
      <c r="CS66" s="21"/>
      <c r="CT66" s="21"/>
      <c r="CU66" s="21"/>
      <c r="CV66" s="20"/>
      <c r="CW66" s="31">
        <f t="shared" si="23"/>
        <v>8.6523463526863353E-2</v>
      </c>
      <c r="CX66" s="21"/>
      <c r="CY66" s="21"/>
      <c r="CZ66" s="21"/>
      <c r="DA66" s="21"/>
      <c r="DB66" s="19"/>
      <c r="DC66" s="19"/>
      <c r="DD66" s="19"/>
      <c r="DE66" s="19"/>
      <c r="DF66" s="19"/>
      <c r="DG66" s="19"/>
      <c r="DH66" s="19"/>
      <c r="DI66" s="19"/>
      <c r="DJ66" s="19"/>
      <c r="DK66" s="19"/>
      <c r="DX66" s="68" t="e">
        <f t="shared" si="20"/>
        <v>#DIV/0!</v>
      </c>
      <c r="EB66" s="68" t="e">
        <f t="shared" si="21"/>
        <v>#DIV/0!</v>
      </c>
    </row>
    <row r="67" spans="26:132" x14ac:dyDescent="0.2">
      <c r="Z67" s="5"/>
      <c r="AA67" s="5"/>
      <c r="AB67" s="5"/>
      <c r="AC67" s="5"/>
      <c r="AD67" s="5"/>
      <c r="AE67" s="5"/>
      <c r="AF67" s="5"/>
      <c r="AG67" s="5"/>
      <c r="AH67" s="5"/>
      <c r="AI67" s="5"/>
      <c r="AJ67" s="5"/>
      <c r="AK67" s="5"/>
      <c r="AL67" s="5"/>
      <c r="AM67" s="5"/>
      <c r="AN67" s="5"/>
      <c r="BD67" s="5"/>
      <c r="BE67" s="5"/>
      <c r="BF67" s="5"/>
      <c r="BG67" s="5"/>
      <c r="BH67" s="5"/>
      <c r="BI67" s="5"/>
      <c r="BJ67" s="5"/>
      <c r="BK67" s="5"/>
      <c r="BL67" s="5"/>
      <c r="BM67" s="5"/>
      <c r="BN67" s="5"/>
      <c r="BO67" s="5"/>
      <c r="BP67" s="5"/>
      <c r="BQ67" s="5"/>
      <c r="BR67" s="5"/>
      <c r="BS67" s="5"/>
      <c r="BT67" s="5"/>
      <c r="BU67" s="5"/>
      <c r="BW67" s="5"/>
      <c r="BX67" s="64"/>
      <c r="BY67" s="64"/>
      <c r="BZ67" s="64"/>
      <c r="CA67" s="64"/>
      <c r="CB67" s="64"/>
      <c r="CC67" s="64"/>
      <c r="CD67" s="64"/>
      <c r="CE67" s="64"/>
      <c r="CF67" s="64"/>
      <c r="CS67" s="21"/>
      <c r="CT67" s="21"/>
      <c r="CU67" s="21"/>
      <c r="CV67" s="20"/>
      <c r="CW67" s="31">
        <f t="shared" si="23"/>
        <v>0.1186561007025379</v>
      </c>
      <c r="CX67" s="21"/>
      <c r="CY67" s="21"/>
      <c r="CZ67" s="21"/>
      <c r="DA67" s="21"/>
      <c r="DB67" s="19"/>
      <c r="DC67" s="19"/>
      <c r="DD67" s="19"/>
      <c r="DE67" s="19"/>
      <c r="DF67" s="19"/>
      <c r="DG67" s="19"/>
      <c r="DH67" s="19"/>
      <c r="DI67" s="19"/>
      <c r="DJ67" s="19"/>
      <c r="DK67" s="19"/>
      <c r="DX67" s="68" t="e">
        <f t="shared" si="20"/>
        <v>#DIV/0!</v>
      </c>
      <c r="EB67" s="68" t="e">
        <f t="shared" si="21"/>
        <v>#DIV/0!</v>
      </c>
    </row>
    <row r="68" spans="26:132" x14ac:dyDescent="0.2">
      <c r="Z68" s="5"/>
      <c r="AA68" s="5"/>
      <c r="AB68" s="5"/>
      <c r="AC68" s="5"/>
      <c r="AD68" s="5"/>
      <c r="AE68" s="5"/>
      <c r="AF68" s="5"/>
      <c r="AG68" s="5"/>
      <c r="AH68" s="5"/>
      <c r="AI68" s="5"/>
      <c r="AJ68" s="5"/>
      <c r="AK68" s="5"/>
      <c r="AL68" s="5"/>
      <c r="AM68" s="5"/>
      <c r="AN68" s="5"/>
      <c r="BD68" s="5"/>
      <c r="BE68" s="5"/>
      <c r="BF68" s="5"/>
      <c r="BG68" s="5"/>
      <c r="BH68" s="5"/>
      <c r="BI68" s="5"/>
      <c r="BJ68" s="5"/>
      <c r="BK68" s="5"/>
      <c r="BL68" s="5"/>
      <c r="BM68" s="5"/>
      <c r="BN68" s="5"/>
      <c r="BO68" s="5"/>
      <c r="BP68" s="5"/>
      <c r="BQ68" s="5"/>
      <c r="BR68" s="5"/>
      <c r="BS68" s="5"/>
      <c r="BT68" s="5"/>
      <c r="BU68" s="5"/>
      <c r="BW68" s="5"/>
      <c r="BX68" s="64"/>
      <c r="BY68" s="64"/>
      <c r="BZ68" s="64"/>
      <c r="CA68" s="64"/>
      <c r="CB68" s="64"/>
      <c r="CC68" s="64"/>
      <c r="CD68" s="64"/>
      <c r="CE68" s="64"/>
      <c r="CF68" s="64"/>
      <c r="CS68" s="21"/>
      <c r="CT68" s="21"/>
      <c r="CU68" s="21"/>
      <c r="CV68" s="20"/>
      <c r="CW68" s="31">
        <f t="shared" si="23"/>
        <v>0.13436504443334565</v>
      </c>
      <c r="CX68" s="21"/>
      <c r="CY68" s="21"/>
      <c r="CZ68" s="21"/>
      <c r="DA68" s="21"/>
      <c r="DB68" s="19"/>
      <c r="DC68" s="19"/>
      <c r="DD68" s="19"/>
      <c r="DE68" s="19"/>
      <c r="DF68" s="19"/>
      <c r="DG68" s="19"/>
      <c r="DH68" s="19"/>
      <c r="DI68" s="19"/>
      <c r="DJ68" s="19"/>
      <c r="DK68" s="19"/>
      <c r="DX68" s="68" t="e">
        <f t="shared" si="20"/>
        <v>#DIV/0!</v>
      </c>
      <c r="EB68" s="68" t="e">
        <f t="shared" si="21"/>
        <v>#DIV/0!</v>
      </c>
    </row>
    <row r="69" spans="26:132" x14ac:dyDescent="0.2">
      <c r="Z69" s="5"/>
      <c r="AA69" s="5"/>
      <c r="AB69" s="5"/>
      <c r="AC69" s="5"/>
      <c r="AD69" s="5"/>
      <c r="AE69" s="5"/>
      <c r="AF69" s="5"/>
      <c r="AG69" s="5"/>
      <c r="AH69" s="5"/>
      <c r="AI69" s="5"/>
      <c r="AJ69" s="5"/>
      <c r="AK69" s="5"/>
      <c r="AL69" s="5"/>
      <c r="AM69" s="5"/>
      <c r="AN69" s="5"/>
      <c r="BD69" s="5"/>
      <c r="BE69" s="5"/>
      <c r="BF69" s="5"/>
      <c r="BG69" s="5"/>
      <c r="BH69" s="5"/>
      <c r="BI69" s="5"/>
      <c r="BJ69" s="5"/>
      <c r="BK69" s="5"/>
      <c r="BL69" s="5"/>
      <c r="BM69" s="5"/>
      <c r="BN69" s="5"/>
      <c r="BO69" s="5"/>
      <c r="BP69" s="5"/>
      <c r="BQ69" s="5"/>
      <c r="BR69" s="5"/>
      <c r="BS69" s="5"/>
      <c r="BT69" s="5"/>
      <c r="BU69" s="5"/>
      <c r="BW69" s="5"/>
      <c r="BX69" s="64"/>
      <c r="BY69" s="64"/>
      <c r="BZ69" s="64"/>
      <c r="CA69" s="64"/>
      <c r="CB69" s="64"/>
      <c r="CC69" s="64"/>
      <c r="CD69" s="64"/>
      <c r="CE69" s="64"/>
      <c r="CF69" s="64"/>
      <c r="CS69" s="21"/>
      <c r="CT69" s="21"/>
      <c r="CU69" s="21"/>
      <c r="CV69" s="20"/>
      <c r="CW69" s="31">
        <f t="shared" si="23"/>
        <v>0.20713201366638356</v>
      </c>
      <c r="CX69" s="21"/>
      <c r="CY69" s="21"/>
      <c r="CZ69" s="21"/>
      <c r="DA69" s="21"/>
      <c r="DB69" s="19"/>
      <c r="DC69" s="19"/>
      <c r="DD69" s="19"/>
      <c r="DE69" s="19"/>
      <c r="DF69" s="19"/>
      <c r="DG69" s="19"/>
      <c r="DH69" s="19"/>
      <c r="DI69" s="19"/>
      <c r="DJ69" s="19"/>
      <c r="DK69" s="19"/>
      <c r="DX69" s="68" t="e">
        <f t="shared" si="20"/>
        <v>#DIV/0!</v>
      </c>
      <c r="EB69" s="68" t="e">
        <f t="shared" si="21"/>
        <v>#DIV/0!</v>
      </c>
    </row>
    <row r="70" spans="26:132" x14ac:dyDescent="0.2">
      <c r="Z70" s="5"/>
      <c r="AA70" s="5"/>
      <c r="AB70" s="5"/>
      <c r="AC70" s="5"/>
      <c r="AD70" s="5"/>
      <c r="AE70" s="5"/>
      <c r="AF70" s="5"/>
      <c r="AG70" s="5"/>
      <c r="AH70" s="5"/>
      <c r="AI70" s="5"/>
      <c r="AJ70" s="5"/>
      <c r="AK70" s="5"/>
      <c r="AL70" s="5"/>
      <c r="AM70" s="5"/>
      <c r="AN70" s="5"/>
      <c r="BD70" s="5"/>
      <c r="BE70" s="5"/>
      <c r="BF70" s="5"/>
      <c r="BG70" s="5"/>
      <c r="BH70" s="5"/>
      <c r="BI70" s="5"/>
      <c r="BJ70" s="5"/>
      <c r="BK70" s="5"/>
      <c r="BL70" s="5"/>
      <c r="BM70" s="5"/>
      <c r="BN70" s="5"/>
      <c r="BO70" s="5"/>
      <c r="BP70" s="5"/>
      <c r="BQ70" s="5"/>
      <c r="BR70" s="5"/>
      <c r="BS70" s="5"/>
      <c r="BT70" s="5"/>
      <c r="BU70" s="5"/>
      <c r="BW70" s="5"/>
      <c r="BX70" s="64"/>
      <c r="BY70" s="64"/>
      <c r="BZ70" s="64"/>
      <c r="CA70" s="64"/>
      <c r="CB70" s="64"/>
      <c r="CC70" s="64"/>
      <c r="CD70" s="64"/>
      <c r="CE70" s="64"/>
      <c r="CF70" s="64"/>
      <c r="CS70" s="21"/>
      <c r="CT70" s="21"/>
      <c r="CU70" s="21"/>
      <c r="CV70" s="20"/>
      <c r="CW70" s="31">
        <f t="shared" si="23"/>
        <v>0.23933689062307642</v>
      </c>
      <c r="CX70" s="21"/>
      <c r="CY70" s="21"/>
      <c r="CZ70" s="21"/>
      <c r="DA70" s="21"/>
      <c r="DB70" s="19"/>
      <c r="DC70" s="19"/>
      <c r="DD70" s="19"/>
      <c r="DE70" s="19"/>
      <c r="DF70" s="19"/>
      <c r="DG70" s="19"/>
      <c r="DH70" s="19"/>
      <c r="DI70" s="19"/>
      <c r="DJ70" s="19"/>
      <c r="DK70" s="19"/>
      <c r="DX70" s="68" t="e">
        <f t="shared" si="20"/>
        <v>#DIV/0!</v>
      </c>
      <c r="EB70" s="68" t="e">
        <f t="shared" si="21"/>
        <v>#DIV/0!</v>
      </c>
    </row>
    <row r="71" spans="26:132" x14ac:dyDescent="0.2">
      <c r="Z71" s="5"/>
      <c r="AA71" s="5"/>
      <c r="AB71" s="5"/>
      <c r="AC71" s="5"/>
      <c r="AD71" s="5"/>
      <c r="AE71" s="5"/>
      <c r="AF71" s="5"/>
      <c r="AG71" s="5"/>
      <c r="AH71" s="5"/>
      <c r="AI71" s="5"/>
      <c r="AJ71" s="5"/>
      <c r="AK71" s="5"/>
      <c r="AL71" s="5"/>
      <c r="AM71" s="5"/>
      <c r="AN71" s="5"/>
      <c r="BD71" s="5"/>
      <c r="BE71" s="5"/>
      <c r="BF71" s="5"/>
      <c r="BG71" s="5"/>
      <c r="BH71" s="5"/>
      <c r="BI71" s="5"/>
      <c r="BJ71" s="5"/>
      <c r="BK71" s="5"/>
      <c r="BL71" s="5"/>
      <c r="BM71" s="5"/>
      <c r="BN71" s="5"/>
      <c r="BO71" s="5"/>
      <c r="BP71" s="5"/>
      <c r="BQ71" s="5"/>
      <c r="BR71" s="5"/>
      <c r="BS71" s="5"/>
      <c r="BT71" s="5"/>
      <c r="BU71" s="5"/>
      <c r="BW71" s="5"/>
      <c r="BX71" s="64"/>
      <c r="BY71" s="64"/>
      <c r="BZ71" s="64"/>
      <c r="CA71" s="64"/>
      <c r="CB71" s="64"/>
      <c r="CC71" s="64"/>
      <c r="CD71" s="64"/>
      <c r="CE71" s="64"/>
      <c r="CF71" s="64"/>
      <c r="CS71" s="21"/>
      <c r="CT71" s="21"/>
      <c r="CU71" s="21"/>
      <c r="CV71" s="20"/>
      <c r="CW71" s="31">
        <f t="shared" si="23"/>
        <v>0.28069276090626588</v>
      </c>
      <c r="CX71" s="21"/>
      <c r="CY71" s="21"/>
      <c r="CZ71" s="21"/>
      <c r="DA71" s="21"/>
      <c r="DB71" s="19"/>
      <c r="DC71" s="19"/>
      <c r="DD71" s="19"/>
      <c r="DE71" s="19"/>
      <c r="DF71" s="19"/>
      <c r="DG71" s="19"/>
      <c r="DH71" s="19"/>
      <c r="DI71" s="19"/>
      <c r="DJ71" s="19"/>
      <c r="DK71" s="19"/>
      <c r="DX71" s="68" t="e">
        <f t="shared" si="20"/>
        <v>#DIV/0!</v>
      </c>
      <c r="EB71" s="68" t="e">
        <f t="shared" si="21"/>
        <v>#DIV/0!</v>
      </c>
    </row>
    <row r="72" spans="26:132" x14ac:dyDescent="0.2">
      <c r="Z72" s="5"/>
      <c r="AA72" s="5"/>
      <c r="AB72" s="5"/>
      <c r="AC72" s="5"/>
      <c r="AD72" s="5"/>
      <c r="AE72" s="5"/>
      <c r="AF72" s="5"/>
      <c r="AG72" s="5"/>
      <c r="AH72" s="5"/>
      <c r="AI72" s="5"/>
      <c r="AJ72" s="5"/>
      <c r="AK72" s="5"/>
      <c r="AL72" s="5"/>
      <c r="AM72" s="5"/>
      <c r="AN72" s="5"/>
      <c r="BD72" s="5"/>
      <c r="BE72" s="5"/>
      <c r="BF72" s="5"/>
      <c r="BG72" s="5"/>
      <c r="BH72" s="5"/>
      <c r="BI72" s="5"/>
      <c r="BJ72" s="5"/>
      <c r="BK72" s="5"/>
      <c r="BL72" s="5"/>
      <c r="BM72" s="5"/>
      <c r="BN72" s="5"/>
      <c r="BO72" s="5"/>
      <c r="BP72" s="5"/>
      <c r="BQ72" s="5"/>
      <c r="BR72" s="5"/>
      <c r="BS72" s="5"/>
      <c r="BT72" s="5"/>
      <c r="BU72" s="5"/>
      <c r="BW72" s="5"/>
      <c r="BX72" s="64"/>
      <c r="BY72" s="64"/>
      <c r="BZ72" s="64"/>
      <c r="CA72" s="64"/>
      <c r="CB72" s="64"/>
      <c r="CC72" s="64"/>
      <c r="CD72" s="64"/>
      <c r="CE72" s="64"/>
      <c r="CF72" s="64"/>
      <c r="CS72" s="21"/>
      <c r="CT72" s="21"/>
      <c r="CU72" s="21"/>
      <c r="CV72" s="20"/>
      <c r="CW72" s="31">
        <f t="shared" si="23"/>
        <v>0.40140063144191773</v>
      </c>
      <c r="CX72" s="21"/>
      <c r="CY72" s="21"/>
      <c r="CZ72" s="21"/>
      <c r="DA72" s="21"/>
      <c r="DB72" s="19"/>
      <c r="DC72" s="19"/>
      <c r="DD72" s="19"/>
      <c r="DE72" s="19"/>
      <c r="DF72" s="19"/>
      <c r="DG72" s="19"/>
      <c r="DH72" s="19"/>
      <c r="DI72" s="19"/>
      <c r="DJ72" s="19"/>
      <c r="DK72" s="19"/>
      <c r="DX72" s="68" t="e">
        <f t="shared" si="20"/>
        <v>#DIV/0!</v>
      </c>
      <c r="EB72" s="68" t="e">
        <f t="shared" si="21"/>
        <v>#DIV/0!</v>
      </c>
    </row>
    <row r="73" spans="26:132" x14ac:dyDescent="0.2">
      <c r="Z73" s="5"/>
      <c r="AA73" s="5"/>
      <c r="AB73" s="5"/>
      <c r="AC73" s="5"/>
      <c r="AD73" s="5"/>
      <c r="AE73" s="5"/>
      <c r="AF73" s="5"/>
      <c r="AG73" s="5"/>
      <c r="AH73" s="5"/>
      <c r="AI73" s="5"/>
      <c r="AJ73" s="5"/>
      <c r="AK73" s="5"/>
      <c r="AL73" s="5"/>
      <c r="AM73" s="5"/>
      <c r="AN73" s="5"/>
      <c r="BD73" s="5"/>
      <c r="BE73" s="5"/>
      <c r="BF73" s="5"/>
      <c r="BG73" s="5"/>
      <c r="BH73" s="5"/>
      <c r="BI73" s="5"/>
      <c r="BJ73" s="5"/>
      <c r="BK73" s="5"/>
      <c r="BL73" s="5"/>
      <c r="BM73" s="5"/>
      <c r="BN73" s="5"/>
      <c r="BO73" s="5"/>
      <c r="BP73" s="5"/>
      <c r="BQ73" s="5"/>
      <c r="BR73" s="5"/>
      <c r="BS73" s="5"/>
      <c r="BT73" s="5"/>
      <c r="BU73" s="5"/>
      <c r="BW73" s="5"/>
      <c r="BX73" s="64"/>
      <c r="BY73" s="64"/>
      <c r="BZ73" s="64"/>
      <c r="CA73" s="64"/>
      <c r="CB73" s="64"/>
      <c r="CC73" s="64"/>
      <c r="CD73" s="64"/>
      <c r="CE73" s="64"/>
      <c r="CF73" s="64"/>
      <c r="CS73" s="21"/>
      <c r="CT73" s="21"/>
      <c r="CU73" s="21"/>
      <c r="CV73" s="20"/>
      <c r="CW73" s="31">
        <f t="shared" si="23"/>
        <v>0.44788061733384904</v>
      </c>
      <c r="CX73" s="21"/>
      <c r="CY73" s="21"/>
      <c r="CZ73" s="21"/>
      <c r="DA73" s="21"/>
      <c r="DB73" s="19"/>
      <c r="DC73" s="19"/>
      <c r="DD73" s="19"/>
      <c r="DE73" s="19"/>
      <c r="DF73" s="19"/>
      <c r="DG73" s="19"/>
      <c r="DH73" s="19"/>
      <c r="DI73" s="19"/>
      <c r="DJ73" s="19"/>
      <c r="DK73" s="19"/>
      <c r="DX73" s="68" t="e">
        <f t="shared" si="20"/>
        <v>#DIV/0!</v>
      </c>
      <c r="EB73" s="68" t="e">
        <f t="shared" si="21"/>
        <v>#DIV/0!</v>
      </c>
    </row>
    <row r="74" spans="26:132" x14ac:dyDescent="0.2">
      <c r="Z74" s="5"/>
      <c r="AA74" s="5"/>
      <c r="AB74" s="5"/>
      <c r="AC74" s="5"/>
      <c r="AD74" s="5"/>
      <c r="AE74" s="5"/>
      <c r="AF74" s="5"/>
      <c r="AG74" s="5"/>
      <c r="AH74" s="5"/>
      <c r="AI74" s="5"/>
      <c r="AJ74" s="5"/>
      <c r="AK74" s="5"/>
      <c r="AL74" s="5"/>
      <c r="AM74" s="5"/>
      <c r="AN74" s="5"/>
      <c r="BD74" s="5"/>
      <c r="BE74" s="5"/>
      <c r="BF74" s="5"/>
      <c r="BG74" s="5"/>
      <c r="BH74" s="5"/>
      <c r="BI74" s="5"/>
      <c r="BJ74" s="5"/>
      <c r="BK74" s="5"/>
      <c r="BL74" s="5"/>
      <c r="BM74" s="5"/>
      <c r="BN74" s="5"/>
      <c r="BO74" s="5"/>
      <c r="BP74" s="5"/>
      <c r="BQ74" s="5"/>
      <c r="BR74" s="5"/>
      <c r="BS74" s="5"/>
      <c r="BT74" s="5"/>
      <c r="BU74" s="5"/>
      <c r="BW74" s="5"/>
      <c r="BX74" s="64"/>
      <c r="BY74" s="64"/>
      <c r="BZ74" s="64"/>
      <c r="CA74" s="64"/>
      <c r="CB74" s="64"/>
      <c r="CC74" s="64"/>
      <c r="CD74" s="64"/>
      <c r="CE74" s="64"/>
      <c r="CF74" s="64"/>
      <c r="CS74" s="21"/>
      <c r="CT74" s="21"/>
      <c r="CU74" s="21"/>
      <c r="CV74" s="20"/>
      <c r="CW74" s="31">
        <f t="shared" si="23"/>
        <v>0.5003705907574596</v>
      </c>
      <c r="CX74" s="21"/>
      <c r="CY74" s="21"/>
      <c r="CZ74" s="21"/>
      <c r="DA74" s="21"/>
      <c r="DB74" s="19"/>
      <c r="DC74" s="19"/>
      <c r="DD74" s="19"/>
      <c r="DE74" s="19"/>
      <c r="DF74" s="19"/>
      <c r="DG74" s="19"/>
      <c r="DH74" s="19"/>
      <c r="DI74" s="19"/>
      <c r="DJ74" s="19"/>
      <c r="DK74" s="19"/>
      <c r="DX74" s="68" t="e">
        <f t="shared" si="20"/>
        <v>#DIV/0!</v>
      </c>
      <c r="EB74" s="68" t="e">
        <f t="shared" si="21"/>
        <v>#DIV/0!</v>
      </c>
    </row>
    <row r="75" spans="26:132" x14ac:dyDescent="0.2">
      <c r="Z75" s="5"/>
      <c r="AA75" s="5"/>
      <c r="AB75" s="5"/>
      <c r="AC75" s="5"/>
      <c r="AD75" s="5"/>
      <c r="AE75" s="5"/>
      <c r="AF75" s="5"/>
      <c r="AG75" s="5"/>
      <c r="AH75" s="5"/>
      <c r="AI75" s="5"/>
      <c r="AJ75" s="5"/>
      <c r="AK75" s="5"/>
      <c r="AL75" s="5"/>
      <c r="AM75" s="5"/>
      <c r="AN75" s="5"/>
      <c r="BD75" s="5"/>
      <c r="BE75" s="5"/>
      <c r="BF75" s="5"/>
      <c r="BG75" s="5"/>
      <c r="BH75" s="5"/>
      <c r="BI75" s="5"/>
      <c r="BJ75" s="5"/>
      <c r="BK75" s="5"/>
      <c r="BL75" s="5"/>
      <c r="BM75" s="5"/>
      <c r="BN75" s="5"/>
      <c r="BO75" s="5"/>
      <c r="BP75" s="5"/>
      <c r="BQ75" s="5"/>
      <c r="BR75" s="5"/>
      <c r="BS75" s="5"/>
      <c r="BT75" s="5"/>
      <c r="BU75" s="5"/>
      <c r="BW75" s="5"/>
      <c r="BX75" s="64"/>
      <c r="BY75" s="64"/>
      <c r="BZ75" s="64"/>
      <c r="CA75" s="64"/>
      <c r="CB75" s="64"/>
      <c r="CC75" s="64"/>
      <c r="CD75" s="64"/>
      <c r="CE75" s="64"/>
      <c r="CF75" s="64"/>
      <c r="CS75" s="21"/>
      <c r="CT75" s="21"/>
      <c r="CU75" s="21"/>
      <c r="CV75" s="20"/>
      <c r="CW75" s="31">
        <f t="shared" si="23"/>
        <v>0.51078113569915018</v>
      </c>
      <c r="CX75" s="21"/>
      <c r="CY75" s="21"/>
      <c r="CZ75" s="21"/>
      <c r="DA75" s="21"/>
      <c r="DB75" s="19"/>
      <c r="DC75" s="19"/>
      <c r="DD75" s="19"/>
      <c r="DE75" s="19"/>
      <c r="DF75" s="19"/>
      <c r="DG75" s="19"/>
      <c r="DH75" s="19"/>
      <c r="DI75" s="19"/>
      <c r="DJ75" s="19"/>
      <c r="DK75" s="19"/>
      <c r="DX75" s="68" t="e">
        <f t="shared" si="20"/>
        <v>#DIV/0!</v>
      </c>
      <c r="EB75" s="68" t="e">
        <f t="shared" si="21"/>
        <v>#DIV/0!</v>
      </c>
    </row>
    <row r="76" spans="26:132" x14ac:dyDescent="0.2">
      <c r="Z76" s="5"/>
      <c r="AA76" s="5"/>
      <c r="AB76" s="5"/>
      <c r="AC76" s="5"/>
      <c r="AD76" s="5"/>
      <c r="AE76" s="5"/>
      <c r="AF76" s="5"/>
      <c r="AG76" s="5"/>
      <c r="AH76" s="5"/>
      <c r="AI76" s="5"/>
      <c r="AJ76" s="5"/>
      <c r="AK76" s="5"/>
      <c r="AL76" s="5"/>
      <c r="AM76" s="5"/>
      <c r="AN76" s="5"/>
      <c r="BD76" s="5"/>
      <c r="BE76" s="5"/>
      <c r="BF76" s="5"/>
      <c r="BG76" s="5"/>
      <c r="BH76" s="5"/>
      <c r="BI76" s="5"/>
      <c r="BJ76" s="5"/>
      <c r="BK76" s="5"/>
      <c r="BL76" s="5"/>
      <c r="BM76" s="5"/>
      <c r="BN76" s="5"/>
      <c r="BO76" s="5"/>
      <c r="BP76" s="5"/>
      <c r="BQ76" s="5"/>
      <c r="BR76" s="5"/>
      <c r="BS76" s="5"/>
      <c r="BT76" s="5"/>
      <c r="BU76" s="5"/>
      <c r="BW76" s="5"/>
      <c r="BX76" s="64"/>
      <c r="BY76" s="64"/>
      <c r="BZ76" s="64"/>
      <c r="CA76" s="64"/>
      <c r="CB76" s="64"/>
      <c r="CC76" s="64"/>
      <c r="CD76" s="64"/>
      <c r="CE76" s="64"/>
      <c r="CF76" s="64"/>
      <c r="CS76" s="21"/>
      <c r="CT76" s="21"/>
      <c r="CU76" s="21"/>
      <c r="CV76" s="20"/>
      <c r="CW76" s="31">
        <f t="shared" si="23"/>
        <v>0.66080059636032307</v>
      </c>
      <c r="CX76" s="21"/>
      <c r="CY76" s="21"/>
      <c r="CZ76" s="21"/>
      <c r="DA76" s="21"/>
      <c r="DB76" s="19"/>
      <c r="DC76" s="19"/>
      <c r="DD76" s="19"/>
      <c r="DE76" s="19"/>
      <c r="DF76" s="19"/>
      <c r="DG76" s="19"/>
      <c r="DH76" s="19"/>
      <c r="DI76" s="19"/>
      <c r="DJ76" s="19"/>
      <c r="DK76" s="19"/>
      <c r="DX76" s="68" t="e">
        <f t="shared" si="20"/>
        <v>#DIV/0!</v>
      </c>
      <c r="EB76" s="68" t="e">
        <f t="shared" si="21"/>
        <v>#DIV/0!</v>
      </c>
    </row>
    <row r="77" spans="26:132" x14ac:dyDescent="0.2">
      <c r="Z77" s="5"/>
      <c r="AA77" s="5"/>
      <c r="AB77" s="5"/>
      <c r="AC77" s="5"/>
      <c r="AD77" s="5"/>
      <c r="AE77" s="5"/>
      <c r="AF77" s="5"/>
      <c r="AG77" s="5"/>
      <c r="AH77" s="5"/>
      <c r="AI77" s="5"/>
      <c r="AJ77" s="5"/>
      <c r="AK77" s="5"/>
      <c r="AL77" s="5"/>
      <c r="AM77" s="5"/>
      <c r="AN77" s="5"/>
      <c r="BD77" s="5"/>
      <c r="BE77" s="5"/>
      <c r="BF77" s="5"/>
      <c r="BG77" s="5"/>
      <c r="BH77" s="5"/>
      <c r="BI77" s="5"/>
      <c r="BJ77" s="5"/>
      <c r="BK77" s="5"/>
      <c r="BL77" s="5"/>
      <c r="BM77" s="5"/>
      <c r="BN77" s="5"/>
      <c r="BO77" s="5"/>
      <c r="BP77" s="5"/>
      <c r="BQ77" s="5"/>
      <c r="BR77" s="5"/>
      <c r="BS77" s="5"/>
      <c r="BT77" s="5"/>
      <c r="BU77" s="5"/>
      <c r="BW77" s="5"/>
      <c r="BX77" s="64"/>
      <c r="BY77" s="64"/>
      <c r="BZ77" s="64"/>
      <c r="CA77" s="64"/>
      <c r="CB77" s="64"/>
      <c r="CC77" s="64"/>
      <c r="CD77" s="64"/>
      <c r="CE77" s="64"/>
      <c r="CF77" s="64"/>
      <c r="CS77" s="21"/>
      <c r="CT77" s="21"/>
      <c r="CU77" s="21"/>
      <c r="CV77" s="20"/>
      <c r="CW77" s="31">
        <f t="shared" si="23"/>
        <v>0.76089397046262608</v>
      </c>
      <c r="CX77" s="21"/>
      <c r="CY77" s="21"/>
      <c r="CZ77" s="21"/>
      <c r="DA77" s="21"/>
      <c r="DB77" s="19"/>
      <c r="DC77" s="19"/>
      <c r="DD77" s="19"/>
      <c r="DE77" s="19"/>
      <c r="DF77" s="19"/>
      <c r="DG77" s="19"/>
      <c r="DH77" s="19"/>
      <c r="DI77" s="19"/>
      <c r="DJ77" s="19"/>
      <c r="DK77" s="19"/>
      <c r="DX77" s="68" t="e">
        <f t="shared" si="20"/>
        <v>#DIV/0!</v>
      </c>
      <c r="EB77" s="68" t="e">
        <f t="shared" si="21"/>
        <v>#DIV/0!</v>
      </c>
    </row>
    <row r="78" spans="26:132" x14ac:dyDescent="0.2">
      <c r="Z78" s="5"/>
      <c r="AA78" s="5"/>
      <c r="AB78" s="5"/>
      <c r="AC78" s="5"/>
      <c r="AD78" s="5"/>
      <c r="AE78" s="5"/>
      <c r="AF78" s="5"/>
      <c r="AG78" s="5"/>
      <c r="AH78" s="5"/>
      <c r="AI78" s="5"/>
      <c r="AJ78" s="5"/>
      <c r="AK78" s="5"/>
      <c r="AL78" s="5"/>
      <c r="AM78" s="5"/>
      <c r="AN78" s="5"/>
      <c r="BD78" s="5"/>
      <c r="BE78" s="5"/>
      <c r="BF78" s="5"/>
      <c r="BG78" s="5"/>
      <c r="BH78" s="5"/>
      <c r="BI78" s="5"/>
      <c r="BJ78" s="5"/>
      <c r="BK78" s="5"/>
      <c r="BL78" s="5"/>
      <c r="BM78" s="5"/>
      <c r="BN78" s="5"/>
      <c r="BO78" s="5"/>
      <c r="BP78" s="5"/>
      <c r="BQ78" s="5"/>
      <c r="BR78" s="5"/>
      <c r="BS78" s="5"/>
      <c r="BT78" s="5"/>
      <c r="BU78" s="5"/>
      <c r="BW78" s="5"/>
      <c r="BX78" s="64"/>
      <c r="BY78" s="64"/>
      <c r="BZ78" s="64"/>
      <c r="CA78" s="64"/>
      <c r="CB78" s="64"/>
      <c r="CC78" s="64"/>
      <c r="CD78" s="64"/>
      <c r="CE78" s="64"/>
      <c r="CF78" s="64"/>
      <c r="CS78" s="21"/>
      <c r="CT78" s="21"/>
      <c r="CU78" s="21"/>
      <c r="CV78" s="20"/>
      <c r="CW78" s="31">
        <f t="shared" si="23"/>
        <v>0.76811697261437539</v>
      </c>
      <c r="CX78" s="21"/>
      <c r="CY78" s="21"/>
      <c r="CZ78" s="21"/>
      <c r="DA78" s="21"/>
      <c r="DB78" s="19"/>
      <c r="DC78" s="19"/>
      <c r="DD78" s="19"/>
      <c r="DE78" s="19"/>
      <c r="DF78" s="19"/>
      <c r="DG78" s="19"/>
      <c r="DH78" s="19"/>
      <c r="DI78" s="19"/>
      <c r="DJ78" s="19"/>
      <c r="DK78" s="19"/>
      <c r="DX78" s="68" t="e">
        <f t="shared" si="20"/>
        <v>#DIV/0!</v>
      </c>
      <c r="EB78" s="68" t="e">
        <f t="shared" si="21"/>
        <v>#DIV/0!</v>
      </c>
    </row>
    <row r="79" spans="26:132" x14ac:dyDescent="0.2">
      <c r="Z79" s="5"/>
      <c r="AA79" s="5"/>
      <c r="AB79" s="5"/>
      <c r="AC79" s="5"/>
      <c r="AD79" s="5"/>
      <c r="AE79" s="5"/>
      <c r="AF79" s="5"/>
      <c r="AG79" s="5"/>
      <c r="AH79" s="5"/>
      <c r="AI79" s="5"/>
      <c r="AJ79" s="5"/>
      <c r="AK79" s="5"/>
      <c r="AL79" s="5"/>
      <c r="AM79" s="5"/>
      <c r="AN79" s="5"/>
      <c r="BD79" s="5"/>
      <c r="BE79" s="5"/>
      <c r="BF79" s="5"/>
      <c r="BG79" s="5"/>
      <c r="BH79" s="5"/>
      <c r="BI79" s="5"/>
      <c r="BJ79" s="5"/>
      <c r="BK79" s="5"/>
      <c r="BL79" s="5"/>
      <c r="BM79" s="5"/>
      <c r="BN79" s="5"/>
      <c r="BO79" s="5"/>
      <c r="BP79" s="5"/>
      <c r="BQ79" s="5"/>
      <c r="BR79" s="5"/>
      <c r="BS79" s="5"/>
      <c r="BT79" s="5"/>
      <c r="BU79" s="5"/>
      <c r="BW79" s="5"/>
      <c r="BX79" s="64"/>
      <c r="BY79" s="64"/>
      <c r="BZ79" s="64"/>
      <c r="CA79" s="64"/>
      <c r="CB79" s="64"/>
      <c r="CC79" s="64"/>
      <c r="CD79" s="64"/>
      <c r="CE79" s="64"/>
      <c r="CF79" s="64"/>
      <c r="CS79" s="21"/>
      <c r="CT79" s="21"/>
      <c r="CU79" s="21"/>
      <c r="CV79" s="20"/>
      <c r="CW79" s="31">
        <f t="shared" si="23"/>
        <v>0.81230225671268386</v>
      </c>
      <c r="CX79" s="21"/>
      <c r="CY79" s="21"/>
      <c r="CZ79" s="21"/>
      <c r="DA79" s="21"/>
      <c r="DB79" s="19"/>
      <c r="DC79" s="19"/>
      <c r="DD79" s="19"/>
      <c r="DE79" s="19"/>
      <c r="DF79" s="19"/>
      <c r="DG79" s="19"/>
      <c r="DH79" s="19"/>
      <c r="DI79" s="19"/>
      <c r="DJ79" s="19"/>
      <c r="DK79" s="19"/>
      <c r="DX79" s="68" t="e">
        <f t="shared" si="20"/>
        <v>#DIV/0!</v>
      </c>
      <c r="EB79" s="68" t="e">
        <f t="shared" si="21"/>
        <v>#DIV/0!</v>
      </c>
    </row>
    <row r="80" spans="26:132" x14ac:dyDescent="0.2">
      <c r="Z80" s="5"/>
      <c r="AA80" s="5"/>
      <c r="AB80" s="5"/>
      <c r="AC80" s="5"/>
      <c r="AD80" s="5"/>
      <c r="AE80" s="5"/>
      <c r="AF80" s="5"/>
      <c r="AG80" s="5"/>
      <c r="AH80" s="5"/>
      <c r="AI80" s="5"/>
      <c r="AJ80" s="5"/>
      <c r="AK80" s="5"/>
      <c r="AL80" s="5"/>
      <c r="AM80" s="5"/>
      <c r="AN80" s="5"/>
      <c r="BD80" s="5"/>
      <c r="BE80" s="5"/>
      <c r="BF80" s="5"/>
      <c r="BG80" s="5"/>
      <c r="BH80" s="5"/>
      <c r="BI80" s="5"/>
      <c r="BJ80" s="5"/>
      <c r="BK80" s="5"/>
      <c r="BL80" s="5"/>
      <c r="BM80" s="5"/>
      <c r="BN80" s="5"/>
      <c r="BO80" s="5"/>
      <c r="BP80" s="5"/>
      <c r="BQ80" s="5"/>
      <c r="BR80" s="5"/>
      <c r="BS80" s="5"/>
      <c r="BT80" s="5"/>
      <c r="BU80" s="5"/>
      <c r="BW80" s="5"/>
      <c r="BX80" s="64"/>
      <c r="BY80" s="64"/>
      <c r="BZ80" s="64"/>
      <c r="CA80" s="64"/>
      <c r="CB80" s="64"/>
      <c r="CC80" s="64"/>
      <c r="CD80" s="64"/>
      <c r="CE80" s="64"/>
      <c r="CF80" s="64"/>
      <c r="CS80" s="21"/>
      <c r="CT80" s="21"/>
      <c r="CU80" s="21"/>
      <c r="CV80" s="20"/>
      <c r="CW80" s="31">
        <f t="shared" si="23"/>
        <v>0.86178652100383468</v>
      </c>
      <c r="CX80" s="21"/>
      <c r="CY80" s="21"/>
      <c r="CZ80" s="21"/>
      <c r="DA80" s="21"/>
      <c r="DB80" s="19"/>
      <c r="DC80" s="19"/>
      <c r="DD80" s="19"/>
      <c r="DE80" s="19"/>
      <c r="DF80" s="19"/>
      <c r="DG80" s="19"/>
      <c r="DH80" s="19"/>
      <c r="DI80" s="19"/>
      <c r="DJ80" s="19"/>
      <c r="DK80" s="19"/>
      <c r="DX80" s="68" t="e">
        <f t="shared" si="20"/>
        <v>#DIV/0!</v>
      </c>
      <c r="EB80" s="68" t="e">
        <f t="shared" si="21"/>
        <v>#DIV/0!</v>
      </c>
    </row>
    <row r="81" spans="26:132" x14ac:dyDescent="0.2">
      <c r="Z81" s="5"/>
      <c r="AA81" s="5"/>
      <c r="AB81" s="5"/>
      <c r="AC81" s="5"/>
      <c r="AD81" s="5"/>
      <c r="AE81" s="5"/>
      <c r="AF81" s="5"/>
      <c r="AG81" s="5"/>
      <c r="AH81" s="5"/>
      <c r="AI81" s="5"/>
      <c r="AJ81" s="5"/>
      <c r="AK81" s="5"/>
      <c r="AL81" s="5"/>
      <c r="AM81" s="5"/>
      <c r="AN81" s="5"/>
      <c r="BD81" s="5"/>
      <c r="BE81" s="5"/>
      <c r="BF81" s="5"/>
      <c r="BG81" s="5"/>
      <c r="BH81" s="5"/>
      <c r="BI81" s="5"/>
      <c r="BJ81" s="5"/>
      <c r="BK81" s="5"/>
      <c r="BL81" s="5"/>
      <c r="BM81" s="5"/>
      <c r="BN81" s="5"/>
      <c r="BO81" s="5"/>
      <c r="BP81" s="5"/>
      <c r="BQ81" s="5"/>
      <c r="BR81" s="5"/>
      <c r="BS81" s="5"/>
      <c r="BT81" s="5"/>
      <c r="BU81" s="5"/>
      <c r="BW81" s="5"/>
      <c r="BX81" s="64"/>
      <c r="BY81" s="64"/>
      <c r="BZ81" s="64"/>
      <c r="CA81" s="64"/>
      <c r="CB81" s="64"/>
      <c r="CC81" s="64"/>
      <c r="CD81" s="64"/>
      <c r="CE81" s="64"/>
      <c r="CF81" s="64"/>
      <c r="CS81" s="21"/>
      <c r="CT81" s="21"/>
      <c r="CU81" s="21"/>
      <c r="CV81" s="20"/>
      <c r="CW81" s="31">
        <f t="shared" si="23"/>
        <v>0.86703859004661132</v>
      </c>
      <c r="CX81" s="21"/>
      <c r="CY81" s="21"/>
      <c r="CZ81" s="21"/>
      <c r="DA81" s="21"/>
      <c r="DB81" s="19"/>
      <c r="DC81" s="19"/>
      <c r="DD81" s="19"/>
      <c r="DE81" s="19"/>
      <c r="DF81" s="19"/>
      <c r="DG81" s="19"/>
      <c r="DH81" s="19"/>
      <c r="DI81" s="19"/>
      <c r="DJ81" s="19"/>
      <c r="DK81" s="19"/>
      <c r="DX81" s="68" t="e">
        <f t="shared" si="20"/>
        <v>#DIV/0!</v>
      </c>
      <c r="EB81" s="68" t="e">
        <f t="shared" si="21"/>
        <v>#DIV/0!</v>
      </c>
    </row>
    <row r="82" spans="26:132" x14ac:dyDescent="0.2">
      <c r="Z82" s="5"/>
      <c r="AA82" s="5"/>
      <c r="AB82" s="5"/>
      <c r="AC82" s="5"/>
      <c r="AD82" s="5"/>
      <c r="AE82" s="5"/>
      <c r="AF82" s="5"/>
      <c r="AG82" s="5"/>
      <c r="AH82" s="5"/>
      <c r="AI82" s="5"/>
      <c r="AJ82" s="5"/>
      <c r="AK82" s="5"/>
      <c r="AL82" s="5"/>
      <c r="AM82" s="5"/>
      <c r="AN82" s="5"/>
      <c r="BD82" s="5"/>
      <c r="BE82" s="5"/>
      <c r="BF82" s="5"/>
      <c r="BG82" s="5"/>
      <c r="BH82" s="5"/>
      <c r="BI82" s="5"/>
      <c r="BJ82" s="5"/>
      <c r="BK82" s="5"/>
      <c r="BL82" s="5"/>
      <c r="BM82" s="5"/>
      <c r="BN82" s="5"/>
      <c r="BO82" s="5"/>
      <c r="BP82" s="5"/>
      <c r="BQ82" s="5"/>
      <c r="BR82" s="5"/>
      <c r="BS82" s="5"/>
      <c r="BT82" s="5"/>
      <c r="BU82" s="5"/>
      <c r="BW82" s="5"/>
      <c r="BX82" s="64"/>
      <c r="BY82" s="64"/>
      <c r="BZ82" s="64"/>
      <c r="CA82" s="64"/>
      <c r="CB82" s="64"/>
      <c r="CC82" s="64"/>
      <c r="CD82" s="64"/>
      <c r="CE82" s="64"/>
      <c r="CF82" s="64"/>
      <c r="CS82" s="21"/>
      <c r="CT82" s="21"/>
      <c r="CU82" s="21"/>
      <c r="CV82" s="20"/>
      <c r="CW82" s="31">
        <f t="shared" si="23"/>
        <v>0.87044078925757351</v>
      </c>
      <c r="CX82" s="21"/>
      <c r="CY82" s="21"/>
      <c r="CZ82" s="21"/>
      <c r="DA82" s="21"/>
      <c r="DB82" s="19"/>
      <c r="DC82" s="19"/>
      <c r="DD82" s="19"/>
      <c r="DE82" s="19"/>
      <c r="DF82" s="19"/>
      <c r="DG82" s="19"/>
      <c r="DH82" s="19"/>
      <c r="DI82" s="19"/>
      <c r="DJ82" s="19"/>
      <c r="DK82" s="19"/>
      <c r="DX82" s="68" t="e">
        <f t="shared" si="20"/>
        <v>#DIV/0!</v>
      </c>
      <c r="EB82" s="68" t="e">
        <f t="shared" si="21"/>
        <v>#DIV/0!</v>
      </c>
    </row>
    <row r="83" spans="26:132" x14ac:dyDescent="0.2">
      <c r="Z83" s="5"/>
      <c r="AA83" s="5"/>
      <c r="AB83" s="5"/>
      <c r="AC83" s="5"/>
      <c r="AD83" s="5"/>
      <c r="AE83" s="5"/>
      <c r="AF83" s="5"/>
      <c r="AG83" s="5"/>
      <c r="AH83" s="5"/>
      <c r="AI83" s="5"/>
      <c r="AJ83" s="5"/>
      <c r="AK83" s="5"/>
      <c r="AL83" s="5"/>
      <c r="AM83" s="5"/>
      <c r="AN83" s="5"/>
      <c r="BD83" s="5"/>
      <c r="BE83" s="5"/>
      <c r="BF83" s="5"/>
      <c r="BG83" s="5"/>
      <c r="BH83" s="5"/>
      <c r="BI83" s="5"/>
      <c r="BJ83" s="5"/>
      <c r="BK83" s="5"/>
      <c r="BL83" s="5"/>
      <c r="BM83" s="5"/>
      <c r="BN83" s="5"/>
      <c r="BO83" s="5"/>
      <c r="BP83" s="5"/>
      <c r="BQ83" s="5"/>
      <c r="BR83" s="5"/>
      <c r="BS83" s="5"/>
      <c r="BT83" s="5"/>
      <c r="BU83" s="5"/>
      <c r="BW83" s="5"/>
      <c r="BX83" s="64"/>
      <c r="BY83" s="64"/>
      <c r="BZ83" s="64"/>
      <c r="CA83" s="64"/>
      <c r="CB83" s="64"/>
      <c r="CC83" s="64"/>
      <c r="CD83" s="64"/>
      <c r="CE83" s="64"/>
      <c r="CF83" s="64"/>
      <c r="CS83" s="21"/>
      <c r="CT83" s="21"/>
      <c r="CU83" s="21"/>
      <c r="CV83" s="20"/>
      <c r="CW83" s="31">
        <f t="shared" si="23"/>
        <v>0.87582335616277374</v>
      </c>
      <c r="CX83" s="21"/>
      <c r="CY83" s="21"/>
      <c r="CZ83" s="21"/>
      <c r="DA83" s="21"/>
      <c r="DB83" s="19"/>
      <c r="DC83" s="19"/>
      <c r="DD83" s="19"/>
      <c r="DE83" s="19"/>
      <c r="DF83" s="19"/>
      <c r="DG83" s="19"/>
      <c r="DH83" s="19"/>
      <c r="DI83" s="19"/>
      <c r="DJ83" s="19"/>
      <c r="DK83" s="19"/>
      <c r="DX83" s="68" t="e">
        <f t="shared" si="20"/>
        <v>#DIV/0!</v>
      </c>
      <c r="EB83" s="68" t="e">
        <f t="shared" si="21"/>
        <v>#DIV/0!</v>
      </c>
    </row>
    <row r="84" spans="26:132" x14ac:dyDescent="0.2">
      <c r="Z84" s="5"/>
      <c r="AA84" s="5"/>
      <c r="AB84" s="5"/>
      <c r="AC84" s="5"/>
      <c r="AD84" s="5"/>
      <c r="AE84" s="5"/>
      <c r="AF84" s="5"/>
      <c r="AG84" s="5"/>
      <c r="AH84" s="5"/>
      <c r="AI84" s="5"/>
      <c r="AJ84" s="5"/>
      <c r="AK84" s="5"/>
      <c r="AL84" s="5"/>
      <c r="AM84" s="5"/>
      <c r="AN84" s="5"/>
      <c r="BD84" s="5"/>
      <c r="BE84" s="5"/>
      <c r="BF84" s="5"/>
      <c r="BG84" s="5"/>
      <c r="BH84" s="5"/>
      <c r="BI84" s="5"/>
      <c r="BJ84" s="5"/>
      <c r="BK84" s="5"/>
      <c r="BL84" s="5"/>
      <c r="BM84" s="5"/>
      <c r="BN84" s="5"/>
      <c r="BO84" s="5"/>
      <c r="BP84" s="5"/>
      <c r="BQ84" s="5"/>
      <c r="BR84" s="5"/>
      <c r="BS84" s="5"/>
      <c r="BT84" s="5"/>
      <c r="BU84" s="5"/>
      <c r="BW84" s="5"/>
      <c r="BX84" s="64"/>
      <c r="BY84" s="64"/>
      <c r="BZ84" s="64"/>
      <c r="CA84" s="64"/>
      <c r="CB84" s="64"/>
      <c r="CC84" s="64"/>
      <c r="CD84" s="64"/>
      <c r="CE84" s="64"/>
      <c r="CF84" s="64"/>
      <c r="CS84" s="21"/>
      <c r="CT84" s="21"/>
      <c r="CU84" s="21"/>
      <c r="CV84" s="20"/>
      <c r="CW84" s="31" t="e">
        <f t="shared" ref="CW84" si="29">+CW53/V53</f>
        <v>#DIV/0!</v>
      </c>
      <c r="CX84" s="21"/>
      <c r="CY84" s="21"/>
      <c r="CZ84" s="21"/>
      <c r="DA84" s="21"/>
      <c r="DB84" s="19"/>
      <c r="DC84" s="19"/>
      <c r="DD84" s="19"/>
      <c r="DE84" s="19"/>
      <c r="DF84" s="19"/>
      <c r="DG84" s="19"/>
      <c r="DH84" s="19"/>
      <c r="DI84" s="19"/>
      <c r="DJ84" s="19"/>
      <c r="DK84" s="19"/>
      <c r="DX84" s="68" t="e">
        <f t="shared" si="20"/>
        <v>#DIV/0!</v>
      </c>
      <c r="EB84" s="68" t="e">
        <f t="shared" si="21"/>
        <v>#DIV/0!</v>
      </c>
    </row>
    <row r="123" spans="2:84" x14ac:dyDescent="0.2">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BD123" s="5"/>
      <c r="BE123" s="5"/>
      <c r="BF123" s="5"/>
      <c r="BG123" s="5"/>
      <c r="BH123" s="5"/>
      <c r="BI123" s="5"/>
      <c r="BJ123" s="5"/>
      <c r="BK123" s="5"/>
      <c r="BL123" s="5"/>
      <c r="BM123" s="5"/>
      <c r="BN123" s="5"/>
      <c r="BO123" s="5"/>
      <c r="BP123" s="5"/>
      <c r="BQ123" s="5"/>
      <c r="BR123" s="5"/>
      <c r="BS123" s="5"/>
      <c r="BT123" s="5"/>
      <c r="BU123" s="5"/>
      <c r="BW123" s="5"/>
      <c r="BX123" s="64"/>
      <c r="BY123" s="64"/>
      <c r="BZ123" s="64"/>
      <c r="CA123" s="64"/>
      <c r="CB123" s="64"/>
      <c r="CC123" s="64"/>
      <c r="CD123" s="64"/>
      <c r="CE123" s="64"/>
      <c r="CF123" s="64"/>
    </row>
  </sheetData>
  <phoneticPr fontId="3" type="noConversion"/>
  <conditionalFormatting sqref="CS58:DK84">
    <cfRule type="cellIs" dxfId="3" priority="3" stopIfTrue="1" operator="lessThan">
      <formula>0</formula>
    </cfRule>
  </conditionalFormatting>
  <conditionalFormatting sqref="DB18:DF53">
    <cfRule type="cellIs" dxfId="2" priority="2" operator="lessThan">
      <formula>0</formula>
    </cfRule>
  </conditionalFormatting>
  <conditionalFormatting sqref="DG18:DK25 DG26:DJ53">
    <cfRule type="cellIs" dxfId="1" priority="1" operator="lessThan">
      <formula>0</formula>
    </cfRule>
  </conditionalFormatting>
  <pageMargins left="0.75" right="0.75" top="1" bottom="1" header="0.5" footer="0.5"/>
  <pageSetup orientation="portrait" horizontalDpi="1200" verticalDpi="12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3:CA103"/>
  <sheetViews>
    <sheetView topLeftCell="A7" workbookViewId="0">
      <selection activeCell="Q5" sqref="Q5"/>
    </sheetView>
  </sheetViews>
  <sheetFormatPr defaultRowHeight="12.75" x14ac:dyDescent="0.2"/>
  <cols>
    <col min="3" max="3" width="10" customWidth="1"/>
    <col min="4" max="5" width="10.28515625" customWidth="1"/>
    <col min="6" max="6" width="10.5703125" customWidth="1"/>
    <col min="7" max="7" width="10.28515625" customWidth="1"/>
    <col min="8" max="9" width="10.5703125" customWidth="1"/>
    <col min="36" max="36" width="36.28515625" customWidth="1"/>
    <col min="37" max="39" width="8.85546875" hidden="1" customWidth="1"/>
  </cols>
  <sheetData>
    <row r="3" spans="2:73" x14ac:dyDescent="0.2">
      <c r="B3" s="106" t="s">
        <v>193</v>
      </c>
      <c r="AJ3" s="106" t="s">
        <v>193</v>
      </c>
    </row>
    <row r="5" spans="2:73" ht="63.75" x14ac:dyDescent="0.2">
      <c r="B5" s="108" t="s">
        <v>8</v>
      </c>
      <c r="C5" s="85" t="s">
        <v>194</v>
      </c>
      <c r="D5" s="85" t="s">
        <v>195</v>
      </c>
      <c r="E5" s="85" t="s">
        <v>196</v>
      </c>
      <c r="F5" s="85" t="str">
        <f>+'Annual Energy Data'!U7</f>
        <v>VELCO Forecast</v>
      </c>
      <c r="G5" s="85" t="str">
        <f>+'Annual Energy Data'!V7</f>
        <v>Climate Action Plan Forecast</v>
      </c>
      <c r="H5" s="85" t="str">
        <f>+'Annual Energy Data'!W7</f>
        <v>VEC Forecast</v>
      </c>
      <c r="I5" s="85" t="str">
        <f>+'Annual Energy Data'!X7</f>
        <v>Average of High and Low</v>
      </c>
      <c r="J5" s="85" t="s">
        <v>358</v>
      </c>
      <c r="K5" s="85" t="s">
        <v>186</v>
      </c>
      <c r="L5" s="85" t="s">
        <v>187</v>
      </c>
      <c r="M5" s="85" t="s">
        <v>75</v>
      </c>
      <c r="N5" s="85" t="s">
        <v>188</v>
      </c>
      <c r="O5" s="85" t="s">
        <v>64</v>
      </c>
      <c r="P5" s="85" t="s">
        <v>189</v>
      </c>
      <c r="Q5" s="85" t="s">
        <v>190</v>
      </c>
      <c r="R5" s="85" t="s">
        <v>191</v>
      </c>
      <c r="S5" s="85" t="str">
        <f>+'Annual Energy Data'!BL7</f>
        <v>Next Era - Seabrook</v>
      </c>
      <c r="T5" s="85" t="str">
        <f>+'Annual Energy Data'!BM7</f>
        <v>NextEra 2022-2025</v>
      </c>
      <c r="U5" s="85" t="str">
        <f>+'Annual Energy Data'!BN7</f>
        <v>Exelon</v>
      </c>
      <c r="V5" s="85" t="str">
        <f>+'Annual Energy Data'!BO7</f>
        <v>BP Energy</v>
      </c>
      <c r="W5" s="85" t="str">
        <f>+'Annual Energy Data'!BP7</f>
        <v>VPPSA Peaker</v>
      </c>
      <c r="X5" s="85" t="str">
        <f>+'Annual Energy Data'!BQ7</f>
        <v>EDF Trading</v>
      </c>
      <c r="Y5" s="85" t="str">
        <f>+'Annual Energy Data'!BR7</f>
        <v>Newport Hydro</v>
      </c>
      <c r="Z5" s="85" t="str">
        <f>+'Annual Energy Data'!BS7</f>
        <v>Howard Wind</v>
      </c>
      <c r="AA5" s="85" t="str">
        <f>+'Annual Energy Data'!BJ7</f>
        <v>Net Metering as Resource</v>
      </c>
      <c r="AB5" s="124" t="str">
        <f>+'Annual Energy Data'!BE7</f>
        <v>Alburgh Solar</v>
      </c>
      <c r="AC5" s="124" t="str">
        <f>+'Annual Energy Data'!BF7</f>
        <v>Magee Hill Solar</v>
      </c>
      <c r="AD5" s="124" t="str">
        <f>+'Annual Energy Data'!BG7</f>
        <v>Grand Isle Solar</v>
      </c>
      <c r="AE5" s="124" t="str">
        <f>+'Annual Energy Data'!BH7</f>
        <v>Jericho - Gravel Pit Solar</v>
      </c>
      <c r="AF5" s="124" t="str">
        <f>+'Annual Energy Data'!BI7</f>
        <v>Jericho - Landfill Solar</v>
      </c>
      <c r="AG5" s="124" t="str">
        <f>+'Annual Energy Data'!BT7</f>
        <v>Brookfield Hydro</v>
      </c>
      <c r="AH5" s="85" t="s">
        <v>192</v>
      </c>
      <c r="AJ5" s="108" t="s">
        <v>8</v>
      </c>
      <c r="AK5" s="89">
        <v>2016</v>
      </c>
      <c r="AL5" s="89">
        <v>2017</v>
      </c>
      <c r="AM5" s="89">
        <v>2018</v>
      </c>
      <c r="AN5" s="89">
        <v>2019</v>
      </c>
      <c r="AO5" s="89">
        <v>2020</v>
      </c>
      <c r="AP5" s="89">
        <v>2021</v>
      </c>
      <c r="AQ5" s="89">
        <v>2022</v>
      </c>
      <c r="AR5" s="89">
        <v>2023</v>
      </c>
      <c r="AS5" s="89">
        <v>2024</v>
      </c>
      <c r="AT5" s="89">
        <v>2025</v>
      </c>
      <c r="AU5" s="89">
        <v>2026</v>
      </c>
      <c r="AV5" s="89">
        <v>2027</v>
      </c>
      <c r="AW5" s="89">
        <v>2028</v>
      </c>
      <c r="AX5" s="89">
        <v>2029</v>
      </c>
      <c r="AY5" s="89">
        <v>2030</v>
      </c>
      <c r="AZ5" s="89">
        <v>2031</v>
      </c>
      <c r="BA5" s="89">
        <v>2032</v>
      </c>
      <c r="BB5" s="89">
        <v>2033</v>
      </c>
      <c r="BC5" s="89">
        <v>2034</v>
      </c>
      <c r="BD5" s="89">
        <v>2035</v>
      </c>
      <c r="BE5" s="89">
        <v>2036</v>
      </c>
      <c r="BF5" s="89">
        <v>2037</v>
      </c>
      <c r="BG5" s="89">
        <v>2038</v>
      </c>
      <c r="BH5" s="89">
        <v>2039</v>
      </c>
      <c r="BI5" s="89">
        <v>2040</v>
      </c>
      <c r="BJ5" s="89">
        <v>2041</v>
      </c>
      <c r="BK5" s="89">
        <v>2042</v>
      </c>
      <c r="BL5" s="89">
        <v>2043</v>
      </c>
      <c r="BM5" s="89">
        <v>2044</v>
      </c>
      <c r="BN5" s="89">
        <v>2045</v>
      </c>
      <c r="BO5" s="89">
        <v>2046</v>
      </c>
      <c r="BP5" s="89">
        <v>2047</v>
      </c>
      <c r="BQ5" s="89">
        <v>2048</v>
      </c>
      <c r="BR5" s="89">
        <v>2049</v>
      </c>
      <c r="BS5" s="89">
        <v>2050</v>
      </c>
    </row>
    <row r="6" spans="2:73" x14ac:dyDescent="0.2">
      <c r="B6" s="89">
        <f>+'Annual Energy Data'!A16</f>
        <v>2016</v>
      </c>
      <c r="C6" s="102">
        <f>+'Annual Energy Data'!I16</f>
        <v>0</v>
      </c>
      <c r="D6" s="102">
        <f>+'Annual Energy Data'!M16</f>
        <v>0</v>
      </c>
      <c r="E6" s="102">
        <f>+'Annual Energy Data'!Q16</f>
        <v>0</v>
      </c>
      <c r="F6" s="102">
        <f>+'Annual Energy Data'!U16</f>
        <v>0</v>
      </c>
      <c r="G6" s="102">
        <f>+'Annual Energy Data'!V16</f>
        <v>0</v>
      </c>
      <c r="H6" s="102">
        <f>+'Annual Energy Data'!W16</f>
        <v>0</v>
      </c>
      <c r="I6" s="102">
        <f>+'Annual Energy Data'!X16</f>
        <v>0</v>
      </c>
      <c r="J6" s="102">
        <f>+'Annual Energy Data'!AD16</f>
        <v>0</v>
      </c>
      <c r="K6" s="102">
        <f>+SUM('Annual Energy Data'!AE16:AH16)</f>
        <v>0</v>
      </c>
      <c r="L6" s="102">
        <f>+'Annual Energy Data'!BD16</f>
        <v>0</v>
      </c>
      <c r="M6" s="102">
        <f>+SUM('Annual Energy Data'!AI16:AJ16)</f>
        <v>0</v>
      </c>
      <c r="N6" s="102">
        <f>+SUM('Annual Energy Data'!AK16:AL16)</f>
        <v>0</v>
      </c>
      <c r="O6" s="102">
        <f>+SUM('Annual Energy Data'!AM16:AN16)</f>
        <v>0</v>
      </c>
      <c r="P6" s="102">
        <f>+'Annual Energy Data'!AO16</f>
        <v>0</v>
      </c>
      <c r="Q6" s="102">
        <f>+'Annual Energy Data'!AP16</f>
        <v>0</v>
      </c>
      <c r="R6" s="102">
        <f>+SUM('Annual Energy Data'!AQ16:BB16)</f>
        <v>0</v>
      </c>
      <c r="S6" s="102">
        <f>+'Annual Energy Data'!BL16</f>
        <v>0</v>
      </c>
      <c r="T6" s="102">
        <f>+'Annual Energy Data'!BM16</f>
        <v>0</v>
      </c>
      <c r="U6" s="102">
        <f>+'Annual Energy Data'!BN16</f>
        <v>0</v>
      </c>
      <c r="V6" s="102">
        <f>+'Annual Energy Data'!BO16</f>
        <v>0</v>
      </c>
      <c r="W6" s="102">
        <f>+'Annual Energy Data'!BP16</f>
        <v>0</v>
      </c>
      <c r="X6" s="102">
        <f>+'Annual Energy Data'!BQ16</f>
        <v>0</v>
      </c>
      <c r="Y6" s="102">
        <f>+'Annual Energy Data'!BR16</f>
        <v>0</v>
      </c>
      <c r="Z6" s="102">
        <f>+'Annual Energy Data'!BS16</f>
        <v>0</v>
      </c>
      <c r="AA6" s="102">
        <f>+'Annual Energy Data'!BJ16</f>
        <v>0</v>
      </c>
      <c r="AB6" s="102">
        <f>+'Annual Energy Data'!BE16</f>
        <v>0</v>
      </c>
      <c r="AC6" s="102">
        <f>+'Annual Energy Data'!BF16</f>
        <v>0</v>
      </c>
      <c r="AD6" s="102">
        <f>+'Annual Energy Data'!BG16</f>
        <v>0</v>
      </c>
      <c r="AE6" s="102">
        <f>+'Annual Energy Data'!BH16</f>
        <v>0</v>
      </c>
      <c r="AF6" s="102">
        <f>+'Annual Energy Data'!BI16</f>
        <v>0</v>
      </c>
      <c r="AG6" s="102">
        <f>+'Annual Energy Data'!BT16</f>
        <v>0</v>
      </c>
      <c r="AH6" s="102">
        <f>+SUM(J6:AG6)</f>
        <v>0</v>
      </c>
      <c r="AJ6" s="189" t="str">
        <f>+C5</f>
        <v>Pre-Tier 3 High Load</v>
      </c>
      <c r="AK6" s="102">
        <v>0</v>
      </c>
      <c r="AL6" s="102">
        <v>0</v>
      </c>
      <c r="AM6" s="102">
        <v>494141.41347383009</v>
      </c>
      <c r="AN6" s="102">
        <f>+C9</f>
        <v>0</v>
      </c>
      <c r="AO6" s="102">
        <f>+C10</f>
        <v>0</v>
      </c>
      <c r="AP6" s="102">
        <f>+C11</f>
        <v>0</v>
      </c>
      <c r="AQ6" s="102">
        <f>+C13</f>
        <v>0</v>
      </c>
      <c r="AR6" s="102">
        <f>+C14</f>
        <v>0</v>
      </c>
      <c r="AS6" s="102">
        <f>+C15</f>
        <v>0</v>
      </c>
      <c r="AT6" s="102">
        <f>+C16</f>
        <v>490021.62668132654</v>
      </c>
      <c r="AU6" s="102">
        <f>+C17</f>
        <v>486369.34132538125</v>
      </c>
      <c r="AV6" s="102">
        <f>+C18</f>
        <v>482601.14710003301</v>
      </c>
      <c r="AW6" s="102">
        <f>+C19</f>
        <v>478876.13441238593</v>
      </c>
      <c r="AX6" s="102">
        <f>+C20</f>
        <v>475257.112759682</v>
      </c>
      <c r="AY6" s="102">
        <f>+C21</f>
        <v>471696.23276028398</v>
      </c>
      <c r="AZ6" s="102">
        <f>+C22</f>
        <v>468138.48178870423</v>
      </c>
      <c r="BA6" s="102">
        <f>+C23</f>
        <v>464561.36606166756</v>
      </c>
      <c r="BB6" s="102">
        <f>+C24</f>
        <v>461084.96747182281</v>
      </c>
      <c r="BC6" s="102">
        <f>+C25</f>
        <v>457624.26202331885</v>
      </c>
      <c r="BD6" s="102">
        <f>+C26</f>
        <v>454168.1554260109</v>
      </c>
      <c r="BE6" s="102">
        <f>+C27</f>
        <v>450752.59999360086</v>
      </c>
      <c r="BF6" s="102">
        <f>+C28</f>
        <v>447387.73898049071</v>
      </c>
      <c r="BG6" s="102">
        <f>+$C$29</f>
        <v>444005.40927147336</v>
      </c>
      <c r="BH6" s="102">
        <f>+$C$30</f>
        <v>440635.31590522564</v>
      </c>
      <c r="BI6" s="102">
        <f>+$C31</f>
        <v>437235.1119122798</v>
      </c>
      <c r="BJ6" s="102">
        <f>+$C32</f>
        <v>433853.75301301666</v>
      </c>
      <c r="BK6" s="102">
        <f>+$C33</f>
        <v>430491.07032321359</v>
      </c>
      <c r="BL6" s="102">
        <f>+$C34</f>
        <v>426830.78577182064</v>
      </c>
      <c r="BM6" s="102">
        <f>+$C35</f>
        <v>423443.66587594297</v>
      </c>
      <c r="BN6" s="102">
        <f>+$C36</f>
        <v>420039.12366537243</v>
      </c>
      <c r="BO6" s="102">
        <f>+$C37</f>
        <v>-15460.240383621356</v>
      </c>
      <c r="BP6" s="102">
        <f>+$C38</f>
        <v>0</v>
      </c>
      <c r="BQ6" s="102">
        <f>+$C39</f>
        <v>0</v>
      </c>
      <c r="BR6" s="102">
        <f>+$C40</f>
        <v>0</v>
      </c>
      <c r="BS6" s="102">
        <f>+$C41</f>
        <v>0</v>
      </c>
    </row>
    <row r="7" spans="2:73" x14ac:dyDescent="0.2">
      <c r="B7" s="89">
        <f>+'Annual Energy Data'!A17</f>
        <v>2017</v>
      </c>
      <c r="C7" s="102">
        <f>+'Annual Energy Data'!I17</f>
        <v>0</v>
      </c>
      <c r="D7" s="102">
        <f>+'Annual Energy Data'!M17</f>
        <v>0</v>
      </c>
      <c r="E7" s="102">
        <f>+'Annual Energy Data'!Q17</f>
        <v>0</v>
      </c>
      <c r="F7" s="102">
        <f>+'Annual Energy Data'!U17</f>
        <v>0</v>
      </c>
      <c r="G7" s="102">
        <f>+'Annual Energy Data'!V17</f>
        <v>0</v>
      </c>
      <c r="H7" s="102">
        <f>+'Annual Energy Data'!W17</f>
        <v>0</v>
      </c>
      <c r="I7" s="102">
        <f>+'Annual Energy Data'!X17</f>
        <v>0</v>
      </c>
      <c r="J7" s="102">
        <f>+'Annual Energy Data'!AD17</f>
        <v>0</v>
      </c>
      <c r="K7" s="102">
        <f>+SUM('Annual Energy Data'!AE17:AH17)</f>
        <v>0</v>
      </c>
      <c r="L7" s="102">
        <f>+'Annual Energy Data'!BD17</f>
        <v>0</v>
      </c>
      <c r="M7" s="102">
        <f>+SUM('Annual Energy Data'!AI17:AJ17)</f>
        <v>0</v>
      </c>
      <c r="N7" s="102">
        <f>+SUM('Annual Energy Data'!AK17:AL17)</f>
        <v>0</v>
      </c>
      <c r="O7" s="102">
        <f>+SUM('Annual Energy Data'!AM17:AN17)</f>
        <v>0</v>
      </c>
      <c r="P7" s="102">
        <f>+'Annual Energy Data'!AO17</f>
        <v>0</v>
      </c>
      <c r="Q7" s="102">
        <f>+'Annual Energy Data'!AP17</f>
        <v>0</v>
      </c>
      <c r="R7" s="102">
        <f>+SUM('Annual Energy Data'!AQ17:BB17)</f>
        <v>0</v>
      </c>
      <c r="S7" s="102">
        <f>+'Annual Energy Data'!BL17</f>
        <v>0</v>
      </c>
      <c r="T7" s="102">
        <f>+'Annual Energy Data'!BM17</f>
        <v>0</v>
      </c>
      <c r="U7" s="102">
        <f>+'Annual Energy Data'!BN17</f>
        <v>0</v>
      </c>
      <c r="V7" s="102">
        <f>+'Annual Energy Data'!BO17</f>
        <v>0</v>
      </c>
      <c r="W7" s="102">
        <f>+'Annual Energy Data'!BP17</f>
        <v>0</v>
      </c>
      <c r="X7" s="102">
        <f>+'Annual Energy Data'!BQ17</f>
        <v>0</v>
      </c>
      <c r="Y7" s="102">
        <f>+'Annual Energy Data'!BR17</f>
        <v>0</v>
      </c>
      <c r="Z7" s="102">
        <f>+'Annual Energy Data'!BS17</f>
        <v>0</v>
      </c>
      <c r="AA7" s="102">
        <f>+'Annual Energy Data'!BJ17</f>
        <v>0</v>
      </c>
      <c r="AB7" s="102">
        <f>+'Annual Energy Data'!BE17</f>
        <v>0</v>
      </c>
      <c r="AC7" s="102">
        <f>+'Annual Energy Data'!BF17</f>
        <v>0</v>
      </c>
      <c r="AD7" s="102">
        <f>+'Annual Energy Data'!BG17</f>
        <v>0</v>
      </c>
      <c r="AE7" s="102">
        <f>+'Annual Energy Data'!BH17</f>
        <v>0</v>
      </c>
      <c r="AF7" s="102">
        <f>+'Annual Energy Data'!BI17</f>
        <v>0</v>
      </c>
      <c r="AG7" s="102">
        <f>+'Annual Energy Data'!BT17</f>
        <v>0</v>
      </c>
      <c r="AH7" s="102">
        <f t="shared" ref="AH7:AH35" si="0">+SUM(J7:AG7)</f>
        <v>0</v>
      </c>
      <c r="AJ7" s="189" t="str">
        <f>+D5</f>
        <v>Pre-Tier 3 Base Load</v>
      </c>
      <c r="AK7" s="102">
        <v>0</v>
      </c>
      <c r="AL7" s="102">
        <v>0</v>
      </c>
      <c r="AM7" s="102">
        <v>465744.69570212759</v>
      </c>
      <c r="AN7" s="102">
        <f>+D9</f>
        <v>0</v>
      </c>
      <c r="AO7" s="102">
        <f>+D10</f>
        <v>0</v>
      </c>
      <c r="AP7" s="102">
        <f>+D11</f>
        <v>0</v>
      </c>
      <c r="AQ7" s="102">
        <f>+D13</f>
        <v>0</v>
      </c>
      <c r="AR7" s="102">
        <f>+D14</f>
        <v>0</v>
      </c>
      <c r="AS7" s="102">
        <f>+D15</f>
        <v>0</v>
      </c>
      <c r="AT7" s="102">
        <f>+D16</f>
        <v>502408.97670733777</v>
      </c>
      <c r="AU7" s="102">
        <f>+D17</f>
        <v>498756.69135139242</v>
      </c>
      <c r="AV7" s="102">
        <f>+D18</f>
        <v>494988.49712604441</v>
      </c>
      <c r="AW7" s="102">
        <f>+D19</f>
        <v>491289.09820659156</v>
      </c>
      <c r="AX7" s="102">
        <f>+D20</f>
        <v>487644.46278569341</v>
      </c>
      <c r="AY7" s="102">
        <f>+D21</f>
        <v>484083.58278629533</v>
      </c>
      <c r="AZ7" s="102">
        <f>+D22</f>
        <v>480525.83181471552</v>
      </c>
      <c r="BA7" s="102">
        <f>+D23</f>
        <v>476974.32985587325</v>
      </c>
      <c r="BB7" s="102">
        <f>+D24</f>
        <v>473472.31749783404</v>
      </c>
      <c r="BC7" s="102">
        <f>+D25</f>
        <v>470011.61204933014</v>
      </c>
      <c r="BD7" s="102">
        <f>+D26</f>
        <v>466555.50545202213</v>
      </c>
      <c r="BE7" s="102">
        <f>+D27</f>
        <v>463165.5637878066</v>
      </c>
      <c r="BF7" s="102">
        <f>+D28</f>
        <v>459775.08900650206</v>
      </c>
      <c r="BG7" s="102">
        <f>+D29</f>
        <v>456392.75929748471</v>
      </c>
      <c r="BH7" s="102">
        <f>+$D30</f>
        <v>453022.66593123681</v>
      </c>
      <c r="BI7" s="102">
        <f>+$D31</f>
        <v>449648.07570648537</v>
      </c>
      <c r="BJ7" s="102">
        <f>+$D32</f>
        <v>446241.10303902789</v>
      </c>
      <c r="BK7" s="102">
        <f>+$D33</f>
        <v>442878.42034922482</v>
      </c>
      <c r="BL7" s="102">
        <f>+$D34</f>
        <v>439445.43328148097</v>
      </c>
      <c r="BM7" s="102">
        <f>+$D35</f>
        <v>436058.31338560343</v>
      </c>
      <c r="BN7" s="102">
        <f>+$D36</f>
        <v>432653.77117503283</v>
      </c>
      <c r="BO7" s="102">
        <f>+$D37</f>
        <v>-2845.5928739609021</v>
      </c>
      <c r="BP7" s="102">
        <f>+$D38</f>
        <v>0</v>
      </c>
      <c r="BQ7" s="102">
        <f>+$D39</f>
        <v>0</v>
      </c>
      <c r="BR7" s="102">
        <f>+$D40</f>
        <v>0</v>
      </c>
      <c r="BS7" s="102">
        <f>+$D41</f>
        <v>0</v>
      </c>
    </row>
    <row r="8" spans="2:73" x14ac:dyDescent="0.2">
      <c r="B8" s="89">
        <f>+'Annual Energy Data'!A18</f>
        <v>2018</v>
      </c>
      <c r="C8" s="102">
        <f>+'Annual Energy Data'!I18</f>
        <v>0</v>
      </c>
      <c r="D8" s="102">
        <f>+'Annual Energy Data'!M18</f>
        <v>0</v>
      </c>
      <c r="E8" s="102">
        <f>+'Annual Energy Data'!Q18</f>
        <v>0</v>
      </c>
      <c r="F8" s="102">
        <f>+'Annual Energy Data'!U18</f>
        <v>0</v>
      </c>
      <c r="G8" s="102">
        <f>+'Annual Energy Data'!V18</f>
        <v>0</v>
      </c>
      <c r="H8" s="102">
        <f>+'Annual Energy Data'!W18</f>
        <v>0</v>
      </c>
      <c r="I8" s="102">
        <f>+'Annual Energy Data'!X18</f>
        <v>2.6666666666666665E-2</v>
      </c>
      <c r="J8" s="102">
        <f>+'Annual Energy Data'!AD18</f>
        <v>0</v>
      </c>
      <c r="K8" s="102">
        <f>+SUM('Annual Energy Data'!AE18:AH18)</f>
        <v>99280</v>
      </c>
      <c r="L8" s="102">
        <f>+'Annual Energy Data'!BD18</f>
        <v>23360</v>
      </c>
      <c r="M8" s="102">
        <f>+SUM('Annual Energy Data'!AI18:AJ18)</f>
        <v>40918.044000000002</v>
      </c>
      <c r="N8" s="102">
        <f>+SUM('Annual Energy Data'!AK18:AL18)</f>
        <v>114.53238095238095</v>
      </c>
      <c r="O8" s="102">
        <f>+SUM('Annual Energy Data'!AM18:AN18)</f>
        <v>17632.709836288723</v>
      </c>
      <c r="P8" s="102">
        <f>+'Annual Energy Data'!AO18</f>
        <v>19193.496000000003</v>
      </c>
      <c r="Q8" s="102">
        <f>+'Annual Energy Data'!AP18</f>
        <v>22207.910499999998</v>
      </c>
      <c r="R8" s="102">
        <f>+SUM('Annual Energy Data'!AQ18:BC18)</f>
        <v>0</v>
      </c>
      <c r="S8" s="102">
        <f>+'Annual Energy Data'!BL18</f>
        <v>78156</v>
      </c>
      <c r="T8" s="102">
        <f>+'Annual Energy Data'!BM18</f>
        <v>43800</v>
      </c>
      <c r="U8" s="102">
        <f>+'Annual Energy Data'!BN18</f>
        <v>54595</v>
      </c>
      <c r="V8" s="102">
        <f>+'Annual Energy Data'!BO18</f>
        <v>0</v>
      </c>
      <c r="W8" s="102">
        <f>+'Annual Energy Data'!BP18</f>
        <v>0</v>
      </c>
      <c r="X8" s="102">
        <f>+'Annual Energy Data'!BQ18</f>
        <v>0</v>
      </c>
      <c r="Y8" s="102">
        <f>+'Annual Energy Data'!BR18</f>
        <v>0</v>
      </c>
      <c r="Z8" s="102">
        <f>+'Annual Energy Data'!BS18</f>
        <v>0</v>
      </c>
      <c r="AA8" s="102">
        <f>+'Annual Energy Data'!BJ18</f>
        <v>0</v>
      </c>
      <c r="AB8" s="102">
        <f>+'Annual Energy Data'!BE18</f>
        <v>1563.5555385546877</v>
      </c>
      <c r="AC8" s="102">
        <f>+'Annual Energy Data'!BF18</f>
        <v>2042.4462658448258</v>
      </c>
      <c r="AD8" s="102">
        <f>+'Annual Energy Data'!BG18</f>
        <v>7391.9241895999985</v>
      </c>
      <c r="AE8" s="102">
        <f>+'Annual Energy Data'!BH18</f>
        <v>0</v>
      </c>
      <c r="AF8" s="102">
        <f>+'Annual Energy Data'!BI18</f>
        <v>0</v>
      </c>
      <c r="AG8" s="102">
        <f>+'Annual Energy Data'!BT18</f>
        <v>0</v>
      </c>
      <c r="AH8" s="102">
        <f t="shared" si="0"/>
        <v>410255.61871124059</v>
      </c>
      <c r="AJ8" s="189" t="str">
        <f>+E5</f>
        <v>Pre-Tier 3 Low Load</v>
      </c>
      <c r="AK8" s="102">
        <v>0</v>
      </c>
      <c r="AL8" s="102">
        <v>0</v>
      </c>
      <c r="AM8" s="102">
        <v>438629.90587728505</v>
      </c>
      <c r="AN8" s="102">
        <f>+E9</f>
        <v>0</v>
      </c>
      <c r="AO8" s="102">
        <f>+E10</f>
        <v>0</v>
      </c>
      <c r="AP8" s="102">
        <f>+E11</f>
        <v>0</v>
      </c>
      <c r="AQ8" s="102">
        <f>+E13</f>
        <v>0</v>
      </c>
      <c r="AR8" s="102">
        <f>+E14</f>
        <v>0</v>
      </c>
      <c r="AS8" s="102">
        <f>+E15</f>
        <v>0</v>
      </c>
      <c r="AT8" s="102">
        <f>+E16</f>
        <v>490021.62668132654</v>
      </c>
      <c r="AU8" s="102">
        <f>+E17</f>
        <v>486369.34132538125</v>
      </c>
      <c r="AV8" s="102">
        <f>+E18</f>
        <v>482601.14710003301</v>
      </c>
      <c r="AW8" s="102">
        <f>+E19</f>
        <v>478876.13441238593</v>
      </c>
      <c r="AX8" s="102">
        <f>+E20</f>
        <v>475257.112759682</v>
      </c>
      <c r="AY8" s="102">
        <f>+E21</f>
        <v>471696.23276028398</v>
      </c>
      <c r="AZ8" s="102">
        <f>+E22</f>
        <v>468138.48178870423</v>
      </c>
      <c r="BA8" s="102">
        <f>+E23</f>
        <v>464561.36606166756</v>
      </c>
      <c r="BB8" s="102">
        <f>+E24</f>
        <v>461084.96747182281</v>
      </c>
      <c r="BC8" s="102">
        <f>+E25</f>
        <v>457624.26202331885</v>
      </c>
      <c r="BD8" s="102">
        <f>+E26</f>
        <v>454168.1554260109</v>
      </c>
      <c r="BE8" s="102">
        <f>+E27</f>
        <v>450752.59999360086</v>
      </c>
      <c r="BF8" s="102">
        <f>+E28</f>
        <v>447387.73898049071</v>
      </c>
      <c r="BG8" s="102">
        <f>+E29</f>
        <v>444005.40927147336</v>
      </c>
      <c r="BH8" s="102">
        <f>+$E30</f>
        <v>440635.31590522564</v>
      </c>
      <c r="BI8" s="102">
        <f>+$E31</f>
        <v>437235.1119122798</v>
      </c>
      <c r="BJ8" s="102">
        <f>+$E32</f>
        <v>433853.75301301666</v>
      </c>
      <c r="BK8" s="102">
        <f>+$E33</f>
        <v>430491.07032321359</v>
      </c>
      <c r="BL8" s="102">
        <f>+$E34</f>
        <v>426830.78577182064</v>
      </c>
      <c r="BM8" s="102">
        <f>+$E35</f>
        <v>423443.66587594297</v>
      </c>
      <c r="BN8" s="102">
        <f>+$E36</f>
        <v>420039.12366537243</v>
      </c>
      <c r="BO8" s="102">
        <f>+$E37</f>
        <v>-15460.240383621356</v>
      </c>
      <c r="BP8" s="102">
        <f>+$E38</f>
        <v>0</v>
      </c>
      <c r="BQ8" s="102">
        <f>+$E39</f>
        <v>0</v>
      </c>
      <c r="BR8" s="102">
        <f>+$E40</f>
        <v>0</v>
      </c>
      <c r="BS8" s="102">
        <f>+$E41</f>
        <v>0</v>
      </c>
    </row>
    <row r="9" spans="2:73" x14ac:dyDescent="0.2">
      <c r="B9" s="89">
        <f>+'Annual Energy Data'!A19</f>
        <v>2019</v>
      </c>
      <c r="C9" s="102">
        <f>+'Annual Energy Data'!I19</f>
        <v>0</v>
      </c>
      <c r="D9" s="102">
        <f>+'Annual Energy Data'!M19</f>
        <v>0</v>
      </c>
      <c r="E9" s="102">
        <f>+'Annual Energy Data'!Q19</f>
        <v>0</v>
      </c>
      <c r="F9" s="102">
        <f>+'Annual Energy Data'!U19</f>
        <v>0</v>
      </c>
      <c r="G9" s="102">
        <f>+'Annual Energy Data'!V19</f>
        <v>0</v>
      </c>
      <c r="H9" s="102">
        <f>+'Annual Energy Data'!W19</f>
        <v>0</v>
      </c>
      <c r="I9" s="102">
        <f>+'Annual Energy Data'!X19</f>
        <v>3.3333333333333333E-2</v>
      </c>
      <c r="J9" s="102">
        <f>+'Annual Energy Data'!AD19</f>
        <v>0</v>
      </c>
      <c r="K9" s="102">
        <f>+SUM('Annual Energy Data'!AE19:AH19)</f>
        <v>99280</v>
      </c>
      <c r="L9" s="102">
        <f>+'Annual Energy Data'!BD19</f>
        <v>23360</v>
      </c>
      <c r="M9" s="102">
        <f>+SUM('Annual Energy Data'!AI19:AJ19)</f>
        <v>41031.343000000001</v>
      </c>
      <c r="N9" s="102">
        <f>+SUM('Annual Energy Data'!AK19:AL19)</f>
        <v>115.78714812723508</v>
      </c>
      <c r="O9" s="102">
        <f>+SUM('Annual Energy Data'!AM19:AN19)</f>
        <v>15874.185414029775</v>
      </c>
      <c r="P9" s="102">
        <f>+'Annual Energy Data'!AO19</f>
        <v>21852.818120600001</v>
      </c>
      <c r="Q9" s="102">
        <f>+'Annual Energy Data'!AP19</f>
        <v>21870.601500000001</v>
      </c>
      <c r="R9" s="102">
        <f>+SUM('Annual Energy Data'!AQ19:BC19)</f>
        <v>0</v>
      </c>
      <c r="S9" s="102">
        <f>+'Annual Energy Data'!BL19</f>
        <v>85410</v>
      </c>
      <c r="T9" s="102">
        <f>+'Annual Energy Data'!BM19</f>
        <v>43800</v>
      </c>
      <c r="U9" s="102">
        <f>+'Annual Energy Data'!BN19</f>
        <v>43800</v>
      </c>
      <c r="V9" s="102">
        <f>+'Annual Energy Data'!BO19</f>
        <v>0</v>
      </c>
      <c r="W9" s="102">
        <f>+'Annual Energy Data'!BP19</f>
        <v>48.620000000000005</v>
      </c>
      <c r="X9" s="102">
        <f>+'Annual Energy Data'!BQ19</f>
        <v>0</v>
      </c>
      <c r="Y9" s="102">
        <f>+'Annual Energy Data'!BR19</f>
        <v>0</v>
      </c>
      <c r="Z9" s="102">
        <f>+'Annual Energy Data'!BS19</f>
        <v>0</v>
      </c>
      <c r="AA9" s="102">
        <f>+'Annual Energy Data'!BJ19</f>
        <v>0</v>
      </c>
      <c r="AB9" s="102">
        <f>+'Annual Energy Data'!BE19</f>
        <v>1555.7377608619142</v>
      </c>
      <c r="AC9" s="102">
        <f>+'Annual Energy Data'!BF19</f>
        <v>2032.2340345156022</v>
      </c>
      <c r="AD9" s="102">
        <f>+'Annual Energy Data'!BG19</f>
        <v>7354.9645686519989</v>
      </c>
      <c r="AE9" s="102">
        <f>+'Annual Energy Data'!BH19</f>
        <v>104.27841821299998</v>
      </c>
      <c r="AF9" s="102">
        <f>+'Annual Energy Data'!BI19</f>
        <v>110.30647615900003</v>
      </c>
      <c r="AG9" s="102">
        <f>+'Annual Energy Data'!BT19</f>
        <v>0</v>
      </c>
      <c r="AH9" s="102">
        <f t="shared" si="0"/>
        <v>407600.87644115859</v>
      </c>
      <c r="AJ9" s="189" t="str">
        <f>+F5</f>
        <v>VELCO Forecast</v>
      </c>
      <c r="AK9" s="102">
        <v>0</v>
      </c>
      <c r="AL9" s="102">
        <v>0</v>
      </c>
      <c r="AM9" s="102">
        <v>494141.41347383009</v>
      </c>
      <c r="AN9" s="102">
        <f>+F9</f>
        <v>0</v>
      </c>
      <c r="AO9" s="102">
        <f>+F10</f>
        <v>0</v>
      </c>
      <c r="AP9" s="102">
        <f>+F11</f>
        <v>0</v>
      </c>
      <c r="AQ9" s="102">
        <f>+F13</f>
        <v>0</v>
      </c>
      <c r="AR9" s="102">
        <f>+F14</f>
        <v>0</v>
      </c>
      <c r="AS9" s="102">
        <f>+F15</f>
        <v>0</v>
      </c>
      <c r="AT9" s="102">
        <f>+F16</f>
        <v>516859.55797777255</v>
      </c>
      <c r="AU9" s="102">
        <f>+F17</f>
        <v>534404.08729551674</v>
      </c>
      <c r="AV9" s="102">
        <f>+F18</f>
        <v>547481.26902155788</v>
      </c>
      <c r="AW9" s="102">
        <f>+F19</f>
        <v>562334.2564463201</v>
      </c>
      <c r="AX9" s="102">
        <f>+F20</f>
        <v>579139.85812221037</v>
      </c>
      <c r="AY9" s="102">
        <f>+F21</f>
        <v>597537.20891604316</v>
      </c>
      <c r="AZ9" s="102">
        <f>+F22</f>
        <v>616126.88040439831</v>
      </c>
      <c r="BA9" s="102">
        <f>+F23</f>
        <v>634675.02635726519</v>
      </c>
      <c r="BB9" s="102">
        <f>+F24</f>
        <v>652630.18622720416</v>
      </c>
      <c r="BC9" s="102">
        <f>+F25</f>
        <v>669823.98617135419</v>
      </c>
      <c r="BD9" s="102">
        <f>+F26</f>
        <v>684634.91834434343</v>
      </c>
      <c r="BE9" s="102">
        <f>+F27</f>
        <v>696152.57991366449</v>
      </c>
      <c r="BF9" s="102">
        <f>+F28</f>
        <v>704881.09830864915</v>
      </c>
      <c r="BG9" s="102">
        <f>+F29</f>
        <v>711330.67528154957</v>
      </c>
      <c r="BH9" s="102">
        <f>+$F30</f>
        <v>716120.86595409201</v>
      </c>
      <c r="BI9" s="102">
        <f>+$F31</f>
        <v>719620.63688443974</v>
      </c>
      <c r="BJ9" s="102">
        <f>+$F32</f>
        <v>722223.80304426048</v>
      </c>
      <c r="BK9" s="102">
        <f>+$F33</f>
        <v>723086.74512119894</v>
      </c>
      <c r="BL9" s="102">
        <f>+$F34</f>
        <v>722234.8835808289</v>
      </c>
      <c r="BM9" s="102">
        <f>+$F35</f>
        <v>721107.35357227386</v>
      </c>
      <c r="BN9" s="102">
        <f>+$F36</f>
        <v>719961.51587993989</v>
      </c>
      <c r="BO9" s="102">
        <f>+$F37</f>
        <v>-2845.5928739609021</v>
      </c>
      <c r="BP9" s="102">
        <f>+$F38</f>
        <v>0</v>
      </c>
      <c r="BQ9" s="102">
        <f>+$F39</f>
        <v>0</v>
      </c>
      <c r="BR9" s="102">
        <f>+$F40</f>
        <v>0</v>
      </c>
      <c r="BS9" s="102">
        <f>+$F41</f>
        <v>0</v>
      </c>
    </row>
    <row r="10" spans="2:73" x14ac:dyDescent="0.2">
      <c r="B10" s="89">
        <f>+'Annual Energy Data'!A20</f>
        <v>2020</v>
      </c>
      <c r="C10" s="102">
        <f>+'Annual Energy Data'!I20</f>
        <v>0</v>
      </c>
      <c r="D10" s="102">
        <f>+'Annual Energy Data'!M20</f>
        <v>0</v>
      </c>
      <c r="E10" s="102">
        <f>+'Annual Energy Data'!Q20</f>
        <v>0</v>
      </c>
      <c r="F10" s="102">
        <f>+'Annual Energy Data'!U20</f>
        <v>0</v>
      </c>
      <c r="G10" s="102">
        <f>+'Annual Energy Data'!V20</f>
        <v>0</v>
      </c>
      <c r="H10" s="102">
        <f>+'Annual Energy Data'!W20</f>
        <v>0</v>
      </c>
      <c r="I10" s="102">
        <f>+'Annual Energy Data'!X20</f>
        <v>0.04</v>
      </c>
      <c r="J10" s="102">
        <f>+'Annual Energy Data'!AD20</f>
        <v>0</v>
      </c>
      <c r="K10" s="102">
        <f>+SUM('Annual Energy Data'!AE20:AH20)</f>
        <v>102480</v>
      </c>
      <c r="L10" s="102">
        <f>+'Annual Energy Data'!BD20</f>
        <v>23424</v>
      </c>
      <c r="M10" s="102">
        <f>+SUM('Annual Energy Data'!AI20:AJ20)</f>
        <v>41031.343000000001</v>
      </c>
      <c r="N10" s="102">
        <f>+SUM('Annual Energy Data'!AK20:AL20)</f>
        <v>115.78714812723508</v>
      </c>
      <c r="O10" s="102">
        <f>+SUM('Annual Energy Data'!AM20:AN20)</f>
        <v>15824.970593071879</v>
      </c>
      <c r="P10" s="102">
        <f>+'Annual Energy Data'!AO20</f>
        <v>21852.818120600001</v>
      </c>
      <c r="Q10" s="102">
        <f>+'Annual Energy Data'!AP20</f>
        <v>21870.601500000001</v>
      </c>
      <c r="R10" s="102">
        <f>+SUM('Annual Energy Data'!AQ20:BC20)</f>
        <v>0</v>
      </c>
      <c r="S10" s="102">
        <f>+'Annual Energy Data'!BL20</f>
        <v>78624</v>
      </c>
      <c r="T10" s="102">
        <f>+'Annual Energy Data'!BM20</f>
        <v>43920</v>
      </c>
      <c r="U10" s="102">
        <f>+'Annual Energy Data'!BN20</f>
        <v>43920</v>
      </c>
      <c r="V10" s="102">
        <f>+'Annual Energy Data'!BO20</f>
        <v>0</v>
      </c>
      <c r="W10" s="102">
        <f>+'Annual Energy Data'!BP20</f>
        <v>48.620000000000005</v>
      </c>
      <c r="X10" s="102">
        <f>+'Annual Energy Data'!BQ20</f>
        <v>0</v>
      </c>
      <c r="Y10" s="102">
        <f>+'Annual Energy Data'!BR20</f>
        <v>1609</v>
      </c>
      <c r="Z10" s="102">
        <f>+'Annual Energy Data'!BS20</f>
        <v>0</v>
      </c>
      <c r="AA10" s="102">
        <f>+'Annual Energy Data'!BJ20</f>
        <v>0</v>
      </c>
      <c r="AB10" s="102">
        <f>+'Annual Energy Data'!BE20</f>
        <v>1547.9590720576043</v>
      </c>
      <c r="AC10" s="102">
        <f>+'Annual Energy Data'!BF20</f>
        <v>2022.0728643430239</v>
      </c>
      <c r="AD10" s="102">
        <f>+'Annual Energy Data'!BG20</f>
        <v>7318.1897458087387</v>
      </c>
      <c r="AE10" s="102">
        <f>+'Annual Energy Data'!BH20</f>
        <v>2496.0633875839344</v>
      </c>
      <c r="AF10" s="102">
        <f>+'Annual Energy Data'!BI20</f>
        <v>2730.1972840272051</v>
      </c>
      <c r="AG10" s="102">
        <f>+'Annual Energy Data'!BT20</f>
        <v>0</v>
      </c>
      <c r="AH10" s="102">
        <f t="shared" si="0"/>
        <v>410835.62271561957</v>
      </c>
      <c r="AJ10" s="189" t="str">
        <f>G5</f>
        <v>Climate Action Plan Forecast</v>
      </c>
      <c r="AK10" s="102">
        <v>0</v>
      </c>
      <c r="AL10" s="102">
        <v>0</v>
      </c>
      <c r="AM10" s="102">
        <v>465744.69570212759</v>
      </c>
      <c r="AN10" s="102">
        <f>+G9</f>
        <v>0</v>
      </c>
      <c r="AO10" s="102">
        <f>+G10</f>
        <v>0</v>
      </c>
      <c r="AP10" s="102">
        <f>+G11</f>
        <v>0</v>
      </c>
      <c r="AQ10" s="102">
        <f>+G13</f>
        <v>0</v>
      </c>
      <c r="AR10" s="102">
        <f>+G14</f>
        <v>0</v>
      </c>
      <c r="AS10" s="102">
        <f>+G15</f>
        <v>0</v>
      </c>
      <c r="AT10" s="102">
        <f>+G16</f>
        <v>526009.68119384581</v>
      </c>
      <c r="AU10" s="102">
        <f>+G17</f>
        <v>551119.24048483884</v>
      </c>
      <c r="AV10" s="102">
        <f>+G18</f>
        <v>561801.20006497123</v>
      </c>
      <c r="AW10" s="102">
        <f>+G19</f>
        <v>574238.09425297996</v>
      </c>
      <c r="AX10" s="102">
        <f>+G20</f>
        <v>588925.42292387283</v>
      </c>
      <c r="AY10" s="102">
        <f>+G21</f>
        <v>604371.2686899699</v>
      </c>
      <c r="AZ10" s="102">
        <f>+G22</f>
        <v>620873.47339124524</v>
      </c>
      <c r="BA10" s="102">
        <f>+G23</f>
        <v>638688.24670604919</v>
      </c>
      <c r="BB10" s="102">
        <f>+G24</f>
        <v>657164.28327400493</v>
      </c>
      <c r="BC10" s="102">
        <f>+G25</f>
        <v>676250.96556458564</v>
      </c>
      <c r="BD10" s="102">
        <f>+G26</f>
        <v>695043.4194148333</v>
      </c>
      <c r="BE10" s="102">
        <f>+G27</f>
        <v>713975.43825101119</v>
      </c>
      <c r="BF10" s="102">
        <f>+G28</f>
        <v>733141.30112139042</v>
      </c>
      <c r="BG10" s="102">
        <f>+G29</f>
        <v>751528.19713254215</v>
      </c>
      <c r="BH10" s="102">
        <f>+$G30</f>
        <v>768552.28858287516</v>
      </c>
      <c r="BI10" s="102">
        <f>+$G31</f>
        <v>782587.65066748532</v>
      </c>
      <c r="BJ10" s="102">
        <f>+$G32</f>
        <v>793532.27899898123</v>
      </c>
      <c r="BK10" s="102">
        <f>+$G33</f>
        <v>803176.88283081586</v>
      </c>
      <c r="BL10" s="102">
        <f>+$G34</f>
        <v>812434.2463305915</v>
      </c>
      <c r="BM10" s="102">
        <f>+$G35</f>
        <v>821737.4770022328</v>
      </c>
      <c r="BN10" s="102">
        <f>+$G36</f>
        <v>831023.28535918146</v>
      </c>
      <c r="BO10" s="102">
        <f>+$G37</f>
        <v>-2845.5928739609021</v>
      </c>
      <c r="BP10" s="102">
        <f>+$G38</f>
        <v>0</v>
      </c>
      <c r="BQ10" s="102">
        <f>+$G39</f>
        <v>0</v>
      </c>
      <c r="BR10" s="102">
        <f>+$G40</f>
        <v>0</v>
      </c>
      <c r="BS10" s="102">
        <f>+$G41</f>
        <v>0</v>
      </c>
    </row>
    <row r="11" spans="2:73" x14ac:dyDescent="0.2">
      <c r="B11" s="89">
        <f>+'Annual Energy Data'!A21</f>
        <v>2021</v>
      </c>
      <c r="C11" s="102">
        <f>+'Annual Energy Data'!I21</f>
        <v>0</v>
      </c>
      <c r="D11" s="102">
        <f>+'Annual Energy Data'!M21</f>
        <v>0</v>
      </c>
      <c r="E11" s="102">
        <f>+'Annual Energy Data'!Q21</f>
        <v>0</v>
      </c>
      <c r="F11" s="102">
        <f>+'Annual Energy Data'!U21</f>
        <v>0</v>
      </c>
      <c r="G11" s="102">
        <f>+'Annual Energy Data'!V21</f>
        <v>0</v>
      </c>
      <c r="H11" s="102">
        <f>+'Annual Energy Data'!W21</f>
        <v>0</v>
      </c>
      <c r="I11" s="102">
        <f>+'Annual Energy Data'!X21</f>
        <v>4.6666666666666669E-2</v>
      </c>
      <c r="J11" s="102">
        <f>+'Annual Energy Data'!AD21</f>
        <v>0</v>
      </c>
      <c r="K11" s="102">
        <f>+SUM('Annual Energy Data'!AE21:AH21)</f>
        <v>116800</v>
      </c>
      <c r="L11" s="102">
        <f>+'Annual Energy Data'!BD21</f>
        <v>23360</v>
      </c>
      <c r="M11" s="102">
        <f>+SUM('Annual Energy Data'!AI21:AJ21)</f>
        <v>41031.343000000001</v>
      </c>
      <c r="N11" s="102">
        <f>+SUM('Annual Energy Data'!AK21:AL21)</f>
        <v>115.78714812723508</v>
      </c>
      <c r="O11" s="102">
        <f>+SUM('Annual Energy Data'!AM21:AN21)</f>
        <v>13621.04375112</v>
      </c>
      <c r="P11" s="102">
        <f>+'Annual Energy Data'!AO21</f>
        <v>21852.818120600001</v>
      </c>
      <c r="Q11" s="102">
        <f>+'Annual Energy Data'!AP21</f>
        <v>17159.5815</v>
      </c>
      <c r="R11" s="102">
        <f>+SUM('Annual Energy Data'!AQ21:BC21)</f>
        <v>0</v>
      </c>
      <c r="S11" s="102">
        <f>+'Annual Energy Data'!BL21</f>
        <v>78156</v>
      </c>
      <c r="T11" s="102">
        <f>+'Annual Energy Data'!BM21</f>
        <v>0</v>
      </c>
      <c r="U11" s="102">
        <f>+'Annual Energy Data'!BN21</f>
        <v>0</v>
      </c>
      <c r="V11" s="102">
        <f>+'Annual Energy Data'!BO21</f>
        <v>0</v>
      </c>
      <c r="W11" s="102">
        <f>+'Annual Energy Data'!BP21</f>
        <v>48.620000000000005</v>
      </c>
      <c r="X11" s="102">
        <f>+'Annual Energy Data'!BQ21</f>
        <v>0</v>
      </c>
      <c r="Y11" s="102">
        <f>+'Annual Energy Data'!BR21</f>
        <v>8618</v>
      </c>
      <c r="Z11" s="102">
        <f>+'Annual Energy Data'!BS21</f>
        <v>0</v>
      </c>
      <c r="AA11" s="102">
        <f>+'Annual Energy Data'!BJ21</f>
        <v>0</v>
      </c>
      <c r="AB11" s="102">
        <f>+'Annual Energy Data'!BE21</f>
        <v>1540.2192766973164</v>
      </c>
      <c r="AC11" s="102">
        <f>+'Annual Energy Data'!BF21</f>
        <v>2011.9625000213089</v>
      </c>
      <c r="AD11" s="102">
        <f>+'Annual Energy Data'!BG21</f>
        <v>7281.5987970796941</v>
      </c>
      <c r="AE11" s="102">
        <f>+'Annual Energy Data'!BH21</f>
        <v>2483.5830706460142</v>
      </c>
      <c r="AF11" s="102">
        <f>+'Annual Energy Data'!BI21</f>
        <v>2716.5462976070689</v>
      </c>
      <c r="AG11" s="102">
        <f>+'Annual Energy Data'!BT21</f>
        <v>0</v>
      </c>
      <c r="AH11" s="102">
        <f t="shared" si="0"/>
        <v>336797.10346189869</v>
      </c>
      <c r="AJ11" s="189" t="str">
        <f>H5</f>
        <v>VEC Forecast</v>
      </c>
      <c r="AK11" s="102">
        <v>0</v>
      </c>
      <c r="AL11" s="102">
        <v>0</v>
      </c>
      <c r="AM11" s="102">
        <v>438629.90587728505</v>
      </c>
      <c r="AN11" s="102">
        <f>+H9</f>
        <v>0</v>
      </c>
      <c r="AO11" s="102">
        <f>+H10</f>
        <v>0</v>
      </c>
      <c r="AP11" s="102">
        <f>+H11</f>
        <v>0</v>
      </c>
      <c r="AQ11" s="102">
        <f>+H13</f>
        <v>0</v>
      </c>
      <c r="AR11" s="102">
        <f>+H14</f>
        <v>0</v>
      </c>
      <c r="AS11" s="102">
        <f>+H15</f>
        <v>0</v>
      </c>
      <c r="AT11" s="102">
        <f>+H16</f>
        <v>505793.67081498448</v>
      </c>
      <c r="AU11" s="102">
        <f>+H17</f>
        <v>509047.36339775816</v>
      </c>
      <c r="AV11" s="102">
        <f>+H18</f>
        <v>513021.74839042296</v>
      </c>
      <c r="AW11" s="102">
        <f>+H19</f>
        <v>518347.88756713568</v>
      </c>
      <c r="AX11" s="102">
        <f>+H20</f>
        <v>525077.80000335269</v>
      </c>
      <c r="AY11" s="102">
        <f>+H21</f>
        <v>533253.6763444189</v>
      </c>
      <c r="AZ11" s="102">
        <f>+H22</f>
        <v>542625.64259943168</v>
      </c>
      <c r="BA11" s="102">
        <f>+H23</f>
        <v>553259.15443177917</v>
      </c>
      <c r="BB11" s="102">
        <f>+H24</f>
        <v>565231.52055125812</v>
      </c>
      <c r="BC11" s="102">
        <f>+H25</f>
        <v>578445.00235747173</v>
      </c>
      <c r="BD11" s="102">
        <f>+H26</f>
        <v>592612.44988284016</v>
      </c>
      <c r="BE11" s="102">
        <f>+H27</f>
        <v>606943.02648805513</v>
      </c>
      <c r="BF11" s="102">
        <f>+H28</f>
        <v>620684.50300369866</v>
      </c>
      <c r="BG11" s="102">
        <f>+H29</f>
        <v>633249.93557360559</v>
      </c>
      <c r="BH11" s="102">
        <f>+$H30</f>
        <v>644213.49095807108</v>
      </c>
      <c r="BI11" s="102">
        <f>+$H31</f>
        <v>653337.7248376013</v>
      </c>
      <c r="BJ11" s="102">
        <f>+$H32</f>
        <v>660621.06578335713</v>
      </c>
      <c r="BK11" s="102">
        <f>+$H33</f>
        <v>666546.80842870963</v>
      </c>
      <c r="BL11" s="102">
        <f>+$H34</f>
        <v>671206.74217600585</v>
      </c>
      <c r="BM11" s="102">
        <f>+$H35</f>
        <v>674974.23564273154</v>
      </c>
      <c r="BN11" s="102">
        <f>+$H36</f>
        <v>678117.52073805872</v>
      </c>
      <c r="BO11" s="102">
        <f>+$H37</f>
        <v>-2845.5928739609021</v>
      </c>
      <c r="BP11" s="102">
        <f>+$H38</f>
        <v>0</v>
      </c>
      <c r="BQ11" s="102">
        <f>+$H39</f>
        <v>0</v>
      </c>
      <c r="BR11" s="102">
        <f>+$H40</f>
        <v>0</v>
      </c>
      <c r="BS11" s="102">
        <f>+$H41</f>
        <v>0</v>
      </c>
      <c r="BU11" s="58">
        <f>+I17</f>
        <v>530083.30194129853</v>
      </c>
    </row>
    <row r="12" spans="2:73" x14ac:dyDescent="0.2">
      <c r="B12" s="89"/>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J12" s="189" t="str">
        <f>+I5</f>
        <v>Average of High and Low</v>
      </c>
      <c r="AK12" s="102"/>
      <c r="AL12" s="102"/>
      <c r="AM12" s="102"/>
      <c r="AN12" s="102"/>
      <c r="AO12" s="102"/>
      <c r="AP12" s="102"/>
      <c r="AQ12" s="102"/>
      <c r="AR12" s="102"/>
      <c r="AS12" s="102"/>
      <c r="AT12" s="102">
        <f>+I16</f>
        <v>515901.67600441509</v>
      </c>
      <c r="AU12" s="102">
        <f>+I17</f>
        <v>530083.30194129853</v>
      </c>
      <c r="AV12" s="102">
        <f>+I18</f>
        <v>537411.47422769712</v>
      </c>
      <c r="AW12" s="102">
        <f>+I19</f>
        <v>546355.61978096631</v>
      </c>
      <c r="AX12" s="102">
        <f>+I20</f>
        <v>557418.58564397157</v>
      </c>
      <c r="AY12" s="102">
        <f>+I21</f>
        <v>569764.86950471113</v>
      </c>
      <c r="AZ12" s="102">
        <f>+I22</f>
        <v>583269.79633506981</v>
      </c>
      <c r="BA12" s="102">
        <f>+I23</f>
        <v>597913.40558074613</v>
      </c>
      <c r="BB12" s="102">
        <f>+I24</f>
        <v>613245.56971877045</v>
      </c>
      <c r="BC12" s="102">
        <f>+I25</f>
        <v>629247.53521484334</v>
      </c>
      <c r="BD12" s="102">
        <f>+I26</f>
        <v>645238.93182251533</v>
      </c>
      <c r="BE12" s="102">
        <f>+I27</f>
        <v>661055.20211911167</v>
      </c>
      <c r="BF12" s="102">
        <f>+I28</f>
        <v>676969.75413824874</v>
      </c>
      <c r="BG12" s="102">
        <f>+I29</f>
        <v>692389.06635307381</v>
      </c>
      <c r="BH12" s="102">
        <f>+I30</f>
        <v>706382.88977047312</v>
      </c>
      <c r="BI12" s="102">
        <f>+I31</f>
        <v>717962.68775254325</v>
      </c>
      <c r="BJ12" s="102">
        <f>+I32</f>
        <v>727076.67239116912</v>
      </c>
      <c r="BK12" s="102">
        <f>+I33</f>
        <v>734861.84562976263</v>
      </c>
      <c r="BL12" s="102">
        <f>+I34</f>
        <v>741820.4942532985</v>
      </c>
      <c r="BM12" s="102">
        <f>+I35</f>
        <v>748355.85632248223</v>
      </c>
      <c r="BN12" s="102">
        <f>+I36</f>
        <v>754570.40304862009</v>
      </c>
      <c r="BO12" s="102">
        <f>+I37</f>
        <v>-2845.5928739609021</v>
      </c>
      <c r="BP12" s="102">
        <f>+I38</f>
        <v>0</v>
      </c>
      <c r="BQ12" s="102">
        <f>+I39</f>
        <v>0</v>
      </c>
      <c r="BR12" s="102">
        <f>+I40</f>
        <v>0</v>
      </c>
      <c r="BS12" s="102">
        <f>+I41</f>
        <v>0</v>
      </c>
      <c r="BU12" s="58">
        <f t="shared" ref="BU12:BU32" si="1">+I18</f>
        <v>537411.47422769712</v>
      </c>
    </row>
    <row r="13" spans="2:73" x14ac:dyDescent="0.2">
      <c r="B13" s="89">
        <f>+'Annual Energy Data'!A22</f>
        <v>2022</v>
      </c>
      <c r="C13" s="102">
        <f>+'Annual Energy Data'!I22</f>
        <v>0</v>
      </c>
      <c r="D13" s="102">
        <f>+'Annual Energy Data'!M22</f>
        <v>0</v>
      </c>
      <c r="E13" s="102">
        <f>+'Annual Energy Data'!Q22</f>
        <v>0</v>
      </c>
      <c r="F13" s="102">
        <f>+'Annual Energy Data'!U22</f>
        <v>0</v>
      </c>
      <c r="G13" s="102">
        <f>+'Annual Energy Data'!V22</f>
        <v>0</v>
      </c>
      <c r="H13" s="102">
        <f>+'Annual Energy Data'!W22</f>
        <v>0</v>
      </c>
      <c r="I13" s="102">
        <f>+'Annual Energy Data'!X22</f>
        <v>0</v>
      </c>
      <c r="J13" s="102">
        <f>+'Annual Energy Data'!AD22</f>
        <v>39408</v>
      </c>
      <c r="K13" s="102">
        <f>+SUM('Annual Energy Data'!AE22:AH22)</f>
        <v>116800</v>
      </c>
      <c r="L13" s="102">
        <f>+'Annual Energy Data'!BD22</f>
        <v>23360</v>
      </c>
      <c r="M13" s="102">
        <f>+SUM('Annual Energy Data'!AI22:AJ22)</f>
        <v>45987.603000000003</v>
      </c>
      <c r="N13" s="102">
        <f>+SUM('Annual Energy Data'!AK22:AL22)</f>
        <v>117.99440512820513</v>
      </c>
      <c r="O13" s="102">
        <f>+SUM('Annual Energy Data'!AM22:AN22)</f>
        <v>13626.101309630476</v>
      </c>
      <c r="P13" s="102">
        <f>+'Annual Energy Data'!AO22</f>
        <v>21326.281999999999</v>
      </c>
      <c r="Q13" s="102">
        <f>+'Annual Energy Data'!AP22</f>
        <v>0</v>
      </c>
      <c r="R13" s="102">
        <f>+SUM('Annual Energy Data'!AQ22:BC22)</f>
        <v>16286.751514004407</v>
      </c>
      <c r="S13" s="102">
        <f>+'Annual Energy Data'!BL22</f>
        <v>85410</v>
      </c>
      <c r="T13" s="102">
        <f>+'Annual Energy Data'!BM22</f>
        <v>18282.3</v>
      </c>
      <c r="U13" s="102">
        <f>+'Annual Energy Data'!BN22</f>
        <v>0</v>
      </c>
      <c r="V13" s="102">
        <f>+'Annual Energy Data'!BO22</f>
        <v>0</v>
      </c>
      <c r="W13" s="102">
        <f>+'Annual Energy Data'!BP22</f>
        <v>52.536120000000011</v>
      </c>
      <c r="X13" s="102">
        <f>+'Annual Energy Data'!BQ22</f>
        <v>0</v>
      </c>
      <c r="Y13" s="102">
        <f>+'Annual Energy Data'!BR22</f>
        <v>15293</v>
      </c>
      <c r="Z13" s="102">
        <f>+'Annual Energy Data'!BS22</f>
        <v>0</v>
      </c>
      <c r="AA13" s="102">
        <f>+'Annual Energy Data'!BJ22</f>
        <v>0</v>
      </c>
      <c r="AB13" s="102">
        <f>+'Annual Energy Data'!BE22</f>
        <v>1532.51818031383</v>
      </c>
      <c r="AC13" s="102">
        <f>+'Annual Energy Data'!BF22</f>
        <v>2001.9026875212026</v>
      </c>
      <c r="AD13" s="102">
        <f>+'Annual Energy Data'!BG22</f>
        <v>7245.1908030942959</v>
      </c>
      <c r="AE13" s="102">
        <f>+'Annual Energy Data'!BH22</f>
        <v>2482.2026793876735</v>
      </c>
      <c r="AF13" s="102">
        <f>+'Annual Energy Data'!BI22</f>
        <v>2723.0291845376846</v>
      </c>
      <c r="AG13" s="102">
        <f>+'Annual Energy Data'!BT22</f>
        <v>0</v>
      </c>
      <c r="AH13" s="102">
        <f t="shared" si="0"/>
        <v>411935.41188361781</v>
      </c>
      <c r="AJ13" s="189" t="str">
        <f>+J5</f>
        <v>HQ 2021-2023</v>
      </c>
      <c r="AK13" s="102">
        <v>0</v>
      </c>
      <c r="AL13" s="102">
        <v>0</v>
      </c>
      <c r="AM13" s="102">
        <v>37258.469999999994</v>
      </c>
      <c r="AN13" s="102">
        <f>+J9</f>
        <v>0</v>
      </c>
      <c r="AO13" s="102">
        <f>+J10</f>
        <v>0</v>
      </c>
      <c r="AP13" s="102">
        <f>+J11</f>
        <v>0</v>
      </c>
      <c r="AQ13" s="102">
        <f>+J13</f>
        <v>39408</v>
      </c>
      <c r="AR13" s="102">
        <f>+J14</f>
        <v>39408</v>
      </c>
      <c r="AS13" s="102">
        <f>+J15</f>
        <v>0</v>
      </c>
      <c r="AT13" s="102">
        <f>+J16</f>
        <v>0</v>
      </c>
      <c r="AU13" s="102">
        <f>+J17</f>
        <v>0</v>
      </c>
      <c r="AV13" s="102">
        <f>+J18</f>
        <v>0</v>
      </c>
      <c r="AW13" s="102">
        <f>+J19</f>
        <v>0</v>
      </c>
      <c r="AX13" s="102">
        <f>J20</f>
        <v>0</v>
      </c>
      <c r="AY13" s="102">
        <f>+J21</f>
        <v>0</v>
      </c>
      <c r="AZ13" s="102">
        <f>+J22</f>
        <v>0</v>
      </c>
      <c r="BA13" s="102">
        <f>+J23</f>
        <v>0</v>
      </c>
      <c r="BB13" s="102">
        <f>+J24</f>
        <v>0</v>
      </c>
      <c r="BC13" s="102">
        <f>+J25</f>
        <v>0</v>
      </c>
      <c r="BD13" s="102">
        <f>+J26</f>
        <v>0</v>
      </c>
      <c r="BE13" s="102">
        <f>+J27</f>
        <v>0</v>
      </c>
      <c r="BF13" s="102">
        <f>+J28</f>
        <v>0</v>
      </c>
      <c r="BG13" s="102">
        <f>+J29</f>
        <v>0</v>
      </c>
      <c r="BH13" s="102">
        <f>+$J30</f>
        <v>0</v>
      </c>
      <c r="BI13" s="102">
        <f>+$J31</f>
        <v>0</v>
      </c>
      <c r="BJ13" s="102">
        <f>+$J32</f>
        <v>0</v>
      </c>
      <c r="BK13" s="102">
        <f>+$J33</f>
        <v>0</v>
      </c>
      <c r="BL13" s="102">
        <f>+$J34</f>
        <v>0</v>
      </c>
      <c r="BM13" s="102">
        <f>+$J35</f>
        <v>0</v>
      </c>
      <c r="BN13" s="102">
        <f>+$J36</f>
        <v>0</v>
      </c>
      <c r="BO13" s="102">
        <f>+$J37</f>
        <v>0</v>
      </c>
      <c r="BP13" s="102">
        <f>+$J38</f>
        <v>0</v>
      </c>
      <c r="BQ13" s="102">
        <f>+$J39</f>
        <v>0</v>
      </c>
      <c r="BR13" s="102">
        <f>+$J40</f>
        <v>0</v>
      </c>
      <c r="BS13" s="102">
        <f>+$J41</f>
        <v>0</v>
      </c>
      <c r="BU13" s="58">
        <f t="shared" si="1"/>
        <v>546355.61978096631</v>
      </c>
    </row>
    <row r="14" spans="2:73" x14ac:dyDescent="0.2">
      <c r="B14" s="89">
        <f>+'Annual Energy Data'!A23</f>
        <v>2023</v>
      </c>
      <c r="C14" s="102">
        <f>+'Annual Energy Data'!I23</f>
        <v>0</v>
      </c>
      <c r="D14" s="102">
        <f>+'Annual Energy Data'!M23</f>
        <v>0</v>
      </c>
      <c r="E14" s="102">
        <f>+'Annual Energy Data'!Q23</f>
        <v>0</v>
      </c>
      <c r="F14" s="102">
        <f>+'Annual Energy Data'!U23</f>
        <v>0</v>
      </c>
      <c r="G14" s="102">
        <f>+'Annual Energy Data'!V23</f>
        <v>0</v>
      </c>
      <c r="H14" s="102">
        <f>+'Annual Energy Data'!W23</f>
        <v>0</v>
      </c>
      <c r="I14" s="102">
        <f>+'Annual Energy Data'!X23</f>
        <v>0</v>
      </c>
      <c r="J14" s="102">
        <f>+'Annual Energy Data'!AD23</f>
        <v>39408</v>
      </c>
      <c r="K14" s="102">
        <f>+SUM('Annual Energy Data'!AE23:AH23)</f>
        <v>116800</v>
      </c>
      <c r="L14" s="102">
        <f>+'Annual Energy Data'!BD23</f>
        <v>16512</v>
      </c>
      <c r="M14" s="102">
        <f>+SUM('Annual Energy Data'!AI23:AJ23)</f>
        <v>45987.603000000003</v>
      </c>
      <c r="N14" s="102">
        <f>+SUM('Annual Energy Data'!AK23:AL23)</f>
        <v>117.99440512820513</v>
      </c>
      <c r="O14" s="102">
        <f>+SUM('Annual Energy Data'!AM23:AN23)</f>
        <v>13626.101309630476</v>
      </c>
      <c r="P14" s="102">
        <f>+'Annual Energy Data'!AO23</f>
        <v>21326.281999999999</v>
      </c>
      <c r="Q14" s="102">
        <f>+'Annual Energy Data'!AP23</f>
        <v>7822.4674999999988</v>
      </c>
      <c r="R14" s="102">
        <f>+SUM('Annual Energy Data'!AQ23:BC23)</f>
        <v>21327.392188057391</v>
      </c>
      <c r="S14" s="102">
        <f>+'Annual Energy Data'!BL23</f>
        <v>78390</v>
      </c>
      <c r="T14" s="102">
        <f>+'Annual Energy Data'!BM23</f>
        <v>41878.100000000006</v>
      </c>
      <c r="U14" s="102">
        <f>+'Annual Energy Data'!BN23</f>
        <v>0</v>
      </c>
      <c r="V14" s="102">
        <f>+'Annual Energy Data'!BO23</f>
        <v>0</v>
      </c>
      <c r="W14" s="102">
        <f>+'Annual Energy Data'!BP23</f>
        <v>52.536120000000011</v>
      </c>
      <c r="X14" s="102">
        <f>+'Annual Energy Data'!BQ23</f>
        <v>0</v>
      </c>
      <c r="Y14" s="102">
        <f>+'Annual Energy Data'!BR23</f>
        <v>18843</v>
      </c>
      <c r="Z14" s="102">
        <f>+'Annual Energy Data'!BS23</f>
        <v>39560</v>
      </c>
      <c r="AA14" s="102">
        <f>+'Annual Energy Data'!BJ23</f>
        <v>0</v>
      </c>
      <c r="AB14" s="102">
        <f>+'Annual Energy Data'!BE23</f>
        <v>1524.8555894122608</v>
      </c>
      <c r="AC14" s="102">
        <f>+'Annual Energy Data'!BF23</f>
        <v>1991.8931740835963</v>
      </c>
      <c r="AD14" s="102">
        <f>+'Annual Energy Data'!BG23</f>
        <v>7208.9648490788259</v>
      </c>
      <c r="AE14" s="102">
        <f>+'Annual Energy Data'!BH23</f>
        <v>2469.7916659907355</v>
      </c>
      <c r="AF14" s="102">
        <f>+'Annual Energy Data'!BI23</f>
        <v>2709.4140386149966</v>
      </c>
      <c r="AG14" s="102">
        <f>+'Annual Energy Data'!BT23</f>
        <v>0</v>
      </c>
      <c r="AH14" s="102">
        <f t="shared" si="0"/>
        <v>477556.39583999652</v>
      </c>
      <c r="AJ14" s="189" t="str">
        <f>+K5</f>
        <v>HQUS - VEC</v>
      </c>
      <c r="AK14" s="102">
        <v>0</v>
      </c>
      <c r="AL14" s="102">
        <v>0</v>
      </c>
      <c r="AM14" s="102">
        <v>99280</v>
      </c>
      <c r="AN14" s="102">
        <f>+K9</f>
        <v>99280</v>
      </c>
      <c r="AO14" s="102">
        <f>+K10</f>
        <v>102480</v>
      </c>
      <c r="AP14" s="102">
        <f>+K11</f>
        <v>116800</v>
      </c>
      <c r="AQ14" s="102">
        <f>+K13</f>
        <v>116800</v>
      </c>
      <c r="AR14" s="102">
        <f>+K14</f>
        <v>116800</v>
      </c>
      <c r="AS14" s="102">
        <f>+K15</f>
        <v>117120</v>
      </c>
      <c r="AT14" s="102">
        <f>+K16</f>
        <v>116800</v>
      </c>
      <c r="AU14" s="102">
        <f>+K17</f>
        <v>116800</v>
      </c>
      <c r="AV14" s="102">
        <f>+K18</f>
        <v>116800</v>
      </c>
      <c r="AW14" s="102">
        <f>+K19</f>
        <v>117120</v>
      </c>
      <c r="AX14" s="102">
        <f>+K20</f>
        <v>116800</v>
      </c>
      <c r="AY14" s="102">
        <f>+K21</f>
        <v>103960.72</v>
      </c>
      <c r="AZ14" s="102">
        <f>+K22</f>
        <v>39974.799999999996</v>
      </c>
      <c r="BA14" s="102">
        <f>+K23</f>
        <v>40084.32</v>
      </c>
      <c r="BB14" s="102">
        <f>+K24</f>
        <v>39974.799999999996</v>
      </c>
      <c r="BC14" s="102">
        <f>+K25</f>
        <v>39974.799999999996</v>
      </c>
      <c r="BD14" s="102">
        <f>+K26</f>
        <v>39974.799999999996</v>
      </c>
      <c r="BE14" s="102">
        <f>+K27</f>
        <v>40084.32</v>
      </c>
      <c r="BF14" s="102">
        <f>+K28</f>
        <v>39974.799999999996</v>
      </c>
      <c r="BG14" s="102">
        <f>+K29</f>
        <v>33294.079999999994</v>
      </c>
      <c r="BH14" s="102">
        <f>+$K30</f>
        <v>0</v>
      </c>
      <c r="BI14" s="102">
        <f>+$K31</f>
        <v>0</v>
      </c>
      <c r="BJ14" s="102">
        <f>+$K32</f>
        <v>0</v>
      </c>
      <c r="BK14" s="102">
        <f>+$K33</f>
        <v>0</v>
      </c>
      <c r="BL14" s="102">
        <f>+$K34</f>
        <v>0</v>
      </c>
      <c r="BM14" s="102">
        <f>+$K35</f>
        <v>0</v>
      </c>
      <c r="BN14" s="102">
        <f>+$K36</f>
        <v>0</v>
      </c>
      <c r="BO14" s="102">
        <f>+$K37</f>
        <v>0</v>
      </c>
      <c r="BP14" s="102">
        <f>+$K38</f>
        <v>0</v>
      </c>
      <c r="BQ14" s="102">
        <f>+$K39</f>
        <v>0</v>
      </c>
      <c r="BR14" s="102">
        <f>+$K40</f>
        <v>0</v>
      </c>
      <c r="BS14" s="102">
        <f>+$K41</f>
        <v>0</v>
      </c>
      <c r="BU14" s="58">
        <f t="shared" si="1"/>
        <v>557418.58564397157</v>
      </c>
    </row>
    <row r="15" spans="2:73" x14ac:dyDescent="0.2">
      <c r="B15" s="89">
        <f>+'Annual Energy Data'!A24</f>
        <v>2024</v>
      </c>
      <c r="C15" s="102">
        <f>+'Annual Energy Data'!I24</f>
        <v>0</v>
      </c>
      <c r="D15" s="102">
        <f>+'Annual Energy Data'!M24</f>
        <v>0</v>
      </c>
      <c r="E15" s="102">
        <f>+'Annual Energy Data'!Q24</f>
        <v>0</v>
      </c>
      <c r="F15" s="102">
        <f>+'Annual Energy Data'!U24</f>
        <v>0</v>
      </c>
      <c r="G15" s="102">
        <f>+'Annual Energy Data'!V24</f>
        <v>0</v>
      </c>
      <c r="H15" s="102">
        <f>+'Annual Energy Data'!W24</f>
        <v>0</v>
      </c>
      <c r="I15" s="102">
        <f>+'Annual Energy Data'!X24</f>
        <v>0</v>
      </c>
      <c r="J15" s="102">
        <f>+'Annual Energy Data'!AD24</f>
        <v>0</v>
      </c>
      <c r="K15" s="102">
        <f>+SUM('Annual Energy Data'!AE24:AH24)</f>
        <v>117120</v>
      </c>
      <c r="L15" s="102">
        <f>+'Annual Energy Data'!BD24</f>
        <v>11712</v>
      </c>
      <c r="M15" s="102">
        <f>+SUM('Annual Energy Data'!AI24:AJ24)</f>
        <v>45987.603000000003</v>
      </c>
      <c r="N15" s="102">
        <f>+SUM('Annual Energy Data'!AK24:AL24)</f>
        <v>74.547538461538466</v>
      </c>
      <c r="O15" s="102">
        <f>+SUM('Annual Energy Data'!AM24:AN24)</f>
        <v>13626.101309630476</v>
      </c>
      <c r="P15" s="102">
        <f>+'Annual Energy Data'!AO24</f>
        <v>21326.281999999999</v>
      </c>
      <c r="Q15" s="102">
        <f>+'Annual Energy Data'!AP24</f>
        <v>7822.4674999999988</v>
      </c>
      <c r="R15" s="102">
        <f>+SUM('Annual Energy Data'!AQ24:BC24)</f>
        <v>23403.275148993405</v>
      </c>
      <c r="S15" s="102">
        <f>+'Annual Energy Data'!BL24</f>
        <v>78390</v>
      </c>
      <c r="T15" s="102">
        <f>+'Annual Energy Data'!BM24</f>
        <v>61837.3</v>
      </c>
      <c r="U15" s="102">
        <f>+'Annual Energy Data'!BN24</f>
        <v>0</v>
      </c>
      <c r="V15" s="102">
        <f>+'Annual Energy Data'!BO24</f>
        <v>0</v>
      </c>
      <c r="W15" s="102">
        <f>+'Annual Energy Data'!BP24</f>
        <v>52.536120000000011</v>
      </c>
      <c r="X15" s="102">
        <f>+'Annual Energy Data'!BQ24</f>
        <v>0</v>
      </c>
      <c r="Y15" s="102">
        <f>+'Annual Energy Data'!BR24</f>
        <v>14251.333333333338</v>
      </c>
      <c r="Z15" s="102">
        <f>+'Annual Energy Data'!BS24</f>
        <v>39560</v>
      </c>
      <c r="AA15" s="102">
        <f>+'Annual Energy Data'!BJ24</f>
        <v>0</v>
      </c>
      <c r="AB15" s="102">
        <f>+'Annual Energy Data'!BE24</f>
        <v>1517.2313114651993</v>
      </c>
      <c r="AC15" s="102">
        <f>+'Annual Energy Data'!BF24</f>
        <v>1981.9337082131788</v>
      </c>
      <c r="AD15" s="102">
        <f>+'Annual Energy Data'!BG24</f>
        <v>7172.9200248334309</v>
      </c>
      <c r="AE15" s="102">
        <f>+'Annual Energy Data'!BH24</f>
        <v>2457.4427076607813</v>
      </c>
      <c r="AF15" s="102">
        <f>+'Annual Energy Data'!BI24</f>
        <v>2695.8669684219217</v>
      </c>
      <c r="AG15" s="102">
        <f>+'Annual Energy Data'!BT24</f>
        <v>0</v>
      </c>
      <c r="AH15" s="102">
        <f t="shared" si="0"/>
        <v>450988.84067101323</v>
      </c>
      <c r="AJ15" s="189" t="str">
        <f>+L5</f>
        <v>HQ US - WEC</v>
      </c>
      <c r="AK15" s="102">
        <v>0</v>
      </c>
      <c r="AL15" s="102">
        <v>0</v>
      </c>
      <c r="AM15" s="102">
        <v>23360</v>
      </c>
      <c r="AN15" s="102">
        <f>+L9</f>
        <v>23360</v>
      </c>
      <c r="AO15" s="102">
        <f>+L10</f>
        <v>23424</v>
      </c>
      <c r="AP15" s="102">
        <f>+L11</f>
        <v>23360</v>
      </c>
      <c r="AQ15" s="102">
        <f>+L13</f>
        <v>23360</v>
      </c>
      <c r="AR15" s="102">
        <f>+L14</f>
        <v>16512</v>
      </c>
      <c r="AS15" s="102">
        <f>+L15</f>
        <v>11712</v>
      </c>
      <c r="AT15" s="102">
        <f>+L16</f>
        <v>11680</v>
      </c>
      <c r="AU15" s="102">
        <f>+L17</f>
        <v>11680</v>
      </c>
      <c r="AV15" s="102">
        <f>+L18</f>
        <v>11680</v>
      </c>
      <c r="AW15" s="102">
        <f>+L19</f>
        <v>11712</v>
      </c>
      <c r="AX15" s="102">
        <f>+L20</f>
        <v>11680</v>
      </c>
      <c r="AY15" s="102">
        <f>+L21</f>
        <v>11680</v>
      </c>
      <c r="AZ15" s="102">
        <f>+L22</f>
        <v>11680</v>
      </c>
      <c r="BA15" s="102">
        <f>+L23</f>
        <v>11712</v>
      </c>
      <c r="BB15" s="102">
        <f>+L24</f>
        <v>0</v>
      </c>
      <c r="BC15" s="102">
        <f>+L25</f>
        <v>0</v>
      </c>
      <c r="BD15" s="102">
        <f>+L26</f>
        <v>0</v>
      </c>
      <c r="BE15" s="102">
        <f>+L27</f>
        <v>0</v>
      </c>
      <c r="BF15" s="102">
        <f>+L28</f>
        <v>0</v>
      </c>
      <c r="BG15" s="102">
        <f>+L29</f>
        <v>0</v>
      </c>
      <c r="BH15" s="102">
        <f>+$L30</f>
        <v>0</v>
      </c>
      <c r="BI15" s="102">
        <f>+$L31</f>
        <v>0</v>
      </c>
      <c r="BJ15" s="102">
        <f>+$L32</f>
        <v>0</v>
      </c>
      <c r="BK15" s="102">
        <f>+$L33</f>
        <v>0</v>
      </c>
      <c r="BL15" s="102">
        <f>+$L34</f>
        <v>0</v>
      </c>
      <c r="BM15" s="102">
        <f>+$L35</f>
        <v>0</v>
      </c>
      <c r="BN15" s="102">
        <f>+$L36</f>
        <v>0</v>
      </c>
      <c r="BO15" s="102">
        <f>+$L37</f>
        <v>0</v>
      </c>
      <c r="BP15" s="102">
        <f>+$L38</f>
        <v>0</v>
      </c>
      <c r="BQ15" s="102">
        <f>+$L39</f>
        <v>0</v>
      </c>
      <c r="BR15" s="102">
        <f>+$L40</f>
        <v>0</v>
      </c>
      <c r="BS15" s="102">
        <f>+$L41</f>
        <v>0</v>
      </c>
      <c r="BU15" s="58">
        <f t="shared" si="1"/>
        <v>569764.86950471113</v>
      </c>
    </row>
    <row r="16" spans="2:73" x14ac:dyDescent="0.2">
      <c r="B16" s="89">
        <f>+'Annual Energy Data'!A25</f>
        <v>2025</v>
      </c>
      <c r="C16" s="102">
        <f>+'Annual Energy Data'!I25</f>
        <v>490021.62668132654</v>
      </c>
      <c r="D16" s="102">
        <f>+'Annual Energy Data'!M25</f>
        <v>502408.97670733777</v>
      </c>
      <c r="E16" s="102">
        <f>+'Annual Energy Data'!Q25</f>
        <v>490021.62668132654</v>
      </c>
      <c r="F16" s="102">
        <f>+'Annual Energy Data'!U25</f>
        <v>516859.55797777255</v>
      </c>
      <c r="G16" s="102">
        <f>+'Annual Energy Data'!V25</f>
        <v>526009.68119384581</v>
      </c>
      <c r="H16" s="102">
        <f>+'Annual Energy Data'!W25</f>
        <v>505793.67081498448</v>
      </c>
      <c r="I16" s="102">
        <f>+'Annual Energy Data'!X25</f>
        <v>515901.67600441509</v>
      </c>
      <c r="J16" s="102">
        <f>+'Annual Energy Data'!AD25</f>
        <v>0</v>
      </c>
      <c r="K16" s="102">
        <f>+SUM('Annual Energy Data'!AE25:AH25)</f>
        <v>116800</v>
      </c>
      <c r="L16" s="102">
        <f>+'Annual Energy Data'!BD25</f>
        <v>11680</v>
      </c>
      <c r="M16" s="102">
        <f>+SUM('Annual Energy Data'!AI25:AJ25)</f>
        <v>39082.345000000008</v>
      </c>
      <c r="N16" s="102">
        <f>+SUM('Annual Energy Data'!AK25:AL25)</f>
        <v>0</v>
      </c>
      <c r="O16" s="102">
        <f>+SUM('Annual Energy Data'!AM25:AN25)</f>
        <v>13626.101309630476</v>
      </c>
      <c r="P16" s="102">
        <f>+'Annual Energy Data'!AO25</f>
        <v>21326.281999999999</v>
      </c>
      <c r="Q16" s="102">
        <f>+'Annual Energy Data'!AP25</f>
        <v>7822.4674999999988</v>
      </c>
      <c r="R16" s="102">
        <f>+SUM('Annual Energy Data'!AQ25:BC25)</f>
        <v>24240.579198919313</v>
      </c>
      <c r="S16" s="102">
        <f>+'Annual Energy Data'!BL25</f>
        <v>85410</v>
      </c>
      <c r="T16" s="102">
        <f>+'Annual Energy Data'!BM25</f>
        <v>61570.900000000009</v>
      </c>
      <c r="U16" s="102">
        <f>+'Annual Energy Data'!BN25</f>
        <v>0</v>
      </c>
      <c r="V16" s="102">
        <f>+'Annual Energy Data'!BO25</f>
        <v>0</v>
      </c>
      <c r="W16" s="102">
        <f>+'Annual Energy Data'!BP25</f>
        <v>52.536120000000011</v>
      </c>
      <c r="X16" s="102">
        <f>+'Annual Energy Data'!BQ25</f>
        <v>0</v>
      </c>
      <c r="Y16" s="102">
        <f>+'Annual Energy Data'!BR25</f>
        <v>14251.333333333338</v>
      </c>
      <c r="Z16" s="102">
        <f>+'Annual Energy Data'!BS25</f>
        <v>39560</v>
      </c>
      <c r="AA16" s="102">
        <f>+'Annual Energy Data'!BJ25</f>
        <v>29328.689519418396</v>
      </c>
      <c r="AB16" s="102">
        <f>+'Annual Energy Data'!BE25</f>
        <v>1509.6451549078736</v>
      </c>
      <c r="AC16" s="102">
        <f>+'Annual Energy Data'!BF25</f>
        <v>1972.0240396721124</v>
      </c>
      <c r="AD16" s="102">
        <f>+'Annual Energy Data'!BG25</f>
        <v>7137.0554247092632</v>
      </c>
      <c r="AE16" s="102">
        <f>+'Annual Energy Data'!BH25</f>
        <v>2445.1554941224776</v>
      </c>
      <c r="AF16" s="102">
        <f>+'Annual Energy Data'!BI25</f>
        <v>2682.3876335798118</v>
      </c>
      <c r="AG16" s="102">
        <f>+'Annual Energy Data'!BT25</f>
        <v>0</v>
      </c>
      <c r="AH16" s="102">
        <f t="shared" si="0"/>
        <v>480497.50172829308</v>
      </c>
      <c r="AJ16" s="189" t="str">
        <f>+M5</f>
        <v>NYPA</v>
      </c>
      <c r="AK16" s="102">
        <v>0</v>
      </c>
      <c r="AL16" s="102">
        <v>0</v>
      </c>
      <c r="AM16" s="102">
        <v>40918.044000000002</v>
      </c>
      <c r="AN16" s="102">
        <f>+M9</f>
        <v>41031.343000000001</v>
      </c>
      <c r="AO16" s="102">
        <f>+M10</f>
        <v>41031.343000000001</v>
      </c>
      <c r="AP16" s="102">
        <f>+M11</f>
        <v>41031.343000000001</v>
      </c>
      <c r="AQ16" s="102">
        <f>+M13</f>
        <v>45987.603000000003</v>
      </c>
      <c r="AR16" s="102">
        <f>+M14</f>
        <v>45987.603000000003</v>
      </c>
      <c r="AS16" s="102">
        <f>+M15</f>
        <v>45987.603000000003</v>
      </c>
      <c r="AT16" s="102">
        <f>+M16</f>
        <v>39082.345000000008</v>
      </c>
      <c r="AU16" s="102">
        <f>+M17</f>
        <v>39082.345000000008</v>
      </c>
      <c r="AV16" s="102">
        <f>M18</f>
        <v>39082.345000000008</v>
      </c>
      <c r="AW16" s="102">
        <f>+M19</f>
        <v>39082.345000000008</v>
      </c>
      <c r="AX16" s="102">
        <f>+M20</f>
        <v>39082.345000000008</v>
      </c>
      <c r="AY16" s="102">
        <f>+M21</f>
        <v>39082.345000000008</v>
      </c>
      <c r="AZ16" s="102">
        <f>+M22</f>
        <v>39082.345000000008</v>
      </c>
      <c r="BA16" s="102">
        <f>+M23</f>
        <v>39082.345000000008</v>
      </c>
      <c r="BB16" s="102">
        <f>+M24</f>
        <v>39082.345000000008</v>
      </c>
      <c r="BC16" s="102">
        <f>+M25</f>
        <v>39082.345000000008</v>
      </c>
      <c r="BD16" s="102">
        <f>+M26</f>
        <v>39082.345000000008</v>
      </c>
      <c r="BE16" s="102">
        <f>+M27</f>
        <v>39082.345000000008</v>
      </c>
      <c r="BF16" s="102">
        <f>+M28</f>
        <v>39082.345000000008</v>
      </c>
      <c r="BG16" s="102">
        <f>+M29</f>
        <v>39082.345000000008</v>
      </c>
      <c r="BH16" s="102">
        <f>+$M30</f>
        <v>39082.345000000008</v>
      </c>
      <c r="BI16" s="102">
        <f>+$M31</f>
        <v>39082.345000000008</v>
      </c>
      <c r="BJ16" s="102">
        <f>+$M32</f>
        <v>39082.345000000008</v>
      </c>
      <c r="BK16" s="102">
        <f>+$M33</f>
        <v>39082.345000000008</v>
      </c>
      <c r="BL16" s="102">
        <f>+$M34</f>
        <v>39082.345000000008</v>
      </c>
      <c r="BM16" s="102">
        <f>+$M35</f>
        <v>39082.345000000008</v>
      </c>
      <c r="BN16" s="102">
        <f>+$M36</f>
        <v>39082.345000000008</v>
      </c>
      <c r="BO16" s="102">
        <f>+$M37</f>
        <v>39082.345000000008</v>
      </c>
      <c r="BP16" s="102">
        <f>+$M38</f>
        <v>39082.345000000008</v>
      </c>
      <c r="BQ16" s="102">
        <f>+$M39</f>
        <v>39082.345000000008</v>
      </c>
      <c r="BR16" s="102">
        <f>+$M40</f>
        <v>39082.345000000008</v>
      </c>
      <c r="BS16" s="102">
        <f>+$M41</f>
        <v>39082.345000000008</v>
      </c>
      <c r="BU16" s="58">
        <f t="shared" si="1"/>
        <v>583269.79633506981</v>
      </c>
    </row>
    <row r="17" spans="1:73" x14ac:dyDescent="0.2">
      <c r="B17" s="89">
        <f>+'Annual Energy Data'!A26</f>
        <v>2026</v>
      </c>
      <c r="C17" s="102">
        <f>+'Annual Energy Data'!I26</f>
        <v>486369.34132538125</v>
      </c>
      <c r="D17" s="102">
        <f>+'Annual Energy Data'!M26</f>
        <v>498756.69135139242</v>
      </c>
      <c r="E17" s="102">
        <f>+'Annual Energy Data'!Q26</f>
        <v>486369.34132538125</v>
      </c>
      <c r="F17" s="102">
        <f>+'Annual Energy Data'!U26</f>
        <v>534404.08729551674</v>
      </c>
      <c r="G17" s="102">
        <f>+'Annual Energy Data'!V26</f>
        <v>551119.24048483884</v>
      </c>
      <c r="H17" s="102">
        <f>+'Annual Energy Data'!W26</f>
        <v>509047.36339775816</v>
      </c>
      <c r="I17" s="102">
        <f>+'Annual Energy Data'!X26</f>
        <v>530083.30194129853</v>
      </c>
      <c r="J17" s="102">
        <f>+'Annual Energy Data'!AD26</f>
        <v>0</v>
      </c>
      <c r="K17" s="102">
        <f>+SUM('Annual Energy Data'!AE26:AH26)</f>
        <v>116800</v>
      </c>
      <c r="L17" s="102">
        <f>+'Annual Energy Data'!BD26</f>
        <v>11680</v>
      </c>
      <c r="M17" s="102">
        <f>+SUM('Annual Energy Data'!AI26:AJ26)</f>
        <v>39082.345000000008</v>
      </c>
      <c r="N17" s="102">
        <f>+SUM('Annual Energy Data'!AK26:AL26)</f>
        <v>0</v>
      </c>
      <c r="O17" s="102">
        <f>+SUM('Annual Energy Data'!AM26:AN26)</f>
        <v>13626.101309630476</v>
      </c>
      <c r="P17" s="102">
        <f>+'Annual Energy Data'!AO26</f>
        <v>21326.281999999999</v>
      </c>
      <c r="Q17" s="102">
        <f>+'Annual Energy Data'!AP26</f>
        <v>15644.934999999998</v>
      </c>
      <c r="R17" s="102">
        <f>+SUM('Annual Energy Data'!AQ26:BC26)</f>
        <v>24240.579198919313</v>
      </c>
      <c r="S17" s="102">
        <f>+'Annual Energy Data'!BL26</f>
        <v>78390</v>
      </c>
      <c r="T17" s="102">
        <f>+'Annual Energy Data'!BM26</f>
        <v>0</v>
      </c>
      <c r="U17" s="102">
        <f>+'Annual Energy Data'!BN26</f>
        <v>0</v>
      </c>
      <c r="V17" s="102">
        <f>+'Annual Energy Data'!BO26</f>
        <v>0</v>
      </c>
      <c r="W17" s="102">
        <f>+'Annual Energy Data'!BP26</f>
        <v>52.536120000000011</v>
      </c>
      <c r="X17" s="102">
        <f>+'Annual Energy Data'!BQ26</f>
        <v>0</v>
      </c>
      <c r="Y17" s="102">
        <f>+'Annual Energy Data'!BR26</f>
        <v>14251.333333333338</v>
      </c>
      <c r="Z17" s="102">
        <f>+'Annual Energy Data'!BS26</f>
        <v>39560</v>
      </c>
      <c r="AA17" s="102">
        <f>+'Annual Energy Data'!BJ26</f>
        <v>30475.932016623898</v>
      </c>
      <c r="AB17" s="102">
        <f>+'Annual Energy Data'!BE26</f>
        <v>1502.096929133334</v>
      </c>
      <c r="AC17" s="102">
        <f>+'Annual Energy Data'!BF26</f>
        <v>1962.163919473752</v>
      </c>
      <c r="AD17" s="102">
        <f>+'Annual Energy Data'!BG26</f>
        <v>7101.3701475857169</v>
      </c>
      <c r="AE17" s="102">
        <f>+'Annual Energy Data'!BH26</f>
        <v>2432.9297166518654</v>
      </c>
      <c r="AF17" s="102">
        <f>+'Annual Energy Data'!BI26</f>
        <v>2668.9756954119125</v>
      </c>
      <c r="AG17" s="102">
        <f>+'Annual Energy Data'!BT26</f>
        <v>64928</v>
      </c>
      <c r="AH17" s="102">
        <f t="shared" si="0"/>
        <v>485725.58038676361</v>
      </c>
      <c r="AJ17" s="189" t="str">
        <f>+N5</f>
        <v>VEC Sys Hydro</v>
      </c>
      <c r="AK17" s="102">
        <v>0</v>
      </c>
      <c r="AL17" s="102">
        <v>0</v>
      </c>
      <c r="AM17" s="102">
        <v>114.53238095238095</v>
      </c>
      <c r="AN17" s="102">
        <f>+N9</f>
        <v>115.78714812723508</v>
      </c>
      <c r="AO17" s="102">
        <f>+N10</f>
        <v>115.78714812723508</v>
      </c>
      <c r="AP17" s="102">
        <f>+N11</f>
        <v>115.78714812723508</v>
      </c>
      <c r="AQ17" s="102">
        <f>+N13</f>
        <v>117.99440512820513</v>
      </c>
      <c r="AR17" s="102">
        <f>+N14</f>
        <v>117.99440512820513</v>
      </c>
      <c r="AS17" s="102">
        <f>+N15</f>
        <v>74.547538461538466</v>
      </c>
      <c r="AT17" s="102">
        <f>+N16</f>
        <v>0</v>
      </c>
      <c r="AU17" s="102">
        <f>+N17</f>
        <v>0</v>
      </c>
      <c r="AV17" s="102">
        <f>+N18</f>
        <v>0</v>
      </c>
      <c r="AW17" s="102">
        <f>+N19</f>
        <v>0</v>
      </c>
      <c r="AX17" s="102">
        <f>+N20</f>
        <v>0</v>
      </c>
      <c r="AY17" s="102">
        <f>+N21</f>
        <v>0</v>
      </c>
      <c r="AZ17" s="102">
        <f>+N22</f>
        <v>0</v>
      </c>
      <c r="BA17" s="102">
        <f>+N23</f>
        <v>0</v>
      </c>
      <c r="BB17" s="102">
        <f>+N24</f>
        <v>0</v>
      </c>
      <c r="BC17" s="102">
        <f>+N25</f>
        <v>0</v>
      </c>
      <c r="BD17" s="102">
        <f>+N26</f>
        <v>0</v>
      </c>
      <c r="BE17" s="102">
        <f>+N27</f>
        <v>0</v>
      </c>
      <c r="BF17" s="102">
        <f>+N28</f>
        <v>0</v>
      </c>
      <c r="BG17" s="102">
        <f>+N29</f>
        <v>0</v>
      </c>
      <c r="BH17" s="102">
        <f>+$N30</f>
        <v>0</v>
      </c>
      <c r="BI17" s="102">
        <f>+$N31</f>
        <v>0</v>
      </c>
      <c r="BJ17" s="102">
        <f>+$N32</f>
        <v>0</v>
      </c>
      <c r="BK17" s="102">
        <f>+$N33</f>
        <v>0</v>
      </c>
      <c r="BL17" s="102">
        <f>+$N34</f>
        <v>0</v>
      </c>
      <c r="BM17" s="102">
        <f>+$N35</f>
        <v>0</v>
      </c>
      <c r="BN17" s="102">
        <f>+$N36</f>
        <v>0</v>
      </c>
      <c r="BO17" s="102">
        <f>+$N37</f>
        <v>0</v>
      </c>
      <c r="BP17" s="102">
        <f>+$N38</f>
        <v>0</v>
      </c>
      <c r="BQ17" s="102">
        <f>+$N39</f>
        <v>0</v>
      </c>
      <c r="BR17" s="102">
        <f>+$N40</f>
        <v>0</v>
      </c>
      <c r="BS17" s="102">
        <f>+$N41</f>
        <v>0</v>
      </c>
      <c r="BU17" s="58">
        <f t="shared" si="1"/>
        <v>597913.40558074613</v>
      </c>
    </row>
    <row r="18" spans="1:73" x14ac:dyDescent="0.2">
      <c r="B18" s="89">
        <f>+'Annual Energy Data'!A27</f>
        <v>2027</v>
      </c>
      <c r="C18" s="102">
        <f>+'Annual Energy Data'!I27</f>
        <v>482601.14710003301</v>
      </c>
      <c r="D18" s="102">
        <f>+'Annual Energy Data'!M27</f>
        <v>494988.49712604441</v>
      </c>
      <c r="E18" s="102">
        <f>+'Annual Energy Data'!Q27</f>
        <v>482601.14710003301</v>
      </c>
      <c r="F18" s="102">
        <f>+'Annual Energy Data'!U27</f>
        <v>547481.26902155788</v>
      </c>
      <c r="G18" s="102">
        <f>+'Annual Energy Data'!V27</f>
        <v>561801.20006497123</v>
      </c>
      <c r="H18" s="102">
        <f>+'Annual Energy Data'!W27</f>
        <v>513021.74839042296</v>
      </c>
      <c r="I18" s="102">
        <f>+'Annual Energy Data'!X27</f>
        <v>537411.47422769712</v>
      </c>
      <c r="J18" s="102">
        <f>+'Annual Energy Data'!AD27</f>
        <v>0</v>
      </c>
      <c r="K18" s="102">
        <f>+SUM('Annual Energy Data'!AE27:AH27)</f>
        <v>116800</v>
      </c>
      <c r="L18" s="102">
        <f>+'Annual Energy Data'!BD27</f>
        <v>11680</v>
      </c>
      <c r="M18" s="102">
        <f>+SUM('Annual Energy Data'!AI27:AJ27)</f>
        <v>39082.345000000008</v>
      </c>
      <c r="N18" s="102">
        <f>+SUM('Annual Energy Data'!AK27:AL27)</f>
        <v>0</v>
      </c>
      <c r="O18" s="102">
        <f>+SUM('Annual Energy Data'!AM27:AN27)</f>
        <v>13626.101309630476</v>
      </c>
      <c r="P18" s="102">
        <f>+'Annual Energy Data'!AO27</f>
        <v>21326.281999999999</v>
      </c>
      <c r="Q18" s="102">
        <f>+'Annual Energy Data'!AP27</f>
        <v>15644.934999999998</v>
      </c>
      <c r="R18" s="102">
        <f>+SUM('Annual Energy Data'!AQ27:BC27)</f>
        <v>24240.579198919313</v>
      </c>
      <c r="S18" s="102">
        <f>+'Annual Energy Data'!BL27</f>
        <v>78156</v>
      </c>
      <c r="T18" s="102">
        <f>+'Annual Energy Data'!BM27</f>
        <v>0</v>
      </c>
      <c r="U18" s="102">
        <f>+'Annual Energy Data'!BN27</f>
        <v>0</v>
      </c>
      <c r="V18" s="102">
        <f>+'Annual Energy Data'!BO27</f>
        <v>0</v>
      </c>
      <c r="W18" s="102">
        <f>+'Annual Energy Data'!BP27</f>
        <v>52.536120000000011</v>
      </c>
      <c r="X18" s="102">
        <f>+'Annual Energy Data'!BQ27</f>
        <v>0</v>
      </c>
      <c r="Y18" s="102">
        <f>+'Annual Energy Data'!BR27</f>
        <v>14251.333333333338</v>
      </c>
      <c r="Z18" s="102">
        <f>+'Annual Energy Data'!BS27</f>
        <v>39560</v>
      </c>
      <c r="AA18" s="102">
        <f>+'Annual Energy Data'!BJ27</f>
        <v>31505.446167436185</v>
      </c>
      <c r="AB18" s="102">
        <f>+'Annual Energy Data'!BE27</f>
        <v>1494.5864444876672</v>
      </c>
      <c r="AC18" s="102">
        <f>+'Annual Energy Data'!BF27</f>
        <v>1952.3530998763833</v>
      </c>
      <c r="AD18" s="102">
        <f>+'Annual Energy Data'!BG27</f>
        <v>7065.8632968477878</v>
      </c>
      <c r="AE18" s="102">
        <f>+'Annual Energy Data'!BH27</f>
        <v>2420.7650680686056</v>
      </c>
      <c r="AF18" s="102">
        <f>+'Annual Energy Data'!BI27</f>
        <v>2655.6308169348531</v>
      </c>
      <c r="AG18" s="102">
        <f>+'Annual Energy Data'!BT27</f>
        <v>64800</v>
      </c>
      <c r="AH18" s="102">
        <f t="shared" si="0"/>
        <v>486314.75685553462</v>
      </c>
      <c r="AJ18" s="189" t="str">
        <f>+O5</f>
        <v>Ryegate</v>
      </c>
      <c r="AK18" s="102">
        <v>0</v>
      </c>
      <c r="AL18" s="102">
        <v>0</v>
      </c>
      <c r="AM18" s="102">
        <v>17632.709836288723</v>
      </c>
      <c r="AN18" s="102">
        <f>+O9</f>
        <v>15874.185414029775</v>
      </c>
      <c r="AO18" s="102">
        <f>+O10</f>
        <v>15824.970593071879</v>
      </c>
      <c r="AP18" s="102">
        <f>+O11</f>
        <v>13621.04375112</v>
      </c>
      <c r="AQ18" s="102">
        <f>+O13</f>
        <v>13626.101309630476</v>
      </c>
      <c r="AR18" s="102">
        <f>+O14</f>
        <v>13626.101309630476</v>
      </c>
      <c r="AS18" s="102">
        <f>+O15</f>
        <v>13626.101309630476</v>
      </c>
      <c r="AT18" s="102">
        <f>+O16</f>
        <v>13626.101309630476</v>
      </c>
      <c r="AU18" s="102">
        <f>+O17</f>
        <v>13626.101309630476</v>
      </c>
      <c r="AV18" s="102">
        <f>+O18</f>
        <v>13626.101309630476</v>
      </c>
      <c r="AW18" s="102">
        <f>+O19</f>
        <v>13626.101309630476</v>
      </c>
      <c r="AX18" s="102">
        <f>+O20</f>
        <v>13626.101309630476</v>
      </c>
      <c r="AY18" s="102">
        <f>+O21</f>
        <v>13626.101309630476</v>
      </c>
      <c r="AZ18" s="102">
        <f>+O22</f>
        <v>13626.101309630476</v>
      </c>
      <c r="BA18" s="102">
        <f>+O23</f>
        <v>11347.727874750475</v>
      </c>
      <c r="BB18" s="102">
        <f>+O24</f>
        <v>0</v>
      </c>
      <c r="BC18" s="102">
        <f>+O25</f>
        <v>0</v>
      </c>
      <c r="BD18" s="102">
        <f>+O26</f>
        <v>0</v>
      </c>
      <c r="BE18" s="102">
        <f>+O27</f>
        <v>0</v>
      </c>
      <c r="BF18" s="102">
        <f>+O28</f>
        <v>0</v>
      </c>
      <c r="BG18" s="102">
        <f>+O29</f>
        <v>0</v>
      </c>
      <c r="BH18" s="102">
        <f>+$O30</f>
        <v>0</v>
      </c>
      <c r="BI18" s="102">
        <f>+$O31</f>
        <v>0</v>
      </c>
      <c r="BJ18" s="102">
        <f>+$O32</f>
        <v>0</v>
      </c>
      <c r="BK18" s="102">
        <f>+$O33</f>
        <v>0</v>
      </c>
      <c r="BL18" s="102">
        <f>+$O34</f>
        <v>0</v>
      </c>
      <c r="BM18" s="102">
        <f>+$O35</f>
        <v>0</v>
      </c>
      <c r="BN18" s="102">
        <f>+$O36</f>
        <v>0</v>
      </c>
      <c r="BO18" s="102">
        <f>+$O37</f>
        <v>0</v>
      </c>
      <c r="BP18" s="102">
        <f>+$O38</f>
        <v>0</v>
      </c>
      <c r="BQ18" s="102">
        <f>+$O39</f>
        <v>0</v>
      </c>
      <c r="BR18" s="102">
        <f>+$O40</f>
        <v>0</v>
      </c>
      <c r="BS18" s="102">
        <f>+$O41</f>
        <v>0</v>
      </c>
      <c r="BU18" s="58">
        <f t="shared" si="1"/>
        <v>613245.56971877045</v>
      </c>
    </row>
    <row r="19" spans="1:73" x14ac:dyDescent="0.2">
      <c r="B19" s="89">
        <f>+'Annual Energy Data'!A28</f>
        <v>2028</v>
      </c>
      <c r="C19" s="102">
        <f>+'Annual Energy Data'!I28</f>
        <v>478876.13441238593</v>
      </c>
      <c r="D19" s="102">
        <f>+'Annual Energy Data'!M28</f>
        <v>491289.09820659156</v>
      </c>
      <c r="E19" s="102">
        <f>+'Annual Energy Data'!Q28</f>
        <v>478876.13441238593</v>
      </c>
      <c r="F19" s="102">
        <f>+'Annual Energy Data'!U28</f>
        <v>562334.2564463201</v>
      </c>
      <c r="G19" s="102">
        <f>+'Annual Energy Data'!V28</f>
        <v>574238.09425297996</v>
      </c>
      <c r="H19" s="102">
        <f>+'Annual Energy Data'!W28</f>
        <v>518347.88756713568</v>
      </c>
      <c r="I19" s="102">
        <f>+'Annual Energy Data'!X28</f>
        <v>546355.61978096631</v>
      </c>
      <c r="J19" s="102">
        <f>+'Annual Energy Data'!AD28</f>
        <v>0</v>
      </c>
      <c r="K19" s="102">
        <f>+SUM('Annual Energy Data'!AE28:AH28)</f>
        <v>117120</v>
      </c>
      <c r="L19" s="102">
        <f>+'Annual Energy Data'!BD28</f>
        <v>11712</v>
      </c>
      <c r="M19" s="102">
        <f>+SUM('Annual Energy Data'!AI28:AJ28)</f>
        <v>39082.345000000008</v>
      </c>
      <c r="N19" s="102">
        <f>+SUM('Annual Energy Data'!AK28:AL28)</f>
        <v>0</v>
      </c>
      <c r="O19" s="102">
        <f>+SUM('Annual Energy Data'!AM28:AN28)</f>
        <v>13626.101309630476</v>
      </c>
      <c r="P19" s="102">
        <f>+'Annual Energy Data'!AO28</f>
        <v>21326.281999999999</v>
      </c>
      <c r="Q19" s="102">
        <f>+'Annual Energy Data'!AP28</f>
        <v>15644.934999999998</v>
      </c>
      <c r="R19" s="102">
        <f>+SUM('Annual Energy Data'!AQ28:BC28)</f>
        <v>24240.579198919313</v>
      </c>
      <c r="S19" s="102">
        <f>+'Annual Energy Data'!BL28</f>
        <v>85644</v>
      </c>
      <c r="T19" s="102">
        <f>+'Annual Energy Data'!BM28</f>
        <v>0</v>
      </c>
      <c r="U19" s="102">
        <f>+'Annual Energy Data'!BN28</f>
        <v>0</v>
      </c>
      <c r="V19" s="102">
        <f>+'Annual Energy Data'!BO28</f>
        <v>0</v>
      </c>
      <c r="W19" s="102">
        <f>+'Annual Energy Data'!BP28</f>
        <v>52.536120000000011</v>
      </c>
      <c r="X19" s="102">
        <f>+'Annual Energy Data'!BQ28</f>
        <v>0</v>
      </c>
      <c r="Y19" s="102">
        <f>+'Annual Energy Data'!BR28</f>
        <v>14251.333333333338</v>
      </c>
      <c r="Z19" s="102">
        <f>+'Annual Energy Data'!BS28</f>
        <v>0</v>
      </c>
      <c r="AA19" s="102">
        <f>+'Annual Energy Data'!BJ28</f>
        <v>32219.636771946232</v>
      </c>
      <c r="AB19" s="102">
        <f>+'Annual Energy Data'!BE28</f>
        <v>1487.1135122652292</v>
      </c>
      <c r="AC19" s="102">
        <f>+'Annual Energy Data'!BF28</f>
        <v>1942.5913343770012</v>
      </c>
      <c r="AD19" s="102">
        <f>+'Annual Energy Data'!BG28</f>
        <v>7030.5339803635497</v>
      </c>
      <c r="AE19" s="102">
        <f>+'Annual Energy Data'!BH28</f>
        <v>2408.6612427282626</v>
      </c>
      <c r="AF19" s="102">
        <f>+'Annual Energy Data'!BI28</f>
        <v>2642.3526628501786</v>
      </c>
      <c r="AG19" s="102">
        <f>+'Annual Energy Data'!BT28</f>
        <v>64864</v>
      </c>
      <c r="AH19" s="102">
        <f t="shared" si="0"/>
        <v>455295.00146641355</v>
      </c>
      <c r="AJ19" s="189" t="str">
        <f>+P5</f>
        <v>KCW</v>
      </c>
      <c r="AK19" s="102">
        <v>0</v>
      </c>
      <c r="AL19" s="102">
        <v>0</v>
      </c>
      <c r="AM19" s="102">
        <v>19193.496000000003</v>
      </c>
      <c r="AN19" s="102">
        <f>+P9</f>
        <v>21852.818120600001</v>
      </c>
      <c r="AO19" s="102">
        <f>+P10</f>
        <v>21852.818120600001</v>
      </c>
      <c r="AP19" s="102">
        <f>+P11</f>
        <v>21852.818120600001</v>
      </c>
      <c r="AQ19" s="102">
        <f>+P13</f>
        <v>21326.281999999999</v>
      </c>
      <c r="AR19" s="102">
        <f>+P14</f>
        <v>21326.281999999999</v>
      </c>
      <c r="AS19" s="102">
        <f>+P15</f>
        <v>21326.281999999999</v>
      </c>
      <c r="AT19" s="102">
        <f>+P16</f>
        <v>21326.281999999999</v>
      </c>
      <c r="AU19" s="102">
        <f>+P17</f>
        <v>21326.281999999999</v>
      </c>
      <c r="AV19" s="102">
        <f>+P18</f>
        <v>21326.281999999999</v>
      </c>
      <c r="AW19" s="102">
        <f>+P19</f>
        <v>21326.281999999999</v>
      </c>
      <c r="AX19" s="102">
        <f>+P20</f>
        <v>21326.281999999999</v>
      </c>
      <c r="AY19" s="102">
        <f>+P21</f>
        <v>21326.281999999999</v>
      </c>
      <c r="AZ19" s="102">
        <f>+P22</f>
        <v>21326.281999999999</v>
      </c>
      <c r="BA19" s="102">
        <f>+P23</f>
        <v>21326.281999999999</v>
      </c>
      <c r="BB19" s="102">
        <f>+P24</f>
        <v>21326.281999999999</v>
      </c>
      <c r="BC19" s="102">
        <f>+P25</f>
        <v>21326.281999999999</v>
      </c>
      <c r="BD19" s="102">
        <f>+P26</f>
        <v>21326.281999999999</v>
      </c>
      <c r="BE19" s="102">
        <f>+P27</f>
        <v>21326.281999999999</v>
      </c>
      <c r="BF19" s="102">
        <f>+P28</f>
        <v>21188.506000000001</v>
      </c>
      <c r="BG19" s="102">
        <f>+P29</f>
        <v>0</v>
      </c>
      <c r="BH19" s="102">
        <f>+$P30</f>
        <v>0</v>
      </c>
      <c r="BI19" s="102">
        <f>+$P31</f>
        <v>0</v>
      </c>
      <c r="BJ19" s="102">
        <f>+$P32</f>
        <v>0</v>
      </c>
      <c r="BK19" s="102">
        <f>+$P33</f>
        <v>0</v>
      </c>
      <c r="BL19" s="102">
        <f>+$P34</f>
        <v>0</v>
      </c>
      <c r="BM19" s="102">
        <f>+$P35</f>
        <v>0</v>
      </c>
      <c r="BN19" s="102">
        <f>+$P36</f>
        <v>0</v>
      </c>
      <c r="BO19" s="102">
        <f>+$P37</f>
        <v>0</v>
      </c>
      <c r="BP19" s="102">
        <f>+$P38</f>
        <v>0</v>
      </c>
      <c r="BQ19" s="102">
        <f>+$P39</f>
        <v>0</v>
      </c>
      <c r="BR19" s="102">
        <f>+$P40</f>
        <v>0</v>
      </c>
      <c r="BS19" s="102">
        <f>+$P41</f>
        <v>0</v>
      </c>
      <c r="BU19" s="58">
        <f t="shared" si="1"/>
        <v>629247.53521484334</v>
      </c>
    </row>
    <row r="20" spans="1:73" x14ac:dyDescent="0.2">
      <c r="B20" s="89">
        <f>+'Annual Energy Data'!A29</f>
        <v>2029</v>
      </c>
      <c r="C20" s="102">
        <f>+'Annual Energy Data'!I29</f>
        <v>475257.112759682</v>
      </c>
      <c r="D20" s="102">
        <f>+'Annual Energy Data'!M29</f>
        <v>487644.46278569341</v>
      </c>
      <c r="E20" s="102">
        <f>+'Annual Energy Data'!Q29</f>
        <v>475257.112759682</v>
      </c>
      <c r="F20" s="102">
        <f>+'Annual Energy Data'!U29</f>
        <v>579139.85812221037</v>
      </c>
      <c r="G20" s="102">
        <f>+'Annual Energy Data'!V29</f>
        <v>588925.42292387283</v>
      </c>
      <c r="H20" s="102">
        <f>+'Annual Energy Data'!W29</f>
        <v>525077.80000335269</v>
      </c>
      <c r="I20" s="102">
        <f>+'Annual Energy Data'!X29</f>
        <v>557418.58564397157</v>
      </c>
      <c r="J20" s="102">
        <f>+'Annual Energy Data'!AD29</f>
        <v>0</v>
      </c>
      <c r="K20" s="102">
        <f>+SUM('Annual Energy Data'!AE29:AH29)</f>
        <v>116800</v>
      </c>
      <c r="L20" s="102">
        <f>+'Annual Energy Data'!BD29</f>
        <v>11680</v>
      </c>
      <c r="M20" s="102">
        <f>+SUM('Annual Energy Data'!AI29:AJ29)</f>
        <v>39082.345000000008</v>
      </c>
      <c r="N20" s="102">
        <f>+SUM('Annual Energy Data'!AK29:AL29)</f>
        <v>0</v>
      </c>
      <c r="O20" s="102">
        <f>+SUM('Annual Energy Data'!AM29:AN29)</f>
        <v>13626.101309630476</v>
      </c>
      <c r="P20" s="102">
        <f>+'Annual Energy Data'!AO29</f>
        <v>21326.281999999999</v>
      </c>
      <c r="Q20" s="102">
        <f>+'Annual Energy Data'!AP29</f>
        <v>15644.934999999998</v>
      </c>
      <c r="R20" s="102">
        <f>+SUM('Annual Energy Data'!AQ29:BC29)</f>
        <v>24240.579198919313</v>
      </c>
      <c r="S20" s="102">
        <f>+'Annual Energy Data'!BL29</f>
        <v>78390</v>
      </c>
      <c r="T20" s="102">
        <f>+'Annual Energy Data'!BM29</f>
        <v>0</v>
      </c>
      <c r="U20" s="102">
        <f>+'Annual Energy Data'!BN29</f>
        <v>0</v>
      </c>
      <c r="V20" s="102">
        <f>+'Annual Energy Data'!BO29</f>
        <v>0</v>
      </c>
      <c r="W20" s="102">
        <f>+'Annual Energy Data'!BP29</f>
        <v>52.536120000000011</v>
      </c>
      <c r="X20" s="102">
        <f>+'Annual Energy Data'!BQ29</f>
        <v>0</v>
      </c>
      <c r="Y20" s="102">
        <f>+'Annual Energy Data'!BR29</f>
        <v>14251.333333333338</v>
      </c>
      <c r="Z20" s="102">
        <f>+'Annual Energy Data'!BS29</f>
        <v>0</v>
      </c>
      <c r="AA20" s="102">
        <f>+'Annual Energy Data'!BJ29</f>
        <v>32710.034961588553</v>
      </c>
      <c r="AB20" s="102">
        <f>+'Annual Energy Data'!BE29</f>
        <v>1479.6779447039028</v>
      </c>
      <c r="AC20" s="102">
        <f>+'Annual Energy Data'!BF29</f>
        <v>1932.8783777051162</v>
      </c>
      <c r="AD20" s="102">
        <f>+'Annual Energy Data'!BG29</f>
        <v>6995.3813104617311</v>
      </c>
      <c r="AE20" s="102">
        <f>+'Annual Energy Data'!BH29</f>
        <v>2396.6179365146213</v>
      </c>
      <c r="AF20" s="102">
        <f>+'Annual Energy Data'!BI29</f>
        <v>2629.1408995359275</v>
      </c>
      <c r="AG20" s="102">
        <f>+'Annual Energy Data'!BT29</f>
        <v>64736</v>
      </c>
      <c r="AH20" s="102">
        <f t="shared" si="0"/>
        <v>447973.84339239297</v>
      </c>
      <c r="AJ20" s="189" t="str">
        <f>Q5</f>
        <v>Sheffield</v>
      </c>
      <c r="AK20" s="102">
        <v>0</v>
      </c>
      <c r="AL20" s="102">
        <v>0</v>
      </c>
      <c r="AM20" s="102">
        <v>22207.910499999998</v>
      </c>
      <c r="AN20" s="102">
        <f>+Q9</f>
        <v>21870.601500000001</v>
      </c>
      <c r="AO20" s="102">
        <f>+Q10</f>
        <v>21870.601500000001</v>
      </c>
      <c r="AP20" s="102">
        <f>+Q11</f>
        <v>17159.5815</v>
      </c>
      <c r="AQ20" s="102">
        <f>+Q13</f>
        <v>0</v>
      </c>
      <c r="AR20" s="102">
        <f>+Q14</f>
        <v>7822.4674999999988</v>
      </c>
      <c r="AS20" s="102">
        <f>+Q15</f>
        <v>7822.4674999999988</v>
      </c>
      <c r="AT20" s="102">
        <f>+Q16</f>
        <v>7822.4674999999988</v>
      </c>
      <c r="AU20" s="102">
        <f>+Q17</f>
        <v>15644.934999999998</v>
      </c>
      <c r="AV20" s="102">
        <f>+Q18</f>
        <v>15644.934999999998</v>
      </c>
      <c r="AW20" s="102">
        <f>+Q19</f>
        <v>15644.934999999998</v>
      </c>
      <c r="AX20" s="102">
        <f>+Q20</f>
        <v>15644.934999999998</v>
      </c>
      <c r="AY20" s="102">
        <f>+Q21</f>
        <v>15644.934999999998</v>
      </c>
      <c r="AZ20" s="102">
        <f>+Q22</f>
        <v>10215.179999999998</v>
      </c>
      <c r="BA20" s="102">
        <f>+Q23</f>
        <v>0</v>
      </c>
      <c r="BB20" s="102">
        <f>+Q24</f>
        <v>0</v>
      </c>
      <c r="BC20" s="102">
        <f>+Q25</f>
        <v>0</v>
      </c>
      <c r="BD20" s="102">
        <f>+Q26</f>
        <v>0</v>
      </c>
      <c r="BE20" s="102">
        <f>+Q27</f>
        <v>0</v>
      </c>
      <c r="BF20" s="102">
        <f>+Q28</f>
        <v>0</v>
      </c>
      <c r="BG20" s="102">
        <f>+Q29</f>
        <v>0</v>
      </c>
      <c r="BH20" s="102">
        <f>+$Q30</f>
        <v>0</v>
      </c>
      <c r="BI20" s="102">
        <f>+$Q31</f>
        <v>0</v>
      </c>
      <c r="BJ20" s="102">
        <f>+$Q32</f>
        <v>0</v>
      </c>
      <c r="BK20" s="102">
        <f>+$Q33</f>
        <v>0</v>
      </c>
      <c r="BL20" s="102">
        <f>+$Q34</f>
        <v>0</v>
      </c>
      <c r="BM20" s="102">
        <f>+$Q35</f>
        <v>0</v>
      </c>
      <c r="BN20" s="102">
        <f>+$Q36</f>
        <v>0</v>
      </c>
      <c r="BO20" s="102">
        <f>+$Q37</f>
        <v>0</v>
      </c>
      <c r="BP20" s="102">
        <f>+$Q38</f>
        <v>0</v>
      </c>
      <c r="BQ20" s="102">
        <f>+$Q39</f>
        <v>0</v>
      </c>
      <c r="BR20" s="102">
        <f>+$Q40</f>
        <v>0</v>
      </c>
      <c r="BS20" s="102">
        <f>+$Q41</f>
        <v>0</v>
      </c>
      <c r="BU20" s="58">
        <f t="shared" si="1"/>
        <v>645238.93182251533</v>
      </c>
    </row>
    <row r="21" spans="1:73" x14ac:dyDescent="0.2">
      <c r="B21" s="89">
        <f>+'Annual Energy Data'!A30</f>
        <v>2030</v>
      </c>
      <c r="C21" s="102">
        <f>+'Annual Energy Data'!I30</f>
        <v>471696.23276028398</v>
      </c>
      <c r="D21" s="102">
        <f>+'Annual Energy Data'!M30</f>
        <v>484083.58278629533</v>
      </c>
      <c r="E21" s="102">
        <f>+'Annual Energy Data'!Q30</f>
        <v>471696.23276028398</v>
      </c>
      <c r="F21" s="102">
        <f>+'Annual Energy Data'!U30</f>
        <v>597537.20891604316</v>
      </c>
      <c r="G21" s="102">
        <f>+'Annual Energy Data'!V30</f>
        <v>604371.2686899699</v>
      </c>
      <c r="H21" s="102">
        <f>+'Annual Energy Data'!W30</f>
        <v>533253.6763444189</v>
      </c>
      <c r="I21" s="102">
        <f>+'Annual Energy Data'!X30</f>
        <v>569764.86950471113</v>
      </c>
      <c r="J21" s="102">
        <f>+'Annual Energy Data'!AD30</f>
        <v>0</v>
      </c>
      <c r="K21" s="102">
        <f>+SUM('Annual Energy Data'!AE30:AH30)</f>
        <v>103960.72</v>
      </c>
      <c r="L21" s="102">
        <f>+'Annual Energy Data'!BD30</f>
        <v>11680</v>
      </c>
      <c r="M21" s="102">
        <f>+SUM('Annual Energy Data'!AI30:AJ30)</f>
        <v>39082.345000000008</v>
      </c>
      <c r="N21" s="102">
        <f>+SUM('Annual Energy Data'!AK30:AL30)</f>
        <v>0</v>
      </c>
      <c r="O21" s="102">
        <f>+SUM('Annual Energy Data'!AM30:AN30)</f>
        <v>13626.101309630476</v>
      </c>
      <c r="P21" s="102">
        <f>+'Annual Energy Data'!AO30</f>
        <v>21326.281999999999</v>
      </c>
      <c r="Q21" s="102">
        <f>+'Annual Energy Data'!AP30</f>
        <v>15644.934999999998</v>
      </c>
      <c r="R21" s="102">
        <f>+SUM('Annual Energy Data'!AQ30:BC30)</f>
        <v>23687.309625901577</v>
      </c>
      <c r="S21" s="102">
        <f>+'Annual Energy Data'!BL30</f>
        <v>78156</v>
      </c>
      <c r="T21" s="102">
        <f>+'Annual Energy Data'!BM30</f>
        <v>0</v>
      </c>
      <c r="U21" s="102">
        <f>+'Annual Energy Data'!BN30</f>
        <v>0</v>
      </c>
      <c r="V21" s="102">
        <f>+'Annual Energy Data'!BO30</f>
        <v>0</v>
      </c>
      <c r="W21" s="102">
        <f>+'Annual Energy Data'!BP30</f>
        <v>52.536120000000011</v>
      </c>
      <c r="X21" s="102">
        <f>+'Annual Energy Data'!BQ30</f>
        <v>0</v>
      </c>
      <c r="Y21" s="102">
        <f>+'Annual Energy Data'!BR30</f>
        <v>14251.333333333338</v>
      </c>
      <c r="Z21" s="102">
        <f>+'Annual Energy Data'!BS30</f>
        <v>0</v>
      </c>
      <c r="AA21" s="102">
        <f>+'Annual Energy Data'!BJ30</f>
        <v>33120.538293517544</v>
      </c>
      <c r="AB21" s="102">
        <f>+'Annual Energy Data'!BE30</f>
        <v>1472.2795549803836</v>
      </c>
      <c r="AC21" s="102">
        <f>+'Annual Energy Data'!BF30</f>
        <v>1923.2139858165906</v>
      </c>
      <c r="AD21" s="102">
        <f>+'Annual Energy Data'!BG30</f>
        <v>6960.4044039094224</v>
      </c>
      <c r="AE21" s="102">
        <f>+'Annual Energy Data'!BH30</f>
        <v>2384.6348468320489</v>
      </c>
      <c r="AF21" s="102">
        <f>+'Annual Energy Data'!BI30</f>
        <v>2615.9951950382488</v>
      </c>
      <c r="AG21" s="102">
        <f>+'Annual Energy Data'!BT30</f>
        <v>64784</v>
      </c>
      <c r="AH21" s="102">
        <f t="shared" si="0"/>
        <v>434728.6286689596</v>
      </c>
      <c r="AJ21" s="189" t="str">
        <f>+R5</f>
        <v>Standard Offer</v>
      </c>
      <c r="AK21" s="102">
        <v>0</v>
      </c>
      <c r="AL21" s="102">
        <v>0</v>
      </c>
      <c r="AM21" s="102">
        <v>9749.4575261279861</v>
      </c>
      <c r="AN21" s="102">
        <f>+R9</f>
        <v>0</v>
      </c>
      <c r="AO21" s="102">
        <f>+R10</f>
        <v>0</v>
      </c>
      <c r="AP21" s="102">
        <f>+R11</f>
        <v>0</v>
      </c>
      <c r="AQ21" s="102">
        <f>+R13</f>
        <v>16286.751514004407</v>
      </c>
      <c r="AR21" s="102">
        <f>+R14</f>
        <v>21327.392188057391</v>
      </c>
      <c r="AS21" s="102">
        <f>+R15</f>
        <v>23403.275148993405</v>
      </c>
      <c r="AT21" s="102">
        <f>+R16</f>
        <v>24240.579198919313</v>
      </c>
      <c r="AU21" s="102">
        <f>+R17</f>
        <v>24240.579198919313</v>
      </c>
      <c r="AV21" s="102">
        <f>+R18</f>
        <v>24240.579198919313</v>
      </c>
      <c r="AW21" s="102">
        <f>+R19</f>
        <v>24240.579198919313</v>
      </c>
      <c r="AX21" s="102">
        <f>+R20</f>
        <v>24240.579198919313</v>
      </c>
      <c r="AY21" s="102">
        <f>+R21</f>
        <v>23687.309625901577</v>
      </c>
      <c r="AZ21" s="102">
        <f>+R22</f>
        <v>22480.277331318477</v>
      </c>
      <c r="BA21" s="102">
        <f>+R23</f>
        <v>22096.519032520115</v>
      </c>
      <c r="BB21" s="102">
        <f>+R24</f>
        <v>21678.818987417155</v>
      </c>
      <c r="BC21" s="102">
        <f>+R25</f>
        <v>21278.130860380184</v>
      </c>
      <c r="BD21" s="102">
        <f>+R26</f>
        <v>21223.151654515084</v>
      </c>
      <c r="BE21" s="102">
        <f>+R27</f>
        <v>20685.127510960221</v>
      </c>
      <c r="BF21" s="102">
        <f>+R28</f>
        <v>20215.896379748039</v>
      </c>
      <c r="BG21" s="102">
        <f>+R29</f>
        <v>19122.926704312446</v>
      </c>
      <c r="BH21" s="102">
        <f>+$R30</f>
        <v>17583.098078059018</v>
      </c>
      <c r="BI21" s="102">
        <f>+$R31</f>
        <v>15340.101627517215</v>
      </c>
      <c r="BJ21" s="102">
        <f>+$R32</f>
        <v>14131.642055142078</v>
      </c>
      <c r="BK21" s="102">
        <f>+$R33</f>
        <v>12523.80282419064</v>
      </c>
      <c r="BL21" s="102">
        <f>+$R34</f>
        <v>11028.433631574659</v>
      </c>
      <c r="BM21" s="102">
        <f>+$R35</f>
        <v>10565.73237757724</v>
      </c>
      <c r="BN21" s="102">
        <f>+$R36</f>
        <v>9903.1627649343609</v>
      </c>
      <c r="BO21" s="102">
        <f>+$R37</f>
        <v>9576.336683280706</v>
      </c>
      <c r="BP21" s="102">
        <f>+$R38</f>
        <v>6833.2851892549088</v>
      </c>
      <c r="BQ21" s="102">
        <f>+$R39</f>
        <v>2778.8205748619234</v>
      </c>
      <c r="BR21" s="102">
        <f>+$R40</f>
        <v>837.30404992591207</v>
      </c>
      <c r="BS21" s="102">
        <f>+$R41</f>
        <v>0</v>
      </c>
      <c r="BU21" s="58">
        <f t="shared" si="1"/>
        <v>661055.20211911167</v>
      </c>
    </row>
    <row r="22" spans="1:73" x14ac:dyDescent="0.2">
      <c r="B22" s="89">
        <f>+'Annual Energy Data'!A31</f>
        <v>2031</v>
      </c>
      <c r="C22" s="102">
        <f>+'Annual Energy Data'!I31</f>
        <v>468138.48178870423</v>
      </c>
      <c r="D22" s="102">
        <f>+'Annual Energy Data'!M31</f>
        <v>480525.83181471552</v>
      </c>
      <c r="E22" s="102">
        <f>+'Annual Energy Data'!Q31</f>
        <v>468138.48178870423</v>
      </c>
      <c r="F22" s="102">
        <f>+'Annual Energy Data'!U31</f>
        <v>616126.88040439831</v>
      </c>
      <c r="G22" s="102">
        <f>+'Annual Energy Data'!V31</f>
        <v>620873.47339124524</v>
      </c>
      <c r="H22" s="102">
        <f>+'Annual Energy Data'!W31</f>
        <v>542625.64259943168</v>
      </c>
      <c r="I22" s="102">
        <f>+'Annual Energy Data'!X31</f>
        <v>583269.79633506981</v>
      </c>
      <c r="J22" s="102">
        <f>+'Annual Energy Data'!AD31</f>
        <v>0</v>
      </c>
      <c r="K22" s="102">
        <f>+SUM('Annual Energy Data'!AE31:AH31)</f>
        <v>39974.799999999996</v>
      </c>
      <c r="L22" s="102">
        <f>+'Annual Energy Data'!BD31</f>
        <v>11680</v>
      </c>
      <c r="M22" s="102">
        <f>+SUM('Annual Energy Data'!AI31:AJ31)</f>
        <v>39082.345000000008</v>
      </c>
      <c r="N22" s="102">
        <f>+SUM('Annual Energy Data'!AK31:AL31)</f>
        <v>0</v>
      </c>
      <c r="O22" s="102">
        <f>+SUM('Annual Energy Data'!AM31:AN31)</f>
        <v>13626.101309630476</v>
      </c>
      <c r="P22" s="102">
        <f>+'Annual Energy Data'!AO31</f>
        <v>21326.281999999999</v>
      </c>
      <c r="Q22" s="102">
        <f>+'Annual Energy Data'!AP31</f>
        <v>10215.179999999998</v>
      </c>
      <c r="R22" s="102">
        <f>+SUM('Annual Energy Data'!AQ31:BC31)</f>
        <v>22480.277331318477</v>
      </c>
      <c r="S22" s="102">
        <f>+'Annual Energy Data'!BL31</f>
        <v>85410</v>
      </c>
      <c r="T22" s="102">
        <f>+'Annual Energy Data'!BM31</f>
        <v>0</v>
      </c>
      <c r="U22" s="102">
        <f>+'Annual Energy Data'!BN31</f>
        <v>0</v>
      </c>
      <c r="V22" s="102">
        <f>+'Annual Energy Data'!BO31</f>
        <v>0</v>
      </c>
      <c r="W22" s="102">
        <f>+'Annual Energy Data'!BP31</f>
        <v>52.536120000000011</v>
      </c>
      <c r="X22" s="102">
        <f>+'Annual Energy Data'!BQ31</f>
        <v>0</v>
      </c>
      <c r="Y22" s="102">
        <f>+'Annual Energy Data'!BR31</f>
        <v>14251.333333333338</v>
      </c>
      <c r="Z22" s="102">
        <f>+'Annual Energy Data'!BS31</f>
        <v>0</v>
      </c>
      <c r="AA22" s="102">
        <f>+'Annual Energy Data'!BJ31</f>
        <v>33491.868685536669</v>
      </c>
      <c r="AB22" s="102">
        <f>+'Annual Energy Data'!BE31</f>
        <v>1464.9181572054813</v>
      </c>
      <c r="AC22" s="102">
        <f>+'Annual Energy Data'!BF31</f>
        <v>1913.5979158875077</v>
      </c>
      <c r="AD22" s="102">
        <f>+'Annual Energy Data'!BG31</f>
        <v>6925.6023818898757</v>
      </c>
      <c r="AE22" s="102">
        <f>+'Annual Energy Data'!BH31</f>
        <v>2372.7116725978881</v>
      </c>
      <c r="AF22" s="102">
        <f>+'Annual Energy Data'!BI31</f>
        <v>2602.9152190630575</v>
      </c>
      <c r="AG22" s="102">
        <f>+'Annual Energy Data'!BT31</f>
        <v>64784</v>
      </c>
      <c r="AH22" s="102">
        <f t="shared" si="0"/>
        <v>371654.46912646282</v>
      </c>
      <c r="AJ22" s="189" t="str">
        <f>+S5</f>
        <v>Next Era - Seabrook</v>
      </c>
      <c r="AK22" s="102">
        <v>0</v>
      </c>
      <c r="AL22" s="102">
        <v>0</v>
      </c>
      <c r="AM22" s="102">
        <v>78156</v>
      </c>
      <c r="AN22" s="102">
        <f>+S9</f>
        <v>85410</v>
      </c>
      <c r="AO22" s="102">
        <f>+S10</f>
        <v>78624</v>
      </c>
      <c r="AP22" s="102">
        <f>+S11</f>
        <v>78156</v>
      </c>
      <c r="AQ22" s="102">
        <f>+S13</f>
        <v>85410</v>
      </c>
      <c r="AR22" s="102">
        <f>+S14</f>
        <v>78390</v>
      </c>
      <c r="AS22" s="102">
        <f>+S15</f>
        <v>78390</v>
      </c>
      <c r="AT22" s="102">
        <f>+S16</f>
        <v>85410</v>
      </c>
      <c r="AU22" s="102">
        <f>+S17</f>
        <v>78390</v>
      </c>
      <c r="AV22" s="102">
        <f>+S18</f>
        <v>78156</v>
      </c>
      <c r="AW22" s="102">
        <f>+S19</f>
        <v>85644</v>
      </c>
      <c r="AX22" s="102">
        <f>+S20</f>
        <v>78390</v>
      </c>
      <c r="AY22" s="102">
        <f>+S21</f>
        <v>78156</v>
      </c>
      <c r="AZ22" s="102">
        <f>+S22</f>
        <v>85410</v>
      </c>
      <c r="BA22" s="102">
        <f>+S23</f>
        <v>78624</v>
      </c>
      <c r="BB22" s="102">
        <f>+S24</f>
        <v>78156</v>
      </c>
      <c r="BC22" s="102">
        <f>+S25</f>
        <v>85410</v>
      </c>
      <c r="BD22" s="102">
        <f>+S26</f>
        <v>0</v>
      </c>
      <c r="BE22" s="102">
        <f>+S27</f>
        <v>0</v>
      </c>
      <c r="BF22" s="102">
        <f>+S28</f>
        <v>0</v>
      </c>
      <c r="BG22" s="102">
        <f>+S29</f>
        <v>0</v>
      </c>
      <c r="BH22" s="102">
        <f>+$S30</f>
        <v>0</v>
      </c>
      <c r="BI22" s="102">
        <f>+$S31</f>
        <v>0</v>
      </c>
      <c r="BJ22" s="102">
        <f>+$S32</f>
        <v>0</v>
      </c>
      <c r="BK22" s="102">
        <f>+$S33</f>
        <v>0</v>
      </c>
      <c r="BL22" s="102">
        <f>+$S34</f>
        <v>0</v>
      </c>
      <c r="BM22" s="102">
        <f>+$S35</f>
        <v>0</v>
      </c>
      <c r="BN22" s="102">
        <f>+$S36</f>
        <v>0</v>
      </c>
      <c r="BO22" s="102">
        <f>+$S37</f>
        <v>0</v>
      </c>
      <c r="BP22" s="102">
        <f>+$S38</f>
        <v>0</v>
      </c>
      <c r="BQ22" s="102">
        <f>+$S39</f>
        <v>0</v>
      </c>
      <c r="BR22" s="102">
        <f>+$S40</f>
        <v>0</v>
      </c>
      <c r="BS22" s="102">
        <f>+$S41</f>
        <v>0</v>
      </c>
      <c r="BU22" s="58">
        <f t="shared" si="1"/>
        <v>676969.75413824874</v>
      </c>
    </row>
    <row r="23" spans="1:73" x14ac:dyDescent="0.2">
      <c r="B23" s="89">
        <f>+'Annual Energy Data'!A32</f>
        <v>2032</v>
      </c>
      <c r="C23" s="102">
        <f>+'Annual Energy Data'!I32</f>
        <v>464561.36606166756</v>
      </c>
      <c r="D23" s="102">
        <f>+'Annual Energy Data'!M32</f>
        <v>476974.32985587325</v>
      </c>
      <c r="E23" s="102">
        <f>+'Annual Energy Data'!Q32</f>
        <v>464561.36606166756</v>
      </c>
      <c r="F23" s="102">
        <f>+'Annual Energy Data'!U32</f>
        <v>634675.02635726519</v>
      </c>
      <c r="G23" s="102">
        <f>+'Annual Energy Data'!V32</f>
        <v>638688.24670604919</v>
      </c>
      <c r="H23" s="102">
        <f>+'Annual Energy Data'!W32</f>
        <v>553259.15443177917</v>
      </c>
      <c r="I23" s="102">
        <f>+'Annual Energy Data'!X32</f>
        <v>597913.40558074613</v>
      </c>
      <c r="J23" s="102">
        <f>+'Annual Energy Data'!AD32</f>
        <v>0</v>
      </c>
      <c r="K23" s="102">
        <f>+SUM('Annual Energy Data'!AE32:AH32)</f>
        <v>40084.32</v>
      </c>
      <c r="L23" s="102">
        <f>+'Annual Energy Data'!BD32</f>
        <v>11712</v>
      </c>
      <c r="M23" s="102">
        <f>+SUM('Annual Energy Data'!AI32:AJ32)</f>
        <v>39082.345000000008</v>
      </c>
      <c r="N23" s="102">
        <f>+SUM('Annual Energy Data'!AK32:AL32)</f>
        <v>0</v>
      </c>
      <c r="O23" s="102">
        <f>+SUM('Annual Energy Data'!AM32:AN32)</f>
        <v>11347.727874750475</v>
      </c>
      <c r="P23" s="102">
        <f>+'Annual Energy Data'!AO32</f>
        <v>21326.281999999999</v>
      </c>
      <c r="Q23" s="102">
        <f>+'Annual Energy Data'!AP32</f>
        <v>0</v>
      </c>
      <c r="R23" s="102">
        <f>+SUM('Annual Energy Data'!AQ32:BC32)</f>
        <v>22096.519032520115</v>
      </c>
      <c r="S23" s="102">
        <f>+'Annual Energy Data'!BL32</f>
        <v>78624</v>
      </c>
      <c r="T23" s="102">
        <f>+'Annual Energy Data'!BM32</f>
        <v>0</v>
      </c>
      <c r="U23" s="102">
        <f>+'Annual Energy Data'!BN32</f>
        <v>0</v>
      </c>
      <c r="V23" s="102">
        <f>+'Annual Energy Data'!BO32</f>
        <v>0</v>
      </c>
      <c r="W23" s="102">
        <f>+'Annual Energy Data'!BP32</f>
        <v>52.536120000000011</v>
      </c>
      <c r="X23" s="102">
        <f>+'Annual Energy Data'!BQ32</f>
        <v>0</v>
      </c>
      <c r="Y23" s="102">
        <f>+'Annual Energy Data'!BR32</f>
        <v>14251.333333333338</v>
      </c>
      <c r="Z23" s="102">
        <f>+'Annual Energy Data'!BS32</f>
        <v>0</v>
      </c>
      <c r="AA23" s="102">
        <f>+'Annual Energy Data'!BJ32</f>
        <v>33827.750506955665</v>
      </c>
      <c r="AB23" s="102">
        <f>+'Annual Energy Data'!BE32</f>
        <v>1457.5935664194537</v>
      </c>
      <c r="AC23" s="102">
        <f>+'Annual Energy Data'!BF32</f>
        <v>1904.0299263080701</v>
      </c>
      <c r="AD23" s="102">
        <f>+'Annual Energy Data'!BG32</f>
        <v>6890.9743699804267</v>
      </c>
      <c r="AE23" s="102">
        <f>+'Annual Energy Data'!BH32</f>
        <v>2360.8481142348987</v>
      </c>
      <c r="AF23" s="102">
        <f>+'Annual Energy Data'!BI32</f>
        <v>2589.900642967742</v>
      </c>
      <c r="AG23" s="102">
        <f>+'Annual Energy Data'!BT32</f>
        <v>65024</v>
      </c>
      <c r="AH23" s="102">
        <f t="shared" si="0"/>
        <v>352632.16048747028</v>
      </c>
      <c r="AJ23" s="189" t="str">
        <f>+T5</f>
        <v>NextEra 2022-2025</v>
      </c>
      <c r="AK23" s="102">
        <v>0</v>
      </c>
      <c r="AL23" s="102">
        <v>0</v>
      </c>
      <c r="AM23" s="102">
        <v>43800</v>
      </c>
      <c r="AN23" s="102">
        <f>+T9</f>
        <v>43800</v>
      </c>
      <c r="AO23" s="102">
        <f>+T10</f>
        <v>43920</v>
      </c>
      <c r="AP23" s="102">
        <f>+T11</f>
        <v>0</v>
      </c>
      <c r="AQ23" s="102">
        <f>+T13</f>
        <v>18282.3</v>
      </c>
      <c r="AR23" s="102">
        <f>+T14</f>
        <v>41878.100000000006</v>
      </c>
      <c r="AS23" s="102">
        <f>+T15</f>
        <v>61837.3</v>
      </c>
      <c r="AT23" s="102">
        <f>+T16</f>
        <v>61570.900000000009</v>
      </c>
      <c r="AU23" s="102">
        <f>+T17</f>
        <v>0</v>
      </c>
      <c r="AV23" s="102">
        <f>+T18</f>
        <v>0</v>
      </c>
      <c r="AW23" s="102">
        <f>+T19</f>
        <v>0</v>
      </c>
      <c r="AX23" s="102">
        <f>+T20</f>
        <v>0</v>
      </c>
      <c r="AY23" s="102">
        <f>+T21</f>
        <v>0</v>
      </c>
      <c r="AZ23" s="102">
        <f>+T22</f>
        <v>0</v>
      </c>
      <c r="BA23" s="102">
        <f>+T23</f>
        <v>0</v>
      </c>
      <c r="BB23" s="102">
        <f>+T24</f>
        <v>0</v>
      </c>
      <c r="BC23" s="102">
        <f>+T25</f>
        <v>0</v>
      </c>
      <c r="BD23" s="102">
        <f>+T26</f>
        <v>0</v>
      </c>
      <c r="BE23" s="102">
        <f>+T27</f>
        <v>0</v>
      </c>
      <c r="BF23" s="102">
        <f>+T28</f>
        <v>0</v>
      </c>
      <c r="BG23" s="102">
        <f>+T29</f>
        <v>0</v>
      </c>
      <c r="BH23" s="102">
        <f>+$T30</f>
        <v>0</v>
      </c>
      <c r="BI23" s="102">
        <f>+$T31</f>
        <v>0</v>
      </c>
      <c r="BJ23" s="102">
        <f>+$T32</f>
        <v>0</v>
      </c>
      <c r="BK23" s="102">
        <f>+$T33</f>
        <v>0</v>
      </c>
      <c r="BL23" s="102">
        <f>+$T34</f>
        <v>0</v>
      </c>
      <c r="BM23" s="102">
        <f>+$T35</f>
        <v>0</v>
      </c>
      <c r="BN23" s="102">
        <f>+$T36</f>
        <v>0</v>
      </c>
      <c r="BO23" s="102">
        <f>+$T37</f>
        <v>0</v>
      </c>
      <c r="BP23" s="102">
        <f>+$T38</f>
        <v>0</v>
      </c>
      <c r="BQ23" s="102">
        <f>+$T39</f>
        <v>0</v>
      </c>
      <c r="BR23" s="102">
        <f>+$T40</f>
        <v>0</v>
      </c>
      <c r="BS23" s="102">
        <f>+$T41</f>
        <v>0</v>
      </c>
      <c r="BU23" s="58">
        <f t="shared" si="1"/>
        <v>692389.06635307381</v>
      </c>
    </row>
    <row r="24" spans="1:73" x14ac:dyDescent="0.2">
      <c r="B24" s="89">
        <f>+'Annual Energy Data'!A33</f>
        <v>2033</v>
      </c>
      <c r="C24" s="102">
        <f>+'Annual Energy Data'!I33</f>
        <v>461084.96747182281</v>
      </c>
      <c r="D24" s="102">
        <f>+'Annual Energy Data'!M33</f>
        <v>473472.31749783404</v>
      </c>
      <c r="E24" s="102">
        <f>+'Annual Energy Data'!Q33</f>
        <v>461084.96747182281</v>
      </c>
      <c r="F24" s="102">
        <f>+'Annual Energy Data'!U33</f>
        <v>652630.18622720416</v>
      </c>
      <c r="G24" s="102">
        <f>+'Annual Energy Data'!V33</f>
        <v>657164.28327400493</v>
      </c>
      <c r="H24" s="102">
        <f>+'Annual Energy Data'!W33</f>
        <v>565231.52055125812</v>
      </c>
      <c r="I24" s="102">
        <f>+'Annual Energy Data'!X33</f>
        <v>613245.56971877045</v>
      </c>
      <c r="J24" s="102">
        <f>+'Annual Energy Data'!AD33</f>
        <v>0</v>
      </c>
      <c r="K24" s="102">
        <f>+SUM('Annual Energy Data'!AE33:AH33)</f>
        <v>39974.799999999996</v>
      </c>
      <c r="L24" s="102">
        <f>+'Annual Energy Data'!BD33</f>
        <v>0</v>
      </c>
      <c r="M24" s="102">
        <f>+SUM('Annual Energy Data'!AI33:AJ33)</f>
        <v>39082.345000000008</v>
      </c>
      <c r="N24" s="102">
        <f>+SUM('Annual Energy Data'!AK33:AL33)</f>
        <v>0</v>
      </c>
      <c r="O24" s="102">
        <f>+SUM('Annual Energy Data'!AM33:AN33)</f>
        <v>0</v>
      </c>
      <c r="P24" s="102">
        <f>+'Annual Energy Data'!AO33</f>
        <v>21326.281999999999</v>
      </c>
      <c r="Q24" s="102">
        <f>+'Annual Energy Data'!AP33</f>
        <v>0</v>
      </c>
      <c r="R24" s="102">
        <f>+SUM('Annual Energy Data'!AQ33:BC33)</f>
        <v>21678.818987417155</v>
      </c>
      <c r="S24" s="102">
        <f>+'Annual Energy Data'!BL33</f>
        <v>78156</v>
      </c>
      <c r="T24" s="102">
        <f>+'Annual Energy Data'!BM33</f>
        <v>0</v>
      </c>
      <c r="U24" s="102">
        <f>+'Annual Energy Data'!BN33</f>
        <v>0</v>
      </c>
      <c r="V24" s="102">
        <f>+'Annual Energy Data'!BO33</f>
        <v>0</v>
      </c>
      <c r="W24" s="102">
        <f>+'Annual Energy Data'!BP33</f>
        <v>52.536120000000011</v>
      </c>
      <c r="X24" s="102">
        <f>+'Annual Energy Data'!BQ33</f>
        <v>0</v>
      </c>
      <c r="Y24" s="102">
        <f>+'Annual Energy Data'!BR33</f>
        <v>14251.333333333338</v>
      </c>
      <c r="Z24" s="102">
        <f>+'Annual Energy Data'!BS33</f>
        <v>0</v>
      </c>
      <c r="AA24" s="102">
        <f>+'Annual Energy Data'!BJ33</f>
        <v>34017.15729992697</v>
      </c>
      <c r="AB24" s="102">
        <f>+'Annual Energy Data'!BE33</f>
        <v>1450.3055985873568</v>
      </c>
      <c r="AC24" s="102">
        <f>+'Annual Energy Data'!BF33</f>
        <v>1894.5097766765298</v>
      </c>
      <c r="AD24" s="102">
        <f>+'Annual Energy Data'!BG33</f>
        <v>6856.519498130524</v>
      </c>
      <c r="AE24" s="102">
        <f>+'Annual Energy Data'!BH33</f>
        <v>2349.0438736637238</v>
      </c>
      <c r="AF24" s="102">
        <f>+'Annual Energy Data'!BI33</f>
        <v>2576.9511397529031</v>
      </c>
      <c r="AG24" s="102">
        <f>+'Annual Energy Data'!BT33</f>
        <v>64672</v>
      </c>
      <c r="AH24" s="102">
        <f t="shared" si="0"/>
        <v>328338.60262748849</v>
      </c>
      <c r="AJ24" s="189" t="str">
        <f>+U5</f>
        <v>Exelon</v>
      </c>
      <c r="AK24" s="102">
        <v>0</v>
      </c>
      <c r="AL24" s="102">
        <v>0</v>
      </c>
      <c r="AM24" s="102">
        <v>54595</v>
      </c>
      <c r="AN24" s="102">
        <f>+U9</f>
        <v>43800</v>
      </c>
      <c r="AO24" s="102">
        <f>+U10</f>
        <v>43920</v>
      </c>
      <c r="AP24" s="102">
        <f>+U11</f>
        <v>0</v>
      </c>
      <c r="AQ24" s="102">
        <f>+U13</f>
        <v>0</v>
      </c>
      <c r="AR24" s="102">
        <f>+U14</f>
        <v>0</v>
      </c>
      <c r="AS24" s="102">
        <f>+U15</f>
        <v>0</v>
      </c>
      <c r="AT24" s="102">
        <f>+U16</f>
        <v>0</v>
      </c>
      <c r="AU24" s="102">
        <f>+U17</f>
        <v>0</v>
      </c>
      <c r="AV24" s="102">
        <f>+U18</f>
        <v>0</v>
      </c>
      <c r="AW24" s="102">
        <f>+U19</f>
        <v>0</v>
      </c>
      <c r="AX24" s="102">
        <f>+U20</f>
        <v>0</v>
      </c>
      <c r="AY24" s="102">
        <f>+U21</f>
        <v>0</v>
      </c>
      <c r="AZ24" s="102">
        <f>+U22</f>
        <v>0</v>
      </c>
      <c r="BA24" s="102">
        <f>+U23</f>
        <v>0</v>
      </c>
      <c r="BB24" s="102">
        <f>+U24</f>
        <v>0</v>
      </c>
      <c r="BC24" s="102">
        <f>+U25</f>
        <v>0</v>
      </c>
      <c r="BD24" s="102">
        <f>+U26</f>
        <v>0</v>
      </c>
      <c r="BE24" s="102">
        <f>+U27</f>
        <v>0</v>
      </c>
      <c r="BF24" s="102">
        <f>+U28</f>
        <v>0</v>
      </c>
      <c r="BG24" s="102">
        <f>+U29</f>
        <v>0</v>
      </c>
      <c r="BH24" s="102">
        <f>+$U30</f>
        <v>0</v>
      </c>
      <c r="BI24" s="102">
        <f>+$U31</f>
        <v>0</v>
      </c>
      <c r="BJ24" s="102">
        <f>+$U32</f>
        <v>0</v>
      </c>
      <c r="BK24" s="102">
        <f>+$U33</f>
        <v>0</v>
      </c>
      <c r="BL24" s="102">
        <f>+$U34</f>
        <v>0</v>
      </c>
      <c r="BM24" s="102">
        <f>+$U35</f>
        <v>0</v>
      </c>
      <c r="BN24" s="102">
        <f>+$U36</f>
        <v>0</v>
      </c>
      <c r="BO24" s="102">
        <f>+$U37</f>
        <v>0</v>
      </c>
      <c r="BP24" s="102">
        <f>+$U38</f>
        <v>0</v>
      </c>
      <c r="BQ24" s="102">
        <f>+$U39</f>
        <v>0</v>
      </c>
      <c r="BR24" s="102">
        <f>+$U40</f>
        <v>0</v>
      </c>
      <c r="BS24" s="102">
        <f>+$U41</f>
        <v>0</v>
      </c>
      <c r="BU24" s="58">
        <f t="shared" si="1"/>
        <v>706382.88977047312</v>
      </c>
    </row>
    <row r="25" spans="1:73" x14ac:dyDescent="0.2">
      <c r="B25" s="89">
        <f>+'Annual Energy Data'!A34</f>
        <v>2034</v>
      </c>
      <c r="C25" s="102">
        <f>+'Annual Energy Data'!I34</f>
        <v>457624.26202331885</v>
      </c>
      <c r="D25" s="102">
        <f>+'Annual Energy Data'!M34</f>
        <v>470011.61204933014</v>
      </c>
      <c r="E25" s="102">
        <f>+'Annual Energy Data'!Q34</f>
        <v>457624.26202331885</v>
      </c>
      <c r="F25" s="102">
        <f>+'Annual Energy Data'!U34</f>
        <v>669823.98617135419</v>
      </c>
      <c r="G25" s="102">
        <f>+'Annual Energy Data'!V34</f>
        <v>676250.96556458564</v>
      </c>
      <c r="H25" s="102">
        <f>+'Annual Energy Data'!W34</f>
        <v>578445.00235747173</v>
      </c>
      <c r="I25" s="102">
        <f>+'Annual Energy Data'!X34</f>
        <v>629247.53521484334</v>
      </c>
      <c r="J25" s="102">
        <f>+'Annual Energy Data'!AD34</f>
        <v>0</v>
      </c>
      <c r="K25" s="102">
        <f>+SUM('Annual Energy Data'!AE34:AH34)</f>
        <v>39974.799999999996</v>
      </c>
      <c r="L25" s="102">
        <f>+'Annual Energy Data'!BD34</f>
        <v>0</v>
      </c>
      <c r="M25" s="102">
        <f>+SUM('Annual Energy Data'!AI34:AJ34)</f>
        <v>39082.345000000008</v>
      </c>
      <c r="N25" s="102">
        <f>+SUM('Annual Energy Data'!AK34:AL34)</f>
        <v>0</v>
      </c>
      <c r="O25" s="102">
        <f>+SUM('Annual Energy Data'!AM34:AN34)</f>
        <v>0</v>
      </c>
      <c r="P25" s="102">
        <f>+'Annual Energy Data'!AO34</f>
        <v>21326.281999999999</v>
      </c>
      <c r="Q25" s="102">
        <f>+'Annual Energy Data'!AP34</f>
        <v>0</v>
      </c>
      <c r="R25" s="102">
        <f>+SUM('Annual Energy Data'!AQ34:BC34)</f>
        <v>21278.130860380184</v>
      </c>
      <c r="S25" s="102">
        <f>+'Annual Energy Data'!BL34</f>
        <v>85410</v>
      </c>
      <c r="T25" s="102">
        <f>+'Annual Energy Data'!BM34</f>
        <v>0</v>
      </c>
      <c r="U25" s="102">
        <f>+'Annual Energy Data'!BN34</f>
        <v>0</v>
      </c>
      <c r="V25" s="102">
        <f>+'Annual Energy Data'!BO34</f>
        <v>0</v>
      </c>
      <c r="W25" s="102">
        <f>+'Annual Energy Data'!BP34</f>
        <v>52.536120000000011</v>
      </c>
      <c r="X25" s="102">
        <f>+'Annual Energy Data'!BQ34</f>
        <v>0</v>
      </c>
      <c r="Y25" s="102">
        <f>+'Annual Energy Data'!BR34</f>
        <v>9807.0000000000018</v>
      </c>
      <c r="Z25" s="102">
        <f>+'Annual Energy Data'!BS34</f>
        <v>0</v>
      </c>
      <c r="AA25" s="102">
        <f>+'Annual Energy Data'!BJ34</f>
        <v>34195.942138102735</v>
      </c>
      <c r="AB25" s="102">
        <f>+'Annual Energy Data'!BE34</f>
        <v>1443.0540705944197</v>
      </c>
      <c r="AC25" s="102">
        <f>+'Annual Energy Data'!BF34</f>
        <v>1885.0372277931469</v>
      </c>
      <c r="AD25" s="102">
        <f>+'Annual Energy Data'!BG34</f>
        <v>6822.2369006398712</v>
      </c>
      <c r="AE25" s="102">
        <f>+'Annual Energy Data'!BH34</f>
        <v>2337.2986542954059</v>
      </c>
      <c r="AF25" s="102">
        <f>+'Annual Energy Data'!BI34</f>
        <v>2564.0663840541388</v>
      </c>
      <c r="AG25" s="102">
        <f>+'Annual Energy Data'!BT34</f>
        <v>64656</v>
      </c>
      <c r="AH25" s="102">
        <f t="shared" si="0"/>
        <v>330834.72935585992</v>
      </c>
      <c r="AJ25" s="189" t="str">
        <f>+V5</f>
        <v>BP Energy</v>
      </c>
      <c r="AK25" s="102">
        <v>0</v>
      </c>
      <c r="AL25" s="102">
        <v>0</v>
      </c>
      <c r="AM25" s="102">
        <v>0</v>
      </c>
      <c r="AN25" s="102">
        <f>+V9</f>
        <v>0</v>
      </c>
      <c r="AO25" s="102">
        <f>+V10</f>
        <v>0</v>
      </c>
      <c r="AP25" s="102">
        <f>+V11</f>
        <v>0</v>
      </c>
      <c r="AQ25" s="102">
        <f>+V13</f>
        <v>0</v>
      </c>
      <c r="AR25" s="102">
        <f>+V14</f>
        <v>0</v>
      </c>
      <c r="AS25" s="102">
        <f>+V15</f>
        <v>0</v>
      </c>
      <c r="AT25" s="102">
        <f>+V16</f>
        <v>0</v>
      </c>
      <c r="AU25" s="102">
        <f>+V17</f>
        <v>0</v>
      </c>
      <c r="AV25" s="102">
        <f>+V18</f>
        <v>0</v>
      </c>
      <c r="AW25" s="102">
        <f>+V19</f>
        <v>0</v>
      </c>
      <c r="AX25" s="102">
        <f>+V20</f>
        <v>0</v>
      </c>
      <c r="AY25" s="102">
        <f>+V21</f>
        <v>0</v>
      </c>
      <c r="AZ25" s="102">
        <f>+V22</f>
        <v>0</v>
      </c>
      <c r="BA25" s="102">
        <f>+V23</f>
        <v>0</v>
      </c>
      <c r="BB25" s="102">
        <f>+V24</f>
        <v>0</v>
      </c>
      <c r="BC25" s="102">
        <f>+V25</f>
        <v>0</v>
      </c>
      <c r="BD25" s="102">
        <f>+V26</f>
        <v>0</v>
      </c>
      <c r="BE25" s="102">
        <f>V27</f>
        <v>0</v>
      </c>
      <c r="BF25" s="102">
        <f>+V28</f>
        <v>0</v>
      </c>
      <c r="BG25" s="102">
        <f>+V29</f>
        <v>0</v>
      </c>
      <c r="BH25" s="102">
        <f>+$V30</f>
        <v>0</v>
      </c>
      <c r="BI25" s="102">
        <f>+$V31</f>
        <v>0</v>
      </c>
      <c r="BJ25" s="102">
        <f>+$V32</f>
        <v>0</v>
      </c>
      <c r="BK25" s="102">
        <f>+$V33</f>
        <v>0</v>
      </c>
      <c r="BL25" s="102">
        <f>+$V34</f>
        <v>0</v>
      </c>
      <c r="BM25" s="102">
        <f>+$V35</f>
        <v>0</v>
      </c>
      <c r="BN25" s="102">
        <f>+$V36</f>
        <v>0</v>
      </c>
      <c r="BO25" s="102">
        <f>+$V37</f>
        <v>0</v>
      </c>
      <c r="BP25" s="102">
        <f>+$V38</f>
        <v>0</v>
      </c>
      <c r="BQ25" s="102">
        <f>+$V39</f>
        <v>0</v>
      </c>
      <c r="BR25" s="102">
        <f>+$V40</f>
        <v>0</v>
      </c>
      <c r="BS25" s="102">
        <f>+$V41</f>
        <v>0</v>
      </c>
      <c r="BU25" s="58">
        <f t="shared" si="1"/>
        <v>717962.68775254325</v>
      </c>
    </row>
    <row r="26" spans="1:73" x14ac:dyDescent="0.2">
      <c r="A26" t="e">
        <f>+G26/G14</f>
        <v>#DIV/0!</v>
      </c>
      <c r="B26" s="89">
        <f>+'Annual Energy Data'!A35</f>
        <v>2035</v>
      </c>
      <c r="C26" s="102">
        <f>+'Annual Energy Data'!I35</f>
        <v>454168.1554260109</v>
      </c>
      <c r="D26" s="102">
        <f>+'Annual Energy Data'!M35</f>
        <v>466555.50545202213</v>
      </c>
      <c r="E26" s="102">
        <f>+'Annual Energy Data'!Q35</f>
        <v>454168.1554260109</v>
      </c>
      <c r="F26" s="102">
        <f>+'Annual Energy Data'!U35</f>
        <v>684634.91834434343</v>
      </c>
      <c r="G26" s="102">
        <f>+'Annual Energy Data'!V35</f>
        <v>695043.4194148333</v>
      </c>
      <c r="H26" s="102">
        <f>+'Annual Energy Data'!W35</f>
        <v>592612.44988284016</v>
      </c>
      <c r="I26" s="102">
        <f>+'Annual Energy Data'!X35</f>
        <v>645238.93182251533</v>
      </c>
      <c r="J26" s="102">
        <f>+'Annual Energy Data'!AD35</f>
        <v>0</v>
      </c>
      <c r="K26" s="102">
        <f>+SUM('Annual Energy Data'!AE35:AH35)</f>
        <v>39974.799999999996</v>
      </c>
      <c r="L26" s="102">
        <f>+'Annual Energy Data'!BD35</f>
        <v>0</v>
      </c>
      <c r="M26" s="102">
        <f>+SUM('Annual Energy Data'!AI35:AJ35)</f>
        <v>39082.345000000008</v>
      </c>
      <c r="N26" s="102">
        <f>+SUM('Annual Energy Data'!AK35:AL35)</f>
        <v>0</v>
      </c>
      <c r="O26" s="102">
        <f>+SUM('Annual Energy Data'!AM35:AN35)</f>
        <v>0</v>
      </c>
      <c r="P26" s="102">
        <f>+'Annual Energy Data'!AO35</f>
        <v>21326.281999999999</v>
      </c>
      <c r="Q26" s="102">
        <f>+'Annual Energy Data'!AP35</f>
        <v>0</v>
      </c>
      <c r="R26" s="102">
        <f>+SUM('Annual Energy Data'!AQ35:BC35)</f>
        <v>21223.151654515084</v>
      </c>
      <c r="S26" s="102">
        <f>+'Annual Energy Data'!BL35</f>
        <v>0</v>
      </c>
      <c r="T26" s="102">
        <f>+'Annual Energy Data'!BM35</f>
        <v>0</v>
      </c>
      <c r="U26" s="102">
        <f>+'Annual Energy Data'!BN35</f>
        <v>0</v>
      </c>
      <c r="V26" s="102">
        <f>+'Annual Energy Data'!BO35</f>
        <v>0</v>
      </c>
      <c r="W26" s="102">
        <f>+'Annual Energy Data'!BP35</f>
        <v>52.536120000000011</v>
      </c>
      <c r="X26" s="102">
        <f>+'Annual Energy Data'!BQ35</f>
        <v>0</v>
      </c>
      <c r="Y26" s="102">
        <f>+'Annual Energy Data'!BR35</f>
        <v>0</v>
      </c>
      <c r="Z26" s="102">
        <f>+'Annual Energy Data'!BS35</f>
        <v>0</v>
      </c>
      <c r="AA26" s="102">
        <f>+'Annual Energy Data'!BJ35</f>
        <v>34386.763823488109</v>
      </c>
      <c r="AB26" s="102">
        <f>+'Annual Energy Data'!BE35</f>
        <v>1435.8388002414474</v>
      </c>
      <c r="AC26" s="102">
        <f>+'Annual Energy Data'!BF35</f>
        <v>1875.6120416541814</v>
      </c>
      <c r="AD26" s="102">
        <f>+'Annual Energy Data'!BG35</f>
        <v>6788.1257161366721</v>
      </c>
      <c r="AE26" s="102">
        <f>+'Annual Energy Data'!BH35</f>
        <v>2325.6121610239288</v>
      </c>
      <c r="AF26" s="102">
        <f>+'Annual Energy Data'!BI35</f>
        <v>2551.246052133868</v>
      </c>
      <c r="AG26" s="102">
        <f>+'Annual Energy Data'!BT35</f>
        <v>64736</v>
      </c>
      <c r="AH26" s="102">
        <f t="shared" si="0"/>
        <v>235758.31336919329</v>
      </c>
      <c r="AJ26" s="189" t="str">
        <f>+W5</f>
        <v>VPPSA Peaker</v>
      </c>
      <c r="AK26" s="102">
        <v>0</v>
      </c>
      <c r="AL26" s="102">
        <v>0</v>
      </c>
      <c r="AM26" s="102">
        <v>0</v>
      </c>
      <c r="AN26" s="143">
        <f>+W9</f>
        <v>48.620000000000005</v>
      </c>
      <c r="AO26" s="143">
        <f>+W10</f>
        <v>48.620000000000005</v>
      </c>
      <c r="AP26" s="143">
        <f>+W11</f>
        <v>48.620000000000005</v>
      </c>
      <c r="AQ26" s="143">
        <f>+W13</f>
        <v>52.536120000000011</v>
      </c>
      <c r="AR26" s="143">
        <f>+W14</f>
        <v>52.536120000000011</v>
      </c>
      <c r="AS26" s="143">
        <f>+W15</f>
        <v>52.536120000000011</v>
      </c>
      <c r="AT26" s="143">
        <f>+W16</f>
        <v>52.536120000000011</v>
      </c>
      <c r="AU26" s="143">
        <f>+W17</f>
        <v>52.536120000000011</v>
      </c>
      <c r="AV26" s="143">
        <f>+W18</f>
        <v>52.536120000000011</v>
      </c>
      <c r="AW26" s="143">
        <f>+W19</f>
        <v>52.536120000000011</v>
      </c>
      <c r="AX26" s="143">
        <f>+W20</f>
        <v>52.536120000000011</v>
      </c>
      <c r="AY26" s="143">
        <f>+W21</f>
        <v>52.536120000000011</v>
      </c>
      <c r="AZ26" s="143">
        <f>+W22</f>
        <v>52.536120000000011</v>
      </c>
      <c r="BA26" s="143">
        <f>+W23</f>
        <v>52.536120000000011</v>
      </c>
      <c r="BB26" s="143">
        <f>+W24</f>
        <v>52.536120000000011</v>
      </c>
      <c r="BC26" s="143">
        <f>+W25</f>
        <v>52.536120000000011</v>
      </c>
      <c r="BD26" s="143">
        <f>+W26</f>
        <v>52.536120000000011</v>
      </c>
      <c r="BE26" s="143">
        <f>+W27</f>
        <v>52.536120000000011</v>
      </c>
      <c r="BF26" s="143">
        <f>+W28</f>
        <v>52.536120000000011</v>
      </c>
      <c r="BG26" s="143">
        <f>+W29</f>
        <v>52.536120000000011</v>
      </c>
      <c r="BH26" s="143">
        <f>+$W30</f>
        <v>0</v>
      </c>
      <c r="BI26" s="143">
        <f>+$W31</f>
        <v>0</v>
      </c>
      <c r="BJ26" s="143">
        <f>+$W32</f>
        <v>0</v>
      </c>
      <c r="BK26" s="143">
        <f>+$W33</f>
        <v>0</v>
      </c>
      <c r="BL26" s="143">
        <f>+$W34</f>
        <v>0</v>
      </c>
      <c r="BM26" s="143">
        <f>+$W35</f>
        <v>0</v>
      </c>
      <c r="BN26" s="143">
        <f>+$W36</f>
        <v>0</v>
      </c>
      <c r="BO26" s="143">
        <f>+$W37</f>
        <v>0</v>
      </c>
      <c r="BP26" s="143">
        <f>+$W38</f>
        <v>0</v>
      </c>
      <c r="BQ26" s="143">
        <f>+$W39</f>
        <v>0</v>
      </c>
      <c r="BR26" s="143">
        <f>+$W40</f>
        <v>0</v>
      </c>
      <c r="BS26" s="143">
        <f>+$W41</f>
        <v>0</v>
      </c>
      <c r="BU26" s="58">
        <f t="shared" si="1"/>
        <v>727076.67239116912</v>
      </c>
    </row>
    <row r="27" spans="1:73" x14ac:dyDescent="0.2">
      <c r="B27" s="89">
        <f>+'Annual Energy Data'!A36</f>
        <v>2036</v>
      </c>
      <c r="C27" s="102">
        <f>+'Annual Energy Data'!I36</f>
        <v>450752.59999360086</v>
      </c>
      <c r="D27" s="102">
        <f>+'Annual Energy Data'!M36</f>
        <v>463165.5637878066</v>
      </c>
      <c r="E27" s="102">
        <f>+'Annual Energy Data'!Q36</f>
        <v>450752.59999360086</v>
      </c>
      <c r="F27" s="102">
        <f>+'Annual Energy Data'!U36</f>
        <v>696152.57991366449</v>
      </c>
      <c r="G27" s="102">
        <f>+'Annual Energy Data'!V36</f>
        <v>713975.43825101119</v>
      </c>
      <c r="H27" s="102">
        <f>+'Annual Energy Data'!W36</f>
        <v>606943.02648805513</v>
      </c>
      <c r="I27" s="102">
        <f>+'Annual Energy Data'!X36</f>
        <v>661055.20211911167</v>
      </c>
      <c r="J27" s="102">
        <f>+'Annual Energy Data'!AD36</f>
        <v>0</v>
      </c>
      <c r="K27" s="102">
        <f>+SUM('Annual Energy Data'!AE36:AH36)</f>
        <v>40084.32</v>
      </c>
      <c r="L27" s="102">
        <f>+'Annual Energy Data'!BD36</f>
        <v>0</v>
      </c>
      <c r="M27" s="102">
        <f>+SUM('Annual Energy Data'!AI36:AJ36)</f>
        <v>39082.345000000008</v>
      </c>
      <c r="N27" s="102">
        <f>+SUM('Annual Energy Data'!AK36:AL36)</f>
        <v>0</v>
      </c>
      <c r="O27" s="102">
        <f>+SUM('Annual Energy Data'!AM36:AN36)</f>
        <v>0</v>
      </c>
      <c r="P27" s="102">
        <f>+'Annual Energy Data'!AO36</f>
        <v>21326.281999999999</v>
      </c>
      <c r="Q27" s="102">
        <f>+'Annual Energy Data'!AP36</f>
        <v>0</v>
      </c>
      <c r="R27" s="102">
        <f>+SUM('Annual Energy Data'!AQ36:BC36)</f>
        <v>20685.127510960221</v>
      </c>
      <c r="S27" s="102">
        <f>+'Annual Energy Data'!BL36</f>
        <v>0</v>
      </c>
      <c r="T27" s="102">
        <f>+'Annual Energy Data'!BM36</f>
        <v>0</v>
      </c>
      <c r="U27" s="102">
        <f>+'Annual Energy Data'!BN36</f>
        <v>0</v>
      </c>
      <c r="V27" s="102">
        <f>+'Annual Energy Data'!BO36</f>
        <v>0</v>
      </c>
      <c r="W27" s="102">
        <f>+'Annual Energy Data'!BP36</f>
        <v>52.536120000000011</v>
      </c>
      <c r="X27" s="102">
        <f>+'Annual Energy Data'!BQ36</f>
        <v>0</v>
      </c>
      <c r="Y27" s="102">
        <f>+'Annual Energy Data'!BR36</f>
        <v>0</v>
      </c>
      <c r="Z27" s="102">
        <f>+'Annual Energy Data'!BS36</f>
        <v>0</v>
      </c>
      <c r="AA27" s="102">
        <f>+'Annual Energy Data'!BJ36</f>
        <v>34583.668999111367</v>
      </c>
      <c r="AB27" s="102">
        <f>+'Annual Energy Data'!BE36</f>
        <v>1428.6596062402407</v>
      </c>
      <c r="AC27" s="102">
        <f>+'Annual Energy Data'!BF36</f>
        <v>1866.2339814459106</v>
      </c>
      <c r="AD27" s="102">
        <f>+'Annual Energy Data'!BG36</f>
        <v>6754.1850875559885</v>
      </c>
      <c r="AE27" s="102">
        <f>+'Annual Energy Data'!BH36</f>
        <v>2313.9841002188086</v>
      </c>
      <c r="AF27" s="102">
        <f>+'Annual Energy Data'!BI36</f>
        <v>2538.4898218731983</v>
      </c>
      <c r="AG27" s="102">
        <f>+'Annual Energy Data'!BT36</f>
        <v>0</v>
      </c>
      <c r="AH27" s="102">
        <f t="shared" si="0"/>
        <v>170715.83222740574</v>
      </c>
      <c r="AJ27" s="189" t="str">
        <f>+X5</f>
        <v>EDF Trading</v>
      </c>
      <c r="AK27" s="102">
        <v>0</v>
      </c>
      <c r="AL27" s="102">
        <v>0</v>
      </c>
      <c r="AM27" s="102">
        <v>0</v>
      </c>
      <c r="AN27" s="102">
        <f>+X9</f>
        <v>0</v>
      </c>
      <c r="AO27" s="102">
        <f>+X10</f>
        <v>0</v>
      </c>
      <c r="AP27" s="102">
        <f>+X11</f>
        <v>0</v>
      </c>
      <c r="AQ27" s="102">
        <f>+X13</f>
        <v>0</v>
      </c>
      <c r="AR27" s="102">
        <f>+X14</f>
        <v>0</v>
      </c>
      <c r="AS27" s="102">
        <f>+X15</f>
        <v>0</v>
      </c>
      <c r="AT27" s="102">
        <f>+X16</f>
        <v>0</v>
      </c>
      <c r="AU27" s="102">
        <f>+X17</f>
        <v>0</v>
      </c>
      <c r="AV27" s="102">
        <f>+X18</f>
        <v>0</v>
      </c>
      <c r="AW27" s="102">
        <f>+X19</f>
        <v>0</v>
      </c>
      <c r="AX27" s="102">
        <f>+X20</f>
        <v>0</v>
      </c>
      <c r="AY27" s="102">
        <f>+X21</f>
        <v>0</v>
      </c>
      <c r="AZ27" s="102">
        <f>+X22</f>
        <v>0</v>
      </c>
      <c r="BA27" s="102">
        <f>+X23</f>
        <v>0</v>
      </c>
      <c r="BB27" s="102">
        <f>+X24</f>
        <v>0</v>
      </c>
      <c r="BC27" s="102">
        <f>+X25</f>
        <v>0</v>
      </c>
      <c r="BD27" s="102">
        <f>+X26</f>
        <v>0</v>
      </c>
      <c r="BE27" s="102">
        <f>+X27</f>
        <v>0</v>
      </c>
      <c r="BF27" s="102">
        <f>+X28</f>
        <v>0</v>
      </c>
      <c r="BG27" s="102">
        <f>+X29</f>
        <v>0</v>
      </c>
      <c r="BH27" s="102">
        <f>+$X30</f>
        <v>0</v>
      </c>
      <c r="BI27" s="102">
        <f>+$X31</f>
        <v>0</v>
      </c>
      <c r="BJ27" s="102">
        <f>+$X32</f>
        <v>0</v>
      </c>
      <c r="BK27" s="102">
        <f>+$X33</f>
        <v>0</v>
      </c>
      <c r="BL27" s="102">
        <f>+$X34</f>
        <v>0</v>
      </c>
      <c r="BM27" s="102">
        <f>+$X35</f>
        <v>0</v>
      </c>
      <c r="BN27" s="102">
        <f>+$X36</f>
        <v>0</v>
      </c>
      <c r="BO27" s="102">
        <f>+$X37</f>
        <v>0</v>
      </c>
      <c r="BP27" s="102">
        <f>+$X38</f>
        <v>0</v>
      </c>
      <c r="BQ27" s="102">
        <f>+$X39</f>
        <v>0</v>
      </c>
      <c r="BR27" s="102">
        <f>+$X40</f>
        <v>0</v>
      </c>
      <c r="BS27" s="102">
        <f>+$X41</f>
        <v>0</v>
      </c>
      <c r="BU27" s="58">
        <f t="shared" si="1"/>
        <v>734861.84562976263</v>
      </c>
    </row>
    <row r="28" spans="1:73" x14ac:dyDescent="0.2">
      <c r="B28" s="89">
        <f>+'Annual Energy Data'!A37</f>
        <v>2037</v>
      </c>
      <c r="C28" s="102">
        <f>+'Annual Energy Data'!I37</f>
        <v>447387.73898049071</v>
      </c>
      <c r="D28" s="102">
        <f>+'Annual Energy Data'!M37</f>
        <v>459775.08900650206</v>
      </c>
      <c r="E28" s="102">
        <f>+'Annual Energy Data'!Q37</f>
        <v>447387.73898049071</v>
      </c>
      <c r="F28" s="102">
        <f>+'Annual Energy Data'!U37</f>
        <v>704881.09830864915</v>
      </c>
      <c r="G28" s="102">
        <f>+'Annual Energy Data'!V37</f>
        <v>733141.30112139042</v>
      </c>
      <c r="H28" s="102">
        <f>+'Annual Energy Data'!W37</f>
        <v>620684.50300369866</v>
      </c>
      <c r="I28" s="102">
        <f>+'Annual Energy Data'!X37</f>
        <v>676969.75413824874</v>
      </c>
      <c r="J28" s="102">
        <f>+'Annual Energy Data'!AD37</f>
        <v>0</v>
      </c>
      <c r="K28" s="102">
        <f>+SUM('Annual Energy Data'!AE37:AH37)</f>
        <v>39974.799999999996</v>
      </c>
      <c r="L28" s="102">
        <f>+'Annual Energy Data'!BD37</f>
        <v>0</v>
      </c>
      <c r="M28" s="102">
        <f>+SUM('Annual Energy Data'!AI37:AJ37)</f>
        <v>39082.345000000008</v>
      </c>
      <c r="N28" s="102">
        <f>+SUM('Annual Energy Data'!AK37:AL37)</f>
        <v>0</v>
      </c>
      <c r="O28" s="102">
        <f>+SUM('Annual Energy Data'!AM37:AN37)</f>
        <v>0</v>
      </c>
      <c r="P28" s="102">
        <f>+'Annual Energy Data'!AO37</f>
        <v>21188.506000000001</v>
      </c>
      <c r="Q28" s="102">
        <f>+'Annual Energy Data'!AP37</f>
        <v>0</v>
      </c>
      <c r="R28" s="102">
        <f>+SUM('Annual Energy Data'!AQ37:BC37)</f>
        <v>20215.896379748039</v>
      </c>
      <c r="S28" s="102">
        <f>+'Annual Energy Data'!BL37</f>
        <v>0</v>
      </c>
      <c r="T28" s="102">
        <f>+'Annual Energy Data'!BM37</f>
        <v>0</v>
      </c>
      <c r="U28" s="102">
        <f>+'Annual Energy Data'!BN37</f>
        <v>0</v>
      </c>
      <c r="V28" s="102">
        <f>+'Annual Energy Data'!BO37</f>
        <v>0</v>
      </c>
      <c r="W28" s="102">
        <f>+'Annual Energy Data'!BP37</f>
        <v>52.536120000000011</v>
      </c>
      <c r="X28" s="102">
        <f>+'Annual Energy Data'!BQ37</f>
        <v>0</v>
      </c>
      <c r="Y28" s="102">
        <f>+'Annual Energy Data'!BR37</f>
        <v>0</v>
      </c>
      <c r="Z28" s="102">
        <f>+'Annual Energy Data'!BS37</f>
        <v>0</v>
      </c>
      <c r="AA28" s="102">
        <f>+'Annual Energy Data'!BJ37</f>
        <v>34661.896071368363</v>
      </c>
      <c r="AB28" s="102">
        <f>+'Annual Energy Data'!BE37</f>
        <v>1421.5163082090392</v>
      </c>
      <c r="AC28" s="102">
        <f>+'Annual Energy Data'!BF37</f>
        <v>1856.9028115386809</v>
      </c>
      <c r="AD28" s="102">
        <f>+'Annual Energy Data'!BG37</f>
        <v>6720.4141621182089</v>
      </c>
      <c r="AE28" s="102">
        <f>+'Annual Energy Data'!BH37</f>
        <v>2302.4141797177153</v>
      </c>
      <c r="AF28" s="102">
        <f>+'Annual Energy Data'!BI37</f>
        <v>2525.7973727638328</v>
      </c>
      <c r="AG28" s="102">
        <f>+'Annual Energy Data'!BT37</f>
        <v>0</v>
      </c>
      <c r="AH28" s="102">
        <f t="shared" si="0"/>
        <v>170003.02440546392</v>
      </c>
      <c r="AJ28" s="189" t="str">
        <f>+Y5</f>
        <v>Newport Hydro</v>
      </c>
      <c r="AK28" s="102">
        <v>0</v>
      </c>
      <c r="AL28" s="102">
        <v>0</v>
      </c>
      <c r="AM28" s="102">
        <v>14864.68751</v>
      </c>
      <c r="AN28" s="102">
        <f>+Y9</f>
        <v>0</v>
      </c>
      <c r="AO28" s="102">
        <f>+Y10</f>
        <v>1609</v>
      </c>
      <c r="AP28" s="102">
        <f>+Y11</f>
        <v>8618</v>
      </c>
      <c r="AQ28" s="102">
        <f>+Y13</f>
        <v>15293</v>
      </c>
      <c r="AR28" s="102">
        <f>+Y14</f>
        <v>18843</v>
      </c>
      <c r="AS28" s="102">
        <f>+Y15</f>
        <v>14251.333333333338</v>
      </c>
      <c r="AT28" s="102">
        <f>+Y16</f>
        <v>14251.333333333338</v>
      </c>
      <c r="AU28" s="102">
        <f>+Y17</f>
        <v>14251.333333333338</v>
      </c>
      <c r="AV28" s="102">
        <f>+Y18</f>
        <v>14251.333333333338</v>
      </c>
      <c r="AW28" s="102">
        <f>+Y19</f>
        <v>14251.333333333338</v>
      </c>
      <c r="AX28" s="102">
        <f>+Y20</f>
        <v>14251.333333333338</v>
      </c>
      <c r="AY28" s="102">
        <f>+Y21</f>
        <v>14251.333333333338</v>
      </c>
      <c r="AZ28" s="102">
        <f>+Y22</f>
        <v>14251.333333333338</v>
      </c>
      <c r="BA28" s="102">
        <f>+Y23</f>
        <v>14251.333333333338</v>
      </c>
      <c r="BB28" s="102">
        <f>+Y24</f>
        <v>14251.333333333338</v>
      </c>
      <c r="BC28" s="102">
        <f>+Y25</f>
        <v>9807.0000000000018</v>
      </c>
      <c r="BD28" s="102">
        <f>+Y26</f>
        <v>0</v>
      </c>
      <c r="BE28" s="102">
        <f>+Y27</f>
        <v>0</v>
      </c>
      <c r="BF28" s="102">
        <f>+Y28</f>
        <v>0</v>
      </c>
      <c r="BG28" s="102">
        <f>+Y29</f>
        <v>0</v>
      </c>
      <c r="BH28" s="102">
        <f>+$Y30</f>
        <v>0</v>
      </c>
      <c r="BI28" s="102">
        <f>+$Y31</f>
        <v>0</v>
      </c>
      <c r="BJ28" s="102">
        <f>+$Y32</f>
        <v>0</v>
      </c>
      <c r="BK28" s="102">
        <f>+$Y33</f>
        <v>0</v>
      </c>
      <c r="BL28" s="102">
        <f>+$Y34</f>
        <v>0</v>
      </c>
      <c r="BM28" s="102">
        <f>+$Y35</f>
        <v>0</v>
      </c>
      <c r="BN28" s="102">
        <f>+$Y36</f>
        <v>0</v>
      </c>
      <c r="BO28" s="102">
        <f>+$Y37</f>
        <v>0</v>
      </c>
      <c r="BP28" s="102">
        <f>+$Y38</f>
        <v>0</v>
      </c>
      <c r="BQ28" s="102">
        <f>+$Y39</f>
        <v>0</v>
      </c>
      <c r="BR28" s="102">
        <f>+$Y40</f>
        <v>0</v>
      </c>
      <c r="BS28" s="102">
        <f>+$Y41</f>
        <v>0</v>
      </c>
      <c r="BU28" s="58">
        <f t="shared" si="1"/>
        <v>741820.4942532985</v>
      </c>
    </row>
    <row r="29" spans="1:73" x14ac:dyDescent="0.2">
      <c r="B29" s="89">
        <f>+'Annual Energy Data'!A38</f>
        <v>2038</v>
      </c>
      <c r="C29" s="102">
        <f>+'Annual Energy Data'!I38</f>
        <v>444005.40927147336</v>
      </c>
      <c r="D29" s="102">
        <f>+'Annual Energy Data'!M38</f>
        <v>456392.75929748471</v>
      </c>
      <c r="E29" s="102">
        <f>+'Annual Energy Data'!Q38</f>
        <v>444005.40927147336</v>
      </c>
      <c r="F29" s="102">
        <f>+'Annual Energy Data'!U38</f>
        <v>711330.67528154957</v>
      </c>
      <c r="G29" s="102">
        <f>+'Annual Energy Data'!V38</f>
        <v>751528.19713254215</v>
      </c>
      <c r="H29" s="102">
        <f>+'Annual Energy Data'!W38</f>
        <v>633249.93557360559</v>
      </c>
      <c r="I29" s="102">
        <f>+'Annual Energy Data'!X38</f>
        <v>692389.06635307381</v>
      </c>
      <c r="J29" s="102">
        <f>+'Annual Energy Data'!AD38</f>
        <v>0</v>
      </c>
      <c r="K29" s="102">
        <f>+SUM('Annual Energy Data'!AE38:AH38)</f>
        <v>33294.079999999994</v>
      </c>
      <c r="L29" s="102">
        <f>+'Annual Energy Data'!BD38</f>
        <v>0</v>
      </c>
      <c r="M29" s="102">
        <f>+SUM('Annual Energy Data'!AI38:AJ38)</f>
        <v>39082.345000000008</v>
      </c>
      <c r="N29" s="102">
        <f>+SUM('Annual Energy Data'!AK38:AL38)</f>
        <v>0</v>
      </c>
      <c r="O29" s="102">
        <f>+SUM('Annual Energy Data'!AM38:AN38)</f>
        <v>0</v>
      </c>
      <c r="P29" s="102">
        <f>+'Annual Energy Data'!AO38</f>
        <v>0</v>
      </c>
      <c r="Q29" s="102">
        <f>+'Annual Energy Data'!AP38</f>
        <v>0</v>
      </c>
      <c r="R29" s="102">
        <f>+SUM('Annual Energy Data'!AQ38:BC38)</f>
        <v>19122.926704312446</v>
      </c>
      <c r="S29" s="102">
        <f>+'Annual Energy Data'!BL38</f>
        <v>0</v>
      </c>
      <c r="T29" s="102">
        <f>+'Annual Energy Data'!BM38</f>
        <v>0</v>
      </c>
      <c r="U29" s="102">
        <f>+'Annual Energy Data'!BN38</f>
        <v>0</v>
      </c>
      <c r="V29" s="102">
        <f>+'Annual Energy Data'!BO38</f>
        <v>0</v>
      </c>
      <c r="W29" s="102">
        <f>+'Annual Energy Data'!BP38</f>
        <v>52.536120000000011</v>
      </c>
      <c r="X29" s="102">
        <f>+'Annual Energy Data'!BQ38</f>
        <v>0</v>
      </c>
      <c r="Y29" s="102">
        <f>+'Annual Energy Data'!BR38</f>
        <v>0</v>
      </c>
      <c r="Z29" s="102">
        <f>+'Annual Energy Data'!BS38</f>
        <v>0</v>
      </c>
      <c r="AA29" s="102">
        <f>+'Annual Energy Data'!BJ38</f>
        <v>34755.34918407513</v>
      </c>
      <c r="AB29" s="102">
        <f>+'Annual Energy Data'!BE38</f>
        <v>1414.408726667994</v>
      </c>
      <c r="AC29" s="102">
        <f>+'Annual Energy Data'!BF38</f>
        <v>1847.6182974809872</v>
      </c>
      <c r="AD29" s="102">
        <f>+'Annual Energy Data'!BG38</f>
        <v>6686.8120913076173</v>
      </c>
      <c r="AE29" s="102">
        <f>+'Annual Energy Data'!BH38</f>
        <v>2290.9021088191262</v>
      </c>
      <c r="AF29" s="102">
        <f>+'Annual Energy Data'!BI38</f>
        <v>2513.1683859000136</v>
      </c>
      <c r="AG29" s="102">
        <f>+'Annual Energy Data'!BT38</f>
        <v>0</v>
      </c>
      <c r="AH29" s="102">
        <f t="shared" si="0"/>
        <v>141060.14661856333</v>
      </c>
      <c r="AJ29" t="str">
        <f>+Z5</f>
        <v>Howard Wind</v>
      </c>
      <c r="AN29" s="102">
        <f>+$Z9</f>
        <v>0</v>
      </c>
      <c r="AO29" s="102">
        <f>+$Z10</f>
        <v>0</v>
      </c>
      <c r="AP29" s="102">
        <f>+$Z11</f>
        <v>0</v>
      </c>
      <c r="AQ29" s="102">
        <f>+$Z13</f>
        <v>0</v>
      </c>
      <c r="AR29" s="102">
        <f>+$Z14</f>
        <v>39560</v>
      </c>
      <c r="AS29" s="102">
        <f>+$Z15</f>
        <v>39560</v>
      </c>
      <c r="AT29" s="102">
        <f>+$Z16</f>
        <v>39560</v>
      </c>
      <c r="AU29" s="102">
        <f>+$Z17</f>
        <v>39560</v>
      </c>
      <c r="AV29" s="102">
        <f>+$Z18</f>
        <v>39560</v>
      </c>
      <c r="AW29" s="102">
        <f>+$Z19</f>
        <v>0</v>
      </c>
      <c r="AX29" s="102">
        <f>+$Z20</f>
        <v>0</v>
      </c>
      <c r="AY29" s="102">
        <f>+$Z21</f>
        <v>0</v>
      </c>
      <c r="AZ29" s="102">
        <f>+$Z22</f>
        <v>0</v>
      </c>
      <c r="BA29" s="102">
        <f>+$Z23</f>
        <v>0</v>
      </c>
      <c r="BB29" s="102">
        <f>+$Z24</f>
        <v>0</v>
      </c>
      <c r="BC29" s="102">
        <f>+$Z25</f>
        <v>0</v>
      </c>
      <c r="BD29" s="102">
        <f>+$Z26</f>
        <v>0</v>
      </c>
      <c r="BE29" s="102">
        <f>+$Z27</f>
        <v>0</v>
      </c>
      <c r="BF29" s="102">
        <f>+$Z28</f>
        <v>0</v>
      </c>
      <c r="BG29" s="102">
        <f>+$Z29</f>
        <v>0</v>
      </c>
      <c r="BH29" s="102">
        <f>+$Z30</f>
        <v>0</v>
      </c>
      <c r="BI29" s="102">
        <f>+$Z31</f>
        <v>0</v>
      </c>
      <c r="BJ29" s="102">
        <f>+$Z32</f>
        <v>0</v>
      </c>
      <c r="BK29" s="102">
        <f>+$Z33</f>
        <v>0</v>
      </c>
      <c r="BL29" s="102">
        <f>+$Z34</f>
        <v>0</v>
      </c>
      <c r="BM29" s="102">
        <f>+$Z35</f>
        <v>0</v>
      </c>
      <c r="BN29" s="102">
        <f>+$Z36</f>
        <v>0</v>
      </c>
      <c r="BO29" s="102">
        <f>+$Z37</f>
        <v>0</v>
      </c>
      <c r="BP29" s="102">
        <f>+$Z38</f>
        <v>0</v>
      </c>
      <c r="BQ29" s="102">
        <f>+$Z39</f>
        <v>0</v>
      </c>
      <c r="BR29" s="102">
        <f>+$Z40</f>
        <v>0</v>
      </c>
      <c r="BS29" s="102">
        <f>+$Z41</f>
        <v>0</v>
      </c>
      <c r="BU29" s="58">
        <f t="shared" si="1"/>
        <v>748355.85632248223</v>
      </c>
    </row>
    <row r="30" spans="1:73" x14ac:dyDescent="0.2">
      <c r="B30" s="89">
        <f>+'Annual Energy Data'!A39</f>
        <v>2039</v>
      </c>
      <c r="C30" s="102">
        <f>+'Annual Energy Data'!I39</f>
        <v>440635.31590522564</v>
      </c>
      <c r="D30" s="102">
        <f>+'Annual Energy Data'!M39</f>
        <v>453022.66593123681</v>
      </c>
      <c r="E30" s="102">
        <f>+'Annual Energy Data'!Q39</f>
        <v>440635.31590522564</v>
      </c>
      <c r="F30" s="102">
        <f>+'Annual Energy Data'!U39</f>
        <v>716120.86595409201</v>
      </c>
      <c r="G30" s="102">
        <f>+'Annual Energy Data'!V39</f>
        <v>768552.28858287516</v>
      </c>
      <c r="H30" s="102">
        <f>+'Annual Energy Data'!W39</f>
        <v>644213.49095807108</v>
      </c>
      <c r="I30" s="102">
        <f>+'Annual Energy Data'!X39</f>
        <v>706382.88977047312</v>
      </c>
      <c r="J30" s="102">
        <f>+'Annual Energy Data'!AD39</f>
        <v>0</v>
      </c>
      <c r="K30" s="102">
        <f>+SUM('Annual Energy Data'!AE39:AH39)</f>
        <v>0</v>
      </c>
      <c r="L30" s="102">
        <f>+'Annual Energy Data'!BD39</f>
        <v>0</v>
      </c>
      <c r="M30" s="102">
        <f>+SUM('Annual Energy Data'!AI39:AJ39)</f>
        <v>39082.345000000008</v>
      </c>
      <c r="N30" s="102">
        <f>+SUM('Annual Energy Data'!AK39:AL39)</f>
        <v>0</v>
      </c>
      <c r="O30" s="102">
        <f>+SUM('Annual Energy Data'!AM39:AN39)</f>
        <v>0</v>
      </c>
      <c r="P30" s="102">
        <f>+'Annual Energy Data'!AO39</f>
        <v>0</v>
      </c>
      <c r="Q30" s="102">
        <f>+'Annual Energy Data'!AP39</f>
        <v>0</v>
      </c>
      <c r="R30" s="102">
        <f>+SUM('Annual Energy Data'!AQ39:BC39)</f>
        <v>17583.098078059018</v>
      </c>
      <c r="S30" s="102">
        <f>+'Annual Energy Data'!BL39</f>
        <v>0</v>
      </c>
      <c r="T30" s="102">
        <f>+'Annual Energy Data'!BM39</f>
        <v>0</v>
      </c>
      <c r="U30" s="102">
        <f>+'Annual Energy Data'!BN39</f>
        <v>0</v>
      </c>
      <c r="V30" s="102">
        <f>+'Annual Energy Data'!BO39</f>
        <v>0</v>
      </c>
      <c r="W30" s="102">
        <f>+'Annual Energy Data'!BP39</f>
        <v>0</v>
      </c>
      <c r="X30" s="102">
        <f>+'Annual Energy Data'!BQ39</f>
        <v>0</v>
      </c>
      <c r="Y30" s="102">
        <f>+'Annual Energy Data'!BR39</f>
        <v>0</v>
      </c>
      <c r="Z30" s="102">
        <f>+'Annual Energy Data'!BS39</f>
        <v>0</v>
      </c>
      <c r="AA30" s="102">
        <f>+'Annual Energy Data'!BJ39</f>
        <v>34879.697455320158</v>
      </c>
      <c r="AB30" s="102">
        <f>+'Annual Energy Data'!BE39</f>
        <v>1407.336683034654</v>
      </c>
      <c r="AC30" s="102">
        <f>+'Annual Energy Data'!BF39</f>
        <v>1838.3802059935824</v>
      </c>
      <c r="AD30" s="102">
        <f>+'Annual Energy Data'!BG39</f>
        <v>6653.3780308510795</v>
      </c>
      <c r="AE30" s="102">
        <f>+'Annual Energy Data'!BH39</f>
        <v>2279.4475982750305</v>
      </c>
      <c r="AF30" s="102">
        <f>+'Annual Energy Data'!BI39</f>
        <v>2500.6025439705131</v>
      </c>
      <c r="AG30" s="102">
        <f>+'Annual Energy Data'!BT39</f>
        <v>0</v>
      </c>
      <c r="AH30" s="102">
        <f t="shared" si="0"/>
        <v>106224.28559550404</v>
      </c>
      <c r="AJ30" s="189" t="str">
        <f>+AA5</f>
        <v>Net Metering as Resource</v>
      </c>
      <c r="AK30" s="102">
        <v>0</v>
      </c>
      <c r="AL30" s="102">
        <v>0</v>
      </c>
      <c r="AM30" s="102">
        <v>0</v>
      </c>
      <c r="AN30" s="102">
        <f>+AA9</f>
        <v>0</v>
      </c>
      <c r="AO30" s="102">
        <f>AA10</f>
        <v>0</v>
      </c>
      <c r="AP30" s="102">
        <f>+AA11</f>
        <v>0</v>
      </c>
      <c r="AQ30" s="102">
        <f>+AA13</f>
        <v>0</v>
      </c>
      <c r="AR30" s="102">
        <f>+AA14</f>
        <v>0</v>
      </c>
      <c r="AS30" s="102">
        <f>+AA15</f>
        <v>0</v>
      </c>
      <c r="AT30" s="102">
        <f>+AA16</f>
        <v>29328.689519418396</v>
      </c>
      <c r="AU30" s="102">
        <f>+AA17</f>
        <v>30475.932016623898</v>
      </c>
      <c r="AV30" s="102">
        <f>+AA18</f>
        <v>31505.446167436185</v>
      </c>
      <c r="AW30" s="102">
        <f>+AA19</f>
        <v>32219.636771946232</v>
      </c>
      <c r="AX30" s="102">
        <f>+AA20</f>
        <v>32710.034961588553</v>
      </c>
      <c r="AY30" s="102">
        <f>+AA21</f>
        <v>33120.538293517544</v>
      </c>
      <c r="AZ30" s="102">
        <f>+AA22</f>
        <v>33491.868685536669</v>
      </c>
      <c r="BA30" s="102">
        <f>+AA23</f>
        <v>33827.750506955665</v>
      </c>
      <c r="BB30" s="102">
        <f>+AA24</f>
        <v>34017.15729992697</v>
      </c>
      <c r="BC30" s="102">
        <f>AA25</f>
        <v>34195.942138102735</v>
      </c>
      <c r="BD30" s="102">
        <f>+AA26</f>
        <v>34386.763823488109</v>
      </c>
      <c r="BE30" s="102">
        <f>+AA27</f>
        <v>34583.668999111367</v>
      </c>
      <c r="BF30" s="102">
        <f>+AA28</f>
        <v>34661.896071368363</v>
      </c>
      <c r="BG30" s="102">
        <f>+AA29</f>
        <v>34755.34918407513</v>
      </c>
      <c r="BH30" s="102">
        <f>+$AA30</f>
        <v>34879.697455320158</v>
      </c>
      <c r="BI30" s="102">
        <f>+$AA31</f>
        <v>35025.761480527464</v>
      </c>
      <c r="BJ30" s="102">
        <f>+$AA32</f>
        <v>35062.708120474766</v>
      </c>
      <c r="BK30" s="102">
        <f>+$AA33</f>
        <v>35124.737313348589</v>
      </c>
      <c r="BL30" s="102">
        <f>+$AA34</f>
        <v>9334.3472612153091</v>
      </c>
      <c r="BM30" s="102">
        <f>+$AA35</f>
        <v>9334.3472612153091</v>
      </c>
      <c r="BN30" s="102">
        <f>+$AA36</f>
        <v>9334.3472612153091</v>
      </c>
      <c r="BO30" s="102">
        <f>+$AA37</f>
        <v>9334.3472612153091</v>
      </c>
      <c r="BP30" s="102">
        <f>+$AA38</f>
        <v>0</v>
      </c>
      <c r="BQ30" s="102">
        <f>+$AA39</f>
        <v>0</v>
      </c>
      <c r="BR30" s="102">
        <f>+$AA40</f>
        <v>0</v>
      </c>
      <c r="BS30" s="102">
        <f>+$AA41</f>
        <v>0</v>
      </c>
      <c r="BU30" s="58">
        <f t="shared" si="1"/>
        <v>754570.40304862009</v>
      </c>
    </row>
    <row r="31" spans="1:73" x14ac:dyDescent="0.2">
      <c r="B31" s="89">
        <f>+'Annual Energy Data'!A40</f>
        <v>2040</v>
      </c>
      <c r="C31" s="102">
        <f>+'Annual Energy Data'!I40</f>
        <v>437235.1119122798</v>
      </c>
      <c r="D31" s="102">
        <f>+'Annual Energy Data'!M40</f>
        <v>449648.07570648537</v>
      </c>
      <c r="E31" s="102">
        <f>+'Annual Energy Data'!Q40</f>
        <v>437235.1119122798</v>
      </c>
      <c r="F31" s="102">
        <f>+'Annual Energy Data'!U40</f>
        <v>719620.63688443974</v>
      </c>
      <c r="G31" s="102">
        <f>+'Annual Energy Data'!V40</f>
        <v>782587.65066748532</v>
      </c>
      <c r="H31" s="102">
        <f>+'Annual Energy Data'!W40</f>
        <v>653337.7248376013</v>
      </c>
      <c r="I31" s="102">
        <f>+'Annual Energy Data'!X40</f>
        <v>717962.68775254325</v>
      </c>
      <c r="J31" s="102">
        <f>+'Annual Energy Data'!AD40</f>
        <v>0</v>
      </c>
      <c r="K31" s="102">
        <f>+SUM('Annual Energy Data'!AE40:AH40)</f>
        <v>0</v>
      </c>
      <c r="L31" s="102">
        <f>+'Annual Energy Data'!BD40</f>
        <v>0</v>
      </c>
      <c r="M31" s="102">
        <f>+SUM('Annual Energy Data'!AI40:AJ40)</f>
        <v>39082.345000000008</v>
      </c>
      <c r="N31" s="102">
        <f>+SUM('Annual Energy Data'!AK40:AL40)</f>
        <v>0</v>
      </c>
      <c r="O31" s="102">
        <f>+SUM('Annual Energy Data'!AM40:AN40)</f>
        <v>0</v>
      </c>
      <c r="P31" s="102">
        <f>+'Annual Energy Data'!AO40</f>
        <v>0</v>
      </c>
      <c r="Q31" s="102">
        <f>+'Annual Energy Data'!AP40</f>
        <v>0</v>
      </c>
      <c r="R31" s="102">
        <f>+SUM('Annual Energy Data'!AQ40:BC40)</f>
        <v>15340.101627517215</v>
      </c>
      <c r="S31" s="102">
        <f>+'Annual Energy Data'!BL40</f>
        <v>0</v>
      </c>
      <c r="T31" s="102">
        <f>+'Annual Energy Data'!BM40</f>
        <v>0</v>
      </c>
      <c r="U31" s="102">
        <f>+'Annual Energy Data'!BN40</f>
        <v>0</v>
      </c>
      <c r="V31" s="102">
        <f>+'Annual Energy Data'!BO40</f>
        <v>0</v>
      </c>
      <c r="W31" s="102">
        <f>+'Annual Energy Data'!BP40</f>
        <v>0</v>
      </c>
      <c r="X31" s="102">
        <f>+'Annual Energy Data'!BQ40</f>
        <v>0</v>
      </c>
      <c r="Y31" s="102">
        <f>+'Annual Energy Data'!BR40</f>
        <v>0</v>
      </c>
      <c r="Z31" s="102">
        <f>+'Annual Energy Data'!BS40</f>
        <v>0</v>
      </c>
      <c r="AA31" s="102">
        <f>+'Annual Energy Data'!BJ40</f>
        <v>35025.761480527464</v>
      </c>
      <c r="AB31" s="102">
        <f>+'Annual Energy Data'!BE40</f>
        <v>1400.2999996194808</v>
      </c>
      <c r="AC31" s="102">
        <f>+'Annual Energy Data'!BF40</f>
        <v>1829.1883049636144</v>
      </c>
      <c r="AD31" s="102">
        <f>+'Annual Energy Data'!BG40</f>
        <v>6620.1111406968239</v>
      </c>
      <c r="AE31" s="102">
        <f>+'Annual Energy Data'!BH40</f>
        <v>2268.0503602836548</v>
      </c>
      <c r="AF31" s="102">
        <f>+'Annual Energy Data'!BI40</f>
        <v>2488.0995312506611</v>
      </c>
      <c r="AG31" s="102">
        <f>+'Annual Energy Data'!BT40</f>
        <v>0</v>
      </c>
      <c r="AH31" s="102">
        <f t="shared" si="0"/>
        <v>104053.95744485893</v>
      </c>
      <c r="AJ31" s="189" t="str">
        <f>+AB5</f>
        <v>Alburgh Solar</v>
      </c>
      <c r="AK31" s="102">
        <v>0</v>
      </c>
      <c r="AL31" s="102">
        <v>0</v>
      </c>
      <c r="AM31" s="102">
        <v>1563.5555385546877</v>
      </c>
      <c r="AN31" s="102">
        <f>+AB9</f>
        <v>1555.7377608619142</v>
      </c>
      <c r="AO31" s="102">
        <f>+AB10</f>
        <v>1547.9590720576043</v>
      </c>
      <c r="AP31" s="102">
        <f>+AB11</f>
        <v>1540.2192766973164</v>
      </c>
      <c r="AQ31" s="102">
        <f>+AB13</f>
        <v>1532.51818031383</v>
      </c>
      <c r="AR31" s="102">
        <f>+AB14</f>
        <v>1524.8555894122608</v>
      </c>
      <c r="AS31" s="102">
        <f>+AB15</f>
        <v>1517.2313114651993</v>
      </c>
      <c r="AT31" s="102">
        <f>+AB16</f>
        <v>1509.6451549078736</v>
      </c>
      <c r="AU31" s="102">
        <f>+AB17</f>
        <v>1502.096929133334</v>
      </c>
      <c r="AV31" s="102">
        <f>+AB18</f>
        <v>1494.5864444876672</v>
      </c>
      <c r="AW31" s="102">
        <f>+AB19</f>
        <v>1487.1135122652292</v>
      </c>
      <c r="AX31" s="102">
        <f>+AB20</f>
        <v>1479.6779447039028</v>
      </c>
      <c r="AY31" s="102">
        <f>+AB21</f>
        <v>1472.2795549803836</v>
      </c>
      <c r="AZ31" s="102">
        <f>+AB22</f>
        <v>1464.9181572054813</v>
      </c>
      <c r="BA31" s="102">
        <f>+AB23</f>
        <v>1457.5935664194537</v>
      </c>
      <c r="BB31" s="102">
        <f>+AB24</f>
        <v>1450.3055985873568</v>
      </c>
      <c r="BC31" s="102">
        <f>+AB25</f>
        <v>1443.0540705944197</v>
      </c>
      <c r="BD31" s="102">
        <f>+AB26</f>
        <v>1435.8388002414474</v>
      </c>
      <c r="BE31" s="102">
        <f>+AB27</f>
        <v>1428.6596062402407</v>
      </c>
      <c r="BF31" s="102">
        <f>+AB28</f>
        <v>1421.5163082090392</v>
      </c>
      <c r="BG31" s="102">
        <f>+AB29</f>
        <v>1414.408726667994</v>
      </c>
      <c r="BH31" s="102">
        <f>+$AB30</f>
        <v>1407.336683034654</v>
      </c>
      <c r="BI31" s="102">
        <f>+$AB31</f>
        <v>1400.2999996194808</v>
      </c>
      <c r="BJ31" s="102">
        <f>+$AB32</f>
        <v>1393.2984996213834</v>
      </c>
      <c r="BK31" s="102">
        <f>+$AB33</f>
        <v>0</v>
      </c>
      <c r="BL31" s="102">
        <f>+$AB34</f>
        <v>0</v>
      </c>
      <c r="BM31" s="102">
        <f>+$AB35</f>
        <v>0</v>
      </c>
      <c r="BN31" s="102">
        <f>+$AB36</f>
        <v>0</v>
      </c>
      <c r="BO31" s="102">
        <f>+$AB37</f>
        <v>0</v>
      </c>
      <c r="BP31" s="102">
        <f>+$AB38</f>
        <v>0</v>
      </c>
      <c r="BQ31" s="102">
        <f>+$AB39</f>
        <v>0</v>
      </c>
      <c r="BR31" s="102">
        <f>+$AB40</f>
        <v>0</v>
      </c>
      <c r="BS31" s="102">
        <f>+$AB41</f>
        <v>0</v>
      </c>
      <c r="BU31" s="58">
        <f t="shared" si="1"/>
        <v>-2845.5928739609021</v>
      </c>
    </row>
    <row r="32" spans="1:73" x14ac:dyDescent="0.2">
      <c r="B32" s="89">
        <f>+'Annual Energy Data'!A41</f>
        <v>2041</v>
      </c>
      <c r="C32" s="102">
        <f>+'Annual Energy Data'!I41</f>
        <v>433853.75301301666</v>
      </c>
      <c r="D32" s="102">
        <f>+'Annual Energy Data'!M41</f>
        <v>446241.10303902789</v>
      </c>
      <c r="E32" s="102">
        <f>+'Annual Energy Data'!Q41</f>
        <v>433853.75301301666</v>
      </c>
      <c r="F32" s="102">
        <f>+'Annual Energy Data'!U41</f>
        <v>722223.80304426048</v>
      </c>
      <c r="G32" s="102">
        <f>+'Annual Energy Data'!V41</f>
        <v>793532.27899898123</v>
      </c>
      <c r="H32" s="102">
        <f>+'Annual Energy Data'!W41</f>
        <v>660621.06578335713</v>
      </c>
      <c r="I32" s="102">
        <f>+'Annual Energy Data'!X41</f>
        <v>727076.67239116912</v>
      </c>
      <c r="J32" s="102">
        <f>+'Annual Energy Data'!AD41</f>
        <v>0</v>
      </c>
      <c r="K32" s="102">
        <f>+SUM('Annual Energy Data'!AE41:AH41)</f>
        <v>0</v>
      </c>
      <c r="L32" s="102">
        <f>+'Annual Energy Data'!BD41</f>
        <v>0</v>
      </c>
      <c r="M32" s="102">
        <f>+SUM('Annual Energy Data'!AI41:AJ41)</f>
        <v>39082.345000000008</v>
      </c>
      <c r="N32" s="102">
        <f>+SUM('Annual Energy Data'!AK41:AL41)</f>
        <v>0</v>
      </c>
      <c r="O32" s="102">
        <f>+SUM('Annual Energy Data'!AM41:AN41)</f>
        <v>0</v>
      </c>
      <c r="P32" s="102">
        <f>+'Annual Energy Data'!AO41</f>
        <v>0</v>
      </c>
      <c r="Q32" s="102">
        <f>+'Annual Energy Data'!AP41</f>
        <v>0</v>
      </c>
      <c r="R32" s="102">
        <f>+SUM('Annual Energy Data'!AQ41:BC41)</f>
        <v>14131.642055142078</v>
      </c>
      <c r="S32" s="102">
        <f>+'Annual Energy Data'!BL41</f>
        <v>0</v>
      </c>
      <c r="T32" s="102">
        <f>+'Annual Energy Data'!BM41</f>
        <v>0</v>
      </c>
      <c r="U32" s="102">
        <f>+'Annual Energy Data'!BN41</f>
        <v>0</v>
      </c>
      <c r="V32" s="102">
        <f>+'Annual Energy Data'!BO41</f>
        <v>0</v>
      </c>
      <c r="W32" s="102">
        <f>+'Annual Energy Data'!BP41</f>
        <v>0</v>
      </c>
      <c r="X32" s="102">
        <f>+'Annual Energy Data'!BQ41</f>
        <v>0</v>
      </c>
      <c r="Y32" s="102">
        <f>+'Annual Energy Data'!BR41</f>
        <v>0</v>
      </c>
      <c r="Z32" s="102">
        <f>+'Annual Energy Data'!BS41</f>
        <v>0</v>
      </c>
      <c r="AA32" s="102">
        <f>+'Annual Energy Data'!BJ41</f>
        <v>35062.708120474766</v>
      </c>
      <c r="AB32" s="102">
        <f>+'Annual Energy Data'!BE41</f>
        <v>1393.2984996213834</v>
      </c>
      <c r="AC32" s="102">
        <f>+'Annual Energy Data'!BF41</f>
        <v>1820.0423634387967</v>
      </c>
      <c r="AD32" s="102">
        <f>+'Annual Energy Data'!BG41</f>
        <v>6587.0105849933398</v>
      </c>
      <c r="AE32" s="102">
        <f>+'Annual Energy Data'!BH41</f>
        <v>2256.7101084822366</v>
      </c>
      <c r="AF32" s="102">
        <f>+'Annual Energy Data'!BI41</f>
        <v>2475.6590335944074</v>
      </c>
      <c r="AG32" s="102">
        <f>+'Annual Energy Data'!BT41</f>
        <v>0</v>
      </c>
      <c r="AH32" s="102">
        <f t="shared" si="0"/>
        <v>102809.41576574702</v>
      </c>
      <c r="AJ32" s="189" t="str">
        <f>+AC5</f>
        <v>Magee Hill Solar</v>
      </c>
      <c r="AK32" s="102">
        <v>0</v>
      </c>
      <c r="AL32" s="102">
        <v>0</v>
      </c>
      <c r="AM32" s="102">
        <v>2042.4462658448258</v>
      </c>
      <c r="AN32" s="102">
        <f>+AC9</f>
        <v>2032.2340345156022</v>
      </c>
      <c r="AO32" s="102">
        <f>+AC10</f>
        <v>2022.0728643430239</v>
      </c>
      <c r="AP32" s="102">
        <f>+AC11</f>
        <v>2011.9625000213089</v>
      </c>
      <c r="AQ32" s="102">
        <f>+AC13</f>
        <v>2001.9026875212026</v>
      </c>
      <c r="AR32" s="102">
        <f>+AC14</f>
        <v>1991.8931740835963</v>
      </c>
      <c r="AS32" s="102">
        <f>+AC15</f>
        <v>1981.9337082131788</v>
      </c>
      <c r="AT32" s="102">
        <f>+AC16</f>
        <v>1972.0240396721124</v>
      </c>
      <c r="AU32" s="102">
        <f>+AC17</f>
        <v>1962.163919473752</v>
      </c>
      <c r="AV32" s="102">
        <f>+AC18</f>
        <v>1952.3530998763833</v>
      </c>
      <c r="AW32" s="102">
        <f>+AC19</f>
        <v>1942.5913343770012</v>
      </c>
      <c r="AX32" s="102">
        <f>+AC20</f>
        <v>1932.8783777051162</v>
      </c>
      <c r="AY32" s="102">
        <f>+AC21</f>
        <v>1923.2139858165906</v>
      </c>
      <c r="AZ32" s="102">
        <f>+AC22</f>
        <v>1913.5979158875077</v>
      </c>
      <c r="BA32" s="102">
        <f>+AC23</f>
        <v>1904.0299263080701</v>
      </c>
      <c r="BB32" s="102">
        <f>+AC24</f>
        <v>1894.5097766765298</v>
      </c>
      <c r="BC32" s="102">
        <f>+AC25</f>
        <v>1885.0372277931469</v>
      </c>
      <c r="BD32" s="102">
        <f>+AC26</f>
        <v>1875.6120416541814</v>
      </c>
      <c r="BE32" s="102">
        <f>+AC27</f>
        <v>1866.2339814459106</v>
      </c>
      <c r="BF32" s="102">
        <f>+AC28</f>
        <v>1856.9028115386809</v>
      </c>
      <c r="BG32" s="102">
        <f>+AC29</f>
        <v>1847.6182974809872</v>
      </c>
      <c r="BH32" s="102">
        <f>+$AC30</f>
        <v>1838.3802059935824</v>
      </c>
      <c r="BI32" s="102">
        <f>+$AC31</f>
        <v>1829.1883049636144</v>
      </c>
      <c r="BJ32" s="102">
        <f>+$AC32</f>
        <v>1820.0423634387967</v>
      </c>
      <c r="BK32" s="102">
        <f>+$AC33</f>
        <v>1742.1417516018198</v>
      </c>
      <c r="BL32" s="102">
        <f>+$AC34</f>
        <v>0</v>
      </c>
      <c r="BM32" s="102">
        <f>+$AC35</f>
        <v>0</v>
      </c>
      <c r="BN32" s="102">
        <f>+$AC36</f>
        <v>0</v>
      </c>
      <c r="BO32" s="102">
        <f>+$AC37</f>
        <v>0</v>
      </c>
      <c r="BP32" s="102">
        <f>+$AC38</f>
        <v>0</v>
      </c>
      <c r="BQ32" s="102">
        <f>+$AC39</f>
        <v>0</v>
      </c>
      <c r="BR32" s="102">
        <f>+$AC40</f>
        <v>0</v>
      </c>
      <c r="BS32" s="102">
        <f>+$AC41</f>
        <v>0</v>
      </c>
      <c r="BU32" s="58">
        <f t="shared" si="1"/>
        <v>0</v>
      </c>
    </row>
    <row r="33" spans="2:79" x14ac:dyDescent="0.2">
      <c r="B33" s="89">
        <f>+'Annual Energy Data'!A42</f>
        <v>2042</v>
      </c>
      <c r="C33" s="102">
        <f>+'Annual Energy Data'!I42</f>
        <v>430491.07032321359</v>
      </c>
      <c r="D33" s="102">
        <f>+'Annual Energy Data'!M42</f>
        <v>442878.42034922482</v>
      </c>
      <c r="E33" s="102">
        <f>+'Annual Energy Data'!Q42</f>
        <v>430491.07032321359</v>
      </c>
      <c r="F33" s="102">
        <f>+'Annual Energy Data'!U42</f>
        <v>723086.74512119894</v>
      </c>
      <c r="G33" s="102">
        <f>+'Annual Energy Data'!V42</f>
        <v>803176.88283081586</v>
      </c>
      <c r="H33" s="102">
        <f>+'Annual Energy Data'!W42</f>
        <v>666546.80842870963</v>
      </c>
      <c r="I33" s="102">
        <f>+'Annual Energy Data'!X42</f>
        <v>734861.84562976263</v>
      </c>
      <c r="J33" s="102">
        <f>+'Annual Energy Data'!AD42</f>
        <v>0</v>
      </c>
      <c r="K33" s="102">
        <f>+SUM('Annual Energy Data'!AE42:AH42)</f>
        <v>0</v>
      </c>
      <c r="L33" s="102">
        <f>+'Annual Energy Data'!BD42</f>
        <v>0</v>
      </c>
      <c r="M33" s="102">
        <f>+SUM('Annual Energy Data'!AI42:AJ42)</f>
        <v>39082.345000000008</v>
      </c>
      <c r="N33" s="102">
        <f>+SUM('Annual Energy Data'!AK42:AL42)</f>
        <v>0</v>
      </c>
      <c r="O33" s="102">
        <f>+SUM('Annual Energy Data'!AM42:AN42)</f>
        <v>0</v>
      </c>
      <c r="P33" s="102">
        <f>+'Annual Energy Data'!AO42</f>
        <v>0</v>
      </c>
      <c r="Q33" s="102">
        <f>+'Annual Energy Data'!AP42</f>
        <v>0</v>
      </c>
      <c r="R33" s="102">
        <f>+SUM('Annual Energy Data'!AQ42:BC42)</f>
        <v>12523.80282419064</v>
      </c>
      <c r="S33" s="102">
        <f>+'Annual Energy Data'!BL42</f>
        <v>0</v>
      </c>
      <c r="T33" s="102">
        <f>+'Annual Energy Data'!BM42</f>
        <v>0</v>
      </c>
      <c r="U33" s="102">
        <f>+'Annual Energy Data'!BN42</f>
        <v>0</v>
      </c>
      <c r="V33" s="102">
        <f>+'Annual Energy Data'!BO42</f>
        <v>0</v>
      </c>
      <c r="W33" s="102">
        <f>+'Annual Energy Data'!BP42</f>
        <v>0</v>
      </c>
      <c r="X33" s="102">
        <f>+'Annual Energy Data'!BQ42</f>
        <v>0</v>
      </c>
      <c r="Y33" s="102">
        <f>+'Annual Energy Data'!BR42</f>
        <v>0</v>
      </c>
      <c r="Z33" s="102">
        <f>+'Annual Energy Data'!BS42</f>
        <v>0</v>
      </c>
      <c r="AA33" s="102">
        <f>+'Annual Energy Data'!BJ42</f>
        <v>35124.737313348589</v>
      </c>
      <c r="AB33" s="102">
        <f>+'Annual Energy Data'!BE42</f>
        <v>0</v>
      </c>
      <c r="AC33" s="102">
        <f>+'Annual Energy Data'!BF42</f>
        <v>1742.1417516018198</v>
      </c>
      <c r="AD33" s="102">
        <f>+'Annual Energy Data'!BG42</f>
        <v>6554.0755320683729</v>
      </c>
      <c r="AE33" s="102">
        <f>+'Annual Energy Data'!BH42</f>
        <v>2245.4265579398257</v>
      </c>
      <c r="AF33" s="102">
        <f>+'Annual Energy Data'!BI42</f>
        <v>2463.2807384264352</v>
      </c>
      <c r="AG33" s="102">
        <f>+'Annual Energy Data'!BT42</f>
        <v>0</v>
      </c>
      <c r="AH33" s="102">
        <f t="shared" si="0"/>
        <v>99735.809717575685</v>
      </c>
      <c r="AJ33" s="189" t="str">
        <f>+AD5</f>
        <v>Grand Isle Solar</v>
      </c>
      <c r="AK33" s="102">
        <v>0</v>
      </c>
      <c r="AL33" s="102">
        <v>0</v>
      </c>
      <c r="AM33" s="102">
        <v>7391.9241895999985</v>
      </c>
      <c r="AN33" s="102">
        <f>+AD9</f>
        <v>7354.9645686519989</v>
      </c>
      <c r="AO33" s="102">
        <f>+AD10</f>
        <v>7318.1897458087387</v>
      </c>
      <c r="AP33" s="102">
        <f>+AD11</f>
        <v>7281.5987970796941</v>
      </c>
      <c r="AQ33" s="102">
        <f>+AD13</f>
        <v>7245.1908030942959</v>
      </c>
      <c r="AR33" s="102">
        <f>+AD14</f>
        <v>7208.9648490788259</v>
      </c>
      <c r="AS33" s="102">
        <f>+AD15</f>
        <v>7172.9200248334309</v>
      </c>
      <c r="AT33" s="102">
        <f>+AD16</f>
        <v>7137.0554247092632</v>
      </c>
      <c r="AU33" s="102">
        <f>+AD17</f>
        <v>7101.3701475857169</v>
      </c>
      <c r="AV33" s="102">
        <f>+AD18</f>
        <v>7065.8632968477878</v>
      </c>
      <c r="AW33" s="102">
        <f>+AD19</f>
        <v>7030.5339803635497</v>
      </c>
      <c r="AX33" s="102">
        <f>+AD20</f>
        <v>6995.3813104617311</v>
      </c>
      <c r="AY33" s="102">
        <f>+AD21</f>
        <v>6960.4044039094224</v>
      </c>
      <c r="AZ33" s="102">
        <f>+AD22</f>
        <v>6925.6023818898757</v>
      </c>
      <c r="BA33" s="102">
        <f>+AD23</f>
        <v>6890.9743699804267</v>
      </c>
      <c r="BB33" s="102">
        <f>+AD24</f>
        <v>6856.519498130524</v>
      </c>
      <c r="BC33" s="102">
        <f>+AD25</f>
        <v>6822.2369006398712</v>
      </c>
      <c r="BD33" s="102">
        <f>+AD26</f>
        <v>6788.1257161366721</v>
      </c>
      <c r="BE33" s="102">
        <f>+AD27</f>
        <v>6754.1850875559885</v>
      </c>
      <c r="BF33" s="102">
        <f>+AD28</f>
        <v>6720.4141621182089</v>
      </c>
      <c r="BG33" s="102">
        <f>+AD29</f>
        <v>6686.8120913076173</v>
      </c>
      <c r="BH33" s="102">
        <f>+$AD30</f>
        <v>6653.3780308510795</v>
      </c>
      <c r="BI33" s="102">
        <f>+$AD31</f>
        <v>6620.1111406968239</v>
      </c>
      <c r="BJ33" s="102">
        <f>+$AD32</f>
        <v>6587.0105849933398</v>
      </c>
      <c r="BK33" s="102">
        <f>+$AD33</f>
        <v>6554.0755320683729</v>
      </c>
      <c r="BL33" s="102">
        <f>+$AD34</f>
        <v>0</v>
      </c>
      <c r="BM33" s="102">
        <f>+$AD35</f>
        <v>0</v>
      </c>
      <c r="BN33" s="102">
        <f>+$AD36</f>
        <v>0</v>
      </c>
      <c r="BO33" s="102">
        <f>+$AD37</f>
        <v>0</v>
      </c>
      <c r="BP33" s="102">
        <f>+$AD38</f>
        <v>0</v>
      </c>
      <c r="BQ33" s="102">
        <f>+$AD39</f>
        <v>0</v>
      </c>
      <c r="BR33" s="102">
        <f>+$AD40</f>
        <v>0</v>
      </c>
      <c r="BS33" s="102">
        <f>+$AD41</f>
        <v>0</v>
      </c>
    </row>
    <row r="34" spans="2:79" x14ac:dyDescent="0.2">
      <c r="B34" s="89">
        <f>+'Annual Energy Data'!A43</f>
        <v>2043</v>
      </c>
      <c r="C34" s="102">
        <f>+'Annual Energy Data'!I43</f>
        <v>426830.78577182064</v>
      </c>
      <c r="D34" s="102">
        <f>+'Annual Energy Data'!M43</f>
        <v>439445.43328148097</v>
      </c>
      <c r="E34" s="102">
        <f>+'Annual Energy Data'!Q43</f>
        <v>426830.78577182064</v>
      </c>
      <c r="F34" s="102">
        <f>+'Annual Energy Data'!U43</f>
        <v>722234.8835808289</v>
      </c>
      <c r="G34" s="102">
        <f>+'Annual Energy Data'!V43</f>
        <v>812434.2463305915</v>
      </c>
      <c r="H34" s="102">
        <f>+'Annual Energy Data'!W43</f>
        <v>671206.74217600585</v>
      </c>
      <c r="I34" s="102">
        <f>+'Annual Energy Data'!X43</f>
        <v>741820.4942532985</v>
      </c>
      <c r="J34" s="102">
        <f>+'Annual Energy Data'!AD43</f>
        <v>0</v>
      </c>
      <c r="K34" s="102">
        <f>+SUM('Annual Energy Data'!AE43:AH43)</f>
        <v>0</v>
      </c>
      <c r="L34" s="102">
        <f>+'Annual Energy Data'!BD43</f>
        <v>0</v>
      </c>
      <c r="M34" s="102">
        <f>+SUM('Annual Energy Data'!AI43:AJ43)</f>
        <v>39082.345000000008</v>
      </c>
      <c r="N34" s="102">
        <f>+SUM('Annual Energy Data'!AK43:AL43)</f>
        <v>0</v>
      </c>
      <c r="O34" s="102">
        <f>+SUM('Annual Energy Data'!AM43:AN43)</f>
        <v>0</v>
      </c>
      <c r="P34" s="102">
        <f>+'Annual Energy Data'!AO43</f>
        <v>0</v>
      </c>
      <c r="Q34" s="102">
        <f>+'Annual Energy Data'!AP43</f>
        <v>0</v>
      </c>
      <c r="R34" s="102">
        <f>+SUM('Annual Energy Data'!AQ43:BC43)</f>
        <v>11028.433631574659</v>
      </c>
      <c r="S34" s="102">
        <f>+'Annual Energy Data'!BL43</f>
        <v>0</v>
      </c>
      <c r="T34" s="102">
        <f>+'Annual Energy Data'!BM43</f>
        <v>0</v>
      </c>
      <c r="U34" s="102">
        <f>+'Annual Energy Data'!BN43</f>
        <v>0</v>
      </c>
      <c r="V34" s="102">
        <f>+'Annual Energy Data'!BO43</f>
        <v>0</v>
      </c>
      <c r="W34" s="102">
        <f>+'Annual Energy Data'!BP43</f>
        <v>0</v>
      </c>
      <c r="X34" s="102">
        <f>+'Annual Energy Data'!BQ43</f>
        <v>0</v>
      </c>
      <c r="Y34" s="102">
        <f>+'Annual Energy Data'!BR43</f>
        <v>0</v>
      </c>
      <c r="Z34" s="102">
        <f>+'Annual Energy Data'!BS43</f>
        <v>0</v>
      </c>
      <c r="AA34" s="102">
        <f>+'Annual Energy Data'!BJ43</f>
        <v>9334.3472612153091</v>
      </c>
      <c r="AB34" s="102">
        <f>+'Annual Energy Data'!BE43</f>
        <v>0</v>
      </c>
      <c r="AC34" s="102">
        <f>+'Annual Energy Data'!BF43</f>
        <v>0</v>
      </c>
      <c r="AD34" s="102">
        <f>+'Annual Energy Data'!BG43</f>
        <v>0</v>
      </c>
      <c r="AE34" s="102">
        <f>+'Annual Energy Data'!BH43</f>
        <v>2234.1994251501269</v>
      </c>
      <c r="AF34" s="102">
        <f>+'Annual Energy Data'!BI43</f>
        <v>2450.9643347343031</v>
      </c>
      <c r="AG34" s="102">
        <f>+'Annual Energy Data'!BT43</f>
        <v>0</v>
      </c>
      <c r="AH34" s="102">
        <f t="shared" si="0"/>
        <v>64130.289652674401</v>
      </c>
      <c r="AJ34" s="189" t="str">
        <f>+AE5</f>
        <v>Jericho - Gravel Pit Solar</v>
      </c>
      <c r="AK34" s="102">
        <v>0</v>
      </c>
      <c r="AL34" s="102">
        <v>0</v>
      </c>
      <c r="AM34" s="102">
        <v>0</v>
      </c>
      <c r="AN34" s="102">
        <f>+AE9</f>
        <v>104.27841821299998</v>
      </c>
      <c r="AO34" s="102">
        <f>+AE10</f>
        <v>2496.0633875839344</v>
      </c>
      <c r="AP34" s="102">
        <f>+AE11</f>
        <v>2483.5830706460142</v>
      </c>
      <c r="AQ34" s="102">
        <f>+AE13</f>
        <v>2482.2026793876735</v>
      </c>
      <c r="AR34" s="102">
        <f>+AE14</f>
        <v>2469.7916659907355</v>
      </c>
      <c r="AS34" s="102">
        <f>+AE15</f>
        <v>2457.4427076607813</v>
      </c>
      <c r="AT34" s="102">
        <f>+AE16</f>
        <v>2445.1554941224776</v>
      </c>
      <c r="AU34" s="102">
        <f>+AE17</f>
        <v>2432.9297166518654</v>
      </c>
      <c r="AV34" s="102">
        <f>+AE18</f>
        <v>2420.7650680686056</v>
      </c>
      <c r="AW34" s="102">
        <f>+AE19</f>
        <v>2408.6612427282626</v>
      </c>
      <c r="AX34" s="102">
        <f>+AE20</f>
        <v>2396.6179365146213</v>
      </c>
      <c r="AY34" s="102">
        <f>+AE21</f>
        <v>2384.6348468320489</v>
      </c>
      <c r="AZ34" s="102">
        <f>+AE22</f>
        <v>2372.7116725978881</v>
      </c>
      <c r="BA34" s="102">
        <f>+AE23</f>
        <v>2360.8481142348987</v>
      </c>
      <c r="BB34" s="102">
        <f>+AE24</f>
        <v>2349.0438736637238</v>
      </c>
      <c r="BC34" s="102">
        <f>+AE25</f>
        <v>2337.2986542954059</v>
      </c>
      <c r="BD34" s="102">
        <f>+AE26</f>
        <v>2325.6121610239288</v>
      </c>
      <c r="BE34" s="102">
        <f>+AE27</f>
        <v>2313.9841002188086</v>
      </c>
      <c r="BF34" s="102">
        <f>+AE28</f>
        <v>2302.4141797177153</v>
      </c>
      <c r="BG34" s="102">
        <f>+AE29</f>
        <v>2290.9021088191262</v>
      </c>
      <c r="BH34" s="102">
        <f>+$AE30</f>
        <v>2279.4475982750305</v>
      </c>
      <c r="BI34" s="102">
        <f>+$AE31</f>
        <v>2268.0503602836548</v>
      </c>
      <c r="BJ34" s="102">
        <f>+$AE32</f>
        <v>2256.7101084822366</v>
      </c>
      <c r="BK34" s="102">
        <f>+$AE33</f>
        <v>2245.4265579398257</v>
      </c>
      <c r="BL34" s="102">
        <f>+$AE34</f>
        <v>2234.1994251501269</v>
      </c>
      <c r="BM34" s="102">
        <f>+$AE35</f>
        <v>2223.0284280243759</v>
      </c>
      <c r="BN34" s="102">
        <f>+$AE36</f>
        <v>702.17573329252434</v>
      </c>
      <c r="BO34" s="102">
        <f>+$AE37</f>
        <v>0</v>
      </c>
      <c r="BP34" s="102">
        <f>+$AE38</f>
        <v>0</v>
      </c>
      <c r="BQ34" s="102">
        <f>+$AE39</f>
        <v>0</v>
      </c>
      <c r="BR34" s="102">
        <f>+$AE40</f>
        <v>0</v>
      </c>
      <c r="BS34" s="102">
        <f>+$AE41</f>
        <v>0</v>
      </c>
    </row>
    <row r="35" spans="2:79" x14ac:dyDescent="0.2">
      <c r="B35" s="89">
        <f>+'Annual Energy Data'!A44</f>
        <v>2044</v>
      </c>
      <c r="C35" s="102">
        <f>+'Annual Energy Data'!I44</f>
        <v>423443.66587594297</v>
      </c>
      <c r="D35" s="102">
        <f>+'Annual Energy Data'!M44</f>
        <v>436058.31338560343</v>
      </c>
      <c r="E35" s="102">
        <f>+'Annual Energy Data'!Q44</f>
        <v>423443.66587594297</v>
      </c>
      <c r="F35" s="102">
        <f>+'Annual Energy Data'!U44</f>
        <v>721107.35357227386</v>
      </c>
      <c r="G35" s="102">
        <f>+'Annual Energy Data'!V44</f>
        <v>821737.4770022328</v>
      </c>
      <c r="H35" s="102">
        <f>+'Annual Energy Data'!W44</f>
        <v>674974.23564273154</v>
      </c>
      <c r="I35" s="102">
        <f>+'Annual Energy Data'!X44</f>
        <v>748355.85632248223</v>
      </c>
      <c r="J35" s="102">
        <f>+'Annual Energy Data'!AD44</f>
        <v>0</v>
      </c>
      <c r="K35" s="102">
        <f>+SUM('Annual Energy Data'!AE44:AH44)</f>
        <v>0</v>
      </c>
      <c r="L35" s="102">
        <f>+'Annual Energy Data'!BD44</f>
        <v>0</v>
      </c>
      <c r="M35" s="102">
        <f>+SUM('Annual Energy Data'!AI44:AJ44)</f>
        <v>39082.345000000008</v>
      </c>
      <c r="N35" s="102">
        <f>+SUM('Annual Energy Data'!AK44:AL44)</f>
        <v>0</v>
      </c>
      <c r="O35" s="102">
        <f>+SUM('Annual Energy Data'!AM44:AN44)</f>
        <v>0</v>
      </c>
      <c r="P35" s="102">
        <f>+'Annual Energy Data'!AO44</f>
        <v>0</v>
      </c>
      <c r="Q35" s="102">
        <f>+'Annual Energy Data'!AP44</f>
        <v>0</v>
      </c>
      <c r="R35" s="102">
        <f>+SUM('Annual Energy Data'!AQ44:BC44)</f>
        <v>10565.73237757724</v>
      </c>
      <c r="S35" s="102">
        <f>+'Annual Energy Data'!BL44</f>
        <v>0</v>
      </c>
      <c r="T35" s="102">
        <f>+'Annual Energy Data'!BM44</f>
        <v>0</v>
      </c>
      <c r="U35" s="102">
        <f>+'Annual Energy Data'!BN44</f>
        <v>0</v>
      </c>
      <c r="V35" s="102">
        <f>+'Annual Energy Data'!BO44</f>
        <v>0</v>
      </c>
      <c r="W35" s="102">
        <f>+'Annual Energy Data'!BP44</f>
        <v>0</v>
      </c>
      <c r="X35" s="102">
        <f>+'Annual Energy Data'!BQ44</f>
        <v>0</v>
      </c>
      <c r="Y35" s="102">
        <f>+'Annual Energy Data'!BR44</f>
        <v>0</v>
      </c>
      <c r="Z35" s="102">
        <f>+'Annual Energy Data'!BS44</f>
        <v>0</v>
      </c>
      <c r="AA35" s="102">
        <f>+'Annual Energy Data'!BJ44</f>
        <v>9334.3472612153091</v>
      </c>
      <c r="AB35" s="102">
        <f>+'Annual Energy Data'!BE44</f>
        <v>0</v>
      </c>
      <c r="AC35" s="102">
        <f>+'Annual Energy Data'!BF44</f>
        <v>0</v>
      </c>
      <c r="AD35" s="102">
        <f>+'Annual Energy Data'!BG44</f>
        <v>0</v>
      </c>
      <c r="AE35" s="102">
        <f>+'Annual Energy Data'!BH44</f>
        <v>2223.0284280243759</v>
      </c>
      <c r="AF35" s="102">
        <f>+'Annual Energy Data'!BI44</f>
        <v>2438.7095130606317</v>
      </c>
      <c r="AG35" s="102">
        <f>+'Annual Energy Data'!BT44</f>
        <v>0</v>
      </c>
      <c r="AH35" s="102">
        <f t="shared" si="0"/>
        <v>63644.162579877564</v>
      </c>
      <c r="AI35" s="102"/>
      <c r="AJ35" s="189" t="str">
        <f>+AF5</f>
        <v>Jericho - Landfill Solar</v>
      </c>
      <c r="AK35" s="102">
        <v>0</v>
      </c>
      <c r="AL35" s="102">
        <v>0</v>
      </c>
      <c r="AM35" s="102">
        <v>0</v>
      </c>
      <c r="AN35" s="102">
        <f>+AF9</f>
        <v>110.30647615900003</v>
      </c>
      <c r="AO35" s="102">
        <f>+AF10</f>
        <v>2730.1972840272051</v>
      </c>
      <c r="AP35" s="102">
        <f>+AF11</f>
        <v>2716.5462976070689</v>
      </c>
      <c r="AQ35" s="102">
        <f>+AF13</f>
        <v>2723.0291845376846</v>
      </c>
      <c r="AR35" s="102">
        <f>+AF14</f>
        <v>2709.4140386149966</v>
      </c>
      <c r="AS35" s="102">
        <f>+AF15</f>
        <v>2695.8669684219217</v>
      </c>
      <c r="AT35" s="102">
        <f>+AF16</f>
        <v>2682.3876335798118</v>
      </c>
      <c r="AU35" s="102">
        <f>+AF17</f>
        <v>2668.9756954119125</v>
      </c>
      <c r="AV35" s="102">
        <f>+AF18</f>
        <v>2655.6308169348531</v>
      </c>
      <c r="AW35" s="102">
        <f>+AF19</f>
        <v>2642.3526628501786</v>
      </c>
      <c r="AX35" s="102">
        <f>+AF20</f>
        <v>2629.1408995359275</v>
      </c>
      <c r="AY35" s="102">
        <f>+AF21</f>
        <v>2615.9951950382488</v>
      </c>
      <c r="AZ35" s="102">
        <f>+AF22</f>
        <v>2602.9152190630575</v>
      </c>
      <c r="BA35" s="102">
        <f>+AF23</f>
        <v>2589.900642967742</v>
      </c>
      <c r="BB35" s="102">
        <f>+AF24</f>
        <v>2576.9511397529031</v>
      </c>
      <c r="BC35" s="102">
        <f>+AF25</f>
        <v>2564.0663840541388</v>
      </c>
      <c r="BD35" s="102">
        <f>+AF26</f>
        <v>2551.246052133868</v>
      </c>
      <c r="BE35" s="102">
        <f>+AF27</f>
        <v>2538.4898218731983</v>
      </c>
      <c r="BF35" s="102">
        <f>+AF28</f>
        <v>2525.7973727638328</v>
      </c>
      <c r="BG35" s="102">
        <f>+AF29</f>
        <v>2513.1683859000136</v>
      </c>
      <c r="BH35" s="102">
        <f>+$AF30</f>
        <v>2500.6025439705131</v>
      </c>
      <c r="BI35" s="102">
        <f>+$AF31</f>
        <v>2488.0995312506611</v>
      </c>
      <c r="BJ35" s="102">
        <f>+$AF32</f>
        <v>2475.6590335944074</v>
      </c>
      <c r="BK35" s="102">
        <f>+$AF33</f>
        <v>2463.2807384264352</v>
      </c>
      <c r="BL35" s="102">
        <f>+$AF34</f>
        <v>2450.9643347343031</v>
      </c>
      <c r="BM35" s="102">
        <f>+$AF35</f>
        <v>2438.7095130606317</v>
      </c>
      <c r="BN35" s="102">
        <f>+$AF36</f>
        <v>2426.5159654953281</v>
      </c>
      <c r="BO35" s="102">
        <f>+$AF37</f>
        <v>2206.4957152249667</v>
      </c>
      <c r="BP35" s="102">
        <f>+$AF38</f>
        <v>0</v>
      </c>
      <c r="BQ35" s="102">
        <f>+$AF39</f>
        <v>0</v>
      </c>
      <c r="BR35" s="102">
        <f>+$AF40</f>
        <v>0</v>
      </c>
      <c r="BS35" s="102">
        <f>+$AF41</f>
        <v>0</v>
      </c>
    </row>
    <row r="36" spans="2:79" x14ac:dyDescent="0.2">
      <c r="B36" s="89">
        <f>+'Annual Energy Data'!A45</f>
        <v>2045</v>
      </c>
      <c r="C36" s="102">
        <f>+'Annual Energy Data'!I45</f>
        <v>420039.12366537243</v>
      </c>
      <c r="D36" s="102">
        <f>+'Annual Energy Data'!M45</f>
        <v>432653.77117503283</v>
      </c>
      <c r="E36" s="102">
        <f>+'Annual Energy Data'!Q45</f>
        <v>420039.12366537243</v>
      </c>
      <c r="F36" s="102">
        <f>+'Annual Energy Data'!U45</f>
        <v>719961.51587993989</v>
      </c>
      <c r="G36" s="102">
        <f>+'Annual Energy Data'!V45</f>
        <v>831023.28535918146</v>
      </c>
      <c r="H36" s="102">
        <f>+'Annual Energy Data'!W45</f>
        <v>678117.52073805872</v>
      </c>
      <c r="I36" s="102">
        <f>+'Annual Energy Data'!X45</f>
        <v>754570.40304862009</v>
      </c>
      <c r="J36" s="102">
        <f>+'Annual Energy Data'!AD45</f>
        <v>0</v>
      </c>
      <c r="K36" s="102">
        <f>+SUM('Annual Energy Data'!AE45:AH45)</f>
        <v>0</v>
      </c>
      <c r="L36" s="102">
        <f>+'Annual Energy Data'!BD45</f>
        <v>0</v>
      </c>
      <c r="M36" s="102">
        <f>+SUM('Annual Energy Data'!AI45:AJ45)</f>
        <v>39082.345000000008</v>
      </c>
      <c r="N36" s="102">
        <f>+SUM('Annual Energy Data'!AK45:AL45)</f>
        <v>0</v>
      </c>
      <c r="O36" s="102">
        <f>+SUM('Annual Energy Data'!AM45:AN45)</f>
        <v>0</v>
      </c>
      <c r="P36" s="102">
        <f>+'Annual Energy Data'!AO45</f>
        <v>0</v>
      </c>
      <c r="Q36" s="102">
        <f>+'Annual Energy Data'!AP45</f>
        <v>0</v>
      </c>
      <c r="R36" s="102">
        <f>+SUM('Annual Energy Data'!AQ45:BC45)</f>
        <v>9903.1627649343609</v>
      </c>
      <c r="S36" s="102">
        <f>+'Annual Energy Data'!BL45</f>
        <v>0</v>
      </c>
      <c r="T36" s="102">
        <f>+'Annual Energy Data'!BM45</f>
        <v>0</v>
      </c>
      <c r="U36" s="102">
        <f>+'Annual Energy Data'!BN45</f>
        <v>0</v>
      </c>
      <c r="V36" s="102">
        <f>+'Annual Energy Data'!BO45</f>
        <v>0</v>
      </c>
      <c r="W36" s="102">
        <f>+'Annual Energy Data'!BP45</f>
        <v>0</v>
      </c>
      <c r="X36" s="102">
        <f>+'Annual Energy Data'!BQ45</f>
        <v>0</v>
      </c>
      <c r="Y36" s="102">
        <f>+'Annual Energy Data'!BR45</f>
        <v>0</v>
      </c>
      <c r="Z36" s="102">
        <f>+'Annual Energy Data'!BS45</f>
        <v>0</v>
      </c>
      <c r="AA36" s="102">
        <f>+'Annual Energy Data'!BJ45</f>
        <v>9334.3472612153091</v>
      </c>
      <c r="AB36" s="102">
        <f>+'Annual Energy Data'!BE45</f>
        <v>0</v>
      </c>
      <c r="AC36" s="102">
        <f>+'Annual Energy Data'!BF45</f>
        <v>0</v>
      </c>
      <c r="AD36" s="102">
        <f>+'Annual Energy Data'!BG45</f>
        <v>0</v>
      </c>
      <c r="AE36" s="102">
        <f>+'Annual Energy Data'!BH45</f>
        <v>702.17573329252434</v>
      </c>
      <c r="AF36" s="102">
        <f>+'Annual Energy Data'!BI45</f>
        <v>2426.5159654953281</v>
      </c>
      <c r="AG36" s="102">
        <f>+'Annual Energy Data'!BT45</f>
        <v>0</v>
      </c>
      <c r="AH36" s="102">
        <f t="shared" ref="AH36:AH41" si="2">+SUM(J36:AG36)</f>
        <v>61448.546724937543</v>
      </c>
      <c r="AI36" s="58"/>
      <c r="AJ36" s="189" t="str">
        <f>+AG5</f>
        <v>Brookfield Hydro</v>
      </c>
      <c r="AK36" s="102"/>
      <c r="AL36" s="102"/>
      <c r="AM36" s="102"/>
      <c r="AN36" s="102">
        <f>+$AG9</f>
        <v>0</v>
      </c>
      <c r="AO36" s="102">
        <f>+$AG10</f>
        <v>0</v>
      </c>
      <c r="AP36" s="102">
        <f>+$AG11</f>
        <v>0</v>
      </c>
      <c r="AQ36" s="102">
        <f>+$AG13</f>
        <v>0</v>
      </c>
      <c r="AR36" s="102">
        <f>+$AG14</f>
        <v>0</v>
      </c>
      <c r="AS36" s="102">
        <f>+$AG15</f>
        <v>0</v>
      </c>
      <c r="AT36" s="102">
        <f>+$AG16</f>
        <v>0</v>
      </c>
      <c r="AU36" s="102">
        <f>+$AG17</f>
        <v>64928</v>
      </c>
      <c r="AV36" s="102">
        <f>+$AG18</f>
        <v>64800</v>
      </c>
      <c r="AW36" s="102">
        <f>+$AG19</f>
        <v>64864</v>
      </c>
      <c r="AX36" s="102">
        <f>+$AG20</f>
        <v>64736</v>
      </c>
      <c r="AY36" s="102">
        <f>+AG21</f>
        <v>64784</v>
      </c>
      <c r="AZ36" s="102">
        <f>+AG22</f>
        <v>64784</v>
      </c>
      <c r="BA36" s="102">
        <f>+AG23</f>
        <v>65024</v>
      </c>
      <c r="BB36" s="102">
        <f>+AG24</f>
        <v>64672</v>
      </c>
      <c r="BC36" s="102">
        <f>+AG25</f>
        <v>64656</v>
      </c>
      <c r="BD36" s="102">
        <f>+AG26</f>
        <v>64736</v>
      </c>
      <c r="BE36" s="102">
        <f>+AG27</f>
        <v>0</v>
      </c>
      <c r="BF36" s="102">
        <f>+AG28</f>
        <v>0</v>
      </c>
      <c r="BG36" s="102">
        <f>+AG29</f>
        <v>0</v>
      </c>
      <c r="BH36" s="102">
        <f>+AG30</f>
        <v>0</v>
      </c>
      <c r="BI36" s="102">
        <f>+AG31</f>
        <v>0</v>
      </c>
      <c r="BJ36" s="102">
        <f>+AG32</f>
        <v>0</v>
      </c>
      <c r="BK36" s="102">
        <f>+AG33</f>
        <v>0</v>
      </c>
      <c r="BL36" s="102">
        <f>+AG34</f>
        <v>0</v>
      </c>
      <c r="BM36" s="102">
        <f>+AG35</f>
        <v>0</v>
      </c>
      <c r="BN36" s="102">
        <f>+AG36</f>
        <v>0</v>
      </c>
      <c r="BO36" s="102">
        <f>+AG37</f>
        <v>0</v>
      </c>
      <c r="BP36" s="102">
        <f>+AG38</f>
        <v>0</v>
      </c>
      <c r="BQ36" s="102">
        <f>+AG39</f>
        <v>0</v>
      </c>
      <c r="BR36" s="102">
        <f>+AG40</f>
        <v>0</v>
      </c>
      <c r="BS36" s="102">
        <f>+AG41</f>
        <v>0</v>
      </c>
    </row>
    <row r="37" spans="2:79" x14ac:dyDescent="0.2">
      <c r="B37" s="89">
        <f>+'Annual Energy Data'!A46</f>
        <v>2046</v>
      </c>
      <c r="C37" s="102">
        <f>+'Annual Energy Data'!I46</f>
        <v>-15460.240383621356</v>
      </c>
      <c r="D37" s="102">
        <f>+'Annual Energy Data'!M46</f>
        <v>-2845.5928739609021</v>
      </c>
      <c r="E37" s="102">
        <f>+'Annual Energy Data'!Q46</f>
        <v>-15460.240383621356</v>
      </c>
      <c r="F37" s="102">
        <f>+'Annual Energy Data'!U46</f>
        <v>-2845.5928739609021</v>
      </c>
      <c r="G37" s="102">
        <f>+'Annual Energy Data'!V46</f>
        <v>-2845.5928739609021</v>
      </c>
      <c r="H37" s="102">
        <f>+'Annual Energy Data'!W46</f>
        <v>-2845.5928739609021</v>
      </c>
      <c r="I37" s="102">
        <f>+'Annual Energy Data'!X46</f>
        <v>-2845.5928739609021</v>
      </c>
      <c r="J37" s="102">
        <f>+'Annual Energy Data'!AD46</f>
        <v>0</v>
      </c>
      <c r="K37" s="102">
        <f>+SUM('Annual Energy Data'!AE46:AH46)</f>
        <v>0</v>
      </c>
      <c r="L37" s="102">
        <f>+'Annual Energy Data'!BD46</f>
        <v>0</v>
      </c>
      <c r="M37" s="102">
        <f>+SUM('Annual Energy Data'!AI46:AJ46)</f>
        <v>39082.345000000008</v>
      </c>
      <c r="N37" s="102">
        <f>+SUM('Annual Energy Data'!AK46:AL46)</f>
        <v>0</v>
      </c>
      <c r="O37" s="102">
        <f>+SUM('Annual Energy Data'!AM46:AN46)</f>
        <v>0</v>
      </c>
      <c r="P37" s="102">
        <f>+'Annual Energy Data'!AO46</f>
        <v>0</v>
      </c>
      <c r="Q37" s="102">
        <f>+'Annual Energy Data'!AP46</f>
        <v>0</v>
      </c>
      <c r="R37" s="102">
        <f>+SUM('Annual Energy Data'!AQ46:BC46)</f>
        <v>9576.336683280706</v>
      </c>
      <c r="S37" s="102">
        <f>+'Annual Energy Data'!BL46</f>
        <v>0</v>
      </c>
      <c r="T37" s="102">
        <f>+'Annual Energy Data'!BM46</f>
        <v>0</v>
      </c>
      <c r="U37" s="102">
        <f>+'Annual Energy Data'!BN46</f>
        <v>0</v>
      </c>
      <c r="V37" s="102">
        <f>+'Annual Energy Data'!BO46</f>
        <v>0</v>
      </c>
      <c r="W37" s="102">
        <f>+'Annual Energy Data'!BP46</f>
        <v>0</v>
      </c>
      <c r="X37" s="102">
        <f>+'Annual Energy Data'!BQ46</f>
        <v>0</v>
      </c>
      <c r="Y37" s="102">
        <f>+'Annual Energy Data'!BR46</f>
        <v>0</v>
      </c>
      <c r="Z37" s="102">
        <f>+'Annual Energy Data'!BS46</f>
        <v>0</v>
      </c>
      <c r="AA37" s="102">
        <f>+'Annual Energy Data'!BJ46</f>
        <v>9334.3472612153091</v>
      </c>
      <c r="AB37" s="102">
        <f>+'Annual Energy Data'!BE46</f>
        <v>0</v>
      </c>
      <c r="AC37" s="102">
        <f>+'Annual Energy Data'!BF46</f>
        <v>0</v>
      </c>
      <c r="AD37" s="102">
        <f>+'Annual Energy Data'!BG46</f>
        <v>0</v>
      </c>
      <c r="AE37" s="102">
        <f>+'Annual Energy Data'!BH46</f>
        <v>0</v>
      </c>
      <c r="AF37" s="102">
        <f>+'Annual Energy Data'!BI46</f>
        <v>2206.4957152249667</v>
      </c>
      <c r="AG37" s="102">
        <f>+'Annual Energy Data'!BT46</f>
        <v>0</v>
      </c>
      <c r="AH37" s="102">
        <f t="shared" si="2"/>
        <v>60199.524659720992</v>
      </c>
      <c r="AJ37" s="121" t="s">
        <v>192</v>
      </c>
      <c r="AK37" s="102">
        <v>0</v>
      </c>
      <c r="AL37" s="102">
        <v>0</v>
      </c>
      <c r="AM37" s="102">
        <v>472128.23374736862</v>
      </c>
      <c r="AN37" s="102">
        <f>+SUM(AN13:AN36)</f>
        <v>407600.87644115859</v>
      </c>
      <c r="AO37" s="102">
        <f t="shared" ref="AO37:BS37" si="3">+SUM(AO13:AO36)</f>
        <v>410835.62271561957</v>
      </c>
      <c r="AP37" s="102">
        <f t="shared" si="3"/>
        <v>336797.10346189869</v>
      </c>
      <c r="AQ37" s="102">
        <f t="shared" si="3"/>
        <v>411935.41188361781</v>
      </c>
      <c r="AR37" s="102">
        <f t="shared" si="3"/>
        <v>477556.39583999652</v>
      </c>
      <c r="AS37" s="102">
        <f t="shared" si="3"/>
        <v>450988.84067101323</v>
      </c>
      <c r="AT37" s="102">
        <f t="shared" si="3"/>
        <v>480497.50172829308</v>
      </c>
      <c r="AU37" s="102">
        <f t="shared" si="3"/>
        <v>485725.58038676361</v>
      </c>
      <c r="AV37" s="102">
        <f t="shared" si="3"/>
        <v>486314.75685553462</v>
      </c>
      <c r="AW37" s="102">
        <f t="shared" si="3"/>
        <v>455295.00146641355</v>
      </c>
      <c r="AX37" s="102">
        <f t="shared" si="3"/>
        <v>447973.84339239297</v>
      </c>
      <c r="AY37" s="102">
        <f t="shared" si="3"/>
        <v>434728.6286689596</v>
      </c>
      <c r="AZ37" s="102">
        <f t="shared" si="3"/>
        <v>371654.46912646282</v>
      </c>
      <c r="BA37" s="102">
        <f t="shared" si="3"/>
        <v>352632.16048747028</v>
      </c>
      <c r="BB37" s="102">
        <f t="shared" si="3"/>
        <v>328338.60262748849</v>
      </c>
      <c r="BC37" s="102">
        <f t="shared" si="3"/>
        <v>330834.72935585992</v>
      </c>
      <c r="BD37" s="102">
        <f t="shared" si="3"/>
        <v>235758.31336919329</v>
      </c>
      <c r="BE37" s="102">
        <f t="shared" si="3"/>
        <v>170715.83222740574</v>
      </c>
      <c r="BF37" s="102">
        <f t="shared" si="3"/>
        <v>170003.02440546392</v>
      </c>
      <c r="BG37" s="102">
        <f t="shared" si="3"/>
        <v>141060.14661856333</v>
      </c>
      <c r="BH37" s="102">
        <f t="shared" si="3"/>
        <v>106224.28559550404</v>
      </c>
      <c r="BI37" s="102">
        <f t="shared" si="3"/>
        <v>104053.95744485893</v>
      </c>
      <c r="BJ37" s="102">
        <f t="shared" si="3"/>
        <v>102809.41576574702</v>
      </c>
      <c r="BK37" s="102">
        <f t="shared" si="3"/>
        <v>99735.809717575685</v>
      </c>
      <c r="BL37" s="102">
        <f t="shared" si="3"/>
        <v>64130.289652674401</v>
      </c>
      <c r="BM37" s="102">
        <f t="shared" si="3"/>
        <v>63644.162579877564</v>
      </c>
      <c r="BN37" s="102">
        <f t="shared" si="3"/>
        <v>61448.546724937543</v>
      </c>
      <c r="BO37" s="102">
        <f t="shared" si="3"/>
        <v>60199.524659720992</v>
      </c>
      <c r="BP37" s="102">
        <f t="shared" si="3"/>
        <v>45915.630189254916</v>
      </c>
      <c r="BQ37" s="102">
        <f t="shared" si="3"/>
        <v>41861.165574861931</v>
      </c>
      <c r="BR37" s="102">
        <f t="shared" si="3"/>
        <v>39919.649049925923</v>
      </c>
      <c r="BS37" s="102">
        <f t="shared" si="3"/>
        <v>39082.345000000008</v>
      </c>
    </row>
    <row r="38" spans="2:79" x14ac:dyDescent="0.2">
      <c r="B38" s="89">
        <f>+'Annual Energy Data'!A47</f>
        <v>2047</v>
      </c>
      <c r="C38" s="102">
        <f>+'Annual Energy Data'!I47</f>
        <v>0</v>
      </c>
      <c r="D38" s="102">
        <f>+'Annual Energy Data'!M47</f>
        <v>0</v>
      </c>
      <c r="E38" s="102">
        <f>+'Annual Energy Data'!Q47</f>
        <v>0</v>
      </c>
      <c r="F38" s="102">
        <f>+'Annual Energy Data'!U47</f>
        <v>0</v>
      </c>
      <c r="G38" s="102">
        <f>+'Annual Energy Data'!V47</f>
        <v>0</v>
      </c>
      <c r="H38" s="102">
        <f>+'Annual Energy Data'!W47</f>
        <v>0</v>
      </c>
      <c r="I38" s="102">
        <f>+'Annual Energy Data'!X47</f>
        <v>0</v>
      </c>
      <c r="J38" s="102">
        <f>+'Annual Energy Data'!AD47</f>
        <v>0</v>
      </c>
      <c r="K38" s="102">
        <f>+SUM('Annual Energy Data'!AE47:AH47)</f>
        <v>0</v>
      </c>
      <c r="L38" s="102">
        <f>+'Annual Energy Data'!BD47</f>
        <v>0</v>
      </c>
      <c r="M38" s="102">
        <f>+SUM('Annual Energy Data'!AI47:AJ47)</f>
        <v>39082.345000000008</v>
      </c>
      <c r="N38" s="102">
        <f>+SUM('Annual Energy Data'!AK47:AL47)</f>
        <v>0</v>
      </c>
      <c r="O38" s="102">
        <f>+SUM('Annual Energy Data'!AM47:AN47)</f>
        <v>0</v>
      </c>
      <c r="P38" s="102">
        <f>+'Annual Energy Data'!AO47</f>
        <v>0</v>
      </c>
      <c r="Q38" s="102">
        <f>+'Annual Energy Data'!AP47</f>
        <v>0</v>
      </c>
      <c r="R38" s="102">
        <f>+SUM('Annual Energy Data'!AQ47:BC47)</f>
        <v>6833.2851892549088</v>
      </c>
      <c r="S38" s="102">
        <f>+'Annual Energy Data'!BL47</f>
        <v>0</v>
      </c>
      <c r="T38" s="102">
        <f>+'Annual Energy Data'!BM47</f>
        <v>0</v>
      </c>
      <c r="U38" s="102">
        <f>+'Annual Energy Data'!BN47</f>
        <v>0</v>
      </c>
      <c r="V38" s="102">
        <f>+'Annual Energy Data'!BO47</f>
        <v>0</v>
      </c>
      <c r="W38" s="102">
        <f>+'Annual Energy Data'!BP47</f>
        <v>0</v>
      </c>
      <c r="X38" s="102">
        <f>+'Annual Energy Data'!BQ47</f>
        <v>0</v>
      </c>
      <c r="Y38" s="102">
        <f>+'Annual Energy Data'!BR47</f>
        <v>0</v>
      </c>
      <c r="Z38" s="102">
        <f>+'Annual Energy Data'!BS47</f>
        <v>0</v>
      </c>
      <c r="AA38" s="102">
        <f>+'Annual Energy Data'!BJ47</f>
        <v>0</v>
      </c>
      <c r="AB38" s="102">
        <f>+'Annual Energy Data'!BE47</f>
        <v>0</v>
      </c>
      <c r="AC38" s="102">
        <f>+'Annual Energy Data'!BF47</f>
        <v>0</v>
      </c>
      <c r="AD38" s="102">
        <f>+'Annual Energy Data'!BG47</f>
        <v>0</v>
      </c>
      <c r="AE38" s="102">
        <f>+'Annual Energy Data'!BH47</f>
        <v>0</v>
      </c>
      <c r="AF38" s="102">
        <f>+'Annual Energy Data'!BI47</f>
        <v>0</v>
      </c>
      <c r="AG38" s="102">
        <f>+'Annual Energy Data'!BT47</f>
        <v>0</v>
      </c>
      <c r="AH38" s="102">
        <f t="shared" si="2"/>
        <v>45915.630189254916</v>
      </c>
      <c r="AN38" s="58"/>
      <c r="AO38" s="58"/>
      <c r="AP38" s="58"/>
      <c r="AQ38" s="58"/>
      <c r="AR38" s="58"/>
      <c r="AS38" s="58"/>
      <c r="AT38" s="58"/>
      <c r="AU38" s="58"/>
      <c r="AV38" s="58"/>
      <c r="AW38" s="58"/>
      <c r="AX38" s="58"/>
      <c r="AY38" s="58"/>
      <c r="AZ38" s="58"/>
      <c r="BA38" s="58"/>
      <c r="BB38" s="58"/>
      <c r="BC38" s="58"/>
      <c r="BD38" s="58"/>
      <c r="BE38" s="58"/>
      <c r="BF38" s="58"/>
      <c r="BG38" s="58"/>
    </row>
    <row r="39" spans="2:79" x14ac:dyDescent="0.2">
      <c r="B39" s="89">
        <f>+'Annual Energy Data'!A48</f>
        <v>2048</v>
      </c>
      <c r="C39" s="102">
        <f>+'Annual Energy Data'!I48</f>
        <v>0</v>
      </c>
      <c r="D39" s="102">
        <f>+'Annual Energy Data'!M48</f>
        <v>0</v>
      </c>
      <c r="E39" s="102">
        <f>+'Annual Energy Data'!Q48</f>
        <v>0</v>
      </c>
      <c r="F39" s="102">
        <f>+'Annual Energy Data'!U48</f>
        <v>0</v>
      </c>
      <c r="G39" s="102">
        <f>+'Annual Energy Data'!V48</f>
        <v>0</v>
      </c>
      <c r="H39" s="102">
        <f>+'Annual Energy Data'!W48</f>
        <v>0</v>
      </c>
      <c r="I39" s="102">
        <f>+'Annual Energy Data'!X48</f>
        <v>0</v>
      </c>
      <c r="J39" s="102">
        <f>+'Annual Energy Data'!AD48</f>
        <v>0</v>
      </c>
      <c r="K39" s="102">
        <f>+SUM('Annual Energy Data'!AE48:AH48)</f>
        <v>0</v>
      </c>
      <c r="L39" s="102">
        <f>+'Annual Energy Data'!BD48</f>
        <v>0</v>
      </c>
      <c r="M39" s="102">
        <f>+SUM('Annual Energy Data'!AI48:AJ48)</f>
        <v>39082.345000000008</v>
      </c>
      <c r="N39" s="102">
        <f>+SUM('Annual Energy Data'!AK48:AL48)</f>
        <v>0</v>
      </c>
      <c r="O39" s="102">
        <f>+SUM('Annual Energy Data'!AM48:AN48)</f>
        <v>0</v>
      </c>
      <c r="P39" s="102">
        <f>+'Annual Energy Data'!AO48</f>
        <v>0</v>
      </c>
      <c r="Q39" s="102">
        <f>+'Annual Energy Data'!AP48</f>
        <v>0</v>
      </c>
      <c r="R39" s="102">
        <f>+SUM('Annual Energy Data'!AQ48:BC48)</f>
        <v>2778.8205748619234</v>
      </c>
      <c r="S39" s="102">
        <f>+'Annual Energy Data'!BL48</f>
        <v>0</v>
      </c>
      <c r="T39" s="102">
        <f>+'Annual Energy Data'!BM48</f>
        <v>0</v>
      </c>
      <c r="U39" s="102">
        <f>+'Annual Energy Data'!BN48</f>
        <v>0</v>
      </c>
      <c r="V39" s="102">
        <f>+'Annual Energy Data'!BO48</f>
        <v>0</v>
      </c>
      <c r="W39" s="102">
        <f>+'Annual Energy Data'!BP48</f>
        <v>0</v>
      </c>
      <c r="X39" s="102">
        <f>+'Annual Energy Data'!BQ48</f>
        <v>0</v>
      </c>
      <c r="Y39" s="102">
        <f>+'Annual Energy Data'!BR48</f>
        <v>0</v>
      </c>
      <c r="Z39" s="102">
        <f>+'Annual Energy Data'!BS48</f>
        <v>0</v>
      </c>
      <c r="AA39" s="102">
        <f>+'Annual Energy Data'!BJ48</f>
        <v>0</v>
      </c>
      <c r="AB39" s="102">
        <f>+'Annual Energy Data'!BE48</f>
        <v>0</v>
      </c>
      <c r="AC39" s="102">
        <f>+'Annual Energy Data'!BF48</f>
        <v>0</v>
      </c>
      <c r="AD39" s="102">
        <f>+'Annual Energy Data'!BG48</f>
        <v>0</v>
      </c>
      <c r="AE39" s="102">
        <f>+'Annual Energy Data'!BH48</f>
        <v>0</v>
      </c>
      <c r="AF39" s="102">
        <f>+'Annual Energy Data'!BI48</f>
        <v>0</v>
      </c>
      <c r="AG39" s="102">
        <f>+'Annual Energy Data'!BT48</f>
        <v>0</v>
      </c>
      <c r="AH39" s="102">
        <f t="shared" si="2"/>
        <v>41861.165574861931</v>
      </c>
      <c r="AJ39" s="166" t="s">
        <v>319</v>
      </c>
      <c r="BT39" s="139"/>
      <c r="BU39" s="139"/>
      <c r="BV39" s="139"/>
      <c r="BW39" s="139"/>
      <c r="BX39" s="139"/>
      <c r="BY39" s="139"/>
      <c r="BZ39" s="139"/>
      <c r="CA39" s="139"/>
    </row>
    <row r="40" spans="2:79" x14ac:dyDescent="0.2">
      <c r="B40" s="89">
        <f>+'Annual Energy Data'!A49</f>
        <v>2049</v>
      </c>
      <c r="C40" s="102">
        <f>+'Annual Energy Data'!I49</f>
        <v>0</v>
      </c>
      <c r="D40" s="102">
        <f>+'Annual Energy Data'!M49</f>
        <v>0</v>
      </c>
      <c r="E40" s="102">
        <f>+'Annual Energy Data'!Q49</f>
        <v>0</v>
      </c>
      <c r="F40" s="102">
        <f>+'Annual Energy Data'!U49</f>
        <v>0</v>
      </c>
      <c r="G40" s="102">
        <f>+'Annual Energy Data'!V49</f>
        <v>0</v>
      </c>
      <c r="H40" s="102">
        <f>+'Annual Energy Data'!W49</f>
        <v>0</v>
      </c>
      <c r="I40" s="102">
        <f>+'Annual Energy Data'!X49</f>
        <v>0</v>
      </c>
      <c r="J40" s="102">
        <f>+'Annual Energy Data'!AD49</f>
        <v>0</v>
      </c>
      <c r="K40" s="102">
        <f>+SUM('Annual Energy Data'!AE49:AH49)</f>
        <v>0</v>
      </c>
      <c r="L40" s="102">
        <f>+'Annual Energy Data'!BD49</f>
        <v>0</v>
      </c>
      <c r="M40" s="102">
        <f>+SUM('Annual Energy Data'!AI49:AJ49)</f>
        <v>39082.345000000008</v>
      </c>
      <c r="N40" s="102">
        <f>+SUM('Annual Energy Data'!AK49:AL49)</f>
        <v>0</v>
      </c>
      <c r="O40" s="102">
        <f>+SUM('Annual Energy Data'!AM49:AN49)</f>
        <v>0</v>
      </c>
      <c r="P40" s="102">
        <f>+'Annual Energy Data'!AO49</f>
        <v>0</v>
      </c>
      <c r="Q40" s="102">
        <f>+'Annual Energy Data'!AP49</f>
        <v>0</v>
      </c>
      <c r="R40" s="102">
        <f>+SUM('Annual Energy Data'!AQ49:BC49)</f>
        <v>837.30404992591207</v>
      </c>
      <c r="S40" s="102">
        <f>+'Annual Energy Data'!BL49</f>
        <v>0</v>
      </c>
      <c r="T40" s="102">
        <f>+'Annual Energy Data'!BM49</f>
        <v>0</v>
      </c>
      <c r="U40" s="102">
        <f>+'Annual Energy Data'!BN49</f>
        <v>0</v>
      </c>
      <c r="V40" s="102">
        <f>+'Annual Energy Data'!BO49</f>
        <v>0</v>
      </c>
      <c r="W40" s="102">
        <f>+'Annual Energy Data'!BP49</f>
        <v>0</v>
      </c>
      <c r="X40" s="102">
        <f>+'Annual Energy Data'!BQ49</f>
        <v>0</v>
      </c>
      <c r="Y40" s="102">
        <f>+'Annual Energy Data'!BR49</f>
        <v>0</v>
      </c>
      <c r="Z40" s="102">
        <f>+'Annual Energy Data'!BS49</f>
        <v>0</v>
      </c>
      <c r="AA40" s="102">
        <f>+'Annual Energy Data'!BJ49</f>
        <v>0</v>
      </c>
      <c r="AB40" s="102">
        <f>+'Annual Energy Data'!BE49</f>
        <v>0</v>
      </c>
      <c r="AC40" s="102">
        <f>+'Annual Energy Data'!BF49</f>
        <v>0</v>
      </c>
      <c r="AD40" s="102">
        <f>+'Annual Energy Data'!BG49</f>
        <v>0</v>
      </c>
      <c r="AE40" s="102">
        <f>+'Annual Energy Data'!BH49</f>
        <v>0</v>
      </c>
      <c r="AF40" s="102">
        <f>+'Annual Energy Data'!BI49</f>
        <v>0</v>
      </c>
      <c r="AG40" s="102">
        <f>+'Annual Energy Data'!BT49</f>
        <v>0</v>
      </c>
      <c r="AH40" s="102">
        <f t="shared" si="2"/>
        <v>39919.649049925923</v>
      </c>
      <c r="AJ40" s="58" t="str">
        <f t="shared" ref="AJ40:AJ46" si="4">+AJ6</f>
        <v>Pre-Tier 3 High Load</v>
      </c>
      <c r="AM40" s="139"/>
      <c r="AN40" s="139" t="e">
        <f t="shared" ref="AN40:BS40" si="5">+AN37/AN6</f>
        <v>#DIV/0!</v>
      </c>
      <c r="AO40" s="139" t="e">
        <f t="shared" si="5"/>
        <v>#DIV/0!</v>
      </c>
      <c r="AP40" s="139" t="e">
        <f t="shared" si="5"/>
        <v>#DIV/0!</v>
      </c>
      <c r="AQ40" s="139" t="e">
        <f t="shared" si="5"/>
        <v>#DIV/0!</v>
      </c>
      <c r="AR40" s="139" t="e">
        <f t="shared" si="5"/>
        <v>#DIV/0!</v>
      </c>
      <c r="AS40" s="139" t="e">
        <f t="shared" si="5"/>
        <v>#DIV/0!</v>
      </c>
      <c r="AT40" s="139">
        <f t="shared" si="5"/>
        <v>0.98056386813468699</v>
      </c>
      <c r="AU40" s="139">
        <f t="shared" si="5"/>
        <v>0.99867639490420312</v>
      </c>
      <c r="AV40" s="139">
        <f t="shared" si="5"/>
        <v>1.0076949874193561</v>
      </c>
      <c r="AW40" s="139">
        <f t="shared" si="5"/>
        <v>0.95075734359803077</v>
      </c>
      <c r="AX40" s="139">
        <f t="shared" si="5"/>
        <v>0.94259261222022983</v>
      </c>
      <c r="AY40" s="139">
        <f t="shared" si="5"/>
        <v>0.92162836689409955</v>
      </c>
      <c r="AZ40" s="139">
        <f t="shared" si="5"/>
        <v>0.79389856545527537</v>
      </c>
      <c r="BA40" s="139">
        <f t="shared" si="5"/>
        <v>0.75906475709962629</v>
      </c>
      <c r="BB40" s="139">
        <f t="shared" si="5"/>
        <v>0.71209999412430092</v>
      </c>
      <c r="BC40" s="139">
        <f t="shared" si="5"/>
        <v>0.72293966209991245</v>
      </c>
      <c r="BD40" s="139">
        <f t="shared" si="5"/>
        <v>0.51909917186521226</v>
      </c>
      <c r="BE40" s="139">
        <f t="shared" si="5"/>
        <v>0.37873510264794774</v>
      </c>
      <c r="BF40" s="139">
        <f t="shared" si="5"/>
        <v>0.3799903519771633</v>
      </c>
      <c r="BG40" s="139">
        <f t="shared" si="5"/>
        <v>0.31769916238186297</v>
      </c>
      <c r="BH40" s="139">
        <f t="shared" si="5"/>
        <v>0.24107074889646696</v>
      </c>
      <c r="BI40" s="139">
        <f t="shared" si="5"/>
        <v>0.23798170505971333</v>
      </c>
      <c r="BJ40" s="139">
        <f t="shared" si="5"/>
        <v>0.23696790693121533</v>
      </c>
      <c r="BK40" s="139">
        <f t="shared" si="5"/>
        <v>0.23167916036607641</v>
      </c>
      <c r="BL40" s="139">
        <f t="shared" si="5"/>
        <v>0.15024757302055947</v>
      </c>
      <c r="BM40" s="139">
        <f t="shared" si="5"/>
        <v>0.15030136877410161</v>
      </c>
      <c r="BN40" s="139">
        <f t="shared" si="5"/>
        <v>0.14629243625860677</v>
      </c>
      <c r="BO40" s="139">
        <f t="shared" si="5"/>
        <v>-3.8938285024013353</v>
      </c>
      <c r="BP40" s="139" t="e">
        <f t="shared" si="5"/>
        <v>#DIV/0!</v>
      </c>
      <c r="BQ40" s="139" t="e">
        <f t="shared" si="5"/>
        <v>#DIV/0!</v>
      </c>
      <c r="BR40" s="139" t="e">
        <f t="shared" si="5"/>
        <v>#DIV/0!</v>
      </c>
      <c r="BS40" s="139" t="e">
        <f t="shared" si="5"/>
        <v>#DIV/0!</v>
      </c>
      <c r="BT40" s="139"/>
      <c r="BU40" s="139"/>
      <c r="BV40" s="139"/>
      <c r="BW40" s="139"/>
      <c r="BX40" s="139"/>
      <c r="BY40" s="139"/>
      <c r="BZ40" s="139"/>
      <c r="CA40" s="139"/>
    </row>
    <row r="41" spans="2:79" x14ac:dyDescent="0.2">
      <c r="B41" s="89">
        <f>+'Annual Energy Data'!A50</f>
        <v>2050</v>
      </c>
      <c r="C41" s="102">
        <f>+'Annual Energy Data'!I50</f>
        <v>0</v>
      </c>
      <c r="D41" s="102">
        <f>+'Annual Energy Data'!M50</f>
        <v>0</v>
      </c>
      <c r="E41" s="102">
        <f>+'Annual Energy Data'!Q50</f>
        <v>0</v>
      </c>
      <c r="F41" s="102">
        <f>+'Annual Energy Data'!U50</f>
        <v>0</v>
      </c>
      <c r="G41" s="102">
        <f>+'Annual Energy Data'!V50</f>
        <v>0</v>
      </c>
      <c r="H41" s="102">
        <f>+'Annual Energy Data'!W50</f>
        <v>0</v>
      </c>
      <c r="I41" s="102">
        <f>+'Annual Energy Data'!X50</f>
        <v>0</v>
      </c>
      <c r="J41" s="102">
        <f>+'Annual Energy Data'!AD50</f>
        <v>0</v>
      </c>
      <c r="K41" s="102">
        <f>+SUM('Annual Energy Data'!AE50:AH50)</f>
        <v>0</v>
      </c>
      <c r="L41" s="102">
        <f>+'Annual Energy Data'!BD50</f>
        <v>0</v>
      </c>
      <c r="M41" s="102">
        <f>+SUM('Annual Energy Data'!AI50:AJ50)</f>
        <v>39082.345000000008</v>
      </c>
      <c r="N41" s="102">
        <f>+SUM('Annual Energy Data'!AK50:AL50)</f>
        <v>0</v>
      </c>
      <c r="O41" s="102">
        <f>+SUM('Annual Energy Data'!AM50:AN50)</f>
        <v>0</v>
      </c>
      <c r="P41" s="102">
        <f>+'Annual Energy Data'!AO50</f>
        <v>0</v>
      </c>
      <c r="Q41" s="102">
        <f>+'Annual Energy Data'!AP50</f>
        <v>0</v>
      </c>
      <c r="R41" s="102">
        <f>+SUM('Annual Energy Data'!AQ50:BC50)</f>
        <v>0</v>
      </c>
      <c r="S41" s="102">
        <f>+'Annual Energy Data'!BL50</f>
        <v>0</v>
      </c>
      <c r="T41" s="102">
        <f>+'Annual Energy Data'!BM50</f>
        <v>0</v>
      </c>
      <c r="U41" s="102">
        <f>+'Annual Energy Data'!BN50</f>
        <v>0</v>
      </c>
      <c r="V41" s="102">
        <f>+'Annual Energy Data'!BO50</f>
        <v>0</v>
      </c>
      <c r="W41" s="102">
        <f>+'Annual Energy Data'!BP50</f>
        <v>0</v>
      </c>
      <c r="X41" s="102">
        <f>+'Annual Energy Data'!BQ50</f>
        <v>0</v>
      </c>
      <c r="Y41" s="102">
        <f>+'Annual Energy Data'!BR50</f>
        <v>0</v>
      </c>
      <c r="Z41" s="102">
        <f>+'Annual Energy Data'!BS50</f>
        <v>0</v>
      </c>
      <c r="AA41" s="102">
        <f>+'Annual Energy Data'!BJ50</f>
        <v>0</v>
      </c>
      <c r="AB41" s="102">
        <f>+'Annual Energy Data'!BE50</f>
        <v>0</v>
      </c>
      <c r="AC41" s="102">
        <f>+'Annual Energy Data'!BF50</f>
        <v>0</v>
      </c>
      <c r="AD41" s="102">
        <f>+'Annual Energy Data'!BG50</f>
        <v>0</v>
      </c>
      <c r="AE41" s="102">
        <f>+'Annual Energy Data'!BH50</f>
        <v>0</v>
      </c>
      <c r="AF41" s="102">
        <f>+'Annual Energy Data'!BI50</f>
        <v>0</v>
      </c>
      <c r="AG41" s="102">
        <f>+'Annual Energy Data'!BT50</f>
        <v>0</v>
      </c>
      <c r="AH41" s="102">
        <f t="shared" si="2"/>
        <v>39082.345000000008</v>
      </c>
      <c r="AJ41" s="58" t="str">
        <f t="shared" si="4"/>
        <v>Pre-Tier 3 Base Load</v>
      </c>
      <c r="AM41" s="139"/>
      <c r="AN41" s="139" t="e">
        <f t="shared" ref="AN41:BS41" si="6">+AN37/AN7</f>
        <v>#DIV/0!</v>
      </c>
      <c r="AO41" s="139" t="e">
        <f t="shared" si="6"/>
        <v>#DIV/0!</v>
      </c>
      <c r="AP41" s="139" t="e">
        <f t="shared" si="6"/>
        <v>#DIV/0!</v>
      </c>
      <c r="AQ41" s="139" t="e">
        <f t="shared" si="6"/>
        <v>#DIV/0!</v>
      </c>
      <c r="AR41" s="139" t="e">
        <f t="shared" si="6"/>
        <v>#DIV/0!</v>
      </c>
      <c r="AS41" s="139" t="e">
        <f t="shared" si="6"/>
        <v>#DIV/0!</v>
      </c>
      <c r="AT41" s="139">
        <f t="shared" si="6"/>
        <v>0.95638717460295597</v>
      </c>
      <c r="AU41" s="139">
        <f t="shared" si="6"/>
        <v>0.97387280974753299</v>
      </c>
      <c r="AV41" s="139">
        <f t="shared" si="6"/>
        <v>0.98247688517840226</v>
      </c>
      <c r="AW41" s="139">
        <f t="shared" si="6"/>
        <v>0.92673540513809216</v>
      </c>
      <c r="AX41" s="139">
        <f t="shared" si="6"/>
        <v>0.91864847769073388</v>
      </c>
      <c r="AY41" s="139">
        <f t="shared" si="6"/>
        <v>0.89804456116181886</v>
      </c>
      <c r="AZ41" s="139">
        <f t="shared" si="6"/>
        <v>0.77343286150278789</v>
      </c>
      <c r="BA41" s="139">
        <f t="shared" si="6"/>
        <v>0.7393105633043705</v>
      </c>
      <c r="BB41" s="139">
        <f t="shared" si="6"/>
        <v>0.69346948172738843</v>
      </c>
      <c r="BC41" s="139">
        <f t="shared" si="6"/>
        <v>0.70388628892244709</v>
      </c>
      <c r="BD41" s="139">
        <f t="shared" si="6"/>
        <v>0.50531675355706918</v>
      </c>
      <c r="BE41" s="139">
        <f t="shared" si="6"/>
        <v>0.36858489830564567</v>
      </c>
      <c r="BF41" s="139">
        <f t="shared" si="6"/>
        <v>0.36975257788065974</v>
      </c>
      <c r="BG41" s="139">
        <f t="shared" si="6"/>
        <v>0.30907621504708815</v>
      </c>
      <c r="BH41" s="139">
        <f t="shared" si="6"/>
        <v>0.2344789644843677</v>
      </c>
      <c r="BI41" s="139">
        <f t="shared" si="6"/>
        <v>0.23141199321573819</v>
      </c>
      <c r="BJ41" s="139">
        <f t="shared" si="6"/>
        <v>0.23038983873423105</v>
      </c>
      <c r="BK41" s="139">
        <f t="shared" si="6"/>
        <v>0.22519907300728398</v>
      </c>
      <c r="BL41" s="139">
        <f t="shared" si="6"/>
        <v>0.14593459118187396</v>
      </c>
      <c r="BM41" s="139">
        <f t="shared" si="6"/>
        <v>0.14595332923649013</v>
      </c>
      <c r="BN41" s="139">
        <f t="shared" si="6"/>
        <v>0.14202706833700091</v>
      </c>
      <c r="BO41" s="139">
        <f t="shared" si="6"/>
        <v>-21.155354025021403</v>
      </c>
      <c r="BP41" s="139" t="e">
        <f t="shared" si="6"/>
        <v>#DIV/0!</v>
      </c>
      <c r="BQ41" s="139" t="e">
        <f t="shared" si="6"/>
        <v>#DIV/0!</v>
      </c>
      <c r="BR41" s="139" t="e">
        <f t="shared" si="6"/>
        <v>#DIV/0!</v>
      </c>
      <c r="BS41" s="139" t="e">
        <f t="shared" si="6"/>
        <v>#DIV/0!</v>
      </c>
      <c r="BT41" s="139"/>
      <c r="BU41" s="139"/>
      <c r="BV41" s="139"/>
      <c r="BW41" s="139"/>
      <c r="BX41" s="139"/>
      <c r="BY41" s="139"/>
      <c r="BZ41" s="139"/>
      <c r="CA41" s="139"/>
    </row>
    <row r="42" spans="2:79" x14ac:dyDescent="0.2">
      <c r="AJ42" s="58" t="str">
        <f t="shared" si="4"/>
        <v>Pre-Tier 3 Low Load</v>
      </c>
      <c r="AM42" s="139"/>
      <c r="AN42" s="139" t="e">
        <f t="shared" ref="AN42:BS42" si="7">+AN37/AN8</f>
        <v>#DIV/0!</v>
      </c>
      <c r="AO42" s="139" t="e">
        <f t="shared" si="7"/>
        <v>#DIV/0!</v>
      </c>
      <c r="AP42" s="139" t="e">
        <f t="shared" si="7"/>
        <v>#DIV/0!</v>
      </c>
      <c r="AQ42" s="139" t="e">
        <f t="shared" si="7"/>
        <v>#DIV/0!</v>
      </c>
      <c r="AR42" s="139" t="e">
        <f t="shared" si="7"/>
        <v>#DIV/0!</v>
      </c>
      <c r="AS42" s="139" t="e">
        <f t="shared" si="7"/>
        <v>#DIV/0!</v>
      </c>
      <c r="AT42" s="139">
        <f t="shared" si="7"/>
        <v>0.98056386813468699</v>
      </c>
      <c r="AU42" s="139">
        <f t="shared" si="7"/>
        <v>0.99867639490420312</v>
      </c>
      <c r="AV42" s="139">
        <f t="shared" si="7"/>
        <v>1.0076949874193561</v>
      </c>
      <c r="AW42" s="139">
        <f t="shared" si="7"/>
        <v>0.95075734359803077</v>
      </c>
      <c r="AX42" s="139">
        <f t="shared" si="7"/>
        <v>0.94259261222022983</v>
      </c>
      <c r="AY42" s="139">
        <f t="shared" si="7"/>
        <v>0.92162836689409955</v>
      </c>
      <c r="AZ42" s="139">
        <f t="shared" si="7"/>
        <v>0.79389856545527537</v>
      </c>
      <c r="BA42" s="139">
        <f t="shared" si="7"/>
        <v>0.75906475709962629</v>
      </c>
      <c r="BB42" s="139">
        <f t="shared" si="7"/>
        <v>0.71209999412430092</v>
      </c>
      <c r="BC42" s="139">
        <f t="shared" si="7"/>
        <v>0.72293966209991245</v>
      </c>
      <c r="BD42" s="139">
        <f t="shared" si="7"/>
        <v>0.51909917186521226</v>
      </c>
      <c r="BE42" s="139">
        <f t="shared" si="7"/>
        <v>0.37873510264794774</v>
      </c>
      <c r="BF42" s="139">
        <f t="shared" si="7"/>
        <v>0.3799903519771633</v>
      </c>
      <c r="BG42" s="139">
        <f t="shared" si="7"/>
        <v>0.31769916238186297</v>
      </c>
      <c r="BH42" s="139">
        <f t="shared" si="7"/>
        <v>0.24107074889646696</v>
      </c>
      <c r="BI42" s="139">
        <f t="shared" si="7"/>
        <v>0.23798170505971333</v>
      </c>
      <c r="BJ42" s="139">
        <f t="shared" si="7"/>
        <v>0.23696790693121533</v>
      </c>
      <c r="BK42" s="139">
        <f t="shared" si="7"/>
        <v>0.23167916036607641</v>
      </c>
      <c r="BL42" s="139">
        <f t="shared" si="7"/>
        <v>0.15024757302055947</v>
      </c>
      <c r="BM42" s="139">
        <f t="shared" si="7"/>
        <v>0.15030136877410161</v>
      </c>
      <c r="BN42" s="139">
        <f t="shared" si="7"/>
        <v>0.14629243625860677</v>
      </c>
      <c r="BO42" s="139">
        <f t="shared" si="7"/>
        <v>-3.8938285024013353</v>
      </c>
      <c r="BP42" s="139" t="e">
        <f t="shared" si="7"/>
        <v>#DIV/0!</v>
      </c>
      <c r="BQ42" s="139" t="e">
        <f t="shared" si="7"/>
        <v>#DIV/0!</v>
      </c>
      <c r="BR42" s="139" t="e">
        <f t="shared" si="7"/>
        <v>#DIV/0!</v>
      </c>
      <c r="BS42" s="139" t="e">
        <f t="shared" si="7"/>
        <v>#DIV/0!</v>
      </c>
      <c r="BT42" s="139"/>
      <c r="BU42" s="139"/>
      <c r="BV42" s="139"/>
      <c r="BW42" s="139"/>
      <c r="BX42" s="139"/>
      <c r="BY42" s="139"/>
      <c r="BZ42" s="139"/>
      <c r="CA42" s="139"/>
    </row>
    <row r="43" spans="2:79" x14ac:dyDescent="0.2">
      <c r="AJ43" s="58" t="str">
        <f t="shared" si="4"/>
        <v>VELCO Forecast</v>
      </c>
      <c r="AM43" s="139"/>
      <c r="AN43" s="139" t="e">
        <f t="shared" ref="AN43:BS43" si="8">+AN37/AN9</f>
        <v>#DIV/0!</v>
      </c>
      <c r="AO43" s="139" t="e">
        <f t="shared" si="8"/>
        <v>#DIV/0!</v>
      </c>
      <c r="AP43" s="139" t="e">
        <f t="shared" si="8"/>
        <v>#DIV/0!</v>
      </c>
      <c r="AQ43" s="139" t="e">
        <f t="shared" si="8"/>
        <v>#DIV/0!</v>
      </c>
      <c r="AR43" s="139" t="e">
        <f t="shared" si="8"/>
        <v>#DIV/0!</v>
      </c>
      <c r="AS43" s="139" t="e">
        <f t="shared" si="8"/>
        <v>#DIV/0!</v>
      </c>
      <c r="AT43" s="139">
        <f t="shared" si="8"/>
        <v>0.92964809165618023</v>
      </c>
      <c r="AU43" s="139">
        <f t="shared" si="8"/>
        <v>0.90891067627288802</v>
      </c>
      <c r="AV43" s="139">
        <f t="shared" si="8"/>
        <v>0.88827652081077002</v>
      </c>
      <c r="AW43" s="139">
        <f t="shared" si="8"/>
        <v>0.80965190408931731</v>
      </c>
      <c r="AX43" s="139">
        <f t="shared" si="8"/>
        <v>0.77351582197242119</v>
      </c>
      <c r="AY43" s="139">
        <f t="shared" si="8"/>
        <v>0.72753398814707293</v>
      </c>
      <c r="AZ43" s="139">
        <f t="shared" si="8"/>
        <v>0.60321093097338219</v>
      </c>
      <c r="BA43" s="139">
        <f t="shared" si="8"/>
        <v>0.55561058154661025</v>
      </c>
      <c r="BB43" s="139">
        <f t="shared" si="8"/>
        <v>0.5031005453878622</v>
      </c>
      <c r="BC43" s="139">
        <f t="shared" si="8"/>
        <v>0.49391293263007435</v>
      </c>
      <c r="BD43" s="139">
        <f t="shared" si="8"/>
        <v>0.34435625039302548</v>
      </c>
      <c r="BE43" s="139">
        <f t="shared" si="8"/>
        <v>0.24522760836220359</v>
      </c>
      <c r="BF43" s="139">
        <f t="shared" si="8"/>
        <v>0.24117971784657502</v>
      </c>
      <c r="BG43" s="139">
        <f t="shared" si="8"/>
        <v>0.19830460223401833</v>
      </c>
      <c r="BH43" s="139">
        <f t="shared" si="8"/>
        <v>0.14833290111436817</v>
      </c>
      <c r="BI43" s="139">
        <f t="shared" si="8"/>
        <v>0.14459557176591703</v>
      </c>
      <c r="BJ43" s="139">
        <f t="shared" si="8"/>
        <v>0.14235118716995054</v>
      </c>
      <c r="BK43" s="139">
        <f t="shared" si="8"/>
        <v>0.13793062919561419</v>
      </c>
      <c r="BL43" s="139">
        <f t="shared" si="8"/>
        <v>8.8794229011367409E-2</v>
      </c>
      <c r="BM43" s="139">
        <f t="shared" si="8"/>
        <v>8.8258928805250006E-2</v>
      </c>
      <c r="BN43" s="139">
        <f t="shared" si="8"/>
        <v>8.5349765743846576E-2</v>
      </c>
      <c r="BO43" s="139">
        <f t="shared" si="8"/>
        <v>-21.155354025021403</v>
      </c>
      <c r="BP43" s="139" t="e">
        <f t="shared" si="8"/>
        <v>#DIV/0!</v>
      </c>
      <c r="BQ43" s="139" t="e">
        <f t="shared" si="8"/>
        <v>#DIV/0!</v>
      </c>
      <c r="BR43" s="139" t="e">
        <f t="shared" si="8"/>
        <v>#DIV/0!</v>
      </c>
      <c r="BS43" s="139" t="e">
        <f t="shared" si="8"/>
        <v>#DIV/0!</v>
      </c>
      <c r="BT43" s="139"/>
      <c r="BU43" s="139"/>
      <c r="BV43" s="139"/>
      <c r="BW43" s="139"/>
      <c r="BX43" s="139"/>
      <c r="BY43" s="139"/>
      <c r="BZ43" s="139"/>
      <c r="CA43" s="139"/>
    </row>
    <row r="44" spans="2:79" x14ac:dyDescent="0.2">
      <c r="AJ44" s="58" t="str">
        <f t="shared" si="4"/>
        <v>Climate Action Plan Forecast</v>
      </c>
      <c r="AM44" s="139"/>
      <c r="AN44" s="139" t="e">
        <f t="shared" ref="AN44:BS44" si="9">+AN37/AN10</f>
        <v>#DIV/0!</v>
      </c>
      <c r="AO44" s="139" t="e">
        <f t="shared" si="9"/>
        <v>#DIV/0!</v>
      </c>
      <c r="AP44" s="139" t="e">
        <f t="shared" si="9"/>
        <v>#DIV/0!</v>
      </c>
      <c r="AQ44" s="139" t="e">
        <f t="shared" si="9"/>
        <v>#DIV/0!</v>
      </c>
      <c r="AR44" s="139" t="e">
        <f t="shared" si="9"/>
        <v>#DIV/0!</v>
      </c>
      <c r="AS44" s="139" t="e">
        <f t="shared" si="9"/>
        <v>#DIV/0!</v>
      </c>
      <c r="AT44" s="139">
        <f t="shared" si="9"/>
        <v>0.91347653647313665</v>
      </c>
      <c r="AU44" s="139">
        <f t="shared" si="9"/>
        <v>0.88134389929746215</v>
      </c>
      <c r="AV44" s="139">
        <f t="shared" si="9"/>
        <v>0.8656349555666546</v>
      </c>
      <c r="AW44" s="139">
        <f t="shared" si="9"/>
        <v>0.79286798633361621</v>
      </c>
      <c r="AX44" s="139">
        <f t="shared" si="9"/>
        <v>0.76066310937692372</v>
      </c>
      <c r="AY44" s="139">
        <f t="shared" si="9"/>
        <v>0.71930723909373406</v>
      </c>
      <c r="AZ44" s="139">
        <f t="shared" si="9"/>
        <v>0.59859936855808249</v>
      </c>
      <c r="BA44" s="139">
        <f t="shared" si="9"/>
        <v>0.55211938266615113</v>
      </c>
      <c r="BB44" s="139">
        <f t="shared" si="9"/>
        <v>0.49962940924254029</v>
      </c>
      <c r="BC44" s="139">
        <f t="shared" si="9"/>
        <v>0.48921886430085015</v>
      </c>
      <c r="BD44" s="139">
        <f t="shared" si="9"/>
        <v>0.33919940363967688</v>
      </c>
      <c r="BE44" s="139">
        <f t="shared" si="9"/>
        <v>0.23910602953737389</v>
      </c>
      <c r="BF44" s="139">
        <f t="shared" si="9"/>
        <v>0.23188302738562472</v>
      </c>
      <c r="BG44" s="139">
        <f t="shared" si="9"/>
        <v>0.18769774328731603</v>
      </c>
      <c r="BH44" s="139">
        <f t="shared" si="9"/>
        <v>0.13821347899616537</v>
      </c>
      <c r="BI44" s="139">
        <f t="shared" si="9"/>
        <v>0.13296140995338879</v>
      </c>
      <c r="BJ44" s="139">
        <f t="shared" si="9"/>
        <v>0.12955921074242654</v>
      </c>
      <c r="BK44" s="139">
        <f t="shared" si="9"/>
        <v>0.12417664383722608</v>
      </c>
      <c r="BL44" s="139">
        <f t="shared" si="9"/>
        <v>7.8935975363326624E-2</v>
      </c>
      <c r="BM44" s="139">
        <f t="shared" si="9"/>
        <v>7.7450724058560405E-2</v>
      </c>
      <c r="BN44" s="139">
        <f t="shared" si="9"/>
        <v>7.3943230962991019E-2</v>
      </c>
      <c r="BO44" s="139">
        <f t="shared" si="9"/>
        <v>-21.155354025021403</v>
      </c>
      <c r="BP44" s="139" t="e">
        <f t="shared" si="9"/>
        <v>#DIV/0!</v>
      </c>
      <c r="BQ44" s="139" t="e">
        <f t="shared" si="9"/>
        <v>#DIV/0!</v>
      </c>
      <c r="BR44" s="139" t="e">
        <f t="shared" si="9"/>
        <v>#DIV/0!</v>
      </c>
      <c r="BS44" s="139" t="e">
        <f t="shared" si="9"/>
        <v>#DIV/0!</v>
      </c>
      <c r="BT44" s="139"/>
      <c r="BU44" s="139"/>
      <c r="BV44" s="139"/>
      <c r="BW44" s="139"/>
      <c r="BX44" s="139"/>
      <c r="BY44" s="139"/>
      <c r="BZ44" s="139"/>
      <c r="CA44" s="139"/>
    </row>
    <row r="45" spans="2:79" x14ac:dyDescent="0.2">
      <c r="D45" s="61" t="s">
        <v>401</v>
      </c>
      <c r="F45" s="68" t="e">
        <f>+((F33/F14)^(1/19))-1</f>
        <v>#DIV/0!</v>
      </c>
      <c r="G45" s="68" t="e">
        <f t="shared" ref="G45:H45" si="10">+((G33/G14)^(1/19))-1</f>
        <v>#DIV/0!</v>
      </c>
      <c r="H45" s="68" t="e">
        <f t="shared" si="10"/>
        <v>#DIV/0!</v>
      </c>
      <c r="I45" s="68"/>
      <c r="AJ45" s="58" t="str">
        <f t="shared" si="4"/>
        <v>VEC Forecast</v>
      </c>
      <c r="AM45" s="139"/>
      <c r="AN45" s="139" t="e">
        <f t="shared" ref="AN45:BS45" si="11">+AN37/AN11</f>
        <v>#DIV/0!</v>
      </c>
      <c r="AO45" s="139" t="e">
        <f t="shared" si="11"/>
        <v>#DIV/0!</v>
      </c>
      <c r="AP45" s="139" t="e">
        <f t="shared" si="11"/>
        <v>#DIV/0!</v>
      </c>
      <c r="AQ45" s="139" t="e">
        <f t="shared" si="11"/>
        <v>#DIV/0!</v>
      </c>
      <c r="AR45" s="139" t="e">
        <f t="shared" si="11"/>
        <v>#DIV/0!</v>
      </c>
      <c r="AS45" s="139" t="e">
        <f t="shared" si="11"/>
        <v>#DIV/0!</v>
      </c>
      <c r="AT45" s="139">
        <f t="shared" si="11"/>
        <v>0.94998717748695483</v>
      </c>
      <c r="AU45" s="139">
        <f t="shared" si="11"/>
        <v>0.95418543599690264</v>
      </c>
      <c r="AV45" s="139">
        <f t="shared" si="11"/>
        <v>0.94794179463408712</v>
      </c>
      <c r="AW45" s="139">
        <f t="shared" si="11"/>
        <v>0.87835797615253985</v>
      </c>
      <c r="AX45" s="139">
        <f t="shared" si="11"/>
        <v>0.85315708146398994</v>
      </c>
      <c r="AY45" s="139">
        <f t="shared" si="11"/>
        <v>0.81523794012847317</v>
      </c>
      <c r="AZ45" s="139">
        <f t="shared" si="11"/>
        <v>0.68491873577161477</v>
      </c>
      <c r="BA45" s="139">
        <f t="shared" si="11"/>
        <v>0.63737248206880304</v>
      </c>
      <c r="BB45" s="139">
        <f t="shared" si="11"/>
        <v>0.580892237409667</v>
      </c>
      <c r="BC45" s="139">
        <f t="shared" si="11"/>
        <v>0.57193808920041156</v>
      </c>
      <c r="BD45" s="139">
        <f t="shared" si="11"/>
        <v>0.39782882289395516</v>
      </c>
      <c r="BE45" s="139">
        <f t="shared" si="11"/>
        <v>0.28127159350559816</v>
      </c>
      <c r="BF45" s="139">
        <f t="shared" si="11"/>
        <v>0.27389603507540911</v>
      </c>
      <c r="BG45" s="139">
        <f t="shared" si="11"/>
        <v>0.22275587993670984</v>
      </c>
      <c r="BH45" s="139">
        <f t="shared" si="11"/>
        <v>0.16488988058528209</v>
      </c>
      <c r="BI45" s="139">
        <f t="shared" si="11"/>
        <v>0.15926519086391863</v>
      </c>
      <c r="BJ45" s="139">
        <f t="shared" si="11"/>
        <v>0.15562539720684923</v>
      </c>
      <c r="BK45" s="139">
        <f t="shared" si="11"/>
        <v>0.14963061626937924</v>
      </c>
      <c r="BL45" s="139">
        <f t="shared" si="11"/>
        <v>9.5544763815644099E-2</v>
      </c>
      <c r="BM45" s="139">
        <f t="shared" si="11"/>
        <v>9.4291247308534082E-2</v>
      </c>
      <c r="BN45" s="139">
        <f t="shared" si="11"/>
        <v>9.061636787979957E-2</v>
      </c>
      <c r="BO45" s="139">
        <f t="shared" si="11"/>
        <v>-21.155354025021403</v>
      </c>
      <c r="BP45" s="139" t="e">
        <f t="shared" si="11"/>
        <v>#DIV/0!</v>
      </c>
      <c r="BQ45" s="139" t="e">
        <f t="shared" si="11"/>
        <v>#DIV/0!</v>
      </c>
      <c r="BR45" s="139" t="e">
        <f t="shared" si="11"/>
        <v>#DIV/0!</v>
      </c>
      <c r="BS45" s="139" t="e">
        <f t="shared" si="11"/>
        <v>#DIV/0!</v>
      </c>
    </row>
    <row r="46" spans="2:79" x14ac:dyDescent="0.2">
      <c r="D46" s="61"/>
      <c r="F46" s="68"/>
      <c r="G46" s="68"/>
      <c r="H46" s="68"/>
      <c r="I46" s="68"/>
      <c r="AJ46" s="58" t="str">
        <f t="shared" si="4"/>
        <v>Average of High and Low</v>
      </c>
      <c r="AM46" s="139"/>
      <c r="AN46" s="139"/>
      <c r="AO46" s="139"/>
      <c r="AP46" s="139"/>
      <c r="AQ46" s="139"/>
      <c r="AR46" s="139"/>
      <c r="AS46" s="139"/>
      <c r="AT46" s="139">
        <f>+AT37/AT12</f>
        <v>0.93137418247926174</v>
      </c>
      <c r="AU46" s="139">
        <f t="shared" ref="AU46:BS46" si="12">+AU37/AU12</f>
        <v>0.91631933812650623</v>
      </c>
      <c r="AV46" s="139">
        <f t="shared" si="12"/>
        <v>0.90492068029326589</v>
      </c>
      <c r="AW46" s="139">
        <f t="shared" si="12"/>
        <v>0.83333086543328883</v>
      </c>
      <c r="AX46" s="139">
        <f t="shared" si="12"/>
        <v>0.80365788821852813</v>
      </c>
      <c r="AY46" s="139">
        <f t="shared" si="12"/>
        <v>0.76299654811442363</v>
      </c>
      <c r="AZ46" s="139">
        <f t="shared" si="12"/>
        <v>0.63719135031802543</v>
      </c>
      <c r="BA46" s="139">
        <f t="shared" si="12"/>
        <v>0.58977128994952521</v>
      </c>
      <c r="BB46" s="139">
        <f t="shared" si="12"/>
        <v>0.53541129172455659</v>
      </c>
      <c r="BC46" s="139">
        <f t="shared" si="12"/>
        <v>0.52576245569703084</v>
      </c>
      <c r="BD46" s="139">
        <f t="shared" si="12"/>
        <v>0.36538141414263403</v>
      </c>
      <c r="BE46" s="139">
        <f t="shared" si="12"/>
        <v>0.25824746810879112</v>
      </c>
      <c r="BF46" s="139">
        <f t="shared" si="12"/>
        <v>0.25112351529186105</v>
      </c>
      <c r="BG46" s="139">
        <f t="shared" si="12"/>
        <v>0.20372959868004581</v>
      </c>
      <c r="BH46" s="139">
        <f t="shared" si="12"/>
        <v>0.15037777264115185</v>
      </c>
      <c r="BI46" s="139">
        <f t="shared" si="12"/>
        <v>0.14492947784038981</v>
      </c>
      <c r="BJ46" s="139">
        <f t="shared" si="12"/>
        <v>0.14140106493532953</v>
      </c>
      <c r="BK46" s="139">
        <f t="shared" si="12"/>
        <v>0.13572048992706104</v>
      </c>
      <c r="BL46" s="139">
        <f t="shared" si="12"/>
        <v>8.6449875878970767E-2</v>
      </c>
      <c r="BM46" s="139">
        <f t="shared" si="12"/>
        <v>8.5045319071374997E-2</v>
      </c>
      <c r="BN46" s="139">
        <f t="shared" si="12"/>
        <v>8.1435140414562693E-2</v>
      </c>
      <c r="BO46" s="139">
        <f t="shared" si="12"/>
        <v>-21.155354025021403</v>
      </c>
      <c r="BP46" s="139" t="e">
        <f t="shared" si="12"/>
        <v>#DIV/0!</v>
      </c>
      <c r="BQ46" s="139" t="e">
        <f t="shared" si="12"/>
        <v>#DIV/0!</v>
      </c>
      <c r="BR46" s="139" t="e">
        <f t="shared" si="12"/>
        <v>#DIV/0!</v>
      </c>
      <c r="BS46" s="139" t="e">
        <f t="shared" si="12"/>
        <v>#DIV/0!</v>
      </c>
    </row>
    <row r="47" spans="2:79" x14ac:dyDescent="0.2">
      <c r="F47" t="e">
        <f>+(F14*(1+F45)^19)-F33</f>
        <v>#DIV/0!</v>
      </c>
      <c r="G47" t="e">
        <f t="shared" ref="G47:H47" si="13">+(G14*(1+G45)^19)-G33</f>
        <v>#DIV/0!</v>
      </c>
      <c r="H47" t="e">
        <f t="shared" si="13"/>
        <v>#DIV/0!</v>
      </c>
    </row>
    <row r="48" spans="2:79" x14ac:dyDescent="0.2">
      <c r="D48" s="61" t="s">
        <v>402</v>
      </c>
      <c r="F48" s="68" t="e">
        <f>+((F19/F14)^(1/5))-1</f>
        <v>#DIV/0!</v>
      </c>
      <c r="G48" s="68" t="e">
        <f t="shared" ref="G48:H48" si="14">+((G19/G14)^(1/5))-1</f>
        <v>#DIV/0!</v>
      </c>
      <c r="H48" s="68" t="e">
        <f t="shared" si="14"/>
        <v>#DIV/0!</v>
      </c>
      <c r="I48" s="68"/>
      <c r="AJ48" s="61" t="s">
        <v>354</v>
      </c>
      <c r="BT48" s="73"/>
      <c r="BU48" s="73"/>
      <c r="BV48" s="73"/>
      <c r="BW48" s="73"/>
      <c r="BX48" s="73"/>
      <c r="BY48" s="73"/>
      <c r="BZ48" s="73"/>
      <c r="CA48" s="73"/>
    </row>
    <row r="49" spans="4:79" x14ac:dyDescent="0.2">
      <c r="F49" t="e">
        <f>+(F14*(1+F48)^5)-F19</f>
        <v>#DIV/0!</v>
      </c>
      <c r="G49" t="e">
        <f t="shared" ref="G49:H49" si="15">+(G14*(1+G48)^5)-G19</f>
        <v>#DIV/0!</v>
      </c>
      <c r="H49" t="e">
        <f t="shared" si="15"/>
        <v>#DIV/0!</v>
      </c>
      <c r="AJ49" t="str">
        <f t="shared" ref="AJ49:AJ55" si="16">+AJ40</f>
        <v>Pre-Tier 3 High Load</v>
      </c>
      <c r="AN49" s="73">
        <f t="shared" ref="AN49:BS49" si="17">+AN6-AN$37</f>
        <v>-407600.87644115859</v>
      </c>
      <c r="AO49" s="73">
        <f t="shared" si="17"/>
        <v>-410835.62271561957</v>
      </c>
      <c r="AP49" s="73">
        <f t="shared" si="17"/>
        <v>-336797.10346189869</v>
      </c>
      <c r="AQ49" s="73">
        <f t="shared" si="17"/>
        <v>-411935.41188361781</v>
      </c>
      <c r="AR49" s="73">
        <f t="shared" si="17"/>
        <v>-477556.39583999652</v>
      </c>
      <c r="AS49" s="73">
        <f t="shared" si="17"/>
        <v>-450988.84067101323</v>
      </c>
      <c r="AT49" s="73">
        <f t="shared" si="17"/>
        <v>9524.1249530334608</v>
      </c>
      <c r="AU49" s="73">
        <f t="shared" si="17"/>
        <v>643.76093861763366</v>
      </c>
      <c r="AV49" s="73">
        <f t="shared" si="17"/>
        <v>-3713.6097555016167</v>
      </c>
      <c r="AW49" s="73">
        <f t="shared" si="17"/>
        <v>23581.132945972378</v>
      </c>
      <c r="AX49" s="73">
        <f t="shared" si="17"/>
        <v>27283.269367289031</v>
      </c>
      <c r="AY49" s="73">
        <f t="shared" si="17"/>
        <v>36967.604091324378</v>
      </c>
      <c r="AZ49" s="73">
        <f t="shared" si="17"/>
        <v>96484.01266224141</v>
      </c>
      <c r="BA49" s="73">
        <f t="shared" si="17"/>
        <v>111929.20557419729</v>
      </c>
      <c r="BB49" s="73">
        <f t="shared" si="17"/>
        <v>132746.36484433431</v>
      </c>
      <c r="BC49" s="73">
        <f t="shared" si="17"/>
        <v>126789.53266745893</v>
      </c>
      <c r="BD49" s="73">
        <f t="shared" si="17"/>
        <v>218409.84205681761</v>
      </c>
      <c r="BE49" s="73">
        <f t="shared" si="17"/>
        <v>280036.76776619512</v>
      </c>
      <c r="BF49" s="73">
        <f t="shared" si="17"/>
        <v>277384.71457502677</v>
      </c>
      <c r="BG49" s="73">
        <f t="shared" si="17"/>
        <v>302945.26265291002</v>
      </c>
      <c r="BH49" s="73">
        <f t="shared" si="17"/>
        <v>334411.03030972159</v>
      </c>
      <c r="BI49" s="73">
        <f t="shared" si="17"/>
        <v>333181.15446742089</v>
      </c>
      <c r="BJ49" s="73">
        <f t="shared" si="17"/>
        <v>331044.33724726964</v>
      </c>
      <c r="BK49" s="73">
        <f t="shared" si="17"/>
        <v>330755.26060563792</v>
      </c>
      <c r="BL49" s="73">
        <f t="shared" si="17"/>
        <v>362700.49611914624</v>
      </c>
      <c r="BM49" s="73">
        <f t="shared" si="17"/>
        <v>359799.50329606538</v>
      </c>
      <c r="BN49" s="73">
        <f t="shared" si="17"/>
        <v>358590.57694043487</v>
      </c>
      <c r="BO49" s="73">
        <f t="shared" si="17"/>
        <v>-75659.765043342341</v>
      </c>
      <c r="BP49" s="73">
        <f t="shared" si="17"/>
        <v>-45915.630189254916</v>
      </c>
      <c r="BQ49" s="73">
        <f t="shared" si="17"/>
        <v>-41861.165574861931</v>
      </c>
      <c r="BR49" s="73">
        <f t="shared" si="17"/>
        <v>-39919.649049925923</v>
      </c>
      <c r="BS49" s="73">
        <f t="shared" si="17"/>
        <v>-39082.345000000008</v>
      </c>
      <c r="BT49" s="73"/>
      <c r="BU49" s="73"/>
      <c r="BV49" s="73"/>
      <c r="BW49" s="73"/>
      <c r="BX49" s="73"/>
      <c r="BY49" s="73"/>
      <c r="BZ49" s="73"/>
      <c r="CA49" s="73"/>
    </row>
    <row r="50" spans="4:79" x14ac:dyDescent="0.2">
      <c r="D50" s="61" t="s">
        <v>403</v>
      </c>
      <c r="F50" s="68">
        <f>+((F24/F19)^(1/5))-1</f>
        <v>3.0230785353429157E-2</v>
      </c>
      <c r="G50" s="68">
        <f t="shared" ref="G50:H50" si="18">+((G24/G19)^(1/5))-1</f>
        <v>2.7345186374859054E-2</v>
      </c>
      <c r="H50" s="68">
        <f t="shared" si="18"/>
        <v>1.7468582520685283E-2</v>
      </c>
      <c r="I50" s="68"/>
      <c r="AJ50" t="str">
        <f t="shared" si="16"/>
        <v>Pre-Tier 3 Base Load</v>
      </c>
      <c r="AN50" s="73">
        <f t="shared" ref="AN50:BS50" si="19">+AN7-AN$37</f>
        <v>-407600.87644115859</v>
      </c>
      <c r="AO50" s="73">
        <f t="shared" si="19"/>
        <v>-410835.62271561957</v>
      </c>
      <c r="AP50" s="73">
        <f t="shared" si="19"/>
        <v>-336797.10346189869</v>
      </c>
      <c r="AQ50" s="73">
        <f t="shared" si="19"/>
        <v>-411935.41188361781</v>
      </c>
      <c r="AR50" s="73">
        <f t="shared" si="19"/>
        <v>-477556.39583999652</v>
      </c>
      <c r="AS50" s="73">
        <f t="shared" si="19"/>
        <v>-450988.84067101323</v>
      </c>
      <c r="AT50" s="73">
        <f t="shared" si="19"/>
        <v>21911.474979044695</v>
      </c>
      <c r="AU50" s="73">
        <f t="shared" si="19"/>
        <v>13031.11096462881</v>
      </c>
      <c r="AV50" s="73">
        <f t="shared" si="19"/>
        <v>8673.740270509792</v>
      </c>
      <c r="AW50" s="73">
        <f t="shared" si="19"/>
        <v>35994.096740178007</v>
      </c>
      <c r="AX50" s="73">
        <f t="shared" si="19"/>
        <v>39670.61939330044</v>
      </c>
      <c r="AY50" s="73">
        <f t="shared" si="19"/>
        <v>49354.954117335728</v>
      </c>
      <c r="AZ50" s="73">
        <f t="shared" si="19"/>
        <v>108871.3626882527</v>
      </c>
      <c r="BA50" s="73">
        <f t="shared" si="19"/>
        <v>124342.16936840297</v>
      </c>
      <c r="BB50" s="73">
        <f t="shared" si="19"/>
        <v>145133.71487034555</v>
      </c>
      <c r="BC50" s="73">
        <f t="shared" si="19"/>
        <v>139176.88269347022</v>
      </c>
      <c r="BD50" s="73">
        <f t="shared" si="19"/>
        <v>230797.19208282884</v>
      </c>
      <c r="BE50" s="73">
        <f t="shared" si="19"/>
        <v>292449.73156040086</v>
      </c>
      <c r="BF50" s="73">
        <f t="shared" si="19"/>
        <v>289772.06460103812</v>
      </c>
      <c r="BG50" s="73">
        <f t="shared" si="19"/>
        <v>315332.61267892137</v>
      </c>
      <c r="BH50" s="73">
        <f t="shared" si="19"/>
        <v>346798.38033573277</v>
      </c>
      <c r="BI50" s="73">
        <f t="shared" si="19"/>
        <v>345594.11826162646</v>
      </c>
      <c r="BJ50" s="73">
        <f t="shared" si="19"/>
        <v>343431.68727328087</v>
      </c>
      <c r="BK50" s="73">
        <f t="shared" si="19"/>
        <v>343142.61063164915</v>
      </c>
      <c r="BL50" s="73">
        <f t="shared" si="19"/>
        <v>375315.14362880657</v>
      </c>
      <c r="BM50" s="73">
        <f t="shared" si="19"/>
        <v>372414.15080572583</v>
      </c>
      <c r="BN50" s="73">
        <f t="shared" si="19"/>
        <v>371205.22445009527</v>
      </c>
      <c r="BO50" s="73">
        <f t="shared" si="19"/>
        <v>-63045.117533681892</v>
      </c>
      <c r="BP50" s="73">
        <f t="shared" si="19"/>
        <v>-45915.630189254916</v>
      </c>
      <c r="BQ50" s="73">
        <f t="shared" si="19"/>
        <v>-41861.165574861931</v>
      </c>
      <c r="BR50" s="73">
        <f t="shared" si="19"/>
        <v>-39919.649049925923</v>
      </c>
      <c r="BS50" s="73">
        <f t="shared" si="19"/>
        <v>-39082.345000000008</v>
      </c>
      <c r="BT50" s="73"/>
      <c r="BU50" s="73"/>
      <c r="BV50" s="73"/>
      <c r="BW50" s="73"/>
      <c r="BX50" s="73"/>
      <c r="BY50" s="73"/>
      <c r="BZ50" s="73"/>
      <c r="CA50" s="73"/>
    </row>
    <row r="51" spans="4:79" x14ac:dyDescent="0.2">
      <c r="F51">
        <f>+(F19*(1+F50)^5)-F24</f>
        <v>0</v>
      </c>
      <c r="G51">
        <f t="shared" ref="G51:H51" si="20">+(G19*(1+G50)^5)-G24</f>
        <v>0</v>
      </c>
      <c r="H51">
        <f t="shared" si="20"/>
        <v>0</v>
      </c>
      <c r="AJ51" t="str">
        <f t="shared" si="16"/>
        <v>Pre-Tier 3 Low Load</v>
      </c>
      <c r="AN51" s="73">
        <f t="shared" ref="AN51:BS51" si="21">+AN8-AN$37</f>
        <v>-407600.87644115859</v>
      </c>
      <c r="AO51" s="73">
        <f t="shared" si="21"/>
        <v>-410835.62271561957</v>
      </c>
      <c r="AP51" s="73">
        <f t="shared" si="21"/>
        <v>-336797.10346189869</v>
      </c>
      <c r="AQ51" s="73">
        <f t="shared" si="21"/>
        <v>-411935.41188361781</v>
      </c>
      <c r="AR51" s="73">
        <f t="shared" si="21"/>
        <v>-477556.39583999652</v>
      </c>
      <c r="AS51" s="73">
        <f t="shared" si="21"/>
        <v>-450988.84067101323</v>
      </c>
      <c r="AT51" s="73">
        <f t="shared" si="21"/>
        <v>9524.1249530334608</v>
      </c>
      <c r="AU51" s="73">
        <f t="shared" si="21"/>
        <v>643.76093861763366</v>
      </c>
      <c r="AV51" s="73">
        <f t="shared" si="21"/>
        <v>-3713.6097555016167</v>
      </c>
      <c r="AW51" s="73">
        <f t="shared" si="21"/>
        <v>23581.132945972378</v>
      </c>
      <c r="AX51" s="73">
        <f t="shared" si="21"/>
        <v>27283.269367289031</v>
      </c>
      <c r="AY51" s="73">
        <f t="shared" si="21"/>
        <v>36967.604091324378</v>
      </c>
      <c r="AZ51" s="73">
        <f t="shared" si="21"/>
        <v>96484.01266224141</v>
      </c>
      <c r="BA51" s="73">
        <f t="shared" si="21"/>
        <v>111929.20557419729</v>
      </c>
      <c r="BB51" s="73">
        <f t="shared" si="21"/>
        <v>132746.36484433431</v>
      </c>
      <c r="BC51" s="73">
        <f t="shared" si="21"/>
        <v>126789.53266745893</v>
      </c>
      <c r="BD51" s="73">
        <f t="shared" si="21"/>
        <v>218409.84205681761</v>
      </c>
      <c r="BE51" s="73">
        <f t="shared" si="21"/>
        <v>280036.76776619512</v>
      </c>
      <c r="BF51" s="73">
        <f t="shared" si="21"/>
        <v>277384.71457502677</v>
      </c>
      <c r="BG51" s="73">
        <f t="shared" si="21"/>
        <v>302945.26265291002</v>
      </c>
      <c r="BH51" s="73">
        <f t="shared" si="21"/>
        <v>334411.03030972159</v>
      </c>
      <c r="BI51" s="73">
        <f t="shared" si="21"/>
        <v>333181.15446742089</v>
      </c>
      <c r="BJ51" s="73">
        <f t="shared" si="21"/>
        <v>331044.33724726964</v>
      </c>
      <c r="BK51" s="73">
        <f t="shared" si="21"/>
        <v>330755.26060563792</v>
      </c>
      <c r="BL51" s="73">
        <f t="shared" si="21"/>
        <v>362700.49611914624</v>
      </c>
      <c r="BM51" s="73">
        <f t="shared" si="21"/>
        <v>359799.50329606538</v>
      </c>
      <c r="BN51" s="73">
        <f t="shared" si="21"/>
        <v>358590.57694043487</v>
      </c>
      <c r="BO51" s="73">
        <f t="shared" si="21"/>
        <v>-75659.765043342341</v>
      </c>
      <c r="BP51" s="73">
        <f t="shared" si="21"/>
        <v>-45915.630189254916</v>
      </c>
      <c r="BQ51" s="73">
        <f t="shared" si="21"/>
        <v>-41861.165574861931</v>
      </c>
      <c r="BR51" s="73">
        <f t="shared" si="21"/>
        <v>-39919.649049925923</v>
      </c>
      <c r="BS51" s="73">
        <f t="shared" si="21"/>
        <v>-39082.345000000008</v>
      </c>
      <c r="BT51" s="73"/>
      <c r="BU51" s="73"/>
      <c r="BV51" s="73"/>
      <c r="BW51" s="73"/>
      <c r="BX51" s="73"/>
      <c r="BY51" s="73"/>
      <c r="BZ51" s="73"/>
      <c r="CA51" s="73"/>
    </row>
    <row r="52" spans="4:79" x14ac:dyDescent="0.2">
      <c r="D52" s="61" t="s">
        <v>404</v>
      </c>
      <c r="F52" s="68">
        <f>+((F29/F24)^(1/5))-1</f>
        <v>1.7374565525207775E-2</v>
      </c>
      <c r="G52" s="68">
        <f t="shared" ref="G52:H52" si="22">+((G29/G24)^(1/5))-1</f>
        <v>2.7198237733752739E-2</v>
      </c>
      <c r="H52" s="68">
        <f t="shared" si="22"/>
        <v>2.2986155669893815E-2</v>
      </c>
      <c r="I52" s="68"/>
      <c r="AJ52" t="str">
        <f t="shared" si="16"/>
        <v>VELCO Forecast</v>
      </c>
      <c r="AN52" s="73">
        <f t="shared" ref="AN52:BS52" si="23">+AN9-AN$37</f>
        <v>-407600.87644115859</v>
      </c>
      <c r="AO52" s="73">
        <f t="shared" si="23"/>
        <v>-410835.62271561957</v>
      </c>
      <c r="AP52" s="73">
        <f t="shared" si="23"/>
        <v>-336797.10346189869</v>
      </c>
      <c r="AQ52" s="73">
        <f t="shared" si="23"/>
        <v>-411935.41188361781</v>
      </c>
      <c r="AR52" s="73">
        <f t="shared" si="23"/>
        <v>-477556.39583999652</v>
      </c>
      <c r="AS52" s="73">
        <f t="shared" si="23"/>
        <v>-450988.84067101323</v>
      </c>
      <c r="AT52" s="73">
        <f t="shared" si="23"/>
        <v>36362.056249479472</v>
      </c>
      <c r="AU52" s="73">
        <f t="shared" si="23"/>
        <v>48678.50690875313</v>
      </c>
      <c r="AV52" s="73">
        <f t="shared" si="23"/>
        <v>61166.512166023254</v>
      </c>
      <c r="AW52" s="73">
        <f t="shared" si="23"/>
        <v>107039.25497990655</v>
      </c>
      <c r="AX52" s="73">
        <f t="shared" si="23"/>
        <v>131166.0147298174</v>
      </c>
      <c r="AY52" s="73">
        <f t="shared" si="23"/>
        <v>162808.58024708356</v>
      </c>
      <c r="AZ52" s="73">
        <f t="shared" si="23"/>
        <v>244472.41127793549</v>
      </c>
      <c r="BA52" s="73">
        <f t="shared" si="23"/>
        <v>282042.86586979491</v>
      </c>
      <c r="BB52" s="73">
        <f t="shared" si="23"/>
        <v>324291.58359971567</v>
      </c>
      <c r="BC52" s="73">
        <f t="shared" si="23"/>
        <v>338989.25681549427</v>
      </c>
      <c r="BD52" s="73">
        <f t="shared" si="23"/>
        <v>448876.60497515014</v>
      </c>
      <c r="BE52" s="73">
        <f t="shared" si="23"/>
        <v>525436.74768625875</v>
      </c>
      <c r="BF52" s="73">
        <f t="shared" si="23"/>
        <v>534878.0739031852</v>
      </c>
      <c r="BG52" s="73">
        <f t="shared" si="23"/>
        <v>570270.52866298624</v>
      </c>
      <c r="BH52" s="73">
        <f t="shared" si="23"/>
        <v>609896.5803585879</v>
      </c>
      <c r="BI52" s="73">
        <f t="shared" si="23"/>
        <v>615566.67943958077</v>
      </c>
      <c r="BJ52" s="73">
        <f t="shared" si="23"/>
        <v>619414.38727851352</v>
      </c>
      <c r="BK52" s="73">
        <f t="shared" si="23"/>
        <v>623350.93540362327</v>
      </c>
      <c r="BL52" s="73">
        <f t="shared" si="23"/>
        <v>658104.59392815456</v>
      </c>
      <c r="BM52" s="73">
        <f t="shared" si="23"/>
        <v>657463.19099239632</v>
      </c>
      <c r="BN52" s="73">
        <f t="shared" si="23"/>
        <v>658512.96915500239</v>
      </c>
      <c r="BO52" s="73">
        <f t="shared" si="23"/>
        <v>-63045.117533681892</v>
      </c>
      <c r="BP52" s="73">
        <f t="shared" si="23"/>
        <v>-45915.630189254916</v>
      </c>
      <c r="BQ52" s="73">
        <f t="shared" si="23"/>
        <v>-41861.165574861931</v>
      </c>
      <c r="BR52" s="73">
        <f t="shared" si="23"/>
        <v>-39919.649049925923</v>
      </c>
      <c r="BS52" s="73">
        <f t="shared" si="23"/>
        <v>-39082.345000000008</v>
      </c>
      <c r="BT52" s="73"/>
      <c r="BU52" s="73"/>
      <c r="BV52" s="73"/>
      <c r="BW52" s="73"/>
      <c r="BX52" s="73"/>
      <c r="BY52" s="73"/>
      <c r="BZ52" s="73"/>
      <c r="CA52" s="73"/>
    </row>
    <row r="53" spans="4:79" x14ac:dyDescent="0.2">
      <c r="F53">
        <f>+(F24*(1+F52)^5)-F29</f>
        <v>0</v>
      </c>
      <c r="G53">
        <f t="shared" ref="G53:H53" si="24">+(G24*(1+G52)^5)-G29</f>
        <v>0</v>
      </c>
      <c r="H53">
        <f t="shared" si="24"/>
        <v>0</v>
      </c>
      <c r="AJ53" t="str">
        <f t="shared" si="16"/>
        <v>Climate Action Plan Forecast</v>
      </c>
      <c r="AN53" s="73">
        <f t="shared" ref="AN53:BS53" si="25">+AN10-AN$37</f>
        <v>-407600.87644115859</v>
      </c>
      <c r="AO53" s="73">
        <f t="shared" si="25"/>
        <v>-410835.62271561957</v>
      </c>
      <c r="AP53" s="73">
        <f t="shared" si="25"/>
        <v>-336797.10346189869</v>
      </c>
      <c r="AQ53" s="73">
        <f t="shared" si="25"/>
        <v>-411935.41188361781</v>
      </c>
      <c r="AR53" s="73">
        <f t="shared" si="25"/>
        <v>-477556.39583999652</v>
      </c>
      <c r="AS53" s="73">
        <f t="shared" si="25"/>
        <v>-450988.84067101323</v>
      </c>
      <c r="AT53" s="73">
        <f t="shared" si="25"/>
        <v>45512.179465552734</v>
      </c>
      <c r="AU53" s="73">
        <f t="shared" si="25"/>
        <v>65393.660098075226</v>
      </c>
      <c r="AV53" s="73">
        <f t="shared" si="25"/>
        <v>75486.443209436606</v>
      </c>
      <c r="AW53" s="73">
        <f t="shared" si="25"/>
        <v>118943.09278656641</v>
      </c>
      <c r="AX53" s="73">
        <f t="shared" si="25"/>
        <v>140951.57953147986</v>
      </c>
      <c r="AY53" s="73">
        <f t="shared" si="25"/>
        <v>169642.6400210103</v>
      </c>
      <c r="AZ53" s="73">
        <f t="shared" si="25"/>
        <v>249219.00426478242</v>
      </c>
      <c r="BA53" s="73">
        <f t="shared" si="25"/>
        <v>286056.08621857892</v>
      </c>
      <c r="BB53" s="73">
        <f t="shared" si="25"/>
        <v>328825.68064651644</v>
      </c>
      <c r="BC53" s="73">
        <f t="shared" si="25"/>
        <v>345416.23620872572</v>
      </c>
      <c r="BD53" s="73">
        <f t="shared" si="25"/>
        <v>459285.10604564002</v>
      </c>
      <c r="BE53" s="73">
        <f t="shared" si="25"/>
        <v>543259.60602360545</v>
      </c>
      <c r="BF53" s="73">
        <f t="shared" si="25"/>
        <v>563138.27671592648</v>
      </c>
      <c r="BG53" s="73">
        <f t="shared" si="25"/>
        <v>610468.05051397881</v>
      </c>
      <c r="BH53" s="73">
        <f t="shared" si="25"/>
        <v>662328.00298737106</v>
      </c>
      <c r="BI53" s="73">
        <f t="shared" si="25"/>
        <v>678533.69322262635</v>
      </c>
      <c r="BJ53" s="73">
        <f t="shared" si="25"/>
        <v>690722.86323323427</v>
      </c>
      <c r="BK53" s="73">
        <f t="shared" si="25"/>
        <v>703441.07311324019</v>
      </c>
      <c r="BL53" s="73">
        <f t="shared" si="25"/>
        <v>748303.95667791716</v>
      </c>
      <c r="BM53" s="73">
        <f t="shared" si="25"/>
        <v>758093.31442235527</v>
      </c>
      <c r="BN53" s="73">
        <f t="shared" si="25"/>
        <v>769574.73863424396</v>
      </c>
      <c r="BO53" s="73">
        <f t="shared" si="25"/>
        <v>-63045.117533681892</v>
      </c>
      <c r="BP53" s="73">
        <f t="shared" si="25"/>
        <v>-45915.630189254916</v>
      </c>
      <c r="BQ53" s="73">
        <f t="shared" si="25"/>
        <v>-41861.165574861931</v>
      </c>
      <c r="BR53" s="73">
        <f t="shared" si="25"/>
        <v>-39919.649049925923</v>
      </c>
      <c r="BS53" s="73">
        <f t="shared" si="25"/>
        <v>-39082.345000000008</v>
      </c>
      <c r="BT53" s="73"/>
      <c r="BU53" s="73"/>
      <c r="BV53" s="73"/>
      <c r="BW53" s="73"/>
      <c r="BX53" s="73"/>
      <c r="BY53" s="73"/>
      <c r="BZ53" s="73"/>
      <c r="CA53" s="73"/>
    </row>
    <row r="54" spans="4:79" x14ac:dyDescent="0.2">
      <c r="D54" s="61" t="s">
        <v>405</v>
      </c>
      <c r="F54" s="68">
        <f>+((F33/F29)^(1/4))-1</f>
        <v>4.1063550444513375E-3</v>
      </c>
      <c r="G54" s="68">
        <f t="shared" ref="G54:H54" si="26">+((G33/G29)^(1/4))-1</f>
        <v>1.6755382267498176E-2</v>
      </c>
      <c r="H54" s="68">
        <f t="shared" si="26"/>
        <v>1.2893711269932551E-2</v>
      </c>
      <c r="I54" s="68"/>
      <c r="AJ54" t="str">
        <f t="shared" si="16"/>
        <v>VEC Forecast</v>
      </c>
      <c r="AN54" s="73">
        <f t="shared" ref="AN54:BS55" si="27">+AN11-AN$37</f>
        <v>-407600.87644115859</v>
      </c>
      <c r="AO54" s="73">
        <f t="shared" si="27"/>
        <v>-410835.62271561957</v>
      </c>
      <c r="AP54" s="73">
        <f t="shared" si="27"/>
        <v>-336797.10346189869</v>
      </c>
      <c r="AQ54" s="73">
        <f t="shared" si="27"/>
        <v>-411935.41188361781</v>
      </c>
      <c r="AR54" s="73">
        <f t="shared" si="27"/>
        <v>-477556.39583999652</v>
      </c>
      <c r="AS54" s="73">
        <f t="shared" si="27"/>
        <v>-450988.84067101323</v>
      </c>
      <c r="AT54" s="73">
        <f t="shared" si="27"/>
        <v>25296.1690866914</v>
      </c>
      <c r="AU54" s="73">
        <f t="shared" si="27"/>
        <v>23321.78301099455</v>
      </c>
      <c r="AV54" s="73">
        <f t="shared" si="27"/>
        <v>26706.991534888337</v>
      </c>
      <c r="AW54" s="73">
        <f t="shared" si="27"/>
        <v>63052.886100722128</v>
      </c>
      <c r="AX54" s="73">
        <f t="shared" si="27"/>
        <v>77103.956610959722</v>
      </c>
      <c r="AY54" s="73">
        <f t="shared" si="27"/>
        <v>98525.047675459296</v>
      </c>
      <c r="AZ54" s="73">
        <f t="shared" si="27"/>
        <v>170971.17347296886</v>
      </c>
      <c r="BA54" s="73">
        <f t="shared" si="27"/>
        <v>200626.9939443089</v>
      </c>
      <c r="BB54" s="73">
        <f t="shared" si="27"/>
        <v>236892.91792376962</v>
      </c>
      <c r="BC54" s="73">
        <f t="shared" si="27"/>
        <v>247610.27300161181</v>
      </c>
      <c r="BD54" s="73">
        <f t="shared" si="27"/>
        <v>356854.13651364687</v>
      </c>
      <c r="BE54" s="73">
        <f t="shared" si="27"/>
        <v>436227.19426064938</v>
      </c>
      <c r="BF54" s="73">
        <f t="shared" si="27"/>
        <v>450681.47859823471</v>
      </c>
      <c r="BG54" s="73">
        <f t="shared" si="27"/>
        <v>492189.78895504226</v>
      </c>
      <c r="BH54" s="73">
        <f t="shared" si="27"/>
        <v>537989.20536256698</v>
      </c>
      <c r="BI54" s="73">
        <f t="shared" si="27"/>
        <v>549283.76739274233</v>
      </c>
      <c r="BJ54" s="73">
        <f t="shared" si="27"/>
        <v>557811.65001761005</v>
      </c>
      <c r="BK54" s="73">
        <f t="shared" si="27"/>
        <v>566810.99871113396</v>
      </c>
      <c r="BL54" s="73">
        <f t="shared" si="27"/>
        <v>607076.45252333139</v>
      </c>
      <c r="BM54" s="73">
        <f t="shared" si="27"/>
        <v>611330.073062854</v>
      </c>
      <c r="BN54" s="73">
        <f t="shared" si="27"/>
        <v>616668.97401312122</v>
      </c>
      <c r="BO54" s="73">
        <f t="shared" si="27"/>
        <v>-63045.117533681892</v>
      </c>
      <c r="BP54" s="73">
        <f t="shared" si="27"/>
        <v>-45915.630189254916</v>
      </c>
      <c r="BQ54" s="73">
        <f t="shared" si="27"/>
        <v>-41861.165574861931</v>
      </c>
      <c r="BR54" s="73">
        <f t="shared" si="27"/>
        <v>-39919.649049925923</v>
      </c>
      <c r="BS54" s="73">
        <f t="shared" si="27"/>
        <v>-39082.345000000008</v>
      </c>
    </row>
    <row r="55" spans="4:79" x14ac:dyDescent="0.2">
      <c r="D55" s="61"/>
      <c r="F55" s="68"/>
      <c r="G55" s="68"/>
      <c r="H55" s="68"/>
      <c r="I55" s="68"/>
      <c r="AJ55" t="str">
        <f t="shared" si="16"/>
        <v>Average of High and Low</v>
      </c>
      <c r="AN55" s="73"/>
      <c r="AO55" s="73"/>
      <c r="AP55" s="73"/>
      <c r="AQ55" s="73"/>
      <c r="AR55" s="73"/>
      <c r="AS55" s="73"/>
      <c r="AT55" s="73">
        <f t="shared" si="27"/>
        <v>35404.174276122008</v>
      </c>
      <c r="AU55" s="73">
        <f t="shared" si="27"/>
        <v>44357.721554534917</v>
      </c>
      <c r="AV55" s="73">
        <f t="shared" si="27"/>
        <v>51096.7173721625</v>
      </c>
      <c r="AW55" s="73">
        <f t="shared" si="27"/>
        <v>91060.618314552761</v>
      </c>
      <c r="AX55" s="73">
        <f t="shared" si="27"/>
        <v>109444.7422515786</v>
      </c>
      <c r="AY55" s="73">
        <f t="shared" si="27"/>
        <v>135036.24083575152</v>
      </c>
      <c r="AZ55" s="73">
        <f t="shared" si="27"/>
        <v>211615.32720860699</v>
      </c>
      <c r="BA55" s="73">
        <f t="shared" si="27"/>
        <v>245281.24509327585</v>
      </c>
      <c r="BB55" s="73">
        <f t="shared" si="27"/>
        <v>284906.96709128196</v>
      </c>
      <c r="BC55" s="73">
        <f t="shared" si="27"/>
        <v>298412.80585898343</v>
      </c>
      <c r="BD55" s="73">
        <f t="shared" si="27"/>
        <v>409480.61845332204</v>
      </c>
      <c r="BE55" s="73">
        <f t="shared" si="27"/>
        <v>490339.36989170592</v>
      </c>
      <c r="BF55" s="73">
        <f t="shared" si="27"/>
        <v>506966.72973278479</v>
      </c>
      <c r="BG55" s="73">
        <f t="shared" si="27"/>
        <v>551328.91973451048</v>
      </c>
      <c r="BH55" s="73">
        <f t="shared" si="27"/>
        <v>600158.60417496902</v>
      </c>
      <c r="BI55" s="73">
        <f t="shared" si="27"/>
        <v>613908.73030768428</v>
      </c>
      <c r="BJ55" s="73">
        <f t="shared" si="27"/>
        <v>624267.25662542204</v>
      </c>
      <c r="BK55" s="73">
        <f t="shared" si="27"/>
        <v>635126.03591218696</v>
      </c>
      <c r="BL55" s="73">
        <f t="shared" si="27"/>
        <v>677690.20460062404</v>
      </c>
      <c r="BM55" s="73">
        <f t="shared" si="27"/>
        <v>684711.69374260469</v>
      </c>
      <c r="BN55" s="73">
        <f t="shared" si="27"/>
        <v>693121.85632368259</v>
      </c>
      <c r="BO55" s="73">
        <f t="shared" si="27"/>
        <v>-63045.117533681892</v>
      </c>
      <c r="BP55" s="73">
        <f t="shared" si="27"/>
        <v>-45915.630189254916</v>
      </c>
      <c r="BQ55" s="73">
        <f t="shared" si="27"/>
        <v>-41861.165574861931</v>
      </c>
      <c r="BR55" s="73">
        <f t="shared" si="27"/>
        <v>-39919.649049925923</v>
      </c>
      <c r="BS55" s="73">
        <f t="shared" si="27"/>
        <v>-39082.345000000008</v>
      </c>
    </row>
    <row r="56" spans="4:79" x14ac:dyDescent="0.2">
      <c r="D56" s="61"/>
      <c r="F56" s="68"/>
      <c r="G56" s="68"/>
      <c r="H56" s="68"/>
      <c r="I56" s="68"/>
      <c r="BT56" s="58"/>
      <c r="BU56" s="58"/>
      <c r="BV56" s="58"/>
      <c r="BW56" s="58"/>
      <c r="BX56" s="58"/>
      <c r="BY56" s="58"/>
      <c r="BZ56" s="58"/>
      <c r="CA56" s="58"/>
    </row>
    <row r="57" spans="4:79" x14ac:dyDescent="0.2">
      <c r="D57" s="61"/>
      <c r="F57" s="68"/>
      <c r="G57" s="68"/>
      <c r="H57" s="68"/>
      <c r="I57" s="68"/>
      <c r="AJ57" t="s">
        <v>409</v>
      </c>
      <c r="AN57" s="58">
        <f t="shared" ref="AN57:BS57" si="28">+SUM(AN13:AN19,AN21:AN22,AN30:AN35)</f>
        <v>298081.6549411586</v>
      </c>
      <c r="AO57" s="58">
        <f t="shared" si="28"/>
        <v>299467.40121561958</v>
      </c>
      <c r="AP57" s="58">
        <f t="shared" si="28"/>
        <v>310970.90196189872</v>
      </c>
      <c r="AQ57" s="58">
        <f t="shared" si="28"/>
        <v>378307.57576361782</v>
      </c>
      <c r="AR57" s="58">
        <f t="shared" si="28"/>
        <v>369400.29221999651</v>
      </c>
      <c r="AS57" s="58">
        <f t="shared" si="28"/>
        <v>327465.20371767989</v>
      </c>
      <c r="AT57" s="58">
        <f t="shared" si="28"/>
        <v>357240.26477495971</v>
      </c>
      <c r="AU57" s="58">
        <f t="shared" si="28"/>
        <v>351288.77593343024</v>
      </c>
      <c r="AV57" s="58">
        <f t="shared" si="28"/>
        <v>352005.95240220125</v>
      </c>
      <c r="AW57" s="58">
        <f t="shared" si="28"/>
        <v>360482.19701308018</v>
      </c>
      <c r="AX57" s="58">
        <f t="shared" si="28"/>
        <v>353289.0389390596</v>
      </c>
      <c r="AY57" s="58">
        <f t="shared" si="28"/>
        <v>339995.82421562623</v>
      </c>
      <c r="AZ57" s="58">
        <f t="shared" si="28"/>
        <v>282351.41967312945</v>
      </c>
      <c r="BA57" s="58">
        <f t="shared" si="28"/>
        <v>273304.2910341369</v>
      </c>
      <c r="BB57" s="58">
        <f t="shared" si="28"/>
        <v>249362.73317415515</v>
      </c>
      <c r="BC57" s="58">
        <f t="shared" si="28"/>
        <v>256319.19323585994</v>
      </c>
      <c r="BD57" s="58">
        <f t="shared" si="28"/>
        <v>170969.77724919328</v>
      </c>
      <c r="BE57" s="58">
        <f t="shared" si="28"/>
        <v>170663.29610740574</v>
      </c>
      <c r="BF57" s="58">
        <f t="shared" si="28"/>
        <v>169950.48828546391</v>
      </c>
      <c r="BG57" s="58">
        <f t="shared" si="28"/>
        <v>141007.61049856333</v>
      </c>
      <c r="BH57" s="58">
        <f t="shared" si="28"/>
        <v>106224.28559550404</v>
      </c>
      <c r="BI57" s="58">
        <f t="shared" si="28"/>
        <v>104053.95744485893</v>
      </c>
      <c r="BJ57" s="58">
        <f t="shared" si="28"/>
        <v>102809.41576574702</v>
      </c>
      <c r="BK57" s="58">
        <f t="shared" si="28"/>
        <v>99735.809717575685</v>
      </c>
      <c r="BL57" s="58">
        <f t="shared" si="28"/>
        <v>64130.289652674401</v>
      </c>
      <c r="BM57" s="58">
        <f t="shared" si="28"/>
        <v>63644.162579877564</v>
      </c>
      <c r="BN57" s="58">
        <f t="shared" si="28"/>
        <v>61448.546724937543</v>
      </c>
      <c r="BO57" s="58">
        <f t="shared" si="28"/>
        <v>60199.524659720992</v>
      </c>
      <c r="BP57" s="58">
        <f t="shared" si="28"/>
        <v>45915.630189254916</v>
      </c>
      <c r="BQ57" s="58">
        <f t="shared" si="28"/>
        <v>41861.165574861931</v>
      </c>
      <c r="BR57" s="58">
        <f t="shared" si="28"/>
        <v>39919.649049925923</v>
      </c>
      <c r="BS57" s="58">
        <f t="shared" si="28"/>
        <v>39082.345000000008</v>
      </c>
      <c r="BT57" s="58"/>
      <c r="BU57" s="58"/>
      <c r="BV57" s="58"/>
      <c r="BW57" s="58"/>
      <c r="BX57" s="58"/>
      <c r="BY57" s="58"/>
      <c r="BZ57" s="58"/>
      <c r="CA57" s="58"/>
    </row>
    <row r="58" spans="4:79" x14ac:dyDescent="0.2">
      <c r="D58" s="61"/>
      <c r="F58" s="68"/>
      <c r="G58" s="68"/>
      <c r="H58" s="68"/>
      <c r="I58" s="68"/>
      <c r="AJ58" t="s">
        <v>410</v>
      </c>
      <c r="AN58" s="58">
        <f t="shared" ref="AN58:BS58" si="29">+SUM(AN13:AN19,AN30:AN35)</f>
        <v>212671.65494115857</v>
      </c>
      <c r="AO58" s="58">
        <f t="shared" si="29"/>
        <v>220843.40121561964</v>
      </c>
      <c r="AP58" s="58">
        <f t="shared" si="29"/>
        <v>232814.90196189866</v>
      </c>
      <c r="AQ58" s="58">
        <f t="shared" si="29"/>
        <v>276610.82424961339</v>
      </c>
      <c r="AR58" s="58">
        <f t="shared" si="29"/>
        <v>269682.90003193909</v>
      </c>
      <c r="AS58" s="58">
        <f t="shared" si="29"/>
        <v>225671.92856868656</v>
      </c>
      <c r="AT58" s="58">
        <f t="shared" si="29"/>
        <v>247589.68557604039</v>
      </c>
      <c r="AU58" s="58">
        <f t="shared" si="29"/>
        <v>248658.19673451097</v>
      </c>
      <c r="AV58" s="58">
        <f t="shared" si="29"/>
        <v>249609.37320328198</v>
      </c>
      <c r="AW58" s="58">
        <f t="shared" si="29"/>
        <v>250597.61781416094</v>
      </c>
      <c r="AX58" s="58">
        <f t="shared" si="29"/>
        <v>250658.45974014033</v>
      </c>
      <c r="AY58" s="58">
        <f t="shared" si="29"/>
        <v>238152.51458972471</v>
      </c>
      <c r="AZ58" s="58">
        <f t="shared" si="29"/>
        <v>174461.14234181098</v>
      </c>
      <c r="BA58" s="58">
        <f t="shared" si="29"/>
        <v>172583.77200161674</v>
      </c>
      <c r="BB58" s="58">
        <f t="shared" si="29"/>
        <v>149527.91418673799</v>
      </c>
      <c r="BC58" s="58">
        <f t="shared" si="29"/>
        <v>149631.06237547976</v>
      </c>
      <c r="BD58" s="58">
        <f t="shared" si="29"/>
        <v>149746.62559467822</v>
      </c>
      <c r="BE58" s="58">
        <f t="shared" si="29"/>
        <v>149978.16859644552</v>
      </c>
      <c r="BF58" s="58">
        <f t="shared" si="29"/>
        <v>149734.59190571588</v>
      </c>
      <c r="BG58" s="58">
        <f t="shared" si="29"/>
        <v>121884.68379425087</v>
      </c>
      <c r="BH58" s="58">
        <f t="shared" si="29"/>
        <v>88641.187517445011</v>
      </c>
      <c r="BI58" s="58">
        <f t="shared" si="29"/>
        <v>88713.855817341697</v>
      </c>
      <c r="BJ58" s="58">
        <f t="shared" si="29"/>
        <v>88677.773710604932</v>
      </c>
      <c r="BK58" s="58">
        <f t="shared" si="29"/>
        <v>87212.006893385042</v>
      </c>
      <c r="BL58" s="58">
        <f t="shared" si="29"/>
        <v>53101.856021099738</v>
      </c>
      <c r="BM58" s="58">
        <f t="shared" si="29"/>
        <v>53078.430202300326</v>
      </c>
      <c r="BN58" s="58">
        <f t="shared" si="29"/>
        <v>51545.383960003172</v>
      </c>
      <c r="BO58" s="58">
        <f t="shared" si="29"/>
        <v>50623.187976440284</v>
      </c>
      <c r="BP58" s="58">
        <f t="shared" si="29"/>
        <v>39082.345000000008</v>
      </c>
      <c r="BQ58" s="58">
        <f t="shared" si="29"/>
        <v>39082.345000000008</v>
      </c>
      <c r="BR58" s="58">
        <f t="shared" si="29"/>
        <v>39082.345000000008</v>
      </c>
      <c r="BS58" s="58">
        <f t="shared" si="29"/>
        <v>39082.345000000008</v>
      </c>
      <c r="BT58" s="58"/>
      <c r="BU58" s="58"/>
      <c r="BV58" s="58"/>
      <c r="BW58" s="58"/>
      <c r="BX58" s="58"/>
      <c r="BY58" s="58"/>
      <c r="BZ58" s="58"/>
      <c r="CA58" s="58"/>
    </row>
    <row r="59" spans="4:79" x14ac:dyDescent="0.2">
      <c r="F59">
        <f>+(F29*(1+F54)^4)-F33</f>
        <v>0</v>
      </c>
      <c r="G59">
        <f t="shared" ref="G59:H59" si="30">+(G29*(1+G54)^4)-G33</f>
        <v>0</v>
      </c>
      <c r="H59">
        <f t="shared" si="30"/>
        <v>0</v>
      </c>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row>
    <row r="60" spans="4:79" x14ac:dyDescent="0.2">
      <c r="AJ60" t="s">
        <v>407</v>
      </c>
      <c r="BT60" s="68"/>
      <c r="BU60" s="68"/>
      <c r="BV60" s="68"/>
      <c r="BW60" s="68"/>
      <c r="BX60" s="68"/>
      <c r="BY60" s="68"/>
      <c r="BZ60" s="68"/>
      <c r="CA60" s="68"/>
    </row>
    <row r="61" spans="4:79" x14ac:dyDescent="0.2">
      <c r="AJ61" t="str">
        <f>+AJ52</f>
        <v>VELCO Forecast</v>
      </c>
      <c r="AN61" s="68" t="e">
        <f t="shared" ref="AN61:BS61" si="31">+AN$57/AN9</f>
        <v>#DIV/0!</v>
      </c>
      <c r="AO61" s="68" t="e">
        <f t="shared" si="31"/>
        <v>#DIV/0!</v>
      </c>
      <c r="AP61" s="68" t="e">
        <f t="shared" si="31"/>
        <v>#DIV/0!</v>
      </c>
      <c r="AQ61" s="68" t="e">
        <f t="shared" si="31"/>
        <v>#DIV/0!</v>
      </c>
      <c r="AR61" s="68" t="e">
        <f t="shared" si="31"/>
        <v>#DIV/0!</v>
      </c>
      <c r="AS61" s="68" t="e">
        <f t="shared" si="31"/>
        <v>#DIV/0!</v>
      </c>
      <c r="AT61" s="68">
        <f t="shared" si="31"/>
        <v>0.69117472872644981</v>
      </c>
      <c r="AU61" s="68">
        <f t="shared" si="31"/>
        <v>0.65734672373337089</v>
      </c>
      <c r="AV61" s="68">
        <f t="shared" si="31"/>
        <v>0.6429552430739699</v>
      </c>
      <c r="AW61" s="68">
        <f t="shared" si="31"/>
        <v>0.64104612671323447</v>
      </c>
      <c r="AX61" s="68">
        <f t="shared" si="31"/>
        <v>0.61002369977531123</v>
      </c>
      <c r="AY61" s="68">
        <f t="shared" si="31"/>
        <v>0.56899523434263199</v>
      </c>
      <c r="AZ61" s="68">
        <f t="shared" si="31"/>
        <v>0.45826830260644774</v>
      </c>
      <c r="BA61" s="68">
        <f t="shared" si="31"/>
        <v>0.43062083693882586</v>
      </c>
      <c r="BB61" s="68">
        <f t="shared" si="31"/>
        <v>0.38208887427610183</v>
      </c>
      <c r="BC61" s="68">
        <f t="shared" si="31"/>
        <v>0.38266648929811309</v>
      </c>
      <c r="BD61" s="68">
        <f t="shared" si="31"/>
        <v>0.24972401007919737</v>
      </c>
      <c r="BE61" s="68">
        <f t="shared" si="31"/>
        <v>0.24515214197521334</v>
      </c>
      <c r="BF61" s="68">
        <f t="shared" si="31"/>
        <v>0.24110518595725913</v>
      </c>
      <c r="BG61" s="68">
        <f t="shared" si="31"/>
        <v>0.19823074611923849</v>
      </c>
      <c r="BH61" s="68">
        <f t="shared" si="31"/>
        <v>0.14833290111436817</v>
      </c>
      <c r="BI61" s="68">
        <f t="shared" si="31"/>
        <v>0.14459557176591703</v>
      </c>
      <c r="BJ61" s="68">
        <f t="shared" si="31"/>
        <v>0.14235118716995054</v>
      </c>
      <c r="BK61" s="68">
        <f t="shared" si="31"/>
        <v>0.13793062919561419</v>
      </c>
      <c r="BL61" s="68">
        <f t="shared" si="31"/>
        <v>8.8794229011367409E-2</v>
      </c>
      <c r="BM61" s="68">
        <f t="shared" si="31"/>
        <v>8.8258928805250006E-2</v>
      </c>
      <c r="BN61" s="68">
        <f t="shared" si="31"/>
        <v>8.5349765743846576E-2</v>
      </c>
      <c r="BO61" s="68">
        <f t="shared" si="31"/>
        <v>-21.155354025021403</v>
      </c>
      <c r="BP61" s="68" t="e">
        <f t="shared" si="31"/>
        <v>#DIV/0!</v>
      </c>
      <c r="BQ61" s="68" t="e">
        <f t="shared" si="31"/>
        <v>#DIV/0!</v>
      </c>
      <c r="BR61" s="68" t="e">
        <f t="shared" si="31"/>
        <v>#DIV/0!</v>
      </c>
      <c r="BS61" s="68" t="e">
        <f t="shared" si="31"/>
        <v>#DIV/0!</v>
      </c>
      <c r="BT61" s="68"/>
      <c r="BU61" s="68"/>
      <c r="BV61" s="68"/>
      <c r="BW61" s="68"/>
      <c r="BX61" s="68"/>
      <c r="BY61" s="68"/>
      <c r="BZ61" s="68"/>
      <c r="CA61" s="68"/>
    </row>
    <row r="62" spans="4:79" x14ac:dyDescent="0.2">
      <c r="AJ62" t="str">
        <f>+AJ53</f>
        <v>Climate Action Plan Forecast</v>
      </c>
      <c r="AN62" s="68" t="e">
        <f t="shared" ref="AN62:BS62" si="32">+AN$57/AN10</f>
        <v>#DIV/0!</v>
      </c>
      <c r="AO62" s="68" t="e">
        <f t="shared" si="32"/>
        <v>#DIV/0!</v>
      </c>
      <c r="AP62" s="68" t="e">
        <f t="shared" si="32"/>
        <v>#DIV/0!</v>
      </c>
      <c r="AQ62" s="68" t="e">
        <f t="shared" si="32"/>
        <v>#DIV/0!</v>
      </c>
      <c r="AR62" s="68" t="e">
        <f t="shared" si="32"/>
        <v>#DIV/0!</v>
      </c>
      <c r="AS62" s="68" t="e">
        <f t="shared" si="32"/>
        <v>#DIV/0!</v>
      </c>
      <c r="AT62" s="68">
        <f t="shared" si="32"/>
        <v>0.67915150147837111</v>
      </c>
      <c r="AU62" s="68">
        <f t="shared" si="32"/>
        <v>0.63740974752467228</v>
      </c>
      <c r="AV62" s="68">
        <f t="shared" si="32"/>
        <v>0.62656675058987488</v>
      </c>
      <c r="AW62" s="68">
        <f t="shared" si="32"/>
        <v>0.62775737210891158</v>
      </c>
      <c r="AX62" s="68">
        <f t="shared" si="32"/>
        <v>0.59988756672290466</v>
      </c>
      <c r="AY62" s="68">
        <f t="shared" si="32"/>
        <v>0.56256119678322614</v>
      </c>
      <c r="AZ62" s="68">
        <f t="shared" si="32"/>
        <v>0.45476483015276908</v>
      </c>
      <c r="BA62" s="68">
        <f t="shared" si="32"/>
        <v>0.42791501557084838</v>
      </c>
      <c r="BB62" s="68">
        <f t="shared" si="32"/>
        <v>0.37945265669616929</v>
      </c>
      <c r="BC62" s="68">
        <f t="shared" si="32"/>
        <v>0.3790296891064181</v>
      </c>
      <c r="BD62" s="68">
        <f t="shared" si="32"/>
        <v>0.24598431187670997</v>
      </c>
      <c r="BE62" s="68">
        <f t="shared" si="32"/>
        <v>0.23903244700611945</v>
      </c>
      <c r="BF62" s="68">
        <f t="shared" si="32"/>
        <v>0.23181136845723035</v>
      </c>
      <c r="BG62" s="68">
        <f t="shared" si="32"/>
        <v>0.18762783756694459</v>
      </c>
      <c r="BH62" s="68">
        <f t="shared" si="32"/>
        <v>0.13821347899616537</v>
      </c>
      <c r="BI62" s="68">
        <f t="shared" si="32"/>
        <v>0.13296140995338879</v>
      </c>
      <c r="BJ62" s="68">
        <f t="shared" si="32"/>
        <v>0.12955921074242654</v>
      </c>
      <c r="BK62" s="68">
        <f t="shared" si="32"/>
        <v>0.12417664383722608</v>
      </c>
      <c r="BL62" s="68">
        <f t="shared" si="32"/>
        <v>7.8935975363326624E-2</v>
      </c>
      <c r="BM62" s="68">
        <f t="shared" si="32"/>
        <v>7.7450724058560405E-2</v>
      </c>
      <c r="BN62" s="68">
        <f t="shared" si="32"/>
        <v>7.3943230962991019E-2</v>
      </c>
      <c r="BO62" s="68">
        <f t="shared" si="32"/>
        <v>-21.155354025021403</v>
      </c>
      <c r="BP62" s="68" t="e">
        <f t="shared" si="32"/>
        <v>#DIV/0!</v>
      </c>
      <c r="BQ62" s="68" t="e">
        <f t="shared" si="32"/>
        <v>#DIV/0!</v>
      </c>
      <c r="BR62" s="68" t="e">
        <f t="shared" si="32"/>
        <v>#DIV/0!</v>
      </c>
      <c r="BS62" s="68" t="e">
        <f t="shared" si="32"/>
        <v>#DIV/0!</v>
      </c>
      <c r="BT62" s="68"/>
      <c r="BU62" s="68"/>
      <c r="BV62" s="68"/>
      <c r="BW62" s="68"/>
      <c r="BX62" s="68"/>
      <c r="BY62" s="68"/>
      <c r="BZ62" s="68"/>
      <c r="CA62" s="68"/>
    </row>
    <row r="63" spans="4:79" x14ac:dyDescent="0.2">
      <c r="AJ63" t="str">
        <f>+AJ54</f>
        <v>VEC Forecast</v>
      </c>
      <c r="AN63" s="68" t="e">
        <f t="shared" ref="AN63:BS64" si="33">+AN$57/AN11</f>
        <v>#DIV/0!</v>
      </c>
      <c r="AO63" s="68" t="e">
        <f t="shared" si="33"/>
        <v>#DIV/0!</v>
      </c>
      <c r="AP63" s="68" t="e">
        <f t="shared" si="33"/>
        <v>#DIV/0!</v>
      </c>
      <c r="AQ63" s="68" t="e">
        <f t="shared" si="33"/>
        <v>#DIV/0!</v>
      </c>
      <c r="AR63" s="68" t="e">
        <f t="shared" si="33"/>
        <v>#DIV/0!</v>
      </c>
      <c r="AS63" s="68" t="e">
        <f t="shared" si="33"/>
        <v>#DIV/0!</v>
      </c>
      <c r="AT63" s="68">
        <f t="shared" si="33"/>
        <v>0.70629643150603105</v>
      </c>
      <c r="AU63" s="68">
        <f t="shared" si="33"/>
        <v>0.69009055186666601</v>
      </c>
      <c r="AV63" s="68">
        <f t="shared" si="33"/>
        <v>0.68614235849961569</v>
      </c>
      <c r="AW63" s="68">
        <f t="shared" si="33"/>
        <v>0.69544451836198717</v>
      </c>
      <c r="AX63" s="68">
        <f t="shared" si="33"/>
        <v>0.67283179547260197</v>
      </c>
      <c r="AY63" s="68">
        <f t="shared" si="33"/>
        <v>0.63758739845241885</v>
      </c>
      <c r="AZ63" s="68">
        <f t="shared" si="33"/>
        <v>0.52034293536246012</v>
      </c>
      <c r="BA63" s="68">
        <f t="shared" si="33"/>
        <v>0.49398964092122816</v>
      </c>
      <c r="BB63" s="68">
        <f t="shared" si="33"/>
        <v>0.44116919192856946</v>
      </c>
      <c r="BC63" s="68">
        <f t="shared" si="33"/>
        <v>0.44311765542311299</v>
      </c>
      <c r="BD63" s="68">
        <f t="shared" si="33"/>
        <v>0.28850183164898763</v>
      </c>
      <c r="BE63" s="68">
        <f t="shared" si="33"/>
        <v>0.28118503493633018</v>
      </c>
      <c r="BF63" s="68">
        <f t="shared" si="33"/>
        <v>0.2738113928461513</v>
      </c>
      <c r="BG63" s="68">
        <f t="shared" si="33"/>
        <v>0.22267291724370553</v>
      </c>
      <c r="BH63" s="68">
        <f t="shared" si="33"/>
        <v>0.16488988058528209</v>
      </c>
      <c r="BI63" s="68">
        <f t="shared" si="33"/>
        <v>0.15926519086391863</v>
      </c>
      <c r="BJ63" s="68">
        <f t="shared" si="33"/>
        <v>0.15562539720684923</v>
      </c>
      <c r="BK63" s="68">
        <f t="shared" si="33"/>
        <v>0.14963061626937924</v>
      </c>
      <c r="BL63" s="68">
        <f t="shared" si="33"/>
        <v>9.5544763815644099E-2</v>
      </c>
      <c r="BM63" s="68">
        <f t="shared" si="33"/>
        <v>9.4291247308534082E-2</v>
      </c>
      <c r="BN63" s="68">
        <f t="shared" si="33"/>
        <v>9.061636787979957E-2</v>
      </c>
      <c r="BO63" s="68">
        <f t="shared" si="33"/>
        <v>-21.155354025021403</v>
      </c>
      <c r="BP63" s="68" t="e">
        <f t="shared" si="33"/>
        <v>#DIV/0!</v>
      </c>
      <c r="BQ63" s="68" t="e">
        <f t="shared" si="33"/>
        <v>#DIV/0!</v>
      </c>
      <c r="BR63" s="68" t="e">
        <f t="shared" si="33"/>
        <v>#DIV/0!</v>
      </c>
      <c r="BS63" s="68" t="e">
        <f t="shared" si="33"/>
        <v>#DIV/0!</v>
      </c>
      <c r="BT63" s="64"/>
      <c r="BU63" s="64"/>
      <c r="BV63" s="64"/>
      <c r="BW63" s="64"/>
      <c r="BX63" s="64"/>
      <c r="BY63" s="64"/>
      <c r="BZ63" s="64"/>
      <c r="CA63" s="64"/>
    </row>
    <row r="64" spans="4:79" x14ac:dyDescent="0.2">
      <c r="AJ64" t="str">
        <f>+AJ55</f>
        <v>Average of High and Low</v>
      </c>
      <c r="AN64" s="68" t="e">
        <f t="shared" si="33"/>
        <v>#DIV/0!</v>
      </c>
      <c r="AO64" s="68" t="e">
        <f t="shared" si="33"/>
        <v>#DIV/0!</v>
      </c>
      <c r="AP64" s="68" t="e">
        <f t="shared" si="33"/>
        <v>#DIV/0!</v>
      </c>
      <c r="AQ64" s="68" t="e">
        <f t="shared" si="33"/>
        <v>#DIV/0!</v>
      </c>
      <c r="AR64" s="68" t="e">
        <f t="shared" si="33"/>
        <v>#DIV/0!</v>
      </c>
      <c r="AS64" s="68" t="e">
        <f t="shared" si="33"/>
        <v>#DIV/0!</v>
      </c>
      <c r="AT64" s="68">
        <f t="shared" si="33"/>
        <v>0.69245804266761568</v>
      </c>
      <c r="AU64" s="68">
        <f t="shared" si="33"/>
        <v>0.66270485157129511</v>
      </c>
      <c r="AV64" s="68">
        <f t="shared" si="33"/>
        <v>0.65500267352508934</v>
      </c>
      <c r="AW64" s="68">
        <f t="shared" si="33"/>
        <v>0.65979406811555685</v>
      </c>
      <c r="AX64" s="68">
        <f t="shared" si="33"/>
        <v>0.63379486805398444</v>
      </c>
      <c r="AY64" s="68">
        <f t="shared" si="33"/>
        <v>0.59673005903501908</v>
      </c>
      <c r="AZ64" s="68">
        <f t="shared" si="33"/>
        <v>0.48408373182918529</v>
      </c>
      <c r="BA64" s="68">
        <f t="shared" si="33"/>
        <v>0.45709677769923845</v>
      </c>
      <c r="BB64" s="68">
        <f t="shared" si="33"/>
        <v>0.40662785919270628</v>
      </c>
      <c r="BC64" s="68">
        <f t="shared" si="33"/>
        <v>0.40734238736166861</v>
      </c>
      <c r="BD64" s="68">
        <f t="shared" si="33"/>
        <v>0.26497126694801115</v>
      </c>
      <c r="BE64" s="68">
        <f t="shared" si="33"/>
        <v>0.25816799498789045</v>
      </c>
      <c r="BF64" s="68">
        <f t="shared" si="33"/>
        <v>0.2510459104658273</v>
      </c>
      <c r="BG64" s="68">
        <f t="shared" si="33"/>
        <v>0.20365372209193514</v>
      </c>
      <c r="BH64" s="68">
        <f t="shared" si="33"/>
        <v>0.15037777264115185</v>
      </c>
      <c r="BI64" s="68">
        <f t="shared" si="33"/>
        <v>0.14492947784038981</v>
      </c>
      <c r="BJ64" s="68">
        <f t="shared" si="33"/>
        <v>0.14140106493532953</v>
      </c>
      <c r="BK64" s="68">
        <f t="shared" si="33"/>
        <v>0.13572048992706104</v>
      </c>
      <c r="BL64" s="68">
        <f t="shared" si="33"/>
        <v>8.6449875878970767E-2</v>
      </c>
      <c r="BM64" s="68">
        <f t="shared" si="33"/>
        <v>8.5045319071374997E-2</v>
      </c>
      <c r="BN64" s="68">
        <f t="shared" si="33"/>
        <v>8.1435140414562693E-2</v>
      </c>
      <c r="BO64" s="68">
        <f t="shared" si="33"/>
        <v>-21.155354025021403</v>
      </c>
      <c r="BP64" s="68" t="e">
        <f t="shared" si="33"/>
        <v>#DIV/0!</v>
      </c>
      <c r="BQ64" s="68" t="e">
        <f t="shared" si="33"/>
        <v>#DIV/0!</v>
      </c>
      <c r="BR64" s="68" t="e">
        <f t="shared" si="33"/>
        <v>#DIV/0!</v>
      </c>
      <c r="BS64" s="68" t="e">
        <f t="shared" si="33"/>
        <v>#DIV/0!</v>
      </c>
      <c r="BT64" s="64"/>
      <c r="BU64" s="64"/>
      <c r="BV64" s="64"/>
      <c r="BW64" s="64"/>
      <c r="BX64" s="64"/>
      <c r="BY64" s="64"/>
      <c r="BZ64" s="64"/>
      <c r="CA64" s="64"/>
    </row>
    <row r="65" spans="36:79" x14ac:dyDescent="0.2">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4"/>
      <c r="BU65" s="64"/>
      <c r="BV65" s="64"/>
      <c r="BW65" s="64"/>
      <c r="BX65" s="64"/>
      <c r="BY65" s="64"/>
      <c r="BZ65" s="64"/>
      <c r="CA65" s="64"/>
    </row>
    <row r="66" spans="36:79" x14ac:dyDescent="0.2">
      <c r="AJ66" t="s">
        <v>408</v>
      </c>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8"/>
      <c r="BU66" s="68"/>
      <c r="BV66" s="68"/>
      <c r="BW66" s="68"/>
      <c r="BX66" s="68"/>
      <c r="BY66" s="68"/>
      <c r="BZ66" s="68"/>
      <c r="CA66" s="68"/>
    </row>
    <row r="67" spans="36:79" x14ac:dyDescent="0.2">
      <c r="AJ67" t="str">
        <f>+AJ61</f>
        <v>VELCO Forecast</v>
      </c>
      <c r="AN67" s="68" t="e">
        <f t="shared" ref="AN67:BS67" si="34">+AN$58/AN9</f>
        <v>#DIV/0!</v>
      </c>
      <c r="AO67" s="68" t="e">
        <f t="shared" si="34"/>
        <v>#DIV/0!</v>
      </c>
      <c r="AP67" s="68" t="e">
        <f t="shared" si="34"/>
        <v>#DIV/0!</v>
      </c>
      <c r="AQ67" s="68" t="e">
        <f t="shared" si="34"/>
        <v>#DIV/0!</v>
      </c>
      <c r="AR67" s="68" t="e">
        <f t="shared" si="34"/>
        <v>#DIV/0!</v>
      </c>
      <c r="AS67" s="68" t="e">
        <f t="shared" si="34"/>
        <v>#DIV/0!</v>
      </c>
      <c r="AT67" s="68">
        <f t="shared" si="34"/>
        <v>0.47902700405646348</v>
      </c>
      <c r="AU67" s="68">
        <f t="shared" si="34"/>
        <v>0.4652999530615623</v>
      </c>
      <c r="AV67" s="68">
        <f t="shared" si="34"/>
        <v>0.45592312893074199</v>
      </c>
      <c r="AW67" s="68">
        <f t="shared" si="34"/>
        <v>0.44563818572572195</v>
      </c>
      <c r="AX67" s="68">
        <f t="shared" si="34"/>
        <v>0.43281161920519423</v>
      </c>
      <c r="AY67" s="68">
        <f t="shared" si="34"/>
        <v>0.39855679451618264</v>
      </c>
      <c r="AZ67" s="68">
        <f t="shared" si="34"/>
        <v>0.28315781682386987</v>
      </c>
      <c r="BA67" s="68">
        <f t="shared" si="34"/>
        <v>0.27192463045563026</v>
      </c>
      <c r="BB67" s="68">
        <f t="shared" si="34"/>
        <v>0.2291158413176462</v>
      </c>
      <c r="BC67" s="68">
        <f t="shared" si="34"/>
        <v>0.22338862964695502</v>
      </c>
      <c r="BD67" s="68">
        <f t="shared" si="34"/>
        <v>0.21872478540360071</v>
      </c>
      <c r="BE67" s="68">
        <f t="shared" si="34"/>
        <v>0.21543864509565638</v>
      </c>
      <c r="BF67" s="68">
        <f t="shared" si="34"/>
        <v>0.21242531863175451</v>
      </c>
      <c r="BG67" s="68">
        <f t="shared" si="34"/>
        <v>0.17134743099052782</v>
      </c>
      <c r="BH67" s="68">
        <f t="shared" si="34"/>
        <v>0.12377964633015942</v>
      </c>
      <c r="BI67" s="68">
        <f t="shared" si="34"/>
        <v>0.1232786433160446</v>
      </c>
      <c r="BJ67" s="68">
        <f t="shared" si="34"/>
        <v>0.122784340999033</v>
      </c>
      <c r="BK67" s="68">
        <f t="shared" si="34"/>
        <v>0.12061071162183612</v>
      </c>
      <c r="BL67" s="68">
        <f t="shared" si="34"/>
        <v>7.3524357834699974E-2</v>
      </c>
      <c r="BM67" s="68">
        <f t="shared" si="34"/>
        <v>7.3606835292077594E-2</v>
      </c>
      <c r="BN67" s="68">
        <f t="shared" si="34"/>
        <v>7.159463780088883E-2</v>
      </c>
      <c r="BO67" s="68">
        <f t="shared" si="34"/>
        <v>-17.790031890955543</v>
      </c>
      <c r="BP67" s="68" t="e">
        <f t="shared" si="34"/>
        <v>#DIV/0!</v>
      </c>
      <c r="BQ67" s="68" t="e">
        <f t="shared" si="34"/>
        <v>#DIV/0!</v>
      </c>
      <c r="BR67" s="68" t="e">
        <f t="shared" si="34"/>
        <v>#DIV/0!</v>
      </c>
      <c r="BS67" s="68" t="e">
        <f t="shared" si="34"/>
        <v>#DIV/0!</v>
      </c>
      <c r="BT67" s="68"/>
      <c r="BU67" s="68"/>
      <c r="BV67" s="68"/>
      <c r="BW67" s="68"/>
      <c r="BX67" s="68"/>
      <c r="BY67" s="68"/>
      <c r="BZ67" s="68"/>
      <c r="CA67" s="68"/>
    </row>
    <row r="68" spans="36:79" x14ac:dyDescent="0.2">
      <c r="AJ68" t="str">
        <f>+AJ62</f>
        <v>Climate Action Plan Forecast</v>
      </c>
      <c r="AN68" s="68" t="e">
        <f t="shared" ref="AN68:BS68" si="35">+AN$58/AN10</f>
        <v>#DIV/0!</v>
      </c>
      <c r="AO68" s="68" t="e">
        <f t="shared" si="35"/>
        <v>#DIV/0!</v>
      </c>
      <c r="AP68" s="68" t="e">
        <f t="shared" si="35"/>
        <v>#DIV/0!</v>
      </c>
      <c r="AQ68" s="68" t="e">
        <f t="shared" si="35"/>
        <v>#DIV/0!</v>
      </c>
      <c r="AR68" s="68" t="e">
        <f t="shared" si="35"/>
        <v>#DIV/0!</v>
      </c>
      <c r="AS68" s="68" t="e">
        <f t="shared" si="35"/>
        <v>#DIV/0!</v>
      </c>
      <c r="AT68" s="68">
        <f t="shared" si="35"/>
        <v>0.47069416101639827</v>
      </c>
      <c r="AU68" s="68">
        <f t="shared" si="35"/>
        <v>0.45118765317603077</v>
      </c>
      <c r="AV68" s="68">
        <f t="shared" si="35"/>
        <v>0.44430195801364458</v>
      </c>
      <c r="AW68" s="68">
        <f t="shared" si="35"/>
        <v>0.436400197622139</v>
      </c>
      <c r="AX68" s="68">
        <f t="shared" si="35"/>
        <v>0.42562003605767512</v>
      </c>
      <c r="AY68" s="68">
        <f t="shared" si="35"/>
        <v>0.39405002674257184</v>
      </c>
      <c r="AZ68" s="68">
        <f t="shared" si="35"/>
        <v>0.28099306834433524</v>
      </c>
      <c r="BA68" s="68">
        <f t="shared" si="35"/>
        <v>0.27021598235398081</v>
      </c>
      <c r="BB68" s="68">
        <f t="shared" si="35"/>
        <v>0.22753505933369825</v>
      </c>
      <c r="BC68" s="68">
        <f t="shared" si="35"/>
        <v>0.22126558037600197</v>
      </c>
      <c r="BD68" s="68">
        <f t="shared" si="35"/>
        <v>0.21544931066429199</v>
      </c>
      <c r="BE68" s="68">
        <f t="shared" si="35"/>
        <v>0.21006068354933793</v>
      </c>
      <c r="BF68" s="68">
        <f t="shared" si="35"/>
        <v>0.2042370163523545</v>
      </c>
      <c r="BG68" s="68">
        <f t="shared" si="35"/>
        <v>0.1621824493868656</v>
      </c>
      <c r="BH68" s="68">
        <f t="shared" si="35"/>
        <v>0.11533527234807861</v>
      </c>
      <c r="BI68" s="68">
        <f t="shared" si="35"/>
        <v>0.11335964187739968</v>
      </c>
      <c r="BJ68" s="68">
        <f t="shared" si="35"/>
        <v>0.1117506824328173</v>
      </c>
      <c r="BK68" s="68">
        <f t="shared" si="35"/>
        <v>0.10858381106040337</v>
      </c>
      <c r="BL68" s="68">
        <f t="shared" si="35"/>
        <v>6.5361420029913173E-2</v>
      </c>
      <c r="BM68" s="68">
        <f t="shared" si="35"/>
        <v>6.4592928627199633E-2</v>
      </c>
      <c r="BN68" s="68">
        <f t="shared" si="35"/>
        <v>6.2026401507780181E-2</v>
      </c>
      <c r="BO68" s="68">
        <f t="shared" si="35"/>
        <v>-17.790031890955543</v>
      </c>
      <c r="BP68" s="68" t="e">
        <f t="shared" si="35"/>
        <v>#DIV/0!</v>
      </c>
      <c r="BQ68" s="68" t="e">
        <f t="shared" si="35"/>
        <v>#DIV/0!</v>
      </c>
      <c r="BR68" s="68" t="e">
        <f t="shared" si="35"/>
        <v>#DIV/0!</v>
      </c>
      <c r="BS68" s="68" t="e">
        <f t="shared" si="35"/>
        <v>#DIV/0!</v>
      </c>
      <c r="BT68" s="68"/>
      <c r="BU68" s="68"/>
      <c r="BV68" s="68"/>
      <c r="BW68" s="68"/>
      <c r="BX68" s="68"/>
      <c r="BY68" s="68"/>
      <c r="BZ68" s="68"/>
      <c r="CA68" s="68"/>
    </row>
    <row r="69" spans="36:79" x14ac:dyDescent="0.2">
      <c r="AJ69" t="str">
        <f>+AJ63</f>
        <v>VEC Forecast</v>
      </c>
      <c r="AN69" s="68" t="e">
        <f t="shared" ref="AN69:BS70" si="36">+AN$58/AN11</f>
        <v>#DIV/0!</v>
      </c>
      <c r="AO69" s="68" t="e">
        <f t="shared" si="36"/>
        <v>#DIV/0!</v>
      </c>
      <c r="AP69" s="68" t="e">
        <f t="shared" si="36"/>
        <v>#DIV/0!</v>
      </c>
      <c r="AQ69" s="68" t="e">
        <f t="shared" si="36"/>
        <v>#DIV/0!</v>
      </c>
      <c r="AR69" s="68" t="e">
        <f t="shared" si="36"/>
        <v>#DIV/0!</v>
      </c>
      <c r="AS69" s="68" t="e">
        <f t="shared" si="36"/>
        <v>#DIV/0!</v>
      </c>
      <c r="AT69" s="68">
        <f t="shared" si="36"/>
        <v>0.489507283033217</v>
      </c>
      <c r="AU69" s="68">
        <f t="shared" si="36"/>
        <v>0.48847752608869727</v>
      </c>
      <c r="AV69" s="68">
        <f t="shared" si="36"/>
        <v>0.48654735201074306</v>
      </c>
      <c r="AW69" s="68">
        <f t="shared" si="36"/>
        <v>0.48345449807915714</v>
      </c>
      <c r="AX69" s="68">
        <f t="shared" si="36"/>
        <v>0.47737394294434055</v>
      </c>
      <c r="AY69" s="68">
        <f t="shared" si="36"/>
        <v>0.44660266802531395</v>
      </c>
      <c r="AZ69" s="68">
        <f t="shared" si="36"/>
        <v>0.32151289700586239</v>
      </c>
      <c r="BA69" s="68">
        <f t="shared" si="36"/>
        <v>0.31194020129475791</v>
      </c>
      <c r="BB69" s="68">
        <f t="shared" si="36"/>
        <v>0.26454277362470274</v>
      </c>
      <c r="BC69" s="68">
        <f t="shared" si="36"/>
        <v>0.25867811419521891</v>
      </c>
      <c r="BD69" s="68">
        <f t="shared" si="36"/>
        <v>0.25268896329174861</v>
      </c>
      <c r="BE69" s="68">
        <f t="shared" si="36"/>
        <v>0.2471041960301642</v>
      </c>
      <c r="BF69" s="68">
        <f t="shared" si="36"/>
        <v>0.24124106721063665</v>
      </c>
      <c r="BG69" s="68">
        <f t="shared" si="36"/>
        <v>0.19247484594506312</v>
      </c>
      <c r="BH69" s="68">
        <f t="shared" si="36"/>
        <v>0.13759598139681659</v>
      </c>
      <c r="BI69" s="68">
        <f t="shared" si="36"/>
        <v>0.1357856012973889</v>
      </c>
      <c r="BJ69" s="68">
        <f t="shared" si="36"/>
        <v>0.13423394787668755</v>
      </c>
      <c r="BK69" s="68">
        <f t="shared" si="36"/>
        <v>0.13084153399365167</v>
      </c>
      <c r="BL69" s="68">
        <f t="shared" si="36"/>
        <v>7.9114008671824707E-2</v>
      </c>
      <c r="BM69" s="68">
        <f t="shared" si="36"/>
        <v>7.8637712966565881E-2</v>
      </c>
      <c r="BN69" s="68">
        <f t="shared" si="36"/>
        <v>7.6012464482412292E-2</v>
      </c>
      <c r="BO69" s="68">
        <f t="shared" si="36"/>
        <v>-17.790031890955543</v>
      </c>
      <c r="BP69" s="68" t="e">
        <f t="shared" si="36"/>
        <v>#DIV/0!</v>
      </c>
      <c r="BQ69" s="68" t="e">
        <f t="shared" si="36"/>
        <v>#DIV/0!</v>
      </c>
      <c r="BR69" s="68" t="e">
        <f t="shared" si="36"/>
        <v>#DIV/0!</v>
      </c>
      <c r="BS69" s="68" t="e">
        <f t="shared" si="36"/>
        <v>#DIV/0!</v>
      </c>
    </row>
    <row r="70" spans="36:79" x14ac:dyDescent="0.2">
      <c r="AJ70" t="str">
        <f>+AJ64</f>
        <v>Average of High and Low</v>
      </c>
      <c r="AN70" s="68" t="e">
        <f t="shared" si="36"/>
        <v>#DIV/0!</v>
      </c>
      <c r="AO70" s="68" t="e">
        <f t="shared" si="36"/>
        <v>#DIV/0!</v>
      </c>
      <c r="AP70" s="68" t="e">
        <f t="shared" si="36"/>
        <v>#DIV/0!</v>
      </c>
      <c r="AQ70" s="68" t="e">
        <f t="shared" si="36"/>
        <v>#DIV/0!</v>
      </c>
      <c r="AR70" s="68" t="e">
        <f t="shared" si="36"/>
        <v>#DIV/0!</v>
      </c>
      <c r="AS70" s="68" t="e">
        <f t="shared" si="36"/>
        <v>#DIV/0!</v>
      </c>
      <c r="AT70" s="68">
        <f t="shared" si="36"/>
        <v>0.47991642030238629</v>
      </c>
      <c r="AU70" s="68">
        <f t="shared" si="36"/>
        <v>0.46909268000682541</v>
      </c>
      <c r="AV70" s="68">
        <f t="shared" si="36"/>
        <v>0.46446602868312487</v>
      </c>
      <c r="AW70" s="68">
        <f t="shared" si="36"/>
        <v>0.4586712550236518</v>
      </c>
      <c r="AX70" s="68">
        <f t="shared" si="36"/>
        <v>0.44967725546962334</v>
      </c>
      <c r="AY70" s="68">
        <f t="shared" si="36"/>
        <v>0.41798385147323575</v>
      </c>
      <c r="AZ70" s="68">
        <f t="shared" si="36"/>
        <v>0.29910882311757603</v>
      </c>
      <c r="BA70" s="68">
        <f t="shared" si="36"/>
        <v>0.28864342292842254</v>
      </c>
      <c r="BB70" s="68">
        <f t="shared" si="36"/>
        <v>0.24383040264817618</v>
      </c>
      <c r="BC70" s="68">
        <f t="shared" si="36"/>
        <v>0.23779364081957249</v>
      </c>
      <c r="BD70" s="68">
        <f t="shared" si="36"/>
        <v>0.23207934024022708</v>
      </c>
      <c r="BE70" s="68">
        <f t="shared" si="36"/>
        <v>0.22687692058948783</v>
      </c>
      <c r="BF70" s="68">
        <f t="shared" si="36"/>
        <v>0.22118357724315335</v>
      </c>
      <c r="BG70" s="68">
        <f t="shared" si="36"/>
        <v>0.17603496316924441</v>
      </c>
      <c r="BH70" s="68">
        <f t="shared" si="36"/>
        <v>0.12548603427561422</v>
      </c>
      <c r="BI70" s="68">
        <f t="shared" si="36"/>
        <v>0.12356332345772024</v>
      </c>
      <c r="BJ70" s="68">
        <f t="shared" si="36"/>
        <v>0.12196481757414446</v>
      </c>
      <c r="BK70" s="68">
        <f t="shared" si="36"/>
        <v>0.1186780990359433</v>
      </c>
      <c r="BL70" s="68">
        <f t="shared" si="36"/>
        <v>7.1583161199328948E-2</v>
      </c>
      <c r="BM70" s="68">
        <f t="shared" si="36"/>
        <v>7.0926725238891847E-2</v>
      </c>
      <c r="BN70" s="68">
        <f t="shared" si="36"/>
        <v>6.8310900814223807E-2</v>
      </c>
      <c r="BO70" s="68">
        <f t="shared" si="36"/>
        <v>-17.790031890955543</v>
      </c>
      <c r="BP70" s="68" t="e">
        <f t="shared" si="36"/>
        <v>#DIV/0!</v>
      </c>
      <c r="BQ70" s="68" t="e">
        <f t="shared" si="36"/>
        <v>#DIV/0!</v>
      </c>
      <c r="BR70" s="68" t="e">
        <f t="shared" si="36"/>
        <v>#DIV/0!</v>
      </c>
      <c r="BS70" s="68" t="e">
        <f t="shared" si="36"/>
        <v>#DIV/0!</v>
      </c>
    </row>
    <row r="72" spans="36:79" x14ac:dyDescent="0.2">
      <c r="AJ72" s="61" t="s">
        <v>411</v>
      </c>
      <c r="AQ72" s="139"/>
      <c r="BT72" s="58"/>
      <c r="BU72" s="58"/>
      <c r="BV72" s="58"/>
      <c r="BW72" s="58"/>
      <c r="BX72" s="58"/>
      <c r="BY72" s="58"/>
      <c r="BZ72" s="58"/>
      <c r="CA72" s="58"/>
    </row>
    <row r="73" spans="36:79" x14ac:dyDescent="0.2">
      <c r="AJ73" t="str">
        <f>+AJ61</f>
        <v>VELCO Forecast</v>
      </c>
      <c r="AN73" s="58">
        <f t="shared" ref="AN73:BS73" si="37">+AN9-AN$57</f>
        <v>-298081.6549411586</v>
      </c>
      <c r="AO73" s="58">
        <f t="shared" si="37"/>
        <v>-299467.40121561958</v>
      </c>
      <c r="AP73" s="58">
        <f t="shared" si="37"/>
        <v>-310970.90196189872</v>
      </c>
      <c r="AQ73" s="58">
        <f t="shared" si="37"/>
        <v>-378307.57576361782</v>
      </c>
      <c r="AR73" s="58">
        <f t="shared" si="37"/>
        <v>-369400.29221999651</v>
      </c>
      <c r="AS73" s="58">
        <f t="shared" si="37"/>
        <v>-327465.20371767989</v>
      </c>
      <c r="AT73" s="58">
        <f t="shared" si="37"/>
        <v>159619.29320281284</v>
      </c>
      <c r="AU73" s="58">
        <f t="shared" si="37"/>
        <v>183115.3113620865</v>
      </c>
      <c r="AV73" s="58">
        <f t="shared" si="37"/>
        <v>195475.31661935663</v>
      </c>
      <c r="AW73" s="58">
        <f t="shared" si="37"/>
        <v>201852.05943323992</v>
      </c>
      <c r="AX73" s="58">
        <f t="shared" si="37"/>
        <v>225850.81918315077</v>
      </c>
      <c r="AY73" s="58">
        <f t="shared" si="37"/>
        <v>257541.38470041694</v>
      </c>
      <c r="AZ73" s="58">
        <f t="shared" si="37"/>
        <v>333775.46073126886</v>
      </c>
      <c r="BA73" s="58">
        <f t="shared" si="37"/>
        <v>361370.73532312829</v>
      </c>
      <c r="BB73" s="58">
        <f t="shared" si="37"/>
        <v>403267.45305304904</v>
      </c>
      <c r="BC73" s="58">
        <f t="shared" si="37"/>
        <v>413504.79293549422</v>
      </c>
      <c r="BD73" s="58">
        <f t="shared" si="37"/>
        <v>513665.14109515015</v>
      </c>
      <c r="BE73" s="58">
        <f t="shared" si="37"/>
        <v>525489.28380625881</v>
      </c>
      <c r="BF73" s="58">
        <f t="shared" si="37"/>
        <v>534930.61002318526</v>
      </c>
      <c r="BG73" s="58">
        <f t="shared" si="37"/>
        <v>570323.06478298618</v>
      </c>
      <c r="BH73" s="58">
        <f t="shared" si="37"/>
        <v>609896.5803585879</v>
      </c>
      <c r="BI73" s="58">
        <f t="shared" si="37"/>
        <v>615566.67943958077</v>
      </c>
      <c r="BJ73" s="58">
        <f t="shared" si="37"/>
        <v>619414.38727851352</v>
      </c>
      <c r="BK73" s="58">
        <f t="shared" si="37"/>
        <v>623350.93540362327</v>
      </c>
      <c r="BL73" s="58">
        <f t="shared" si="37"/>
        <v>658104.59392815456</v>
      </c>
      <c r="BM73" s="58">
        <f t="shared" si="37"/>
        <v>657463.19099239632</v>
      </c>
      <c r="BN73" s="58">
        <f t="shared" si="37"/>
        <v>658512.96915500239</v>
      </c>
      <c r="BO73" s="58">
        <f t="shared" si="37"/>
        <v>-63045.117533681892</v>
      </c>
      <c r="BP73" s="58">
        <f t="shared" si="37"/>
        <v>-45915.630189254916</v>
      </c>
      <c r="BQ73" s="58">
        <f t="shared" si="37"/>
        <v>-41861.165574861931</v>
      </c>
      <c r="BR73" s="58">
        <f t="shared" si="37"/>
        <v>-39919.649049925923</v>
      </c>
      <c r="BS73" s="58">
        <f t="shared" si="37"/>
        <v>-39082.345000000008</v>
      </c>
      <c r="BT73" s="58"/>
      <c r="BU73" s="58"/>
      <c r="BV73" s="58"/>
      <c r="BW73" s="58"/>
      <c r="BX73" s="58"/>
      <c r="BY73" s="58"/>
      <c r="BZ73" s="58"/>
      <c r="CA73" s="58"/>
    </row>
    <row r="74" spans="36:79" x14ac:dyDescent="0.2">
      <c r="AJ74" t="str">
        <f>+AJ62</f>
        <v>Climate Action Plan Forecast</v>
      </c>
      <c r="AN74" s="58">
        <f t="shared" ref="AN74:BS74" si="38">+AN10-AN$57</f>
        <v>-298081.6549411586</v>
      </c>
      <c r="AO74" s="58">
        <f t="shared" si="38"/>
        <v>-299467.40121561958</v>
      </c>
      <c r="AP74" s="58">
        <f t="shared" si="38"/>
        <v>-310970.90196189872</v>
      </c>
      <c r="AQ74" s="58">
        <f t="shared" si="38"/>
        <v>-378307.57576361782</v>
      </c>
      <c r="AR74" s="58">
        <f t="shared" si="38"/>
        <v>-369400.29221999651</v>
      </c>
      <c r="AS74" s="58">
        <f t="shared" si="38"/>
        <v>-327465.20371767989</v>
      </c>
      <c r="AT74" s="58">
        <f t="shared" si="38"/>
        <v>168769.4164188861</v>
      </c>
      <c r="AU74" s="58">
        <f t="shared" si="38"/>
        <v>199830.4645514086</v>
      </c>
      <c r="AV74" s="58">
        <f t="shared" si="38"/>
        <v>209795.24766276998</v>
      </c>
      <c r="AW74" s="58">
        <f t="shared" si="38"/>
        <v>213755.89723989979</v>
      </c>
      <c r="AX74" s="58">
        <f t="shared" si="38"/>
        <v>235636.38398481323</v>
      </c>
      <c r="AY74" s="58">
        <f t="shared" si="38"/>
        <v>264375.44447434368</v>
      </c>
      <c r="AZ74" s="58">
        <f t="shared" si="38"/>
        <v>338522.05371811579</v>
      </c>
      <c r="BA74" s="58">
        <f t="shared" si="38"/>
        <v>365383.95567191229</v>
      </c>
      <c r="BB74" s="58">
        <f t="shared" si="38"/>
        <v>407801.55009984982</v>
      </c>
      <c r="BC74" s="58">
        <f t="shared" si="38"/>
        <v>419931.77232872567</v>
      </c>
      <c r="BD74" s="58">
        <f t="shared" si="38"/>
        <v>524073.64216564002</v>
      </c>
      <c r="BE74" s="58">
        <f t="shared" si="38"/>
        <v>543312.14214360551</v>
      </c>
      <c r="BF74" s="58">
        <f t="shared" si="38"/>
        <v>563190.81283592654</v>
      </c>
      <c r="BG74" s="58">
        <f t="shared" si="38"/>
        <v>610520.58663397888</v>
      </c>
      <c r="BH74" s="58">
        <f t="shared" si="38"/>
        <v>662328.00298737106</v>
      </c>
      <c r="BI74" s="58">
        <f t="shared" si="38"/>
        <v>678533.69322262635</v>
      </c>
      <c r="BJ74" s="58">
        <f t="shared" si="38"/>
        <v>690722.86323323427</v>
      </c>
      <c r="BK74" s="58">
        <f t="shared" si="38"/>
        <v>703441.07311324019</v>
      </c>
      <c r="BL74" s="58">
        <f t="shared" si="38"/>
        <v>748303.95667791716</v>
      </c>
      <c r="BM74" s="58">
        <f t="shared" si="38"/>
        <v>758093.31442235527</v>
      </c>
      <c r="BN74" s="58">
        <f t="shared" si="38"/>
        <v>769574.73863424396</v>
      </c>
      <c r="BO74" s="58">
        <f t="shared" si="38"/>
        <v>-63045.117533681892</v>
      </c>
      <c r="BP74" s="58">
        <f t="shared" si="38"/>
        <v>-45915.630189254916</v>
      </c>
      <c r="BQ74" s="58">
        <f t="shared" si="38"/>
        <v>-41861.165574861931</v>
      </c>
      <c r="BR74" s="58">
        <f t="shared" si="38"/>
        <v>-39919.649049925923</v>
      </c>
      <c r="BS74" s="58">
        <f t="shared" si="38"/>
        <v>-39082.345000000008</v>
      </c>
      <c r="BT74" s="58"/>
      <c r="BU74" s="58"/>
      <c r="BV74" s="58"/>
      <c r="BW74" s="58"/>
      <c r="BX74" s="58"/>
      <c r="BY74" s="58"/>
      <c r="BZ74" s="58"/>
      <c r="CA74" s="58"/>
    </row>
    <row r="75" spans="36:79" x14ac:dyDescent="0.2">
      <c r="AJ75" t="str">
        <f>+AJ63</f>
        <v>VEC Forecast</v>
      </c>
      <c r="AN75" s="58">
        <f t="shared" ref="AN75:BS75" si="39">+AN11-AN$57</f>
        <v>-298081.6549411586</v>
      </c>
      <c r="AO75" s="58">
        <f t="shared" si="39"/>
        <v>-299467.40121561958</v>
      </c>
      <c r="AP75" s="58">
        <f t="shared" si="39"/>
        <v>-310970.90196189872</v>
      </c>
      <c r="AQ75" s="58">
        <f t="shared" si="39"/>
        <v>-378307.57576361782</v>
      </c>
      <c r="AR75" s="58">
        <f t="shared" si="39"/>
        <v>-369400.29221999651</v>
      </c>
      <c r="AS75" s="58">
        <f t="shared" si="39"/>
        <v>-327465.20371767989</v>
      </c>
      <c r="AT75" s="58">
        <f t="shared" si="39"/>
        <v>148553.40604002477</v>
      </c>
      <c r="AU75" s="58">
        <f t="shared" si="39"/>
        <v>157758.58746432792</v>
      </c>
      <c r="AV75" s="58">
        <f t="shared" si="39"/>
        <v>161015.79598822171</v>
      </c>
      <c r="AW75" s="58">
        <f t="shared" si="39"/>
        <v>157865.6905540555</v>
      </c>
      <c r="AX75" s="58">
        <f t="shared" si="39"/>
        <v>171788.7610642931</v>
      </c>
      <c r="AY75" s="58">
        <f t="shared" si="39"/>
        <v>193257.85212879267</v>
      </c>
      <c r="AZ75" s="58">
        <f t="shared" si="39"/>
        <v>260274.22292630223</v>
      </c>
      <c r="BA75" s="58">
        <f t="shared" si="39"/>
        <v>279954.86339764227</v>
      </c>
      <c r="BB75" s="58">
        <f t="shared" si="39"/>
        <v>315868.787377103</v>
      </c>
      <c r="BC75" s="58">
        <f t="shared" si="39"/>
        <v>322125.80912161176</v>
      </c>
      <c r="BD75" s="58">
        <f t="shared" si="39"/>
        <v>421642.67263364687</v>
      </c>
      <c r="BE75" s="58">
        <f t="shared" si="39"/>
        <v>436279.73038064939</v>
      </c>
      <c r="BF75" s="58">
        <f t="shared" si="39"/>
        <v>450734.01471823477</v>
      </c>
      <c r="BG75" s="58">
        <f t="shared" si="39"/>
        <v>492242.32507504226</v>
      </c>
      <c r="BH75" s="58">
        <f t="shared" si="39"/>
        <v>537989.20536256698</v>
      </c>
      <c r="BI75" s="58">
        <f t="shared" si="39"/>
        <v>549283.76739274233</v>
      </c>
      <c r="BJ75" s="58">
        <f t="shared" si="39"/>
        <v>557811.65001761005</v>
      </c>
      <c r="BK75" s="58">
        <f t="shared" si="39"/>
        <v>566810.99871113396</v>
      </c>
      <c r="BL75" s="58">
        <f t="shared" si="39"/>
        <v>607076.45252333139</v>
      </c>
      <c r="BM75" s="58">
        <f t="shared" si="39"/>
        <v>611330.073062854</v>
      </c>
      <c r="BN75" s="58">
        <f t="shared" si="39"/>
        <v>616668.97401312122</v>
      </c>
      <c r="BO75" s="58">
        <f t="shared" si="39"/>
        <v>-63045.117533681892</v>
      </c>
      <c r="BP75" s="58">
        <f t="shared" si="39"/>
        <v>-45915.630189254916</v>
      </c>
      <c r="BQ75" s="58">
        <f t="shared" si="39"/>
        <v>-41861.165574861931</v>
      </c>
      <c r="BR75" s="58">
        <f t="shared" si="39"/>
        <v>-39919.649049925923</v>
      </c>
      <c r="BS75" s="58">
        <f t="shared" si="39"/>
        <v>-39082.345000000008</v>
      </c>
      <c r="BT75" s="64"/>
      <c r="BU75" s="64"/>
      <c r="BV75" s="64"/>
      <c r="BW75" s="64"/>
      <c r="BX75" s="64"/>
      <c r="BY75" s="64"/>
      <c r="BZ75" s="64"/>
      <c r="CA75" s="64"/>
    </row>
    <row r="76" spans="36:79" x14ac:dyDescent="0.2">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64"/>
      <c r="BU76" s="64"/>
      <c r="BV76" s="64"/>
      <c r="BW76" s="64"/>
      <c r="BX76" s="64"/>
      <c r="BY76" s="64"/>
      <c r="BZ76" s="64"/>
      <c r="CA76" s="64"/>
    </row>
    <row r="77" spans="36:79" x14ac:dyDescent="0.2">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64"/>
      <c r="BU77" s="64"/>
      <c r="BV77" s="64"/>
      <c r="BW77" s="64"/>
      <c r="BX77" s="64"/>
      <c r="BY77" s="64"/>
      <c r="BZ77" s="64"/>
      <c r="CA77" s="64"/>
    </row>
    <row r="78" spans="36:79" x14ac:dyDescent="0.2">
      <c r="AJ78" s="61" t="s">
        <v>412</v>
      </c>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58"/>
      <c r="BU78" s="58"/>
      <c r="BV78" s="58"/>
      <c r="BW78" s="58"/>
      <c r="BX78" s="58"/>
      <c r="BY78" s="58"/>
      <c r="BZ78" s="58"/>
      <c r="CA78" s="58"/>
    </row>
    <row r="79" spans="36:79" x14ac:dyDescent="0.2">
      <c r="AJ79" t="str">
        <f>+AJ67</f>
        <v>VELCO Forecast</v>
      </c>
      <c r="AN79" s="58">
        <f t="shared" ref="AN79:BS79" si="40">+AN9-AN$58</f>
        <v>-212671.65494115857</v>
      </c>
      <c r="AO79" s="58">
        <f t="shared" si="40"/>
        <v>-220843.40121561964</v>
      </c>
      <c r="AP79" s="58">
        <f t="shared" si="40"/>
        <v>-232814.90196189866</v>
      </c>
      <c r="AQ79" s="58">
        <f t="shared" si="40"/>
        <v>-276610.82424961339</v>
      </c>
      <c r="AR79" s="58">
        <f t="shared" si="40"/>
        <v>-269682.90003193909</v>
      </c>
      <c r="AS79" s="58">
        <f t="shared" si="40"/>
        <v>-225671.92856868656</v>
      </c>
      <c r="AT79" s="58">
        <f t="shared" si="40"/>
        <v>269269.87240173214</v>
      </c>
      <c r="AU79" s="58">
        <f t="shared" si="40"/>
        <v>285745.8905610058</v>
      </c>
      <c r="AV79" s="58">
        <f t="shared" si="40"/>
        <v>297871.89581827587</v>
      </c>
      <c r="AW79" s="58">
        <f t="shared" si="40"/>
        <v>311736.63863215916</v>
      </c>
      <c r="AX79" s="58">
        <f t="shared" si="40"/>
        <v>328481.39838207001</v>
      </c>
      <c r="AY79" s="58">
        <f t="shared" si="40"/>
        <v>359384.69432631845</v>
      </c>
      <c r="AZ79" s="58">
        <f t="shared" si="40"/>
        <v>441665.73806258733</v>
      </c>
      <c r="BA79" s="58">
        <f t="shared" si="40"/>
        <v>462091.25435564842</v>
      </c>
      <c r="BB79" s="58">
        <f t="shared" si="40"/>
        <v>503102.2720404662</v>
      </c>
      <c r="BC79" s="58">
        <f t="shared" si="40"/>
        <v>520192.92379587446</v>
      </c>
      <c r="BD79" s="58">
        <f t="shared" si="40"/>
        <v>534888.29274966521</v>
      </c>
      <c r="BE79" s="58">
        <f t="shared" si="40"/>
        <v>546174.41131721903</v>
      </c>
      <c r="BF79" s="58">
        <f t="shared" si="40"/>
        <v>555146.50640293327</v>
      </c>
      <c r="BG79" s="58">
        <f t="shared" si="40"/>
        <v>589445.99148729874</v>
      </c>
      <c r="BH79" s="58">
        <f t="shared" si="40"/>
        <v>627479.67843664694</v>
      </c>
      <c r="BI79" s="58">
        <f t="shared" si="40"/>
        <v>630906.78106709803</v>
      </c>
      <c r="BJ79" s="58">
        <f t="shared" si="40"/>
        <v>633546.02933365549</v>
      </c>
      <c r="BK79" s="58">
        <f t="shared" si="40"/>
        <v>635874.73822781385</v>
      </c>
      <c r="BL79" s="58">
        <f t="shared" si="40"/>
        <v>669133.02755972918</v>
      </c>
      <c r="BM79" s="58">
        <f t="shared" si="40"/>
        <v>668028.92336997355</v>
      </c>
      <c r="BN79" s="58">
        <f t="shared" si="40"/>
        <v>668416.13191993674</v>
      </c>
      <c r="BO79" s="58">
        <f t="shared" si="40"/>
        <v>-53468.780850401185</v>
      </c>
      <c r="BP79" s="58">
        <f t="shared" si="40"/>
        <v>-39082.345000000008</v>
      </c>
      <c r="BQ79" s="58">
        <f t="shared" si="40"/>
        <v>-39082.345000000008</v>
      </c>
      <c r="BR79" s="58">
        <f t="shared" si="40"/>
        <v>-39082.345000000008</v>
      </c>
      <c r="BS79" s="58">
        <f t="shared" si="40"/>
        <v>-39082.345000000008</v>
      </c>
      <c r="BT79" s="58"/>
      <c r="BU79" s="58"/>
      <c r="BV79" s="58"/>
      <c r="BW79" s="58"/>
      <c r="BX79" s="58"/>
      <c r="BY79" s="58"/>
      <c r="BZ79" s="58"/>
      <c r="CA79" s="58"/>
    </row>
    <row r="80" spans="36:79" x14ac:dyDescent="0.2">
      <c r="AJ80" t="str">
        <f t="shared" ref="AJ80" si="41">+AJ68</f>
        <v>Climate Action Plan Forecast</v>
      </c>
      <c r="AN80" s="58">
        <f t="shared" ref="AN80:BS80" si="42">+AN10-AN$58</f>
        <v>-212671.65494115857</v>
      </c>
      <c r="AO80" s="58">
        <f t="shared" si="42"/>
        <v>-220843.40121561964</v>
      </c>
      <c r="AP80" s="58">
        <f t="shared" si="42"/>
        <v>-232814.90196189866</v>
      </c>
      <c r="AQ80" s="58">
        <f t="shared" si="42"/>
        <v>-276610.82424961339</v>
      </c>
      <c r="AR80" s="58">
        <f t="shared" si="42"/>
        <v>-269682.90003193909</v>
      </c>
      <c r="AS80" s="58">
        <f t="shared" si="42"/>
        <v>-225671.92856868656</v>
      </c>
      <c r="AT80" s="58">
        <f t="shared" si="42"/>
        <v>278419.9956178054</v>
      </c>
      <c r="AU80" s="58">
        <f t="shared" si="42"/>
        <v>302461.0437503279</v>
      </c>
      <c r="AV80" s="58">
        <f t="shared" si="42"/>
        <v>312191.82686168922</v>
      </c>
      <c r="AW80" s="58">
        <f t="shared" si="42"/>
        <v>323640.47643881902</v>
      </c>
      <c r="AX80" s="58">
        <f t="shared" si="42"/>
        <v>338266.96318373247</v>
      </c>
      <c r="AY80" s="58">
        <f t="shared" si="42"/>
        <v>366218.75410024519</v>
      </c>
      <c r="AZ80" s="58">
        <f t="shared" si="42"/>
        <v>446412.33104943426</v>
      </c>
      <c r="BA80" s="58">
        <f t="shared" si="42"/>
        <v>466104.47470443242</v>
      </c>
      <c r="BB80" s="58">
        <f t="shared" si="42"/>
        <v>507636.36908726697</v>
      </c>
      <c r="BC80" s="58">
        <f t="shared" si="42"/>
        <v>526619.90318910591</v>
      </c>
      <c r="BD80" s="58">
        <f t="shared" si="42"/>
        <v>545296.79382015509</v>
      </c>
      <c r="BE80" s="58">
        <f t="shared" si="42"/>
        <v>563997.26965456572</v>
      </c>
      <c r="BF80" s="58">
        <f t="shared" si="42"/>
        <v>583406.70921567455</v>
      </c>
      <c r="BG80" s="58">
        <f t="shared" si="42"/>
        <v>629643.51333829132</v>
      </c>
      <c r="BH80" s="58">
        <f t="shared" si="42"/>
        <v>679911.10106543009</v>
      </c>
      <c r="BI80" s="58">
        <f t="shared" si="42"/>
        <v>693873.7948501436</v>
      </c>
      <c r="BJ80" s="58">
        <f t="shared" si="42"/>
        <v>704854.50528837624</v>
      </c>
      <c r="BK80" s="58">
        <f t="shared" si="42"/>
        <v>715964.87593743077</v>
      </c>
      <c r="BL80" s="58">
        <f t="shared" si="42"/>
        <v>759332.39030949178</v>
      </c>
      <c r="BM80" s="58">
        <f t="shared" si="42"/>
        <v>768659.04679993249</v>
      </c>
      <c r="BN80" s="58">
        <f t="shared" si="42"/>
        <v>779477.90139917831</v>
      </c>
      <c r="BO80" s="58">
        <f t="shared" si="42"/>
        <v>-53468.780850401185</v>
      </c>
      <c r="BP80" s="58">
        <f t="shared" si="42"/>
        <v>-39082.345000000008</v>
      </c>
      <c r="BQ80" s="58">
        <f t="shared" si="42"/>
        <v>-39082.345000000008</v>
      </c>
      <c r="BR80" s="58">
        <f t="shared" si="42"/>
        <v>-39082.345000000008</v>
      </c>
      <c r="BS80" s="58">
        <f t="shared" si="42"/>
        <v>-39082.345000000008</v>
      </c>
      <c r="BT80" s="58"/>
      <c r="BU80" s="58"/>
      <c r="BV80" s="58"/>
      <c r="BW80" s="58"/>
      <c r="BX80" s="58"/>
      <c r="BY80" s="58"/>
      <c r="BZ80" s="58"/>
      <c r="CA80" s="58"/>
    </row>
    <row r="81" spans="36:71" x14ac:dyDescent="0.2">
      <c r="AJ81" t="str">
        <f>+AJ69</f>
        <v>VEC Forecast</v>
      </c>
      <c r="AN81" s="58">
        <f t="shared" ref="AN81:BS82" si="43">+AN11-AN$58</f>
        <v>-212671.65494115857</v>
      </c>
      <c r="AO81" s="58">
        <f t="shared" si="43"/>
        <v>-220843.40121561964</v>
      </c>
      <c r="AP81" s="58">
        <f t="shared" si="43"/>
        <v>-232814.90196189866</v>
      </c>
      <c r="AQ81" s="58">
        <f t="shared" si="43"/>
        <v>-276610.82424961339</v>
      </c>
      <c r="AR81" s="58">
        <f t="shared" si="43"/>
        <v>-269682.90003193909</v>
      </c>
      <c r="AS81" s="58">
        <f t="shared" si="43"/>
        <v>-225671.92856868656</v>
      </c>
      <c r="AT81" s="58">
        <f t="shared" si="43"/>
        <v>258203.98523894409</v>
      </c>
      <c r="AU81" s="58">
        <f t="shared" si="43"/>
        <v>260389.16666324719</v>
      </c>
      <c r="AV81" s="58">
        <f t="shared" si="43"/>
        <v>263412.37518714101</v>
      </c>
      <c r="AW81" s="58">
        <f t="shared" si="43"/>
        <v>267750.26975297474</v>
      </c>
      <c r="AX81" s="58">
        <f t="shared" si="43"/>
        <v>274419.34026321233</v>
      </c>
      <c r="AY81" s="58">
        <f t="shared" si="43"/>
        <v>295101.16175469419</v>
      </c>
      <c r="AZ81" s="58">
        <f t="shared" si="43"/>
        <v>368164.5002576207</v>
      </c>
      <c r="BA81" s="58">
        <f t="shared" si="43"/>
        <v>380675.3824301624</v>
      </c>
      <c r="BB81" s="58">
        <f t="shared" si="43"/>
        <v>415703.60636452015</v>
      </c>
      <c r="BC81" s="58">
        <f t="shared" si="43"/>
        <v>428813.93998199201</v>
      </c>
      <c r="BD81" s="58">
        <f t="shared" si="43"/>
        <v>442865.82428816194</v>
      </c>
      <c r="BE81" s="58">
        <f t="shared" si="43"/>
        <v>456964.8578916096</v>
      </c>
      <c r="BF81" s="58">
        <f t="shared" si="43"/>
        <v>470949.91109798278</v>
      </c>
      <c r="BG81" s="58">
        <f t="shared" si="43"/>
        <v>511365.2517793547</v>
      </c>
      <c r="BH81" s="58">
        <f t="shared" si="43"/>
        <v>555572.30344062601</v>
      </c>
      <c r="BI81" s="58">
        <f t="shared" si="43"/>
        <v>564623.86902025959</v>
      </c>
      <c r="BJ81" s="58">
        <f t="shared" si="43"/>
        <v>571943.29207275226</v>
      </c>
      <c r="BK81" s="58">
        <f t="shared" si="43"/>
        <v>579334.80153532454</v>
      </c>
      <c r="BL81" s="58">
        <f t="shared" si="43"/>
        <v>618104.88615490613</v>
      </c>
      <c r="BM81" s="58">
        <f t="shared" si="43"/>
        <v>621895.80544043123</v>
      </c>
      <c r="BN81" s="58">
        <f t="shared" si="43"/>
        <v>626572.13677805557</v>
      </c>
      <c r="BO81" s="58">
        <f t="shared" si="43"/>
        <v>-53468.780850401185</v>
      </c>
      <c r="BP81" s="58">
        <f t="shared" si="43"/>
        <v>-39082.345000000008</v>
      </c>
      <c r="BQ81" s="58">
        <f t="shared" si="43"/>
        <v>-39082.345000000008</v>
      </c>
      <c r="BR81" s="58">
        <f t="shared" si="43"/>
        <v>-39082.345000000008</v>
      </c>
      <c r="BS81" s="58">
        <f t="shared" si="43"/>
        <v>-39082.345000000008</v>
      </c>
    </row>
    <row r="82" spans="36:71" x14ac:dyDescent="0.2">
      <c r="AJ82" t="str">
        <f>+AJ70</f>
        <v>Average of High and Low</v>
      </c>
      <c r="AN82" s="58">
        <f t="shared" si="43"/>
        <v>-212671.65494115857</v>
      </c>
      <c r="AO82" s="58">
        <f t="shared" si="43"/>
        <v>-220843.40121561964</v>
      </c>
      <c r="AP82" s="58">
        <f t="shared" si="43"/>
        <v>-232814.90196189866</v>
      </c>
      <c r="AQ82" s="58">
        <f t="shared" si="43"/>
        <v>-276610.82424961339</v>
      </c>
      <c r="AR82" s="58">
        <f t="shared" si="43"/>
        <v>-269682.90003193909</v>
      </c>
      <c r="AS82" s="58">
        <f t="shared" si="43"/>
        <v>-225671.92856868656</v>
      </c>
      <c r="AT82" s="58">
        <f t="shared" si="43"/>
        <v>268311.99042837473</v>
      </c>
      <c r="AU82" s="58">
        <f t="shared" si="43"/>
        <v>281425.10520678759</v>
      </c>
      <c r="AV82" s="58">
        <f t="shared" si="43"/>
        <v>287802.10102441511</v>
      </c>
      <c r="AW82" s="58">
        <f t="shared" si="43"/>
        <v>295758.00196680537</v>
      </c>
      <c r="AX82" s="58">
        <f t="shared" si="43"/>
        <v>306760.12590383121</v>
      </c>
      <c r="AY82" s="58">
        <f t="shared" si="43"/>
        <v>331612.35491498641</v>
      </c>
      <c r="AZ82" s="58">
        <f t="shared" si="43"/>
        <v>408808.65399325883</v>
      </c>
      <c r="BA82" s="58">
        <f t="shared" si="43"/>
        <v>425329.63357912935</v>
      </c>
      <c r="BB82" s="58">
        <f t="shared" si="43"/>
        <v>463717.65553203248</v>
      </c>
      <c r="BC82" s="58">
        <f t="shared" si="43"/>
        <v>479616.47283936362</v>
      </c>
      <c r="BD82" s="58">
        <f t="shared" si="43"/>
        <v>495492.30622783711</v>
      </c>
      <c r="BE82" s="58">
        <f t="shared" si="43"/>
        <v>511077.03352266614</v>
      </c>
      <c r="BF82" s="58">
        <f t="shared" si="43"/>
        <v>527235.16223253286</v>
      </c>
      <c r="BG82" s="58">
        <f t="shared" si="43"/>
        <v>570504.38255882298</v>
      </c>
      <c r="BH82" s="58">
        <f t="shared" si="43"/>
        <v>617741.70225302805</v>
      </c>
      <c r="BI82" s="58">
        <f t="shared" si="43"/>
        <v>629248.83193520154</v>
      </c>
      <c r="BJ82" s="58">
        <f t="shared" si="43"/>
        <v>638398.89868056425</v>
      </c>
      <c r="BK82" s="58">
        <f t="shared" si="43"/>
        <v>647649.83873637754</v>
      </c>
      <c r="BL82" s="58">
        <f t="shared" si="43"/>
        <v>688718.63823219878</v>
      </c>
      <c r="BM82" s="58">
        <f t="shared" si="43"/>
        <v>695277.42612018192</v>
      </c>
      <c r="BN82" s="58">
        <f t="shared" si="43"/>
        <v>703025.01908861694</v>
      </c>
      <c r="BO82" s="58">
        <f t="shared" si="43"/>
        <v>-53468.780850401185</v>
      </c>
      <c r="BP82" s="58">
        <f t="shared" si="43"/>
        <v>-39082.345000000008</v>
      </c>
      <c r="BQ82" s="58">
        <f t="shared" si="43"/>
        <v>-39082.345000000008</v>
      </c>
      <c r="BR82" s="58">
        <f t="shared" si="43"/>
        <v>-39082.345000000008</v>
      </c>
      <c r="BS82" s="58">
        <f t="shared" si="43"/>
        <v>-39082.345000000008</v>
      </c>
    </row>
    <row r="84" spans="36:71" x14ac:dyDescent="0.2">
      <c r="AR84" s="58"/>
      <c r="AY84" s="139">
        <v>0.50251367028695515</v>
      </c>
      <c r="AZ84" s="58">
        <v>254705.67390860603</v>
      </c>
      <c r="BA84" s="58">
        <v>458869.74521414866</v>
      </c>
    </row>
    <row r="85" spans="36:71" x14ac:dyDescent="0.2">
      <c r="AR85" s="58"/>
      <c r="AY85" s="139">
        <v>0.35920835436309856</v>
      </c>
      <c r="AZ85" s="58">
        <v>345856.00856002036</v>
      </c>
      <c r="BA85" s="58">
        <v>460939.30229785346</v>
      </c>
    </row>
    <row r="86" spans="36:71" x14ac:dyDescent="0.2">
      <c r="AR86" s="58"/>
      <c r="AY86" s="139">
        <v>0.33560327309198534</v>
      </c>
      <c r="AZ86" s="58">
        <v>380610.2831994337</v>
      </c>
      <c r="BA86" s="58">
        <v>463400.58690674533</v>
      </c>
    </row>
    <row r="87" spans="36:71" x14ac:dyDescent="0.2">
      <c r="AR87" s="58"/>
      <c r="AY87" s="139">
        <v>0.2601367694880572</v>
      </c>
      <c r="AZ87" s="58">
        <v>448732.63564531965</v>
      </c>
      <c r="BA87" s="58">
        <v>466954.1632914595</v>
      </c>
    </row>
    <row r="88" spans="36:71" x14ac:dyDescent="0.2">
      <c r="AR88" s="58"/>
      <c r="AY88" s="139">
        <v>0.24708364493827978</v>
      </c>
      <c r="AZ88" s="58">
        <v>481777.34927945532</v>
      </c>
      <c r="BA88" s="58">
        <v>471664.81633932493</v>
      </c>
    </row>
    <row r="89" spans="36:71" x14ac:dyDescent="0.2">
      <c r="AR89" s="58"/>
      <c r="AY89" s="139">
        <v>0.2358899014792005</v>
      </c>
      <c r="AZ89" s="58">
        <v>513013.17459563469</v>
      </c>
      <c r="BA89" s="58">
        <v>477932.67418083374</v>
      </c>
    </row>
    <row r="90" spans="36:71" x14ac:dyDescent="0.2">
      <c r="AR90" s="58"/>
      <c r="AY90" s="139">
        <v>0.19627897017867629</v>
      </c>
      <c r="AZ90" s="58">
        <v>562518.65508236166</v>
      </c>
      <c r="BA90" s="58">
        <v>486379.25619654963</v>
      </c>
    </row>
    <row r="91" spans="36:71" x14ac:dyDescent="0.2">
      <c r="AY91" s="139">
        <v>0.18970811337843793</v>
      </c>
      <c r="AZ91" s="58">
        <v>587036.956026364</v>
      </c>
      <c r="BA91" s="58">
        <v>495964.83179480233</v>
      </c>
    </row>
    <row r="92" spans="36:71" x14ac:dyDescent="0.2">
      <c r="AY92" s="139">
        <v>0.17632587243629377</v>
      </c>
      <c r="AZ92" s="58">
        <v>611454.53317050659</v>
      </c>
      <c r="BA92" s="58">
        <v>506717.04646198452</v>
      </c>
    </row>
    <row r="93" spans="36:71" x14ac:dyDescent="0.2">
      <c r="AY93" s="139">
        <v>0.13004796678738284</v>
      </c>
      <c r="AZ93" s="58">
        <v>653610.63942273566</v>
      </c>
      <c r="BA93" s="58">
        <v>518854.07252348971</v>
      </c>
    </row>
    <row r="94" spans="36:71" x14ac:dyDescent="0.2">
      <c r="AY94" s="139">
        <v>0.12974777180661945</v>
      </c>
      <c r="AZ94" s="58">
        <v>655881.19215950521</v>
      </c>
      <c r="BA94" s="58">
        <v>531733.69205254689</v>
      </c>
    </row>
    <row r="95" spans="36:71" x14ac:dyDescent="0.2">
      <c r="BA95" s="58">
        <v>545276.57129281969</v>
      </c>
    </row>
    <row r="96" spans="36:71" x14ac:dyDescent="0.2">
      <c r="BA96" s="58">
        <v>558923.12070645345</v>
      </c>
    </row>
    <row r="97" spans="53:53" x14ac:dyDescent="0.2">
      <c r="BA97" s="58">
        <v>572525.54409454425</v>
      </c>
    </row>
    <row r="98" spans="53:53" x14ac:dyDescent="0.2">
      <c r="BA98" s="58">
        <v>586215.99394070904</v>
      </c>
    </row>
    <row r="99" spans="53:53" x14ac:dyDescent="0.2">
      <c r="BA99" s="58">
        <v>599346.17713022791</v>
      </c>
    </row>
    <row r="100" spans="53:53" x14ac:dyDescent="0.2">
      <c r="BA100" s="58">
        <v>611499.27495326404</v>
      </c>
    </row>
    <row r="101" spans="53:53" x14ac:dyDescent="0.2">
      <c r="BA101" s="58">
        <v>621643.68628262565</v>
      </c>
    </row>
    <row r="102" spans="53:53" x14ac:dyDescent="0.2">
      <c r="BA102" s="58">
        <v>629574.924164503</v>
      </c>
    </row>
    <row r="103" spans="53:53" x14ac:dyDescent="0.2">
      <c r="BA103" s="58">
        <v>636398.74754221726</v>
      </c>
    </row>
  </sheetData>
  <pageMargins left="0.7" right="0.7" top="0.75" bottom="0.75" header="0.3" footer="0.3"/>
  <pageSetup scale="25"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H51"/>
  <sheetViews>
    <sheetView topLeftCell="A5" workbookViewId="0">
      <pane xSplit="2" ySplit="1" topLeftCell="P13" activePane="bottomRight" state="frozen"/>
      <selection activeCell="A5" sqref="A5"/>
      <selection pane="topRight" activeCell="C5" sqref="C5"/>
      <selection pane="bottomLeft" activeCell="A6" sqref="A6"/>
      <selection pane="bottomRight" activeCell="AJ5" sqref="AJ5"/>
    </sheetView>
  </sheetViews>
  <sheetFormatPr defaultRowHeight="12.75" x14ac:dyDescent="0.2"/>
  <cols>
    <col min="3" max="8" width="11" customWidth="1"/>
    <col min="9" max="14" width="12.7109375" customWidth="1"/>
    <col min="15" max="16" width="12" customWidth="1"/>
    <col min="17" max="17" width="14.140625" customWidth="1"/>
    <col min="18" max="22" width="12" customWidth="1"/>
    <col min="23" max="23" width="9.28515625" customWidth="1"/>
    <col min="24" max="24" width="10" customWidth="1"/>
    <col min="25" max="26" width="9.7109375" customWidth="1"/>
    <col min="38" max="38" width="10.42578125" customWidth="1"/>
    <col min="51" max="53" width="10" customWidth="1"/>
    <col min="54" max="54" width="18" bestFit="1" customWidth="1"/>
    <col min="59" max="59" width="10.7109375" bestFit="1" customWidth="1"/>
    <col min="60" max="60" width="9.28515625" bestFit="1" customWidth="1"/>
  </cols>
  <sheetData>
    <row r="1" spans="1:60" x14ac:dyDescent="0.2">
      <c r="B1" s="61" t="s">
        <v>90</v>
      </c>
      <c r="C1" s="61"/>
    </row>
    <row r="3" spans="1:60" x14ac:dyDescent="0.2">
      <c r="P3" s="106" t="s">
        <v>207</v>
      </c>
    </row>
    <row r="5" spans="1:60" ht="76.5" x14ac:dyDescent="0.2">
      <c r="A5" s="61" t="s">
        <v>175</v>
      </c>
      <c r="B5" s="59" t="s">
        <v>8</v>
      </c>
      <c r="C5" s="59" t="s">
        <v>156</v>
      </c>
      <c r="D5" s="59" t="s">
        <v>157</v>
      </c>
      <c r="E5" s="59" t="s">
        <v>158</v>
      </c>
      <c r="F5" s="85" t="str">
        <f>+'Annual Energy Data'!U7</f>
        <v>VELCO Forecast</v>
      </c>
      <c r="G5" s="85" t="str">
        <f>+'Annual Energy Data'!V7</f>
        <v>Climate Action Plan Forecast</v>
      </c>
      <c r="H5" s="85" t="str">
        <f>+'Annual Energy Data'!W7</f>
        <v>VEC Forecast</v>
      </c>
      <c r="I5" s="59" t="s">
        <v>159</v>
      </c>
      <c r="J5" s="59" t="s">
        <v>160</v>
      </c>
      <c r="K5" s="59" t="s">
        <v>161</v>
      </c>
      <c r="L5" s="59" t="s">
        <v>162</v>
      </c>
      <c r="M5" s="59" t="s">
        <v>163</v>
      </c>
      <c r="N5" s="59" t="s">
        <v>164</v>
      </c>
      <c r="O5" s="59" t="s">
        <v>255</v>
      </c>
      <c r="P5" s="85" t="str">
        <f t="shared" ref="P5:P43" si="0">+B5</f>
        <v>Year</v>
      </c>
      <c r="Q5" s="85" t="s">
        <v>197</v>
      </c>
      <c r="R5" s="85" t="s">
        <v>198</v>
      </c>
      <c r="S5" s="85" t="s">
        <v>199</v>
      </c>
      <c r="T5" s="85" t="s">
        <v>481</v>
      </c>
      <c r="U5" s="85" t="s">
        <v>480</v>
      </c>
      <c r="V5" s="85" t="s">
        <v>479</v>
      </c>
      <c r="W5" s="85" t="s">
        <v>92</v>
      </c>
      <c r="X5" s="85" t="s">
        <v>215</v>
      </c>
      <c r="Y5" s="85" t="s">
        <v>252</v>
      </c>
      <c r="Z5" s="85" t="s">
        <v>253</v>
      </c>
      <c r="AA5" s="85" t="s">
        <v>358</v>
      </c>
      <c r="AB5" s="85" t="s">
        <v>143</v>
      </c>
      <c r="AC5" s="85" t="s">
        <v>142</v>
      </c>
      <c r="AD5" s="85" t="s">
        <v>75</v>
      </c>
      <c r="AE5" s="85" t="str">
        <f>+'Annual Energy Data'!AM7</f>
        <v>Ryegate</v>
      </c>
      <c r="AF5" s="85" t="str">
        <f>+'Annual Energy Data'!AO7</f>
        <v>Kingdom Wind</v>
      </c>
      <c r="AG5" s="85" t="str">
        <f>+'Annual Energy Data'!BR7</f>
        <v>Newport Hydro</v>
      </c>
      <c r="AH5" s="85" t="str">
        <f>+'Annual Energy Data'!BS7</f>
        <v>Howard Wind</v>
      </c>
      <c r="AI5" s="85" t="str">
        <f>+'Annual Energy Data'!BT7</f>
        <v>Brookfield Hydro</v>
      </c>
      <c r="AJ5" s="85" t="str">
        <f>+'Annual Energy Data'!AP7</f>
        <v>Sheffield - Fixed Price</v>
      </c>
      <c r="AK5" s="85" t="s">
        <v>139</v>
      </c>
      <c r="AL5" s="85" t="s">
        <v>208</v>
      </c>
      <c r="AM5" s="59" t="s">
        <v>100</v>
      </c>
      <c r="AN5" s="59" t="s">
        <v>101</v>
      </c>
      <c r="AO5" s="59" t="s">
        <v>102</v>
      </c>
      <c r="AP5" s="59" t="s">
        <v>103</v>
      </c>
      <c r="AQ5" s="59" t="s">
        <v>93</v>
      </c>
      <c r="AR5" s="59" t="s">
        <v>94</v>
      </c>
      <c r="AS5" s="59" t="s">
        <v>95</v>
      </c>
      <c r="AT5" s="59" t="s">
        <v>96</v>
      </c>
      <c r="AU5" s="59" t="s">
        <v>97</v>
      </c>
      <c r="AV5" s="59" t="s">
        <v>166</v>
      </c>
      <c r="AW5" s="59" t="s">
        <v>167</v>
      </c>
      <c r="AX5" s="59" t="s">
        <v>168</v>
      </c>
      <c r="AY5" s="59" t="s">
        <v>169</v>
      </c>
      <c r="AZ5" s="59" t="s">
        <v>170</v>
      </c>
      <c r="BA5" s="59" t="s">
        <v>171</v>
      </c>
    </row>
    <row r="6" spans="1:60" x14ac:dyDescent="0.2">
      <c r="A6" s="68"/>
      <c r="B6">
        <f>+'Annual Energy Data'!A16</f>
        <v>2016</v>
      </c>
      <c r="C6" s="58">
        <f>+'Annual Energy Data'!I16</f>
        <v>0</v>
      </c>
      <c r="D6" s="58">
        <f>+'Annual Energy Data'!M16</f>
        <v>0</v>
      </c>
      <c r="E6" s="58">
        <f>+'Annual Energy Data'!Q16</f>
        <v>0</v>
      </c>
      <c r="F6" s="58">
        <f>+'Annual Energy Data'!U16</f>
        <v>0</v>
      </c>
      <c r="G6" s="58">
        <f>+'Annual Energy Data'!V16</f>
        <v>0</v>
      </c>
      <c r="H6" s="58">
        <f>+'Annual Energy Data'!W16</f>
        <v>0</v>
      </c>
      <c r="I6" s="58" t="e">
        <f>+'Tier 3 Data'!#REF!</f>
        <v>#REF!</v>
      </c>
      <c r="J6" s="58" t="e">
        <f>+'Tier 3 Data'!#REF!</f>
        <v>#REF!</v>
      </c>
      <c r="K6" s="58" t="e">
        <f>+'Tier 3 Data'!#REF!</f>
        <v>#REF!</v>
      </c>
      <c r="L6" s="58" t="e">
        <f>+'Tier 3 Data'!#REF!</f>
        <v>#REF!</v>
      </c>
      <c r="M6" s="58" t="e">
        <f>+'Tier 3 Data'!#REF!</f>
        <v>#REF!</v>
      </c>
      <c r="N6" s="58" t="e">
        <f>+'Tier 3 Data'!#REF!</f>
        <v>#REF!</v>
      </c>
      <c r="O6" s="76"/>
      <c r="P6" s="89">
        <f t="shared" si="0"/>
        <v>2016</v>
      </c>
      <c r="Q6" s="118"/>
      <c r="R6" s="118"/>
      <c r="S6" s="118"/>
      <c r="T6" s="118"/>
      <c r="U6" s="118"/>
      <c r="V6" s="118"/>
      <c r="W6" s="118"/>
      <c r="X6" s="118"/>
      <c r="Y6" s="118"/>
      <c r="Z6" s="118"/>
      <c r="AA6" s="102">
        <f>+'Annual Energy Data'!AD16</f>
        <v>0</v>
      </c>
      <c r="AB6" s="102">
        <f>+SUM('Annual Energy Data'!AE16:AH16)</f>
        <v>0</v>
      </c>
      <c r="AC6" s="102">
        <f>+'Annual Energy Data'!BD16</f>
        <v>0</v>
      </c>
      <c r="AD6" s="102">
        <f>+'Annual Energy Data'!AI16+'Annual Energy Data'!AJ16</f>
        <v>0</v>
      </c>
      <c r="AE6" s="102">
        <v>2802.8065471970681</v>
      </c>
      <c r="AF6" s="102">
        <f>+'Annual Energy Data'!AO16</f>
        <v>0</v>
      </c>
      <c r="AG6" s="102"/>
      <c r="AH6" s="102"/>
      <c r="AI6" s="102"/>
      <c r="AJ6" s="102">
        <f>+'Annual Energy Data'!AP16</f>
        <v>0</v>
      </c>
      <c r="AK6" s="102">
        <f>+SUM('Annual Energy Data'!AQ16+'Annual Energy Data'!AR16+'Annual Energy Data'!AS16+'Annual Energy Data'!AU16+'Annual Energy Data'!AV16)</f>
        <v>0</v>
      </c>
      <c r="AL6" s="102"/>
      <c r="AM6" s="65">
        <f t="shared" ref="AM6:AM43" si="1">+ROUND(AF6,0)</f>
        <v>0</v>
      </c>
      <c r="AN6" s="65">
        <f t="shared" ref="AN6:AN43" si="2">+ROUND(AJ6,0)</f>
        <v>0</v>
      </c>
      <c r="AO6" s="65">
        <f t="shared" ref="AO6:AO43" si="3">+ROUND(AE6,0)</f>
        <v>2803</v>
      </c>
      <c r="AP6" s="65">
        <f t="shared" ref="AP6:AP43" si="4">+ROUND(AK6,0)</f>
        <v>0</v>
      </c>
      <c r="AT6" s="58">
        <f>+SUM(AM6:AS6)</f>
        <v>2803</v>
      </c>
      <c r="AU6" s="58"/>
      <c r="AV6" s="58"/>
      <c r="AW6" s="73"/>
      <c r="AX6" s="58"/>
      <c r="AY6" s="58"/>
      <c r="AZ6" s="58"/>
      <c r="BA6" s="58"/>
    </row>
    <row r="7" spans="1:60" x14ac:dyDescent="0.2">
      <c r="A7" s="74">
        <v>0.55000000000000004</v>
      </c>
      <c r="B7">
        <f>+'Annual Energy Data'!A17</f>
        <v>2017</v>
      </c>
      <c r="C7" s="58">
        <f>+'Annual Energy Data'!I17</f>
        <v>0</v>
      </c>
      <c r="D7" s="58">
        <f>+'Annual Energy Data'!M17</f>
        <v>0</v>
      </c>
      <c r="E7" s="58">
        <f>+'Annual Energy Data'!Q17</f>
        <v>0</v>
      </c>
      <c r="F7" s="58">
        <f>+'Annual Energy Data'!U17</f>
        <v>0</v>
      </c>
      <c r="G7" s="58">
        <f>+'Annual Energy Data'!V17</f>
        <v>0</v>
      </c>
      <c r="H7" s="58">
        <f>+'Annual Energy Data'!W17</f>
        <v>0</v>
      </c>
      <c r="I7" s="58">
        <f>+'Tier 3 Data'!J12</f>
        <v>0</v>
      </c>
      <c r="J7" s="58">
        <f>+'Tier 3 Data'!K12</f>
        <v>0</v>
      </c>
      <c r="K7" s="58">
        <f>+'Tier 3 Data'!L12</f>
        <v>0</v>
      </c>
      <c r="L7" s="58">
        <f>+'Tier 3 Data'!M12</f>
        <v>0</v>
      </c>
      <c r="M7" s="58">
        <f>+'Tier 3 Data'!N12</f>
        <v>0</v>
      </c>
      <c r="N7" s="58">
        <f>+'Tier 3 Data'!O12</f>
        <v>0</v>
      </c>
      <c r="O7" s="68">
        <f>+A7-'Tier 2 Data - MOU I.6'!A7</f>
        <v>0.54</v>
      </c>
      <c r="P7" s="89">
        <f t="shared" si="0"/>
        <v>2017</v>
      </c>
      <c r="Q7" s="102">
        <f t="shared" ref="Q7:V7" si="5">+$O7*I7</f>
        <v>0</v>
      </c>
      <c r="R7" s="102">
        <f t="shared" si="5"/>
        <v>0</v>
      </c>
      <c r="S7" s="102">
        <f t="shared" si="5"/>
        <v>0</v>
      </c>
      <c r="T7" s="102">
        <f t="shared" si="5"/>
        <v>0</v>
      </c>
      <c r="U7" s="102">
        <f t="shared" si="5"/>
        <v>0</v>
      </c>
      <c r="V7" s="102">
        <f t="shared" si="5"/>
        <v>0</v>
      </c>
      <c r="W7" s="102">
        <f>+'Tier 1 Data - MOU 1.5'!X7</f>
        <v>20000</v>
      </c>
      <c r="X7" s="102">
        <f>+'Tier 1 Data - MOU 1.5'!Y7</f>
        <v>30000</v>
      </c>
      <c r="Y7" s="102"/>
      <c r="Z7" s="102"/>
      <c r="AA7" s="102">
        <f>+'Annual Energy Data'!AD17</f>
        <v>0</v>
      </c>
      <c r="AB7" s="102">
        <f>+SUM('Annual Energy Data'!AE17:AH17)</f>
        <v>0</v>
      </c>
      <c r="AC7" s="102">
        <f>+'Annual Energy Data'!BD17</f>
        <v>0</v>
      </c>
      <c r="AD7" s="102">
        <f>+'Annual Energy Data'!AI17+'Annual Energy Data'!AJ17</f>
        <v>0</v>
      </c>
      <c r="AE7" s="102">
        <f>0.5*SUM('Monthly Energy Data'!AY116:AY127)</f>
        <v>0</v>
      </c>
      <c r="AF7" s="102">
        <f>+'Annual Energy Data'!AO17</f>
        <v>0</v>
      </c>
      <c r="AG7" s="102"/>
      <c r="AH7" s="102"/>
      <c r="AI7" s="102"/>
      <c r="AJ7" s="102">
        <f>+'Annual Energy Data'!AP17</f>
        <v>0</v>
      </c>
      <c r="AK7" s="102">
        <f>+SUM('Annual Energy Data'!AQ17+'Annual Energy Data'!AR17+'Annual Energy Data'!AS17+'Annual Energy Data'!AU17+'Annual Energy Data'!AV17)</f>
        <v>0</v>
      </c>
      <c r="AL7" s="102">
        <f t="shared" ref="AL7:AL43" si="6">+SUM(W7:AK7)</f>
        <v>50000</v>
      </c>
      <c r="AM7" s="65">
        <f t="shared" si="1"/>
        <v>0</v>
      </c>
      <c r="AN7" s="65">
        <f t="shared" si="2"/>
        <v>0</v>
      </c>
      <c r="AO7" s="65">
        <f t="shared" si="3"/>
        <v>0</v>
      </c>
      <c r="AP7" s="65">
        <f t="shared" si="4"/>
        <v>0</v>
      </c>
      <c r="AT7" s="58">
        <f t="shared" ref="AT7:AT28" si="7">+SUM(AM7:AS7)</f>
        <v>0</v>
      </c>
      <c r="AU7" s="58">
        <f t="shared" ref="AU7:AU28" si="8">+AL7-AT7</f>
        <v>50000</v>
      </c>
      <c r="AV7" s="73">
        <f t="shared" ref="AV7:AV43" si="9">+Q7-$AU7</f>
        <v>-50000</v>
      </c>
      <c r="AW7" s="73">
        <f t="shared" ref="AW7:AW43" si="10">+R7-$AU7</f>
        <v>-50000</v>
      </c>
      <c r="AX7" s="73">
        <f t="shared" ref="AX7:AX43" si="11">+S7-$AU7</f>
        <v>-50000</v>
      </c>
      <c r="AY7" s="73">
        <f t="shared" ref="AY7:AY43" si="12">+T7-$AU7</f>
        <v>-50000</v>
      </c>
      <c r="AZ7" s="73">
        <f t="shared" ref="AZ7:AZ43" si="13">+U7-$AU7</f>
        <v>-50000</v>
      </c>
      <c r="BA7" s="73">
        <f t="shared" ref="BA7:BA43" si="14">+V7-$AU7</f>
        <v>-50000</v>
      </c>
      <c r="BE7" s="61" t="s">
        <v>345</v>
      </c>
    </row>
    <row r="8" spans="1:60" x14ac:dyDescent="0.2">
      <c r="A8" s="68">
        <f>+A7</f>
        <v>0.55000000000000004</v>
      </c>
      <c r="B8">
        <f>+'Annual Energy Data'!A18</f>
        <v>2018</v>
      </c>
      <c r="C8" s="58">
        <f>+'Annual Energy Data'!I18</f>
        <v>0</v>
      </c>
      <c r="D8" s="58">
        <f>+'Annual Energy Data'!M18</f>
        <v>0</v>
      </c>
      <c r="E8" s="58">
        <f>+'Annual Energy Data'!Q18</f>
        <v>0</v>
      </c>
      <c r="F8" s="58">
        <f>+'Annual Energy Data'!U18</f>
        <v>0</v>
      </c>
      <c r="G8" s="58">
        <f>+'Annual Energy Data'!V18</f>
        <v>0</v>
      </c>
      <c r="H8" s="58">
        <f>+'Annual Energy Data'!W18</f>
        <v>0</v>
      </c>
      <c r="I8" s="58">
        <f>+'Tier 3 Data'!J13</f>
        <v>0</v>
      </c>
      <c r="J8" s="58">
        <f>+'Tier 3 Data'!K13</f>
        <v>0</v>
      </c>
      <c r="K8" s="58">
        <f>+'Tier 3 Data'!L13</f>
        <v>0</v>
      </c>
      <c r="L8" s="58">
        <f>+'Tier 3 Data'!M13</f>
        <v>0</v>
      </c>
      <c r="M8" s="58">
        <f>+'Tier 3 Data'!N13</f>
        <v>0</v>
      </c>
      <c r="N8" s="58">
        <f>+'Tier 3 Data'!O13</f>
        <v>0</v>
      </c>
      <c r="O8" s="68">
        <f>+A8-'Tier 2 Data - MOU I.6'!A8</f>
        <v>0.53400000000000003</v>
      </c>
      <c r="P8" s="89">
        <f t="shared" si="0"/>
        <v>2018</v>
      </c>
      <c r="Q8" s="102">
        <f t="shared" ref="Q8:Q28" si="15">+$O8*I8</f>
        <v>0</v>
      </c>
      <c r="R8" s="102">
        <f t="shared" ref="R8:R28" si="16">+$O8*J8</f>
        <v>0</v>
      </c>
      <c r="S8" s="102">
        <f t="shared" ref="S8:S28" si="17">+$O8*K8</f>
        <v>0</v>
      </c>
      <c r="T8" s="102">
        <f t="shared" ref="T8:T28" si="18">+$O8*L8</f>
        <v>0</v>
      </c>
      <c r="U8" s="102">
        <f t="shared" ref="U8:U28" si="19">+$O8*M8</f>
        <v>0</v>
      </c>
      <c r="V8" s="102">
        <f t="shared" ref="V8:V28" si="20">+$O8*N8</f>
        <v>0</v>
      </c>
      <c r="W8" s="102">
        <f>+'Tier 1 Data - MOU 1.5'!X8</f>
        <v>20000</v>
      </c>
      <c r="X8" s="102">
        <f>+'Tier 1 Data - MOU 1.5'!Y8</f>
        <v>20000</v>
      </c>
      <c r="Y8" s="102">
        <f>+'Tier 1 Data - MOU 1.5'!Z8</f>
        <v>15000</v>
      </c>
      <c r="Z8" s="102">
        <f>+'Tier 1 Data - MOU 1.5'!AA8</f>
        <v>30000</v>
      </c>
      <c r="AA8" s="102">
        <f>+'Annual Energy Data'!AD18</f>
        <v>0</v>
      </c>
      <c r="AB8" s="102">
        <f>+SUM('Annual Energy Data'!AE18:AH18)</f>
        <v>99280</v>
      </c>
      <c r="AC8" s="102">
        <f>+'Annual Energy Data'!BD18</f>
        <v>23360</v>
      </c>
      <c r="AD8" s="102">
        <f>+'Annual Energy Data'!AI18+'Annual Energy Data'!AJ18</f>
        <v>40918.044000000002</v>
      </c>
      <c r="AE8" s="102">
        <f>+'Annual Energy Data'!AM18*0.5</f>
        <v>6804.2912721153998</v>
      </c>
      <c r="AF8" s="102">
        <f>+'Annual Energy Data'!AO18</f>
        <v>19193.496000000003</v>
      </c>
      <c r="AG8" s="102"/>
      <c r="AH8" s="102"/>
      <c r="AI8" s="102"/>
      <c r="AJ8" s="102">
        <f>+'Annual Energy Data'!AP18</f>
        <v>22207.910499999998</v>
      </c>
      <c r="AK8" s="102">
        <f>+SUM('Annual Energy Data'!AQ18+'Annual Energy Data'!AR18+'Annual Energy Data'!AS18+'Annual Energy Data'!AU18+'Annual Energy Data'!AV18)</f>
        <v>0</v>
      </c>
      <c r="AL8" s="102">
        <f t="shared" si="6"/>
        <v>296763.74177211541</v>
      </c>
      <c r="AM8" s="65">
        <f t="shared" si="1"/>
        <v>19193</v>
      </c>
      <c r="AN8" s="65">
        <f t="shared" si="2"/>
        <v>22208</v>
      </c>
      <c r="AO8" s="65">
        <f t="shared" si="3"/>
        <v>6804</v>
      </c>
      <c r="AP8" s="65">
        <f t="shared" si="4"/>
        <v>0</v>
      </c>
      <c r="AT8" s="58">
        <f t="shared" si="7"/>
        <v>48205</v>
      </c>
      <c r="AU8" s="58">
        <f t="shared" si="8"/>
        <v>248558.74177211541</v>
      </c>
      <c r="AV8" s="73">
        <f t="shared" si="9"/>
        <v>-248558.74177211541</v>
      </c>
      <c r="AW8" s="73">
        <f t="shared" si="10"/>
        <v>-248558.74177211541</v>
      </c>
      <c r="AX8" s="73">
        <f t="shared" si="11"/>
        <v>-248558.74177211541</v>
      </c>
      <c r="AY8" s="73">
        <f t="shared" si="12"/>
        <v>-248558.74177211541</v>
      </c>
      <c r="AZ8" s="73">
        <f t="shared" si="13"/>
        <v>-248558.74177211541</v>
      </c>
      <c r="BA8" s="73">
        <f t="shared" si="14"/>
        <v>-248558.74177211541</v>
      </c>
      <c r="BB8" s="73">
        <f>+AL8-U8</f>
        <v>296763.74177211541</v>
      </c>
      <c r="BC8" s="68" t="e">
        <f t="shared" ref="BC8:BC43" si="21">+AL8/U8</f>
        <v>#DIV/0!</v>
      </c>
      <c r="BG8" s="170">
        <f>+NPV('Annual Emissions'!$B$3,'Tier 1 Data - MOU I.4'!BG9:BG28)</f>
        <v>56549.64668607786</v>
      </c>
      <c r="BH8" s="170">
        <f>+NPV('Annual Emissions'!$B$3,'Tier 1 Data - MOU I.4'!BH9:BH28)</f>
        <v>565496.46686077875</v>
      </c>
    </row>
    <row r="9" spans="1:60" x14ac:dyDescent="0.2">
      <c r="A9" s="68">
        <f>+A8</f>
        <v>0.55000000000000004</v>
      </c>
      <c r="B9">
        <f>+'Annual Energy Data'!A19</f>
        <v>2019</v>
      </c>
      <c r="C9" s="58">
        <f>+'Annual Energy Data'!I19</f>
        <v>0</v>
      </c>
      <c r="D9" s="58">
        <f>+'Annual Energy Data'!M19</f>
        <v>0</v>
      </c>
      <c r="E9" s="58">
        <f>+'Annual Energy Data'!Q19</f>
        <v>0</v>
      </c>
      <c r="F9" s="58">
        <f>+'Annual Energy Data'!U19</f>
        <v>0</v>
      </c>
      <c r="G9" s="58">
        <f>+'Annual Energy Data'!V19</f>
        <v>0</v>
      </c>
      <c r="H9" s="58">
        <f>+'Annual Energy Data'!W19</f>
        <v>0</v>
      </c>
      <c r="I9" s="58">
        <f>+'Tier 3 Data'!J14</f>
        <v>0</v>
      </c>
      <c r="J9" s="58">
        <f>+'Tier 3 Data'!K14</f>
        <v>0</v>
      </c>
      <c r="K9" s="58">
        <f>+'Tier 3 Data'!L14</f>
        <v>0</v>
      </c>
      <c r="L9" s="58">
        <f>+'Tier 3 Data'!M14</f>
        <v>0</v>
      </c>
      <c r="M9" s="58">
        <f>+'Tier 3 Data'!N14</f>
        <v>0</v>
      </c>
      <c r="N9" s="58">
        <f>+'Tier 3 Data'!O14</f>
        <v>0</v>
      </c>
      <c r="O9" s="68">
        <f>+A9-'Tier 2 Data - MOU I.6'!A9</f>
        <v>0.52800000000000002</v>
      </c>
      <c r="P9" s="89">
        <f t="shared" si="0"/>
        <v>2019</v>
      </c>
      <c r="Q9" s="102">
        <f t="shared" si="15"/>
        <v>0</v>
      </c>
      <c r="R9" s="102">
        <f t="shared" si="16"/>
        <v>0</v>
      </c>
      <c r="S9" s="102">
        <f t="shared" si="17"/>
        <v>0</v>
      </c>
      <c r="T9" s="102">
        <f t="shared" si="18"/>
        <v>0</v>
      </c>
      <c r="U9" s="102">
        <f t="shared" si="19"/>
        <v>0</v>
      </c>
      <c r="V9" s="102">
        <f t="shared" si="20"/>
        <v>0</v>
      </c>
      <c r="W9" s="102">
        <f>+'Tier 1 Data - MOU 1.5'!X9</f>
        <v>20000</v>
      </c>
      <c r="X9" s="102">
        <f>+'Tier 1 Data - MOU 1.5'!Y9</f>
        <v>0</v>
      </c>
      <c r="Y9" s="102">
        <f>+'Tier 1 Data - MOU 1.5'!Z9</f>
        <v>0</v>
      </c>
      <c r="Z9" s="102">
        <f>+'Tier 1 Data - MOU 1.5'!AA9</f>
        <v>0</v>
      </c>
      <c r="AA9" s="102">
        <f>+'Annual Energy Data'!AD19</f>
        <v>0</v>
      </c>
      <c r="AB9" s="102">
        <f>+SUM('Annual Energy Data'!AE19:AH19)</f>
        <v>99280</v>
      </c>
      <c r="AC9" s="102">
        <f>+'Annual Energy Data'!BD19</f>
        <v>23360</v>
      </c>
      <c r="AD9" s="102">
        <f>+'Annual Energy Data'!AI19+'Annual Energy Data'!AJ19</f>
        <v>41031.343000000001</v>
      </c>
      <c r="AE9" s="102">
        <f>+'Annual Energy Data'!AM19*0.5</f>
        <v>6810.5218755599999</v>
      </c>
      <c r="AF9" s="102">
        <f>+'Annual Energy Data'!AO19</f>
        <v>21852.818120600001</v>
      </c>
      <c r="AG9" s="102"/>
      <c r="AH9" s="102"/>
      <c r="AI9" s="102"/>
      <c r="AJ9" s="102">
        <f>+'Annual Energy Data'!AP19</f>
        <v>21870.601500000001</v>
      </c>
      <c r="AK9" s="102">
        <f>+SUM('Annual Energy Data'!AQ19+'Annual Energy Data'!AR19+'Annual Energy Data'!AS19+'Annual Energy Data'!AU19+'Annual Energy Data'!AV19)</f>
        <v>0</v>
      </c>
      <c r="AL9" s="102">
        <f t="shared" si="6"/>
        <v>234205.28449615999</v>
      </c>
      <c r="AM9" s="65">
        <f t="shared" si="1"/>
        <v>21853</v>
      </c>
      <c r="AN9" s="65">
        <f t="shared" si="2"/>
        <v>21871</v>
      </c>
      <c r="AO9" s="65">
        <f t="shared" si="3"/>
        <v>6811</v>
      </c>
      <c r="AP9" s="65">
        <f t="shared" si="4"/>
        <v>0</v>
      </c>
      <c r="AT9" s="58">
        <f t="shared" si="7"/>
        <v>50535</v>
      </c>
      <c r="AU9" s="58">
        <f t="shared" si="8"/>
        <v>183670.28449615999</v>
      </c>
      <c r="AV9" s="73">
        <f t="shared" si="9"/>
        <v>-183670.28449615999</v>
      </c>
      <c r="AW9" s="73">
        <f t="shared" si="10"/>
        <v>-183670.28449615999</v>
      </c>
      <c r="AX9" s="73">
        <f t="shared" si="11"/>
        <v>-183670.28449615999</v>
      </c>
      <c r="AY9" s="73">
        <f t="shared" si="12"/>
        <v>-183670.28449615999</v>
      </c>
      <c r="AZ9" s="73">
        <f t="shared" si="13"/>
        <v>-183670.28449615999</v>
      </c>
      <c r="BA9" s="73">
        <f t="shared" si="14"/>
        <v>-183670.28449615999</v>
      </c>
      <c r="BB9" s="73">
        <f>+AL9-U9</f>
        <v>234205.28449615999</v>
      </c>
      <c r="BC9" s="68" t="e">
        <f t="shared" si="21"/>
        <v>#DIV/0!</v>
      </c>
      <c r="BE9" s="186">
        <v>0.1</v>
      </c>
      <c r="BF9" s="186">
        <v>1</v>
      </c>
      <c r="BG9" s="172">
        <f>+BE9*$AT9</f>
        <v>5053.5</v>
      </c>
      <c r="BH9" s="172">
        <f>+BF9*$AT9</f>
        <v>50535</v>
      </c>
    </row>
    <row r="10" spans="1:60" x14ac:dyDescent="0.2">
      <c r="A10" s="74">
        <f>+A7+0.04</f>
        <v>0.59000000000000008</v>
      </c>
      <c r="B10">
        <f>+'Annual Energy Data'!A20</f>
        <v>2020</v>
      </c>
      <c r="C10" s="58">
        <f>+'Annual Energy Data'!I20</f>
        <v>0</v>
      </c>
      <c r="D10" s="58">
        <f>+'Annual Energy Data'!M20</f>
        <v>0</v>
      </c>
      <c r="E10" s="58">
        <f>+'Annual Energy Data'!Q20</f>
        <v>0</v>
      </c>
      <c r="F10" s="58">
        <f>+'Annual Energy Data'!U20</f>
        <v>0</v>
      </c>
      <c r="G10" s="58">
        <f>+'Annual Energy Data'!V20</f>
        <v>0</v>
      </c>
      <c r="H10" s="58">
        <f>+'Annual Energy Data'!W20</f>
        <v>0</v>
      </c>
      <c r="I10" s="58">
        <f>+'Tier 3 Data'!J15</f>
        <v>0</v>
      </c>
      <c r="J10" s="58">
        <f>+'Tier 3 Data'!K15</f>
        <v>0</v>
      </c>
      <c r="K10" s="58">
        <f>+'Tier 3 Data'!L15</f>
        <v>0</v>
      </c>
      <c r="L10" s="58">
        <f>+'Tier 3 Data'!M15</f>
        <v>0</v>
      </c>
      <c r="M10" s="58">
        <f>+'Tier 3 Data'!N15</f>
        <v>0</v>
      </c>
      <c r="N10" s="58">
        <f>+'Tier 3 Data'!O15</f>
        <v>0</v>
      </c>
      <c r="O10" s="68">
        <f>+A10-'Tier 2 Data - MOU I.6'!A10</f>
        <v>0.56200000000000006</v>
      </c>
      <c r="P10" s="89">
        <f t="shared" si="0"/>
        <v>2020</v>
      </c>
      <c r="Q10" s="102">
        <f t="shared" si="15"/>
        <v>0</v>
      </c>
      <c r="R10" s="102">
        <f t="shared" si="16"/>
        <v>0</v>
      </c>
      <c r="S10" s="102">
        <f t="shared" si="17"/>
        <v>0</v>
      </c>
      <c r="T10" s="102">
        <f t="shared" si="18"/>
        <v>0</v>
      </c>
      <c r="U10" s="102">
        <f t="shared" si="19"/>
        <v>0</v>
      </c>
      <c r="V10" s="102">
        <f t="shared" si="20"/>
        <v>0</v>
      </c>
      <c r="W10" s="102">
        <f>+'Tier 1 Data - MOU 1.5'!X10</f>
        <v>0</v>
      </c>
      <c r="X10" s="102">
        <f>+'Tier 1 Data - MOU 1.5'!Y10</f>
        <v>0</v>
      </c>
      <c r="Y10" s="102">
        <f>+'Tier 1 Data - MOU 1.5'!Z10</f>
        <v>0</v>
      </c>
      <c r="Z10" s="102">
        <f>+'Tier 1 Data - MOU 1.5'!AA10</f>
        <v>0</v>
      </c>
      <c r="AA10" s="102">
        <f>+'Annual Energy Data'!AD20</f>
        <v>0</v>
      </c>
      <c r="AB10" s="102">
        <f>+SUM('Annual Energy Data'!AE20:AH20)</f>
        <v>102480</v>
      </c>
      <c r="AC10" s="102">
        <f>+'Annual Energy Data'!BD20</f>
        <v>23424</v>
      </c>
      <c r="AD10" s="102">
        <f>+'Annual Energy Data'!AI20+'Annual Energy Data'!AJ20</f>
        <v>41031.343000000001</v>
      </c>
      <c r="AE10" s="102">
        <f>+'Annual Energy Data'!AM20*0.5</f>
        <v>6810.5218755599999</v>
      </c>
      <c r="AF10" s="102">
        <f>+'Annual Energy Data'!AO20</f>
        <v>21852.818120600001</v>
      </c>
      <c r="AG10" s="102"/>
      <c r="AH10" s="102"/>
      <c r="AI10" s="102"/>
      <c r="AJ10" s="102">
        <f>+'Annual Energy Data'!AP20</f>
        <v>21870.601500000001</v>
      </c>
      <c r="AK10" s="102">
        <f>+SUM('Annual Energy Data'!AQ20+'Annual Energy Data'!AR20+'Annual Energy Data'!AS20+'Annual Energy Data'!AU20+'Annual Energy Data'!AV20)</f>
        <v>0</v>
      </c>
      <c r="AL10" s="102">
        <f t="shared" si="6"/>
        <v>217469.28449615999</v>
      </c>
      <c r="AM10" s="65">
        <f t="shared" si="1"/>
        <v>21853</v>
      </c>
      <c r="AN10" s="65">
        <f t="shared" si="2"/>
        <v>21871</v>
      </c>
      <c r="AO10" s="65">
        <f t="shared" si="3"/>
        <v>6811</v>
      </c>
      <c r="AP10" s="65">
        <f t="shared" si="4"/>
        <v>0</v>
      </c>
      <c r="AT10" s="58">
        <f t="shared" si="7"/>
        <v>50535</v>
      </c>
      <c r="AU10" s="58">
        <f t="shared" si="8"/>
        <v>166934.28449615999</v>
      </c>
      <c r="AV10" s="73">
        <f t="shared" si="9"/>
        <v>-166934.28449615999</v>
      </c>
      <c r="AW10" s="73">
        <f t="shared" si="10"/>
        <v>-166934.28449615999</v>
      </c>
      <c r="AX10" s="73">
        <f t="shared" si="11"/>
        <v>-166934.28449615999</v>
      </c>
      <c r="AY10" s="73">
        <f t="shared" si="12"/>
        <v>-166934.28449615999</v>
      </c>
      <c r="AZ10" s="73">
        <f t="shared" si="13"/>
        <v>-166934.28449615999</v>
      </c>
      <c r="BA10" s="73">
        <f t="shared" si="14"/>
        <v>-166934.28449615999</v>
      </c>
      <c r="BB10" s="73">
        <f>+AL10-U10</f>
        <v>217469.28449615999</v>
      </c>
      <c r="BC10" s="68" t="e">
        <f t="shared" si="21"/>
        <v>#DIV/0!</v>
      </c>
      <c r="BE10" s="184">
        <f>+BE9*1.02</f>
        <v>0.10200000000000001</v>
      </c>
      <c r="BF10" s="184">
        <f>+BF9*1.02</f>
        <v>1.02</v>
      </c>
      <c r="BG10" s="172">
        <f t="shared" ref="BG10:BH28" si="22">+BE10*$AT10</f>
        <v>5154.5700000000006</v>
      </c>
      <c r="BH10" s="172">
        <f t="shared" si="22"/>
        <v>51545.700000000004</v>
      </c>
    </row>
    <row r="11" spans="1:60" x14ac:dyDescent="0.2">
      <c r="A11" s="68">
        <f>+A10</f>
        <v>0.59000000000000008</v>
      </c>
      <c r="B11">
        <f>+'Annual Energy Data'!A21</f>
        <v>2021</v>
      </c>
      <c r="C11" s="58">
        <f>+'Annual Energy Data'!I21</f>
        <v>0</v>
      </c>
      <c r="D11" s="58">
        <f>+'Annual Energy Data'!M21</f>
        <v>0</v>
      </c>
      <c r="E11" s="58">
        <f>+'Annual Energy Data'!Q21</f>
        <v>0</v>
      </c>
      <c r="F11" s="58">
        <f>+'Annual Energy Data'!U21</f>
        <v>0</v>
      </c>
      <c r="G11" s="58">
        <f>+'Annual Energy Data'!V21</f>
        <v>0</v>
      </c>
      <c r="H11" s="58">
        <f>+'Annual Energy Data'!W21</f>
        <v>0</v>
      </c>
      <c r="I11" s="58">
        <f>+'Tier 3 Data'!J16</f>
        <v>0</v>
      </c>
      <c r="J11" s="58">
        <f>+'Tier 3 Data'!K16</f>
        <v>0</v>
      </c>
      <c r="K11" s="58">
        <f>+'Tier 3 Data'!L16</f>
        <v>0</v>
      </c>
      <c r="L11" s="58">
        <f>+'Tier 3 Data'!M16</f>
        <v>0</v>
      </c>
      <c r="M11" s="58">
        <f>+'Tier 3 Data'!N16</f>
        <v>0</v>
      </c>
      <c r="N11" s="58">
        <f>+'Tier 3 Data'!O16</f>
        <v>0</v>
      </c>
      <c r="O11" s="68">
        <f>+A11-'Tier 2 Data - MOU I.6'!A11</f>
        <v>0.55600000000000005</v>
      </c>
      <c r="P11" s="89">
        <f t="shared" si="0"/>
        <v>2021</v>
      </c>
      <c r="Q11" s="102">
        <f t="shared" si="15"/>
        <v>0</v>
      </c>
      <c r="R11" s="102">
        <f t="shared" si="16"/>
        <v>0</v>
      </c>
      <c r="S11" s="102">
        <f t="shared" si="17"/>
        <v>0</v>
      </c>
      <c r="T11" s="102">
        <f t="shared" si="18"/>
        <v>0</v>
      </c>
      <c r="U11" s="102">
        <f t="shared" si="19"/>
        <v>0</v>
      </c>
      <c r="V11" s="102">
        <f t="shared" si="20"/>
        <v>0</v>
      </c>
      <c r="W11" s="102">
        <f>+'Tier 1 Data - MOU 1.5'!X11</f>
        <v>0</v>
      </c>
      <c r="X11" s="102">
        <f>+'Tier 1 Data - MOU 1.5'!Y11</f>
        <v>0</v>
      </c>
      <c r="Y11" s="102">
        <f>+'Tier 1 Data - MOU 1.5'!Z11</f>
        <v>0</v>
      </c>
      <c r="Z11" s="102">
        <f>+'Tier 1 Data - MOU 1.5'!AA11</f>
        <v>0</v>
      </c>
      <c r="AA11" s="102">
        <f>+'Annual Energy Data'!AD21</f>
        <v>0</v>
      </c>
      <c r="AB11" s="102">
        <f>+SUM('Annual Energy Data'!AE21:AH21)</f>
        <v>116800</v>
      </c>
      <c r="AC11" s="102">
        <f>+'Annual Energy Data'!BD21</f>
        <v>23360</v>
      </c>
      <c r="AD11" s="102">
        <f>+'Annual Energy Data'!AI21+'Annual Energy Data'!AJ21</f>
        <v>41031.343000000001</v>
      </c>
      <c r="AE11" s="102">
        <f>0.5*SUM('Monthly Energy Data'!AY164:AY172)+0.9*SUM('Monthly Energy Data'!AY173:AY175)</f>
        <v>8274.3867298799996</v>
      </c>
      <c r="AF11" s="102">
        <f>+'Annual Energy Data'!AO21</f>
        <v>21852.818120600001</v>
      </c>
      <c r="AG11" s="102"/>
      <c r="AH11" s="102"/>
      <c r="AI11" s="102"/>
      <c r="AJ11" s="102">
        <f>+'Annual Energy Data'!AP21</f>
        <v>17159.5815</v>
      </c>
      <c r="AK11" s="102">
        <f>+SUM('Annual Energy Data'!AQ21+'Annual Energy Data'!AR21+'Annual Energy Data'!AS21+'Annual Energy Data'!AU21+'Annual Energy Data'!AV21)</f>
        <v>0</v>
      </c>
      <c r="AL11" s="102">
        <f t="shared" si="6"/>
        <v>228478.12935048001</v>
      </c>
      <c r="AM11" s="65">
        <f t="shared" si="1"/>
        <v>21853</v>
      </c>
      <c r="AN11" s="65">
        <f t="shared" si="2"/>
        <v>17160</v>
      </c>
      <c r="AO11" s="65">
        <f t="shared" si="3"/>
        <v>8274</v>
      </c>
      <c r="AP11" s="65">
        <f t="shared" si="4"/>
        <v>0</v>
      </c>
      <c r="AT11" s="58">
        <f t="shared" si="7"/>
        <v>47287</v>
      </c>
      <c r="AU11" s="58">
        <f t="shared" si="8"/>
        <v>181191.12935048001</v>
      </c>
      <c r="AV11" s="73">
        <f t="shared" si="9"/>
        <v>-181191.12935048001</v>
      </c>
      <c r="AW11" s="73">
        <f t="shared" si="10"/>
        <v>-181191.12935048001</v>
      </c>
      <c r="AX11" s="73">
        <f t="shared" si="11"/>
        <v>-181191.12935048001</v>
      </c>
      <c r="AY11" s="73">
        <f t="shared" si="12"/>
        <v>-181191.12935048001</v>
      </c>
      <c r="AZ11" s="73">
        <f t="shared" si="13"/>
        <v>-181191.12935048001</v>
      </c>
      <c r="BA11" s="73">
        <f t="shared" si="14"/>
        <v>-181191.12935048001</v>
      </c>
      <c r="BB11" s="73">
        <f>+AL11-U11</f>
        <v>228478.12935048001</v>
      </c>
      <c r="BC11" s="68" t="e">
        <f t="shared" si="21"/>
        <v>#DIV/0!</v>
      </c>
      <c r="BE11" s="184">
        <f t="shared" ref="BE11:BE43" si="23">+BE10*1.02</f>
        <v>0.10404000000000001</v>
      </c>
      <c r="BF11" s="184">
        <f t="shared" ref="BF11:BF43" si="24">+BF10*1.02</f>
        <v>1.0404</v>
      </c>
      <c r="BG11" s="172">
        <f t="shared" si="22"/>
        <v>4919.7394800000002</v>
      </c>
      <c r="BH11" s="172">
        <f t="shared" si="22"/>
        <v>49197.394800000002</v>
      </c>
    </row>
    <row r="12" spans="1:60" x14ac:dyDescent="0.2">
      <c r="A12" s="68">
        <f>+A11</f>
        <v>0.59000000000000008</v>
      </c>
      <c r="B12">
        <f>+'Annual Energy Data'!A22</f>
        <v>2022</v>
      </c>
      <c r="C12" s="58">
        <f>+'Annual Energy Data'!I22</f>
        <v>0</v>
      </c>
      <c r="D12" s="58">
        <f>+'Annual Energy Data'!M22</f>
        <v>0</v>
      </c>
      <c r="E12" s="58">
        <f>+'Annual Energy Data'!Q22</f>
        <v>0</v>
      </c>
      <c r="F12" s="58">
        <f>+'Annual Energy Data'!U22</f>
        <v>0</v>
      </c>
      <c r="G12" s="58">
        <f>+'Annual Energy Data'!V22</f>
        <v>0</v>
      </c>
      <c r="H12" s="58">
        <f>+'Annual Energy Data'!W22</f>
        <v>0</v>
      </c>
      <c r="I12" s="58">
        <f>+'Tier 3 Data'!J17</f>
        <v>0</v>
      </c>
      <c r="J12" s="58">
        <f>+'Tier 3 Data'!K17</f>
        <v>0</v>
      </c>
      <c r="K12" s="58">
        <f>+'Tier 3 Data'!L17</f>
        <v>0</v>
      </c>
      <c r="L12" s="58">
        <f>+'Tier 3 Data'!M17</f>
        <v>0</v>
      </c>
      <c r="M12" s="58">
        <f>+'Tier 3 Data'!N17</f>
        <v>0</v>
      </c>
      <c r="N12" s="58">
        <f>+'Tier 3 Data'!O17</f>
        <v>0</v>
      </c>
      <c r="O12" s="68">
        <f>+A12-'Tier 2 Data - MOU I.6'!A12</f>
        <v>0.55000000000000004</v>
      </c>
      <c r="P12" s="89">
        <f t="shared" si="0"/>
        <v>2022</v>
      </c>
      <c r="Q12" s="102">
        <f t="shared" si="15"/>
        <v>0</v>
      </c>
      <c r="R12" s="102">
        <f t="shared" si="16"/>
        <v>0</v>
      </c>
      <c r="S12" s="102">
        <f t="shared" si="17"/>
        <v>0</v>
      </c>
      <c r="T12" s="102">
        <f t="shared" si="18"/>
        <v>0</v>
      </c>
      <c r="U12" s="102">
        <f t="shared" si="19"/>
        <v>0</v>
      </c>
      <c r="V12" s="102">
        <f t="shared" si="20"/>
        <v>0</v>
      </c>
      <c r="W12" s="102">
        <f>+'Tier 1 Data - MOU 1.5'!X12</f>
        <v>0</v>
      </c>
      <c r="X12" s="102">
        <f>+'Tier 1 Data - MOU 1.5'!Y12</f>
        <v>0</v>
      </c>
      <c r="Y12" s="102">
        <f>+'Tier 1 Data - MOU 1.5'!Z12</f>
        <v>0</v>
      </c>
      <c r="Z12" s="102">
        <f>+'Tier 1 Data - MOU 1.5'!AA12</f>
        <v>0</v>
      </c>
      <c r="AA12" s="102">
        <f>+'Annual Energy Data'!AD22</f>
        <v>39408</v>
      </c>
      <c r="AB12" s="102">
        <f>+SUM('Annual Energy Data'!AE22:AH22)</f>
        <v>116800</v>
      </c>
      <c r="AC12" s="102">
        <f>+'Annual Energy Data'!BD22</f>
        <v>23360</v>
      </c>
      <c r="AD12" s="102">
        <f>+'Annual Energy Data'!AI22+'Annual Energy Data'!AJ22</f>
        <v>45987.603000000003</v>
      </c>
      <c r="AE12" s="102">
        <f>+'Annual Energy Data'!AM22*0.9</f>
        <v>12263.491178667429</v>
      </c>
      <c r="AF12" s="102">
        <f>+'Annual Energy Data'!AO22</f>
        <v>21326.281999999999</v>
      </c>
      <c r="AG12" s="102"/>
      <c r="AH12" s="102"/>
      <c r="AI12" s="102"/>
      <c r="AJ12" s="102">
        <f>+'Annual Energy Data'!AP22</f>
        <v>0</v>
      </c>
      <c r="AK12" s="262">
        <v>0</v>
      </c>
      <c r="AL12" s="102">
        <f t="shared" si="6"/>
        <v>259145.37617866744</v>
      </c>
      <c r="AM12" s="65">
        <f t="shared" si="1"/>
        <v>21326</v>
      </c>
      <c r="AN12" s="65">
        <f t="shared" si="2"/>
        <v>0</v>
      </c>
      <c r="AO12" s="65">
        <f t="shared" si="3"/>
        <v>12263</v>
      </c>
      <c r="AP12" s="65">
        <f t="shared" si="4"/>
        <v>0</v>
      </c>
      <c r="AT12" s="58">
        <f t="shared" si="7"/>
        <v>33589</v>
      </c>
      <c r="AU12" s="58">
        <f t="shared" si="8"/>
        <v>225556.37617866744</v>
      </c>
      <c r="AV12" s="73">
        <f t="shared" si="9"/>
        <v>-225556.37617866744</v>
      </c>
      <c r="AW12" s="73">
        <f t="shared" si="10"/>
        <v>-225556.37617866744</v>
      </c>
      <c r="AX12" s="73">
        <f t="shared" si="11"/>
        <v>-225556.37617866744</v>
      </c>
      <c r="AY12" s="73">
        <f t="shared" si="12"/>
        <v>-225556.37617866744</v>
      </c>
      <c r="AZ12" s="73">
        <f t="shared" si="13"/>
        <v>-225556.37617866744</v>
      </c>
      <c r="BA12" s="73">
        <f t="shared" si="14"/>
        <v>-225556.37617866744</v>
      </c>
      <c r="BB12" s="73">
        <f>+AL12-U12</f>
        <v>259145.37617866744</v>
      </c>
      <c r="BC12" s="68" t="e">
        <f t="shared" si="21"/>
        <v>#DIV/0!</v>
      </c>
      <c r="BE12" s="184">
        <f t="shared" si="23"/>
        <v>0.10612080000000002</v>
      </c>
      <c r="BF12" s="184">
        <f t="shared" si="24"/>
        <v>1.0612079999999999</v>
      </c>
      <c r="BG12" s="172">
        <f t="shared" si="22"/>
        <v>3564.4915512000007</v>
      </c>
      <c r="BH12" s="172">
        <f t="shared" si="22"/>
        <v>35644.915512</v>
      </c>
    </row>
    <row r="13" spans="1:60" x14ac:dyDescent="0.2">
      <c r="A13" s="74">
        <f>+A10+0.04</f>
        <v>0.63000000000000012</v>
      </c>
      <c r="B13">
        <f>+'Annual Energy Data'!A23</f>
        <v>2023</v>
      </c>
      <c r="C13" s="58">
        <f>+'Annual Energy Data'!I23</f>
        <v>0</v>
      </c>
      <c r="D13" s="58">
        <f>+'Annual Energy Data'!M23</f>
        <v>0</v>
      </c>
      <c r="E13" s="58">
        <f>+'Annual Energy Data'!Q23</f>
        <v>0</v>
      </c>
      <c r="F13" s="58">
        <f>+'Annual Energy Data'!U23</f>
        <v>0</v>
      </c>
      <c r="G13" s="58">
        <f>+'Annual Energy Data'!V23</f>
        <v>0</v>
      </c>
      <c r="H13" s="58">
        <f>+'Annual Energy Data'!W23</f>
        <v>0</v>
      </c>
      <c r="I13" s="58">
        <f>+'Tier 3 Data'!J18</f>
        <v>0</v>
      </c>
      <c r="J13" s="58">
        <f>+'Tier 3 Data'!K18</f>
        <v>0</v>
      </c>
      <c r="K13" s="58">
        <f>+'Tier 3 Data'!L18</f>
        <v>0</v>
      </c>
      <c r="L13" s="58">
        <f>+'Tier 3 Data'!M18</f>
        <v>0</v>
      </c>
      <c r="M13" s="58">
        <f>+'Tier 3 Data'!N18</f>
        <v>0</v>
      </c>
      <c r="N13" s="58">
        <f>+'Tier 3 Data'!O18</f>
        <v>0</v>
      </c>
      <c r="O13" s="68">
        <f>+A13-'Tier 2 Data - MOU I.6'!A13</f>
        <v>0.58400000000000007</v>
      </c>
      <c r="P13" s="89">
        <f t="shared" si="0"/>
        <v>2023</v>
      </c>
      <c r="Q13" s="102">
        <f t="shared" si="15"/>
        <v>0</v>
      </c>
      <c r="R13" s="102">
        <f t="shared" si="16"/>
        <v>0</v>
      </c>
      <c r="S13" s="102">
        <f t="shared" si="17"/>
        <v>0</v>
      </c>
      <c r="T13" s="102">
        <f t="shared" si="18"/>
        <v>0</v>
      </c>
      <c r="U13" s="102">
        <f t="shared" si="19"/>
        <v>0</v>
      </c>
      <c r="V13" s="102">
        <f t="shared" si="20"/>
        <v>0</v>
      </c>
      <c r="W13" s="102">
        <f>+'Tier 1 Data - MOU 1.5'!X13</f>
        <v>0</v>
      </c>
      <c r="X13" s="102">
        <f>+'Tier 1 Data - MOU 1.5'!Y13</f>
        <v>0</v>
      </c>
      <c r="Y13" s="102">
        <f>+'Tier 1 Data - MOU 1.5'!Z13</f>
        <v>0</v>
      </c>
      <c r="Z13" s="102">
        <f>+'Tier 1 Data - MOU 1.5'!AA13</f>
        <v>0</v>
      </c>
      <c r="AA13" s="102">
        <f>+'Annual Energy Data'!AD23</f>
        <v>39408</v>
      </c>
      <c r="AB13" s="102">
        <f>+SUM('Annual Energy Data'!AE23:AH23)</f>
        <v>116800</v>
      </c>
      <c r="AC13" s="102">
        <f>+'Annual Energy Data'!BD23</f>
        <v>16512</v>
      </c>
      <c r="AD13" s="102">
        <f>+'Annual Energy Data'!AI23+'Annual Energy Data'!AJ23</f>
        <v>45987.603000000003</v>
      </c>
      <c r="AE13" s="102">
        <f>+'Annual Energy Data'!AM23*0.9</f>
        <v>12263.491178667429</v>
      </c>
      <c r="AF13" s="102">
        <f>+'Annual Energy Data'!AO23</f>
        <v>21326.281999999999</v>
      </c>
      <c r="AG13" s="102"/>
      <c r="AH13" s="102">
        <f>+'Annual Energy Data'!BS23</f>
        <v>39560</v>
      </c>
      <c r="AI13" s="102">
        <f>+'Annual Energy Data'!BT23</f>
        <v>0</v>
      </c>
      <c r="AJ13" s="102">
        <f>+'Annual Energy Data'!AP23</f>
        <v>7822.4674999999988</v>
      </c>
      <c r="AK13" s="262">
        <v>0</v>
      </c>
      <c r="AL13" s="102">
        <f t="shared" si="6"/>
        <v>299679.84367866744</v>
      </c>
      <c r="AM13" s="65">
        <f t="shared" si="1"/>
        <v>21326</v>
      </c>
      <c r="AN13" s="65">
        <f t="shared" si="2"/>
        <v>7822</v>
      </c>
      <c r="AO13" s="65">
        <f t="shared" si="3"/>
        <v>12263</v>
      </c>
      <c r="AP13" s="65">
        <f t="shared" si="4"/>
        <v>0</v>
      </c>
      <c r="AT13" s="58">
        <f t="shared" si="7"/>
        <v>41411</v>
      </c>
      <c r="AU13" s="58">
        <f t="shared" si="8"/>
        <v>258268.84367866744</v>
      </c>
      <c r="AV13" s="73">
        <f t="shared" si="9"/>
        <v>-258268.84367866744</v>
      </c>
      <c r="AW13" s="73">
        <f t="shared" si="10"/>
        <v>-258268.84367866744</v>
      </c>
      <c r="AX13" s="73">
        <f t="shared" si="11"/>
        <v>-258268.84367866744</v>
      </c>
      <c r="AY13" s="73">
        <f t="shared" si="12"/>
        <v>-258268.84367866744</v>
      </c>
      <c r="AZ13" s="73">
        <f t="shared" si="13"/>
        <v>-258268.84367866744</v>
      </c>
      <c r="BA13" s="73">
        <f t="shared" si="14"/>
        <v>-258268.84367866744</v>
      </c>
      <c r="BC13" s="68" t="e">
        <f t="shared" si="21"/>
        <v>#DIV/0!</v>
      </c>
      <c r="BE13" s="184">
        <f t="shared" si="23"/>
        <v>0.10824321600000002</v>
      </c>
      <c r="BF13" s="184">
        <f t="shared" si="24"/>
        <v>1.08243216</v>
      </c>
      <c r="BG13" s="172">
        <f t="shared" si="22"/>
        <v>4482.4598177760008</v>
      </c>
      <c r="BH13" s="172">
        <f t="shared" si="22"/>
        <v>44824.598177759995</v>
      </c>
    </row>
    <row r="14" spans="1:60" x14ac:dyDescent="0.2">
      <c r="A14" s="68">
        <f>+A13</f>
        <v>0.63000000000000012</v>
      </c>
      <c r="B14">
        <f>+'Annual Energy Data'!A24</f>
        <v>2024</v>
      </c>
      <c r="C14" s="58">
        <f>+'Annual Energy Data'!I24</f>
        <v>0</v>
      </c>
      <c r="D14" s="58">
        <f>+'Annual Energy Data'!M24</f>
        <v>0</v>
      </c>
      <c r="E14" s="58">
        <f>+'Annual Energy Data'!Q24</f>
        <v>0</v>
      </c>
      <c r="F14" s="58">
        <f>+'Annual Energy Data'!U24</f>
        <v>0</v>
      </c>
      <c r="G14" s="58">
        <f>+'Annual Energy Data'!V24</f>
        <v>0</v>
      </c>
      <c r="H14" s="58">
        <f>+'Annual Energy Data'!W24</f>
        <v>0</v>
      </c>
      <c r="I14" s="58">
        <f>+'Tier 3 Data'!J19</f>
        <v>0</v>
      </c>
      <c r="J14" s="58">
        <f>+'Tier 3 Data'!K19</f>
        <v>0</v>
      </c>
      <c r="K14" s="58">
        <f>+'Tier 3 Data'!L19</f>
        <v>0</v>
      </c>
      <c r="L14" s="58">
        <f>+'Tier 3 Data'!M19</f>
        <v>0</v>
      </c>
      <c r="M14" s="58">
        <f>+'Tier 3 Data'!N19</f>
        <v>0</v>
      </c>
      <c r="N14" s="58">
        <f>+'Tier 3 Data'!O19</f>
        <v>0</v>
      </c>
      <c r="O14" s="68">
        <f>+A14-'Tier 2 Data - MOU I.6'!A14</f>
        <v>0.57800000000000007</v>
      </c>
      <c r="P14" s="89">
        <f t="shared" si="0"/>
        <v>2024</v>
      </c>
      <c r="Q14" s="102">
        <f t="shared" si="15"/>
        <v>0</v>
      </c>
      <c r="R14" s="102">
        <f t="shared" si="16"/>
        <v>0</v>
      </c>
      <c r="S14" s="102">
        <f t="shared" si="17"/>
        <v>0</v>
      </c>
      <c r="T14" s="102">
        <f t="shared" si="18"/>
        <v>0</v>
      </c>
      <c r="U14" s="102">
        <f t="shared" si="19"/>
        <v>0</v>
      </c>
      <c r="V14" s="102">
        <f t="shared" si="20"/>
        <v>0</v>
      </c>
      <c r="W14" s="102">
        <f>+'Tier 1 Data - MOU 1.5'!X14</f>
        <v>0</v>
      </c>
      <c r="X14" s="102">
        <f>+'Tier 1 Data - MOU 1.5'!Y14</f>
        <v>0</v>
      </c>
      <c r="Y14" s="102">
        <f>+'Tier 1 Data - MOU 1.5'!Z14</f>
        <v>0</v>
      </c>
      <c r="Z14" s="102">
        <f>+'Tier 1 Data - MOU 1.5'!AA14</f>
        <v>0</v>
      </c>
      <c r="AA14" s="102">
        <f>+'Annual Energy Data'!AD24</f>
        <v>0</v>
      </c>
      <c r="AB14" s="102">
        <f>+SUM('Annual Energy Data'!AE24:AH24)</f>
        <v>117120</v>
      </c>
      <c r="AC14" s="102">
        <f>+'Annual Energy Data'!BD24</f>
        <v>11712</v>
      </c>
      <c r="AD14" s="102">
        <f>+'Annual Energy Data'!AI24+'Annual Energy Data'!AJ24</f>
        <v>45987.603000000003</v>
      </c>
      <c r="AE14" s="102">
        <f>+'Annual Energy Data'!AM24*0.9</f>
        <v>12263.491178667429</v>
      </c>
      <c r="AF14" s="102">
        <f>+'Annual Energy Data'!AO24</f>
        <v>21326.281999999999</v>
      </c>
      <c r="AG14" s="102"/>
      <c r="AH14" s="102">
        <f>+'Annual Energy Data'!BS24</f>
        <v>39560</v>
      </c>
      <c r="AI14" s="102">
        <f>+'Annual Energy Data'!BT24</f>
        <v>0</v>
      </c>
      <c r="AJ14" s="102">
        <f>+'Annual Energy Data'!AP24</f>
        <v>7822.4674999999988</v>
      </c>
      <c r="AK14" s="262">
        <v>0</v>
      </c>
      <c r="AL14" s="102">
        <f t="shared" si="6"/>
        <v>255791.84367866744</v>
      </c>
      <c r="AM14" s="65">
        <f t="shared" si="1"/>
        <v>21326</v>
      </c>
      <c r="AN14" s="65">
        <f t="shared" si="2"/>
        <v>7822</v>
      </c>
      <c r="AO14" s="65">
        <f t="shared" si="3"/>
        <v>12263</v>
      </c>
      <c r="AP14" s="65">
        <f t="shared" si="4"/>
        <v>0</v>
      </c>
      <c r="AT14" s="58">
        <f t="shared" si="7"/>
        <v>41411</v>
      </c>
      <c r="AU14" s="58">
        <f t="shared" si="8"/>
        <v>214380.84367866744</v>
      </c>
      <c r="AV14" s="73">
        <f t="shared" si="9"/>
        <v>-214380.84367866744</v>
      </c>
      <c r="AW14" s="73">
        <f t="shared" si="10"/>
        <v>-214380.84367866744</v>
      </c>
      <c r="AX14" s="73">
        <f t="shared" si="11"/>
        <v>-214380.84367866744</v>
      </c>
      <c r="AY14" s="73">
        <f t="shared" si="12"/>
        <v>-214380.84367866744</v>
      </c>
      <c r="AZ14" s="73">
        <f t="shared" si="13"/>
        <v>-214380.84367866744</v>
      </c>
      <c r="BA14" s="73">
        <f t="shared" si="14"/>
        <v>-214380.84367866744</v>
      </c>
      <c r="BC14" s="68" t="e">
        <f t="shared" si="21"/>
        <v>#DIV/0!</v>
      </c>
      <c r="BE14" s="184">
        <f t="shared" si="23"/>
        <v>0.11040808032000002</v>
      </c>
      <c r="BF14" s="184">
        <f t="shared" si="24"/>
        <v>1.1040808032</v>
      </c>
      <c r="BG14" s="172">
        <f t="shared" si="22"/>
        <v>4572.1090141315208</v>
      </c>
      <c r="BH14" s="172">
        <f t="shared" si="22"/>
        <v>45721.090141315202</v>
      </c>
    </row>
    <row r="15" spans="1:60" x14ac:dyDescent="0.2">
      <c r="A15" s="68">
        <f>+A14</f>
        <v>0.63000000000000012</v>
      </c>
      <c r="B15">
        <f>+'Annual Energy Data'!A25</f>
        <v>2025</v>
      </c>
      <c r="C15" s="58">
        <f>+'Annual Energy Data'!I25</f>
        <v>490021.62668132654</v>
      </c>
      <c r="D15" s="58">
        <f>+'Annual Energy Data'!M25</f>
        <v>502408.97670733777</v>
      </c>
      <c r="E15" s="58">
        <f>+'Annual Energy Data'!Q25</f>
        <v>490021.62668132654</v>
      </c>
      <c r="F15" s="58">
        <f>+'Annual Energy Data'!U25</f>
        <v>516859.55797777255</v>
      </c>
      <c r="G15" s="58">
        <f>+'Annual Energy Data'!V25</f>
        <v>526009.68119384581</v>
      </c>
      <c r="H15" s="58">
        <f>+'Annual Energy Data'!W25</f>
        <v>505793.67081498448</v>
      </c>
      <c r="I15" s="58">
        <f>+'Tier 3 Data'!J20</f>
        <v>502408.97670733777</v>
      </c>
      <c r="J15" s="58">
        <f>+'Tier 3 Data'!K20</f>
        <v>502408.97670733777</v>
      </c>
      <c r="K15" s="58">
        <f>+'Tier 3 Data'!L20</f>
        <v>502408.97670733777</v>
      </c>
      <c r="L15" s="58">
        <f>+'Tier 3 Data'!M20</f>
        <v>516859.55797777255</v>
      </c>
      <c r="M15" s="58">
        <f>+'Tier 3 Data'!N20</f>
        <v>526009.68119384581</v>
      </c>
      <c r="N15" s="58">
        <f>+'Tier 3 Data'!O20</f>
        <v>505793.67081498448</v>
      </c>
      <c r="O15" s="68">
        <f>+A15-'Tier 2 Data - MOU I.6'!A15</f>
        <v>0.57200000000000006</v>
      </c>
      <c r="P15" s="89">
        <f t="shared" si="0"/>
        <v>2025</v>
      </c>
      <c r="Q15" s="102">
        <f t="shared" si="15"/>
        <v>287377.93467659724</v>
      </c>
      <c r="R15" s="102">
        <f t="shared" si="16"/>
        <v>287377.93467659724</v>
      </c>
      <c r="S15" s="102">
        <f t="shared" si="17"/>
        <v>287377.93467659724</v>
      </c>
      <c r="T15" s="102">
        <f t="shared" si="18"/>
        <v>295643.66716328595</v>
      </c>
      <c r="U15" s="102">
        <f t="shared" si="19"/>
        <v>300877.53764287982</v>
      </c>
      <c r="V15" s="102">
        <f t="shared" si="20"/>
        <v>289313.97970617114</v>
      </c>
      <c r="W15" s="102">
        <f>+'Tier 1 Data - MOU 1.5'!X15</f>
        <v>0</v>
      </c>
      <c r="X15" s="102">
        <f>+'Tier 1 Data - MOU 1.5'!Y15</f>
        <v>0</v>
      </c>
      <c r="Y15" s="102">
        <f>+'Tier 1 Data - MOU 1.5'!Z15</f>
        <v>0</v>
      </c>
      <c r="Z15" s="102">
        <f>+'Tier 1 Data - MOU 1.5'!AA15</f>
        <v>0</v>
      </c>
      <c r="AA15" s="102">
        <f>+'Annual Energy Data'!AD25</f>
        <v>0</v>
      </c>
      <c r="AB15" s="102">
        <f>+SUM('Annual Energy Data'!AE25:AH25)</f>
        <v>116800</v>
      </c>
      <c r="AC15" s="102">
        <f>+'Annual Energy Data'!BD25</f>
        <v>11680</v>
      </c>
      <c r="AD15" s="102">
        <f>+'Annual Energy Data'!AI25+'Annual Energy Data'!AJ25</f>
        <v>39082.345000000008</v>
      </c>
      <c r="AE15" s="102">
        <f>+'Annual Energy Data'!AM25*0.9</f>
        <v>12263.491178667429</v>
      </c>
      <c r="AF15" s="102">
        <f>+'Annual Energy Data'!AO25</f>
        <v>21326.281999999999</v>
      </c>
      <c r="AG15" s="102"/>
      <c r="AH15" s="102">
        <f>+'Annual Energy Data'!BS25</f>
        <v>39560</v>
      </c>
      <c r="AI15" s="102">
        <f>+'Annual Energy Data'!BT25</f>
        <v>0</v>
      </c>
      <c r="AJ15" s="102">
        <f>+'Annual Energy Data'!AP25</f>
        <v>7822.4674999999988</v>
      </c>
      <c r="AK15" s="262">
        <v>0</v>
      </c>
      <c r="AL15" s="102">
        <f t="shared" si="6"/>
        <v>248534.58567866744</v>
      </c>
      <c r="AM15" s="65">
        <f t="shared" si="1"/>
        <v>21326</v>
      </c>
      <c r="AN15" s="65">
        <f t="shared" si="2"/>
        <v>7822</v>
      </c>
      <c r="AO15" s="65">
        <f t="shared" si="3"/>
        <v>12263</v>
      </c>
      <c r="AP15" s="65">
        <f t="shared" si="4"/>
        <v>0</v>
      </c>
      <c r="AT15" s="58">
        <f t="shared" si="7"/>
        <v>41411</v>
      </c>
      <c r="AU15" s="58">
        <f t="shared" si="8"/>
        <v>207123.58567866744</v>
      </c>
      <c r="AV15" s="73">
        <f t="shared" si="9"/>
        <v>80254.348997929803</v>
      </c>
      <c r="AW15" s="73">
        <f t="shared" si="10"/>
        <v>80254.348997929803</v>
      </c>
      <c r="AX15" s="73">
        <f t="shared" si="11"/>
        <v>80254.348997929803</v>
      </c>
      <c r="AY15" s="73">
        <f t="shared" si="12"/>
        <v>88520.081484618509</v>
      </c>
      <c r="AZ15" s="73">
        <f t="shared" si="13"/>
        <v>93753.951964212378</v>
      </c>
      <c r="BA15" s="73">
        <f t="shared" si="14"/>
        <v>82190.394027503702</v>
      </c>
      <c r="BC15" s="68">
        <f t="shared" si="21"/>
        <v>0.8260323705974365</v>
      </c>
      <c r="BE15" s="184">
        <f t="shared" si="23"/>
        <v>0.11261624192640002</v>
      </c>
      <c r="BF15" s="184">
        <f t="shared" si="24"/>
        <v>1.1261624192640001</v>
      </c>
      <c r="BG15" s="172">
        <f t="shared" si="22"/>
        <v>4663.5511944141508</v>
      </c>
      <c r="BH15" s="172">
        <f t="shared" si="22"/>
        <v>46635.511944141508</v>
      </c>
    </row>
    <row r="16" spans="1:60" x14ac:dyDescent="0.2">
      <c r="A16" s="74">
        <f>+A15</f>
        <v>0.63000000000000012</v>
      </c>
      <c r="B16">
        <f>+'Annual Energy Data'!A26</f>
        <v>2026</v>
      </c>
      <c r="C16" s="58">
        <f>+'Annual Energy Data'!I26</f>
        <v>486369.34132538125</v>
      </c>
      <c r="D16" s="58">
        <f>+'Annual Energy Data'!M26</f>
        <v>498756.69135139242</v>
      </c>
      <c r="E16" s="58">
        <f>+'Annual Energy Data'!Q26</f>
        <v>486369.34132538125</v>
      </c>
      <c r="F16" s="58">
        <f>+'Annual Energy Data'!U26</f>
        <v>534404.08729551674</v>
      </c>
      <c r="G16" s="58">
        <f>+'Annual Energy Data'!V26</f>
        <v>551119.24048483884</v>
      </c>
      <c r="H16" s="58">
        <f>+'Annual Energy Data'!W26</f>
        <v>509047.36339775816</v>
      </c>
      <c r="I16" s="58">
        <f>+'Tier 3 Data'!J21</f>
        <v>498756.69135139242</v>
      </c>
      <c r="J16" s="58">
        <f>+'Tier 3 Data'!K21</f>
        <v>498756.69135139242</v>
      </c>
      <c r="K16" s="58">
        <f>+'Tier 3 Data'!L21</f>
        <v>498756.69135139242</v>
      </c>
      <c r="L16" s="58">
        <f>+'Tier 3 Data'!M21</f>
        <v>534404.08729551674</v>
      </c>
      <c r="M16" s="58">
        <f>+'Tier 3 Data'!N21</f>
        <v>551119.24048483884</v>
      </c>
      <c r="N16" s="58">
        <f>+'Tier 3 Data'!O21</f>
        <v>509047.36339775816</v>
      </c>
      <c r="O16" s="68">
        <f>+A16-'Tier 2 Data - MOU I.6'!A16</f>
        <v>0.55200000000000016</v>
      </c>
      <c r="P16" s="89">
        <f t="shared" si="0"/>
        <v>2026</v>
      </c>
      <c r="Q16" s="102">
        <f t="shared" si="15"/>
        <v>275313.69362596871</v>
      </c>
      <c r="R16" s="102">
        <f t="shared" si="16"/>
        <v>275313.69362596871</v>
      </c>
      <c r="S16" s="102">
        <f t="shared" si="17"/>
        <v>275313.69362596871</v>
      </c>
      <c r="T16" s="102">
        <f t="shared" si="18"/>
        <v>294991.05618712533</v>
      </c>
      <c r="U16" s="102">
        <f t="shared" si="19"/>
        <v>304217.82074763114</v>
      </c>
      <c r="V16" s="102">
        <f t="shared" si="20"/>
        <v>280994.1445955626</v>
      </c>
      <c r="W16" s="102">
        <f>+'Tier 1 Data - MOU 1.5'!X16</f>
        <v>0</v>
      </c>
      <c r="X16" s="102">
        <f>+'Tier 1 Data - MOU 1.5'!Y16</f>
        <v>0</v>
      </c>
      <c r="Y16" s="102">
        <f>+'Tier 1 Data - MOU 1.5'!Z16</f>
        <v>0</v>
      </c>
      <c r="Z16" s="102">
        <f>+'Tier 1 Data - MOU 1.5'!AA16</f>
        <v>0</v>
      </c>
      <c r="AA16" s="102">
        <f>+'Annual Energy Data'!AD26</f>
        <v>0</v>
      </c>
      <c r="AB16" s="102">
        <f>+SUM('Annual Energy Data'!AE26:AH26)</f>
        <v>116800</v>
      </c>
      <c r="AC16" s="102">
        <f>+'Annual Energy Data'!BD26</f>
        <v>11680</v>
      </c>
      <c r="AD16" s="102">
        <f>+'Annual Energy Data'!AI26+'Annual Energy Data'!AJ26</f>
        <v>39082.345000000008</v>
      </c>
      <c r="AE16" s="102">
        <f>+'Annual Energy Data'!AM26*0.9</f>
        <v>12263.491178667429</v>
      </c>
      <c r="AF16" s="102">
        <f>+'Annual Energy Data'!AO26</f>
        <v>21326.281999999999</v>
      </c>
      <c r="AG16" s="102">
        <f>+'Annual Energy Data'!BR26</f>
        <v>14251.333333333338</v>
      </c>
      <c r="AH16" s="102">
        <f>+'Annual Energy Data'!BS26</f>
        <v>39560</v>
      </c>
      <c r="AI16" s="102">
        <f>+'Annual Energy Data'!BT26</f>
        <v>64928</v>
      </c>
      <c r="AJ16" s="102">
        <f>+'Annual Energy Data'!AP26</f>
        <v>15644.934999999998</v>
      </c>
      <c r="AK16" s="262">
        <v>0</v>
      </c>
      <c r="AL16" s="102">
        <f t="shared" si="6"/>
        <v>335536.38651200075</v>
      </c>
      <c r="AM16" s="65">
        <f t="shared" si="1"/>
        <v>21326</v>
      </c>
      <c r="AN16" s="65">
        <f t="shared" si="2"/>
        <v>15645</v>
      </c>
      <c r="AO16" s="65">
        <f t="shared" si="3"/>
        <v>12263</v>
      </c>
      <c r="AP16" s="65">
        <f t="shared" si="4"/>
        <v>0</v>
      </c>
      <c r="AT16" s="58">
        <f t="shared" si="7"/>
        <v>49234</v>
      </c>
      <c r="AU16" s="58">
        <f t="shared" si="8"/>
        <v>286302.38651200075</v>
      </c>
      <c r="AV16" s="73">
        <f t="shared" si="9"/>
        <v>-10988.692886032048</v>
      </c>
      <c r="AW16" s="73">
        <f t="shared" si="10"/>
        <v>-10988.692886032048</v>
      </c>
      <c r="AX16" s="73">
        <f t="shared" si="11"/>
        <v>-10988.692886032048</v>
      </c>
      <c r="AY16" s="73">
        <f t="shared" si="12"/>
        <v>8688.6696751245763</v>
      </c>
      <c r="AZ16" s="73">
        <f t="shared" si="13"/>
        <v>17915.434235630382</v>
      </c>
      <c r="BA16" s="73">
        <f t="shared" si="14"/>
        <v>-5308.2419164381572</v>
      </c>
      <c r="BC16" s="68">
        <f t="shared" si="21"/>
        <v>1.1029478341781642</v>
      </c>
      <c r="BE16" s="184">
        <f t="shared" si="23"/>
        <v>0.11486856676492802</v>
      </c>
      <c r="BF16" s="184">
        <f t="shared" si="24"/>
        <v>1.14868566764928</v>
      </c>
      <c r="BG16" s="172">
        <f t="shared" si="22"/>
        <v>5655.4390161044657</v>
      </c>
      <c r="BH16" s="172">
        <f t="shared" si="22"/>
        <v>56554.390161044656</v>
      </c>
    </row>
    <row r="17" spans="1:60" x14ac:dyDescent="0.2">
      <c r="A17" s="74">
        <f>+A16</f>
        <v>0.63000000000000012</v>
      </c>
      <c r="B17">
        <f>+'Annual Energy Data'!A27</f>
        <v>2027</v>
      </c>
      <c r="C17" s="58">
        <f>+'Annual Energy Data'!I27</f>
        <v>482601.14710003301</v>
      </c>
      <c r="D17" s="58">
        <f>+'Annual Energy Data'!M27</f>
        <v>494988.49712604441</v>
      </c>
      <c r="E17" s="58">
        <f>+'Annual Energy Data'!Q27</f>
        <v>482601.14710003301</v>
      </c>
      <c r="F17" s="58">
        <f>+'Annual Energy Data'!U27</f>
        <v>547481.26902155788</v>
      </c>
      <c r="G17" s="58">
        <f>+'Annual Energy Data'!V27</f>
        <v>561801.20006497123</v>
      </c>
      <c r="H17" s="58">
        <f>+'Annual Energy Data'!W27</f>
        <v>513021.74839042296</v>
      </c>
      <c r="I17" s="58">
        <f>+'Tier 3 Data'!J22</f>
        <v>494988.49712604441</v>
      </c>
      <c r="J17" s="58">
        <f>+'Tier 3 Data'!K22</f>
        <v>494988.49712604441</v>
      </c>
      <c r="K17" s="58">
        <f>+'Tier 3 Data'!L22</f>
        <v>494988.49712604441</v>
      </c>
      <c r="L17" s="58">
        <f>+'Tier 3 Data'!M22</f>
        <v>547481.26902155788</v>
      </c>
      <c r="M17" s="58">
        <f>+'Tier 3 Data'!N22</f>
        <v>561801.20006497123</v>
      </c>
      <c r="N17" s="58">
        <f>+'Tier 3 Data'!O22</f>
        <v>513021.74839042296</v>
      </c>
      <c r="O17" s="68">
        <f>+A17-'Tier 2 Data - MOU I.6'!A17</f>
        <v>0.53200000000000014</v>
      </c>
      <c r="P17" s="89">
        <f t="shared" si="0"/>
        <v>2027</v>
      </c>
      <c r="Q17" s="102">
        <f t="shared" si="15"/>
        <v>263333.88047105569</v>
      </c>
      <c r="R17" s="102">
        <f t="shared" si="16"/>
        <v>263333.88047105569</v>
      </c>
      <c r="S17" s="102">
        <f t="shared" si="17"/>
        <v>263333.88047105569</v>
      </c>
      <c r="T17" s="102">
        <f t="shared" si="18"/>
        <v>291260.03511946887</v>
      </c>
      <c r="U17" s="102">
        <f t="shared" si="19"/>
        <v>298878.23843456479</v>
      </c>
      <c r="V17" s="102">
        <f t="shared" si="20"/>
        <v>272927.57014370506</v>
      </c>
      <c r="W17" s="102">
        <f>+'Tier 1 Data - MOU 1.5'!X17</f>
        <v>0</v>
      </c>
      <c r="X17" s="102">
        <f>+'Tier 1 Data - MOU 1.5'!Y17</f>
        <v>0</v>
      </c>
      <c r="Y17" s="102">
        <f>+'Tier 1 Data - MOU 1.5'!Z17</f>
        <v>0</v>
      </c>
      <c r="Z17" s="102">
        <f>+'Tier 1 Data - MOU 1.5'!AA17</f>
        <v>0</v>
      </c>
      <c r="AA17" s="102">
        <f>+'Annual Energy Data'!AD27</f>
        <v>0</v>
      </c>
      <c r="AB17" s="102">
        <f>+SUM('Annual Energy Data'!AE27:AH27)</f>
        <v>116800</v>
      </c>
      <c r="AC17" s="102">
        <f>+'Annual Energy Data'!BD27</f>
        <v>11680</v>
      </c>
      <c r="AD17" s="102">
        <f>+'Annual Energy Data'!AI27+'Annual Energy Data'!AJ27</f>
        <v>39082.345000000008</v>
      </c>
      <c r="AE17" s="102">
        <f>+'Annual Energy Data'!AM27*0.9</f>
        <v>12263.491178667429</v>
      </c>
      <c r="AF17" s="102">
        <f>+'Annual Energy Data'!AO27</f>
        <v>21326.281999999999</v>
      </c>
      <c r="AG17" s="102">
        <f>+'Annual Energy Data'!BR27</f>
        <v>14251.333333333338</v>
      </c>
      <c r="AH17" s="102">
        <f>+'Annual Energy Data'!BS27</f>
        <v>39560</v>
      </c>
      <c r="AI17" s="102">
        <f>+'Annual Energy Data'!BT27</f>
        <v>64800</v>
      </c>
      <c r="AJ17" s="102">
        <f>+'Annual Energy Data'!AP27</f>
        <v>15644.934999999998</v>
      </c>
      <c r="AK17" s="262">
        <v>0</v>
      </c>
      <c r="AL17" s="102">
        <f t="shared" si="6"/>
        <v>335408.38651200075</v>
      </c>
      <c r="AM17" s="65">
        <f t="shared" si="1"/>
        <v>21326</v>
      </c>
      <c r="AN17" s="65">
        <f t="shared" si="2"/>
        <v>15645</v>
      </c>
      <c r="AO17" s="65">
        <f t="shared" si="3"/>
        <v>12263</v>
      </c>
      <c r="AP17" s="65">
        <f t="shared" si="4"/>
        <v>0</v>
      </c>
      <c r="AT17" s="58">
        <f t="shared" si="7"/>
        <v>49234</v>
      </c>
      <c r="AU17" s="58">
        <f t="shared" si="8"/>
        <v>286174.38651200075</v>
      </c>
      <c r="AV17" s="73">
        <f t="shared" si="9"/>
        <v>-22840.506040945067</v>
      </c>
      <c r="AW17" s="73">
        <f t="shared" si="10"/>
        <v>-22840.506040945067</v>
      </c>
      <c r="AX17" s="73">
        <f t="shared" si="11"/>
        <v>-22840.506040945067</v>
      </c>
      <c r="AY17" s="73">
        <f t="shared" si="12"/>
        <v>5085.6486074681161</v>
      </c>
      <c r="AZ17" s="73">
        <f t="shared" si="13"/>
        <v>12703.851922564034</v>
      </c>
      <c r="BA17" s="73">
        <f t="shared" si="14"/>
        <v>-13246.816368295695</v>
      </c>
      <c r="BC17" s="68">
        <f t="shared" si="21"/>
        <v>1.1222241815555727</v>
      </c>
      <c r="BE17" s="184">
        <f t="shared" si="23"/>
        <v>0.11716593810022657</v>
      </c>
      <c r="BF17" s="184">
        <f t="shared" si="24"/>
        <v>1.1716593810022657</v>
      </c>
      <c r="BG17" s="172">
        <f t="shared" si="22"/>
        <v>5768.5477964265556</v>
      </c>
      <c r="BH17" s="172">
        <f t="shared" si="22"/>
        <v>57685.477964265549</v>
      </c>
    </row>
    <row r="18" spans="1:60" x14ac:dyDescent="0.2">
      <c r="A18" s="74">
        <v>0.67</v>
      </c>
      <c r="B18">
        <f>+'Annual Energy Data'!A28</f>
        <v>2028</v>
      </c>
      <c r="C18" s="58">
        <f>+'Annual Energy Data'!I28</f>
        <v>478876.13441238593</v>
      </c>
      <c r="D18" s="58">
        <f>+'Annual Energy Data'!M28</f>
        <v>491289.09820659156</v>
      </c>
      <c r="E18" s="58">
        <f>+'Annual Energy Data'!Q28</f>
        <v>478876.13441238593</v>
      </c>
      <c r="F18" s="58">
        <f>+'Annual Energy Data'!U28</f>
        <v>562334.2564463201</v>
      </c>
      <c r="G18" s="58">
        <f>+'Annual Energy Data'!V28</f>
        <v>574238.09425297996</v>
      </c>
      <c r="H18" s="58">
        <f>+'Annual Energy Data'!W28</f>
        <v>518347.88756713568</v>
      </c>
      <c r="I18" s="58">
        <f>+'Tier 3 Data'!J23</f>
        <v>491289.09820659156</v>
      </c>
      <c r="J18" s="58">
        <f>+'Tier 3 Data'!K23</f>
        <v>491289.09820659156</v>
      </c>
      <c r="K18" s="58">
        <f>+'Tier 3 Data'!L23</f>
        <v>491289.09820659156</v>
      </c>
      <c r="L18" s="58">
        <f>+'Tier 3 Data'!M23</f>
        <v>562334.2564463201</v>
      </c>
      <c r="M18" s="58">
        <f>+'Tier 3 Data'!N23</f>
        <v>574238.09425297996</v>
      </c>
      <c r="N18" s="58">
        <f>+'Tier 3 Data'!O23</f>
        <v>518347.88756713568</v>
      </c>
      <c r="O18" s="68">
        <f>+A18-'Tier 2 Data - MOU I.6'!A18</f>
        <v>0.55200000000000005</v>
      </c>
      <c r="P18" s="89">
        <f t="shared" si="0"/>
        <v>2028</v>
      </c>
      <c r="Q18" s="102">
        <f t="shared" si="15"/>
        <v>271191.58221003856</v>
      </c>
      <c r="R18" s="102">
        <f t="shared" si="16"/>
        <v>271191.58221003856</v>
      </c>
      <c r="S18" s="102">
        <f t="shared" si="17"/>
        <v>271191.58221003856</v>
      </c>
      <c r="T18" s="102">
        <f t="shared" si="18"/>
        <v>310408.50955836871</v>
      </c>
      <c r="U18" s="102">
        <f t="shared" si="19"/>
        <v>316979.42802764499</v>
      </c>
      <c r="V18" s="102">
        <f t="shared" si="20"/>
        <v>286128.03393705894</v>
      </c>
      <c r="W18" s="102">
        <f>+'Tier 1 Data - MOU 1.5'!X18</f>
        <v>0</v>
      </c>
      <c r="X18" s="102">
        <f>+'Tier 1 Data - MOU 1.5'!Y18</f>
        <v>0</v>
      </c>
      <c r="Y18" s="102">
        <f>+'Tier 1 Data - MOU 1.5'!Z18</f>
        <v>0</v>
      </c>
      <c r="Z18" s="102">
        <f>+'Tier 1 Data - MOU 1.5'!AA18</f>
        <v>0</v>
      </c>
      <c r="AA18" s="102">
        <f>+'Annual Energy Data'!AD28</f>
        <v>0</v>
      </c>
      <c r="AB18" s="102">
        <f>+SUM('Annual Energy Data'!AE28:AH28)</f>
        <v>117120</v>
      </c>
      <c r="AC18" s="102">
        <f>+'Annual Energy Data'!BD28</f>
        <v>11712</v>
      </c>
      <c r="AD18" s="102">
        <f>+'Annual Energy Data'!AI28+'Annual Energy Data'!AJ28</f>
        <v>39082.345000000008</v>
      </c>
      <c r="AE18" s="102">
        <f>+'Annual Energy Data'!AM28*0.9</f>
        <v>12263.491178667429</v>
      </c>
      <c r="AF18" s="102">
        <f>+'Annual Energy Data'!AO28</f>
        <v>21326.281999999999</v>
      </c>
      <c r="AG18" s="102">
        <f>+'Annual Energy Data'!BR28</f>
        <v>14251.333333333338</v>
      </c>
      <c r="AH18" s="102">
        <f>+'Annual Energy Data'!BS28</f>
        <v>0</v>
      </c>
      <c r="AI18" s="102">
        <f>+'Annual Energy Data'!BT28</f>
        <v>64864</v>
      </c>
      <c r="AJ18" s="102">
        <f>+'Annual Energy Data'!AP28</f>
        <v>15644.934999999998</v>
      </c>
      <c r="AK18" s="262">
        <v>0</v>
      </c>
      <c r="AL18" s="102">
        <f t="shared" si="6"/>
        <v>296264.38651200075</v>
      </c>
      <c r="AM18" s="65">
        <f t="shared" si="1"/>
        <v>21326</v>
      </c>
      <c r="AN18" s="65">
        <f t="shared" si="2"/>
        <v>15645</v>
      </c>
      <c r="AO18" s="65">
        <f t="shared" si="3"/>
        <v>12263</v>
      </c>
      <c r="AP18" s="65">
        <f t="shared" si="4"/>
        <v>0</v>
      </c>
      <c r="AT18" s="58">
        <f t="shared" si="7"/>
        <v>49234</v>
      </c>
      <c r="AU18" s="58">
        <f t="shared" si="8"/>
        <v>247030.38651200075</v>
      </c>
      <c r="AV18" s="73">
        <f t="shared" si="9"/>
        <v>24161.195698037802</v>
      </c>
      <c r="AW18" s="73">
        <f t="shared" si="10"/>
        <v>24161.195698037802</v>
      </c>
      <c r="AX18" s="73">
        <f t="shared" si="11"/>
        <v>24161.195698037802</v>
      </c>
      <c r="AY18" s="73">
        <f t="shared" si="12"/>
        <v>63378.123046367953</v>
      </c>
      <c r="AZ18" s="73">
        <f t="shared" si="13"/>
        <v>69949.041515644232</v>
      </c>
      <c r="BA18" s="73">
        <f t="shared" si="14"/>
        <v>39097.647425058181</v>
      </c>
      <c r="BC18" s="68">
        <f t="shared" si="21"/>
        <v>0.93464862485070299</v>
      </c>
      <c r="BE18" s="184">
        <f t="shared" si="23"/>
        <v>0.11950925686223111</v>
      </c>
      <c r="BF18" s="184">
        <f t="shared" si="24"/>
        <v>1.1950925686223111</v>
      </c>
      <c r="BG18" s="172">
        <f t="shared" si="22"/>
        <v>5883.9187523550863</v>
      </c>
      <c r="BH18" s="172">
        <f t="shared" si="22"/>
        <v>58839.187523550863</v>
      </c>
    </row>
    <row r="19" spans="1:60" x14ac:dyDescent="0.2">
      <c r="A19" s="74">
        <v>0.67</v>
      </c>
      <c r="B19">
        <f>+'Annual Energy Data'!A29</f>
        <v>2029</v>
      </c>
      <c r="C19" s="58">
        <f>+'Annual Energy Data'!I29</f>
        <v>475257.112759682</v>
      </c>
      <c r="D19" s="58">
        <f>+'Annual Energy Data'!M29</f>
        <v>487644.46278569341</v>
      </c>
      <c r="E19" s="58">
        <f>+'Annual Energy Data'!Q29</f>
        <v>475257.112759682</v>
      </c>
      <c r="F19" s="58">
        <f>+'Annual Energy Data'!U29</f>
        <v>579139.85812221037</v>
      </c>
      <c r="G19" s="58">
        <f>+'Annual Energy Data'!V29</f>
        <v>588925.42292387283</v>
      </c>
      <c r="H19" s="58">
        <f>+'Annual Energy Data'!W29</f>
        <v>525077.80000335269</v>
      </c>
      <c r="I19" s="58">
        <f>+'Tier 3 Data'!J24</f>
        <v>487644.46278569341</v>
      </c>
      <c r="J19" s="58">
        <f>+'Tier 3 Data'!K24</f>
        <v>487644.46278569341</v>
      </c>
      <c r="K19" s="58">
        <f>+'Tier 3 Data'!L24</f>
        <v>487644.46278569341</v>
      </c>
      <c r="L19" s="58">
        <f>+'Tier 3 Data'!M24</f>
        <v>579139.85812221037</v>
      </c>
      <c r="M19" s="58">
        <f>+'Tier 3 Data'!N24</f>
        <v>588925.42292387283</v>
      </c>
      <c r="N19" s="58">
        <f>+'Tier 3 Data'!O24</f>
        <v>525077.80000335269</v>
      </c>
      <c r="O19" s="68">
        <f>+A19-'Tier 2 Data - MOU I.6'!A19</f>
        <v>0.53200000000000003</v>
      </c>
      <c r="P19" s="89">
        <f t="shared" si="0"/>
        <v>2029</v>
      </c>
      <c r="Q19" s="102">
        <f t="shared" si="15"/>
        <v>259426.8542019889</v>
      </c>
      <c r="R19" s="102">
        <f t="shared" si="16"/>
        <v>259426.8542019889</v>
      </c>
      <c r="S19" s="102">
        <f t="shared" si="17"/>
        <v>259426.8542019889</v>
      </c>
      <c r="T19" s="102">
        <f t="shared" si="18"/>
        <v>308102.40452101594</v>
      </c>
      <c r="U19" s="102">
        <f t="shared" si="19"/>
        <v>313308.32499550038</v>
      </c>
      <c r="V19" s="102">
        <f t="shared" si="20"/>
        <v>279341.38960178365</v>
      </c>
      <c r="W19" s="102">
        <f>+'Tier 1 Data - MOU 1.5'!X19</f>
        <v>0</v>
      </c>
      <c r="X19" s="102">
        <f>+'Tier 1 Data - MOU 1.5'!Y19</f>
        <v>0</v>
      </c>
      <c r="Y19" s="102">
        <f>+'Tier 1 Data - MOU 1.5'!Z19</f>
        <v>0</v>
      </c>
      <c r="Z19" s="102">
        <f>+'Tier 1 Data - MOU 1.5'!AA19</f>
        <v>0</v>
      </c>
      <c r="AA19" s="102">
        <f>+'Annual Energy Data'!AD29</f>
        <v>0</v>
      </c>
      <c r="AB19" s="102">
        <f>+SUM('Annual Energy Data'!AE29:AH29)</f>
        <v>116800</v>
      </c>
      <c r="AC19" s="102">
        <f>+'Annual Energy Data'!BD29</f>
        <v>11680</v>
      </c>
      <c r="AD19" s="102">
        <f>+'Annual Energy Data'!AI29+'Annual Energy Data'!AJ29</f>
        <v>39082.345000000008</v>
      </c>
      <c r="AE19" s="102">
        <f>+'Annual Energy Data'!AM29*0.9</f>
        <v>12263.491178667429</v>
      </c>
      <c r="AF19" s="102">
        <f>+'Annual Energy Data'!AO29</f>
        <v>21326.281999999999</v>
      </c>
      <c r="AG19" s="102">
        <f>+'Annual Energy Data'!BR29</f>
        <v>14251.333333333338</v>
      </c>
      <c r="AH19" s="102">
        <f>+'Annual Energy Data'!BS29</f>
        <v>0</v>
      </c>
      <c r="AI19" s="102">
        <f>+'Annual Energy Data'!BT29</f>
        <v>64736</v>
      </c>
      <c r="AJ19" s="102">
        <f>+'Annual Energy Data'!AP29</f>
        <v>15644.934999999998</v>
      </c>
      <c r="AK19" s="262">
        <v>0</v>
      </c>
      <c r="AL19" s="102">
        <f t="shared" si="6"/>
        <v>295784.38651200075</v>
      </c>
      <c r="AM19" s="65">
        <f t="shared" si="1"/>
        <v>21326</v>
      </c>
      <c r="AN19" s="65">
        <f t="shared" si="2"/>
        <v>15645</v>
      </c>
      <c r="AO19" s="65">
        <f t="shared" si="3"/>
        <v>12263</v>
      </c>
      <c r="AP19" s="65">
        <f t="shared" si="4"/>
        <v>0</v>
      </c>
      <c r="AT19" s="58">
        <f t="shared" si="7"/>
        <v>49234</v>
      </c>
      <c r="AU19" s="58">
        <f t="shared" si="8"/>
        <v>246550.38651200075</v>
      </c>
      <c r="AV19" s="73">
        <f t="shared" si="9"/>
        <v>12876.467689988145</v>
      </c>
      <c r="AW19" s="73">
        <f t="shared" si="10"/>
        <v>12876.467689988145</v>
      </c>
      <c r="AX19" s="73">
        <f t="shared" si="11"/>
        <v>12876.467689988145</v>
      </c>
      <c r="AY19" s="73">
        <f t="shared" si="12"/>
        <v>61552.018009015184</v>
      </c>
      <c r="AZ19" s="73">
        <f t="shared" si="13"/>
        <v>66757.938483499631</v>
      </c>
      <c r="BA19" s="73">
        <f t="shared" si="14"/>
        <v>32791.003089782898</v>
      </c>
      <c r="BC19" s="68">
        <f t="shared" si="21"/>
        <v>0.94406807261265302</v>
      </c>
      <c r="BE19" s="184">
        <f t="shared" si="23"/>
        <v>0.12189944199947574</v>
      </c>
      <c r="BF19" s="184">
        <f t="shared" si="24"/>
        <v>1.2189944199947573</v>
      </c>
      <c r="BG19" s="172">
        <f t="shared" si="22"/>
        <v>6001.5971274021886</v>
      </c>
      <c r="BH19" s="172">
        <f t="shared" si="22"/>
        <v>60015.971274021882</v>
      </c>
    </row>
    <row r="20" spans="1:60" x14ac:dyDescent="0.2">
      <c r="A20" s="74">
        <v>1</v>
      </c>
      <c r="B20">
        <f>+'Annual Energy Data'!A30</f>
        <v>2030</v>
      </c>
      <c r="C20" s="58">
        <f>+'Annual Energy Data'!I30</f>
        <v>471696.23276028398</v>
      </c>
      <c r="D20" s="58">
        <f>+'Annual Energy Data'!M30</f>
        <v>484083.58278629533</v>
      </c>
      <c r="E20" s="58">
        <f>+'Annual Energy Data'!Q30</f>
        <v>471696.23276028398</v>
      </c>
      <c r="F20" s="58">
        <f>+'Annual Energy Data'!U30</f>
        <v>597537.20891604316</v>
      </c>
      <c r="G20" s="58">
        <f>+'Annual Energy Data'!V30</f>
        <v>604371.2686899699</v>
      </c>
      <c r="H20" s="58">
        <f>+'Annual Energy Data'!W30</f>
        <v>533253.6763444189</v>
      </c>
      <c r="I20" s="58">
        <f>+'Tier 3 Data'!J25</f>
        <v>484083.58278629533</v>
      </c>
      <c r="J20" s="58">
        <f>+'Tier 3 Data'!K25</f>
        <v>484083.58278629533</v>
      </c>
      <c r="K20" s="58">
        <f>+'Tier 3 Data'!L25</f>
        <v>484083.58278629533</v>
      </c>
      <c r="L20" s="58">
        <f>+'Tier 3 Data'!M25</f>
        <v>597537.20891604316</v>
      </c>
      <c r="M20" s="58">
        <f>+'Tier 3 Data'!N25</f>
        <v>604371.2686899699</v>
      </c>
      <c r="N20" s="58">
        <f>+'Tier 3 Data'!O25</f>
        <v>533253.6763444189</v>
      </c>
      <c r="O20" s="68">
        <f>+A20-'Tier 2 Data - MOU I.6'!A20</f>
        <v>0.84199999999999997</v>
      </c>
      <c r="P20" s="89">
        <f t="shared" si="0"/>
        <v>2030</v>
      </c>
      <c r="Q20" s="102">
        <f t="shared" si="15"/>
        <v>407598.37670606066</v>
      </c>
      <c r="R20" s="102">
        <f t="shared" si="16"/>
        <v>407598.37670606066</v>
      </c>
      <c r="S20" s="102">
        <f t="shared" si="17"/>
        <v>407598.37670606066</v>
      </c>
      <c r="T20" s="102">
        <f t="shared" si="18"/>
        <v>503126.32990730833</v>
      </c>
      <c r="U20" s="102">
        <f t="shared" si="19"/>
        <v>508880.60823695466</v>
      </c>
      <c r="V20" s="102">
        <f t="shared" si="20"/>
        <v>448999.59548200067</v>
      </c>
      <c r="W20" s="102">
        <f>+'Tier 1 Data - MOU 1.5'!X20</f>
        <v>0</v>
      </c>
      <c r="X20" s="102">
        <f>+'Tier 1 Data - MOU 1.5'!Y20</f>
        <v>0</v>
      </c>
      <c r="Y20" s="102">
        <f>+'Tier 1 Data - MOU 1.5'!Z20</f>
        <v>0</v>
      </c>
      <c r="Z20" s="102">
        <f>+'Tier 1 Data - MOU 1.5'!AA20</f>
        <v>0</v>
      </c>
      <c r="AA20" s="102">
        <f>+'Annual Energy Data'!AD30</f>
        <v>0</v>
      </c>
      <c r="AB20" s="102">
        <f>+SUM('Annual Energy Data'!AE30:AH30)</f>
        <v>103960.72</v>
      </c>
      <c r="AC20" s="102">
        <f>+'Annual Energy Data'!BD30</f>
        <v>11680</v>
      </c>
      <c r="AD20" s="102">
        <f>+'Annual Energy Data'!AI30+'Annual Energy Data'!AJ30</f>
        <v>39082.345000000008</v>
      </c>
      <c r="AE20" s="102">
        <f>+'Annual Energy Data'!AM30*0.9</f>
        <v>12263.491178667429</v>
      </c>
      <c r="AF20" s="102">
        <f>+'Annual Energy Data'!AO30</f>
        <v>21326.281999999999</v>
      </c>
      <c r="AG20" s="102">
        <f>+'Annual Energy Data'!BR30</f>
        <v>14251.333333333338</v>
      </c>
      <c r="AH20" s="102">
        <f>+'Annual Energy Data'!BS30</f>
        <v>0</v>
      </c>
      <c r="AI20" s="102">
        <f>+'Annual Energy Data'!BT30</f>
        <v>64784</v>
      </c>
      <c r="AJ20" s="102">
        <f>+'Annual Energy Data'!AP30</f>
        <v>15644.934999999998</v>
      </c>
      <c r="AK20" s="262">
        <v>0</v>
      </c>
      <c r="AL20" s="102">
        <f t="shared" si="6"/>
        <v>282993.10651200078</v>
      </c>
      <c r="AM20" s="65">
        <f t="shared" si="1"/>
        <v>21326</v>
      </c>
      <c r="AN20" s="65">
        <f t="shared" si="2"/>
        <v>15645</v>
      </c>
      <c r="AO20" s="65">
        <f t="shared" si="3"/>
        <v>12263</v>
      </c>
      <c r="AP20" s="65">
        <f t="shared" si="4"/>
        <v>0</v>
      </c>
      <c r="AT20" s="58">
        <f t="shared" si="7"/>
        <v>49234</v>
      </c>
      <c r="AU20" s="58">
        <f t="shared" si="8"/>
        <v>233759.10651200078</v>
      </c>
      <c r="AV20" s="73">
        <f t="shared" si="9"/>
        <v>173839.27019405988</v>
      </c>
      <c r="AW20" s="73">
        <f t="shared" si="10"/>
        <v>173839.27019405988</v>
      </c>
      <c r="AX20" s="73">
        <f t="shared" si="11"/>
        <v>173839.27019405988</v>
      </c>
      <c r="AY20" s="73">
        <f t="shared" si="12"/>
        <v>269367.22339530755</v>
      </c>
      <c r="AZ20" s="73">
        <f t="shared" si="13"/>
        <v>275121.50172495388</v>
      </c>
      <c r="BA20" s="73">
        <f t="shared" si="14"/>
        <v>215240.48896999989</v>
      </c>
      <c r="BC20" s="68">
        <f t="shared" si="21"/>
        <v>0.55610903998178718</v>
      </c>
      <c r="BE20" s="184">
        <f t="shared" si="23"/>
        <v>0.12433743083946525</v>
      </c>
      <c r="BF20" s="184">
        <f t="shared" si="24"/>
        <v>1.2433743083946525</v>
      </c>
      <c r="BG20" s="172">
        <f t="shared" si="22"/>
        <v>6121.6290699502315</v>
      </c>
      <c r="BH20" s="172">
        <f t="shared" si="22"/>
        <v>61216.290699502322</v>
      </c>
    </row>
    <row r="21" spans="1:60" x14ac:dyDescent="0.2">
      <c r="A21" s="68">
        <f>+A20</f>
        <v>1</v>
      </c>
      <c r="B21">
        <f>+'Annual Energy Data'!A31</f>
        <v>2031</v>
      </c>
      <c r="C21" s="58">
        <f>+'Annual Energy Data'!I31</f>
        <v>468138.48178870423</v>
      </c>
      <c r="D21" s="58">
        <f>+'Annual Energy Data'!M31</f>
        <v>480525.83181471552</v>
      </c>
      <c r="E21" s="58">
        <f>+'Annual Energy Data'!Q31</f>
        <v>468138.48178870423</v>
      </c>
      <c r="F21" s="58">
        <f>+'Annual Energy Data'!U31</f>
        <v>616126.88040439831</v>
      </c>
      <c r="G21" s="58">
        <f>+'Annual Energy Data'!V31</f>
        <v>620873.47339124524</v>
      </c>
      <c r="H21" s="58">
        <f>+'Annual Energy Data'!W31</f>
        <v>542625.64259943168</v>
      </c>
      <c r="I21" s="58">
        <f>+'Tier 3 Data'!J26</f>
        <v>480525.83181471552</v>
      </c>
      <c r="J21" s="58">
        <f>+'Tier 3 Data'!K26</f>
        <v>480525.83181471552</v>
      </c>
      <c r="K21" s="58">
        <f>+'Tier 3 Data'!L26</f>
        <v>480525.83181471552</v>
      </c>
      <c r="L21" s="58">
        <f>+'Tier 3 Data'!M26</f>
        <v>616126.88040439831</v>
      </c>
      <c r="M21" s="58">
        <f>+'Tier 3 Data'!N26</f>
        <v>620873.47339124524</v>
      </c>
      <c r="N21" s="58">
        <f>+'Tier 3 Data'!O26</f>
        <v>542625.64259943168</v>
      </c>
      <c r="O21" s="68">
        <f>+A21-'Tier 2 Data - MOU I.6'!A21</f>
        <v>0.82200000000000006</v>
      </c>
      <c r="P21" s="89">
        <f t="shared" si="0"/>
        <v>2031</v>
      </c>
      <c r="Q21" s="102">
        <f t="shared" si="15"/>
        <v>394992.23375169619</v>
      </c>
      <c r="R21" s="102">
        <f t="shared" si="16"/>
        <v>394992.23375169619</v>
      </c>
      <c r="S21" s="102">
        <f t="shared" si="17"/>
        <v>394992.23375169619</v>
      </c>
      <c r="T21" s="102">
        <f t="shared" si="18"/>
        <v>506456.29569241544</v>
      </c>
      <c r="U21" s="102">
        <f t="shared" si="19"/>
        <v>510357.99512760364</v>
      </c>
      <c r="V21" s="102">
        <f t="shared" si="20"/>
        <v>446038.2782167329</v>
      </c>
      <c r="W21" s="102">
        <f>+'Tier 1 Data - MOU 1.5'!X21</f>
        <v>0</v>
      </c>
      <c r="X21" s="102">
        <f>+'Tier 1 Data - MOU 1.5'!Y21</f>
        <v>0</v>
      </c>
      <c r="Y21" s="102">
        <f>+'Tier 1 Data - MOU 1.5'!Z21</f>
        <v>0</v>
      </c>
      <c r="Z21" s="102">
        <f>+'Tier 1 Data - MOU 1.5'!AA21</f>
        <v>0</v>
      </c>
      <c r="AA21" s="102">
        <f>+'Annual Energy Data'!AD31</f>
        <v>0</v>
      </c>
      <c r="AB21" s="102">
        <f>+SUM('Annual Energy Data'!AE31:AH31)</f>
        <v>39974.799999999996</v>
      </c>
      <c r="AC21" s="102">
        <f>+'Annual Energy Data'!BD31</f>
        <v>11680</v>
      </c>
      <c r="AD21" s="102">
        <f>+'Annual Energy Data'!AI31+'Annual Energy Data'!AJ31</f>
        <v>39082.345000000008</v>
      </c>
      <c r="AE21" s="102">
        <f>+'Annual Energy Data'!AM31*0.9</f>
        <v>12263.491178667429</v>
      </c>
      <c r="AF21" s="102">
        <f>+'Annual Energy Data'!AO31</f>
        <v>21326.281999999999</v>
      </c>
      <c r="AG21" s="102">
        <f>+'Annual Energy Data'!BR31</f>
        <v>14251.333333333338</v>
      </c>
      <c r="AH21" s="102">
        <f>+'Annual Energy Data'!BS31</f>
        <v>0</v>
      </c>
      <c r="AI21" s="102">
        <f>+'Annual Energy Data'!BT31</f>
        <v>64784</v>
      </c>
      <c r="AJ21" s="102">
        <f>+'Annual Energy Data'!AP31</f>
        <v>10215.179999999998</v>
      </c>
      <c r="AK21" s="262">
        <v>0</v>
      </c>
      <c r="AL21" s="102">
        <f t="shared" si="6"/>
        <v>213577.43151200077</v>
      </c>
      <c r="AM21" s="65">
        <f t="shared" si="1"/>
        <v>21326</v>
      </c>
      <c r="AN21" s="65">
        <f t="shared" si="2"/>
        <v>10215</v>
      </c>
      <c r="AO21" s="65">
        <f t="shared" si="3"/>
        <v>12263</v>
      </c>
      <c r="AP21" s="65">
        <f t="shared" si="4"/>
        <v>0</v>
      </c>
      <c r="AT21" s="58">
        <f t="shared" si="7"/>
        <v>43804</v>
      </c>
      <c r="AU21" s="58">
        <f t="shared" si="8"/>
        <v>169773.43151200077</v>
      </c>
      <c r="AV21" s="73">
        <f t="shared" si="9"/>
        <v>225218.80223969542</v>
      </c>
      <c r="AW21" s="73">
        <f t="shared" si="10"/>
        <v>225218.80223969542</v>
      </c>
      <c r="AX21" s="73">
        <f t="shared" si="11"/>
        <v>225218.80223969542</v>
      </c>
      <c r="AY21" s="73">
        <f t="shared" si="12"/>
        <v>336682.8641804147</v>
      </c>
      <c r="AZ21" s="73">
        <f t="shared" si="13"/>
        <v>340584.56361560291</v>
      </c>
      <c r="BA21" s="73">
        <f t="shared" si="14"/>
        <v>276264.84670473216</v>
      </c>
      <c r="BC21" s="68">
        <f t="shared" si="21"/>
        <v>0.41848552104802528</v>
      </c>
      <c r="BE21" s="184">
        <f t="shared" si="23"/>
        <v>0.12682417945625454</v>
      </c>
      <c r="BF21" s="184">
        <f t="shared" si="24"/>
        <v>1.2682417945625455</v>
      </c>
      <c r="BG21" s="172">
        <f t="shared" si="22"/>
        <v>5555.4063569017744</v>
      </c>
      <c r="BH21" s="172">
        <f t="shared" si="22"/>
        <v>55554.063569017744</v>
      </c>
    </row>
    <row r="22" spans="1:60" x14ac:dyDescent="0.2">
      <c r="A22" s="68">
        <f t="shared" ref="A22:A43" si="25">+A21</f>
        <v>1</v>
      </c>
      <c r="B22">
        <f>+'Annual Energy Data'!A32</f>
        <v>2032</v>
      </c>
      <c r="C22" s="58">
        <f>+'Annual Energy Data'!I32</f>
        <v>464561.36606166756</v>
      </c>
      <c r="D22" s="58">
        <f>+'Annual Energy Data'!M32</f>
        <v>476974.32985587325</v>
      </c>
      <c r="E22" s="58">
        <f>+'Annual Energy Data'!Q32</f>
        <v>464561.36606166756</v>
      </c>
      <c r="F22" s="58">
        <f>+'Annual Energy Data'!U32</f>
        <v>634675.02635726519</v>
      </c>
      <c r="G22" s="58">
        <f>+'Annual Energy Data'!V32</f>
        <v>638688.24670604919</v>
      </c>
      <c r="H22" s="58">
        <f>+'Annual Energy Data'!W32</f>
        <v>553259.15443177917</v>
      </c>
      <c r="I22" s="58">
        <f>+'Tier 3 Data'!J27</f>
        <v>476974.32985587325</v>
      </c>
      <c r="J22" s="58">
        <f>+'Tier 3 Data'!K27</f>
        <v>476974.32985587325</v>
      </c>
      <c r="K22" s="58">
        <f>+'Tier 3 Data'!L27</f>
        <v>476974.32985587325</v>
      </c>
      <c r="L22" s="58">
        <f>+'Tier 3 Data'!M27</f>
        <v>634675.02635726519</v>
      </c>
      <c r="M22" s="58">
        <f>+'Tier 3 Data'!N27</f>
        <v>638688.24670604919</v>
      </c>
      <c r="N22" s="58">
        <f>+'Tier 3 Data'!O27</f>
        <v>553259.15443177917</v>
      </c>
      <c r="O22" s="68">
        <f>+A22-'Tier 2 Data - MOU I.6'!A22</f>
        <v>0.8</v>
      </c>
      <c r="P22" s="89">
        <f t="shared" si="0"/>
        <v>2032</v>
      </c>
      <c r="Q22" s="102">
        <f t="shared" si="15"/>
        <v>381579.46388469863</v>
      </c>
      <c r="R22" s="102">
        <f t="shared" si="16"/>
        <v>381579.46388469863</v>
      </c>
      <c r="S22" s="102">
        <f t="shared" si="17"/>
        <v>381579.46388469863</v>
      </c>
      <c r="T22" s="102">
        <f t="shared" si="18"/>
        <v>507740.02108581219</v>
      </c>
      <c r="U22" s="102">
        <f t="shared" si="19"/>
        <v>510950.5973648394</v>
      </c>
      <c r="V22" s="102">
        <f t="shared" si="20"/>
        <v>442607.32354542334</v>
      </c>
      <c r="W22" s="102">
        <f>+'Tier 1 Data - MOU 1.5'!X22</f>
        <v>0</v>
      </c>
      <c r="X22" s="102">
        <f>+'Tier 1 Data - MOU 1.5'!Y22</f>
        <v>0</v>
      </c>
      <c r="Y22" s="102">
        <f>+'Tier 1 Data - MOU 1.5'!Z22</f>
        <v>0</v>
      </c>
      <c r="Z22" s="102">
        <f>+'Tier 1 Data - MOU 1.5'!AA22</f>
        <v>0</v>
      </c>
      <c r="AA22" s="102">
        <f>+'Annual Energy Data'!AD32</f>
        <v>0</v>
      </c>
      <c r="AB22" s="102">
        <f>+SUM('Annual Energy Data'!AE32:AH32)</f>
        <v>40084.32</v>
      </c>
      <c r="AC22" s="102">
        <f>+'Annual Energy Data'!BD32</f>
        <v>11712</v>
      </c>
      <c r="AD22" s="102">
        <f>+'Annual Energy Data'!AI32+'Annual Energy Data'!AJ32</f>
        <v>39082.345000000008</v>
      </c>
      <c r="AE22" s="102">
        <f>+'Annual Energy Data'!AM32*0.9</f>
        <v>10212.955087275428</v>
      </c>
      <c r="AF22" s="102">
        <f>+'Annual Energy Data'!AO32</f>
        <v>21326.281999999999</v>
      </c>
      <c r="AG22" s="102">
        <f>+'Annual Energy Data'!BR32</f>
        <v>14251.333333333338</v>
      </c>
      <c r="AH22" s="102">
        <f>+'Annual Energy Data'!BS32</f>
        <v>0</v>
      </c>
      <c r="AI22" s="102">
        <f>+'Annual Energy Data'!BT32</f>
        <v>65024</v>
      </c>
      <c r="AJ22" s="102">
        <f>+'Annual Energy Data'!AP32</f>
        <v>0</v>
      </c>
      <c r="AK22" s="262">
        <v>0</v>
      </c>
      <c r="AL22" s="102">
        <f t="shared" si="6"/>
        <v>201693.23542060878</v>
      </c>
      <c r="AM22" s="65">
        <f t="shared" si="1"/>
        <v>21326</v>
      </c>
      <c r="AN22" s="65">
        <f t="shared" si="2"/>
        <v>0</v>
      </c>
      <c r="AO22" s="65">
        <f t="shared" si="3"/>
        <v>10213</v>
      </c>
      <c r="AP22" s="65">
        <f t="shared" si="4"/>
        <v>0</v>
      </c>
      <c r="AT22" s="58">
        <f t="shared" si="7"/>
        <v>31539</v>
      </c>
      <c r="AU22" s="58">
        <f t="shared" si="8"/>
        <v>170154.23542060878</v>
      </c>
      <c r="AV22" s="73">
        <f t="shared" si="9"/>
        <v>211425.22846408986</v>
      </c>
      <c r="AW22" s="73">
        <f t="shared" si="10"/>
        <v>211425.22846408986</v>
      </c>
      <c r="AX22" s="73">
        <f t="shared" si="11"/>
        <v>211425.22846408986</v>
      </c>
      <c r="AY22" s="73">
        <f t="shared" si="12"/>
        <v>337585.78566520341</v>
      </c>
      <c r="AZ22" s="73">
        <f t="shared" si="13"/>
        <v>340796.36194423062</v>
      </c>
      <c r="BA22" s="73">
        <f t="shared" si="14"/>
        <v>272453.08812481456</v>
      </c>
      <c r="BC22" s="68">
        <f t="shared" si="21"/>
        <v>0.39474116766046491</v>
      </c>
      <c r="BE22" s="184">
        <f t="shared" si="23"/>
        <v>0.12936066304537963</v>
      </c>
      <c r="BF22" s="184">
        <f t="shared" si="24"/>
        <v>1.2936066304537963</v>
      </c>
      <c r="BG22" s="172">
        <f t="shared" si="22"/>
        <v>4079.9059517882283</v>
      </c>
      <c r="BH22" s="172">
        <f t="shared" si="22"/>
        <v>40799.059517882284</v>
      </c>
    </row>
    <row r="23" spans="1:60" x14ac:dyDescent="0.2">
      <c r="A23" s="68">
        <f t="shared" si="25"/>
        <v>1</v>
      </c>
      <c r="B23">
        <f>+'Annual Energy Data'!A33</f>
        <v>2033</v>
      </c>
      <c r="C23" s="58">
        <f>+'Annual Energy Data'!I33</f>
        <v>461084.96747182281</v>
      </c>
      <c r="D23" s="58">
        <f>+'Annual Energy Data'!M33</f>
        <v>473472.31749783404</v>
      </c>
      <c r="E23" s="58">
        <f>+'Annual Energy Data'!Q33</f>
        <v>461084.96747182281</v>
      </c>
      <c r="F23" s="58">
        <f>+'Annual Energy Data'!U33</f>
        <v>652630.18622720416</v>
      </c>
      <c r="G23" s="58">
        <f>+'Annual Energy Data'!V33</f>
        <v>657164.28327400493</v>
      </c>
      <c r="H23" s="58">
        <f>+'Annual Energy Data'!W33</f>
        <v>565231.52055125812</v>
      </c>
      <c r="I23" s="58">
        <f>+'Tier 3 Data'!J28</f>
        <v>473472.31749783404</v>
      </c>
      <c r="J23" s="58">
        <f>+'Tier 3 Data'!K28</f>
        <v>473472.31749783404</v>
      </c>
      <c r="K23" s="58">
        <f>+'Tier 3 Data'!L28</f>
        <v>473472.31749783404</v>
      </c>
      <c r="L23" s="58">
        <f>+'Tier 3 Data'!M28</f>
        <v>652630.18622720416</v>
      </c>
      <c r="M23" s="58">
        <f>+'Tier 3 Data'!N28</f>
        <v>657164.28327400493</v>
      </c>
      <c r="N23" s="58">
        <f>+'Tier 3 Data'!O28</f>
        <v>565231.52055125812</v>
      </c>
      <c r="O23" s="68">
        <f>+A23-'Tier 2 Data - MOU I.6'!A23</f>
        <v>0.8</v>
      </c>
      <c r="P23" s="89">
        <f t="shared" si="0"/>
        <v>2033</v>
      </c>
      <c r="Q23" s="102">
        <f t="shared" si="15"/>
        <v>378777.85399826727</v>
      </c>
      <c r="R23" s="102">
        <f t="shared" si="16"/>
        <v>378777.85399826727</v>
      </c>
      <c r="S23" s="102">
        <f t="shared" si="17"/>
        <v>378777.85399826727</v>
      </c>
      <c r="T23" s="102">
        <f t="shared" si="18"/>
        <v>522104.14898176334</v>
      </c>
      <c r="U23" s="102">
        <f t="shared" si="19"/>
        <v>525731.42661920399</v>
      </c>
      <c r="V23" s="102">
        <f t="shared" si="20"/>
        <v>452185.21644100652</v>
      </c>
      <c r="W23" s="102">
        <f>+'Tier 1 Data - MOU 1.5'!X23</f>
        <v>0</v>
      </c>
      <c r="X23" s="102">
        <f>+'Tier 1 Data - MOU 1.5'!Y23</f>
        <v>0</v>
      </c>
      <c r="Y23" s="102">
        <f>+'Tier 1 Data - MOU 1.5'!Z23</f>
        <v>0</v>
      </c>
      <c r="Z23" s="102">
        <f>+'Tier 1 Data - MOU 1.5'!AA23</f>
        <v>0</v>
      </c>
      <c r="AA23" s="102">
        <f>+'Annual Energy Data'!AD33</f>
        <v>0</v>
      </c>
      <c r="AB23" s="102">
        <f>+SUM('Annual Energy Data'!AE33:AH33)</f>
        <v>39974.799999999996</v>
      </c>
      <c r="AC23" s="102">
        <f>+'Annual Energy Data'!BD33</f>
        <v>0</v>
      </c>
      <c r="AD23" s="102">
        <f>+'Annual Energy Data'!AI33+'Annual Energy Data'!AJ33</f>
        <v>39082.345000000008</v>
      </c>
      <c r="AE23" s="102">
        <f>+'Annual Energy Data'!AM33*0.9</f>
        <v>0</v>
      </c>
      <c r="AF23" s="102">
        <f>+'Annual Energy Data'!AO33</f>
        <v>21326.281999999999</v>
      </c>
      <c r="AG23" s="102">
        <f>+'Annual Energy Data'!BR33</f>
        <v>14251.333333333338</v>
      </c>
      <c r="AH23" s="102">
        <f>+'Annual Energy Data'!BS33</f>
        <v>0</v>
      </c>
      <c r="AI23" s="102">
        <f>+'Annual Energy Data'!BT33</f>
        <v>64672</v>
      </c>
      <c r="AJ23" s="102">
        <f>+'Annual Energy Data'!AP33</f>
        <v>0</v>
      </c>
      <c r="AK23" s="262">
        <v>0</v>
      </c>
      <c r="AL23" s="102">
        <f t="shared" si="6"/>
        <v>179306.76033333334</v>
      </c>
      <c r="AM23" s="65">
        <f t="shared" si="1"/>
        <v>21326</v>
      </c>
      <c r="AN23" s="65">
        <f t="shared" si="2"/>
        <v>0</v>
      </c>
      <c r="AO23" s="65">
        <f t="shared" si="3"/>
        <v>0</v>
      </c>
      <c r="AP23" s="65">
        <f t="shared" si="4"/>
        <v>0</v>
      </c>
      <c r="AT23" s="58">
        <f t="shared" si="7"/>
        <v>21326</v>
      </c>
      <c r="AU23" s="58">
        <f t="shared" si="8"/>
        <v>157980.76033333334</v>
      </c>
      <c r="AV23" s="73">
        <f t="shared" si="9"/>
        <v>220797.09366493393</v>
      </c>
      <c r="AW23" s="73">
        <f t="shared" si="10"/>
        <v>220797.09366493393</v>
      </c>
      <c r="AX23" s="73">
        <f t="shared" si="11"/>
        <v>220797.09366493393</v>
      </c>
      <c r="AY23" s="73">
        <f t="shared" si="12"/>
        <v>364123.38864843</v>
      </c>
      <c r="AZ23" s="73">
        <f t="shared" si="13"/>
        <v>367750.66628587065</v>
      </c>
      <c r="BA23" s="73">
        <f t="shared" si="14"/>
        <v>294204.45610767318</v>
      </c>
      <c r="BC23" s="68">
        <f t="shared" si="21"/>
        <v>0.34106152163357012</v>
      </c>
      <c r="BE23" s="184">
        <f t="shared" si="23"/>
        <v>0.13194787630628724</v>
      </c>
      <c r="BF23" s="184">
        <f t="shared" si="24"/>
        <v>1.3194787630628724</v>
      </c>
      <c r="BG23" s="172">
        <f t="shared" si="22"/>
        <v>2813.9204101078817</v>
      </c>
      <c r="BH23" s="172">
        <f t="shared" si="22"/>
        <v>28139.204101078816</v>
      </c>
    </row>
    <row r="24" spans="1:60" x14ac:dyDescent="0.2">
      <c r="A24" s="68">
        <f t="shared" si="25"/>
        <v>1</v>
      </c>
      <c r="B24">
        <f>+'Annual Energy Data'!A34</f>
        <v>2034</v>
      </c>
      <c r="C24" s="58">
        <f>+'Annual Energy Data'!I34</f>
        <v>457624.26202331885</v>
      </c>
      <c r="D24" s="58">
        <f>+'Annual Energy Data'!M34</f>
        <v>470011.61204933014</v>
      </c>
      <c r="E24" s="58">
        <f>+'Annual Energy Data'!Q34</f>
        <v>457624.26202331885</v>
      </c>
      <c r="F24" s="58">
        <f>+'Annual Energy Data'!U34</f>
        <v>669823.98617135419</v>
      </c>
      <c r="G24" s="58">
        <f>+'Annual Energy Data'!V34</f>
        <v>676250.96556458564</v>
      </c>
      <c r="H24" s="58">
        <f>+'Annual Energy Data'!W34</f>
        <v>578445.00235747173</v>
      </c>
      <c r="I24" s="58">
        <f>+'Tier 3 Data'!J29</f>
        <v>470011.61204933014</v>
      </c>
      <c r="J24" s="58">
        <f>+'Tier 3 Data'!K29</f>
        <v>470011.61204933014</v>
      </c>
      <c r="K24" s="58">
        <f>+'Tier 3 Data'!L29</f>
        <v>470011.61204933014</v>
      </c>
      <c r="L24" s="58">
        <f>+'Tier 3 Data'!M29</f>
        <v>669823.98617135419</v>
      </c>
      <c r="M24" s="58">
        <f>+'Tier 3 Data'!N29</f>
        <v>676250.96556458564</v>
      </c>
      <c r="N24" s="58">
        <f>+'Tier 3 Data'!O29</f>
        <v>578445.00235747173</v>
      </c>
      <c r="O24" s="68">
        <f>+A24-'Tier 2 Data - MOU I.6'!A24</f>
        <v>0.8</v>
      </c>
      <c r="P24" s="89">
        <f t="shared" si="0"/>
        <v>2034</v>
      </c>
      <c r="Q24" s="102">
        <f t="shared" si="15"/>
        <v>376009.28963946411</v>
      </c>
      <c r="R24" s="102">
        <f t="shared" si="16"/>
        <v>376009.28963946411</v>
      </c>
      <c r="S24" s="102">
        <f t="shared" si="17"/>
        <v>376009.28963946411</v>
      </c>
      <c r="T24" s="102">
        <f t="shared" si="18"/>
        <v>535859.18893708335</v>
      </c>
      <c r="U24" s="102">
        <f t="shared" si="19"/>
        <v>541000.77245166851</v>
      </c>
      <c r="V24" s="102">
        <f t="shared" si="20"/>
        <v>462756.0018859774</v>
      </c>
      <c r="W24" s="102">
        <f>+'Tier 1 Data - MOU 1.5'!X24</f>
        <v>0</v>
      </c>
      <c r="X24" s="102">
        <f>+'Tier 1 Data - MOU 1.5'!Y24</f>
        <v>0</v>
      </c>
      <c r="Y24" s="102">
        <f>+'Tier 1 Data - MOU 1.5'!Z24</f>
        <v>0</v>
      </c>
      <c r="Z24" s="102">
        <f>+'Tier 1 Data - MOU 1.5'!AA24</f>
        <v>0</v>
      </c>
      <c r="AA24" s="102">
        <f>+'Annual Energy Data'!AD34</f>
        <v>0</v>
      </c>
      <c r="AB24" s="102">
        <f>+SUM('Annual Energy Data'!AE34:AH34)</f>
        <v>39974.799999999996</v>
      </c>
      <c r="AC24" s="102">
        <f>+'Annual Energy Data'!BD34</f>
        <v>0</v>
      </c>
      <c r="AD24" s="102">
        <f>+'Annual Energy Data'!AI34+'Annual Energy Data'!AJ34</f>
        <v>39082.345000000008</v>
      </c>
      <c r="AE24" s="102">
        <f>+'Annual Energy Data'!AM34*0.9</f>
        <v>0</v>
      </c>
      <c r="AF24" s="102">
        <f>+'Annual Energy Data'!AO34</f>
        <v>21326.281999999999</v>
      </c>
      <c r="AG24" s="102">
        <f>+'Annual Energy Data'!BR34</f>
        <v>9807.0000000000018</v>
      </c>
      <c r="AH24" s="102">
        <f>+'Annual Energy Data'!BS34</f>
        <v>0</v>
      </c>
      <c r="AI24" s="102">
        <f>+'Annual Energy Data'!BT34</f>
        <v>64656</v>
      </c>
      <c r="AJ24" s="102">
        <f>+'Annual Energy Data'!AP34</f>
        <v>0</v>
      </c>
      <c r="AK24" s="262">
        <v>0</v>
      </c>
      <c r="AL24" s="102">
        <f t="shared" si="6"/>
        <v>174846.427</v>
      </c>
      <c r="AM24" s="65">
        <f t="shared" si="1"/>
        <v>21326</v>
      </c>
      <c r="AN24" s="65">
        <f t="shared" si="2"/>
        <v>0</v>
      </c>
      <c r="AO24" s="65">
        <f t="shared" si="3"/>
        <v>0</v>
      </c>
      <c r="AP24" s="65">
        <f t="shared" si="4"/>
        <v>0</v>
      </c>
      <c r="AT24" s="58">
        <f t="shared" si="7"/>
        <v>21326</v>
      </c>
      <c r="AU24" s="58">
        <f t="shared" si="8"/>
        <v>153520.427</v>
      </c>
      <c r="AV24" s="73">
        <f t="shared" si="9"/>
        <v>222488.86263946412</v>
      </c>
      <c r="AW24" s="73">
        <f t="shared" si="10"/>
        <v>222488.86263946412</v>
      </c>
      <c r="AX24" s="73">
        <f t="shared" si="11"/>
        <v>222488.86263946412</v>
      </c>
      <c r="AY24" s="73">
        <f t="shared" si="12"/>
        <v>382338.76193708333</v>
      </c>
      <c r="AZ24" s="73">
        <f t="shared" si="13"/>
        <v>387480.34545166849</v>
      </c>
      <c r="BA24" s="73">
        <f t="shared" si="14"/>
        <v>309235.57488597743</v>
      </c>
      <c r="BC24" s="68">
        <f t="shared" si="21"/>
        <v>0.32319071599037374</v>
      </c>
      <c r="BE24" s="184">
        <f t="shared" si="23"/>
        <v>0.13458683383241299</v>
      </c>
      <c r="BF24" s="184">
        <f t="shared" si="24"/>
        <v>1.3458683383241299</v>
      </c>
      <c r="BG24" s="172">
        <f t="shared" si="22"/>
        <v>2870.1988183100393</v>
      </c>
      <c r="BH24" s="172">
        <f t="shared" si="22"/>
        <v>28701.988183100395</v>
      </c>
    </row>
    <row r="25" spans="1:60" x14ac:dyDescent="0.2">
      <c r="A25" s="68">
        <f t="shared" si="25"/>
        <v>1</v>
      </c>
      <c r="B25">
        <f>+'Annual Energy Data'!A35</f>
        <v>2035</v>
      </c>
      <c r="C25" s="58">
        <f>+'Annual Energy Data'!I35</f>
        <v>454168.1554260109</v>
      </c>
      <c r="D25" s="58">
        <f>+'Annual Energy Data'!M35</f>
        <v>466555.50545202213</v>
      </c>
      <c r="E25" s="58">
        <f>+'Annual Energy Data'!Q35</f>
        <v>454168.1554260109</v>
      </c>
      <c r="F25" s="58">
        <f>+'Annual Energy Data'!U35</f>
        <v>684634.91834434343</v>
      </c>
      <c r="G25" s="58">
        <f>+'Annual Energy Data'!V35</f>
        <v>695043.4194148333</v>
      </c>
      <c r="H25" s="58">
        <f>+'Annual Energy Data'!W35</f>
        <v>592612.44988284016</v>
      </c>
      <c r="I25" s="58">
        <f>+'Tier 3 Data'!J30</f>
        <v>466555.50545202213</v>
      </c>
      <c r="J25" s="58">
        <f>+'Tier 3 Data'!K30</f>
        <v>466555.50545202213</v>
      </c>
      <c r="K25" s="58">
        <f>+'Tier 3 Data'!L30</f>
        <v>466555.50545202213</v>
      </c>
      <c r="L25" s="58">
        <f>+'Tier 3 Data'!M30</f>
        <v>684634.91834434343</v>
      </c>
      <c r="M25" s="58">
        <f>+'Tier 3 Data'!N30</f>
        <v>695043.4194148333</v>
      </c>
      <c r="N25" s="58">
        <f>+'Tier 3 Data'!O30</f>
        <v>592612.44988284016</v>
      </c>
      <c r="O25" s="68">
        <f>+A25-'Tier 2 Data - MOU I.6'!A25</f>
        <v>0.8</v>
      </c>
      <c r="P25" s="89">
        <f t="shared" si="0"/>
        <v>2035</v>
      </c>
      <c r="Q25" s="102">
        <f t="shared" si="15"/>
        <v>373244.40436161775</v>
      </c>
      <c r="R25" s="102">
        <f t="shared" si="16"/>
        <v>373244.40436161775</v>
      </c>
      <c r="S25" s="102">
        <f t="shared" si="17"/>
        <v>373244.40436161775</v>
      </c>
      <c r="T25" s="102">
        <f t="shared" si="18"/>
        <v>547707.93467547477</v>
      </c>
      <c r="U25" s="102">
        <f t="shared" si="19"/>
        <v>556034.73553186667</v>
      </c>
      <c r="V25" s="102">
        <f t="shared" si="20"/>
        <v>474089.95990627212</v>
      </c>
      <c r="W25" s="102">
        <f>+'Tier 1 Data - MOU 1.5'!X25</f>
        <v>0</v>
      </c>
      <c r="X25" s="102">
        <f>+'Tier 1 Data - MOU 1.5'!Y25</f>
        <v>0</v>
      </c>
      <c r="Y25" s="102">
        <f>+'Tier 1 Data - MOU 1.5'!Z25</f>
        <v>0</v>
      </c>
      <c r="Z25" s="102">
        <f>+'Tier 1 Data - MOU 1.5'!AA25</f>
        <v>0</v>
      </c>
      <c r="AA25" s="102">
        <f>+'Annual Energy Data'!AD35</f>
        <v>0</v>
      </c>
      <c r="AB25" s="102">
        <f>+SUM('Annual Energy Data'!AE35:AH35)</f>
        <v>39974.799999999996</v>
      </c>
      <c r="AC25" s="102">
        <f>+'Annual Energy Data'!BD35</f>
        <v>0</v>
      </c>
      <c r="AD25" s="102">
        <f>+'Annual Energy Data'!AI35+'Annual Energy Data'!AJ35</f>
        <v>39082.345000000008</v>
      </c>
      <c r="AE25" s="102">
        <f>+'Annual Energy Data'!AM35*0.9</f>
        <v>0</v>
      </c>
      <c r="AF25" s="102">
        <f>+'Annual Energy Data'!AO35</f>
        <v>21326.281999999999</v>
      </c>
      <c r="AG25" s="102">
        <f>+'Annual Energy Data'!BR35</f>
        <v>0</v>
      </c>
      <c r="AH25" s="102">
        <f>+'Annual Energy Data'!BS35</f>
        <v>0</v>
      </c>
      <c r="AI25" s="102">
        <f>+'Annual Energy Data'!BT35</f>
        <v>64736</v>
      </c>
      <c r="AJ25" s="102">
        <f>+'Annual Energy Data'!AP35</f>
        <v>0</v>
      </c>
      <c r="AK25" s="262">
        <v>0</v>
      </c>
      <c r="AL25" s="102">
        <f t="shared" si="6"/>
        <v>165119.427</v>
      </c>
      <c r="AM25" s="65">
        <f t="shared" si="1"/>
        <v>21326</v>
      </c>
      <c r="AN25" s="65">
        <f t="shared" si="2"/>
        <v>0</v>
      </c>
      <c r="AO25" s="65">
        <f t="shared" si="3"/>
        <v>0</v>
      </c>
      <c r="AP25" s="65">
        <f t="shared" si="4"/>
        <v>0</v>
      </c>
      <c r="AT25" s="58">
        <f t="shared" si="7"/>
        <v>21326</v>
      </c>
      <c r="AU25" s="58">
        <f t="shared" si="8"/>
        <v>143793.427</v>
      </c>
      <c r="AV25" s="73">
        <f t="shared" si="9"/>
        <v>229450.97736161776</v>
      </c>
      <c r="AW25" s="73">
        <f t="shared" si="10"/>
        <v>229450.97736161776</v>
      </c>
      <c r="AX25" s="73">
        <f t="shared" si="11"/>
        <v>229450.97736161776</v>
      </c>
      <c r="AY25" s="73">
        <f t="shared" si="12"/>
        <v>403914.50767547474</v>
      </c>
      <c r="AZ25" s="73">
        <f t="shared" si="13"/>
        <v>412241.30853186664</v>
      </c>
      <c r="BA25" s="73">
        <f t="shared" si="14"/>
        <v>330296.5329062721</v>
      </c>
      <c r="BC25" s="68">
        <f t="shared" si="21"/>
        <v>0.29695883449090188</v>
      </c>
      <c r="BE25" s="184">
        <f t="shared" si="23"/>
        <v>0.13727857050906125</v>
      </c>
      <c r="BF25" s="184">
        <f t="shared" si="24"/>
        <v>1.3727857050906125</v>
      </c>
      <c r="BG25" s="172">
        <f t="shared" si="22"/>
        <v>2927.6027946762401</v>
      </c>
      <c r="BH25" s="172">
        <f t="shared" si="22"/>
        <v>29276.027946762402</v>
      </c>
    </row>
    <row r="26" spans="1:60" x14ac:dyDescent="0.2">
      <c r="A26" s="68">
        <f t="shared" si="25"/>
        <v>1</v>
      </c>
      <c r="B26">
        <f>+'Annual Energy Data'!A36</f>
        <v>2036</v>
      </c>
      <c r="C26" s="58">
        <f>+'Annual Energy Data'!I36</f>
        <v>450752.59999360086</v>
      </c>
      <c r="D26" s="58">
        <f>+'Annual Energy Data'!M36</f>
        <v>463165.5637878066</v>
      </c>
      <c r="E26" s="58">
        <f>+'Annual Energy Data'!Q36</f>
        <v>450752.59999360086</v>
      </c>
      <c r="F26" s="58">
        <f>+'Annual Energy Data'!U36</f>
        <v>696152.57991366449</v>
      </c>
      <c r="G26" s="58">
        <f>+'Annual Energy Data'!V36</f>
        <v>713975.43825101119</v>
      </c>
      <c r="H26" s="58">
        <f>+'Annual Energy Data'!W36</f>
        <v>606943.02648805513</v>
      </c>
      <c r="I26" s="58">
        <f>+'Tier 3 Data'!J31</f>
        <v>463165.5637878066</v>
      </c>
      <c r="J26" s="58">
        <f>+'Tier 3 Data'!K31</f>
        <v>463165.5637878066</v>
      </c>
      <c r="K26" s="58">
        <f>+'Tier 3 Data'!L31</f>
        <v>463165.5637878066</v>
      </c>
      <c r="L26" s="58">
        <f>+'Tier 3 Data'!M31</f>
        <v>696152.57991366449</v>
      </c>
      <c r="M26" s="58">
        <f>+'Tier 3 Data'!N31</f>
        <v>713975.43825101119</v>
      </c>
      <c r="N26" s="58">
        <f>+'Tier 3 Data'!O31</f>
        <v>606943.02648805513</v>
      </c>
      <c r="O26" s="68">
        <f>+A26-'Tier 2 Data - MOU I.6'!A26</f>
        <v>0.8</v>
      </c>
      <c r="P26" s="89">
        <f t="shared" si="0"/>
        <v>2036</v>
      </c>
      <c r="Q26" s="102">
        <f t="shared" si="15"/>
        <v>370532.45103024528</v>
      </c>
      <c r="R26" s="102">
        <f t="shared" si="16"/>
        <v>370532.45103024528</v>
      </c>
      <c r="S26" s="102">
        <f t="shared" si="17"/>
        <v>370532.45103024528</v>
      </c>
      <c r="T26" s="102">
        <f t="shared" si="18"/>
        <v>556922.06393093162</v>
      </c>
      <c r="U26" s="102">
        <f t="shared" si="19"/>
        <v>571180.35060080898</v>
      </c>
      <c r="V26" s="102">
        <f t="shared" si="20"/>
        <v>485554.42119044415</v>
      </c>
      <c r="W26" s="102">
        <f>+'Tier 1 Data - MOU 1.5'!X26</f>
        <v>0</v>
      </c>
      <c r="X26" s="102">
        <f>+'Tier 1 Data - MOU 1.5'!Y26</f>
        <v>0</v>
      </c>
      <c r="Y26" s="102">
        <f>+'Tier 1 Data - MOU 1.5'!Z26</f>
        <v>0</v>
      </c>
      <c r="Z26" s="102">
        <f>+'Tier 1 Data - MOU 1.5'!AA26</f>
        <v>0</v>
      </c>
      <c r="AA26" s="102">
        <f>+'Annual Energy Data'!AD36</f>
        <v>0</v>
      </c>
      <c r="AB26" s="102">
        <f>+SUM('Annual Energy Data'!AE36:AH36)</f>
        <v>40084.32</v>
      </c>
      <c r="AC26" s="102">
        <f>+'Annual Energy Data'!BD36</f>
        <v>0</v>
      </c>
      <c r="AD26" s="102">
        <f>+'Annual Energy Data'!AI36+'Annual Energy Data'!AJ36</f>
        <v>39082.345000000008</v>
      </c>
      <c r="AE26" s="102">
        <f>+'Annual Energy Data'!AM36*0.9</f>
        <v>0</v>
      </c>
      <c r="AF26" s="102">
        <f>+'Annual Energy Data'!AO36</f>
        <v>21326.281999999999</v>
      </c>
      <c r="AG26" s="102">
        <f>+'Annual Energy Data'!BR36</f>
        <v>0</v>
      </c>
      <c r="AH26" s="102">
        <f>+'Annual Energy Data'!BS36</f>
        <v>0</v>
      </c>
      <c r="AI26" s="102">
        <f>+'Annual Energy Data'!BT36</f>
        <v>0</v>
      </c>
      <c r="AJ26" s="102">
        <f>+'Annual Energy Data'!AP36</f>
        <v>0</v>
      </c>
      <c r="AK26" s="262">
        <v>0</v>
      </c>
      <c r="AL26" s="102">
        <f t="shared" si="6"/>
        <v>100492.94700000001</v>
      </c>
      <c r="AM26" s="65">
        <f t="shared" si="1"/>
        <v>21326</v>
      </c>
      <c r="AN26" s="65">
        <f t="shared" si="2"/>
        <v>0</v>
      </c>
      <c r="AO26" s="65">
        <f t="shared" si="3"/>
        <v>0</v>
      </c>
      <c r="AP26" s="65">
        <f t="shared" si="4"/>
        <v>0</v>
      </c>
      <c r="AT26" s="58">
        <f t="shared" si="7"/>
        <v>21326</v>
      </c>
      <c r="AU26" s="58">
        <f t="shared" si="8"/>
        <v>79166.947000000015</v>
      </c>
      <c r="AV26" s="73">
        <f t="shared" si="9"/>
        <v>291365.50403024524</v>
      </c>
      <c r="AW26" s="73">
        <f t="shared" si="10"/>
        <v>291365.50403024524</v>
      </c>
      <c r="AX26" s="73">
        <f t="shared" si="11"/>
        <v>291365.50403024524</v>
      </c>
      <c r="AY26" s="73">
        <f t="shared" si="12"/>
        <v>477755.11693093157</v>
      </c>
      <c r="AZ26" s="73">
        <f t="shared" si="13"/>
        <v>492013.40360080893</v>
      </c>
      <c r="BA26" s="73">
        <f t="shared" si="14"/>
        <v>406387.4741904441</v>
      </c>
      <c r="BC26" s="68">
        <f t="shared" si="21"/>
        <v>0.17593908280334614</v>
      </c>
      <c r="BE26" s="184">
        <f t="shared" si="23"/>
        <v>0.14002414191924248</v>
      </c>
      <c r="BF26" s="184">
        <f t="shared" si="24"/>
        <v>1.4002414191924248</v>
      </c>
      <c r="BG26" s="172">
        <f t="shared" si="22"/>
        <v>2986.1548505697651</v>
      </c>
      <c r="BH26" s="172">
        <f t="shared" si="22"/>
        <v>29861.54850569765</v>
      </c>
    </row>
    <row r="27" spans="1:60" x14ac:dyDescent="0.2">
      <c r="A27" s="68">
        <f t="shared" si="25"/>
        <v>1</v>
      </c>
      <c r="B27">
        <f>+'Annual Energy Data'!A37</f>
        <v>2037</v>
      </c>
      <c r="C27" s="58">
        <f>+'Annual Energy Data'!I37</f>
        <v>447387.73898049071</v>
      </c>
      <c r="D27" s="58">
        <f>+'Annual Energy Data'!M37</f>
        <v>459775.08900650206</v>
      </c>
      <c r="E27" s="58">
        <f>+'Annual Energy Data'!Q37</f>
        <v>447387.73898049071</v>
      </c>
      <c r="F27" s="58">
        <f>+'Annual Energy Data'!U37</f>
        <v>704881.09830864915</v>
      </c>
      <c r="G27" s="58">
        <f>+'Annual Energy Data'!V37</f>
        <v>733141.30112139042</v>
      </c>
      <c r="H27" s="58">
        <f>+'Annual Energy Data'!W37</f>
        <v>620684.50300369866</v>
      </c>
      <c r="I27" s="58">
        <f>+'Tier 3 Data'!J32</f>
        <v>459775.08900650206</v>
      </c>
      <c r="J27" s="58">
        <f>+'Tier 3 Data'!K32</f>
        <v>459775.08900650206</v>
      </c>
      <c r="K27" s="58">
        <f>+'Tier 3 Data'!L32</f>
        <v>459775.08900650206</v>
      </c>
      <c r="L27" s="58">
        <f>+'Tier 3 Data'!M32</f>
        <v>704881.09830864915</v>
      </c>
      <c r="M27" s="58">
        <f>+'Tier 3 Data'!N32</f>
        <v>733141.30112139042</v>
      </c>
      <c r="N27" s="58">
        <f>+'Tier 3 Data'!O32</f>
        <v>620684.50300369866</v>
      </c>
      <c r="O27" s="68">
        <f>+A27-'Tier 2 Data - MOU I.6'!A27</f>
        <v>0.8</v>
      </c>
      <c r="P27" s="89">
        <f t="shared" si="0"/>
        <v>2037</v>
      </c>
      <c r="Q27" s="102">
        <f t="shared" si="15"/>
        <v>367820.07120520168</v>
      </c>
      <c r="R27" s="102">
        <f t="shared" si="16"/>
        <v>367820.07120520168</v>
      </c>
      <c r="S27" s="102">
        <f t="shared" si="17"/>
        <v>367820.07120520168</v>
      </c>
      <c r="T27" s="102">
        <f t="shared" si="18"/>
        <v>563904.87864691939</v>
      </c>
      <c r="U27" s="102">
        <f t="shared" si="19"/>
        <v>586513.04089711234</v>
      </c>
      <c r="V27" s="102">
        <f t="shared" si="20"/>
        <v>496547.60240295896</v>
      </c>
      <c r="W27" s="102">
        <f>+'Tier 1 Data - MOU 1.5'!X27</f>
        <v>0</v>
      </c>
      <c r="X27" s="102">
        <f>+'Tier 1 Data - MOU 1.5'!Y27</f>
        <v>0</v>
      </c>
      <c r="Y27" s="102">
        <f>+'Tier 1 Data - MOU 1.5'!Z27</f>
        <v>0</v>
      </c>
      <c r="Z27" s="102">
        <f>+'Tier 1 Data - MOU 1.5'!AA27</f>
        <v>0</v>
      </c>
      <c r="AA27" s="102">
        <f>+'Annual Energy Data'!AD37</f>
        <v>0</v>
      </c>
      <c r="AB27" s="102">
        <f>+SUM('Annual Energy Data'!AE37:AH37)</f>
        <v>39974.799999999996</v>
      </c>
      <c r="AC27" s="102">
        <f>+'Annual Energy Data'!BD37</f>
        <v>0</v>
      </c>
      <c r="AD27" s="102">
        <f>+'Annual Energy Data'!AI37+'Annual Energy Data'!AJ37</f>
        <v>39082.345000000008</v>
      </c>
      <c r="AE27" s="102">
        <f>+'Annual Energy Data'!AM37*0.9</f>
        <v>0</v>
      </c>
      <c r="AF27" s="102">
        <f>+'Annual Energy Data'!AO37</f>
        <v>21188.506000000001</v>
      </c>
      <c r="AG27" s="102">
        <f>+'Annual Energy Data'!BR37</f>
        <v>0</v>
      </c>
      <c r="AH27" s="102">
        <f>+'Annual Energy Data'!BS37</f>
        <v>0</v>
      </c>
      <c r="AI27" s="102">
        <f>+'Annual Energy Data'!BT37</f>
        <v>0</v>
      </c>
      <c r="AJ27" s="102">
        <f>+'Annual Energy Data'!AP37</f>
        <v>0</v>
      </c>
      <c r="AK27" s="262">
        <v>0</v>
      </c>
      <c r="AL27" s="102">
        <f t="shared" si="6"/>
        <v>100245.65100000001</v>
      </c>
      <c r="AM27" s="65">
        <f t="shared" si="1"/>
        <v>21189</v>
      </c>
      <c r="AN27" s="65">
        <f t="shared" si="2"/>
        <v>0</v>
      </c>
      <c r="AO27" s="65">
        <f t="shared" si="3"/>
        <v>0</v>
      </c>
      <c r="AP27" s="65">
        <f t="shared" si="4"/>
        <v>0</v>
      </c>
      <c r="AT27" s="58">
        <f t="shared" si="7"/>
        <v>21189</v>
      </c>
      <c r="AU27" s="58">
        <f t="shared" si="8"/>
        <v>79056.651000000013</v>
      </c>
      <c r="AV27" s="73">
        <f t="shared" si="9"/>
        <v>288763.42020520166</v>
      </c>
      <c r="AW27" s="73">
        <f t="shared" si="10"/>
        <v>288763.42020520166</v>
      </c>
      <c r="AX27" s="73">
        <f t="shared" si="11"/>
        <v>288763.42020520166</v>
      </c>
      <c r="AY27" s="73">
        <f t="shared" si="12"/>
        <v>484848.22764691937</v>
      </c>
      <c r="AZ27" s="73">
        <f t="shared" si="13"/>
        <v>507456.38989711233</v>
      </c>
      <c r="BA27" s="73">
        <f t="shared" si="14"/>
        <v>417490.95140295895</v>
      </c>
      <c r="BC27" s="68">
        <f t="shared" si="21"/>
        <v>0.17091802570436856</v>
      </c>
      <c r="BE27" s="184">
        <f t="shared" si="23"/>
        <v>0.14282462475762733</v>
      </c>
      <c r="BF27" s="184">
        <f t="shared" si="24"/>
        <v>1.4282462475762734</v>
      </c>
      <c r="BG27" s="172">
        <f t="shared" si="22"/>
        <v>3026.3109739893657</v>
      </c>
      <c r="BH27" s="172">
        <f t="shared" si="22"/>
        <v>30263.109739893658</v>
      </c>
    </row>
    <row r="28" spans="1:60" x14ac:dyDescent="0.2">
      <c r="A28" s="68">
        <f t="shared" si="25"/>
        <v>1</v>
      </c>
      <c r="B28">
        <f>+'Annual Energy Data'!A38</f>
        <v>2038</v>
      </c>
      <c r="C28" s="58">
        <f>+'Annual Energy Data'!I38</f>
        <v>444005.40927147336</v>
      </c>
      <c r="D28" s="58">
        <f>+'Annual Energy Data'!M38</f>
        <v>456392.75929748471</v>
      </c>
      <c r="E28" s="58">
        <f>+'Annual Energy Data'!Q38</f>
        <v>444005.40927147336</v>
      </c>
      <c r="F28" s="58">
        <f>+'Annual Energy Data'!U38</f>
        <v>711330.67528154957</v>
      </c>
      <c r="G28" s="58">
        <f>+'Annual Energy Data'!V38</f>
        <v>751528.19713254215</v>
      </c>
      <c r="H28" s="58">
        <f>+'Annual Energy Data'!W38</f>
        <v>633249.93557360559</v>
      </c>
      <c r="I28" s="58">
        <f>+'Tier 3 Data'!J33</f>
        <v>456392.75929748471</v>
      </c>
      <c r="J28" s="58">
        <f>+'Tier 3 Data'!K33</f>
        <v>456392.75929748471</v>
      </c>
      <c r="K28" s="58">
        <f>+'Tier 3 Data'!L33</f>
        <v>456392.75929748471</v>
      </c>
      <c r="L28" s="58">
        <f>+'Tier 3 Data'!M33</f>
        <v>711330.67528154957</v>
      </c>
      <c r="M28" s="58">
        <f>+'Tier 3 Data'!N33</f>
        <v>751528.19713254215</v>
      </c>
      <c r="N28" s="58">
        <f>+'Tier 3 Data'!O33</f>
        <v>633249.93557360559</v>
      </c>
      <c r="O28" s="68">
        <f>+A28-'Tier 2 Data - MOU I.6'!A28</f>
        <v>0.8</v>
      </c>
      <c r="P28" s="89">
        <f t="shared" si="0"/>
        <v>2038</v>
      </c>
      <c r="Q28" s="102">
        <f t="shared" si="15"/>
        <v>365114.20743798779</v>
      </c>
      <c r="R28" s="102">
        <f t="shared" si="16"/>
        <v>365114.20743798779</v>
      </c>
      <c r="S28" s="102">
        <f t="shared" si="17"/>
        <v>365114.20743798779</v>
      </c>
      <c r="T28" s="102">
        <f t="shared" si="18"/>
        <v>569064.5402252397</v>
      </c>
      <c r="U28" s="102">
        <f t="shared" si="19"/>
        <v>601222.55770603369</v>
      </c>
      <c r="V28" s="102">
        <f t="shared" si="20"/>
        <v>506599.94845888449</v>
      </c>
      <c r="W28" s="102">
        <f>+'Tier 1 Data - MOU 1.5'!X28</f>
        <v>0</v>
      </c>
      <c r="X28" s="102">
        <f>+'Tier 1 Data - MOU 1.5'!Y28</f>
        <v>0</v>
      </c>
      <c r="Y28" s="102">
        <f>+'Tier 1 Data - MOU 1.5'!Z28</f>
        <v>0</v>
      </c>
      <c r="Z28" s="102">
        <f>+'Tier 1 Data - MOU 1.5'!AA28</f>
        <v>0</v>
      </c>
      <c r="AA28" s="102">
        <f>+'Annual Energy Data'!AD38</f>
        <v>0</v>
      </c>
      <c r="AB28" s="102">
        <f>+SUM('Annual Energy Data'!AE38:AH38)</f>
        <v>33294.079999999994</v>
      </c>
      <c r="AC28" s="102">
        <f>+'Annual Energy Data'!BD38</f>
        <v>0</v>
      </c>
      <c r="AD28" s="102">
        <f>+'Annual Energy Data'!AI38+'Annual Energy Data'!AJ38</f>
        <v>39082.345000000008</v>
      </c>
      <c r="AE28" s="102">
        <f>+'Annual Energy Data'!AM38*0.9</f>
        <v>0</v>
      </c>
      <c r="AF28" s="102">
        <f>+'Annual Energy Data'!AO38</f>
        <v>0</v>
      </c>
      <c r="AG28" s="102">
        <f>+'Annual Energy Data'!BR38</f>
        <v>0</v>
      </c>
      <c r="AH28" s="102">
        <f>+'Annual Energy Data'!BS38</f>
        <v>0</v>
      </c>
      <c r="AI28" s="102">
        <f>+'Annual Energy Data'!BT38</f>
        <v>0</v>
      </c>
      <c r="AJ28" s="102">
        <f>+'Annual Energy Data'!AP38</f>
        <v>0</v>
      </c>
      <c r="AK28" s="262">
        <v>0</v>
      </c>
      <c r="AL28" s="102">
        <f t="shared" si="6"/>
        <v>72376.425000000003</v>
      </c>
      <c r="AM28" s="65">
        <f t="shared" si="1"/>
        <v>0</v>
      </c>
      <c r="AN28" s="65">
        <f t="shared" si="2"/>
        <v>0</v>
      </c>
      <c r="AO28" s="65">
        <f t="shared" si="3"/>
        <v>0</v>
      </c>
      <c r="AP28" s="65">
        <f t="shared" si="4"/>
        <v>0</v>
      </c>
      <c r="AT28" s="58">
        <f t="shared" si="7"/>
        <v>0</v>
      </c>
      <c r="AU28" s="58">
        <f t="shared" si="8"/>
        <v>72376.425000000003</v>
      </c>
      <c r="AV28" s="73">
        <f t="shared" si="9"/>
        <v>292737.7824379878</v>
      </c>
      <c r="AW28" s="73">
        <f t="shared" si="10"/>
        <v>292737.7824379878</v>
      </c>
      <c r="AX28" s="73">
        <f t="shared" si="11"/>
        <v>292737.7824379878</v>
      </c>
      <c r="AY28" s="73">
        <f t="shared" si="12"/>
        <v>496688.11522523972</v>
      </c>
      <c r="AZ28" s="73">
        <f t="shared" si="13"/>
        <v>528846.13270603365</v>
      </c>
      <c r="BA28" s="73">
        <f t="shared" si="14"/>
        <v>434223.52345888451</v>
      </c>
      <c r="BC28" s="68">
        <f t="shared" si="21"/>
        <v>0.12038208492401291</v>
      </c>
      <c r="BE28" s="184">
        <f t="shared" si="23"/>
        <v>0.14568111725277988</v>
      </c>
      <c r="BF28" s="184">
        <f t="shared" si="24"/>
        <v>1.4568111725277988</v>
      </c>
      <c r="BG28" s="172">
        <f t="shared" si="22"/>
        <v>0</v>
      </c>
      <c r="BH28" s="172">
        <f t="shared" si="22"/>
        <v>0</v>
      </c>
    </row>
    <row r="29" spans="1:60" x14ac:dyDescent="0.2">
      <c r="A29" s="68">
        <f t="shared" si="25"/>
        <v>1</v>
      </c>
      <c r="B29">
        <f>+'Annual Energy Data'!A39</f>
        <v>2039</v>
      </c>
      <c r="C29" s="58">
        <f>+'Annual Energy Data'!I39</f>
        <v>440635.31590522564</v>
      </c>
      <c r="D29" s="58">
        <f>+'Annual Energy Data'!M39</f>
        <v>453022.66593123681</v>
      </c>
      <c r="E29" s="58">
        <f>+'Annual Energy Data'!Q39</f>
        <v>440635.31590522564</v>
      </c>
      <c r="F29" s="58">
        <f>+'Annual Energy Data'!U39</f>
        <v>716120.86595409201</v>
      </c>
      <c r="G29" s="58">
        <f>+'Annual Energy Data'!V39</f>
        <v>768552.28858287516</v>
      </c>
      <c r="H29" s="58">
        <f>+'Annual Energy Data'!W39</f>
        <v>644213.49095807108</v>
      </c>
      <c r="I29" s="58">
        <f>+'Tier 3 Data'!J34</f>
        <v>453022.66593123681</v>
      </c>
      <c r="J29" s="58">
        <f>+'Tier 3 Data'!K34</f>
        <v>453022.66593123681</v>
      </c>
      <c r="K29" s="58">
        <f>+'Tier 3 Data'!L34</f>
        <v>453022.66593123681</v>
      </c>
      <c r="L29" s="58">
        <f>+'Tier 3 Data'!M34</f>
        <v>716120.86595409201</v>
      </c>
      <c r="M29" s="58">
        <f>+'Tier 3 Data'!N34</f>
        <v>768552.28858287516</v>
      </c>
      <c r="N29" s="58">
        <f>+'Tier 3 Data'!O34</f>
        <v>644213.49095807108</v>
      </c>
      <c r="O29" s="68">
        <f>+A29-'Tier 2 Data - MOU I.6'!A29</f>
        <v>0.8</v>
      </c>
      <c r="P29" s="89">
        <f t="shared" si="0"/>
        <v>2039</v>
      </c>
      <c r="Q29" s="102">
        <f t="shared" ref="Q29:Q43" si="26">+$O29*I29</f>
        <v>362418.13274498947</v>
      </c>
      <c r="R29" s="102">
        <f t="shared" ref="R29:R43" si="27">+$O29*J29</f>
        <v>362418.13274498947</v>
      </c>
      <c r="S29" s="102">
        <f t="shared" ref="S29:S43" si="28">+$O29*K29</f>
        <v>362418.13274498947</v>
      </c>
      <c r="T29" s="102">
        <f t="shared" ref="T29:T43" si="29">+$O29*L29</f>
        <v>572896.6927632736</v>
      </c>
      <c r="U29" s="102">
        <f t="shared" ref="U29:U43" si="30">+$O29*M29</f>
        <v>614841.83086630015</v>
      </c>
      <c r="V29" s="102">
        <f t="shared" ref="V29:V43" si="31">+$O29*N29</f>
        <v>515370.7927664569</v>
      </c>
      <c r="W29" s="102">
        <f>+'Tier 1 Data - MOU 1.5'!X29</f>
        <v>0</v>
      </c>
      <c r="X29" s="102">
        <f>+'Tier 1 Data - MOU 1.5'!Y29</f>
        <v>0</v>
      </c>
      <c r="Y29" s="102">
        <f>+'Tier 1 Data - MOU 1.5'!Z29</f>
        <v>0</v>
      </c>
      <c r="Z29" s="102">
        <f>+'Tier 1 Data - MOU 1.5'!AA29</f>
        <v>0</v>
      </c>
      <c r="AA29" s="102">
        <f>+'Annual Energy Data'!AD39</f>
        <v>0</v>
      </c>
      <c r="AB29" s="102">
        <f>+SUM('Annual Energy Data'!AE39:AH39)</f>
        <v>0</v>
      </c>
      <c r="AC29" s="102">
        <f>+'Annual Energy Data'!BD39</f>
        <v>0</v>
      </c>
      <c r="AD29" s="102">
        <f>+'Annual Energy Data'!AI39+'Annual Energy Data'!AJ39</f>
        <v>39082.345000000008</v>
      </c>
      <c r="AE29" s="102">
        <f>+'Annual Energy Data'!AM39*0.9</f>
        <v>0</v>
      </c>
      <c r="AF29" s="102">
        <f>+'Annual Energy Data'!AO39</f>
        <v>0</v>
      </c>
      <c r="AG29" s="102">
        <f>+'Annual Energy Data'!BR39</f>
        <v>0</v>
      </c>
      <c r="AH29" s="102">
        <f>+'Annual Energy Data'!BS39</f>
        <v>0</v>
      </c>
      <c r="AI29" s="102">
        <f>+'Annual Energy Data'!BT39</f>
        <v>0</v>
      </c>
      <c r="AJ29" s="102">
        <f>+'Annual Energy Data'!AP39</f>
        <v>0</v>
      </c>
      <c r="AK29" s="262">
        <v>0</v>
      </c>
      <c r="AL29" s="102">
        <f t="shared" si="6"/>
        <v>39082.345000000008</v>
      </c>
      <c r="AM29" s="65">
        <f t="shared" si="1"/>
        <v>0</v>
      </c>
      <c r="AN29" s="65">
        <f t="shared" si="2"/>
        <v>0</v>
      </c>
      <c r="AO29" s="65">
        <f t="shared" si="3"/>
        <v>0</v>
      </c>
      <c r="AP29" s="65">
        <f t="shared" si="4"/>
        <v>0</v>
      </c>
      <c r="AT29" s="58">
        <f t="shared" ref="AT29:AT43" si="32">+SUM(AM29:AS29)</f>
        <v>0</v>
      </c>
      <c r="AU29" s="58">
        <f t="shared" ref="AU29:AU43" si="33">+AL29-AT29</f>
        <v>39082.345000000008</v>
      </c>
      <c r="AV29" s="73">
        <f t="shared" si="9"/>
        <v>323335.78774498944</v>
      </c>
      <c r="AW29" s="73">
        <f t="shared" si="10"/>
        <v>323335.78774498944</v>
      </c>
      <c r="AX29" s="73">
        <f t="shared" si="11"/>
        <v>323335.78774498944</v>
      </c>
      <c r="AY29" s="73">
        <f t="shared" si="12"/>
        <v>533814.34776327363</v>
      </c>
      <c r="AZ29" s="73">
        <f t="shared" si="13"/>
        <v>575759.48586630018</v>
      </c>
      <c r="BA29" s="73">
        <f t="shared" si="14"/>
        <v>476288.44776645687</v>
      </c>
      <c r="BC29" s="68">
        <f t="shared" si="21"/>
        <v>6.3564876425102279E-2</v>
      </c>
      <c r="BE29" s="184">
        <f t="shared" si="23"/>
        <v>0.14859473959783548</v>
      </c>
      <c r="BF29" s="184">
        <f t="shared" si="24"/>
        <v>1.4859473959783549</v>
      </c>
      <c r="BG29" s="172">
        <f t="shared" ref="BG29:BG43" si="34">+BE29*$AT29</f>
        <v>0</v>
      </c>
      <c r="BH29" s="172">
        <f t="shared" ref="BH29:BH43" si="35">+BF29*$AT29</f>
        <v>0</v>
      </c>
    </row>
    <row r="30" spans="1:60" x14ac:dyDescent="0.2">
      <c r="A30" s="68">
        <f t="shared" si="25"/>
        <v>1</v>
      </c>
      <c r="B30">
        <f>+'Annual Energy Data'!A40</f>
        <v>2040</v>
      </c>
      <c r="C30" s="58">
        <f>+'Annual Energy Data'!I40</f>
        <v>437235.1119122798</v>
      </c>
      <c r="D30" s="58">
        <f>+'Annual Energy Data'!M40</f>
        <v>449648.07570648537</v>
      </c>
      <c r="E30" s="58">
        <f>+'Annual Energy Data'!Q40</f>
        <v>437235.1119122798</v>
      </c>
      <c r="F30" s="58">
        <f>+'Annual Energy Data'!U40</f>
        <v>719620.63688443974</v>
      </c>
      <c r="G30" s="58">
        <f>+'Annual Energy Data'!V40</f>
        <v>782587.65066748532</v>
      </c>
      <c r="H30" s="58">
        <f>+'Annual Energy Data'!W40</f>
        <v>653337.7248376013</v>
      </c>
      <c r="I30" s="58">
        <f>+'Tier 3 Data'!J35</f>
        <v>449648.07570648537</v>
      </c>
      <c r="J30" s="58">
        <f>+'Tier 3 Data'!K35</f>
        <v>449648.07570648537</v>
      </c>
      <c r="K30" s="58">
        <f>+'Tier 3 Data'!L35</f>
        <v>449648.07570648537</v>
      </c>
      <c r="L30" s="58">
        <f>+'Tier 3 Data'!M35</f>
        <v>719620.63688443974</v>
      </c>
      <c r="M30" s="58">
        <f>+'Tier 3 Data'!N35</f>
        <v>782587.65066748532</v>
      </c>
      <c r="N30" s="58">
        <f>+'Tier 3 Data'!O35</f>
        <v>653337.7248376013</v>
      </c>
      <c r="O30" s="68">
        <f>+A30-'Tier 2 Data - MOU I.6'!A30</f>
        <v>0.8</v>
      </c>
      <c r="P30" s="89">
        <f t="shared" si="0"/>
        <v>2040</v>
      </c>
      <c r="Q30" s="102">
        <f t="shared" si="26"/>
        <v>359718.46056518832</v>
      </c>
      <c r="R30" s="102">
        <f t="shared" si="27"/>
        <v>359718.46056518832</v>
      </c>
      <c r="S30" s="102">
        <f t="shared" si="28"/>
        <v>359718.46056518832</v>
      </c>
      <c r="T30" s="102">
        <f t="shared" si="29"/>
        <v>575696.50950755179</v>
      </c>
      <c r="U30" s="102">
        <f t="shared" si="30"/>
        <v>626070.12053398823</v>
      </c>
      <c r="V30" s="102">
        <f t="shared" si="31"/>
        <v>522670.17987008108</v>
      </c>
      <c r="W30" s="102">
        <f>+'Tier 1 Data - MOU 1.5'!X30</f>
        <v>0</v>
      </c>
      <c r="X30" s="102">
        <f>+'Tier 1 Data - MOU 1.5'!Y30</f>
        <v>0</v>
      </c>
      <c r="Y30" s="102">
        <f>+'Tier 1 Data - MOU 1.5'!Z30</f>
        <v>0</v>
      </c>
      <c r="Z30" s="102">
        <f>+'Tier 1 Data - MOU 1.5'!AA30</f>
        <v>0</v>
      </c>
      <c r="AA30" s="102">
        <f>+'Annual Energy Data'!AD40</f>
        <v>0</v>
      </c>
      <c r="AB30" s="102">
        <f>+SUM('Annual Energy Data'!AE40:AH40)</f>
        <v>0</v>
      </c>
      <c r="AC30" s="102">
        <f>+'Annual Energy Data'!BD40</f>
        <v>0</v>
      </c>
      <c r="AD30" s="102">
        <f>+'Annual Energy Data'!AI40+'Annual Energy Data'!AJ40</f>
        <v>39082.345000000008</v>
      </c>
      <c r="AE30" s="102">
        <f>+'Annual Energy Data'!AM40*0.9</f>
        <v>0</v>
      </c>
      <c r="AF30" s="102">
        <f>+'Annual Energy Data'!AO40</f>
        <v>0</v>
      </c>
      <c r="AG30" s="102">
        <f>+'Annual Energy Data'!BR40</f>
        <v>0</v>
      </c>
      <c r="AH30" s="102">
        <f>+'Annual Energy Data'!BS40</f>
        <v>0</v>
      </c>
      <c r="AI30" s="102">
        <f>+'Annual Energy Data'!BT40</f>
        <v>0</v>
      </c>
      <c r="AJ30" s="102">
        <f>+'Annual Energy Data'!AP40</f>
        <v>0</v>
      </c>
      <c r="AK30" s="262">
        <v>0</v>
      </c>
      <c r="AL30" s="102">
        <f t="shared" si="6"/>
        <v>39082.345000000008</v>
      </c>
      <c r="AM30" s="65">
        <f t="shared" si="1"/>
        <v>0</v>
      </c>
      <c r="AN30" s="65">
        <f t="shared" si="2"/>
        <v>0</v>
      </c>
      <c r="AO30" s="65">
        <f t="shared" si="3"/>
        <v>0</v>
      </c>
      <c r="AP30" s="65">
        <f t="shared" si="4"/>
        <v>0</v>
      </c>
      <c r="AT30" s="58">
        <f t="shared" si="32"/>
        <v>0</v>
      </c>
      <c r="AU30" s="58">
        <f t="shared" si="33"/>
        <v>39082.345000000008</v>
      </c>
      <c r="AV30" s="73">
        <f t="shared" si="9"/>
        <v>320636.11556518829</v>
      </c>
      <c r="AW30" s="73">
        <f t="shared" si="10"/>
        <v>320636.11556518829</v>
      </c>
      <c r="AX30" s="73">
        <f t="shared" si="11"/>
        <v>320636.11556518829</v>
      </c>
      <c r="AY30" s="73">
        <f t="shared" si="12"/>
        <v>536614.16450755182</v>
      </c>
      <c r="AZ30" s="73">
        <f t="shared" si="13"/>
        <v>586987.77553398826</v>
      </c>
      <c r="BA30" s="73">
        <f t="shared" si="14"/>
        <v>483587.83487008105</v>
      </c>
      <c r="BC30" s="68">
        <f t="shared" si="21"/>
        <v>6.2424868586071262E-2</v>
      </c>
      <c r="BE30" s="184">
        <f t="shared" si="23"/>
        <v>0.1515666343897922</v>
      </c>
      <c r="BF30" s="184">
        <f t="shared" si="24"/>
        <v>1.5156663438979221</v>
      </c>
      <c r="BG30" s="172">
        <f t="shared" si="34"/>
        <v>0</v>
      </c>
      <c r="BH30" s="172">
        <f t="shared" si="35"/>
        <v>0</v>
      </c>
    </row>
    <row r="31" spans="1:60" x14ac:dyDescent="0.2">
      <c r="A31" s="68">
        <f t="shared" si="25"/>
        <v>1</v>
      </c>
      <c r="B31">
        <f>+'Annual Energy Data'!A41</f>
        <v>2041</v>
      </c>
      <c r="C31" s="58">
        <f>+'Annual Energy Data'!I41</f>
        <v>433853.75301301666</v>
      </c>
      <c r="D31" s="58">
        <f>+'Annual Energy Data'!M41</f>
        <v>446241.10303902789</v>
      </c>
      <c r="E31" s="58">
        <f>+'Annual Energy Data'!Q41</f>
        <v>433853.75301301666</v>
      </c>
      <c r="F31" s="58">
        <f>+'Annual Energy Data'!U41</f>
        <v>722223.80304426048</v>
      </c>
      <c r="G31" s="58">
        <f>+'Annual Energy Data'!V41</f>
        <v>793532.27899898123</v>
      </c>
      <c r="H31" s="58">
        <f>+'Annual Energy Data'!W41</f>
        <v>660621.06578335713</v>
      </c>
      <c r="I31" s="58">
        <f>+'Tier 3 Data'!J36</f>
        <v>446241.10303902789</v>
      </c>
      <c r="J31" s="58">
        <f>+'Tier 3 Data'!K36</f>
        <v>446241.10303902789</v>
      </c>
      <c r="K31" s="58">
        <f>+'Tier 3 Data'!L36</f>
        <v>446241.10303902789</v>
      </c>
      <c r="L31" s="58">
        <f>+'Tier 3 Data'!M36</f>
        <v>722223.80304426048</v>
      </c>
      <c r="M31" s="58">
        <f>+'Tier 3 Data'!N36</f>
        <v>793532.27899898123</v>
      </c>
      <c r="N31" s="58">
        <f>+'Tier 3 Data'!O36</f>
        <v>660621.06578335713</v>
      </c>
      <c r="O31" s="68">
        <f>+A31-'Tier 2 Data - MOU I.6'!A31</f>
        <v>0.8</v>
      </c>
      <c r="P31" s="89">
        <f t="shared" si="0"/>
        <v>2041</v>
      </c>
      <c r="Q31" s="102">
        <f t="shared" si="26"/>
        <v>356992.88243122236</v>
      </c>
      <c r="R31" s="102">
        <f t="shared" si="27"/>
        <v>356992.88243122236</v>
      </c>
      <c r="S31" s="102">
        <f t="shared" si="28"/>
        <v>356992.88243122236</v>
      </c>
      <c r="T31" s="102">
        <f t="shared" si="29"/>
        <v>577779.04243540845</v>
      </c>
      <c r="U31" s="102">
        <f t="shared" si="30"/>
        <v>634825.82319918508</v>
      </c>
      <c r="V31" s="102">
        <f t="shared" si="31"/>
        <v>528496.85262668575</v>
      </c>
      <c r="W31" s="102">
        <f>+'Tier 1 Data - MOU 1.5'!X31</f>
        <v>0</v>
      </c>
      <c r="X31" s="102">
        <f>+'Tier 1 Data - MOU 1.5'!Y31</f>
        <v>0</v>
      </c>
      <c r="Y31" s="102">
        <f>+'Tier 1 Data - MOU 1.5'!Z31</f>
        <v>0</v>
      </c>
      <c r="Z31" s="102">
        <f>+'Tier 1 Data - MOU 1.5'!AA31</f>
        <v>0</v>
      </c>
      <c r="AA31" s="102">
        <f>+'Annual Energy Data'!AD41</f>
        <v>0</v>
      </c>
      <c r="AB31" s="102">
        <f>+SUM('Annual Energy Data'!AE41:AH41)</f>
        <v>0</v>
      </c>
      <c r="AC31" s="102">
        <f>+'Annual Energy Data'!BD41</f>
        <v>0</v>
      </c>
      <c r="AD31" s="102">
        <f>+'Annual Energy Data'!AI41+'Annual Energy Data'!AJ41</f>
        <v>39082.345000000008</v>
      </c>
      <c r="AE31" s="102">
        <f>+'Annual Energy Data'!AM41*0.9</f>
        <v>0</v>
      </c>
      <c r="AF31" s="102">
        <f>+'Annual Energy Data'!AO41</f>
        <v>0</v>
      </c>
      <c r="AG31" s="102">
        <f>+'Annual Energy Data'!BR41</f>
        <v>0</v>
      </c>
      <c r="AH31" s="102">
        <f>+'Annual Energy Data'!BS41</f>
        <v>0</v>
      </c>
      <c r="AI31" s="102">
        <f>+'Annual Energy Data'!BT41</f>
        <v>0</v>
      </c>
      <c r="AJ31" s="102">
        <f>+'Annual Energy Data'!AP41</f>
        <v>0</v>
      </c>
      <c r="AK31" s="262">
        <v>0</v>
      </c>
      <c r="AL31" s="102">
        <f t="shared" si="6"/>
        <v>39082.345000000008</v>
      </c>
      <c r="AM31" s="65">
        <f t="shared" si="1"/>
        <v>0</v>
      </c>
      <c r="AN31" s="65">
        <f t="shared" si="2"/>
        <v>0</v>
      </c>
      <c r="AO31" s="65">
        <f t="shared" si="3"/>
        <v>0</v>
      </c>
      <c r="AP31" s="65">
        <f t="shared" si="4"/>
        <v>0</v>
      </c>
      <c r="AT31" s="58">
        <f t="shared" si="32"/>
        <v>0</v>
      </c>
      <c r="AU31" s="58">
        <f t="shared" si="33"/>
        <v>39082.345000000008</v>
      </c>
      <c r="AV31" s="73">
        <f t="shared" si="9"/>
        <v>317910.53743122233</v>
      </c>
      <c r="AW31" s="73">
        <f t="shared" si="10"/>
        <v>317910.53743122233</v>
      </c>
      <c r="AX31" s="73">
        <f t="shared" si="11"/>
        <v>317910.53743122233</v>
      </c>
      <c r="AY31" s="73">
        <f t="shared" si="12"/>
        <v>538696.69743540848</v>
      </c>
      <c r="AZ31" s="73">
        <f t="shared" si="13"/>
        <v>595743.47819918511</v>
      </c>
      <c r="BA31" s="73">
        <f t="shared" si="14"/>
        <v>489414.50762668572</v>
      </c>
      <c r="BC31" s="68">
        <f t="shared" si="21"/>
        <v>6.1563886615458932E-2</v>
      </c>
      <c r="BE31" s="184">
        <f t="shared" si="23"/>
        <v>0.15459796707758805</v>
      </c>
      <c r="BF31" s="184">
        <f t="shared" si="24"/>
        <v>1.5459796707758806</v>
      </c>
      <c r="BG31" s="172">
        <f t="shared" si="34"/>
        <v>0</v>
      </c>
      <c r="BH31" s="172">
        <f t="shared" si="35"/>
        <v>0</v>
      </c>
    </row>
    <row r="32" spans="1:60" x14ac:dyDescent="0.2">
      <c r="A32" s="68">
        <f t="shared" si="25"/>
        <v>1</v>
      </c>
      <c r="B32">
        <f>+'Annual Energy Data'!A42</f>
        <v>2042</v>
      </c>
      <c r="C32" s="58">
        <f>+'Annual Energy Data'!I42</f>
        <v>430491.07032321359</v>
      </c>
      <c r="D32" s="58">
        <f>+'Annual Energy Data'!M42</f>
        <v>442878.42034922482</v>
      </c>
      <c r="E32" s="58">
        <f>+'Annual Energy Data'!Q42</f>
        <v>430491.07032321359</v>
      </c>
      <c r="F32" s="58">
        <f>+'Annual Energy Data'!U42</f>
        <v>723086.74512119894</v>
      </c>
      <c r="G32" s="58">
        <f>+'Annual Energy Data'!V42</f>
        <v>803176.88283081586</v>
      </c>
      <c r="H32" s="58">
        <f>+'Annual Energy Data'!W42</f>
        <v>666546.80842870963</v>
      </c>
      <c r="I32" s="58">
        <f>+'Tier 3 Data'!J37</f>
        <v>442878.42034922482</v>
      </c>
      <c r="J32" s="58">
        <f>+'Tier 3 Data'!K37</f>
        <v>442878.42034922482</v>
      </c>
      <c r="K32" s="58">
        <f>+'Tier 3 Data'!L37</f>
        <v>442878.42034922482</v>
      </c>
      <c r="L32" s="58">
        <f>+'Tier 3 Data'!M37</f>
        <v>723086.74512119894</v>
      </c>
      <c r="M32" s="58">
        <f>+'Tier 3 Data'!N37</f>
        <v>803176.88283081586</v>
      </c>
      <c r="N32" s="58">
        <f>+'Tier 3 Data'!O37</f>
        <v>666546.80842870963</v>
      </c>
      <c r="O32" s="68">
        <f>+A32-'Tier 2 Data - MOU I.6'!A32</f>
        <v>0.8</v>
      </c>
      <c r="P32" s="89">
        <f t="shared" si="0"/>
        <v>2042</v>
      </c>
      <c r="Q32" s="102">
        <f t="shared" si="26"/>
        <v>354302.73627937987</v>
      </c>
      <c r="R32" s="102">
        <f t="shared" si="27"/>
        <v>354302.73627937987</v>
      </c>
      <c r="S32" s="102">
        <f t="shared" si="28"/>
        <v>354302.73627937987</v>
      </c>
      <c r="T32" s="102">
        <f t="shared" si="29"/>
        <v>578469.39609695913</v>
      </c>
      <c r="U32" s="102">
        <f t="shared" si="30"/>
        <v>642541.50626465271</v>
      </c>
      <c r="V32" s="102">
        <f t="shared" si="31"/>
        <v>533237.4467429677</v>
      </c>
      <c r="W32" s="102">
        <f>+'Tier 1 Data - MOU 1.5'!X32</f>
        <v>0</v>
      </c>
      <c r="X32" s="102">
        <f>+'Tier 1 Data - MOU 1.5'!Y32</f>
        <v>0</v>
      </c>
      <c r="Y32" s="102">
        <f>+'Tier 1 Data - MOU 1.5'!Z32</f>
        <v>0</v>
      </c>
      <c r="Z32" s="102">
        <f>+'Tier 1 Data - MOU 1.5'!AA32</f>
        <v>0</v>
      </c>
      <c r="AA32" s="102">
        <f>+'Annual Energy Data'!AD42</f>
        <v>0</v>
      </c>
      <c r="AB32" s="102">
        <f>+SUM('Annual Energy Data'!AE42:AH42)</f>
        <v>0</v>
      </c>
      <c r="AC32" s="102">
        <f>+'Annual Energy Data'!BD42</f>
        <v>0</v>
      </c>
      <c r="AD32" s="102">
        <f>+'Annual Energy Data'!AI42+'Annual Energy Data'!AJ42</f>
        <v>39082.345000000008</v>
      </c>
      <c r="AE32" s="102">
        <f>+'Annual Energy Data'!AM42*0.9</f>
        <v>0</v>
      </c>
      <c r="AF32" s="102">
        <f>+'Annual Energy Data'!AO42</f>
        <v>0</v>
      </c>
      <c r="AG32" s="102">
        <f>+'Annual Energy Data'!BR42</f>
        <v>0</v>
      </c>
      <c r="AH32" s="102">
        <f>+'Annual Energy Data'!BS42</f>
        <v>0</v>
      </c>
      <c r="AI32" s="102">
        <f>+'Annual Energy Data'!BT42</f>
        <v>0</v>
      </c>
      <c r="AJ32" s="102">
        <f>+'Annual Energy Data'!AP42</f>
        <v>0</v>
      </c>
      <c r="AK32" s="262">
        <v>0</v>
      </c>
      <c r="AL32" s="102">
        <f t="shared" si="6"/>
        <v>39082.345000000008</v>
      </c>
      <c r="AM32" s="65">
        <f t="shared" si="1"/>
        <v>0</v>
      </c>
      <c r="AN32" s="65">
        <f t="shared" si="2"/>
        <v>0</v>
      </c>
      <c r="AO32" s="65">
        <f t="shared" si="3"/>
        <v>0</v>
      </c>
      <c r="AP32" s="65">
        <f t="shared" si="4"/>
        <v>0</v>
      </c>
      <c r="AT32" s="58">
        <f t="shared" si="32"/>
        <v>0</v>
      </c>
      <c r="AU32" s="58">
        <f t="shared" si="33"/>
        <v>39082.345000000008</v>
      </c>
      <c r="AV32" s="73">
        <f t="shared" si="9"/>
        <v>315220.39127937984</v>
      </c>
      <c r="AW32" s="73">
        <f t="shared" si="10"/>
        <v>315220.39127937984</v>
      </c>
      <c r="AX32" s="73">
        <f t="shared" si="11"/>
        <v>315220.39127937984</v>
      </c>
      <c r="AY32" s="73">
        <f t="shared" si="12"/>
        <v>539387.05109695916</v>
      </c>
      <c r="AZ32" s="73">
        <f t="shared" si="13"/>
        <v>603459.16126465274</v>
      </c>
      <c r="BA32" s="73">
        <f t="shared" si="14"/>
        <v>494155.10174296767</v>
      </c>
      <c r="BC32" s="68">
        <f t="shared" si="21"/>
        <v>6.0824623186136413E-2</v>
      </c>
      <c r="BE32" s="184">
        <f t="shared" si="23"/>
        <v>0.15768992641913981</v>
      </c>
      <c r="BF32" s="184">
        <f t="shared" si="24"/>
        <v>1.5768992641913981</v>
      </c>
      <c r="BG32" s="172">
        <f t="shared" si="34"/>
        <v>0</v>
      </c>
      <c r="BH32" s="172">
        <f t="shared" si="35"/>
        <v>0</v>
      </c>
    </row>
    <row r="33" spans="1:60" x14ac:dyDescent="0.2">
      <c r="A33" s="68">
        <f t="shared" si="25"/>
        <v>1</v>
      </c>
      <c r="B33">
        <f>+'Annual Energy Data'!A43</f>
        <v>2043</v>
      </c>
      <c r="C33" s="58">
        <f>+'Annual Energy Data'!I43</f>
        <v>426830.78577182064</v>
      </c>
      <c r="D33" s="58">
        <f>+'Annual Energy Data'!M43</f>
        <v>439445.43328148097</v>
      </c>
      <c r="E33" s="58">
        <f>+'Annual Energy Data'!Q43</f>
        <v>426830.78577182064</v>
      </c>
      <c r="F33" s="58">
        <f>+'Annual Energy Data'!U43</f>
        <v>722234.8835808289</v>
      </c>
      <c r="G33" s="58">
        <f>+'Annual Energy Data'!V43</f>
        <v>812434.2463305915</v>
      </c>
      <c r="H33" s="58">
        <f>+'Annual Energy Data'!W43</f>
        <v>671206.74217600585</v>
      </c>
      <c r="I33" s="58">
        <f>+'Tier 3 Data'!J38</f>
        <v>439445.43328148097</v>
      </c>
      <c r="J33" s="58">
        <f>+'Tier 3 Data'!K38</f>
        <v>439445.43328148097</v>
      </c>
      <c r="K33" s="58">
        <f>+'Tier 3 Data'!L38</f>
        <v>439445.43328148097</v>
      </c>
      <c r="L33" s="58">
        <f>+'Tier 3 Data'!M38</f>
        <v>722234.8835808289</v>
      </c>
      <c r="M33" s="58">
        <f>+'Tier 3 Data'!N38</f>
        <v>812434.2463305915</v>
      </c>
      <c r="N33" s="58">
        <f>+'Tier 3 Data'!O38</f>
        <v>671206.74217600585</v>
      </c>
      <c r="O33" s="68">
        <f>+A33-'Tier 2 Data - MOU I.6'!A33</f>
        <v>0.8</v>
      </c>
      <c r="P33" s="89">
        <f t="shared" si="0"/>
        <v>2043</v>
      </c>
      <c r="Q33" s="102">
        <f t="shared" si="26"/>
        <v>351556.34662518481</v>
      </c>
      <c r="R33" s="102">
        <f t="shared" si="27"/>
        <v>351556.34662518481</v>
      </c>
      <c r="S33" s="102">
        <f t="shared" si="28"/>
        <v>351556.34662518481</v>
      </c>
      <c r="T33" s="102">
        <f t="shared" si="29"/>
        <v>577787.90686466312</v>
      </c>
      <c r="U33" s="102">
        <f t="shared" si="30"/>
        <v>649947.39706447325</v>
      </c>
      <c r="V33" s="102">
        <f t="shared" si="31"/>
        <v>536965.39374080475</v>
      </c>
      <c r="W33" s="102">
        <f>+'Tier 1 Data - MOU 1.5'!X33</f>
        <v>0</v>
      </c>
      <c r="X33" s="102">
        <f>+'Tier 1 Data - MOU 1.5'!Y33</f>
        <v>0</v>
      </c>
      <c r="Y33" s="102">
        <f>+'Tier 1 Data - MOU 1.5'!Z33</f>
        <v>0</v>
      </c>
      <c r="Z33" s="102">
        <f>+'Tier 1 Data - MOU 1.5'!AA33</f>
        <v>0</v>
      </c>
      <c r="AA33" s="102">
        <f>+'Annual Energy Data'!AD43</f>
        <v>0</v>
      </c>
      <c r="AB33" s="102">
        <f>+SUM('Annual Energy Data'!AE43:AH43)</f>
        <v>0</v>
      </c>
      <c r="AC33" s="102">
        <f>+'Annual Energy Data'!BD43</f>
        <v>0</v>
      </c>
      <c r="AD33" s="102">
        <f>+'Annual Energy Data'!AI43+'Annual Energy Data'!AJ43</f>
        <v>39082.345000000008</v>
      </c>
      <c r="AE33" s="102">
        <f>+'Annual Energy Data'!AM43*0.9</f>
        <v>0</v>
      </c>
      <c r="AF33" s="102">
        <f>+'Annual Energy Data'!AO43</f>
        <v>0</v>
      </c>
      <c r="AG33" s="102">
        <f>+'Annual Energy Data'!BR43</f>
        <v>0</v>
      </c>
      <c r="AH33" s="102">
        <f>+'Annual Energy Data'!BS43</f>
        <v>0</v>
      </c>
      <c r="AI33" s="102">
        <f>+'Annual Energy Data'!BT43</f>
        <v>0</v>
      </c>
      <c r="AJ33" s="102">
        <f>+'Annual Energy Data'!AP43</f>
        <v>0</v>
      </c>
      <c r="AK33" s="262">
        <v>0</v>
      </c>
      <c r="AL33" s="102">
        <f t="shared" si="6"/>
        <v>39082.345000000008</v>
      </c>
      <c r="AM33" s="65">
        <f t="shared" si="1"/>
        <v>0</v>
      </c>
      <c r="AN33" s="65">
        <f t="shared" si="2"/>
        <v>0</v>
      </c>
      <c r="AO33" s="65">
        <f t="shared" si="3"/>
        <v>0</v>
      </c>
      <c r="AP33" s="65">
        <f t="shared" si="4"/>
        <v>0</v>
      </c>
      <c r="AT33" s="58">
        <f t="shared" si="32"/>
        <v>0</v>
      </c>
      <c r="AU33" s="58">
        <f t="shared" si="33"/>
        <v>39082.345000000008</v>
      </c>
      <c r="AV33" s="73">
        <f t="shared" si="9"/>
        <v>312474.00162518478</v>
      </c>
      <c r="AW33" s="73">
        <f t="shared" si="10"/>
        <v>312474.00162518478</v>
      </c>
      <c r="AX33" s="73">
        <f t="shared" si="11"/>
        <v>312474.00162518478</v>
      </c>
      <c r="AY33" s="73">
        <f t="shared" si="12"/>
        <v>538705.56186466315</v>
      </c>
      <c r="AZ33" s="73">
        <f t="shared" si="13"/>
        <v>610865.05206447328</v>
      </c>
      <c r="BA33" s="73">
        <f t="shared" si="14"/>
        <v>497883.04874080472</v>
      </c>
      <c r="BC33" s="68">
        <f t="shared" si="21"/>
        <v>6.0131550917070807E-2</v>
      </c>
      <c r="BE33" s="184">
        <f t="shared" si="23"/>
        <v>0.16084372494752261</v>
      </c>
      <c r="BF33" s="184">
        <f t="shared" si="24"/>
        <v>1.6084372494752261</v>
      </c>
      <c r="BG33" s="172">
        <f t="shared" si="34"/>
        <v>0</v>
      </c>
      <c r="BH33" s="172">
        <f t="shared" si="35"/>
        <v>0</v>
      </c>
    </row>
    <row r="34" spans="1:60" x14ac:dyDescent="0.2">
      <c r="A34" s="68">
        <f t="shared" si="25"/>
        <v>1</v>
      </c>
      <c r="B34">
        <f>+'Annual Energy Data'!A44</f>
        <v>2044</v>
      </c>
      <c r="C34" s="58">
        <f>+'Annual Energy Data'!I44</f>
        <v>423443.66587594297</v>
      </c>
      <c r="D34" s="58">
        <f>+'Annual Energy Data'!M44</f>
        <v>436058.31338560343</v>
      </c>
      <c r="E34" s="58">
        <f>+'Annual Energy Data'!Q44</f>
        <v>423443.66587594297</v>
      </c>
      <c r="F34" s="58">
        <f>+'Annual Energy Data'!U44</f>
        <v>721107.35357227386</v>
      </c>
      <c r="G34" s="58">
        <f>+'Annual Energy Data'!V44</f>
        <v>821737.4770022328</v>
      </c>
      <c r="H34" s="58">
        <f>+'Annual Energy Data'!W44</f>
        <v>674974.23564273154</v>
      </c>
      <c r="I34" s="58">
        <f>+'Tier 3 Data'!J39</f>
        <v>436058.31338560343</v>
      </c>
      <c r="J34" s="58">
        <f>+'Tier 3 Data'!K39</f>
        <v>436058.31338560343</v>
      </c>
      <c r="K34" s="58">
        <f>+'Tier 3 Data'!L39</f>
        <v>436058.31338560343</v>
      </c>
      <c r="L34" s="58">
        <f>+'Tier 3 Data'!M39</f>
        <v>721107.35357227386</v>
      </c>
      <c r="M34" s="58">
        <f>+'Tier 3 Data'!N39</f>
        <v>821737.4770022328</v>
      </c>
      <c r="N34" s="58">
        <f>+'Tier 3 Data'!O39</f>
        <v>674974.23564273154</v>
      </c>
      <c r="O34" s="68">
        <f>+A34-'Tier 2 Data - MOU I.6'!A34</f>
        <v>0.8</v>
      </c>
      <c r="P34" s="89">
        <f t="shared" si="0"/>
        <v>2044</v>
      </c>
      <c r="Q34" s="102">
        <f t="shared" si="26"/>
        <v>348846.65070848278</v>
      </c>
      <c r="R34" s="102">
        <f t="shared" si="27"/>
        <v>348846.65070848278</v>
      </c>
      <c r="S34" s="102">
        <f t="shared" si="28"/>
        <v>348846.65070848278</v>
      </c>
      <c r="T34" s="102">
        <f t="shared" si="29"/>
        <v>576885.88285781909</v>
      </c>
      <c r="U34" s="102">
        <f t="shared" si="30"/>
        <v>657389.98160178633</v>
      </c>
      <c r="V34" s="102">
        <f t="shared" si="31"/>
        <v>539979.38851418521</v>
      </c>
      <c r="W34" s="102">
        <f>+'Tier 1 Data - MOU 1.5'!X34</f>
        <v>0</v>
      </c>
      <c r="X34" s="102">
        <f>+'Tier 1 Data - MOU 1.5'!Y34</f>
        <v>0</v>
      </c>
      <c r="Y34" s="102">
        <f>+'Tier 1 Data - MOU 1.5'!Z34</f>
        <v>0</v>
      </c>
      <c r="Z34" s="102">
        <f>+'Tier 1 Data - MOU 1.5'!AA34</f>
        <v>0</v>
      </c>
      <c r="AA34" s="102">
        <f>+'Annual Energy Data'!AD44</f>
        <v>0</v>
      </c>
      <c r="AB34" s="102">
        <f>+SUM('Annual Energy Data'!AE44:AH44)</f>
        <v>0</v>
      </c>
      <c r="AC34" s="102">
        <f>+'Annual Energy Data'!BD44</f>
        <v>0</v>
      </c>
      <c r="AD34" s="102">
        <f>+'Annual Energy Data'!AI44+'Annual Energy Data'!AJ44</f>
        <v>39082.345000000008</v>
      </c>
      <c r="AE34" s="102">
        <f>+'Annual Energy Data'!AM44*0.9</f>
        <v>0</v>
      </c>
      <c r="AF34" s="102">
        <f>+'Annual Energy Data'!AO44</f>
        <v>0</v>
      </c>
      <c r="AG34" s="102">
        <f>+'Annual Energy Data'!BR44</f>
        <v>0</v>
      </c>
      <c r="AH34" s="102">
        <f>+'Annual Energy Data'!BS44</f>
        <v>0</v>
      </c>
      <c r="AI34" s="102">
        <f>+'Annual Energy Data'!BT44</f>
        <v>0</v>
      </c>
      <c r="AJ34" s="102">
        <f>+'Annual Energy Data'!AP44</f>
        <v>0</v>
      </c>
      <c r="AK34" s="262">
        <v>0</v>
      </c>
      <c r="AL34" s="102">
        <f t="shared" si="6"/>
        <v>39082.345000000008</v>
      </c>
      <c r="AM34" s="65">
        <f t="shared" si="1"/>
        <v>0</v>
      </c>
      <c r="AN34" s="65">
        <f t="shared" si="2"/>
        <v>0</v>
      </c>
      <c r="AO34" s="65">
        <f t="shared" si="3"/>
        <v>0</v>
      </c>
      <c r="AP34" s="65">
        <f t="shared" si="4"/>
        <v>0</v>
      </c>
      <c r="AT34" s="58">
        <f t="shared" si="32"/>
        <v>0</v>
      </c>
      <c r="AU34" s="58">
        <f t="shared" si="33"/>
        <v>39082.345000000008</v>
      </c>
      <c r="AV34" s="73">
        <f t="shared" si="9"/>
        <v>309764.30570848275</v>
      </c>
      <c r="AW34" s="73">
        <f t="shared" si="10"/>
        <v>309764.30570848275</v>
      </c>
      <c r="AX34" s="73">
        <f t="shared" si="11"/>
        <v>309764.30570848275</v>
      </c>
      <c r="AY34" s="73">
        <f t="shared" si="12"/>
        <v>537803.53785781912</v>
      </c>
      <c r="AZ34" s="73">
        <f t="shared" si="13"/>
        <v>618307.63660178636</v>
      </c>
      <c r="BA34" s="73">
        <f t="shared" si="14"/>
        <v>500897.04351418518</v>
      </c>
      <c r="BC34" s="68">
        <f t="shared" si="21"/>
        <v>5.9450776698440955E-2</v>
      </c>
      <c r="BE34" s="184">
        <f t="shared" si="23"/>
        <v>0.16406059944647305</v>
      </c>
      <c r="BF34" s="184">
        <f t="shared" si="24"/>
        <v>1.6406059944647307</v>
      </c>
      <c r="BG34" s="172">
        <f t="shared" si="34"/>
        <v>0</v>
      </c>
      <c r="BH34" s="172">
        <f t="shared" si="35"/>
        <v>0</v>
      </c>
    </row>
    <row r="35" spans="1:60" x14ac:dyDescent="0.2">
      <c r="A35" s="68">
        <f t="shared" si="25"/>
        <v>1</v>
      </c>
      <c r="B35">
        <f>+'Annual Energy Data'!A45</f>
        <v>2045</v>
      </c>
      <c r="C35" s="58">
        <f>+'Annual Energy Data'!I45</f>
        <v>420039.12366537243</v>
      </c>
      <c r="D35" s="58">
        <f>+'Annual Energy Data'!M45</f>
        <v>432653.77117503283</v>
      </c>
      <c r="E35" s="58">
        <f>+'Annual Energy Data'!Q45</f>
        <v>420039.12366537243</v>
      </c>
      <c r="F35" s="58">
        <f>+'Annual Energy Data'!U45</f>
        <v>719961.51587993989</v>
      </c>
      <c r="G35" s="58">
        <f>+'Annual Energy Data'!V45</f>
        <v>831023.28535918146</v>
      </c>
      <c r="H35" s="58">
        <f>+'Annual Energy Data'!W45</f>
        <v>678117.52073805872</v>
      </c>
      <c r="I35" s="58">
        <f>+'Tier 3 Data'!J40</f>
        <v>432653.77117503283</v>
      </c>
      <c r="J35" s="58">
        <f>+'Tier 3 Data'!K40</f>
        <v>432653.77117503283</v>
      </c>
      <c r="K35" s="58">
        <f>+'Tier 3 Data'!L40</f>
        <v>432653.77117503283</v>
      </c>
      <c r="L35" s="58">
        <f>+'Tier 3 Data'!M40</f>
        <v>719961.51587993989</v>
      </c>
      <c r="M35" s="58">
        <f>+'Tier 3 Data'!N40</f>
        <v>831023.28535918146</v>
      </c>
      <c r="N35" s="58">
        <f>+'Tier 3 Data'!O40</f>
        <v>678117.52073805872</v>
      </c>
      <c r="O35" s="68">
        <f>+A35-'Tier 2 Data - MOU I.6'!A35</f>
        <v>0.8</v>
      </c>
      <c r="P35" s="89">
        <f t="shared" si="0"/>
        <v>2045</v>
      </c>
      <c r="Q35" s="102">
        <f t="shared" si="26"/>
        <v>346123.01694002631</v>
      </c>
      <c r="R35" s="102">
        <f t="shared" si="27"/>
        <v>346123.01694002631</v>
      </c>
      <c r="S35" s="102">
        <f t="shared" si="28"/>
        <v>346123.01694002631</v>
      </c>
      <c r="T35" s="102">
        <f t="shared" si="29"/>
        <v>575969.21270395198</v>
      </c>
      <c r="U35" s="102">
        <f t="shared" si="30"/>
        <v>664818.62828734517</v>
      </c>
      <c r="V35" s="102">
        <f t="shared" si="31"/>
        <v>542494.01659044705</v>
      </c>
      <c r="W35" s="102">
        <f>+'Tier 1 Data - MOU 1.5'!X35</f>
        <v>0</v>
      </c>
      <c r="X35" s="102">
        <f>+'Tier 1 Data - MOU 1.5'!Y35</f>
        <v>0</v>
      </c>
      <c r="Y35" s="102">
        <f>+'Tier 1 Data - MOU 1.5'!Z35</f>
        <v>0</v>
      </c>
      <c r="Z35" s="102">
        <f>+'Tier 1 Data - MOU 1.5'!AA35</f>
        <v>0</v>
      </c>
      <c r="AA35" s="102">
        <f>+'Annual Energy Data'!AD45</f>
        <v>0</v>
      </c>
      <c r="AB35" s="102">
        <f>+SUM('Annual Energy Data'!AE45:AH45)</f>
        <v>0</v>
      </c>
      <c r="AC35" s="102">
        <f>+'Annual Energy Data'!BD45</f>
        <v>0</v>
      </c>
      <c r="AD35" s="102">
        <f>+'Annual Energy Data'!AI45+'Annual Energy Data'!AJ45</f>
        <v>39082.345000000008</v>
      </c>
      <c r="AE35" s="102">
        <f>+'Annual Energy Data'!AM45*0.9</f>
        <v>0</v>
      </c>
      <c r="AF35" s="102">
        <f>+'Annual Energy Data'!AO45</f>
        <v>0</v>
      </c>
      <c r="AG35" s="102">
        <f>+'Annual Energy Data'!BR45</f>
        <v>0</v>
      </c>
      <c r="AH35" s="102">
        <f>+'Annual Energy Data'!BS45</f>
        <v>0</v>
      </c>
      <c r="AI35" s="102">
        <f>+'Annual Energy Data'!BT45</f>
        <v>0</v>
      </c>
      <c r="AJ35" s="102">
        <f>+'Annual Energy Data'!AP45</f>
        <v>0</v>
      </c>
      <c r="AK35" s="262">
        <v>0</v>
      </c>
      <c r="AL35" s="102">
        <f t="shared" si="6"/>
        <v>39082.345000000008</v>
      </c>
      <c r="AM35" s="65">
        <f t="shared" si="1"/>
        <v>0</v>
      </c>
      <c r="AN35" s="65">
        <f t="shared" si="2"/>
        <v>0</v>
      </c>
      <c r="AO35" s="65">
        <f t="shared" si="3"/>
        <v>0</v>
      </c>
      <c r="AP35" s="65">
        <f t="shared" si="4"/>
        <v>0</v>
      </c>
      <c r="AT35" s="58">
        <f t="shared" si="32"/>
        <v>0</v>
      </c>
      <c r="AU35" s="58">
        <f t="shared" si="33"/>
        <v>39082.345000000008</v>
      </c>
      <c r="AV35" s="73">
        <f t="shared" si="9"/>
        <v>307040.67194002628</v>
      </c>
      <c r="AW35" s="73">
        <f t="shared" si="10"/>
        <v>307040.67194002628</v>
      </c>
      <c r="AX35" s="73">
        <f t="shared" si="11"/>
        <v>307040.67194002628</v>
      </c>
      <c r="AY35" s="73">
        <f t="shared" si="12"/>
        <v>536886.86770395201</v>
      </c>
      <c r="AZ35" s="73">
        <f t="shared" si="13"/>
        <v>625736.2832873452</v>
      </c>
      <c r="BA35" s="73">
        <f t="shared" si="14"/>
        <v>503411.67159044702</v>
      </c>
      <c r="BC35" s="68">
        <f t="shared" si="21"/>
        <v>5.8786476998517551E-2</v>
      </c>
      <c r="BE35" s="184">
        <f t="shared" si="23"/>
        <v>0.16734181143540253</v>
      </c>
      <c r="BF35" s="184">
        <f t="shared" si="24"/>
        <v>1.6734181143540252</v>
      </c>
      <c r="BG35" s="172">
        <f t="shared" si="34"/>
        <v>0</v>
      </c>
      <c r="BH35" s="172">
        <f t="shared" si="35"/>
        <v>0</v>
      </c>
    </row>
    <row r="36" spans="1:60" x14ac:dyDescent="0.2">
      <c r="A36" s="68">
        <f t="shared" si="25"/>
        <v>1</v>
      </c>
      <c r="B36">
        <f>+'Annual Energy Data'!A46</f>
        <v>2046</v>
      </c>
      <c r="C36" s="58">
        <f>+'Annual Energy Data'!I46</f>
        <v>-15460.240383621356</v>
      </c>
      <c r="D36" s="58">
        <f>+'Annual Energy Data'!M46</f>
        <v>-2845.5928739609021</v>
      </c>
      <c r="E36" s="58">
        <f>+'Annual Energy Data'!Q46</f>
        <v>-15460.240383621356</v>
      </c>
      <c r="F36" s="58">
        <f>+'Annual Energy Data'!U46</f>
        <v>-2845.5928739609021</v>
      </c>
      <c r="G36" s="58">
        <f>+'Annual Energy Data'!V46</f>
        <v>-2845.5928739609021</v>
      </c>
      <c r="H36" s="58">
        <f>+'Annual Energy Data'!W46</f>
        <v>-2845.5928739609021</v>
      </c>
      <c r="I36" s="58">
        <f>+'Tier 3 Data'!J41</f>
        <v>-2845.5928739609021</v>
      </c>
      <c r="J36" s="58">
        <f>+'Tier 3 Data'!K41</f>
        <v>-2845.5928739609021</v>
      </c>
      <c r="K36" s="58">
        <f>+'Tier 3 Data'!L41</f>
        <v>-2845.5928739609021</v>
      </c>
      <c r="L36" s="58">
        <f>+'Tier 3 Data'!M41</f>
        <v>-2845.5928739609021</v>
      </c>
      <c r="M36" s="58">
        <f>+'Tier 3 Data'!N41</f>
        <v>-2845.5928739609021</v>
      </c>
      <c r="N36" s="58">
        <f>+'Tier 3 Data'!O41</f>
        <v>-2845.5928739609021</v>
      </c>
      <c r="O36" s="68">
        <f>+A36-'Tier 2 Data - MOU I.6'!A36</f>
        <v>0.8</v>
      </c>
      <c r="P36" s="89">
        <f t="shared" si="0"/>
        <v>2046</v>
      </c>
      <c r="Q36" s="102">
        <f t="shared" si="26"/>
        <v>-2276.4742991687217</v>
      </c>
      <c r="R36" s="102">
        <f t="shared" si="27"/>
        <v>-2276.4742991687217</v>
      </c>
      <c r="S36" s="102">
        <f t="shared" si="28"/>
        <v>-2276.4742991687217</v>
      </c>
      <c r="T36" s="102">
        <f t="shared" si="29"/>
        <v>-2276.4742991687217</v>
      </c>
      <c r="U36" s="102">
        <f t="shared" si="30"/>
        <v>-2276.4742991687217</v>
      </c>
      <c r="V36" s="102">
        <f t="shared" si="31"/>
        <v>-2276.4742991687217</v>
      </c>
      <c r="W36" s="102">
        <f>+'Tier 1 Data - MOU 1.5'!X36</f>
        <v>0</v>
      </c>
      <c r="X36" s="102">
        <f>+'Tier 1 Data - MOU 1.5'!Y36</f>
        <v>0</v>
      </c>
      <c r="Y36" s="102">
        <f>+'Tier 1 Data - MOU 1.5'!Z36</f>
        <v>0</v>
      </c>
      <c r="Z36" s="102">
        <f>+'Tier 1 Data - MOU 1.5'!AA36</f>
        <v>0</v>
      </c>
      <c r="AA36" s="102">
        <f>+'Annual Energy Data'!AD46</f>
        <v>0</v>
      </c>
      <c r="AB36" s="102">
        <f>+SUM('Annual Energy Data'!AE46:AH46)</f>
        <v>0</v>
      </c>
      <c r="AC36" s="102">
        <f>+'Annual Energy Data'!BD46</f>
        <v>0</v>
      </c>
      <c r="AD36" s="102">
        <f>+'Annual Energy Data'!AI46+'Annual Energy Data'!AJ46</f>
        <v>39082.345000000008</v>
      </c>
      <c r="AE36" s="102">
        <f>+'Annual Energy Data'!AM46*0.9</f>
        <v>0</v>
      </c>
      <c r="AF36" s="102">
        <f>+'Annual Energy Data'!AO46</f>
        <v>0</v>
      </c>
      <c r="AG36" s="102">
        <f>+'Annual Energy Data'!BR46</f>
        <v>0</v>
      </c>
      <c r="AH36" s="102">
        <f>+'Annual Energy Data'!BS46</f>
        <v>0</v>
      </c>
      <c r="AI36" s="102">
        <f>+'Annual Energy Data'!BT46</f>
        <v>0</v>
      </c>
      <c r="AJ36" s="102">
        <f>+'Annual Energy Data'!AP46</f>
        <v>0</v>
      </c>
      <c r="AK36" s="262">
        <v>0</v>
      </c>
      <c r="AL36" s="102">
        <f t="shared" si="6"/>
        <v>39082.345000000008</v>
      </c>
      <c r="AM36" s="65">
        <f t="shared" si="1"/>
        <v>0</v>
      </c>
      <c r="AN36" s="65">
        <f t="shared" si="2"/>
        <v>0</v>
      </c>
      <c r="AO36" s="65">
        <f t="shared" si="3"/>
        <v>0</v>
      </c>
      <c r="AP36" s="65">
        <f t="shared" si="4"/>
        <v>0</v>
      </c>
      <c r="AT36" s="58">
        <f t="shared" si="32"/>
        <v>0</v>
      </c>
      <c r="AU36" s="58">
        <f t="shared" si="33"/>
        <v>39082.345000000008</v>
      </c>
      <c r="AV36" s="73">
        <f t="shared" si="9"/>
        <v>-41358.819299168732</v>
      </c>
      <c r="AW36" s="73">
        <f t="shared" si="10"/>
        <v>-41358.819299168732</v>
      </c>
      <c r="AX36" s="73">
        <f t="shared" si="11"/>
        <v>-41358.819299168732</v>
      </c>
      <c r="AY36" s="73">
        <f t="shared" si="12"/>
        <v>-41358.819299168732</v>
      </c>
      <c r="AZ36" s="73">
        <f t="shared" si="13"/>
        <v>-41358.819299168732</v>
      </c>
      <c r="BA36" s="73">
        <f t="shared" si="14"/>
        <v>-41358.819299168732</v>
      </c>
      <c r="BC36" s="68">
        <f t="shared" si="21"/>
        <v>-17.167927182077712</v>
      </c>
      <c r="BE36" s="184">
        <f t="shared" si="23"/>
        <v>0.17068864766411057</v>
      </c>
      <c r="BF36" s="184">
        <f t="shared" si="24"/>
        <v>1.7068864766411058</v>
      </c>
      <c r="BG36" s="172">
        <f t="shared" si="34"/>
        <v>0</v>
      </c>
      <c r="BH36" s="172">
        <f t="shared" si="35"/>
        <v>0</v>
      </c>
    </row>
    <row r="37" spans="1:60" x14ac:dyDescent="0.2">
      <c r="A37" s="68">
        <f t="shared" si="25"/>
        <v>1</v>
      </c>
      <c r="B37">
        <f>+'Annual Energy Data'!A47</f>
        <v>2047</v>
      </c>
      <c r="C37" s="58">
        <f>+'Annual Energy Data'!I47</f>
        <v>0</v>
      </c>
      <c r="D37" s="58">
        <f>+'Annual Energy Data'!M47</f>
        <v>0</v>
      </c>
      <c r="E37" s="58">
        <f>+'Annual Energy Data'!Q47</f>
        <v>0</v>
      </c>
      <c r="F37" s="58">
        <f>+'Annual Energy Data'!U47</f>
        <v>0</v>
      </c>
      <c r="G37" s="58">
        <f>+'Annual Energy Data'!V47</f>
        <v>0</v>
      </c>
      <c r="H37" s="58">
        <f>+'Annual Energy Data'!W47</f>
        <v>0</v>
      </c>
      <c r="I37" s="58">
        <f>+'Tier 3 Data'!J42</f>
        <v>0</v>
      </c>
      <c r="J37" s="58">
        <f>+'Tier 3 Data'!K42</f>
        <v>0</v>
      </c>
      <c r="K37" s="58">
        <f>+'Tier 3 Data'!L42</f>
        <v>0</v>
      </c>
      <c r="L37" s="58">
        <f>+'Tier 3 Data'!M42</f>
        <v>0</v>
      </c>
      <c r="M37" s="58">
        <f>+'Tier 3 Data'!N42</f>
        <v>0</v>
      </c>
      <c r="N37" s="58">
        <f>+'Tier 3 Data'!O42</f>
        <v>0</v>
      </c>
      <c r="O37" s="68">
        <f>+A37-'Tier 2 Data - MOU I.6'!A37</f>
        <v>0.8</v>
      </c>
      <c r="P37" s="89">
        <f t="shared" si="0"/>
        <v>2047</v>
      </c>
      <c r="Q37" s="102">
        <f t="shared" si="26"/>
        <v>0</v>
      </c>
      <c r="R37" s="102">
        <f t="shared" si="27"/>
        <v>0</v>
      </c>
      <c r="S37" s="102">
        <f t="shared" si="28"/>
        <v>0</v>
      </c>
      <c r="T37" s="102">
        <f t="shared" si="29"/>
        <v>0</v>
      </c>
      <c r="U37" s="102">
        <f t="shared" si="30"/>
        <v>0</v>
      </c>
      <c r="V37" s="102">
        <f t="shared" si="31"/>
        <v>0</v>
      </c>
      <c r="W37" s="102">
        <f>+'Tier 1 Data - MOU 1.5'!X37</f>
        <v>0</v>
      </c>
      <c r="X37" s="102">
        <f>+'Tier 1 Data - MOU 1.5'!Y37</f>
        <v>0</v>
      </c>
      <c r="Y37" s="102">
        <f>+'Tier 1 Data - MOU 1.5'!Z37</f>
        <v>0</v>
      </c>
      <c r="Z37" s="102">
        <f>+'Tier 1 Data - MOU 1.5'!AA37</f>
        <v>0</v>
      </c>
      <c r="AA37" s="102">
        <f>+'Annual Energy Data'!AD47</f>
        <v>0</v>
      </c>
      <c r="AB37" s="102">
        <f>+SUM('Annual Energy Data'!AE47:AH47)</f>
        <v>0</v>
      </c>
      <c r="AC37" s="102">
        <f>+'Annual Energy Data'!BD47</f>
        <v>0</v>
      </c>
      <c r="AD37" s="102">
        <f>+'Annual Energy Data'!AI47+'Annual Energy Data'!AJ47</f>
        <v>39082.345000000008</v>
      </c>
      <c r="AE37" s="102">
        <f>+'Annual Energy Data'!AM47*0.9</f>
        <v>0</v>
      </c>
      <c r="AF37" s="102">
        <f>+'Annual Energy Data'!AO47</f>
        <v>0</v>
      </c>
      <c r="AG37" s="102">
        <f>+'Annual Energy Data'!BR47</f>
        <v>0</v>
      </c>
      <c r="AH37" s="102">
        <f>+'Annual Energy Data'!BS47</f>
        <v>0</v>
      </c>
      <c r="AI37" s="102">
        <f>+'Annual Energy Data'!BT47</f>
        <v>0</v>
      </c>
      <c r="AJ37" s="102">
        <f>+'Annual Energy Data'!AP47</f>
        <v>0</v>
      </c>
      <c r="AK37" s="262">
        <v>0</v>
      </c>
      <c r="AL37" s="102">
        <f t="shared" si="6"/>
        <v>39082.345000000008</v>
      </c>
      <c r="AM37" s="65">
        <f t="shared" si="1"/>
        <v>0</v>
      </c>
      <c r="AN37" s="65">
        <f t="shared" si="2"/>
        <v>0</v>
      </c>
      <c r="AO37" s="65">
        <f t="shared" si="3"/>
        <v>0</v>
      </c>
      <c r="AP37" s="65">
        <f t="shared" si="4"/>
        <v>0</v>
      </c>
      <c r="AT37" s="58">
        <f t="shared" si="32"/>
        <v>0</v>
      </c>
      <c r="AU37" s="58">
        <f t="shared" si="33"/>
        <v>39082.345000000008</v>
      </c>
      <c r="AV37" s="73">
        <f t="shared" si="9"/>
        <v>-39082.345000000008</v>
      </c>
      <c r="AW37" s="73">
        <f t="shared" si="10"/>
        <v>-39082.345000000008</v>
      </c>
      <c r="AX37" s="73">
        <f t="shared" si="11"/>
        <v>-39082.345000000008</v>
      </c>
      <c r="AY37" s="73">
        <f t="shared" si="12"/>
        <v>-39082.345000000008</v>
      </c>
      <c r="AZ37" s="73">
        <f t="shared" si="13"/>
        <v>-39082.345000000008</v>
      </c>
      <c r="BA37" s="73">
        <f t="shared" si="14"/>
        <v>-39082.345000000008</v>
      </c>
      <c r="BC37" s="68" t="e">
        <f t="shared" si="21"/>
        <v>#DIV/0!</v>
      </c>
      <c r="BE37" s="184">
        <f t="shared" si="23"/>
        <v>0.17410242061739278</v>
      </c>
      <c r="BF37" s="184">
        <f t="shared" si="24"/>
        <v>1.7410242061739281</v>
      </c>
      <c r="BG37" s="172">
        <f t="shared" si="34"/>
        <v>0</v>
      </c>
      <c r="BH37" s="172">
        <f t="shared" si="35"/>
        <v>0</v>
      </c>
    </row>
    <row r="38" spans="1:60" x14ac:dyDescent="0.2">
      <c r="A38" s="68">
        <f t="shared" si="25"/>
        <v>1</v>
      </c>
      <c r="B38">
        <f>+'Annual Energy Data'!A48</f>
        <v>2048</v>
      </c>
      <c r="C38" s="58">
        <f>+'Annual Energy Data'!I48</f>
        <v>0</v>
      </c>
      <c r="D38" s="58">
        <f>+'Annual Energy Data'!M48</f>
        <v>0</v>
      </c>
      <c r="E38" s="58">
        <f>+'Annual Energy Data'!Q48</f>
        <v>0</v>
      </c>
      <c r="F38" s="58">
        <f>+'Annual Energy Data'!U48</f>
        <v>0</v>
      </c>
      <c r="G38" s="58">
        <f>+'Annual Energy Data'!V48</f>
        <v>0</v>
      </c>
      <c r="H38" s="58">
        <f>+'Annual Energy Data'!W48</f>
        <v>0</v>
      </c>
      <c r="I38" s="58">
        <f>+'Tier 3 Data'!J43</f>
        <v>0</v>
      </c>
      <c r="J38" s="58">
        <f>+'Tier 3 Data'!K43</f>
        <v>0</v>
      </c>
      <c r="K38" s="58">
        <f>+'Tier 3 Data'!L43</f>
        <v>0</v>
      </c>
      <c r="L38" s="58">
        <f>+'Tier 3 Data'!M43</f>
        <v>0</v>
      </c>
      <c r="M38" s="58">
        <f>+'Tier 3 Data'!N43</f>
        <v>0</v>
      </c>
      <c r="N38" s="58">
        <f>+'Tier 3 Data'!O43</f>
        <v>0</v>
      </c>
      <c r="O38" s="68">
        <f>+A38-'Tier 2 Data - MOU I.6'!A38</f>
        <v>0.8</v>
      </c>
      <c r="P38" s="89">
        <f t="shared" si="0"/>
        <v>2048</v>
      </c>
      <c r="Q38" s="102">
        <f t="shared" si="26"/>
        <v>0</v>
      </c>
      <c r="R38" s="102">
        <f t="shared" si="27"/>
        <v>0</v>
      </c>
      <c r="S38" s="102">
        <f t="shared" si="28"/>
        <v>0</v>
      </c>
      <c r="T38" s="102">
        <f t="shared" si="29"/>
        <v>0</v>
      </c>
      <c r="U38" s="102">
        <f t="shared" si="30"/>
        <v>0</v>
      </c>
      <c r="V38" s="102">
        <f t="shared" si="31"/>
        <v>0</v>
      </c>
      <c r="W38" s="102">
        <f>+'Tier 1 Data - MOU 1.5'!X38</f>
        <v>0</v>
      </c>
      <c r="X38" s="102">
        <f>+'Tier 1 Data - MOU 1.5'!Y38</f>
        <v>0</v>
      </c>
      <c r="Y38" s="102">
        <f>+'Tier 1 Data - MOU 1.5'!Z38</f>
        <v>0</v>
      </c>
      <c r="Z38" s="102">
        <f>+'Tier 1 Data - MOU 1.5'!AA38</f>
        <v>0</v>
      </c>
      <c r="AA38" s="102">
        <f>+'Annual Energy Data'!AD48</f>
        <v>0</v>
      </c>
      <c r="AB38" s="102">
        <f>+SUM('Annual Energy Data'!AE48:AH48)</f>
        <v>0</v>
      </c>
      <c r="AC38" s="102">
        <f>+'Annual Energy Data'!BD48</f>
        <v>0</v>
      </c>
      <c r="AD38" s="102">
        <f>+'Annual Energy Data'!AI48+'Annual Energy Data'!AJ48</f>
        <v>39082.345000000008</v>
      </c>
      <c r="AE38" s="102">
        <f>+'Annual Energy Data'!AM48*0.9</f>
        <v>0</v>
      </c>
      <c r="AF38" s="102">
        <f>+'Annual Energy Data'!AO48</f>
        <v>0</v>
      </c>
      <c r="AG38" s="102">
        <f>+'Annual Energy Data'!BR48</f>
        <v>0</v>
      </c>
      <c r="AH38" s="102">
        <f>+'Annual Energy Data'!BS48</f>
        <v>0</v>
      </c>
      <c r="AI38" s="102">
        <f>+'Annual Energy Data'!BT48</f>
        <v>0</v>
      </c>
      <c r="AJ38" s="102">
        <f>+'Annual Energy Data'!AP48</f>
        <v>0</v>
      </c>
      <c r="AK38" s="262">
        <v>0</v>
      </c>
      <c r="AL38" s="102">
        <f t="shared" si="6"/>
        <v>39082.345000000008</v>
      </c>
      <c r="AM38" s="65">
        <f t="shared" si="1"/>
        <v>0</v>
      </c>
      <c r="AN38" s="65">
        <f t="shared" si="2"/>
        <v>0</v>
      </c>
      <c r="AO38" s="65">
        <f t="shared" si="3"/>
        <v>0</v>
      </c>
      <c r="AP38" s="65">
        <f t="shared" si="4"/>
        <v>0</v>
      </c>
      <c r="AT38" s="58">
        <f t="shared" si="32"/>
        <v>0</v>
      </c>
      <c r="AU38" s="58">
        <f t="shared" si="33"/>
        <v>39082.345000000008</v>
      </c>
      <c r="AV38" s="73">
        <f t="shared" si="9"/>
        <v>-39082.345000000008</v>
      </c>
      <c r="AW38" s="73">
        <f t="shared" si="10"/>
        <v>-39082.345000000008</v>
      </c>
      <c r="AX38" s="73">
        <f t="shared" si="11"/>
        <v>-39082.345000000008</v>
      </c>
      <c r="AY38" s="73">
        <f t="shared" si="12"/>
        <v>-39082.345000000008</v>
      </c>
      <c r="AZ38" s="73">
        <f t="shared" si="13"/>
        <v>-39082.345000000008</v>
      </c>
      <c r="BA38" s="73">
        <f t="shared" si="14"/>
        <v>-39082.345000000008</v>
      </c>
      <c r="BC38" s="68" t="e">
        <f t="shared" si="21"/>
        <v>#DIV/0!</v>
      </c>
      <c r="BE38" s="184">
        <f t="shared" si="23"/>
        <v>0.17758446902974065</v>
      </c>
      <c r="BF38" s="184">
        <f t="shared" si="24"/>
        <v>1.7758446902974065</v>
      </c>
      <c r="BG38" s="172">
        <f t="shared" si="34"/>
        <v>0</v>
      </c>
      <c r="BH38" s="172">
        <f t="shared" si="35"/>
        <v>0</v>
      </c>
    </row>
    <row r="39" spans="1:60" x14ac:dyDescent="0.2">
      <c r="A39" s="68">
        <f t="shared" si="25"/>
        <v>1</v>
      </c>
      <c r="B39">
        <f>+'Annual Energy Data'!A49</f>
        <v>2049</v>
      </c>
      <c r="C39" s="58">
        <f>+'Annual Energy Data'!I49</f>
        <v>0</v>
      </c>
      <c r="D39" s="58">
        <f>+'Annual Energy Data'!M49</f>
        <v>0</v>
      </c>
      <c r="E39" s="58">
        <f>+'Annual Energy Data'!Q49</f>
        <v>0</v>
      </c>
      <c r="F39" s="58">
        <f>+'Annual Energy Data'!U49</f>
        <v>0</v>
      </c>
      <c r="G39" s="58">
        <f>+'Annual Energy Data'!V49</f>
        <v>0</v>
      </c>
      <c r="H39" s="58">
        <f>+'Annual Energy Data'!W49</f>
        <v>0</v>
      </c>
      <c r="I39" s="58">
        <f>+'Tier 3 Data'!J44</f>
        <v>0</v>
      </c>
      <c r="J39" s="58">
        <f>+'Tier 3 Data'!K44</f>
        <v>0</v>
      </c>
      <c r="K39" s="58">
        <f>+'Tier 3 Data'!L44</f>
        <v>0</v>
      </c>
      <c r="L39" s="58">
        <f>+'Tier 3 Data'!M44</f>
        <v>0</v>
      </c>
      <c r="M39" s="58">
        <f>+'Tier 3 Data'!N44</f>
        <v>0</v>
      </c>
      <c r="N39" s="58">
        <f>+'Tier 3 Data'!O44</f>
        <v>0</v>
      </c>
      <c r="O39" s="68">
        <f>+A39-'Tier 2 Data - MOU I.6'!A39</f>
        <v>0.8</v>
      </c>
      <c r="P39" s="89">
        <f t="shared" si="0"/>
        <v>2049</v>
      </c>
      <c r="Q39" s="102">
        <f t="shared" si="26"/>
        <v>0</v>
      </c>
      <c r="R39" s="102">
        <f t="shared" si="27"/>
        <v>0</v>
      </c>
      <c r="S39" s="102">
        <f t="shared" si="28"/>
        <v>0</v>
      </c>
      <c r="T39" s="102">
        <f t="shared" si="29"/>
        <v>0</v>
      </c>
      <c r="U39" s="102">
        <f t="shared" si="30"/>
        <v>0</v>
      </c>
      <c r="V39" s="102">
        <f t="shared" si="31"/>
        <v>0</v>
      </c>
      <c r="W39" s="102">
        <f>+'Tier 1 Data - MOU 1.5'!X39</f>
        <v>0</v>
      </c>
      <c r="X39" s="102">
        <f>+'Tier 1 Data - MOU 1.5'!Y39</f>
        <v>0</v>
      </c>
      <c r="Y39" s="102">
        <f>+'Tier 1 Data - MOU 1.5'!Z39</f>
        <v>0</v>
      </c>
      <c r="Z39" s="102">
        <f>+'Tier 1 Data - MOU 1.5'!AA39</f>
        <v>0</v>
      </c>
      <c r="AA39" s="102">
        <f>+'Annual Energy Data'!AD49</f>
        <v>0</v>
      </c>
      <c r="AB39" s="102">
        <f>+SUM('Annual Energy Data'!AE49:AH49)</f>
        <v>0</v>
      </c>
      <c r="AC39" s="102">
        <f>+'Annual Energy Data'!BD49</f>
        <v>0</v>
      </c>
      <c r="AD39" s="102">
        <f>+'Annual Energy Data'!AI49+'Annual Energy Data'!AJ49</f>
        <v>39082.345000000008</v>
      </c>
      <c r="AE39" s="102">
        <f>+'Annual Energy Data'!AM49*0.9</f>
        <v>0</v>
      </c>
      <c r="AF39" s="102">
        <f>+'Annual Energy Data'!AO49</f>
        <v>0</v>
      </c>
      <c r="AG39" s="102">
        <f>+'Annual Energy Data'!BR49</f>
        <v>0</v>
      </c>
      <c r="AH39" s="102">
        <f>+'Annual Energy Data'!BS49</f>
        <v>0</v>
      </c>
      <c r="AI39" s="102">
        <f>+'Annual Energy Data'!BT49</f>
        <v>0</v>
      </c>
      <c r="AJ39" s="102">
        <f>+'Annual Energy Data'!AP49</f>
        <v>0</v>
      </c>
      <c r="AK39" s="262">
        <v>0</v>
      </c>
      <c r="AL39" s="102">
        <f t="shared" si="6"/>
        <v>39082.345000000008</v>
      </c>
      <c r="AM39" s="65">
        <f t="shared" si="1"/>
        <v>0</v>
      </c>
      <c r="AN39" s="65">
        <f t="shared" si="2"/>
        <v>0</v>
      </c>
      <c r="AO39" s="65">
        <f t="shared" si="3"/>
        <v>0</v>
      </c>
      <c r="AP39" s="65">
        <f t="shared" si="4"/>
        <v>0</v>
      </c>
      <c r="AT39" s="58">
        <f t="shared" si="32"/>
        <v>0</v>
      </c>
      <c r="AU39" s="58">
        <f t="shared" si="33"/>
        <v>39082.345000000008</v>
      </c>
      <c r="AV39" s="73">
        <f t="shared" si="9"/>
        <v>-39082.345000000008</v>
      </c>
      <c r="AW39" s="73">
        <f t="shared" si="10"/>
        <v>-39082.345000000008</v>
      </c>
      <c r="AX39" s="73">
        <f t="shared" si="11"/>
        <v>-39082.345000000008</v>
      </c>
      <c r="AY39" s="73">
        <f t="shared" si="12"/>
        <v>-39082.345000000008</v>
      </c>
      <c r="AZ39" s="73">
        <f t="shared" si="13"/>
        <v>-39082.345000000008</v>
      </c>
      <c r="BA39" s="73">
        <f t="shared" si="14"/>
        <v>-39082.345000000008</v>
      </c>
      <c r="BC39" s="68" t="e">
        <f t="shared" si="21"/>
        <v>#DIV/0!</v>
      </c>
      <c r="BE39" s="184">
        <f t="shared" si="23"/>
        <v>0.18113615841033545</v>
      </c>
      <c r="BF39" s="184">
        <f t="shared" si="24"/>
        <v>1.8113615841033548</v>
      </c>
      <c r="BG39" s="172">
        <f t="shared" si="34"/>
        <v>0</v>
      </c>
      <c r="BH39" s="172">
        <f t="shared" si="35"/>
        <v>0</v>
      </c>
    </row>
    <row r="40" spans="1:60" x14ac:dyDescent="0.2">
      <c r="A40" s="68">
        <f t="shared" si="25"/>
        <v>1</v>
      </c>
      <c r="B40">
        <f>+'Annual Energy Data'!A50</f>
        <v>2050</v>
      </c>
      <c r="C40" s="58">
        <f>+'Annual Energy Data'!I50</f>
        <v>0</v>
      </c>
      <c r="D40" s="58">
        <f>+'Annual Energy Data'!M50</f>
        <v>0</v>
      </c>
      <c r="E40" s="58">
        <f>+'Annual Energy Data'!Q50</f>
        <v>0</v>
      </c>
      <c r="F40" s="58">
        <f>+'Annual Energy Data'!U50</f>
        <v>0</v>
      </c>
      <c r="G40" s="58">
        <f>+'Annual Energy Data'!V50</f>
        <v>0</v>
      </c>
      <c r="H40" s="58">
        <f>+'Annual Energy Data'!W50</f>
        <v>0</v>
      </c>
      <c r="I40" s="58">
        <f>+'Tier 3 Data'!J45</f>
        <v>0</v>
      </c>
      <c r="J40" s="58">
        <f>+'Tier 3 Data'!K45</f>
        <v>0</v>
      </c>
      <c r="K40" s="58">
        <f>+'Tier 3 Data'!L45</f>
        <v>0</v>
      </c>
      <c r="L40" s="58">
        <f>+'Tier 3 Data'!M45</f>
        <v>0</v>
      </c>
      <c r="M40" s="58">
        <f>+'Tier 3 Data'!N45</f>
        <v>0</v>
      </c>
      <c r="N40" s="58">
        <f>+'Tier 3 Data'!O45</f>
        <v>0</v>
      </c>
      <c r="O40" s="68">
        <f>+A40-'Tier 2 Data - MOU I.6'!A40</f>
        <v>0.8</v>
      </c>
      <c r="P40" s="89">
        <f t="shared" si="0"/>
        <v>2050</v>
      </c>
      <c r="Q40" s="102">
        <f t="shared" si="26"/>
        <v>0</v>
      </c>
      <c r="R40" s="102">
        <f t="shared" si="27"/>
        <v>0</v>
      </c>
      <c r="S40" s="102">
        <f t="shared" si="28"/>
        <v>0</v>
      </c>
      <c r="T40" s="102">
        <f t="shared" si="29"/>
        <v>0</v>
      </c>
      <c r="U40" s="102">
        <f t="shared" si="30"/>
        <v>0</v>
      </c>
      <c r="V40" s="102">
        <f t="shared" si="31"/>
        <v>0</v>
      </c>
      <c r="W40" s="102">
        <f>+'Tier 1 Data - MOU 1.5'!X40</f>
        <v>0</v>
      </c>
      <c r="X40" s="102">
        <f>+'Tier 1 Data - MOU 1.5'!Y40</f>
        <v>0</v>
      </c>
      <c r="Y40" s="102">
        <f>+'Tier 1 Data - MOU 1.5'!Z40</f>
        <v>0</v>
      </c>
      <c r="Z40" s="102">
        <f>+'Tier 1 Data - MOU 1.5'!AA40</f>
        <v>0</v>
      </c>
      <c r="AA40" s="102">
        <f>+'Annual Energy Data'!AD50</f>
        <v>0</v>
      </c>
      <c r="AB40" s="102">
        <f>+SUM('Annual Energy Data'!AE50:AH50)</f>
        <v>0</v>
      </c>
      <c r="AC40" s="102">
        <f>+'Annual Energy Data'!BD50</f>
        <v>0</v>
      </c>
      <c r="AD40" s="102">
        <f>+'Annual Energy Data'!AI50+'Annual Energy Data'!AJ50</f>
        <v>39082.345000000008</v>
      </c>
      <c r="AE40" s="102">
        <f>+'Annual Energy Data'!AM50*0.9</f>
        <v>0</v>
      </c>
      <c r="AF40" s="102">
        <f>+'Annual Energy Data'!AO50</f>
        <v>0</v>
      </c>
      <c r="AG40" s="102">
        <f>+'Annual Energy Data'!BR50</f>
        <v>0</v>
      </c>
      <c r="AH40" s="102">
        <f>+'Annual Energy Data'!BS50</f>
        <v>0</v>
      </c>
      <c r="AI40" s="102">
        <f>+'Annual Energy Data'!BT50</f>
        <v>0</v>
      </c>
      <c r="AJ40" s="102">
        <f>+'Annual Energy Data'!AP50</f>
        <v>0</v>
      </c>
      <c r="AK40" s="262">
        <v>0</v>
      </c>
      <c r="AL40" s="102">
        <f t="shared" si="6"/>
        <v>39082.345000000008</v>
      </c>
      <c r="AM40" s="65">
        <f t="shared" si="1"/>
        <v>0</v>
      </c>
      <c r="AN40" s="65">
        <f t="shared" si="2"/>
        <v>0</v>
      </c>
      <c r="AO40" s="65">
        <f t="shared" si="3"/>
        <v>0</v>
      </c>
      <c r="AP40" s="65">
        <f t="shared" si="4"/>
        <v>0</v>
      </c>
      <c r="AT40" s="58">
        <f t="shared" si="32"/>
        <v>0</v>
      </c>
      <c r="AU40" s="58">
        <f t="shared" si="33"/>
        <v>39082.345000000008</v>
      </c>
      <c r="AV40" s="73">
        <f t="shared" si="9"/>
        <v>-39082.345000000008</v>
      </c>
      <c r="AW40" s="73">
        <f t="shared" si="10"/>
        <v>-39082.345000000008</v>
      </c>
      <c r="AX40" s="73">
        <f t="shared" si="11"/>
        <v>-39082.345000000008</v>
      </c>
      <c r="AY40" s="73">
        <f t="shared" si="12"/>
        <v>-39082.345000000008</v>
      </c>
      <c r="AZ40" s="73">
        <f t="shared" si="13"/>
        <v>-39082.345000000008</v>
      </c>
      <c r="BA40" s="73">
        <f t="shared" si="14"/>
        <v>-39082.345000000008</v>
      </c>
      <c r="BC40" s="68" t="e">
        <f t="shared" si="21"/>
        <v>#DIV/0!</v>
      </c>
      <c r="BE40" s="184">
        <f t="shared" si="23"/>
        <v>0.18475888157854217</v>
      </c>
      <c r="BF40" s="184">
        <f t="shared" si="24"/>
        <v>1.8475888157854219</v>
      </c>
      <c r="BG40" s="172">
        <f t="shared" si="34"/>
        <v>0</v>
      </c>
      <c r="BH40" s="172">
        <f t="shared" si="35"/>
        <v>0</v>
      </c>
    </row>
    <row r="41" spans="1:60" x14ac:dyDescent="0.2">
      <c r="A41" s="68">
        <f t="shared" si="25"/>
        <v>1</v>
      </c>
      <c r="B41">
        <f>+'Annual Energy Data'!A51</f>
        <v>2051</v>
      </c>
      <c r="C41" s="58">
        <f>+'Annual Energy Data'!I51</f>
        <v>0</v>
      </c>
      <c r="D41" s="58">
        <f>+'Annual Energy Data'!M51</f>
        <v>0</v>
      </c>
      <c r="E41" s="58">
        <f>+'Annual Energy Data'!Q51</f>
        <v>0</v>
      </c>
      <c r="F41" s="58">
        <f>+'Annual Energy Data'!U51</f>
        <v>0</v>
      </c>
      <c r="G41" s="58">
        <f>+'Annual Energy Data'!V51</f>
        <v>0</v>
      </c>
      <c r="H41" s="58">
        <f>+'Annual Energy Data'!W51</f>
        <v>0</v>
      </c>
      <c r="I41" s="58">
        <f>+'Tier 3 Data'!J46</f>
        <v>0</v>
      </c>
      <c r="J41" s="58">
        <f>+'Tier 3 Data'!K46</f>
        <v>0</v>
      </c>
      <c r="K41" s="58">
        <f>+'Tier 3 Data'!L46</f>
        <v>0</v>
      </c>
      <c r="L41" s="58">
        <f>+'Tier 3 Data'!M46</f>
        <v>0</v>
      </c>
      <c r="M41" s="58">
        <f>+'Tier 3 Data'!N46</f>
        <v>0</v>
      </c>
      <c r="N41" s="58">
        <f>+'Tier 3 Data'!O46</f>
        <v>0</v>
      </c>
      <c r="O41" s="68">
        <f>+A41-'Tier 2 Data - MOU I.6'!A41</f>
        <v>1</v>
      </c>
      <c r="P41" s="89">
        <f t="shared" si="0"/>
        <v>2051</v>
      </c>
      <c r="Q41" s="102">
        <f t="shared" si="26"/>
        <v>0</v>
      </c>
      <c r="R41" s="102">
        <f t="shared" si="27"/>
        <v>0</v>
      </c>
      <c r="S41" s="102">
        <f t="shared" si="28"/>
        <v>0</v>
      </c>
      <c r="T41" s="102">
        <f t="shared" si="29"/>
        <v>0</v>
      </c>
      <c r="U41" s="102">
        <f t="shared" si="30"/>
        <v>0</v>
      </c>
      <c r="V41" s="102">
        <f t="shared" si="31"/>
        <v>0</v>
      </c>
      <c r="W41" s="102">
        <f>+'Tier 1 Data - MOU 1.5'!X41</f>
        <v>0</v>
      </c>
      <c r="X41" s="102">
        <f>+'Tier 1 Data - MOU 1.5'!Y41</f>
        <v>0</v>
      </c>
      <c r="Y41" s="102">
        <f>+'Tier 1 Data - MOU 1.5'!Z41</f>
        <v>0</v>
      </c>
      <c r="Z41" s="102">
        <f>+'Tier 1 Data - MOU 1.5'!AA41</f>
        <v>0</v>
      </c>
      <c r="AA41" s="102">
        <f>+'Annual Energy Data'!AD51</f>
        <v>0</v>
      </c>
      <c r="AB41" s="102">
        <f>+SUM('Annual Energy Data'!AE51:AH51)</f>
        <v>0</v>
      </c>
      <c r="AC41" s="102">
        <f>+'Annual Energy Data'!BD51</f>
        <v>0</v>
      </c>
      <c r="AD41" s="102">
        <f>+'Annual Energy Data'!AI51+'Annual Energy Data'!AJ51</f>
        <v>39082.345000000008</v>
      </c>
      <c r="AE41" s="102">
        <f>+'Annual Energy Data'!AM51*0.9</f>
        <v>0</v>
      </c>
      <c r="AF41" s="102">
        <f>+'Annual Energy Data'!AO51</f>
        <v>0</v>
      </c>
      <c r="AG41" s="102">
        <f>+'Annual Energy Data'!BR51</f>
        <v>0</v>
      </c>
      <c r="AH41" s="102">
        <f>+'Annual Energy Data'!BS51</f>
        <v>0</v>
      </c>
      <c r="AI41" s="102">
        <f>+'Annual Energy Data'!BT51</f>
        <v>0</v>
      </c>
      <c r="AJ41" s="102">
        <f>+'Annual Energy Data'!AP51</f>
        <v>0</v>
      </c>
      <c r="AK41" s="262">
        <v>0</v>
      </c>
      <c r="AL41" s="102">
        <f t="shared" si="6"/>
        <v>39082.345000000008</v>
      </c>
      <c r="AM41" s="65">
        <f t="shared" si="1"/>
        <v>0</v>
      </c>
      <c r="AN41" s="65">
        <f t="shared" si="2"/>
        <v>0</v>
      </c>
      <c r="AO41" s="65">
        <f t="shared" si="3"/>
        <v>0</v>
      </c>
      <c r="AP41" s="65">
        <f t="shared" si="4"/>
        <v>0</v>
      </c>
      <c r="AT41" s="58">
        <f t="shared" si="32"/>
        <v>0</v>
      </c>
      <c r="AU41" s="58">
        <f t="shared" si="33"/>
        <v>39082.345000000008</v>
      </c>
      <c r="AV41" s="73">
        <f t="shared" si="9"/>
        <v>-39082.345000000008</v>
      </c>
      <c r="AW41" s="73">
        <f t="shared" si="10"/>
        <v>-39082.345000000008</v>
      </c>
      <c r="AX41" s="73">
        <f t="shared" si="11"/>
        <v>-39082.345000000008</v>
      </c>
      <c r="AY41" s="73">
        <f t="shared" si="12"/>
        <v>-39082.345000000008</v>
      </c>
      <c r="AZ41" s="73">
        <f t="shared" si="13"/>
        <v>-39082.345000000008</v>
      </c>
      <c r="BA41" s="73">
        <f t="shared" si="14"/>
        <v>-39082.345000000008</v>
      </c>
      <c r="BC41" s="68" t="e">
        <f t="shared" si="21"/>
        <v>#DIV/0!</v>
      </c>
      <c r="BE41" s="184">
        <f t="shared" si="23"/>
        <v>0.18845405921011302</v>
      </c>
      <c r="BF41" s="184">
        <f t="shared" si="24"/>
        <v>1.8845405921011305</v>
      </c>
      <c r="BG41" s="172">
        <f t="shared" si="34"/>
        <v>0</v>
      </c>
      <c r="BH41" s="172">
        <f t="shared" si="35"/>
        <v>0</v>
      </c>
    </row>
    <row r="42" spans="1:60" x14ac:dyDescent="0.2">
      <c r="A42" s="68">
        <f t="shared" si="25"/>
        <v>1</v>
      </c>
      <c r="B42">
        <f>+'Annual Energy Data'!A52</f>
        <v>2052</v>
      </c>
      <c r="C42" s="58">
        <f>+'Annual Energy Data'!I52</f>
        <v>0</v>
      </c>
      <c r="D42" s="58">
        <f>+'Annual Energy Data'!M52</f>
        <v>0</v>
      </c>
      <c r="E42" s="58">
        <f>+'Annual Energy Data'!Q52</f>
        <v>0</v>
      </c>
      <c r="F42" s="58">
        <f>+'Annual Energy Data'!U52</f>
        <v>0</v>
      </c>
      <c r="G42" s="58">
        <f>+'Annual Energy Data'!V52</f>
        <v>0</v>
      </c>
      <c r="H42" s="58">
        <f>+'Annual Energy Data'!W52</f>
        <v>0</v>
      </c>
      <c r="I42" s="58">
        <f>+'Tier 3 Data'!J47</f>
        <v>0</v>
      </c>
      <c r="J42" s="58">
        <f>+'Tier 3 Data'!K47</f>
        <v>0</v>
      </c>
      <c r="K42" s="58">
        <f>+'Tier 3 Data'!L47</f>
        <v>0</v>
      </c>
      <c r="L42" s="58">
        <f>+'Tier 3 Data'!M47</f>
        <v>0</v>
      </c>
      <c r="M42" s="58">
        <f>+'Tier 3 Data'!N47</f>
        <v>0</v>
      </c>
      <c r="N42" s="58">
        <f>+'Tier 3 Data'!O47</f>
        <v>0</v>
      </c>
      <c r="O42" s="68">
        <f>+A42-'Tier 2 Data - MOU I.6'!A42</f>
        <v>1</v>
      </c>
      <c r="P42" s="89">
        <f t="shared" si="0"/>
        <v>2052</v>
      </c>
      <c r="Q42" s="102">
        <f t="shared" si="26"/>
        <v>0</v>
      </c>
      <c r="R42" s="102">
        <f t="shared" si="27"/>
        <v>0</v>
      </c>
      <c r="S42" s="102">
        <f t="shared" si="28"/>
        <v>0</v>
      </c>
      <c r="T42" s="102">
        <f t="shared" si="29"/>
        <v>0</v>
      </c>
      <c r="U42" s="102">
        <f t="shared" si="30"/>
        <v>0</v>
      </c>
      <c r="V42" s="102">
        <f t="shared" si="31"/>
        <v>0</v>
      </c>
      <c r="W42" s="102">
        <f>+'Tier 1 Data - MOU 1.5'!X42</f>
        <v>0</v>
      </c>
      <c r="X42" s="102">
        <f>+'Tier 1 Data - MOU 1.5'!Y42</f>
        <v>0</v>
      </c>
      <c r="Y42" s="102">
        <f>+'Tier 1 Data - MOU 1.5'!Z42</f>
        <v>0</v>
      </c>
      <c r="Z42" s="102">
        <f>+'Tier 1 Data - MOU 1.5'!AA42</f>
        <v>0</v>
      </c>
      <c r="AA42" s="102">
        <f>+'Annual Energy Data'!AD52</f>
        <v>0</v>
      </c>
      <c r="AB42" s="102">
        <f>+SUM('Annual Energy Data'!AE52:AH52)</f>
        <v>0</v>
      </c>
      <c r="AC42" s="102">
        <f>+'Annual Energy Data'!BD52</f>
        <v>0</v>
      </c>
      <c r="AD42" s="102">
        <f>+'Annual Energy Data'!AI52+'Annual Energy Data'!AJ52</f>
        <v>39082.345000000008</v>
      </c>
      <c r="AE42" s="102">
        <f>+'Annual Energy Data'!AM52*0.9</f>
        <v>0</v>
      </c>
      <c r="AF42" s="102">
        <f>+'Annual Energy Data'!AO52</f>
        <v>0</v>
      </c>
      <c r="AG42" s="102">
        <f>+'Annual Energy Data'!BR52</f>
        <v>0</v>
      </c>
      <c r="AH42" s="102">
        <f>+'Annual Energy Data'!BS52</f>
        <v>0</v>
      </c>
      <c r="AI42" s="102">
        <f>+'Annual Energy Data'!BT52</f>
        <v>0</v>
      </c>
      <c r="AJ42" s="102">
        <f>+'Annual Energy Data'!AP52</f>
        <v>0</v>
      </c>
      <c r="AK42" s="262">
        <v>0</v>
      </c>
      <c r="AL42" s="102">
        <f t="shared" si="6"/>
        <v>39082.345000000008</v>
      </c>
      <c r="AM42" s="65">
        <f t="shared" si="1"/>
        <v>0</v>
      </c>
      <c r="AN42" s="65">
        <f t="shared" si="2"/>
        <v>0</v>
      </c>
      <c r="AO42" s="65">
        <f t="shared" si="3"/>
        <v>0</v>
      </c>
      <c r="AP42" s="65">
        <f t="shared" si="4"/>
        <v>0</v>
      </c>
      <c r="AT42" s="58">
        <f t="shared" si="32"/>
        <v>0</v>
      </c>
      <c r="AU42" s="58">
        <f t="shared" si="33"/>
        <v>39082.345000000008</v>
      </c>
      <c r="AV42" s="73">
        <f t="shared" si="9"/>
        <v>-39082.345000000008</v>
      </c>
      <c r="AW42" s="73">
        <f t="shared" si="10"/>
        <v>-39082.345000000008</v>
      </c>
      <c r="AX42" s="73">
        <f t="shared" si="11"/>
        <v>-39082.345000000008</v>
      </c>
      <c r="AY42" s="73">
        <f t="shared" si="12"/>
        <v>-39082.345000000008</v>
      </c>
      <c r="AZ42" s="73">
        <f t="shared" si="13"/>
        <v>-39082.345000000008</v>
      </c>
      <c r="BA42" s="73">
        <f t="shared" si="14"/>
        <v>-39082.345000000008</v>
      </c>
      <c r="BC42" s="68" t="e">
        <f t="shared" si="21"/>
        <v>#DIV/0!</v>
      </c>
      <c r="BE42" s="184">
        <f t="shared" si="23"/>
        <v>0.19222314039431529</v>
      </c>
      <c r="BF42" s="184">
        <f t="shared" si="24"/>
        <v>1.9222314039431532</v>
      </c>
      <c r="BG42" s="172">
        <f t="shared" si="34"/>
        <v>0</v>
      </c>
      <c r="BH42" s="172">
        <f t="shared" si="35"/>
        <v>0</v>
      </c>
    </row>
    <row r="43" spans="1:60" x14ac:dyDescent="0.2">
      <c r="A43" s="68">
        <f t="shared" si="25"/>
        <v>1</v>
      </c>
      <c r="B43">
        <f>+'Annual Energy Data'!A53</f>
        <v>2053</v>
      </c>
      <c r="C43" s="58">
        <f>+'Annual Energy Data'!I53</f>
        <v>0</v>
      </c>
      <c r="D43" s="58">
        <f>+'Annual Energy Data'!M53</f>
        <v>0</v>
      </c>
      <c r="E43" s="58">
        <f>+'Annual Energy Data'!Q53</f>
        <v>0</v>
      </c>
      <c r="F43" s="58">
        <f>+'Annual Energy Data'!U53</f>
        <v>0</v>
      </c>
      <c r="G43" s="58">
        <f>+'Annual Energy Data'!V53</f>
        <v>0</v>
      </c>
      <c r="H43" s="58">
        <f>+'Annual Energy Data'!W53</f>
        <v>0</v>
      </c>
      <c r="I43" s="58">
        <f>+'Tier 3 Data'!J48</f>
        <v>0</v>
      </c>
      <c r="J43" s="58">
        <f>+'Tier 3 Data'!K48</f>
        <v>0</v>
      </c>
      <c r="K43" s="58">
        <f>+'Tier 3 Data'!L48</f>
        <v>0</v>
      </c>
      <c r="L43" s="58">
        <f>+'Tier 3 Data'!M48</f>
        <v>0</v>
      </c>
      <c r="M43" s="58">
        <f>+'Tier 3 Data'!N48</f>
        <v>0</v>
      </c>
      <c r="N43" s="58">
        <f>+'Tier 3 Data'!O48</f>
        <v>0</v>
      </c>
      <c r="O43" s="68">
        <f>+A43-'Tier 2 Data - MOU I.6'!A43</f>
        <v>1</v>
      </c>
      <c r="P43" s="89">
        <f t="shared" si="0"/>
        <v>2053</v>
      </c>
      <c r="Q43" s="102">
        <f t="shared" si="26"/>
        <v>0</v>
      </c>
      <c r="R43" s="102">
        <f t="shared" si="27"/>
        <v>0</v>
      </c>
      <c r="S43" s="102">
        <f t="shared" si="28"/>
        <v>0</v>
      </c>
      <c r="T43" s="102">
        <f t="shared" si="29"/>
        <v>0</v>
      </c>
      <c r="U43" s="102">
        <f t="shared" si="30"/>
        <v>0</v>
      </c>
      <c r="V43" s="102">
        <f t="shared" si="31"/>
        <v>0</v>
      </c>
      <c r="W43" s="102">
        <f>+'Tier 1 Data - MOU 1.5'!X43</f>
        <v>0</v>
      </c>
      <c r="X43" s="102">
        <f>+'Tier 1 Data - MOU 1.5'!Y43</f>
        <v>0</v>
      </c>
      <c r="Y43" s="102">
        <f>+'Tier 1 Data - MOU 1.5'!Z43</f>
        <v>0</v>
      </c>
      <c r="Z43" s="102">
        <f>+'Tier 1 Data - MOU 1.5'!AA43</f>
        <v>0</v>
      </c>
      <c r="AA43" s="102">
        <f>+'Annual Energy Data'!AD53</f>
        <v>0</v>
      </c>
      <c r="AB43" s="102">
        <f>+SUM('Annual Energy Data'!AE53:AH53)</f>
        <v>0</v>
      </c>
      <c r="AC43" s="102">
        <f>+'Annual Energy Data'!BD53</f>
        <v>0</v>
      </c>
      <c r="AD43" s="102">
        <f>+'Annual Energy Data'!AI53+'Annual Energy Data'!AJ53</f>
        <v>39082.345000000008</v>
      </c>
      <c r="AE43" s="102">
        <f>+'Annual Energy Data'!AM53*0.9</f>
        <v>0</v>
      </c>
      <c r="AF43" s="102">
        <f>+'Annual Energy Data'!AO53</f>
        <v>0</v>
      </c>
      <c r="AG43" s="102">
        <f>+'Annual Energy Data'!BR53</f>
        <v>0</v>
      </c>
      <c r="AH43" s="102">
        <f>+'Annual Energy Data'!BS53</f>
        <v>0</v>
      </c>
      <c r="AI43" s="102">
        <f>+'Annual Energy Data'!BT53</f>
        <v>0</v>
      </c>
      <c r="AJ43" s="102">
        <f>+'Annual Energy Data'!AP53</f>
        <v>0</v>
      </c>
      <c r="AK43" s="262">
        <v>0</v>
      </c>
      <c r="AL43" s="102">
        <f t="shared" si="6"/>
        <v>39082.345000000008</v>
      </c>
      <c r="AM43" s="65">
        <f t="shared" si="1"/>
        <v>0</v>
      </c>
      <c r="AN43" s="65">
        <f t="shared" si="2"/>
        <v>0</v>
      </c>
      <c r="AO43" s="65">
        <f t="shared" si="3"/>
        <v>0</v>
      </c>
      <c r="AP43" s="65">
        <f t="shared" si="4"/>
        <v>0</v>
      </c>
      <c r="AT43" s="58">
        <f t="shared" si="32"/>
        <v>0</v>
      </c>
      <c r="AU43" s="58">
        <f t="shared" si="33"/>
        <v>39082.345000000008</v>
      </c>
      <c r="AV43" s="73">
        <f t="shared" si="9"/>
        <v>-39082.345000000008</v>
      </c>
      <c r="AW43" s="73">
        <f t="shared" si="10"/>
        <v>-39082.345000000008</v>
      </c>
      <c r="AX43" s="73">
        <f t="shared" si="11"/>
        <v>-39082.345000000008</v>
      </c>
      <c r="AY43" s="73">
        <f t="shared" si="12"/>
        <v>-39082.345000000008</v>
      </c>
      <c r="AZ43" s="73">
        <f t="shared" si="13"/>
        <v>-39082.345000000008</v>
      </c>
      <c r="BA43" s="73">
        <f t="shared" si="14"/>
        <v>-39082.345000000008</v>
      </c>
      <c r="BC43" s="68" t="e">
        <f t="shared" si="21"/>
        <v>#DIV/0!</v>
      </c>
      <c r="BE43" s="184">
        <f t="shared" si="23"/>
        <v>0.1960676032022016</v>
      </c>
      <c r="BF43" s="184">
        <f t="shared" si="24"/>
        <v>1.9606760320220162</v>
      </c>
      <c r="BG43" s="172">
        <f t="shared" si="34"/>
        <v>0</v>
      </c>
      <c r="BH43" s="172">
        <f t="shared" si="35"/>
        <v>0</v>
      </c>
    </row>
    <row r="44" spans="1:60" x14ac:dyDescent="0.2">
      <c r="C44" s="58"/>
      <c r="D44" s="58"/>
      <c r="E44" s="58"/>
      <c r="F44" s="58"/>
      <c r="G44" s="58"/>
      <c r="H44" s="58"/>
      <c r="I44" s="58"/>
      <c r="J44" s="58"/>
      <c r="K44" s="58"/>
      <c r="L44" s="58"/>
      <c r="M44" s="58"/>
      <c r="N44" s="58"/>
      <c r="O44" s="68"/>
      <c r="U44" s="68"/>
    </row>
    <row r="45" spans="1:60" x14ac:dyDescent="0.2">
      <c r="C45" s="58"/>
      <c r="D45" s="58"/>
      <c r="E45" s="58"/>
      <c r="F45" s="58"/>
      <c r="G45" s="58"/>
      <c r="H45" s="58"/>
      <c r="I45" s="58"/>
      <c r="J45" s="58"/>
      <c r="K45" s="58"/>
      <c r="L45" s="58"/>
      <c r="M45" s="58"/>
      <c r="N45" s="58"/>
      <c r="O45" s="68"/>
      <c r="U45" s="68"/>
    </row>
    <row r="46" spans="1:60" x14ac:dyDescent="0.2">
      <c r="C46" s="58"/>
      <c r="D46" s="58"/>
      <c r="E46" s="58"/>
      <c r="F46" s="58"/>
      <c r="G46" s="58"/>
      <c r="H46" s="58"/>
      <c r="I46" s="58"/>
      <c r="J46" s="58"/>
      <c r="K46" s="58"/>
      <c r="L46" s="58"/>
      <c r="M46" s="58"/>
      <c r="N46" s="58"/>
      <c r="O46" s="68"/>
      <c r="U46" s="68"/>
    </row>
    <row r="47" spans="1:60" x14ac:dyDescent="0.2">
      <c r="C47" s="58"/>
      <c r="D47" s="58"/>
      <c r="E47" s="58"/>
      <c r="F47" s="58"/>
      <c r="G47" s="58"/>
      <c r="H47" s="58"/>
      <c r="I47" s="58"/>
      <c r="J47" s="58"/>
      <c r="K47" s="58"/>
      <c r="L47" s="58"/>
      <c r="M47" s="58"/>
      <c r="N47" s="58"/>
      <c r="O47" s="68"/>
      <c r="U47" s="68"/>
    </row>
    <row r="48" spans="1:60" x14ac:dyDescent="0.2">
      <c r="U48" s="68"/>
    </row>
    <row r="49" spans="21:21" x14ac:dyDescent="0.2">
      <c r="U49" s="68"/>
    </row>
    <row r="50" spans="21:21" x14ac:dyDescent="0.2">
      <c r="U50" s="68"/>
    </row>
    <row r="51" spans="21:21" x14ac:dyDescent="0.2">
      <c r="U51" s="68"/>
    </row>
  </sheetData>
  <pageMargins left="0.7" right="0.7" top="0.75" bottom="0.75" header="0.3" footer="0.3"/>
  <pageSetup scale="16"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3:AJ32"/>
  <sheetViews>
    <sheetView workbookViewId="0">
      <selection activeCell="H27" sqref="H27"/>
    </sheetView>
  </sheetViews>
  <sheetFormatPr defaultRowHeight="12.75" x14ac:dyDescent="0.2"/>
  <cols>
    <col min="21" max="21" width="9.85546875" customWidth="1"/>
    <col min="22" max="22" width="9.7109375" customWidth="1"/>
    <col min="23" max="23" width="9.85546875" customWidth="1"/>
  </cols>
  <sheetData>
    <row r="3" spans="1:36" x14ac:dyDescent="0.2">
      <c r="Q3" s="106" t="s">
        <v>209</v>
      </c>
    </row>
    <row r="5" spans="1:36" ht="63.75" x14ac:dyDescent="0.2">
      <c r="A5" s="61" t="s">
        <v>175</v>
      </c>
      <c r="B5" s="59" t="s">
        <v>8</v>
      </c>
      <c r="C5" s="59"/>
      <c r="D5" s="59" t="s">
        <v>156</v>
      </c>
      <c r="E5" s="59" t="s">
        <v>157</v>
      </c>
      <c r="F5" s="59" t="s">
        <v>158</v>
      </c>
      <c r="G5" s="206" t="str">
        <f>+'Annual Energy Data'!U7</f>
        <v>VELCO Forecast</v>
      </c>
      <c r="H5" s="207" t="str">
        <f>+'Annual Energy Data'!V7</f>
        <v>Climate Action Plan Forecast</v>
      </c>
      <c r="I5" s="207" t="str">
        <f>+'Annual Energy Data'!W7</f>
        <v>VEC Forecast</v>
      </c>
      <c r="J5" s="59" t="s">
        <v>159</v>
      </c>
      <c r="K5" s="59" t="s">
        <v>160</v>
      </c>
      <c r="L5" s="59" t="s">
        <v>161</v>
      </c>
      <c r="M5" s="59" t="s">
        <v>162</v>
      </c>
      <c r="N5" s="59" t="s">
        <v>163</v>
      </c>
      <c r="O5" s="59" t="s">
        <v>164</v>
      </c>
      <c r="P5" s="59" t="s">
        <v>165</v>
      </c>
      <c r="Q5" s="100" t="str">
        <f>+B5</f>
        <v>Year</v>
      </c>
      <c r="R5" s="100" t="s">
        <v>197</v>
      </c>
      <c r="S5" s="100" t="s">
        <v>198</v>
      </c>
      <c r="T5" s="100" t="s">
        <v>199</v>
      </c>
      <c r="U5" s="100" t="s">
        <v>200</v>
      </c>
      <c r="V5" s="100" t="s">
        <v>201</v>
      </c>
      <c r="W5" s="100" t="s">
        <v>202</v>
      </c>
      <c r="X5" s="100" t="s">
        <v>92</v>
      </c>
      <c r="Y5" s="100" t="s">
        <v>215</v>
      </c>
      <c r="Z5" s="100" t="s">
        <v>254</v>
      </c>
      <c r="AA5" s="100" t="s">
        <v>253</v>
      </c>
      <c r="AB5" s="100" t="s">
        <v>141</v>
      </c>
      <c r="AC5" s="100" t="s">
        <v>143</v>
      </c>
      <c r="AD5" s="100" t="s">
        <v>142</v>
      </c>
      <c r="AE5" s="100" t="s">
        <v>75</v>
      </c>
      <c r="AF5" s="117" t="str">
        <f>+'Annual Energy Data'!AM7</f>
        <v>Ryegate</v>
      </c>
      <c r="AG5" s="117" t="str">
        <f>+'Annual Energy Data'!AO7</f>
        <v>Kingdom Wind</v>
      </c>
      <c r="AH5" s="117" t="str">
        <f>+'Annual Energy Data'!AP7</f>
        <v>Sheffield - Fixed Price</v>
      </c>
      <c r="AI5" s="100" t="s">
        <v>139</v>
      </c>
      <c r="AJ5" s="100" t="s">
        <v>91</v>
      </c>
    </row>
    <row r="6" spans="1:36" x14ac:dyDescent="0.2">
      <c r="A6" s="68"/>
      <c r="B6">
        <f>+'Annual Energy Data'!A16</f>
        <v>2016</v>
      </c>
      <c r="D6" s="58">
        <f>+'Annual Energy Data'!I16</f>
        <v>0</v>
      </c>
      <c r="E6" s="58">
        <f>+'Annual Energy Data'!M16</f>
        <v>0</v>
      </c>
      <c r="F6" s="58">
        <f>+'Annual Energy Data'!Q16</f>
        <v>0</v>
      </c>
      <c r="G6" s="58">
        <f>+'Annual Energy Data'!U16</f>
        <v>0</v>
      </c>
      <c r="H6" s="58">
        <f>+'Annual Energy Data'!V16</f>
        <v>0</v>
      </c>
      <c r="I6" s="58">
        <f>+'Annual Energy Data'!W16</f>
        <v>0</v>
      </c>
      <c r="J6" s="58" t="e">
        <f>+'Tier 3 Data'!#REF!</f>
        <v>#REF!</v>
      </c>
      <c r="K6" s="58" t="e">
        <f>+'Tier 3 Data'!#REF!</f>
        <v>#REF!</v>
      </c>
      <c r="L6" s="58" t="e">
        <f>+'Tier 3 Data'!#REF!</f>
        <v>#REF!</v>
      </c>
      <c r="M6" s="58" t="e">
        <f>+'Tier 3 Data'!#REF!</f>
        <v>#REF!</v>
      </c>
      <c r="N6" s="58" t="e">
        <f>+'Tier 3 Data'!#REF!</f>
        <v>#REF!</v>
      </c>
      <c r="O6" s="58" t="e">
        <f>+'Tier 3 Data'!#REF!</f>
        <v>#REF!</v>
      </c>
      <c r="P6" s="76"/>
      <c r="Q6" s="89">
        <f>+B6</f>
        <v>2016</v>
      </c>
      <c r="R6" s="118"/>
      <c r="S6" s="118"/>
      <c r="T6" s="118"/>
      <c r="U6" s="118"/>
      <c r="V6" s="118"/>
      <c r="W6" s="118"/>
      <c r="X6" s="118"/>
      <c r="Y6" s="118"/>
      <c r="Z6" s="118"/>
      <c r="AA6" s="118"/>
      <c r="AB6" s="102">
        <f>+SUM('Annual Energy Data'!Z16:AD16)</f>
        <v>0</v>
      </c>
      <c r="AC6" s="102">
        <f>+SUM('Annual Energy Data'!AE16:AH16)</f>
        <v>0</v>
      </c>
      <c r="AD6" s="102">
        <f>+'Annual Energy Data'!BD16</f>
        <v>0</v>
      </c>
      <c r="AE6" s="102">
        <f>+'Annual Energy Data'!AI16+'Annual Energy Data'!AJ16</f>
        <v>0</v>
      </c>
      <c r="AF6" s="118"/>
      <c r="AG6" s="118"/>
      <c r="AH6" s="118"/>
      <c r="AI6" s="118"/>
      <c r="AJ6" s="102"/>
    </row>
    <row r="7" spans="1:36" x14ac:dyDescent="0.2">
      <c r="A7" s="68">
        <f>+'Tier 1 Data - MOU I.4'!A7</f>
        <v>0.55000000000000004</v>
      </c>
      <c r="B7">
        <f>+'Annual Energy Data'!A17</f>
        <v>2017</v>
      </c>
      <c r="D7" s="58">
        <f>+'Annual Energy Data'!I17</f>
        <v>0</v>
      </c>
      <c r="E7" s="58">
        <f>+'Annual Energy Data'!M17</f>
        <v>0</v>
      </c>
      <c r="F7" s="58">
        <f>+'Annual Energy Data'!Q17</f>
        <v>0</v>
      </c>
      <c r="G7" s="58">
        <f>+'Annual Energy Data'!U17</f>
        <v>0</v>
      </c>
      <c r="H7" s="58">
        <f>+'Annual Energy Data'!V17</f>
        <v>0</v>
      </c>
      <c r="I7" s="58">
        <f>+'Annual Energy Data'!W17</f>
        <v>0</v>
      </c>
      <c r="J7" s="58">
        <f>+'Tier 3 Data'!J12</f>
        <v>0</v>
      </c>
      <c r="K7" s="58">
        <f>+'Tier 3 Data'!K12</f>
        <v>0</v>
      </c>
      <c r="L7" s="58">
        <f>+'Tier 3 Data'!L12</f>
        <v>0</v>
      </c>
      <c r="M7" s="58">
        <f>+'Tier 3 Data'!M12</f>
        <v>0</v>
      </c>
      <c r="N7" s="58">
        <f>+'Tier 3 Data'!N12</f>
        <v>0</v>
      </c>
      <c r="O7" s="58">
        <f>+'Tier 3 Data'!O12</f>
        <v>0</v>
      </c>
      <c r="P7" s="68">
        <f>+A7-'Tier 2 Data - MOU I.6'!A7</f>
        <v>0.54</v>
      </c>
      <c r="Q7" s="89">
        <f t="shared" ref="Q7:Q28" si="0">+B7</f>
        <v>2017</v>
      </c>
      <c r="R7" s="102">
        <f t="shared" ref="R7:W7" si="1">+$P7*J7</f>
        <v>0</v>
      </c>
      <c r="S7" s="102">
        <f t="shared" si="1"/>
        <v>0</v>
      </c>
      <c r="T7" s="102">
        <f t="shared" si="1"/>
        <v>0</v>
      </c>
      <c r="U7" s="102">
        <f t="shared" si="1"/>
        <v>0</v>
      </c>
      <c r="V7" s="102">
        <f t="shared" si="1"/>
        <v>0</v>
      </c>
      <c r="W7" s="102">
        <f t="shared" si="1"/>
        <v>0</v>
      </c>
      <c r="X7" s="125">
        <v>20000</v>
      </c>
      <c r="Y7" s="125">
        <v>30000</v>
      </c>
      <c r="Z7" s="125"/>
      <c r="AA7" s="125"/>
      <c r="AB7" s="102">
        <f>+SUM('Annual Energy Data'!Z17:AD17)</f>
        <v>0</v>
      </c>
      <c r="AC7" s="102">
        <f>+SUM('Annual Energy Data'!AE17:AH17)</f>
        <v>0</v>
      </c>
      <c r="AD7" s="102">
        <f>+'Annual Energy Data'!BD17</f>
        <v>0</v>
      </c>
      <c r="AE7" s="102">
        <f>+'Annual Energy Data'!AI17+'Annual Energy Data'!AJ17</f>
        <v>0</v>
      </c>
      <c r="AF7" s="118"/>
      <c r="AG7" s="118"/>
      <c r="AH7" s="118"/>
      <c r="AI7" s="118"/>
      <c r="AJ7" s="102">
        <f t="shared" ref="AJ7:AJ28" si="2">+SUM(X7:AI7)</f>
        <v>50000</v>
      </c>
    </row>
    <row r="8" spans="1:36" x14ac:dyDescent="0.2">
      <c r="A8" s="68">
        <f>+'Tier 1 Data - MOU I.4'!A8</f>
        <v>0.55000000000000004</v>
      </c>
      <c r="B8">
        <f>+'Annual Energy Data'!A18</f>
        <v>2018</v>
      </c>
      <c r="C8" t="e">
        <f>+K8/E8-1</f>
        <v>#DIV/0!</v>
      </c>
      <c r="D8" s="58">
        <f>+'Annual Energy Data'!I18</f>
        <v>0</v>
      </c>
      <c r="E8" s="58">
        <f>+'Annual Energy Data'!M18</f>
        <v>0</v>
      </c>
      <c r="F8" s="58">
        <f>+'Annual Energy Data'!Q18</f>
        <v>0</v>
      </c>
      <c r="G8" s="58">
        <f>+'Annual Energy Data'!U18</f>
        <v>0</v>
      </c>
      <c r="H8" s="58">
        <f>+'Annual Energy Data'!V18</f>
        <v>0</v>
      </c>
      <c r="I8" s="58">
        <f>+'Annual Energy Data'!W18</f>
        <v>0</v>
      </c>
      <c r="J8" s="58">
        <f>+'Tier 3 Data'!J13</f>
        <v>0</v>
      </c>
      <c r="K8" s="58">
        <f>+'Tier 3 Data'!K13</f>
        <v>0</v>
      </c>
      <c r="L8" s="58">
        <f>+'Tier 3 Data'!L13</f>
        <v>0</v>
      </c>
      <c r="M8" s="58">
        <f>+'Tier 3 Data'!M13</f>
        <v>0</v>
      </c>
      <c r="N8" s="58">
        <f>+'Tier 3 Data'!N13</f>
        <v>0</v>
      </c>
      <c r="O8" s="58">
        <f>+'Tier 3 Data'!O13</f>
        <v>0</v>
      </c>
      <c r="P8" s="68">
        <f>+A8-'Tier 2 Data - MOU I.6'!A8</f>
        <v>0.53400000000000003</v>
      </c>
      <c r="Q8" s="89">
        <f t="shared" si="0"/>
        <v>2018</v>
      </c>
      <c r="R8" s="102">
        <f t="shared" ref="R8:R28" si="3">+$P8*J8</f>
        <v>0</v>
      </c>
      <c r="S8" s="102">
        <f t="shared" ref="S8:S28" si="4">+$P8*K8</f>
        <v>0</v>
      </c>
      <c r="T8" s="102">
        <f t="shared" ref="T8:T28" si="5">+$P8*L8</f>
        <v>0</v>
      </c>
      <c r="U8" s="102">
        <f t="shared" ref="U8:U28" si="6">+$P8*M8</f>
        <v>0</v>
      </c>
      <c r="V8" s="102">
        <f t="shared" ref="V8:V28" si="7">+$P8*N8</f>
        <v>0</v>
      </c>
      <c r="W8" s="102">
        <f t="shared" ref="W8:W28" si="8">+$P8*O8</f>
        <v>0</v>
      </c>
      <c r="X8" s="125">
        <v>20000</v>
      </c>
      <c r="Y8" s="125">
        <v>20000</v>
      </c>
      <c r="Z8" s="125">
        <v>15000</v>
      </c>
      <c r="AA8" s="125">
        <v>30000</v>
      </c>
      <c r="AB8" s="102">
        <f>+SUM('Annual Energy Data'!Z18:AD18)</f>
        <v>0</v>
      </c>
      <c r="AC8" s="102">
        <f>+SUM('Annual Energy Data'!AE18:AH18)</f>
        <v>99280</v>
      </c>
      <c r="AD8" s="102">
        <f>+'Annual Energy Data'!BD18</f>
        <v>23360</v>
      </c>
      <c r="AE8" s="102">
        <f>+'Annual Energy Data'!AI18+'Annual Energy Data'!AJ18</f>
        <v>40918.044000000002</v>
      </c>
      <c r="AF8" s="118"/>
      <c r="AG8" s="118"/>
      <c r="AH8" s="118"/>
      <c r="AI8" s="118"/>
      <c r="AJ8" s="102">
        <f t="shared" si="2"/>
        <v>248558.04399999999</v>
      </c>
    </row>
    <row r="9" spans="1:36" x14ac:dyDescent="0.2">
      <c r="A9" s="68">
        <f>+'Tier 1 Data - MOU I.4'!A9</f>
        <v>0.55000000000000004</v>
      </c>
      <c r="B9">
        <f>+'Annual Energy Data'!A19</f>
        <v>2019</v>
      </c>
      <c r="D9" s="58">
        <f>+'Annual Energy Data'!I19</f>
        <v>0</v>
      </c>
      <c r="E9" s="58">
        <f>+'Annual Energy Data'!M19</f>
        <v>0</v>
      </c>
      <c r="F9" s="58">
        <f>+'Annual Energy Data'!Q19</f>
        <v>0</v>
      </c>
      <c r="G9" s="58">
        <f>+'Annual Energy Data'!U19</f>
        <v>0</v>
      </c>
      <c r="H9" s="58">
        <f>+'Annual Energy Data'!V19</f>
        <v>0</v>
      </c>
      <c r="I9" s="58">
        <f>+'Annual Energy Data'!W19</f>
        <v>0</v>
      </c>
      <c r="J9" s="58">
        <f>+'Tier 3 Data'!J14</f>
        <v>0</v>
      </c>
      <c r="K9" s="58">
        <f>+'Tier 3 Data'!K14</f>
        <v>0</v>
      </c>
      <c r="L9" s="58">
        <f>+'Tier 3 Data'!L14</f>
        <v>0</v>
      </c>
      <c r="M9" s="58">
        <f>+'Tier 3 Data'!M14</f>
        <v>0</v>
      </c>
      <c r="N9" s="58">
        <f>+'Tier 3 Data'!N14</f>
        <v>0</v>
      </c>
      <c r="O9" s="58">
        <f>+'Tier 3 Data'!O14</f>
        <v>0</v>
      </c>
      <c r="P9" s="68">
        <f>+A9-'Tier 2 Data - MOU I.6'!A9</f>
        <v>0.52800000000000002</v>
      </c>
      <c r="Q9" s="89">
        <f t="shared" si="0"/>
        <v>2019</v>
      </c>
      <c r="R9" s="102">
        <f t="shared" si="3"/>
        <v>0</v>
      </c>
      <c r="S9" s="102">
        <f t="shared" si="4"/>
        <v>0</v>
      </c>
      <c r="T9" s="102">
        <f t="shared" si="5"/>
        <v>0</v>
      </c>
      <c r="U9" s="102">
        <f t="shared" si="6"/>
        <v>0</v>
      </c>
      <c r="V9" s="102">
        <f t="shared" si="7"/>
        <v>0</v>
      </c>
      <c r="W9" s="102">
        <f t="shared" si="8"/>
        <v>0</v>
      </c>
      <c r="X9" s="125">
        <v>20000</v>
      </c>
      <c r="Y9" s="125"/>
      <c r="Z9" s="125"/>
      <c r="AA9" s="125"/>
      <c r="AB9" s="102">
        <f>+SUM('Annual Energy Data'!Z19:AD19)</f>
        <v>0</v>
      </c>
      <c r="AC9" s="102">
        <f>+SUM('Annual Energy Data'!AE19:AH19)</f>
        <v>99280</v>
      </c>
      <c r="AD9" s="102">
        <f>+'Annual Energy Data'!BD19</f>
        <v>23360</v>
      </c>
      <c r="AE9" s="102">
        <f>+'Annual Energy Data'!AI19+'Annual Energy Data'!AJ19</f>
        <v>41031.343000000001</v>
      </c>
      <c r="AF9" s="118"/>
      <c r="AG9" s="118"/>
      <c r="AH9" s="118"/>
      <c r="AI9" s="118"/>
      <c r="AJ9" s="102">
        <f t="shared" si="2"/>
        <v>183671.34299999999</v>
      </c>
    </row>
    <row r="10" spans="1:36" x14ac:dyDescent="0.2">
      <c r="A10" s="68">
        <f>+'Tier 1 Data - MOU I.4'!A10</f>
        <v>0.59000000000000008</v>
      </c>
      <c r="B10">
        <f>+'Annual Energy Data'!A20</f>
        <v>2020</v>
      </c>
      <c r="D10" s="58">
        <f>+'Annual Energy Data'!I20</f>
        <v>0</v>
      </c>
      <c r="E10" s="58">
        <f>+'Annual Energy Data'!M20</f>
        <v>0</v>
      </c>
      <c r="F10" s="58">
        <f>+'Annual Energy Data'!Q20</f>
        <v>0</v>
      </c>
      <c r="G10" s="58">
        <f>+'Annual Energy Data'!U20</f>
        <v>0</v>
      </c>
      <c r="H10" s="58">
        <f>+'Annual Energy Data'!V20</f>
        <v>0</v>
      </c>
      <c r="I10" s="58">
        <f>+'Annual Energy Data'!W20</f>
        <v>0</v>
      </c>
      <c r="J10" s="58">
        <f>+'Tier 3 Data'!J15</f>
        <v>0</v>
      </c>
      <c r="K10" s="58">
        <f>+'Tier 3 Data'!K15</f>
        <v>0</v>
      </c>
      <c r="L10" s="58">
        <f>+'Tier 3 Data'!L15</f>
        <v>0</v>
      </c>
      <c r="M10" s="58">
        <f>+'Tier 3 Data'!M15</f>
        <v>0</v>
      </c>
      <c r="N10" s="58">
        <f>+'Tier 3 Data'!N15</f>
        <v>0</v>
      </c>
      <c r="O10" s="58">
        <f>+'Tier 3 Data'!O15</f>
        <v>0</v>
      </c>
      <c r="P10" s="68">
        <f>+A10-'Tier 2 Data - MOU I.6'!A10</f>
        <v>0.56200000000000006</v>
      </c>
      <c r="Q10" s="89">
        <f t="shared" si="0"/>
        <v>2020</v>
      </c>
      <c r="R10" s="102">
        <f t="shared" si="3"/>
        <v>0</v>
      </c>
      <c r="S10" s="102">
        <f t="shared" si="4"/>
        <v>0</v>
      </c>
      <c r="T10" s="102">
        <f t="shared" si="5"/>
        <v>0</v>
      </c>
      <c r="U10" s="102">
        <f t="shared" si="6"/>
        <v>0</v>
      </c>
      <c r="V10" s="102">
        <f t="shared" si="7"/>
        <v>0</v>
      </c>
      <c r="W10" s="102">
        <f t="shared" si="8"/>
        <v>0</v>
      </c>
      <c r="X10" s="102"/>
      <c r="Y10" s="102"/>
      <c r="Z10" s="102"/>
      <c r="AA10" s="102"/>
      <c r="AB10" s="102">
        <f>+SUM('Annual Energy Data'!Z20:AD20)</f>
        <v>0</v>
      </c>
      <c r="AC10" s="102">
        <f>+SUM('Annual Energy Data'!AE20:AH20)</f>
        <v>102480</v>
      </c>
      <c r="AD10" s="102">
        <f>+'Annual Energy Data'!BD20</f>
        <v>23424</v>
      </c>
      <c r="AE10" s="102">
        <f>+'Annual Energy Data'!AI20+'Annual Energy Data'!AJ20</f>
        <v>41031.343000000001</v>
      </c>
      <c r="AF10" s="118"/>
      <c r="AG10" s="118"/>
      <c r="AH10" s="118"/>
      <c r="AI10" s="118"/>
      <c r="AJ10" s="102">
        <f t="shared" si="2"/>
        <v>166935.34299999999</v>
      </c>
    </row>
    <row r="11" spans="1:36" x14ac:dyDescent="0.2">
      <c r="A11" s="68">
        <f>+'Tier 1 Data - MOU I.4'!A11</f>
        <v>0.59000000000000008</v>
      </c>
      <c r="B11">
        <f>+'Annual Energy Data'!A21</f>
        <v>2021</v>
      </c>
      <c r="D11" s="58">
        <f>+'Annual Energy Data'!I21</f>
        <v>0</v>
      </c>
      <c r="E11" s="58">
        <f>+'Annual Energy Data'!M21</f>
        <v>0</v>
      </c>
      <c r="F11" s="58">
        <f>+'Annual Energy Data'!Q21</f>
        <v>0</v>
      </c>
      <c r="G11" s="58">
        <f>+'Annual Energy Data'!U21</f>
        <v>0</v>
      </c>
      <c r="H11" s="58">
        <f>+'Annual Energy Data'!V21</f>
        <v>0</v>
      </c>
      <c r="I11" s="58">
        <f>+'Annual Energy Data'!W21</f>
        <v>0</v>
      </c>
      <c r="J11" s="58">
        <f>+'Tier 3 Data'!J16</f>
        <v>0</v>
      </c>
      <c r="K11" s="58">
        <f>+'Tier 3 Data'!K16</f>
        <v>0</v>
      </c>
      <c r="L11" s="58">
        <f>+'Tier 3 Data'!L16</f>
        <v>0</v>
      </c>
      <c r="M11" s="58">
        <f>+'Tier 3 Data'!M16</f>
        <v>0</v>
      </c>
      <c r="N11" s="58">
        <f>+'Tier 3 Data'!N16</f>
        <v>0</v>
      </c>
      <c r="O11" s="58">
        <f>+'Tier 3 Data'!O16</f>
        <v>0</v>
      </c>
      <c r="P11" s="68">
        <f>+A11-'Tier 2 Data - MOU I.6'!A11</f>
        <v>0.55600000000000005</v>
      </c>
      <c r="Q11" s="89">
        <f t="shared" si="0"/>
        <v>2021</v>
      </c>
      <c r="R11" s="102">
        <f t="shared" si="3"/>
        <v>0</v>
      </c>
      <c r="S11" s="102">
        <f t="shared" si="4"/>
        <v>0</v>
      </c>
      <c r="T11" s="102">
        <f t="shared" si="5"/>
        <v>0</v>
      </c>
      <c r="U11" s="102">
        <f t="shared" si="6"/>
        <v>0</v>
      </c>
      <c r="V11" s="102">
        <f t="shared" si="7"/>
        <v>0</v>
      </c>
      <c r="W11" s="102">
        <f t="shared" si="8"/>
        <v>0</v>
      </c>
      <c r="X11" s="102"/>
      <c r="Y11" s="102"/>
      <c r="Z11" s="102"/>
      <c r="AA11" s="102"/>
      <c r="AB11" s="102">
        <f>+SUM('Annual Energy Data'!Z21:AD21)</f>
        <v>0</v>
      </c>
      <c r="AC11" s="102">
        <f>+SUM('Annual Energy Data'!AE21:AH21)</f>
        <v>116800</v>
      </c>
      <c r="AD11" s="102">
        <f>+'Annual Energy Data'!BD21</f>
        <v>23360</v>
      </c>
      <c r="AE11" s="102">
        <f>+'Annual Energy Data'!AI21+'Annual Energy Data'!AJ21</f>
        <v>41031.343000000001</v>
      </c>
      <c r="AF11" s="118"/>
      <c r="AG11" s="118"/>
      <c r="AH11" s="118"/>
      <c r="AI11" s="118"/>
      <c r="AJ11" s="102">
        <f t="shared" si="2"/>
        <v>181191.34299999999</v>
      </c>
    </row>
    <row r="12" spans="1:36" x14ac:dyDescent="0.2">
      <c r="A12" s="68">
        <f>+'Tier 1 Data - MOU I.4'!A12</f>
        <v>0.59000000000000008</v>
      </c>
      <c r="B12">
        <f>+'Annual Energy Data'!A22</f>
        <v>2022</v>
      </c>
      <c r="D12" s="58">
        <f>+'Annual Energy Data'!I22</f>
        <v>0</v>
      </c>
      <c r="E12" s="58">
        <f>+'Annual Energy Data'!M22</f>
        <v>0</v>
      </c>
      <c r="F12" s="58">
        <f>+'Annual Energy Data'!Q22</f>
        <v>0</v>
      </c>
      <c r="G12" s="58">
        <f>+'Annual Energy Data'!U22</f>
        <v>0</v>
      </c>
      <c r="H12" s="58">
        <f>+'Annual Energy Data'!V22</f>
        <v>0</v>
      </c>
      <c r="I12" s="58">
        <f>+'Annual Energy Data'!W22</f>
        <v>0</v>
      </c>
      <c r="J12" s="58">
        <f>+'Tier 3 Data'!J17</f>
        <v>0</v>
      </c>
      <c r="K12" s="58">
        <f>+'Tier 3 Data'!K17</f>
        <v>0</v>
      </c>
      <c r="L12" s="58">
        <f>+'Tier 3 Data'!L17</f>
        <v>0</v>
      </c>
      <c r="M12" s="58">
        <f>+'Tier 3 Data'!M17</f>
        <v>0</v>
      </c>
      <c r="N12" s="58">
        <f>+'Tier 3 Data'!N17</f>
        <v>0</v>
      </c>
      <c r="O12" s="58">
        <f>+'Tier 3 Data'!O17</f>
        <v>0</v>
      </c>
      <c r="P12" s="68">
        <f>+A12-'Tier 2 Data - MOU I.6'!A12</f>
        <v>0.55000000000000004</v>
      </c>
      <c r="Q12" s="89">
        <f t="shared" si="0"/>
        <v>2022</v>
      </c>
      <c r="R12" s="102">
        <f t="shared" si="3"/>
        <v>0</v>
      </c>
      <c r="S12" s="102">
        <f t="shared" si="4"/>
        <v>0</v>
      </c>
      <c r="T12" s="102">
        <f t="shared" si="5"/>
        <v>0</v>
      </c>
      <c r="U12" s="102">
        <f t="shared" si="6"/>
        <v>0</v>
      </c>
      <c r="V12" s="102">
        <f t="shared" si="7"/>
        <v>0</v>
      </c>
      <c r="W12" s="102">
        <f t="shared" si="8"/>
        <v>0</v>
      </c>
      <c r="X12" s="102"/>
      <c r="Y12" s="102"/>
      <c r="Z12" s="102"/>
      <c r="AA12" s="102"/>
      <c r="AB12" s="102">
        <f>+SUM('Annual Energy Data'!Z22:AD22)</f>
        <v>39408</v>
      </c>
      <c r="AC12" s="102">
        <f>+SUM('Annual Energy Data'!AE22:AH22)</f>
        <v>116800</v>
      </c>
      <c r="AD12" s="102">
        <f>+'Annual Energy Data'!BD22</f>
        <v>23360</v>
      </c>
      <c r="AE12" s="102">
        <f>+'Annual Energy Data'!AI22+'Annual Energy Data'!AJ22</f>
        <v>45987.603000000003</v>
      </c>
      <c r="AF12" s="118"/>
      <c r="AG12" s="118"/>
      <c r="AH12" s="118"/>
      <c r="AI12" s="118"/>
      <c r="AJ12" s="102">
        <f t="shared" si="2"/>
        <v>225555.603</v>
      </c>
    </row>
    <row r="13" spans="1:36" x14ac:dyDescent="0.2">
      <c r="A13" s="68">
        <f>+'Tier 1 Data - MOU I.4'!A13</f>
        <v>0.63000000000000012</v>
      </c>
      <c r="B13">
        <f>+'Annual Energy Data'!A23</f>
        <v>2023</v>
      </c>
      <c r="D13" s="58">
        <f>+'Annual Energy Data'!I23</f>
        <v>0</v>
      </c>
      <c r="E13" s="58">
        <f>+'Annual Energy Data'!M23</f>
        <v>0</v>
      </c>
      <c r="F13" s="58">
        <f>+'Annual Energy Data'!Q23</f>
        <v>0</v>
      </c>
      <c r="G13" s="58">
        <f>+'Annual Energy Data'!U23</f>
        <v>0</v>
      </c>
      <c r="H13" s="58">
        <f>+'Annual Energy Data'!V23</f>
        <v>0</v>
      </c>
      <c r="I13" s="58">
        <f>+'Annual Energy Data'!W23</f>
        <v>0</v>
      </c>
      <c r="J13" s="58">
        <f>+'Tier 3 Data'!J18</f>
        <v>0</v>
      </c>
      <c r="K13" s="58">
        <f>+'Tier 3 Data'!K18</f>
        <v>0</v>
      </c>
      <c r="L13" s="58">
        <f>+'Tier 3 Data'!L18</f>
        <v>0</v>
      </c>
      <c r="M13" s="58">
        <f>+'Tier 3 Data'!M18</f>
        <v>0</v>
      </c>
      <c r="N13" s="58">
        <f>+'Tier 3 Data'!N18</f>
        <v>0</v>
      </c>
      <c r="O13" s="58">
        <f>+'Tier 3 Data'!O18</f>
        <v>0</v>
      </c>
      <c r="P13" s="68">
        <f>+A13-'Tier 2 Data - MOU I.6'!A13</f>
        <v>0.58400000000000007</v>
      </c>
      <c r="Q13" s="89">
        <f t="shared" si="0"/>
        <v>2023</v>
      </c>
      <c r="R13" s="102">
        <f t="shared" si="3"/>
        <v>0</v>
      </c>
      <c r="S13" s="102">
        <f t="shared" si="4"/>
        <v>0</v>
      </c>
      <c r="T13" s="102">
        <f t="shared" si="5"/>
        <v>0</v>
      </c>
      <c r="U13" s="102">
        <f t="shared" si="6"/>
        <v>0</v>
      </c>
      <c r="V13" s="102">
        <f t="shared" si="7"/>
        <v>0</v>
      </c>
      <c r="W13" s="102">
        <f t="shared" si="8"/>
        <v>0</v>
      </c>
      <c r="X13" s="102"/>
      <c r="Y13" s="102"/>
      <c r="Z13" s="102"/>
      <c r="AA13" s="102"/>
      <c r="AB13" s="102">
        <f>+SUM('Annual Energy Data'!Z23:AD23)</f>
        <v>39408</v>
      </c>
      <c r="AC13" s="102">
        <f>+SUM('Annual Energy Data'!AE23:AH23)</f>
        <v>116800</v>
      </c>
      <c r="AD13" s="102">
        <f>+'Annual Energy Data'!BD23</f>
        <v>16512</v>
      </c>
      <c r="AE13" s="102">
        <f>+'Annual Energy Data'!AI23+'Annual Energy Data'!AJ23</f>
        <v>45987.603000000003</v>
      </c>
      <c r="AF13" s="118"/>
      <c r="AG13" s="118"/>
      <c r="AH13" s="118"/>
      <c r="AI13" s="118"/>
      <c r="AJ13" s="102">
        <f t="shared" si="2"/>
        <v>218707.603</v>
      </c>
    </row>
    <row r="14" spans="1:36" x14ac:dyDescent="0.2">
      <c r="A14" s="68">
        <f>+'Tier 1 Data - MOU I.4'!A14</f>
        <v>0.63000000000000012</v>
      </c>
      <c r="B14">
        <f>+'Annual Energy Data'!A24</f>
        <v>2024</v>
      </c>
      <c r="D14" s="58">
        <f>+'Annual Energy Data'!I24</f>
        <v>0</v>
      </c>
      <c r="E14" s="58">
        <f>+'Annual Energy Data'!M24</f>
        <v>0</v>
      </c>
      <c r="F14" s="58">
        <f>+'Annual Energy Data'!Q24</f>
        <v>0</v>
      </c>
      <c r="G14" s="58">
        <f>+'Annual Energy Data'!U24</f>
        <v>0</v>
      </c>
      <c r="H14" s="58">
        <f>+'Annual Energy Data'!V24</f>
        <v>0</v>
      </c>
      <c r="I14" s="58">
        <f>+'Annual Energy Data'!W24</f>
        <v>0</v>
      </c>
      <c r="J14" s="58">
        <f>+'Tier 3 Data'!J19</f>
        <v>0</v>
      </c>
      <c r="K14" s="58">
        <f>+'Tier 3 Data'!K19</f>
        <v>0</v>
      </c>
      <c r="L14" s="58">
        <f>+'Tier 3 Data'!L19</f>
        <v>0</v>
      </c>
      <c r="M14" s="58">
        <f>+'Tier 3 Data'!M19</f>
        <v>0</v>
      </c>
      <c r="N14" s="58">
        <f>+'Tier 3 Data'!N19</f>
        <v>0</v>
      </c>
      <c r="O14" s="58">
        <f>+'Tier 3 Data'!O19</f>
        <v>0</v>
      </c>
      <c r="P14" s="68">
        <f>+A14-'Tier 2 Data - MOU I.6'!A14</f>
        <v>0.57800000000000007</v>
      </c>
      <c r="Q14" s="89">
        <f t="shared" si="0"/>
        <v>2024</v>
      </c>
      <c r="R14" s="102">
        <f t="shared" si="3"/>
        <v>0</v>
      </c>
      <c r="S14" s="102">
        <f t="shared" si="4"/>
        <v>0</v>
      </c>
      <c r="T14" s="102">
        <f t="shared" si="5"/>
        <v>0</v>
      </c>
      <c r="U14" s="102">
        <f t="shared" si="6"/>
        <v>0</v>
      </c>
      <c r="V14" s="102">
        <f t="shared" si="7"/>
        <v>0</v>
      </c>
      <c r="W14" s="102">
        <f t="shared" si="8"/>
        <v>0</v>
      </c>
      <c r="X14" s="102"/>
      <c r="Y14" s="102"/>
      <c r="Z14" s="102"/>
      <c r="AA14" s="102"/>
      <c r="AB14" s="102">
        <f>+SUM('Annual Energy Data'!Z24:AD24)</f>
        <v>0</v>
      </c>
      <c r="AC14" s="102">
        <f>+SUM('Annual Energy Data'!AE24:AH24)</f>
        <v>117120</v>
      </c>
      <c r="AD14" s="102">
        <f>+'Annual Energy Data'!BD24</f>
        <v>11712</v>
      </c>
      <c r="AE14" s="102">
        <f>+'Annual Energy Data'!AI24+'Annual Energy Data'!AJ24</f>
        <v>45987.603000000003</v>
      </c>
      <c r="AF14" s="118"/>
      <c r="AG14" s="118"/>
      <c r="AH14" s="118"/>
      <c r="AI14" s="118"/>
      <c r="AJ14" s="102">
        <f t="shared" si="2"/>
        <v>174819.603</v>
      </c>
    </row>
    <row r="15" spans="1:36" x14ac:dyDescent="0.2">
      <c r="A15" s="68">
        <f>+'Tier 1 Data - MOU I.4'!A15</f>
        <v>0.63000000000000012</v>
      </c>
      <c r="B15">
        <f>+'Annual Energy Data'!A25</f>
        <v>2025</v>
      </c>
      <c r="D15" s="58">
        <f>+'Annual Energy Data'!I25</f>
        <v>490021.62668132654</v>
      </c>
      <c r="E15" s="58">
        <f>+'Annual Energy Data'!M25</f>
        <v>502408.97670733777</v>
      </c>
      <c r="F15" s="58">
        <f>+'Annual Energy Data'!Q25</f>
        <v>490021.62668132654</v>
      </c>
      <c r="G15" s="58">
        <f>+'Annual Energy Data'!U25</f>
        <v>516859.55797777255</v>
      </c>
      <c r="H15" s="58">
        <f>+'Annual Energy Data'!V25</f>
        <v>526009.68119384581</v>
      </c>
      <c r="I15" s="58">
        <f>+'Annual Energy Data'!W25</f>
        <v>505793.67081498448</v>
      </c>
      <c r="J15" s="58">
        <f>+'Tier 3 Data'!J20</f>
        <v>502408.97670733777</v>
      </c>
      <c r="K15" s="58">
        <f>+'Tier 3 Data'!K20</f>
        <v>502408.97670733777</v>
      </c>
      <c r="L15" s="58">
        <f>+'Tier 3 Data'!L20</f>
        <v>502408.97670733777</v>
      </c>
      <c r="M15" s="58">
        <f>+'Tier 3 Data'!M20</f>
        <v>516859.55797777255</v>
      </c>
      <c r="N15" s="58">
        <f>+'Tier 3 Data'!N20</f>
        <v>526009.68119384581</v>
      </c>
      <c r="O15" s="58">
        <f>+'Tier 3 Data'!O20</f>
        <v>505793.67081498448</v>
      </c>
      <c r="P15" s="68">
        <f>+A15-'Tier 2 Data - MOU I.6'!A15</f>
        <v>0.57200000000000006</v>
      </c>
      <c r="Q15" s="89">
        <f t="shared" si="0"/>
        <v>2025</v>
      </c>
      <c r="R15" s="102">
        <f t="shared" si="3"/>
        <v>287377.93467659724</v>
      </c>
      <c r="S15" s="102">
        <f t="shared" si="4"/>
        <v>287377.93467659724</v>
      </c>
      <c r="T15" s="102">
        <f t="shared" si="5"/>
        <v>287377.93467659724</v>
      </c>
      <c r="U15" s="102">
        <f t="shared" si="6"/>
        <v>295643.66716328595</v>
      </c>
      <c r="V15" s="102">
        <f t="shared" si="7"/>
        <v>300877.53764287982</v>
      </c>
      <c r="W15" s="102">
        <f t="shared" si="8"/>
        <v>289313.97970617114</v>
      </c>
      <c r="X15" s="102"/>
      <c r="Y15" s="102"/>
      <c r="Z15" s="102"/>
      <c r="AA15" s="102"/>
      <c r="AB15" s="102">
        <f>+SUM('Annual Energy Data'!Z25:AD25)</f>
        <v>0</v>
      </c>
      <c r="AC15" s="102">
        <f>+SUM('Annual Energy Data'!AE25:AH25)</f>
        <v>116800</v>
      </c>
      <c r="AD15" s="102">
        <f>+'Annual Energy Data'!BD25</f>
        <v>11680</v>
      </c>
      <c r="AE15" s="102">
        <f>+'Annual Energy Data'!AI25+'Annual Energy Data'!AJ25</f>
        <v>39082.345000000008</v>
      </c>
      <c r="AF15" s="118"/>
      <c r="AG15" s="118"/>
      <c r="AH15" s="118"/>
      <c r="AI15" s="118"/>
      <c r="AJ15" s="102">
        <f t="shared" si="2"/>
        <v>167562.345</v>
      </c>
    </row>
    <row r="16" spans="1:36" x14ac:dyDescent="0.2">
      <c r="A16" s="68">
        <f>+'Tier 1 Data - MOU I.4'!A16</f>
        <v>0.63000000000000012</v>
      </c>
      <c r="B16">
        <f>+'Annual Energy Data'!A26</f>
        <v>2026</v>
      </c>
      <c r="D16" s="58">
        <f>+'Annual Energy Data'!I26</f>
        <v>486369.34132538125</v>
      </c>
      <c r="E16" s="58">
        <f>+'Annual Energy Data'!M26</f>
        <v>498756.69135139242</v>
      </c>
      <c r="F16" s="58">
        <f>+'Annual Energy Data'!Q26</f>
        <v>486369.34132538125</v>
      </c>
      <c r="G16" s="58">
        <f>+'Annual Energy Data'!U26</f>
        <v>534404.08729551674</v>
      </c>
      <c r="H16" s="58">
        <f>+'Annual Energy Data'!V26</f>
        <v>551119.24048483884</v>
      </c>
      <c r="I16" s="58">
        <f>+'Annual Energy Data'!W26</f>
        <v>509047.36339775816</v>
      </c>
      <c r="J16" s="58">
        <f>+'Tier 3 Data'!J21</f>
        <v>498756.69135139242</v>
      </c>
      <c r="K16" s="58">
        <f>+'Tier 3 Data'!K21</f>
        <v>498756.69135139242</v>
      </c>
      <c r="L16" s="58">
        <f>+'Tier 3 Data'!L21</f>
        <v>498756.69135139242</v>
      </c>
      <c r="M16" s="58">
        <f>+'Tier 3 Data'!M21</f>
        <v>534404.08729551674</v>
      </c>
      <c r="N16" s="58">
        <f>+'Tier 3 Data'!N21</f>
        <v>551119.24048483884</v>
      </c>
      <c r="O16" s="58">
        <f>+'Tier 3 Data'!O21</f>
        <v>509047.36339775816</v>
      </c>
      <c r="P16" s="68">
        <f>+A16-'Tier 2 Data - MOU I.6'!A16</f>
        <v>0.55200000000000016</v>
      </c>
      <c r="Q16" s="89">
        <f t="shared" si="0"/>
        <v>2026</v>
      </c>
      <c r="R16" s="102">
        <f t="shared" si="3"/>
        <v>275313.69362596871</v>
      </c>
      <c r="S16" s="102">
        <f t="shared" si="4"/>
        <v>275313.69362596871</v>
      </c>
      <c r="T16" s="102">
        <f t="shared" si="5"/>
        <v>275313.69362596871</v>
      </c>
      <c r="U16" s="102">
        <f t="shared" si="6"/>
        <v>294991.05618712533</v>
      </c>
      <c r="V16" s="102">
        <f t="shared" si="7"/>
        <v>304217.82074763114</v>
      </c>
      <c r="W16" s="102">
        <f t="shared" si="8"/>
        <v>280994.1445955626</v>
      </c>
      <c r="X16" s="102"/>
      <c r="Y16" s="102"/>
      <c r="Z16" s="102"/>
      <c r="AA16" s="102"/>
      <c r="AB16" s="102">
        <f>+SUM('Annual Energy Data'!Z26:AD26)</f>
        <v>0</v>
      </c>
      <c r="AC16" s="102">
        <f>+SUM('Annual Energy Data'!AE26:AH26)</f>
        <v>116800</v>
      </c>
      <c r="AD16" s="102">
        <f>+'Annual Energy Data'!BD26</f>
        <v>11680</v>
      </c>
      <c r="AE16" s="102">
        <f>+'Annual Energy Data'!AI26+'Annual Energy Data'!AJ26</f>
        <v>39082.345000000008</v>
      </c>
      <c r="AF16" s="118"/>
      <c r="AG16" s="118"/>
      <c r="AH16" s="118"/>
      <c r="AI16" s="118"/>
      <c r="AJ16" s="102">
        <f t="shared" si="2"/>
        <v>167562.345</v>
      </c>
    </row>
    <row r="17" spans="1:36" x14ac:dyDescent="0.2">
      <c r="A17" s="68">
        <f>+'Tier 1 Data - MOU I.4'!A17</f>
        <v>0.63000000000000012</v>
      </c>
      <c r="B17">
        <f>+'Annual Energy Data'!A27</f>
        <v>2027</v>
      </c>
      <c r="D17" s="58">
        <f>+'Annual Energy Data'!I27</f>
        <v>482601.14710003301</v>
      </c>
      <c r="E17" s="58">
        <f>+'Annual Energy Data'!M27</f>
        <v>494988.49712604441</v>
      </c>
      <c r="F17" s="58">
        <f>+'Annual Energy Data'!Q27</f>
        <v>482601.14710003301</v>
      </c>
      <c r="G17" s="58">
        <f>+'Annual Energy Data'!U27</f>
        <v>547481.26902155788</v>
      </c>
      <c r="H17" s="58">
        <f>+'Annual Energy Data'!V27</f>
        <v>561801.20006497123</v>
      </c>
      <c r="I17" s="58">
        <f>+'Annual Energy Data'!W27</f>
        <v>513021.74839042296</v>
      </c>
      <c r="J17" s="58">
        <f>+'Tier 3 Data'!J22</f>
        <v>494988.49712604441</v>
      </c>
      <c r="K17" s="58">
        <f>+'Tier 3 Data'!K22</f>
        <v>494988.49712604441</v>
      </c>
      <c r="L17" s="58">
        <f>+'Tier 3 Data'!L22</f>
        <v>494988.49712604441</v>
      </c>
      <c r="M17" s="58">
        <f>+'Tier 3 Data'!M22</f>
        <v>547481.26902155788</v>
      </c>
      <c r="N17" s="58">
        <f>+'Tier 3 Data'!N22</f>
        <v>561801.20006497123</v>
      </c>
      <c r="O17" s="58">
        <f>+'Tier 3 Data'!O22</f>
        <v>513021.74839042296</v>
      </c>
      <c r="P17" s="68">
        <f>+A17-'Tier 2 Data - MOU I.6'!A17</f>
        <v>0.53200000000000014</v>
      </c>
      <c r="Q17" s="89">
        <f t="shared" si="0"/>
        <v>2027</v>
      </c>
      <c r="R17" s="102">
        <f t="shared" si="3"/>
        <v>263333.88047105569</v>
      </c>
      <c r="S17" s="102">
        <f t="shared" si="4"/>
        <v>263333.88047105569</v>
      </c>
      <c r="T17" s="102">
        <f t="shared" si="5"/>
        <v>263333.88047105569</v>
      </c>
      <c r="U17" s="102">
        <f t="shared" si="6"/>
        <v>291260.03511946887</v>
      </c>
      <c r="V17" s="102">
        <f t="shared" si="7"/>
        <v>298878.23843456479</v>
      </c>
      <c r="W17" s="102">
        <f t="shared" si="8"/>
        <v>272927.57014370506</v>
      </c>
      <c r="X17" s="102"/>
      <c r="Y17" s="102"/>
      <c r="Z17" s="102"/>
      <c r="AA17" s="102"/>
      <c r="AB17" s="102">
        <f>+SUM('Annual Energy Data'!Z27:AD27)</f>
        <v>0</v>
      </c>
      <c r="AC17" s="102">
        <f>+SUM('Annual Energy Data'!AE27:AH27)</f>
        <v>116800</v>
      </c>
      <c r="AD17" s="102">
        <f>+'Annual Energy Data'!BD27</f>
        <v>11680</v>
      </c>
      <c r="AE17" s="102">
        <f>+'Annual Energy Data'!AI27+'Annual Energy Data'!AJ27</f>
        <v>39082.345000000008</v>
      </c>
      <c r="AF17" s="118"/>
      <c r="AG17" s="118"/>
      <c r="AH17" s="118"/>
      <c r="AI17" s="118"/>
      <c r="AJ17" s="102">
        <f t="shared" si="2"/>
        <v>167562.345</v>
      </c>
    </row>
    <row r="18" spans="1:36" x14ac:dyDescent="0.2">
      <c r="A18" s="68">
        <f>+'Tier 1 Data - MOU I.4'!A18</f>
        <v>0.67</v>
      </c>
      <c r="B18">
        <f>+'Annual Energy Data'!A28</f>
        <v>2028</v>
      </c>
      <c r="D18" s="58">
        <f>+'Annual Energy Data'!I28</f>
        <v>478876.13441238593</v>
      </c>
      <c r="E18" s="58">
        <f>+'Annual Energy Data'!M28</f>
        <v>491289.09820659156</v>
      </c>
      <c r="F18" s="58">
        <f>+'Annual Energy Data'!Q28</f>
        <v>478876.13441238593</v>
      </c>
      <c r="G18" s="58">
        <f>+'Annual Energy Data'!U28</f>
        <v>562334.2564463201</v>
      </c>
      <c r="H18" s="58">
        <f>+'Annual Energy Data'!V28</f>
        <v>574238.09425297996</v>
      </c>
      <c r="I18" s="58">
        <f>+'Annual Energy Data'!W28</f>
        <v>518347.88756713568</v>
      </c>
      <c r="J18" s="58">
        <f>+'Tier 3 Data'!J23</f>
        <v>491289.09820659156</v>
      </c>
      <c r="K18" s="58">
        <f>+'Tier 3 Data'!K23</f>
        <v>491289.09820659156</v>
      </c>
      <c r="L18" s="58">
        <f>+'Tier 3 Data'!L23</f>
        <v>491289.09820659156</v>
      </c>
      <c r="M18" s="58">
        <f>+'Tier 3 Data'!M23</f>
        <v>562334.2564463201</v>
      </c>
      <c r="N18" s="58">
        <f>+'Tier 3 Data'!N23</f>
        <v>574238.09425297996</v>
      </c>
      <c r="O18" s="58">
        <f>+'Tier 3 Data'!O23</f>
        <v>518347.88756713568</v>
      </c>
      <c r="P18" s="68">
        <f>+A18-'Tier 2 Data - MOU I.6'!A18</f>
        <v>0.55200000000000005</v>
      </c>
      <c r="Q18" s="89">
        <f t="shared" si="0"/>
        <v>2028</v>
      </c>
      <c r="R18" s="102">
        <f t="shared" si="3"/>
        <v>271191.58221003856</v>
      </c>
      <c r="S18" s="102">
        <f t="shared" si="4"/>
        <v>271191.58221003856</v>
      </c>
      <c r="T18" s="102">
        <f t="shared" si="5"/>
        <v>271191.58221003856</v>
      </c>
      <c r="U18" s="102">
        <f t="shared" si="6"/>
        <v>310408.50955836871</v>
      </c>
      <c r="V18" s="102">
        <f t="shared" si="7"/>
        <v>316979.42802764499</v>
      </c>
      <c r="W18" s="102">
        <f t="shared" si="8"/>
        <v>286128.03393705894</v>
      </c>
      <c r="X18" s="102"/>
      <c r="Y18" s="102"/>
      <c r="Z18" s="102"/>
      <c r="AA18" s="102"/>
      <c r="AB18" s="102">
        <f>+SUM('Annual Energy Data'!Z28:AD28)</f>
        <v>0</v>
      </c>
      <c r="AC18" s="102">
        <f>+SUM('Annual Energy Data'!AE28:AH28)</f>
        <v>117120</v>
      </c>
      <c r="AD18" s="102">
        <f>+'Annual Energy Data'!BD28</f>
        <v>11712</v>
      </c>
      <c r="AE18" s="102">
        <f>+'Annual Energy Data'!AI28+'Annual Energy Data'!AJ28</f>
        <v>39082.345000000008</v>
      </c>
      <c r="AF18" s="118"/>
      <c r="AG18" s="118"/>
      <c r="AH18" s="118"/>
      <c r="AI18" s="118"/>
      <c r="AJ18" s="102">
        <f t="shared" si="2"/>
        <v>167914.345</v>
      </c>
    </row>
    <row r="19" spans="1:36" x14ac:dyDescent="0.2">
      <c r="A19" s="68">
        <f>+'Tier 1 Data - MOU I.4'!A19</f>
        <v>0.67</v>
      </c>
      <c r="B19">
        <f>+'Annual Energy Data'!A29</f>
        <v>2029</v>
      </c>
      <c r="D19" s="58">
        <f>+'Annual Energy Data'!I29</f>
        <v>475257.112759682</v>
      </c>
      <c r="E19" s="58">
        <f>+'Annual Energy Data'!M29</f>
        <v>487644.46278569341</v>
      </c>
      <c r="F19" s="58">
        <f>+'Annual Energy Data'!Q29</f>
        <v>475257.112759682</v>
      </c>
      <c r="G19" s="58">
        <f>+'Annual Energy Data'!U29</f>
        <v>579139.85812221037</v>
      </c>
      <c r="H19" s="58">
        <f>+'Annual Energy Data'!V29</f>
        <v>588925.42292387283</v>
      </c>
      <c r="I19" s="58">
        <f>+'Annual Energy Data'!W29</f>
        <v>525077.80000335269</v>
      </c>
      <c r="J19" s="58">
        <f>+'Tier 3 Data'!J24</f>
        <v>487644.46278569341</v>
      </c>
      <c r="K19" s="58">
        <f>+'Tier 3 Data'!K24</f>
        <v>487644.46278569341</v>
      </c>
      <c r="L19" s="58">
        <f>+'Tier 3 Data'!L24</f>
        <v>487644.46278569341</v>
      </c>
      <c r="M19" s="58">
        <f>+'Tier 3 Data'!M24</f>
        <v>579139.85812221037</v>
      </c>
      <c r="N19" s="58">
        <f>+'Tier 3 Data'!N24</f>
        <v>588925.42292387283</v>
      </c>
      <c r="O19" s="58">
        <f>+'Tier 3 Data'!O24</f>
        <v>525077.80000335269</v>
      </c>
      <c r="P19" s="68">
        <f>+A19-'Tier 2 Data - MOU I.6'!A19</f>
        <v>0.53200000000000003</v>
      </c>
      <c r="Q19" s="89">
        <f t="shared" si="0"/>
        <v>2029</v>
      </c>
      <c r="R19" s="102">
        <f t="shared" si="3"/>
        <v>259426.8542019889</v>
      </c>
      <c r="S19" s="102">
        <f t="shared" si="4"/>
        <v>259426.8542019889</v>
      </c>
      <c r="T19" s="102">
        <f t="shared" si="5"/>
        <v>259426.8542019889</v>
      </c>
      <c r="U19" s="102">
        <f t="shared" si="6"/>
        <v>308102.40452101594</v>
      </c>
      <c r="V19" s="102">
        <f t="shared" si="7"/>
        <v>313308.32499550038</v>
      </c>
      <c r="W19" s="102">
        <f t="shared" si="8"/>
        <v>279341.38960178365</v>
      </c>
      <c r="X19" s="102"/>
      <c r="Y19" s="102"/>
      <c r="Z19" s="102"/>
      <c r="AA19" s="102"/>
      <c r="AB19" s="102">
        <f>+SUM('Annual Energy Data'!Z29:AD29)</f>
        <v>0</v>
      </c>
      <c r="AC19" s="102">
        <f>+SUM('Annual Energy Data'!AE29:AH29)</f>
        <v>116800</v>
      </c>
      <c r="AD19" s="102">
        <f>+'Annual Energy Data'!BD29</f>
        <v>11680</v>
      </c>
      <c r="AE19" s="102">
        <f>+'Annual Energy Data'!AI29+'Annual Energy Data'!AJ29</f>
        <v>39082.345000000008</v>
      </c>
      <c r="AF19" s="118"/>
      <c r="AG19" s="118"/>
      <c r="AH19" s="118"/>
      <c r="AI19" s="118"/>
      <c r="AJ19" s="102">
        <f t="shared" si="2"/>
        <v>167562.345</v>
      </c>
    </row>
    <row r="20" spans="1:36" x14ac:dyDescent="0.2">
      <c r="A20" s="68">
        <f>+'Tier 1 Data - MOU I.4'!A20</f>
        <v>1</v>
      </c>
      <c r="B20">
        <f>+'Annual Energy Data'!A30</f>
        <v>2030</v>
      </c>
      <c r="D20" s="58">
        <f>+'Annual Energy Data'!I30</f>
        <v>471696.23276028398</v>
      </c>
      <c r="E20" s="58">
        <f>+'Annual Energy Data'!M30</f>
        <v>484083.58278629533</v>
      </c>
      <c r="F20" s="58">
        <f>+'Annual Energy Data'!Q30</f>
        <v>471696.23276028398</v>
      </c>
      <c r="G20" s="58">
        <f>+'Annual Energy Data'!U30</f>
        <v>597537.20891604316</v>
      </c>
      <c r="H20" s="58">
        <f>+'Annual Energy Data'!V30</f>
        <v>604371.2686899699</v>
      </c>
      <c r="I20" s="58">
        <f>+'Annual Energy Data'!W30</f>
        <v>533253.6763444189</v>
      </c>
      <c r="J20" s="58">
        <f>+'Tier 3 Data'!J25</f>
        <v>484083.58278629533</v>
      </c>
      <c r="K20" s="58">
        <f>+'Tier 3 Data'!K25</f>
        <v>484083.58278629533</v>
      </c>
      <c r="L20" s="58">
        <f>+'Tier 3 Data'!L25</f>
        <v>484083.58278629533</v>
      </c>
      <c r="M20" s="58">
        <f>+'Tier 3 Data'!M25</f>
        <v>597537.20891604316</v>
      </c>
      <c r="N20" s="58">
        <f>+'Tier 3 Data'!N25</f>
        <v>604371.2686899699</v>
      </c>
      <c r="O20" s="58">
        <f>+'Tier 3 Data'!O25</f>
        <v>533253.6763444189</v>
      </c>
      <c r="P20" s="68">
        <f>+A20-'Tier 2 Data - MOU I.6'!A20</f>
        <v>0.84199999999999997</v>
      </c>
      <c r="Q20" s="89">
        <f t="shared" si="0"/>
        <v>2030</v>
      </c>
      <c r="R20" s="102">
        <f t="shared" si="3"/>
        <v>407598.37670606066</v>
      </c>
      <c r="S20" s="102">
        <f t="shared" si="4"/>
        <v>407598.37670606066</v>
      </c>
      <c r="T20" s="102">
        <f t="shared" si="5"/>
        <v>407598.37670606066</v>
      </c>
      <c r="U20" s="102">
        <f t="shared" si="6"/>
        <v>503126.32990730833</v>
      </c>
      <c r="V20" s="102">
        <f t="shared" si="7"/>
        <v>508880.60823695466</v>
      </c>
      <c r="W20" s="102">
        <f t="shared" si="8"/>
        <v>448999.59548200067</v>
      </c>
      <c r="X20" s="102"/>
      <c r="Y20" s="102"/>
      <c r="Z20" s="102"/>
      <c r="AA20" s="102"/>
      <c r="AB20" s="102">
        <f>+SUM('Annual Energy Data'!Z30:AD30)</f>
        <v>0</v>
      </c>
      <c r="AC20" s="102">
        <f>+SUM('Annual Energy Data'!AE30:AH30)</f>
        <v>103960.72</v>
      </c>
      <c r="AD20" s="102">
        <f>+'Annual Energy Data'!BD30</f>
        <v>11680</v>
      </c>
      <c r="AE20" s="102">
        <f>+'Annual Energy Data'!AI30+'Annual Energy Data'!AJ30</f>
        <v>39082.345000000008</v>
      </c>
      <c r="AF20" s="118"/>
      <c r="AG20" s="118"/>
      <c r="AH20" s="118"/>
      <c r="AI20" s="118"/>
      <c r="AJ20" s="102">
        <f t="shared" si="2"/>
        <v>154723.065</v>
      </c>
    </row>
    <row r="21" spans="1:36" x14ac:dyDescent="0.2">
      <c r="A21" s="68">
        <f>+'Tier 1 Data - MOU I.4'!A21</f>
        <v>1</v>
      </c>
      <c r="B21">
        <f>+'Annual Energy Data'!A31</f>
        <v>2031</v>
      </c>
      <c r="D21" s="58">
        <f>+'Annual Energy Data'!I31</f>
        <v>468138.48178870423</v>
      </c>
      <c r="E21" s="58">
        <f>+'Annual Energy Data'!M31</f>
        <v>480525.83181471552</v>
      </c>
      <c r="F21" s="58">
        <f>+'Annual Energy Data'!Q31</f>
        <v>468138.48178870423</v>
      </c>
      <c r="G21" s="58">
        <f>+'Annual Energy Data'!U31</f>
        <v>616126.88040439831</v>
      </c>
      <c r="H21" s="58">
        <f>+'Annual Energy Data'!V31</f>
        <v>620873.47339124524</v>
      </c>
      <c r="I21" s="58">
        <f>+'Annual Energy Data'!W31</f>
        <v>542625.64259943168</v>
      </c>
      <c r="J21" s="58">
        <f>+'Tier 3 Data'!J26</f>
        <v>480525.83181471552</v>
      </c>
      <c r="K21" s="58">
        <f>+'Tier 3 Data'!K26</f>
        <v>480525.83181471552</v>
      </c>
      <c r="L21" s="58">
        <f>+'Tier 3 Data'!L26</f>
        <v>480525.83181471552</v>
      </c>
      <c r="M21" s="58">
        <f>+'Tier 3 Data'!M26</f>
        <v>616126.88040439831</v>
      </c>
      <c r="N21" s="58">
        <f>+'Tier 3 Data'!N26</f>
        <v>620873.47339124524</v>
      </c>
      <c r="O21" s="58">
        <f>+'Tier 3 Data'!O26</f>
        <v>542625.64259943168</v>
      </c>
      <c r="P21" s="68">
        <f>+A21-'Tier 2 Data - MOU I.6'!A21</f>
        <v>0.82200000000000006</v>
      </c>
      <c r="Q21" s="89">
        <f t="shared" si="0"/>
        <v>2031</v>
      </c>
      <c r="R21" s="102">
        <f t="shared" si="3"/>
        <v>394992.23375169619</v>
      </c>
      <c r="S21" s="102">
        <f t="shared" si="4"/>
        <v>394992.23375169619</v>
      </c>
      <c r="T21" s="102">
        <f t="shared" si="5"/>
        <v>394992.23375169619</v>
      </c>
      <c r="U21" s="102">
        <f t="shared" si="6"/>
        <v>506456.29569241544</v>
      </c>
      <c r="V21" s="102">
        <f t="shared" si="7"/>
        <v>510357.99512760364</v>
      </c>
      <c r="W21" s="102">
        <f t="shared" si="8"/>
        <v>446038.2782167329</v>
      </c>
      <c r="X21" s="102"/>
      <c r="Y21" s="102"/>
      <c r="Z21" s="102"/>
      <c r="AA21" s="102"/>
      <c r="AB21" s="102">
        <f>+SUM('Annual Energy Data'!Z31:AD31)</f>
        <v>0</v>
      </c>
      <c r="AC21" s="102">
        <f>+SUM('Annual Energy Data'!AE31:AH31)</f>
        <v>39974.799999999996</v>
      </c>
      <c r="AD21" s="102">
        <f>+'Annual Energy Data'!BD31</f>
        <v>11680</v>
      </c>
      <c r="AE21" s="102">
        <f>+'Annual Energy Data'!AI31+'Annual Energy Data'!AJ31</f>
        <v>39082.345000000008</v>
      </c>
      <c r="AF21" s="118"/>
      <c r="AG21" s="118"/>
      <c r="AH21" s="118"/>
      <c r="AI21" s="118"/>
      <c r="AJ21" s="102">
        <f t="shared" si="2"/>
        <v>90737.145000000004</v>
      </c>
    </row>
    <row r="22" spans="1:36" x14ac:dyDescent="0.2">
      <c r="A22" s="68">
        <f>+'Tier 1 Data - MOU I.4'!A22</f>
        <v>1</v>
      </c>
      <c r="B22">
        <f>+'Annual Energy Data'!A32</f>
        <v>2032</v>
      </c>
      <c r="D22" s="58">
        <f>+'Annual Energy Data'!I32</f>
        <v>464561.36606166756</v>
      </c>
      <c r="E22" s="58">
        <f>+'Annual Energy Data'!M32</f>
        <v>476974.32985587325</v>
      </c>
      <c r="F22" s="58">
        <f>+'Annual Energy Data'!Q32</f>
        <v>464561.36606166756</v>
      </c>
      <c r="G22" s="58">
        <f>+'Annual Energy Data'!U32</f>
        <v>634675.02635726519</v>
      </c>
      <c r="H22" s="58">
        <f>+'Annual Energy Data'!V32</f>
        <v>638688.24670604919</v>
      </c>
      <c r="I22" s="58">
        <f>+'Annual Energy Data'!W32</f>
        <v>553259.15443177917</v>
      </c>
      <c r="J22" s="58">
        <f>+'Tier 3 Data'!J27</f>
        <v>476974.32985587325</v>
      </c>
      <c r="K22" s="58">
        <f>+'Tier 3 Data'!K27</f>
        <v>476974.32985587325</v>
      </c>
      <c r="L22" s="58">
        <f>+'Tier 3 Data'!L27</f>
        <v>476974.32985587325</v>
      </c>
      <c r="M22" s="58">
        <f>+'Tier 3 Data'!M27</f>
        <v>634675.02635726519</v>
      </c>
      <c r="N22" s="58">
        <f>+'Tier 3 Data'!N27</f>
        <v>638688.24670604919</v>
      </c>
      <c r="O22" s="58">
        <f>+'Tier 3 Data'!O27</f>
        <v>553259.15443177917</v>
      </c>
      <c r="P22" s="68">
        <f>+A22-'Tier 2 Data - MOU I.6'!A22</f>
        <v>0.8</v>
      </c>
      <c r="Q22" s="89">
        <f t="shared" si="0"/>
        <v>2032</v>
      </c>
      <c r="R22" s="102">
        <f t="shared" si="3"/>
        <v>381579.46388469863</v>
      </c>
      <c r="S22" s="102">
        <f t="shared" si="4"/>
        <v>381579.46388469863</v>
      </c>
      <c r="T22" s="102">
        <f t="shared" si="5"/>
        <v>381579.46388469863</v>
      </c>
      <c r="U22" s="102">
        <f t="shared" si="6"/>
        <v>507740.02108581219</v>
      </c>
      <c r="V22" s="102">
        <f t="shared" si="7"/>
        <v>510950.5973648394</v>
      </c>
      <c r="W22" s="102">
        <f t="shared" si="8"/>
        <v>442607.32354542334</v>
      </c>
      <c r="X22" s="102"/>
      <c r="Y22" s="102"/>
      <c r="Z22" s="102"/>
      <c r="AA22" s="102"/>
      <c r="AB22" s="102">
        <f>+SUM('Annual Energy Data'!Z32:AD32)</f>
        <v>0</v>
      </c>
      <c r="AC22" s="102">
        <f>+SUM('Annual Energy Data'!AE32:AH32)</f>
        <v>40084.32</v>
      </c>
      <c r="AD22" s="102">
        <f>+'Annual Energy Data'!BD32</f>
        <v>11712</v>
      </c>
      <c r="AE22" s="102">
        <f>+'Annual Energy Data'!AI32+'Annual Energy Data'!AJ32</f>
        <v>39082.345000000008</v>
      </c>
      <c r="AF22" s="118"/>
      <c r="AG22" s="118"/>
      <c r="AH22" s="118"/>
      <c r="AI22" s="118"/>
      <c r="AJ22" s="102">
        <f t="shared" si="2"/>
        <v>90878.665000000008</v>
      </c>
    </row>
    <row r="23" spans="1:36" x14ac:dyDescent="0.2">
      <c r="A23" s="68">
        <f>+'Tier 1 Data - MOU I.4'!A23</f>
        <v>1</v>
      </c>
      <c r="B23">
        <f>+'Annual Energy Data'!A33</f>
        <v>2033</v>
      </c>
      <c r="D23" s="58">
        <f>+'Annual Energy Data'!I33</f>
        <v>461084.96747182281</v>
      </c>
      <c r="E23" s="58">
        <f>+'Annual Energy Data'!M33</f>
        <v>473472.31749783404</v>
      </c>
      <c r="F23" s="58">
        <f>+'Annual Energy Data'!Q33</f>
        <v>461084.96747182281</v>
      </c>
      <c r="G23" s="58">
        <f>+'Annual Energy Data'!U33</f>
        <v>652630.18622720416</v>
      </c>
      <c r="H23" s="58">
        <f>+'Annual Energy Data'!V33</f>
        <v>657164.28327400493</v>
      </c>
      <c r="I23" s="58">
        <f>+'Annual Energy Data'!W33</f>
        <v>565231.52055125812</v>
      </c>
      <c r="J23" s="58">
        <f>+'Tier 3 Data'!J28</f>
        <v>473472.31749783404</v>
      </c>
      <c r="K23" s="58">
        <f>+'Tier 3 Data'!K28</f>
        <v>473472.31749783404</v>
      </c>
      <c r="L23" s="58">
        <f>+'Tier 3 Data'!L28</f>
        <v>473472.31749783404</v>
      </c>
      <c r="M23" s="58">
        <f>+'Tier 3 Data'!M28</f>
        <v>652630.18622720416</v>
      </c>
      <c r="N23" s="58">
        <f>+'Tier 3 Data'!N28</f>
        <v>657164.28327400493</v>
      </c>
      <c r="O23" s="58">
        <f>+'Tier 3 Data'!O28</f>
        <v>565231.52055125812</v>
      </c>
      <c r="P23" s="68">
        <f>+A23-'Tier 2 Data - MOU I.6'!A23</f>
        <v>0.8</v>
      </c>
      <c r="Q23" s="89">
        <f t="shared" si="0"/>
        <v>2033</v>
      </c>
      <c r="R23" s="102">
        <f t="shared" si="3"/>
        <v>378777.85399826727</v>
      </c>
      <c r="S23" s="102">
        <f t="shared" si="4"/>
        <v>378777.85399826727</v>
      </c>
      <c r="T23" s="102">
        <f t="shared" si="5"/>
        <v>378777.85399826727</v>
      </c>
      <c r="U23" s="102">
        <f t="shared" si="6"/>
        <v>522104.14898176334</v>
      </c>
      <c r="V23" s="102">
        <f t="shared" si="7"/>
        <v>525731.42661920399</v>
      </c>
      <c r="W23" s="102">
        <f t="shared" si="8"/>
        <v>452185.21644100652</v>
      </c>
      <c r="X23" s="102"/>
      <c r="Y23" s="102"/>
      <c r="Z23" s="102"/>
      <c r="AA23" s="102"/>
      <c r="AB23" s="102">
        <f>+SUM('Annual Energy Data'!Z33:AD33)</f>
        <v>0</v>
      </c>
      <c r="AC23" s="102">
        <f>+SUM('Annual Energy Data'!AE33:AH33)</f>
        <v>39974.799999999996</v>
      </c>
      <c r="AD23" s="102">
        <f>+'Annual Energy Data'!BD33</f>
        <v>0</v>
      </c>
      <c r="AE23" s="102">
        <f>+'Annual Energy Data'!AI33+'Annual Energy Data'!AJ33</f>
        <v>39082.345000000008</v>
      </c>
      <c r="AF23" s="118"/>
      <c r="AG23" s="118"/>
      <c r="AH23" s="118"/>
      <c r="AI23" s="118"/>
      <c r="AJ23" s="102">
        <f t="shared" si="2"/>
        <v>79057.145000000004</v>
      </c>
    </row>
    <row r="24" spans="1:36" x14ac:dyDescent="0.2">
      <c r="A24" s="68">
        <f>+'Tier 1 Data - MOU I.4'!A24</f>
        <v>1</v>
      </c>
      <c r="B24">
        <f>+'Annual Energy Data'!A34</f>
        <v>2034</v>
      </c>
      <c r="D24" s="58">
        <f>+'Annual Energy Data'!I34</f>
        <v>457624.26202331885</v>
      </c>
      <c r="E24" s="58">
        <f>+'Annual Energy Data'!M34</f>
        <v>470011.61204933014</v>
      </c>
      <c r="F24" s="58">
        <f>+'Annual Energy Data'!Q34</f>
        <v>457624.26202331885</v>
      </c>
      <c r="G24" s="58">
        <f>+'Annual Energy Data'!U34</f>
        <v>669823.98617135419</v>
      </c>
      <c r="H24" s="58">
        <f>+'Annual Energy Data'!V34</f>
        <v>676250.96556458564</v>
      </c>
      <c r="I24" s="58">
        <f>+'Annual Energy Data'!W34</f>
        <v>578445.00235747173</v>
      </c>
      <c r="J24" s="58">
        <f>+'Tier 3 Data'!J29</f>
        <v>470011.61204933014</v>
      </c>
      <c r="K24" s="58">
        <f>+'Tier 3 Data'!K29</f>
        <v>470011.61204933014</v>
      </c>
      <c r="L24" s="58">
        <f>+'Tier 3 Data'!L29</f>
        <v>470011.61204933014</v>
      </c>
      <c r="M24" s="58">
        <f>+'Tier 3 Data'!M29</f>
        <v>669823.98617135419</v>
      </c>
      <c r="N24" s="58">
        <f>+'Tier 3 Data'!N29</f>
        <v>676250.96556458564</v>
      </c>
      <c r="O24" s="58">
        <f>+'Tier 3 Data'!O29</f>
        <v>578445.00235747173</v>
      </c>
      <c r="P24" s="68">
        <f>+A24-'Tier 2 Data - MOU I.6'!A24</f>
        <v>0.8</v>
      </c>
      <c r="Q24" s="89">
        <f t="shared" si="0"/>
        <v>2034</v>
      </c>
      <c r="R24" s="102">
        <f t="shared" si="3"/>
        <v>376009.28963946411</v>
      </c>
      <c r="S24" s="102">
        <f t="shared" si="4"/>
        <v>376009.28963946411</v>
      </c>
      <c r="T24" s="102">
        <f t="shared" si="5"/>
        <v>376009.28963946411</v>
      </c>
      <c r="U24" s="102">
        <f t="shared" si="6"/>
        <v>535859.18893708335</v>
      </c>
      <c r="V24" s="102">
        <f t="shared" si="7"/>
        <v>541000.77245166851</v>
      </c>
      <c r="W24" s="102">
        <f t="shared" si="8"/>
        <v>462756.0018859774</v>
      </c>
      <c r="X24" s="102"/>
      <c r="Y24" s="102"/>
      <c r="Z24" s="102"/>
      <c r="AA24" s="102"/>
      <c r="AB24" s="102">
        <f>+SUM('Annual Energy Data'!Z34:AD34)</f>
        <v>0</v>
      </c>
      <c r="AC24" s="102">
        <f>+SUM('Annual Energy Data'!AE34:AH34)</f>
        <v>39974.799999999996</v>
      </c>
      <c r="AD24" s="102">
        <f>+'Annual Energy Data'!BD34</f>
        <v>0</v>
      </c>
      <c r="AE24" s="102">
        <f>+'Annual Energy Data'!AI34+'Annual Energy Data'!AJ34</f>
        <v>39082.345000000008</v>
      </c>
      <c r="AF24" s="118"/>
      <c r="AG24" s="118"/>
      <c r="AH24" s="118"/>
      <c r="AI24" s="118"/>
      <c r="AJ24" s="102">
        <f t="shared" si="2"/>
        <v>79057.145000000004</v>
      </c>
    </row>
    <row r="25" spans="1:36" x14ac:dyDescent="0.2">
      <c r="A25" s="68">
        <f>+'Tier 1 Data - MOU I.4'!A25</f>
        <v>1</v>
      </c>
      <c r="B25">
        <f>+'Annual Energy Data'!A35</f>
        <v>2035</v>
      </c>
      <c r="D25" s="58">
        <f>+'Annual Energy Data'!I35</f>
        <v>454168.1554260109</v>
      </c>
      <c r="E25" s="58">
        <f>+'Annual Energy Data'!M35</f>
        <v>466555.50545202213</v>
      </c>
      <c r="F25" s="58">
        <f>+'Annual Energy Data'!Q35</f>
        <v>454168.1554260109</v>
      </c>
      <c r="G25" s="58">
        <f>+'Annual Energy Data'!U35</f>
        <v>684634.91834434343</v>
      </c>
      <c r="H25" s="58">
        <f>+'Annual Energy Data'!V35</f>
        <v>695043.4194148333</v>
      </c>
      <c r="I25" s="58">
        <f>+'Annual Energy Data'!W35</f>
        <v>592612.44988284016</v>
      </c>
      <c r="J25" s="58">
        <f>+'Tier 3 Data'!J30</f>
        <v>466555.50545202213</v>
      </c>
      <c r="K25" s="58">
        <f>+'Tier 3 Data'!K30</f>
        <v>466555.50545202213</v>
      </c>
      <c r="L25" s="58">
        <f>+'Tier 3 Data'!L30</f>
        <v>466555.50545202213</v>
      </c>
      <c r="M25" s="58">
        <f>+'Tier 3 Data'!M30</f>
        <v>684634.91834434343</v>
      </c>
      <c r="N25" s="58">
        <f>+'Tier 3 Data'!N30</f>
        <v>695043.4194148333</v>
      </c>
      <c r="O25" s="58">
        <f>+'Tier 3 Data'!O30</f>
        <v>592612.44988284016</v>
      </c>
      <c r="P25" s="68">
        <f>+A25-'Tier 2 Data - MOU I.6'!A25</f>
        <v>0.8</v>
      </c>
      <c r="Q25" s="89">
        <f t="shared" si="0"/>
        <v>2035</v>
      </c>
      <c r="R25" s="102">
        <f t="shared" si="3"/>
        <v>373244.40436161775</v>
      </c>
      <c r="S25" s="102">
        <f t="shared" si="4"/>
        <v>373244.40436161775</v>
      </c>
      <c r="T25" s="102">
        <f t="shared" si="5"/>
        <v>373244.40436161775</v>
      </c>
      <c r="U25" s="102">
        <f t="shared" si="6"/>
        <v>547707.93467547477</v>
      </c>
      <c r="V25" s="102">
        <f t="shared" si="7"/>
        <v>556034.73553186667</v>
      </c>
      <c r="W25" s="102">
        <f t="shared" si="8"/>
        <v>474089.95990627212</v>
      </c>
      <c r="X25" s="102"/>
      <c r="Y25" s="102"/>
      <c r="Z25" s="102"/>
      <c r="AA25" s="102"/>
      <c r="AB25" s="102">
        <f>+SUM('Annual Energy Data'!Z35:AD35)</f>
        <v>0</v>
      </c>
      <c r="AC25" s="102">
        <f>+SUM('Annual Energy Data'!AE35:AH35)</f>
        <v>39974.799999999996</v>
      </c>
      <c r="AD25" s="102">
        <f>+'Annual Energy Data'!BD35</f>
        <v>0</v>
      </c>
      <c r="AE25" s="102">
        <f>+'Annual Energy Data'!AI35+'Annual Energy Data'!AJ35</f>
        <v>39082.345000000008</v>
      </c>
      <c r="AF25" s="118"/>
      <c r="AG25" s="118"/>
      <c r="AH25" s="118"/>
      <c r="AI25" s="118"/>
      <c r="AJ25" s="102">
        <f t="shared" si="2"/>
        <v>79057.145000000004</v>
      </c>
    </row>
    <row r="26" spans="1:36" x14ac:dyDescent="0.2">
      <c r="A26" s="68">
        <f>+'Tier 1 Data - MOU I.4'!A26</f>
        <v>1</v>
      </c>
      <c r="B26">
        <f>+'Annual Energy Data'!A36</f>
        <v>2036</v>
      </c>
      <c r="D26" s="58">
        <f>+'Annual Energy Data'!I36</f>
        <v>450752.59999360086</v>
      </c>
      <c r="E26" s="58">
        <f>+'Annual Energy Data'!M36</f>
        <v>463165.5637878066</v>
      </c>
      <c r="F26" s="58">
        <f>+'Annual Energy Data'!Q36</f>
        <v>450752.59999360086</v>
      </c>
      <c r="G26" s="58">
        <f>+'Annual Energy Data'!U36</f>
        <v>696152.57991366449</v>
      </c>
      <c r="H26" s="58">
        <f>+'Annual Energy Data'!V36</f>
        <v>713975.43825101119</v>
      </c>
      <c r="I26" s="58">
        <f>+'Annual Energy Data'!W36</f>
        <v>606943.02648805513</v>
      </c>
      <c r="J26" s="58">
        <f>+'Tier 3 Data'!J31</f>
        <v>463165.5637878066</v>
      </c>
      <c r="K26" s="58">
        <f>+'Tier 3 Data'!K31</f>
        <v>463165.5637878066</v>
      </c>
      <c r="L26" s="58">
        <f>+'Tier 3 Data'!L31</f>
        <v>463165.5637878066</v>
      </c>
      <c r="M26" s="58">
        <f>+'Tier 3 Data'!M31</f>
        <v>696152.57991366449</v>
      </c>
      <c r="N26" s="58">
        <f>+'Tier 3 Data'!N31</f>
        <v>713975.43825101119</v>
      </c>
      <c r="O26" s="58">
        <f>+'Tier 3 Data'!O31</f>
        <v>606943.02648805513</v>
      </c>
      <c r="P26" s="68">
        <f>+A26-'Tier 2 Data - MOU I.6'!A26</f>
        <v>0.8</v>
      </c>
      <c r="Q26" s="89">
        <f t="shared" si="0"/>
        <v>2036</v>
      </c>
      <c r="R26" s="102">
        <f t="shared" si="3"/>
        <v>370532.45103024528</v>
      </c>
      <c r="S26" s="102">
        <f t="shared" si="4"/>
        <v>370532.45103024528</v>
      </c>
      <c r="T26" s="102">
        <f t="shared" si="5"/>
        <v>370532.45103024528</v>
      </c>
      <c r="U26" s="102">
        <f t="shared" si="6"/>
        <v>556922.06393093162</v>
      </c>
      <c r="V26" s="102">
        <f t="shared" si="7"/>
        <v>571180.35060080898</v>
      </c>
      <c r="W26" s="102">
        <f t="shared" si="8"/>
        <v>485554.42119044415</v>
      </c>
      <c r="X26" s="102"/>
      <c r="Y26" s="102"/>
      <c r="Z26" s="102"/>
      <c r="AA26" s="102"/>
      <c r="AB26" s="102">
        <f>+SUM('Annual Energy Data'!Z36:AD36)</f>
        <v>0</v>
      </c>
      <c r="AC26" s="102">
        <f>+SUM('Annual Energy Data'!AE36:AH36)</f>
        <v>40084.32</v>
      </c>
      <c r="AD26" s="102">
        <f>+'Annual Energy Data'!BD36</f>
        <v>0</v>
      </c>
      <c r="AE26" s="102">
        <f>+'Annual Energy Data'!AI36+'Annual Energy Data'!AJ36</f>
        <v>39082.345000000008</v>
      </c>
      <c r="AF26" s="118"/>
      <c r="AG26" s="118"/>
      <c r="AH26" s="118"/>
      <c r="AI26" s="118"/>
      <c r="AJ26" s="102">
        <f t="shared" si="2"/>
        <v>79166.665000000008</v>
      </c>
    </row>
    <row r="27" spans="1:36" x14ac:dyDescent="0.2">
      <c r="A27" s="68">
        <f>+'Tier 1 Data - MOU I.4'!A27</f>
        <v>1</v>
      </c>
      <c r="B27">
        <f>+'Annual Energy Data'!A37</f>
        <v>2037</v>
      </c>
      <c r="D27" s="58">
        <f>+'Annual Energy Data'!I37</f>
        <v>447387.73898049071</v>
      </c>
      <c r="E27" s="58">
        <f>+'Annual Energy Data'!M37</f>
        <v>459775.08900650206</v>
      </c>
      <c r="F27" s="58">
        <f>+'Annual Energy Data'!Q37</f>
        <v>447387.73898049071</v>
      </c>
      <c r="G27" s="58">
        <f>+'Annual Energy Data'!U37</f>
        <v>704881.09830864915</v>
      </c>
      <c r="H27" s="58">
        <f>+'Annual Energy Data'!V37</f>
        <v>733141.30112139042</v>
      </c>
      <c r="I27" s="58">
        <f>+'Annual Energy Data'!W37</f>
        <v>620684.50300369866</v>
      </c>
      <c r="J27" s="58">
        <f>+'Tier 3 Data'!J32</f>
        <v>459775.08900650206</v>
      </c>
      <c r="K27" s="58">
        <f>+'Tier 3 Data'!K32</f>
        <v>459775.08900650206</v>
      </c>
      <c r="L27" s="58">
        <f>+'Tier 3 Data'!L32</f>
        <v>459775.08900650206</v>
      </c>
      <c r="M27" s="58">
        <f>+'Tier 3 Data'!M32</f>
        <v>704881.09830864915</v>
      </c>
      <c r="N27" s="58">
        <f>+'Tier 3 Data'!N32</f>
        <v>733141.30112139042</v>
      </c>
      <c r="O27" s="58">
        <f>+'Tier 3 Data'!O32</f>
        <v>620684.50300369866</v>
      </c>
      <c r="P27" s="68">
        <f>+A27-'Tier 2 Data - MOU I.6'!A27</f>
        <v>0.8</v>
      </c>
      <c r="Q27" s="89">
        <f t="shared" si="0"/>
        <v>2037</v>
      </c>
      <c r="R27" s="102">
        <f t="shared" si="3"/>
        <v>367820.07120520168</v>
      </c>
      <c r="S27" s="102">
        <f t="shared" si="4"/>
        <v>367820.07120520168</v>
      </c>
      <c r="T27" s="102">
        <f t="shared" si="5"/>
        <v>367820.07120520168</v>
      </c>
      <c r="U27" s="102">
        <f t="shared" si="6"/>
        <v>563904.87864691939</v>
      </c>
      <c r="V27" s="102">
        <f t="shared" si="7"/>
        <v>586513.04089711234</v>
      </c>
      <c r="W27" s="102">
        <f t="shared" si="8"/>
        <v>496547.60240295896</v>
      </c>
      <c r="X27" s="102"/>
      <c r="Y27" s="102"/>
      <c r="Z27" s="102"/>
      <c r="AA27" s="102"/>
      <c r="AB27" s="102">
        <f>+SUM('Annual Energy Data'!Z37:AD37)</f>
        <v>0</v>
      </c>
      <c r="AC27" s="102">
        <f>+SUM('Annual Energy Data'!AE37:AH37)</f>
        <v>39974.799999999996</v>
      </c>
      <c r="AD27" s="102">
        <f>+'Annual Energy Data'!BD37</f>
        <v>0</v>
      </c>
      <c r="AE27" s="102">
        <f>+'Annual Energy Data'!AI37+'Annual Energy Data'!AJ37</f>
        <v>39082.345000000008</v>
      </c>
      <c r="AF27" s="118"/>
      <c r="AG27" s="118"/>
      <c r="AH27" s="118"/>
      <c r="AI27" s="118"/>
      <c r="AJ27" s="102">
        <f t="shared" si="2"/>
        <v>79057.145000000004</v>
      </c>
    </row>
    <row r="28" spans="1:36" x14ac:dyDescent="0.2">
      <c r="A28" s="68">
        <f>+'Tier 1 Data - MOU I.4'!A28</f>
        <v>1</v>
      </c>
      <c r="B28">
        <f>+'Annual Energy Data'!A38</f>
        <v>2038</v>
      </c>
      <c r="D28" s="58">
        <f>+'Annual Energy Data'!I38</f>
        <v>444005.40927147336</v>
      </c>
      <c r="E28" s="58">
        <f>+'Annual Energy Data'!M38</f>
        <v>456392.75929748471</v>
      </c>
      <c r="F28" s="58">
        <f>+'Annual Energy Data'!Q38</f>
        <v>444005.40927147336</v>
      </c>
      <c r="G28" s="58">
        <f>+'Annual Energy Data'!U38</f>
        <v>711330.67528154957</v>
      </c>
      <c r="H28" s="58">
        <f>+'Annual Energy Data'!V38</f>
        <v>751528.19713254215</v>
      </c>
      <c r="I28" s="58">
        <f>+'Annual Energy Data'!W38</f>
        <v>633249.93557360559</v>
      </c>
      <c r="J28" s="58">
        <f>+'Tier 3 Data'!J33</f>
        <v>456392.75929748471</v>
      </c>
      <c r="K28" s="58">
        <f>+'Tier 3 Data'!K33</f>
        <v>456392.75929748471</v>
      </c>
      <c r="L28" s="58">
        <f>+'Tier 3 Data'!L33</f>
        <v>456392.75929748471</v>
      </c>
      <c r="M28" s="58">
        <f>+'Tier 3 Data'!M33</f>
        <v>711330.67528154957</v>
      </c>
      <c r="N28" s="58">
        <f>+'Tier 3 Data'!N33</f>
        <v>751528.19713254215</v>
      </c>
      <c r="O28" s="58">
        <f>+'Tier 3 Data'!O33</f>
        <v>633249.93557360559</v>
      </c>
      <c r="P28" s="68">
        <f>+A28-'Tier 2 Data - MOU I.6'!A28</f>
        <v>0.8</v>
      </c>
      <c r="Q28" s="89">
        <f t="shared" si="0"/>
        <v>2038</v>
      </c>
      <c r="R28" s="102">
        <f t="shared" si="3"/>
        <v>365114.20743798779</v>
      </c>
      <c r="S28" s="102">
        <f t="shared" si="4"/>
        <v>365114.20743798779</v>
      </c>
      <c r="T28" s="102">
        <f t="shared" si="5"/>
        <v>365114.20743798779</v>
      </c>
      <c r="U28" s="102">
        <f t="shared" si="6"/>
        <v>569064.5402252397</v>
      </c>
      <c r="V28" s="102">
        <f t="shared" si="7"/>
        <v>601222.55770603369</v>
      </c>
      <c r="W28" s="102">
        <f t="shared" si="8"/>
        <v>506599.94845888449</v>
      </c>
      <c r="X28" s="102"/>
      <c r="Y28" s="102"/>
      <c r="Z28" s="102"/>
      <c r="AA28" s="102"/>
      <c r="AB28" s="102">
        <f>+SUM('Annual Energy Data'!Z38:AD38)</f>
        <v>0</v>
      </c>
      <c r="AC28" s="102">
        <f>+SUM('Annual Energy Data'!AE38:AH38)</f>
        <v>33294.079999999994</v>
      </c>
      <c r="AD28" s="102">
        <f>+'Annual Energy Data'!BD38</f>
        <v>0</v>
      </c>
      <c r="AE28" s="102">
        <f>+'Annual Energy Data'!AI38+'Annual Energy Data'!AJ38</f>
        <v>39082.345000000008</v>
      </c>
      <c r="AF28" s="118"/>
      <c r="AG28" s="118"/>
      <c r="AH28" s="118"/>
      <c r="AI28" s="118"/>
      <c r="AJ28" s="102">
        <f t="shared" si="2"/>
        <v>72376.425000000003</v>
      </c>
    </row>
    <row r="29" spans="1:36" x14ac:dyDescent="0.2">
      <c r="B29">
        <f>+'Annual Energy Data'!A39</f>
        <v>2039</v>
      </c>
      <c r="D29" s="58">
        <f>+'Annual Energy Data'!I39</f>
        <v>440635.31590522564</v>
      </c>
      <c r="E29" s="58">
        <f>+'Annual Energy Data'!M39</f>
        <v>453022.66593123681</v>
      </c>
      <c r="F29" s="58">
        <f>+'Annual Energy Data'!Q39</f>
        <v>440635.31590522564</v>
      </c>
      <c r="G29" s="58">
        <f>+'Annual Energy Data'!U39</f>
        <v>716120.86595409201</v>
      </c>
      <c r="H29" s="58">
        <f>+'Annual Energy Data'!V39</f>
        <v>768552.28858287516</v>
      </c>
      <c r="I29" s="58">
        <f>+'Annual Energy Data'!W39</f>
        <v>644213.49095807108</v>
      </c>
      <c r="J29" s="58">
        <f>+'Tier 3 Data'!J34</f>
        <v>453022.66593123681</v>
      </c>
      <c r="K29" s="58">
        <f>+'Tier 3 Data'!K34</f>
        <v>453022.66593123681</v>
      </c>
      <c r="L29" s="58">
        <f>+'Tier 3 Data'!L34</f>
        <v>453022.66593123681</v>
      </c>
      <c r="M29" s="58">
        <f>+'Tier 3 Data'!M34</f>
        <v>716120.86595409201</v>
      </c>
      <c r="N29" s="58">
        <f>+'Tier 3 Data'!N34</f>
        <v>768552.28858287516</v>
      </c>
      <c r="O29" s="58">
        <f>+'Tier 3 Data'!O34</f>
        <v>644213.49095807108</v>
      </c>
      <c r="P29" s="68">
        <f>+A29-'Tier 2 Data - MOU I.6'!A29</f>
        <v>-0.2</v>
      </c>
      <c r="Q29" s="89">
        <f t="shared" ref="Q29:Q32" si="9">+B29</f>
        <v>2039</v>
      </c>
      <c r="R29" s="102">
        <f t="shared" ref="R29:R32" si="10">+$P29*J29</f>
        <v>-90604.533186247369</v>
      </c>
      <c r="S29" s="102">
        <f t="shared" ref="S29:S32" si="11">+$P29*K29</f>
        <v>-90604.533186247369</v>
      </c>
      <c r="T29" s="102">
        <f t="shared" ref="T29:T32" si="12">+$P29*L29</f>
        <v>-90604.533186247369</v>
      </c>
      <c r="U29" s="102">
        <f t="shared" ref="U29:U32" si="13">+$P29*M29</f>
        <v>-143224.1731908184</v>
      </c>
      <c r="V29" s="102">
        <f t="shared" ref="V29:V32" si="14">+$P29*N29</f>
        <v>-153710.45771657504</v>
      </c>
      <c r="W29" s="102">
        <f t="shared" ref="W29:W32" si="15">+$P29*O29</f>
        <v>-128842.69819161422</v>
      </c>
      <c r="X29" s="102"/>
      <c r="Y29" s="102"/>
      <c r="Z29" s="102"/>
      <c r="AA29" s="102"/>
      <c r="AB29" s="102">
        <f>+SUM('Annual Energy Data'!Z39:AD39)</f>
        <v>0</v>
      </c>
      <c r="AC29" s="102">
        <f>+SUM('Annual Energy Data'!AE39:AH39)</f>
        <v>0</v>
      </c>
      <c r="AD29" s="102">
        <f>+'Annual Energy Data'!BD39</f>
        <v>0</v>
      </c>
      <c r="AE29" s="102">
        <f>+'Annual Energy Data'!AI39+'Annual Energy Data'!AJ39</f>
        <v>39082.345000000008</v>
      </c>
      <c r="AF29" s="118"/>
      <c r="AG29" s="118"/>
      <c r="AH29" s="118"/>
      <c r="AI29" s="118"/>
      <c r="AJ29" s="102">
        <f t="shared" ref="AJ29:AJ32" si="16">+SUM(X29:AI29)</f>
        <v>39082.345000000008</v>
      </c>
    </row>
    <row r="30" spans="1:36" x14ac:dyDescent="0.2">
      <c r="B30">
        <f>+'Annual Energy Data'!A40</f>
        <v>2040</v>
      </c>
      <c r="D30" s="58">
        <f>+'Annual Energy Data'!I40</f>
        <v>437235.1119122798</v>
      </c>
      <c r="E30" s="58">
        <f>+'Annual Energy Data'!M40</f>
        <v>449648.07570648537</v>
      </c>
      <c r="F30" s="58">
        <f>+'Annual Energy Data'!Q40</f>
        <v>437235.1119122798</v>
      </c>
      <c r="G30" s="58">
        <f>+'Annual Energy Data'!U40</f>
        <v>719620.63688443974</v>
      </c>
      <c r="H30" s="58">
        <f>+'Annual Energy Data'!V40</f>
        <v>782587.65066748532</v>
      </c>
      <c r="I30" s="58">
        <f>+'Annual Energy Data'!W40</f>
        <v>653337.7248376013</v>
      </c>
      <c r="J30" s="58">
        <f>+'Tier 3 Data'!J35</f>
        <v>449648.07570648537</v>
      </c>
      <c r="K30" s="58">
        <f>+'Tier 3 Data'!K35</f>
        <v>449648.07570648537</v>
      </c>
      <c r="L30" s="58">
        <f>+'Tier 3 Data'!L35</f>
        <v>449648.07570648537</v>
      </c>
      <c r="M30" s="58">
        <f>+'Tier 3 Data'!M35</f>
        <v>719620.63688443974</v>
      </c>
      <c r="N30" s="58">
        <f>+'Tier 3 Data'!N35</f>
        <v>782587.65066748532</v>
      </c>
      <c r="O30" s="58">
        <f>+'Tier 3 Data'!O35</f>
        <v>653337.7248376013</v>
      </c>
      <c r="P30" s="68">
        <f>+A30-'Tier 2 Data - MOU I.6'!A30</f>
        <v>-0.2</v>
      </c>
      <c r="Q30" s="89">
        <f t="shared" si="9"/>
        <v>2040</v>
      </c>
      <c r="R30" s="102">
        <f t="shared" si="10"/>
        <v>-89929.615141297079</v>
      </c>
      <c r="S30" s="102">
        <f t="shared" si="11"/>
        <v>-89929.615141297079</v>
      </c>
      <c r="T30" s="102">
        <f t="shared" si="12"/>
        <v>-89929.615141297079</v>
      </c>
      <c r="U30" s="102">
        <f t="shared" si="13"/>
        <v>-143924.12737688795</v>
      </c>
      <c r="V30" s="102">
        <f t="shared" si="14"/>
        <v>-156517.53013349706</v>
      </c>
      <c r="W30" s="102">
        <f t="shared" si="15"/>
        <v>-130667.54496752027</v>
      </c>
      <c r="X30" s="102"/>
      <c r="Y30" s="102"/>
      <c r="Z30" s="102"/>
      <c r="AA30" s="102"/>
      <c r="AB30" s="102">
        <f>+SUM('Annual Energy Data'!Z40:AD40)</f>
        <v>0</v>
      </c>
      <c r="AC30" s="102">
        <f>+SUM('Annual Energy Data'!AE40:AH40)</f>
        <v>0</v>
      </c>
      <c r="AD30" s="102">
        <f>+'Annual Energy Data'!BD40</f>
        <v>0</v>
      </c>
      <c r="AE30" s="102">
        <f>+'Annual Energy Data'!AI40+'Annual Energy Data'!AJ40</f>
        <v>39082.345000000008</v>
      </c>
      <c r="AF30" s="118"/>
      <c r="AG30" s="118"/>
      <c r="AH30" s="118"/>
      <c r="AI30" s="118"/>
      <c r="AJ30" s="102">
        <f t="shared" si="16"/>
        <v>39082.345000000008</v>
      </c>
    </row>
    <row r="31" spans="1:36" x14ac:dyDescent="0.2">
      <c r="B31">
        <f>+'Annual Energy Data'!A41</f>
        <v>2041</v>
      </c>
      <c r="D31" s="58">
        <f>+'Annual Energy Data'!I41</f>
        <v>433853.75301301666</v>
      </c>
      <c r="E31" s="58">
        <f>+'Annual Energy Data'!M41</f>
        <v>446241.10303902789</v>
      </c>
      <c r="F31" s="58">
        <f>+'Annual Energy Data'!Q41</f>
        <v>433853.75301301666</v>
      </c>
      <c r="G31" s="58">
        <f>+'Annual Energy Data'!U41</f>
        <v>722223.80304426048</v>
      </c>
      <c r="H31" s="58">
        <f>+'Annual Energy Data'!V41</f>
        <v>793532.27899898123</v>
      </c>
      <c r="I31" s="58">
        <f>+'Annual Energy Data'!W41</f>
        <v>660621.06578335713</v>
      </c>
      <c r="J31" s="58">
        <f>+'Tier 3 Data'!J36</f>
        <v>446241.10303902789</v>
      </c>
      <c r="K31" s="58">
        <f>+'Tier 3 Data'!K36</f>
        <v>446241.10303902789</v>
      </c>
      <c r="L31" s="58">
        <f>+'Tier 3 Data'!L36</f>
        <v>446241.10303902789</v>
      </c>
      <c r="M31" s="58">
        <f>+'Tier 3 Data'!M36</f>
        <v>722223.80304426048</v>
      </c>
      <c r="N31" s="58">
        <f>+'Tier 3 Data'!N36</f>
        <v>793532.27899898123</v>
      </c>
      <c r="O31" s="58">
        <f>+'Tier 3 Data'!O36</f>
        <v>660621.06578335713</v>
      </c>
      <c r="P31" s="68">
        <f>+A31-'Tier 2 Data - MOU I.6'!A31</f>
        <v>-0.2</v>
      </c>
      <c r="Q31" s="89">
        <f t="shared" si="9"/>
        <v>2041</v>
      </c>
      <c r="R31" s="102">
        <f t="shared" si="10"/>
        <v>-89248.22060780559</v>
      </c>
      <c r="S31" s="102">
        <f t="shared" si="11"/>
        <v>-89248.22060780559</v>
      </c>
      <c r="T31" s="102">
        <f t="shared" si="12"/>
        <v>-89248.22060780559</v>
      </c>
      <c r="U31" s="102">
        <f t="shared" si="13"/>
        <v>-144444.76060885211</v>
      </c>
      <c r="V31" s="102">
        <f t="shared" si="14"/>
        <v>-158706.45579979627</v>
      </c>
      <c r="W31" s="102">
        <f t="shared" si="15"/>
        <v>-132124.21315667144</v>
      </c>
      <c r="X31" s="102"/>
      <c r="Y31" s="102"/>
      <c r="Z31" s="102"/>
      <c r="AA31" s="102"/>
      <c r="AB31" s="102">
        <f>+SUM('Annual Energy Data'!Z41:AD41)</f>
        <v>0</v>
      </c>
      <c r="AC31" s="102">
        <f>+SUM('Annual Energy Data'!AE41:AH41)</f>
        <v>0</v>
      </c>
      <c r="AD31" s="102">
        <f>+'Annual Energy Data'!BD41</f>
        <v>0</v>
      </c>
      <c r="AE31" s="102">
        <f>+'Annual Energy Data'!AI41+'Annual Energy Data'!AJ41</f>
        <v>39082.345000000008</v>
      </c>
      <c r="AF31" s="118"/>
      <c r="AG31" s="118"/>
      <c r="AH31" s="118"/>
      <c r="AI31" s="118"/>
      <c r="AJ31" s="102">
        <f t="shared" si="16"/>
        <v>39082.345000000008</v>
      </c>
    </row>
    <row r="32" spans="1:36" x14ac:dyDescent="0.2">
      <c r="B32">
        <f>+'Annual Energy Data'!A42</f>
        <v>2042</v>
      </c>
      <c r="D32" s="58">
        <f>+'Annual Energy Data'!I42</f>
        <v>430491.07032321359</v>
      </c>
      <c r="E32" s="58">
        <f>+'Annual Energy Data'!M42</f>
        <v>442878.42034922482</v>
      </c>
      <c r="F32" s="58">
        <f>+'Annual Energy Data'!Q42</f>
        <v>430491.07032321359</v>
      </c>
      <c r="G32" s="58">
        <f>+'Annual Energy Data'!U42</f>
        <v>723086.74512119894</v>
      </c>
      <c r="H32" s="58">
        <f>+'Annual Energy Data'!V42</f>
        <v>803176.88283081586</v>
      </c>
      <c r="I32" s="58">
        <f>+'Annual Energy Data'!W42</f>
        <v>666546.80842870963</v>
      </c>
      <c r="J32" s="58">
        <f>+'Tier 3 Data'!J37</f>
        <v>442878.42034922482</v>
      </c>
      <c r="K32" s="58">
        <f>+'Tier 3 Data'!K37</f>
        <v>442878.42034922482</v>
      </c>
      <c r="L32" s="58">
        <f>+'Tier 3 Data'!L37</f>
        <v>442878.42034922482</v>
      </c>
      <c r="M32" s="58">
        <f>+'Tier 3 Data'!M37</f>
        <v>723086.74512119894</v>
      </c>
      <c r="N32" s="58">
        <f>+'Tier 3 Data'!N37</f>
        <v>803176.88283081586</v>
      </c>
      <c r="O32" s="58">
        <f>+'Tier 3 Data'!O37</f>
        <v>666546.80842870963</v>
      </c>
      <c r="P32" s="68">
        <f>+A32-'Tier 2 Data - MOU I.6'!A32</f>
        <v>-0.2</v>
      </c>
      <c r="Q32" s="89">
        <f t="shared" si="9"/>
        <v>2042</v>
      </c>
      <c r="R32" s="102">
        <f t="shared" si="10"/>
        <v>-88575.684069844967</v>
      </c>
      <c r="S32" s="102">
        <f t="shared" si="11"/>
        <v>-88575.684069844967</v>
      </c>
      <c r="T32" s="102">
        <f t="shared" si="12"/>
        <v>-88575.684069844967</v>
      </c>
      <c r="U32" s="102">
        <f t="shared" si="13"/>
        <v>-144617.34902423978</v>
      </c>
      <c r="V32" s="102">
        <f t="shared" si="14"/>
        <v>-160635.37656616318</v>
      </c>
      <c r="W32" s="102">
        <f t="shared" si="15"/>
        <v>-133309.36168574193</v>
      </c>
      <c r="X32" s="102"/>
      <c r="Y32" s="102"/>
      <c r="Z32" s="102"/>
      <c r="AA32" s="102"/>
      <c r="AB32" s="102">
        <f>+SUM('Annual Energy Data'!Z42:AD42)</f>
        <v>0</v>
      </c>
      <c r="AC32" s="102">
        <f>+SUM('Annual Energy Data'!AE42:AH42)</f>
        <v>0</v>
      </c>
      <c r="AD32" s="102">
        <f>+'Annual Energy Data'!BD42</f>
        <v>0</v>
      </c>
      <c r="AE32" s="102">
        <f>+'Annual Energy Data'!AI42+'Annual Energy Data'!AJ42</f>
        <v>39082.345000000008</v>
      </c>
      <c r="AF32" s="118"/>
      <c r="AG32" s="118"/>
      <c r="AH32" s="118"/>
      <c r="AI32" s="118"/>
      <c r="AJ32" s="102">
        <f t="shared" si="16"/>
        <v>39082.345000000008</v>
      </c>
    </row>
  </sheetData>
  <pageMargins left="0.7" right="0.7" top="0.75" bottom="0.75" header="0.3" footer="0.3"/>
  <pageSetup scale="4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8E08FDFDCCAD499FBA94E88C097F3D" ma:contentTypeVersion="18" ma:contentTypeDescription="Create a new document." ma:contentTypeScope="" ma:versionID="b3b60752280e7d8ae4faf02608c21c00">
  <xsd:schema xmlns:xsd="http://www.w3.org/2001/XMLSchema" xmlns:xs="http://www.w3.org/2001/XMLSchema" xmlns:p="http://schemas.microsoft.com/office/2006/metadata/properties" xmlns:ns2="d0047d8f-172a-4070-af7b-cf331a2d98a3" xmlns:ns3="9611b245-3414-4c57-9267-9bfbc6a1bf12" targetNamespace="http://schemas.microsoft.com/office/2006/metadata/properties" ma:root="true" ma:fieldsID="8af0c682d9c60d74e21143bf7bd4983e" ns2:_="" ns3:_="">
    <xsd:import namespace="d0047d8f-172a-4070-af7b-cf331a2d98a3"/>
    <xsd:import namespace="9611b245-3414-4c57-9267-9bfbc6a1bf1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047d8f-172a-4070-af7b-cf331a2d98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3f2e66b-42c5-4872-ab01-de6067475e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11b245-3414-4c57-9267-9bfbc6a1bf1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870fc21-aca4-45db-b4ec-bfebc3b6ba57}" ma:internalName="TaxCatchAll" ma:showField="CatchAllData" ma:web="9611b245-3414-4c57-9267-9bfbc6a1b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0047d8f-172a-4070-af7b-cf331a2d98a3">
      <Terms xmlns="http://schemas.microsoft.com/office/infopath/2007/PartnerControls"/>
    </lcf76f155ced4ddcb4097134ff3c332f>
    <TaxCatchAll xmlns="9611b245-3414-4c57-9267-9bfbc6a1bf1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BEE97C-4E83-4953-A6B5-5538ED691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047d8f-172a-4070-af7b-cf331a2d98a3"/>
    <ds:schemaRef ds:uri="9611b245-3414-4c57-9267-9bfbc6a1b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1132F8-21C8-464F-865E-437DEA45001D}">
  <ds:schemaRefs>
    <ds:schemaRef ds:uri="http://schemas.microsoft.com/office/2006/metadata/properties"/>
    <ds:schemaRef ds:uri="http://schemas.microsoft.com/office/infopath/2007/PartnerControls"/>
    <ds:schemaRef ds:uri="d0047d8f-172a-4070-af7b-cf331a2d98a3"/>
    <ds:schemaRef ds:uri="9611b245-3414-4c57-9267-9bfbc6a1bf12"/>
  </ds:schemaRefs>
</ds:datastoreItem>
</file>

<file path=customXml/itemProps3.xml><?xml version="1.0" encoding="utf-8"?>
<ds:datastoreItem xmlns:ds="http://schemas.openxmlformats.org/officeDocument/2006/customXml" ds:itemID="{B6189C4B-7E96-4777-86F0-379695DC36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16</vt:i4>
      </vt:variant>
      <vt:variant>
        <vt:lpstr>Named Ranges</vt:lpstr>
      </vt:variant>
      <vt:variant>
        <vt:i4>1</vt:i4>
      </vt:variant>
    </vt:vector>
  </HeadingPairs>
  <TitlesOfParts>
    <vt:vector size="35" baseType="lpstr">
      <vt:lpstr>Monthly Cap Data</vt:lpstr>
      <vt:lpstr>Annual Cap Data</vt:lpstr>
      <vt:lpstr>Committed Capacity Data</vt:lpstr>
      <vt:lpstr>Committted + Pending Cap Data</vt:lpstr>
      <vt:lpstr>Monthly Energy Data</vt:lpstr>
      <vt:lpstr>Annual Energy Data</vt:lpstr>
      <vt:lpstr>Total Sys Data - MOU I.2</vt:lpstr>
      <vt:lpstr>Tier 1 Data - MOU I.4</vt:lpstr>
      <vt:lpstr>Tier 1 Data - MOU 1.5</vt:lpstr>
      <vt:lpstr>Tier 2 Data - MOU I.6</vt:lpstr>
      <vt:lpstr>Tier 3 Data</vt:lpstr>
      <vt:lpstr>Tier 4 Data</vt:lpstr>
      <vt:lpstr>Pre-Post Tier 3 Comp Tables</vt:lpstr>
      <vt:lpstr>Renewable Analysis</vt:lpstr>
      <vt:lpstr>Emissions Data</vt:lpstr>
      <vt:lpstr>Annual Emissions</vt:lpstr>
      <vt:lpstr>Peak Load Projections</vt:lpstr>
      <vt:lpstr>Peak Loads - 2022-2024</vt:lpstr>
      <vt:lpstr>Committed Cap Plot</vt:lpstr>
      <vt:lpstr>Committed + Pending Cap Plot</vt:lpstr>
      <vt:lpstr>2015 Fuel Type Chart</vt:lpstr>
      <vt:lpstr>100% CF Chart - By Resource</vt:lpstr>
      <vt:lpstr>100% CF Chart - Total</vt:lpstr>
      <vt:lpstr>100% Renew Chart - By Resource</vt:lpstr>
      <vt:lpstr>100% Renew Chart - Total</vt:lpstr>
      <vt:lpstr>Total Sys Chart - By Resource</vt:lpstr>
      <vt:lpstr>Total Sys Chart - Total</vt:lpstr>
      <vt:lpstr>Cat 4 Chart</vt:lpstr>
      <vt:lpstr>Tier 1 Chart - Pre-REC Sales</vt:lpstr>
      <vt:lpstr>Tier 1 Chart - Post-REC Sales</vt:lpstr>
      <vt:lpstr>Tier 2 Chart - Existing NM</vt:lpstr>
      <vt:lpstr>Tier 2 Chart - Existing+New NM</vt:lpstr>
      <vt:lpstr>SPEED Plot</vt:lpstr>
      <vt:lpstr>100% Renew Chart - Total (2)</vt:lpstr>
      <vt:lpstr>'Committted + Pending Cap Data'!Print_Area</vt:lpstr>
    </vt:vector>
  </TitlesOfParts>
  <Company>Energy Initiatives,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Kieny</dc:creator>
  <cp:lastModifiedBy>Brunner, Cyril</cp:lastModifiedBy>
  <cp:lastPrinted>2023-12-06T20:11:00Z</cp:lastPrinted>
  <dcterms:created xsi:type="dcterms:W3CDTF">2007-06-27T15:52:28Z</dcterms:created>
  <dcterms:modified xsi:type="dcterms:W3CDTF">2025-07-14T13:55:32Z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0x010100FC8E08FDFDCCAD499FBA94E88C097F3D</vt:lpwstr>
  </property>
  <property fmtid="{D5CDD505-2E9C-101B-9397-08002B2CF9AE}" pid="3" name="MediaServiceImageTags">
    <vt:lpwstr/>
  </property>
</Properties>
</file>